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tables/table5.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7.xml" ContentType="application/vnd.openxmlformats-officedocument.spreadsheetml.table+xml"/>
  <Override PartName="/xl/tables/table8.xml" ContentType="application/vnd.openxmlformats-officedocument.spreadsheetml.table+xml"/>
  <Override PartName="/xl/drawings/drawing5.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drawings/drawing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3.xml" ContentType="application/vnd.openxmlformats-officedocument.themeOverride+xml"/>
  <Override PartName="/xl/tables/table31.xml" ContentType="application/vnd.openxmlformats-officedocument.spreadsheetml.table+xml"/>
  <Override PartName="/xl/drawings/drawing9.xml" ContentType="application/vnd.openxmlformats-officedocument.drawing+xml"/>
  <Override PartName="/xl/tables/table32.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codeName="ThisWorkbook" defaultThemeVersion="166925"/>
  <mc:AlternateContent xmlns:mc="http://schemas.openxmlformats.org/markup-compatibility/2006">
    <mc:Choice Requires="x15">
      <x15ac:absPath xmlns:x15ac="http://schemas.microsoft.com/office/spreadsheetml/2010/11/ac" url="C:\Users\steph\IGBC Dropbox\IGBC's shared workspace\IGBC\Projects\INDICATE\Latest Methodology Shared Folder\"/>
    </mc:Choice>
  </mc:AlternateContent>
  <xr:revisionPtr revIDLastSave="0" documentId="13_ncr:1_{411B5A00-64C7-4CE5-A0B1-421624BC9C7D}" xr6:coauthVersionLast="47" xr6:coauthVersionMax="47" xr10:uidLastSave="{00000000-0000-0000-0000-000000000000}"/>
  <bookViews>
    <workbookView xWindow="-120" yWindow="-16320" windowWidth="29040" windowHeight="15720" tabRatio="840" xr2:uid="{E3800BA2-9AC0-4137-AA12-1B7DC662EE7A}"/>
  </bookViews>
  <sheets>
    <sheet name="Welcome" sheetId="26" r:id="rId1"/>
    <sheet name="Instructions" sheetId="18" r:id="rId2"/>
    <sheet name="Project Details" sheetId="17" r:id="rId3"/>
    <sheet name="Materials BoQ" sheetId="7" r:id="rId4"/>
    <sheet name="MEP" sheetId="8" r:id="rId5"/>
    <sheet name="MEP RICS Calc" sheetId="27" r:id="rId6"/>
    <sheet name="MEP Calcs (A1-4, B3, C1-4)" sheetId="10" state="hidden" r:id="rId7"/>
    <sheet name="Energy" sheetId="14" r:id="rId8"/>
    <sheet name="Refrigerants" sheetId="12" r:id="rId9"/>
    <sheet name="Water" sheetId="16" r:id="rId10"/>
    <sheet name="Results" sheetId="19" r:id="rId11"/>
    <sheet name="Report Template" sheetId="25" r:id="rId12"/>
    <sheet name="EPD" sheetId="20" r:id="rId13"/>
    <sheet name="Densities help" sheetId="22" r:id="rId14"/>
    <sheet name="Stage assumptions" sheetId="2" r:id="rId15"/>
    <sheet name="Materials Rank" sheetId="24" state="hidden" r:id="rId16"/>
    <sheet name="Dropdowns" sheetId="5" state="hidden" r:id="rId17"/>
    <sheet name="Materials Calculations" sheetId="4" state="hidden" r:id="rId18"/>
    <sheet name="Materials Data" sheetId="1" state="hidden" r:id="rId19"/>
    <sheet name="Change log" sheetId="23" state="hidden" r:id="rId20"/>
    <sheet name="5-Operational B6" sheetId="13" state="hidden" r:id="rId21"/>
    <sheet name="6-Water B7" sheetId="15" state="hidden" r:id="rId22"/>
    <sheet name="MEP Data" sheetId="3" state="hidden" r:id="rId23"/>
    <sheet name="B1 - Refrigerant Calc" sheetId="11" state="hidden" r:id="rId24"/>
  </sheets>
  <definedNames>
    <definedName name="Tier2Element" localSheetId="15">Tier2elementDropdown[Scope Element]</definedName>
    <definedName name="Tier2Element" localSheetId="0">Tier2elementDropdown[Scope Element]</definedName>
    <definedName name="Tier2Element">Tier2elementDropdown[Scope Element]</definedName>
    <definedName name="UserEPD" localSheetId="15">EPDInput[]</definedName>
    <definedName name="UserEPD" localSheetId="0">EPDInput[]</definedName>
    <definedName name="UserEPD">EPDInput[]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27" l="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281" i="1"/>
  <c r="G296" i="7" l="1"/>
  <c r="G295" i="7"/>
  <c r="G152" i="7" l="1"/>
  <c r="G171" i="7"/>
  <c r="G46" i="7"/>
  <c r="G161" i="7"/>
  <c r="G197" i="7"/>
  <c r="G196" i="7"/>
  <c r="G195" i="7"/>
  <c r="G261" i="7"/>
  <c r="G115" i="7"/>
  <c r="G234" i="7"/>
  <c r="G114" i="7"/>
  <c r="G21" i="7"/>
  <c r="G19" i="7"/>
  <c r="G223" i="7"/>
  <c r="G22" i="7"/>
  <c r="G129" i="7"/>
  <c r="G280" i="7"/>
  <c r="G137" i="7"/>
  <c r="G187" i="7"/>
  <c r="G201" i="7"/>
  <c r="G268" i="7"/>
  <c r="G277" i="7"/>
  <c r="G149" i="7"/>
  <c r="G116" i="7"/>
  <c r="G48" i="7"/>
  <c r="G134" i="7"/>
  <c r="G259" i="7"/>
  <c r="G176" i="7"/>
  <c r="G80" i="7"/>
  <c r="G256" i="7"/>
  <c r="G131" i="7"/>
  <c r="G177" i="7"/>
  <c r="G231" i="7"/>
  <c r="G191" i="7"/>
  <c r="G16" i="7"/>
  <c r="G239" i="7"/>
  <c r="G227" i="7"/>
  <c r="G60" i="7"/>
  <c r="G160" i="7"/>
  <c r="G203" i="7"/>
  <c r="G200" i="7"/>
  <c r="G29" i="7"/>
  <c r="G27" i="7"/>
  <c r="G208" i="7"/>
  <c r="G96" i="7"/>
  <c r="G222" i="7"/>
  <c r="G43" i="7"/>
  <c r="G218" i="7"/>
  <c r="G263" i="7"/>
  <c r="G266" i="7"/>
  <c r="G236" i="7"/>
  <c r="G210" i="7"/>
  <c r="G272" i="7"/>
  <c r="G182" i="7"/>
  <c r="G54" i="7"/>
  <c r="G233" i="7"/>
  <c r="G202" i="7"/>
  <c r="G180" i="7"/>
  <c r="G66" i="7"/>
  <c r="G93" i="7"/>
  <c r="G106" i="7"/>
  <c r="G242" i="7"/>
  <c r="G204" i="7"/>
  <c r="G62" i="7"/>
  <c r="G10" i="7"/>
  <c r="G178" i="7"/>
  <c r="G194" i="7"/>
  <c r="G179" i="7"/>
  <c r="G216" i="7"/>
  <c r="G42" i="7"/>
  <c r="G159" i="7"/>
  <c r="G206" i="7"/>
  <c r="G117" i="7"/>
  <c r="G34" i="7"/>
  <c r="G112" i="7"/>
  <c r="G254" i="7"/>
  <c r="G59" i="7"/>
  <c r="G36" i="7"/>
  <c r="G271" i="7"/>
  <c r="G57" i="7"/>
  <c r="G56" i="7"/>
  <c r="G105" i="7"/>
  <c r="G58" i="7"/>
  <c r="G250" i="7"/>
  <c r="G9" i="7"/>
  <c r="G26" i="7"/>
  <c r="G87" i="7"/>
  <c r="G3" i="7"/>
  <c r="G185" i="7"/>
  <c r="G92" i="7"/>
  <c r="G244" i="7"/>
  <c r="G12" i="7"/>
  <c r="G232" i="7"/>
  <c r="G32" i="7"/>
  <c r="G151" i="7"/>
  <c r="G6" i="7"/>
  <c r="G240" i="7"/>
  <c r="G65" i="7"/>
  <c r="G97" i="7"/>
  <c r="G68" i="7"/>
  <c r="G267" i="7"/>
  <c r="G25" i="7"/>
  <c r="G49" i="7"/>
  <c r="G144" i="7"/>
  <c r="G75" i="7"/>
  <c r="G243" i="7"/>
  <c r="G84" i="7"/>
  <c r="G167" i="7"/>
  <c r="G217" i="7"/>
  <c r="G91" i="7"/>
  <c r="G94" i="7"/>
  <c r="G163" i="7"/>
  <c r="G123" i="7"/>
  <c r="G108" i="7"/>
  <c r="G83" i="7"/>
  <c r="G71" i="7"/>
  <c r="G135" i="7"/>
  <c r="G133" i="7"/>
  <c r="G104" i="7"/>
  <c r="G198" i="7"/>
  <c r="G192" i="7"/>
  <c r="G64" i="7"/>
  <c r="G24" i="7"/>
  <c r="G67" i="7"/>
  <c r="G241" i="7"/>
  <c r="G37" i="7"/>
  <c r="G162" i="7"/>
  <c r="G111" i="7"/>
  <c r="G238" i="7"/>
  <c r="G265" i="7"/>
  <c r="G168" i="7"/>
  <c r="G274" i="7"/>
  <c r="G269" i="7"/>
  <c r="G103" i="7"/>
  <c r="G17" i="7"/>
  <c r="G79" i="7"/>
  <c r="G121" i="7"/>
  <c r="G229" i="7"/>
  <c r="G258" i="7"/>
  <c r="G15" i="7"/>
  <c r="G50" i="7"/>
  <c r="G158" i="7"/>
  <c r="G113" i="7"/>
  <c r="G281" i="7"/>
  <c r="G273" i="7"/>
  <c r="G221" i="7"/>
  <c r="G132" i="7"/>
  <c r="G81" i="7"/>
  <c r="G126" i="7"/>
  <c r="G90" i="7"/>
  <c r="G215" i="7"/>
  <c r="G193" i="7"/>
  <c r="G172" i="7"/>
  <c r="G101" i="7"/>
  <c r="G235" i="7"/>
  <c r="G260" i="7"/>
  <c r="G107" i="7"/>
  <c r="G28" i="7"/>
  <c r="G165" i="7"/>
  <c r="G164" i="7"/>
  <c r="G175" i="7"/>
  <c r="G63" i="7"/>
  <c r="G248" i="7"/>
  <c r="G110" i="7"/>
  <c r="G118" i="7"/>
  <c r="G228" i="7"/>
  <c r="G186" i="7"/>
  <c r="G156" i="7"/>
  <c r="G35" i="7"/>
  <c r="G127" i="7"/>
  <c r="G122" i="7"/>
  <c r="G14" i="7"/>
  <c r="G145" i="7"/>
  <c r="G55" i="7"/>
  <c r="G44" i="7"/>
  <c r="G61" i="7"/>
  <c r="G31" i="7"/>
  <c r="G18" i="7"/>
  <c r="G253" i="7"/>
  <c r="G199" i="7"/>
  <c r="G8" i="7"/>
  <c r="G136" i="7"/>
  <c r="G125" i="7"/>
  <c r="G82" i="7"/>
  <c r="G38" i="7"/>
  <c r="G140" i="7"/>
  <c r="G207" i="7"/>
  <c r="G181" i="7"/>
  <c r="G285" i="7"/>
  <c r="G11" i="7"/>
  <c r="G154" i="7"/>
  <c r="G190" i="7"/>
  <c r="G279" i="7"/>
  <c r="G141" i="7"/>
  <c r="G138" i="7"/>
  <c r="G88" i="7"/>
  <c r="G220" i="7"/>
  <c r="G225" i="7"/>
  <c r="G245" i="7"/>
  <c r="G183" i="7"/>
  <c r="G20" i="7"/>
  <c r="G212" i="7"/>
  <c r="G147" i="7"/>
  <c r="G120" i="7"/>
  <c r="G130" i="7"/>
  <c r="G209" i="7"/>
  <c r="G230" i="7"/>
  <c r="G77" i="7"/>
  <c r="G170" i="7"/>
  <c r="G86" i="7"/>
  <c r="G143" i="7"/>
  <c r="G262" i="7"/>
  <c r="G69" i="7"/>
  <c r="G146" i="7"/>
  <c r="G85" i="7"/>
  <c r="G139" i="7"/>
  <c r="G282" i="7"/>
  <c r="G4" i="7"/>
  <c r="G109" i="7"/>
  <c r="G283" i="7"/>
  <c r="G47" i="7"/>
  <c r="G99" i="7"/>
  <c r="G184" i="7"/>
  <c r="G257" i="7"/>
  <c r="G224" i="7"/>
  <c r="G40" i="7"/>
  <c r="G219" i="7"/>
  <c r="G214" i="7"/>
  <c r="G174" i="7"/>
  <c r="G275" i="7"/>
  <c r="G95" i="7"/>
  <c r="G278" i="7"/>
  <c r="G237" i="7"/>
  <c r="G89" i="7"/>
  <c r="G249" i="7"/>
  <c r="G76" i="7"/>
  <c r="G128" i="7"/>
  <c r="G211" i="7"/>
  <c r="G124" i="7"/>
  <c r="G33" i="7"/>
  <c r="G119" i="7"/>
  <c r="G173" i="7"/>
  <c r="G226" i="7"/>
  <c r="G155" i="7"/>
  <c r="G41" i="7"/>
  <c r="G102" i="7"/>
  <c r="G23" i="7"/>
  <c r="G73" i="7"/>
  <c r="G153" i="7"/>
  <c r="G74" i="7"/>
  <c r="G53" i="7"/>
  <c r="G142" i="7"/>
  <c r="G148" i="7"/>
  <c r="G78" i="7"/>
  <c r="G284" i="7"/>
  <c r="G98" i="7"/>
  <c r="G39" i="7"/>
  <c r="G276" i="7"/>
  <c r="G72" i="7"/>
  <c r="G247" i="7"/>
  <c r="G100" i="7"/>
  <c r="G5" i="7"/>
  <c r="G270" i="7"/>
  <c r="G150" i="7"/>
  <c r="G246" i="7"/>
  <c r="G13" i="7"/>
  <c r="G188" i="7"/>
  <c r="G70" i="7"/>
  <c r="G169" i="7"/>
  <c r="G189" i="7"/>
  <c r="G213" i="7"/>
  <c r="G251" i="7"/>
  <c r="G264" i="7"/>
  <c r="G205" i="7"/>
  <c r="G45" i="7"/>
  <c r="G30" i="7"/>
  <c r="G166" i="7"/>
  <c r="G286" i="7"/>
  <c r="G287" i="7"/>
  <c r="G288" i="7"/>
  <c r="G289" i="7"/>
  <c r="G290" i="7"/>
  <c r="G291" i="7"/>
  <c r="G292" i="7"/>
  <c r="G293" i="7"/>
  <c r="G294" i="7"/>
  <c r="G15" i="27"/>
  <c r="J15" i="27" s="1"/>
  <c r="S49" i="19" a="1"/>
  <c r="S49" i="19" s="1"/>
  <c r="B7" i="27"/>
  <c r="G25" i="27" s="1"/>
  <c r="J25" i="27" s="1"/>
  <c r="H30" i="27"/>
  <c r="H29" i="27"/>
  <c r="H26" i="27"/>
  <c r="H25" i="27"/>
  <c r="H24" i="27"/>
  <c r="H23" i="27"/>
  <c r="H22" i="27"/>
  <c r="H21" i="27"/>
  <c r="H20" i="27"/>
  <c r="H19" i="27"/>
  <c r="H18" i="27"/>
  <c r="H17" i="27"/>
  <c r="H16" i="27"/>
  <c r="H15" i="27"/>
  <c r="H14" i="27"/>
  <c r="H13" i="27"/>
  <c r="H12" i="27"/>
  <c r="H11" i="27"/>
  <c r="H10" i="27"/>
  <c r="G10" i="27" l="1"/>
  <c r="J10" i="27" s="1"/>
  <c r="G11" i="27"/>
  <c r="J11" i="27" s="1"/>
  <c r="G14" i="27"/>
  <c r="J14" i="27" s="1"/>
  <c r="G13" i="27"/>
  <c r="J13" i="27" s="1"/>
  <c r="G12" i="27"/>
  <c r="J12" i="27" s="1"/>
  <c r="G20" i="27"/>
  <c r="J20" i="27" s="1"/>
  <c r="G19" i="27"/>
  <c r="J19" i="27" s="1"/>
  <c r="G18" i="27"/>
  <c r="J18" i="27" s="1"/>
  <c r="G26" i="27"/>
  <c r="J26" i="27" s="1"/>
  <c r="G27" i="27"/>
  <c r="J27" i="27" s="1"/>
  <c r="G29" i="27"/>
  <c r="G23" i="27"/>
  <c r="F24" i="27" s="1"/>
  <c r="G24" i="27" s="1"/>
  <c r="J24" i="27" s="1"/>
  <c r="G17" i="27"/>
  <c r="J17" i="27" s="1"/>
  <c r="G22" i="27"/>
  <c r="J22" i="27" s="1"/>
  <c r="G16" i="27"/>
  <c r="J16" i="27" s="1"/>
  <c r="G21" i="27"/>
  <c r="J21" i="27" s="1"/>
  <c r="J23" i="27" l="1"/>
  <c r="F30" i="27"/>
  <c r="J29" i="27"/>
  <c r="C16" i="14"/>
  <c r="E21" i="11"/>
  <c r="J28" i="27" l="1"/>
  <c r="G30" i="27"/>
  <c r="J30" i="27" s="1"/>
  <c r="B7" i="13"/>
  <c r="B8" i="13"/>
  <c r="B9" i="13"/>
  <c r="AS20" i="19" l="1"/>
  <c r="AR20" i="19"/>
  <c r="AR19" i="19"/>
  <c r="AR18" i="19"/>
  <c r="AR17" i="19"/>
  <c r="AR16" i="19"/>
  <c r="AR15" i="19"/>
  <c r="AR14" i="19"/>
  <c r="AR12" i="19"/>
  <c r="AR9" i="19"/>
  <c r="AR8" i="19"/>
  <c r="AR7" i="19"/>
  <c r="AR6" i="19"/>
  <c r="C42" i="25"/>
  <c r="C43" i="25"/>
  <c r="C41" i="25"/>
  <c r="B2" i="25" l="1"/>
  <c r="AP24" i="19"/>
  <c r="AP23" i="19"/>
  <c r="AP22" i="19"/>
  <c r="AP21" i="19"/>
  <c r="AP20" i="19"/>
  <c r="AP19" i="19"/>
  <c r="AP18" i="19"/>
  <c r="AP17" i="19"/>
  <c r="AP16" i="19"/>
  <c r="C54" i="25"/>
  <c r="C55" i="25"/>
  <c r="C56" i="25"/>
  <c r="C57" i="25"/>
  <c r="C58" i="25"/>
  <c r="C59" i="25"/>
  <c r="C60" i="25"/>
  <c r="C61" i="25"/>
  <c r="C62" i="25"/>
  <c r="C63" i="25"/>
  <c r="C64" i="25"/>
  <c r="C65" i="25"/>
  <c r="C66" i="25"/>
  <c r="C67" i="25"/>
  <c r="C68" i="25"/>
  <c r="C69" i="25"/>
  <c r="C70" i="25"/>
  <c r="F53" i="25"/>
  <c r="F54" i="25"/>
  <c r="F55" i="25"/>
  <c r="F56" i="25"/>
  <c r="F57" i="25"/>
  <c r="F58" i="25"/>
  <c r="F59" i="25"/>
  <c r="F60" i="25"/>
  <c r="F61" i="25"/>
  <c r="F62" i="25"/>
  <c r="F63" i="25"/>
  <c r="F64" i="25"/>
  <c r="F65" i="25"/>
  <c r="F66" i="25"/>
  <c r="F67" i="25"/>
  <c r="F68" i="25"/>
  <c r="F69" i="25"/>
  <c r="F70" i="25"/>
  <c r="I53" i="25"/>
  <c r="I54" i="25"/>
  <c r="I55" i="25"/>
  <c r="I56" i="25"/>
  <c r="I57" i="25"/>
  <c r="I58" i="25"/>
  <c r="I59" i="25"/>
  <c r="I60" i="25"/>
  <c r="C53" i="25"/>
  <c r="H60" i="25"/>
  <c r="H57" i="25"/>
  <c r="H58" i="25"/>
  <c r="H59" i="25"/>
  <c r="H54" i="25"/>
  <c r="H55" i="25"/>
  <c r="H56" i="25"/>
  <c r="E69" i="25"/>
  <c r="E70" i="25"/>
  <c r="H53" i="25"/>
  <c r="E67" i="25"/>
  <c r="E68" i="25"/>
  <c r="E65" i="25"/>
  <c r="E66" i="25"/>
  <c r="E61" i="25"/>
  <c r="E62" i="25"/>
  <c r="E63" i="25"/>
  <c r="E64" i="25"/>
  <c r="AE6" i="19"/>
  <c r="AF6" i="19"/>
  <c r="AG6" i="19"/>
  <c r="AI6" i="19"/>
  <c r="AJ6" i="19"/>
  <c r="AK6" i="19"/>
  <c r="AL6" i="19"/>
  <c r="AE7" i="19"/>
  <c r="AF7" i="19"/>
  <c r="AG7" i="19"/>
  <c r="AI7" i="19"/>
  <c r="AJ7" i="19"/>
  <c r="AQ51" i="19" s="1"/>
  <c r="AK7" i="19"/>
  <c r="AL7" i="19"/>
  <c r="AE8" i="19"/>
  <c r="AF8" i="19"/>
  <c r="AG8" i="19"/>
  <c r="AI8" i="19"/>
  <c r="AJ8" i="19"/>
  <c r="AK8" i="19"/>
  <c r="AL8" i="19"/>
  <c r="AE9" i="19"/>
  <c r="AF9" i="19"/>
  <c r="AG9" i="19"/>
  <c r="AI9" i="19"/>
  <c r="AJ9" i="19"/>
  <c r="AK9" i="19"/>
  <c r="AL9" i="19"/>
  <c r="AE10" i="19"/>
  <c r="AF10" i="19"/>
  <c r="AG10" i="19"/>
  <c r="AI10" i="19"/>
  <c r="AJ10" i="19"/>
  <c r="AK10" i="19"/>
  <c r="AL10" i="19"/>
  <c r="AE11" i="19"/>
  <c r="AF11" i="19"/>
  <c r="AG11" i="19"/>
  <c r="AI11" i="19"/>
  <c r="AJ11" i="19"/>
  <c r="AK11" i="19"/>
  <c r="AL11" i="19"/>
  <c r="AE12" i="19"/>
  <c r="AF12" i="19"/>
  <c r="AG12" i="19"/>
  <c r="AI12" i="19"/>
  <c r="AJ12" i="19"/>
  <c r="AK12" i="19"/>
  <c r="AL12" i="19"/>
  <c r="AE13" i="19"/>
  <c r="AF13" i="19"/>
  <c r="AG13" i="19"/>
  <c r="AI13" i="19"/>
  <c r="AJ13" i="19"/>
  <c r="AK13" i="19"/>
  <c r="AL13" i="19"/>
  <c r="AE14" i="19"/>
  <c r="AF14" i="19"/>
  <c r="AG14" i="19"/>
  <c r="AI14" i="19"/>
  <c r="AJ14" i="19"/>
  <c r="AK14" i="19"/>
  <c r="AL14" i="19"/>
  <c r="AE15" i="19"/>
  <c r="AF15" i="19"/>
  <c r="AG15" i="19"/>
  <c r="AI15" i="19"/>
  <c r="AJ15" i="19"/>
  <c r="AK15" i="19"/>
  <c r="AL15" i="19"/>
  <c r="AE16" i="19"/>
  <c r="AF16" i="19"/>
  <c r="AG16" i="19"/>
  <c r="AI16" i="19"/>
  <c r="AJ16" i="19"/>
  <c r="AK16" i="19"/>
  <c r="AL16" i="19"/>
  <c r="AM16" i="19"/>
  <c r="AN16" i="19"/>
  <c r="AO16" i="19"/>
  <c r="AE17" i="19"/>
  <c r="AF17" i="19"/>
  <c r="AG17" i="19"/>
  <c r="AI17" i="19"/>
  <c r="AJ17" i="19"/>
  <c r="AK17" i="19"/>
  <c r="AL17" i="19"/>
  <c r="AM17" i="19"/>
  <c r="AN17" i="19"/>
  <c r="AO17" i="19"/>
  <c r="AE18" i="19"/>
  <c r="AF18" i="19"/>
  <c r="AG18" i="19"/>
  <c r="AI18" i="19"/>
  <c r="AJ18" i="19"/>
  <c r="AK18" i="19"/>
  <c r="AL18" i="19"/>
  <c r="AM18" i="19"/>
  <c r="AN18" i="19"/>
  <c r="AO18" i="19"/>
  <c r="AE19" i="19"/>
  <c r="AF19" i="19"/>
  <c r="AG19" i="19"/>
  <c r="AI19" i="19"/>
  <c r="AJ19" i="19"/>
  <c r="AK19" i="19"/>
  <c r="AL19" i="19"/>
  <c r="AM19" i="19"/>
  <c r="AN19" i="19"/>
  <c r="AO19" i="19"/>
  <c r="AE20" i="19"/>
  <c r="AF20" i="19"/>
  <c r="AG20" i="19"/>
  <c r="AI20" i="19"/>
  <c r="AJ20" i="19"/>
  <c r="AK20" i="19"/>
  <c r="AL20" i="19"/>
  <c r="AM20" i="19"/>
  <c r="AN20" i="19"/>
  <c r="AO20" i="19"/>
  <c r="AC21" i="19"/>
  <c r="AD21" i="19"/>
  <c r="AF21" i="19"/>
  <c r="AG21" i="19"/>
  <c r="AH21" i="19"/>
  <c r="AI21" i="19"/>
  <c r="AJ21" i="19"/>
  <c r="AK21" i="19"/>
  <c r="AL21" i="19"/>
  <c r="AM21" i="19"/>
  <c r="AN21" i="19"/>
  <c r="AO21" i="19"/>
  <c r="AC22" i="19"/>
  <c r="AD22" i="19"/>
  <c r="AE22" i="19"/>
  <c r="AF22" i="19"/>
  <c r="AG22" i="19"/>
  <c r="AH22" i="19"/>
  <c r="AI22" i="19"/>
  <c r="AK22" i="19"/>
  <c r="AL22" i="19"/>
  <c r="AM22" i="19"/>
  <c r="AN22" i="19"/>
  <c r="AO22" i="19"/>
  <c r="AC23" i="19"/>
  <c r="AD23" i="19"/>
  <c r="AE23" i="19"/>
  <c r="AF23" i="19"/>
  <c r="AG23" i="19"/>
  <c r="AH23" i="19"/>
  <c r="AI23" i="19"/>
  <c r="AJ23" i="19"/>
  <c r="AL23" i="19"/>
  <c r="AM23" i="19"/>
  <c r="AN23" i="19"/>
  <c r="AO23" i="19"/>
  <c r="AC24" i="19"/>
  <c r="AD24" i="19"/>
  <c r="AE24" i="19"/>
  <c r="AF24" i="19"/>
  <c r="AG24" i="19"/>
  <c r="AH24" i="19"/>
  <c r="AI24" i="19"/>
  <c r="AJ24" i="19"/>
  <c r="AK24" i="19"/>
  <c r="AM24" i="19"/>
  <c r="AN24" i="19"/>
  <c r="AO24" i="19"/>
  <c r="AB24" i="19"/>
  <c r="AB23" i="19"/>
  <c r="AB22" i="19"/>
  <c r="AB21" i="19"/>
  <c r="AA24" i="19"/>
  <c r="AA26" i="19"/>
  <c r="AI1" i="19"/>
  <c r="AR13" i="19" s="1"/>
  <c r="AG1" i="19"/>
  <c r="AR11" i="19" s="1"/>
  <c r="AF1" i="19"/>
  <c r="AR10" i="19" s="1"/>
  <c r="AA23" i="19"/>
  <c r="AA22" i="19"/>
  <c r="AA21" i="19"/>
  <c r="AA20" i="19"/>
  <c r="AA17" i="19"/>
  <c r="AA15" i="19"/>
  <c r="AA14" i="19"/>
  <c r="AA10" i="19"/>
  <c r="AA9" i="19"/>
  <c r="C3" i="25"/>
  <c r="C39" i="25"/>
  <c r="C46" i="25"/>
  <c r="C49" i="25"/>
  <c r="AF26" i="19" l="1"/>
  <c r="AS10" i="19" s="1"/>
  <c r="AI26" i="19"/>
  <c r="AS13" i="19" s="1"/>
  <c r="AG26" i="19"/>
  <c r="AS11" i="19" s="1"/>
  <c r="C48" i="25"/>
  <c r="C47" i="25"/>
  <c r="C45" i="25"/>
  <c r="C44" i="25"/>
  <c r="C40" i="25"/>
  <c r="C38" i="25"/>
  <c r="N3" i="20" l="1"/>
  <c r="J281" i="1" s="1"/>
  <c r="N4" i="20"/>
  <c r="J282" i="1" s="1"/>
  <c r="N5" i="20"/>
  <c r="J283" i="1" s="1"/>
  <c r="N6" i="20"/>
  <c r="J284" i="1" s="1"/>
  <c r="N7" i="20"/>
  <c r="J285" i="1" s="1"/>
  <c r="N8" i="20"/>
  <c r="J286" i="1" s="1"/>
  <c r="N9" i="20"/>
  <c r="J287" i="1" s="1"/>
  <c r="N10" i="20"/>
  <c r="J288" i="1" s="1"/>
  <c r="N11" i="20"/>
  <c r="J289" i="1" s="1"/>
  <c r="N12" i="20"/>
  <c r="J290" i="1" s="1"/>
  <c r="N13" i="20"/>
  <c r="J291" i="1" s="1"/>
  <c r="N14" i="20"/>
  <c r="J292" i="1" s="1"/>
  <c r="N15" i="20"/>
  <c r="J293" i="1" s="1"/>
  <c r="N16" i="20"/>
  <c r="J294" i="1" s="1"/>
  <c r="N17" i="20"/>
  <c r="J295" i="1" s="1"/>
  <c r="N18" i="20"/>
  <c r="J296" i="1" s="1"/>
  <c r="N19" i="20"/>
  <c r="J297" i="1" s="1"/>
  <c r="N20" i="20"/>
  <c r="J298" i="1" s="1"/>
  <c r="N21" i="20"/>
  <c r="J299" i="1" s="1"/>
  <c r="N22" i="20"/>
  <c r="J300" i="1" s="1"/>
  <c r="N23" i="20"/>
  <c r="J301" i="1" s="1"/>
  <c r="N24" i="20"/>
  <c r="J302" i="1" s="1"/>
  <c r="N25" i="20"/>
  <c r="J303" i="1" s="1"/>
  <c r="N26" i="20"/>
  <c r="J304" i="1" s="1"/>
  <c r="N27" i="20"/>
  <c r="J305" i="1" s="1"/>
  <c r="N28" i="20"/>
  <c r="J306" i="1" s="1"/>
  <c r="N29" i="20"/>
  <c r="J307" i="1" s="1"/>
  <c r="N30" i="20"/>
  <c r="J308" i="1" s="1"/>
  <c r="N31" i="20"/>
  <c r="J309" i="1" s="1"/>
  <c r="N32" i="20"/>
  <c r="J310" i="1" s="1"/>
  <c r="N33" i="20"/>
  <c r="J311" i="1" s="1"/>
  <c r="N34" i="20"/>
  <c r="J312" i="1" s="1"/>
  <c r="N35" i="20"/>
  <c r="J313" i="1" s="1"/>
  <c r="N36" i="20"/>
  <c r="J314" i="1" s="1"/>
  <c r="N37" i="20"/>
  <c r="J315" i="1" s="1"/>
  <c r="N38" i="20"/>
  <c r="J316" i="1" s="1"/>
  <c r="N39" i="20"/>
  <c r="J317" i="1" s="1"/>
  <c r="N40" i="20"/>
  <c r="J318" i="1" s="1"/>
  <c r="N41" i="20"/>
  <c r="J319" i="1" s="1"/>
  <c r="N42" i="20"/>
  <c r="J320" i="1" s="1"/>
  <c r="N43" i="20"/>
  <c r="J321" i="1" s="1"/>
  <c r="N44" i="20"/>
  <c r="J322" i="1" s="1"/>
  <c r="N45" i="20"/>
  <c r="J323" i="1" s="1"/>
  <c r="N46" i="20"/>
  <c r="J324" i="1" s="1"/>
  <c r="N47" i="20"/>
  <c r="J325" i="1" s="1"/>
  <c r="N48" i="20"/>
  <c r="J326" i="1" s="1"/>
  <c r="N49" i="20"/>
  <c r="J327" i="1" s="1"/>
  <c r="N50" i="20"/>
  <c r="J328" i="1" s="1"/>
  <c r="N51" i="20"/>
  <c r="J329" i="1" s="1"/>
  <c r="N52" i="20"/>
  <c r="J330" i="1" s="1"/>
  <c r="N53" i="20"/>
  <c r="J331" i="1" s="1"/>
  <c r="N54" i="20"/>
  <c r="J332" i="1" s="1"/>
  <c r="N55" i="20"/>
  <c r="J333" i="1" s="1"/>
  <c r="N56" i="20"/>
  <c r="J334" i="1" s="1"/>
  <c r="N57" i="20"/>
  <c r="J335" i="1" s="1"/>
  <c r="N58" i="20"/>
  <c r="J336" i="1" s="1"/>
  <c r="N59" i="20"/>
  <c r="J337" i="1" s="1"/>
  <c r="N60" i="20"/>
  <c r="J338" i="1" s="1"/>
  <c r="N61" i="20"/>
  <c r="J339" i="1" s="1"/>
  <c r="N62" i="20"/>
  <c r="J340" i="1" s="1"/>
  <c r="N63" i="20"/>
  <c r="J341" i="1" s="1"/>
  <c r="N64" i="20"/>
  <c r="J342" i="1" s="1"/>
  <c r="N65" i="20"/>
  <c r="J343" i="1" s="1"/>
  <c r="N66" i="20"/>
  <c r="J344" i="1" s="1"/>
  <c r="N67" i="20"/>
  <c r="J345" i="1" s="1"/>
  <c r="N68" i="20"/>
  <c r="J346" i="1" s="1"/>
  <c r="N69" i="20"/>
  <c r="J347" i="1" s="1"/>
  <c r="N70" i="20"/>
  <c r="J348" i="1" s="1"/>
  <c r="N71" i="20"/>
  <c r="J349" i="1" s="1"/>
  <c r="N72" i="20"/>
  <c r="J350" i="1" s="1"/>
  <c r="N73" i="20"/>
  <c r="J351" i="1" s="1"/>
  <c r="N74" i="20"/>
  <c r="J352" i="1" s="1"/>
  <c r="N75" i="20"/>
  <c r="J353" i="1" s="1"/>
  <c r="N76" i="20"/>
  <c r="J354" i="1" s="1"/>
  <c r="N77" i="20"/>
  <c r="J355" i="1" s="1"/>
  <c r="N78" i="20"/>
  <c r="J356" i="1" s="1"/>
  <c r="N79" i="20"/>
  <c r="J357" i="1" s="1"/>
  <c r="N80" i="20"/>
  <c r="J358" i="1" s="1"/>
  <c r="N81" i="20"/>
  <c r="J359" i="1" s="1"/>
  <c r="N82" i="20"/>
  <c r="J360" i="1" s="1"/>
  <c r="N83" i="20"/>
  <c r="J361" i="1" s="1"/>
  <c r="N84" i="20"/>
  <c r="J362" i="1" s="1"/>
  <c r="N85" i="20"/>
  <c r="J363" i="1" s="1"/>
  <c r="N86" i="20"/>
  <c r="J364" i="1" s="1"/>
  <c r="N87" i="20"/>
  <c r="J365" i="1" s="1"/>
  <c r="N88" i="20"/>
  <c r="J366" i="1" s="1"/>
  <c r="N89" i="20"/>
  <c r="J367" i="1" s="1"/>
  <c r="N90" i="20"/>
  <c r="J368" i="1" s="1"/>
  <c r="N91" i="20"/>
  <c r="J369" i="1" s="1"/>
  <c r="N92" i="20"/>
  <c r="J370" i="1" s="1"/>
  <c r="N93" i="20"/>
  <c r="J371" i="1" s="1"/>
  <c r="N94" i="20"/>
  <c r="J372" i="1" s="1"/>
  <c r="N95" i="20"/>
  <c r="J373" i="1" s="1"/>
  <c r="N96" i="20"/>
  <c r="J374" i="1" s="1"/>
  <c r="N97" i="20"/>
  <c r="J375" i="1" s="1"/>
  <c r="N98" i="20"/>
  <c r="J376" i="1" s="1"/>
  <c r="N99" i="20"/>
  <c r="J377" i="1" s="1"/>
  <c r="N100" i="20"/>
  <c r="J378" i="1" s="1"/>
  <c r="N101" i="20"/>
  <c r="J379" i="1" s="1"/>
  <c r="N102" i="20"/>
  <c r="J380" i="1" s="1"/>
  <c r="N103" i="20"/>
  <c r="J381" i="1" s="1"/>
  <c r="N104" i="20"/>
  <c r="J382" i="1" s="1"/>
  <c r="N105" i="20"/>
  <c r="J383" i="1" s="1"/>
  <c r="N106" i="20"/>
  <c r="J384" i="1" s="1"/>
  <c r="N107" i="20"/>
  <c r="J385" i="1" s="1"/>
  <c r="N108" i="20"/>
  <c r="J386" i="1" s="1"/>
  <c r="N109" i="20"/>
  <c r="J387" i="1" s="1"/>
  <c r="N110" i="20"/>
  <c r="J388" i="1" s="1"/>
  <c r="N111" i="20"/>
  <c r="J389" i="1" s="1"/>
  <c r="N112" i="20"/>
  <c r="J390" i="1" s="1"/>
  <c r="N113" i="20"/>
  <c r="J391" i="1" s="1"/>
  <c r="N114" i="20"/>
  <c r="J392" i="1" s="1"/>
  <c r="N115" i="20"/>
  <c r="J393" i="1" s="1"/>
  <c r="N116" i="20"/>
  <c r="J394" i="1" s="1"/>
  <c r="N117" i="20"/>
  <c r="J395" i="1" s="1"/>
  <c r="N118" i="20"/>
  <c r="J396" i="1" s="1"/>
  <c r="N119" i="20"/>
  <c r="J397" i="1" s="1"/>
  <c r="N120" i="20"/>
  <c r="J398" i="1" s="1"/>
  <c r="N121" i="20"/>
  <c r="J399" i="1" s="1"/>
  <c r="N122" i="20"/>
  <c r="J400" i="1" s="1"/>
  <c r="N123" i="20"/>
  <c r="J401" i="1" s="1"/>
  <c r="N124" i="20"/>
  <c r="J402" i="1" s="1"/>
  <c r="N125" i="20"/>
  <c r="J403" i="1" s="1"/>
  <c r="N126" i="20"/>
  <c r="J404" i="1" s="1"/>
  <c r="N127" i="20"/>
  <c r="J405" i="1" s="1"/>
  <c r="N128" i="20"/>
  <c r="J406" i="1" s="1"/>
  <c r="N129" i="20"/>
  <c r="J407" i="1" s="1"/>
  <c r="N130" i="20"/>
  <c r="J408" i="1" s="1"/>
  <c r="N131" i="20"/>
  <c r="J409" i="1" s="1"/>
  <c r="N132" i="20"/>
  <c r="J410" i="1" s="1"/>
  <c r="N133" i="20"/>
  <c r="J411" i="1" s="1"/>
  <c r="N134" i="20"/>
  <c r="J412" i="1" s="1"/>
  <c r="N135" i="20"/>
  <c r="J413" i="1" s="1"/>
  <c r="N136" i="20"/>
  <c r="J414" i="1" s="1"/>
  <c r="N137" i="20"/>
  <c r="J415" i="1" s="1"/>
  <c r="N138" i="20"/>
  <c r="J416" i="1" s="1"/>
  <c r="N139" i="20"/>
  <c r="J417" i="1" s="1"/>
  <c r="N140" i="20"/>
  <c r="J418" i="1" s="1"/>
  <c r="N141" i="20"/>
  <c r="J419" i="1" s="1"/>
  <c r="N142" i="20"/>
  <c r="J420" i="1" s="1"/>
  <c r="N143" i="20"/>
  <c r="J421" i="1" s="1"/>
  <c r="N144" i="20"/>
  <c r="J422" i="1" s="1"/>
  <c r="N145" i="20"/>
  <c r="J423" i="1" s="1"/>
  <c r="N146" i="20"/>
  <c r="J424" i="1" s="1"/>
  <c r="N147" i="20"/>
  <c r="J425" i="1" s="1"/>
  <c r="N148" i="20"/>
  <c r="J426" i="1" s="1"/>
  <c r="N149" i="20"/>
  <c r="J427" i="1" s="1"/>
  <c r="N150" i="20"/>
  <c r="J428" i="1" s="1"/>
  <c r="N151" i="20"/>
  <c r="J429" i="1" s="1"/>
  <c r="L3" i="20"/>
  <c r="H281" i="1" s="1"/>
  <c r="L4" i="20"/>
  <c r="H282" i="1" s="1"/>
  <c r="L5" i="20"/>
  <c r="H283" i="1" s="1"/>
  <c r="L6" i="20"/>
  <c r="H284" i="1" s="1"/>
  <c r="L7" i="20"/>
  <c r="H285" i="1" s="1"/>
  <c r="L8" i="20"/>
  <c r="H286" i="1" s="1"/>
  <c r="L9" i="20"/>
  <c r="H287" i="1" s="1"/>
  <c r="L10" i="20"/>
  <c r="H288" i="1" s="1"/>
  <c r="L11" i="20"/>
  <c r="H289" i="1" s="1"/>
  <c r="L12" i="20"/>
  <c r="H290" i="1" s="1"/>
  <c r="L13" i="20"/>
  <c r="H291" i="1" s="1"/>
  <c r="L14" i="20"/>
  <c r="H292" i="1" s="1"/>
  <c r="L15" i="20"/>
  <c r="H293" i="1" s="1"/>
  <c r="L16" i="20"/>
  <c r="H294" i="1" s="1"/>
  <c r="L17" i="20"/>
  <c r="H295" i="1" s="1"/>
  <c r="L18" i="20"/>
  <c r="H296" i="1" s="1"/>
  <c r="L19" i="20"/>
  <c r="H297" i="1" s="1"/>
  <c r="L20" i="20"/>
  <c r="H298" i="1" s="1"/>
  <c r="L21" i="20"/>
  <c r="H299" i="1" s="1"/>
  <c r="L22" i="20"/>
  <c r="H300" i="1" s="1"/>
  <c r="L23" i="20"/>
  <c r="H301" i="1" s="1"/>
  <c r="L24" i="20"/>
  <c r="H302" i="1" s="1"/>
  <c r="L25" i="20"/>
  <c r="H303" i="1" s="1"/>
  <c r="L26" i="20"/>
  <c r="H304" i="1" s="1"/>
  <c r="L27" i="20"/>
  <c r="H305" i="1" s="1"/>
  <c r="L28" i="20"/>
  <c r="H306" i="1" s="1"/>
  <c r="L29" i="20"/>
  <c r="H307" i="1" s="1"/>
  <c r="L30" i="20"/>
  <c r="H308" i="1" s="1"/>
  <c r="L31" i="20"/>
  <c r="H309" i="1" s="1"/>
  <c r="L32" i="20"/>
  <c r="H310" i="1" s="1"/>
  <c r="L33" i="20"/>
  <c r="H311" i="1" s="1"/>
  <c r="L34" i="20"/>
  <c r="H312" i="1" s="1"/>
  <c r="L35" i="20"/>
  <c r="H313" i="1" s="1"/>
  <c r="L36" i="20"/>
  <c r="H314" i="1" s="1"/>
  <c r="L37" i="20"/>
  <c r="H315" i="1" s="1"/>
  <c r="L38" i="20"/>
  <c r="H316" i="1" s="1"/>
  <c r="L39" i="20"/>
  <c r="H317" i="1" s="1"/>
  <c r="L40" i="20"/>
  <c r="H318" i="1" s="1"/>
  <c r="L41" i="20"/>
  <c r="H319" i="1" s="1"/>
  <c r="L42" i="20"/>
  <c r="H320" i="1" s="1"/>
  <c r="L43" i="20"/>
  <c r="H321" i="1" s="1"/>
  <c r="L44" i="20"/>
  <c r="H322" i="1" s="1"/>
  <c r="L45" i="20"/>
  <c r="H323" i="1" s="1"/>
  <c r="L46" i="20"/>
  <c r="H324" i="1" s="1"/>
  <c r="L47" i="20"/>
  <c r="H325" i="1" s="1"/>
  <c r="L48" i="20"/>
  <c r="H326" i="1" s="1"/>
  <c r="L49" i="20"/>
  <c r="H327" i="1" s="1"/>
  <c r="L50" i="20"/>
  <c r="H328" i="1" s="1"/>
  <c r="L51" i="20"/>
  <c r="H329" i="1" s="1"/>
  <c r="L52" i="20"/>
  <c r="H330" i="1" s="1"/>
  <c r="L53" i="20"/>
  <c r="H331" i="1" s="1"/>
  <c r="L54" i="20"/>
  <c r="H332" i="1" s="1"/>
  <c r="L55" i="20"/>
  <c r="H333" i="1" s="1"/>
  <c r="L56" i="20"/>
  <c r="H334" i="1" s="1"/>
  <c r="L57" i="20"/>
  <c r="H335" i="1" s="1"/>
  <c r="L58" i="20"/>
  <c r="H336" i="1" s="1"/>
  <c r="L59" i="20"/>
  <c r="H337" i="1" s="1"/>
  <c r="L60" i="20"/>
  <c r="H338" i="1" s="1"/>
  <c r="L61" i="20"/>
  <c r="H339" i="1" s="1"/>
  <c r="L62" i="20"/>
  <c r="H340" i="1" s="1"/>
  <c r="L63" i="20"/>
  <c r="H341" i="1" s="1"/>
  <c r="L64" i="20"/>
  <c r="H342" i="1" s="1"/>
  <c r="L65" i="20"/>
  <c r="H343" i="1" s="1"/>
  <c r="L66" i="20"/>
  <c r="H344" i="1" s="1"/>
  <c r="L67" i="20"/>
  <c r="H345" i="1" s="1"/>
  <c r="L68" i="20"/>
  <c r="H346" i="1" s="1"/>
  <c r="L69" i="20"/>
  <c r="H347" i="1" s="1"/>
  <c r="L70" i="20"/>
  <c r="H348" i="1" s="1"/>
  <c r="L71" i="20"/>
  <c r="H349" i="1" s="1"/>
  <c r="L72" i="20"/>
  <c r="H350" i="1" s="1"/>
  <c r="L73" i="20"/>
  <c r="H351" i="1" s="1"/>
  <c r="L74" i="20"/>
  <c r="H352" i="1" s="1"/>
  <c r="L75" i="20"/>
  <c r="H353" i="1" s="1"/>
  <c r="L76" i="20"/>
  <c r="H354" i="1" s="1"/>
  <c r="L77" i="20"/>
  <c r="H355" i="1" s="1"/>
  <c r="L78" i="20"/>
  <c r="H356" i="1" s="1"/>
  <c r="L79" i="20"/>
  <c r="H357" i="1" s="1"/>
  <c r="L80" i="20"/>
  <c r="H358" i="1" s="1"/>
  <c r="L81" i="20"/>
  <c r="H359" i="1" s="1"/>
  <c r="L82" i="20"/>
  <c r="H360" i="1" s="1"/>
  <c r="L83" i="20"/>
  <c r="H361" i="1" s="1"/>
  <c r="L84" i="20"/>
  <c r="H362" i="1" s="1"/>
  <c r="L85" i="20"/>
  <c r="H363" i="1" s="1"/>
  <c r="L86" i="20"/>
  <c r="H364" i="1" s="1"/>
  <c r="L87" i="20"/>
  <c r="H365" i="1" s="1"/>
  <c r="L88" i="20"/>
  <c r="H366" i="1" s="1"/>
  <c r="L89" i="20"/>
  <c r="H367" i="1" s="1"/>
  <c r="L90" i="20"/>
  <c r="H368" i="1" s="1"/>
  <c r="L91" i="20"/>
  <c r="H369" i="1" s="1"/>
  <c r="L92" i="20"/>
  <c r="H370" i="1" s="1"/>
  <c r="L93" i="20"/>
  <c r="H371" i="1" s="1"/>
  <c r="L94" i="20"/>
  <c r="H372" i="1" s="1"/>
  <c r="L95" i="20"/>
  <c r="H373" i="1" s="1"/>
  <c r="L96" i="20"/>
  <c r="H374" i="1" s="1"/>
  <c r="L97" i="20"/>
  <c r="H375" i="1" s="1"/>
  <c r="L98" i="20"/>
  <c r="H376" i="1" s="1"/>
  <c r="L99" i="20"/>
  <c r="H377" i="1" s="1"/>
  <c r="L100" i="20"/>
  <c r="H378" i="1" s="1"/>
  <c r="L101" i="20"/>
  <c r="H379" i="1" s="1"/>
  <c r="L102" i="20"/>
  <c r="H380" i="1" s="1"/>
  <c r="L103" i="20"/>
  <c r="H381" i="1" s="1"/>
  <c r="L104" i="20"/>
  <c r="H382" i="1" s="1"/>
  <c r="L105" i="20"/>
  <c r="H383" i="1" s="1"/>
  <c r="L106" i="20"/>
  <c r="H384" i="1" s="1"/>
  <c r="L107" i="20"/>
  <c r="H385" i="1" s="1"/>
  <c r="L108" i="20"/>
  <c r="H386" i="1" s="1"/>
  <c r="L109" i="20"/>
  <c r="H387" i="1" s="1"/>
  <c r="L110" i="20"/>
  <c r="H388" i="1" s="1"/>
  <c r="L111" i="20"/>
  <c r="H389" i="1" s="1"/>
  <c r="L112" i="20"/>
  <c r="H390" i="1" s="1"/>
  <c r="L113" i="20"/>
  <c r="H391" i="1" s="1"/>
  <c r="L114" i="20"/>
  <c r="H392" i="1" s="1"/>
  <c r="L115" i="20"/>
  <c r="H393" i="1" s="1"/>
  <c r="L116" i="20"/>
  <c r="H394" i="1" s="1"/>
  <c r="L117" i="20"/>
  <c r="H395" i="1" s="1"/>
  <c r="L118" i="20"/>
  <c r="H396" i="1" s="1"/>
  <c r="L119" i="20"/>
  <c r="H397" i="1" s="1"/>
  <c r="L120" i="20"/>
  <c r="H398" i="1" s="1"/>
  <c r="L121" i="20"/>
  <c r="H399" i="1" s="1"/>
  <c r="L122" i="20"/>
  <c r="H400" i="1" s="1"/>
  <c r="L123" i="20"/>
  <c r="H401" i="1" s="1"/>
  <c r="L124" i="20"/>
  <c r="H402" i="1" s="1"/>
  <c r="L125" i="20"/>
  <c r="H403" i="1" s="1"/>
  <c r="L126" i="20"/>
  <c r="H404" i="1" s="1"/>
  <c r="L127" i="20"/>
  <c r="H405" i="1" s="1"/>
  <c r="L128" i="20"/>
  <c r="H406" i="1" s="1"/>
  <c r="L129" i="20"/>
  <c r="H407" i="1" s="1"/>
  <c r="L130" i="20"/>
  <c r="H408" i="1" s="1"/>
  <c r="L131" i="20"/>
  <c r="H409" i="1" s="1"/>
  <c r="L132" i="20"/>
  <c r="H410" i="1" s="1"/>
  <c r="L133" i="20"/>
  <c r="H411" i="1" s="1"/>
  <c r="L134" i="20"/>
  <c r="H412" i="1" s="1"/>
  <c r="L135" i="20"/>
  <c r="H413" i="1" s="1"/>
  <c r="L136" i="20"/>
  <c r="H414" i="1" s="1"/>
  <c r="L137" i="20"/>
  <c r="H415" i="1" s="1"/>
  <c r="L138" i="20"/>
  <c r="H416" i="1" s="1"/>
  <c r="L139" i="20"/>
  <c r="H417" i="1" s="1"/>
  <c r="L140" i="20"/>
  <c r="H418" i="1" s="1"/>
  <c r="L141" i="20"/>
  <c r="H419" i="1" s="1"/>
  <c r="L142" i="20"/>
  <c r="H420" i="1" s="1"/>
  <c r="L143" i="20"/>
  <c r="H421" i="1" s="1"/>
  <c r="L144" i="20"/>
  <c r="H422" i="1" s="1"/>
  <c r="L145" i="20"/>
  <c r="H423" i="1" s="1"/>
  <c r="L146" i="20"/>
  <c r="H424" i="1" s="1"/>
  <c r="L147" i="20"/>
  <c r="H425" i="1" s="1"/>
  <c r="L148" i="20"/>
  <c r="H426" i="1" s="1"/>
  <c r="L149" i="20"/>
  <c r="H427" i="1" s="1"/>
  <c r="L150" i="20"/>
  <c r="H428" i="1" s="1"/>
  <c r="L151" i="20"/>
  <c r="H429" i="1" s="1"/>
  <c r="J3" i="20"/>
  <c r="G281" i="1" s="1"/>
  <c r="J4" i="20"/>
  <c r="G282" i="1" s="1"/>
  <c r="J5" i="20"/>
  <c r="G283" i="1" s="1"/>
  <c r="J6" i="20"/>
  <c r="G284" i="1" s="1"/>
  <c r="J7" i="20"/>
  <c r="G285" i="1" s="1"/>
  <c r="J8" i="20"/>
  <c r="G286" i="1" s="1"/>
  <c r="J9" i="20"/>
  <c r="G287" i="1" s="1"/>
  <c r="J10" i="20"/>
  <c r="G288" i="1" s="1"/>
  <c r="J11" i="20"/>
  <c r="G289" i="1" s="1"/>
  <c r="J12" i="20"/>
  <c r="G290" i="1" s="1"/>
  <c r="J13" i="20"/>
  <c r="G291" i="1" s="1"/>
  <c r="J14" i="20"/>
  <c r="G292" i="1" s="1"/>
  <c r="J15" i="20"/>
  <c r="G293" i="1" s="1"/>
  <c r="J16" i="20"/>
  <c r="G294" i="1" s="1"/>
  <c r="J17" i="20"/>
  <c r="G295" i="1" s="1"/>
  <c r="J18" i="20"/>
  <c r="G296" i="1" s="1"/>
  <c r="J19" i="20"/>
  <c r="G297" i="1" s="1"/>
  <c r="J20" i="20"/>
  <c r="G298" i="1" s="1"/>
  <c r="J21" i="20"/>
  <c r="G299" i="1" s="1"/>
  <c r="J22" i="20"/>
  <c r="G300" i="1" s="1"/>
  <c r="J23" i="20"/>
  <c r="G301" i="1" s="1"/>
  <c r="J24" i="20"/>
  <c r="G302" i="1" s="1"/>
  <c r="J25" i="20"/>
  <c r="G303" i="1" s="1"/>
  <c r="J26" i="20"/>
  <c r="G304" i="1" s="1"/>
  <c r="J27" i="20"/>
  <c r="G305" i="1" s="1"/>
  <c r="J28" i="20"/>
  <c r="G306" i="1" s="1"/>
  <c r="J29" i="20"/>
  <c r="G307" i="1" s="1"/>
  <c r="J30" i="20"/>
  <c r="G308" i="1" s="1"/>
  <c r="J31" i="20"/>
  <c r="G309" i="1" s="1"/>
  <c r="J32" i="20"/>
  <c r="G310" i="1" s="1"/>
  <c r="J33" i="20"/>
  <c r="G311" i="1" s="1"/>
  <c r="J34" i="20"/>
  <c r="G312" i="1" s="1"/>
  <c r="J35" i="20"/>
  <c r="G313" i="1" s="1"/>
  <c r="J36" i="20"/>
  <c r="G314" i="1" s="1"/>
  <c r="J37" i="20"/>
  <c r="G315" i="1" s="1"/>
  <c r="J38" i="20"/>
  <c r="G316" i="1" s="1"/>
  <c r="J39" i="20"/>
  <c r="G317" i="1" s="1"/>
  <c r="J40" i="20"/>
  <c r="G318" i="1" s="1"/>
  <c r="J41" i="20"/>
  <c r="G319" i="1" s="1"/>
  <c r="J42" i="20"/>
  <c r="G320" i="1" s="1"/>
  <c r="J43" i="20"/>
  <c r="G321" i="1" s="1"/>
  <c r="J44" i="20"/>
  <c r="G322" i="1" s="1"/>
  <c r="J45" i="20"/>
  <c r="G323" i="1" s="1"/>
  <c r="J46" i="20"/>
  <c r="G324" i="1" s="1"/>
  <c r="J47" i="20"/>
  <c r="G325" i="1" s="1"/>
  <c r="J48" i="20"/>
  <c r="G326" i="1" s="1"/>
  <c r="J49" i="20"/>
  <c r="G327" i="1" s="1"/>
  <c r="J50" i="20"/>
  <c r="G328" i="1" s="1"/>
  <c r="J51" i="20"/>
  <c r="G329" i="1" s="1"/>
  <c r="J52" i="20"/>
  <c r="G330" i="1" s="1"/>
  <c r="J53" i="20"/>
  <c r="G331" i="1" s="1"/>
  <c r="J54" i="20"/>
  <c r="G332" i="1" s="1"/>
  <c r="J55" i="20"/>
  <c r="G333" i="1" s="1"/>
  <c r="J56" i="20"/>
  <c r="G334" i="1" s="1"/>
  <c r="J57" i="20"/>
  <c r="G335" i="1" s="1"/>
  <c r="J58" i="20"/>
  <c r="G336" i="1" s="1"/>
  <c r="J59" i="20"/>
  <c r="G337" i="1" s="1"/>
  <c r="J60" i="20"/>
  <c r="G338" i="1" s="1"/>
  <c r="J61" i="20"/>
  <c r="G339" i="1" s="1"/>
  <c r="J62" i="20"/>
  <c r="G340" i="1" s="1"/>
  <c r="J63" i="20"/>
  <c r="G341" i="1" s="1"/>
  <c r="J64" i="20"/>
  <c r="G342" i="1" s="1"/>
  <c r="J65" i="20"/>
  <c r="G343" i="1" s="1"/>
  <c r="J66" i="20"/>
  <c r="G344" i="1" s="1"/>
  <c r="J67" i="20"/>
  <c r="G345" i="1" s="1"/>
  <c r="J68" i="20"/>
  <c r="G346" i="1" s="1"/>
  <c r="J69" i="20"/>
  <c r="G347" i="1" s="1"/>
  <c r="J70" i="20"/>
  <c r="G348" i="1" s="1"/>
  <c r="J71" i="20"/>
  <c r="G349" i="1" s="1"/>
  <c r="J72" i="20"/>
  <c r="G350" i="1" s="1"/>
  <c r="J73" i="20"/>
  <c r="G351" i="1" s="1"/>
  <c r="J74" i="20"/>
  <c r="G352" i="1" s="1"/>
  <c r="J75" i="20"/>
  <c r="G353" i="1" s="1"/>
  <c r="J76" i="20"/>
  <c r="G354" i="1" s="1"/>
  <c r="J77" i="20"/>
  <c r="G355" i="1" s="1"/>
  <c r="J78" i="20"/>
  <c r="G356" i="1" s="1"/>
  <c r="J79" i="20"/>
  <c r="G357" i="1" s="1"/>
  <c r="J80" i="20"/>
  <c r="G358" i="1" s="1"/>
  <c r="J81" i="20"/>
  <c r="G359" i="1" s="1"/>
  <c r="J82" i="20"/>
  <c r="G360" i="1" s="1"/>
  <c r="J83" i="20"/>
  <c r="G361" i="1" s="1"/>
  <c r="J84" i="20"/>
  <c r="G362" i="1" s="1"/>
  <c r="J85" i="20"/>
  <c r="G363" i="1" s="1"/>
  <c r="J86" i="20"/>
  <c r="G364" i="1" s="1"/>
  <c r="J87" i="20"/>
  <c r="G365" i="1" s="1"/>
  <c r="J88" i="20"/>
  <c r="G366" i="1" s="1"/>
  <c r="J89" i="20"/>
  <c r="G367" i="1" s="1"/>
  <c r="J90" i="20"/>
  <c r="G368" i="1" s="1"/>
  <c r="J91" i="20"/>
  <c r="G369" i="1" s="1"/>
  <c r="J92" i="20"/>
  <c r="G370" i="1" s="1"/>
  <c r="J93" i="20"/>
  <c r="G371" i="1" s="1"/>
  <c r="J94" i="20"/>
  <c r="G372" i="1" s="1"/>
  <c r="J95" i="20"/>
  <c r="G373" i="1" s="1"/>
  <c r="J96" i="20"/>
  <c r="G374" i="1" s="1"/>
  <c r="J97" i="20"/>
  <c r="G375" i="1" s="1"/>
  <c r="J98" i="20"/>
  <c r="G376" i="1" s="1"/>
  <c r="J99" i="20"/>
  <c r="G377" i="1" s="1"/>
  <c r="J100" i="20"/>
  <c r="G378" i="1" s="1"/>
  <c r="J101" i="20"/>
  <c r="G379" i="1" s="1"/>
  <c r="J102" i="20"/>
  <c r="G380" i="1" s="1"/>
  <c r="J103" i="20"/>
  <c r="G381" i="1" s="1"/>
  <c r="J104" i="20"/>
  <c r="G382" i="1" s="1"/>
  <c r="J105" i="20"/>
  <c r="G383" i="1" s="1"/>
  <c r="J106" i="20"/>
  <c r="G384" i="1" s="1"/>
  <c r="J107" i="20"/>
  <c r="G385" i="1" s="1"/>
  <c r="J108" i="20"/>
  <c r="G386" i="1" s="1"/>
  <c r="J109" i="20"/>
  <c r="G387" i="1" s="1"/>
  <c r="J110" i="20"/>
  <c r="G388" i="1" s="1"/>
  <c r="J111" i="20"/>
  <c r="G389" i="1" s="1"/>
  <c r="J112" i="20"/>
  <c r="G390" i="1" s="1"/>
  <c r="J113" i="20"/>
  <c r="G391" i="1" s="1"/>
  <c r="J114" i="20"/>
  <c r="G392" i="1" s="1"/>
  <c r="J115" i="20"/>
  <c r="G393" i="1" s="1"/>
  <c r="J116" i="20"/>
  <c r="G394" i="1" s="1"/>
  <c r="J117" i="20"/>
  <c r="G395" i="1" s="1"/>
  <c r="J118" i="20"/>
  <c r="G396" i="1" s="1"/>
  <c r="J119" i="20"/>
  <c r="G397" i="1" s="1"/>
  <c r="J120" i="20"/>
  <c r="G398" i="1" s="1"/>
  <c r="J121" i="20"/>
  <c r="G399" i="1" s="1"/>
  <c r="J122" i="20"/>
  <c r="G400" i="1" s="1"/>
  <c r="J123" i="20"/>
  <c r="G401" i="1" s="1"/>
  <c r="J124" i="20"/>
  <c r="G402" i="1" s="1"/>
  <c r="J125" i="20"/>
  <c r="G403" i="1" s="1"/>
  <c r="J126" i="20"/>
  <c r="G404" i="1" s="1"/>
  <c r="J127" i="20"/>
  <c r="G405" i="1" s="1"/>
  <c r="J128" i="20"/>
  <c r="G406" i="1" s="1"/>
  <c r="J129" i="20"/>
  <c r="G407" i="1" s="1"/>
  <c r="J130" i="20"/>
  <c r="G408" i="1" s="1"/>
  <c r="J131" i="20"/>
  <c r="G409" i="1" s="1"/>
  <c r="J132" i="20"/>
  <c r="G410" i="1" s="1"/>
  <c r="J133" i="20"/>
  <c r="G411" i="1" s="1"/>
  <c r="J134" i="20"/>
  <c r="G412" i="1" s="1"/>
  <c r="J135" i="20"/>
  <c r="G413" i="1" s="1"/>
  <c r="J136" i="20"/>
  <c r="G414" i="1" s="1"/>
  <c r="J137" i="20"/>
  <c r="G415" i="1" s="1"/>
  <c r="J138" i="20"/>
  <c r="G416" i="1" s="1"/>
  <c r="J139" i="20"/>
  <c r="G417" i="1" s="1"/>
  <c r="J140" i="20"/>
  <c r="G418" i="1" s="1"/>
  <c r="J141" i="20"/>
  <c r="G419" i="1" s="1"/>
  <c r="J142" i="20"/>
  <c r="G420" i="1" s="1"/>
  <c r="J143" i="20"/>
  <c r="G421" i="1" s="1"/>
  <c r="J144" i="20"/>
  <c r="G422" i="1" s="1"/>
  <c r="J145" i="20"/>
  <c r="G423" i="1" s="1"/>
  <c r="J146" i="20"/>
  <c r="G424" i="1" s="1"/>
  <c r="J147" i="20"/>
  <c r="G425" i="1" s="1"/>
  <c r="J148" i="20"/>
  <c r="G426" i="1" s="1"/>
  <c r="J149" i="20"/>
  <c r="G427" i="1" s="1"/>
  <c r="J150" i="20"/>
  <c r="G428" i="1" s="1"/>
  <c r="J151" i="20"/>
  <c r="G429" i="1" s="1"/>
  <c r="G51" i="7"/>
  <c r="G252" i="7"/>
  <c r="G255" i="7"/>
  <c r="G157" i="7"/>
  <c r="G52" i="7"/>
  <c r="G7" i="7"/>
  <c r="H296" i="7" l="1"/>
  <c r="H295" i="7"/>
  <c r="H292" i="7"/>
  <c r="H21" i="7"/>
  <c r="H93" i="7"/>
  <c r="H206" i="7"/>
  <c r="H250" i="7"/>
  <c r="H6" i="7"/>
  <c r="H84" i="7"/>
  <c r="H241" i="7"/>
  <c r="H121" i="7"/>
  <c r="H126" i="7"/>
  <c r="H175" i="7"/>
  <c r="H145" i="7"/>
  <c r="H220" i="7"/>
  <c r="H85" i="7"/>
  <c r="H237" i="7"/>
  <c r="H39" i="7"/>
  <c r="H45" i="7"/>
  <c r="H187" i="7"/>
  <c r="H27" i="7"/>
  <c r="H106" i="7"/>
  <c r="H117" i="7"/>
  <c r="H9" i="7"/>
  <c r="H240" i="7"/>
  <c r="H167" i="7"/>
  <c r="H198" i="7"/>
  <c r="H274" i="7"/>
  <c r="H281" i="7"/>
  <c r="H260" i="7"/>
  <c r="H55" i="7"/>
  <c r="H190" i="7"/>
  <c r="H120" i="7"/>
  <c r="H99" i="7"/>
  <c r="H214" i="7"/>
  <c r="H33" i="7"/>
  <c r="H287" i="7"/>
  <c r="H293" i="7"/>
  <c r="H104" i="7"/>
  <c r="H253" i="7"/>
  <c r="H147" i="7"/>
  <c r="H47" i="7"/>
  <c r="H124" i="7"/>
  <c r="H53" i="7"/>
  <c r="H169" i="7"/>
  <c r="H195" i="7"/>
  <c r="H131" i="7"/>
  <c r="H263" i="7"/>
  <c r="H288" i="7"/>
  <c r="H294" i="7"/>
  <c r="H137" i="7"/>
  <c r="H239" i="7"/>
  <c r="H29" i="7"/>
  <c r="H218" i="7"/>
  <c r="H182" i="7"/>
  <c r="H178" i="7"/>
  <c r="H36" i="7"/>
  <c r="H92" i="7"/>
  <c r="H25" i="7"/>
  <c r="H123" i="7"/>
  <c r="H168" i="7"/>
  <c r="H113" i="7"/>
  <c r="H235" i="7"/>
  <c r="H186" i="7"/>
  <c r="H38" i="7"/>
  <c r="H154" i="7"/>
  <c r="H170" i="7"/>
  <c r="H219" i="7"/>
  <c r="H41" i="7"/>
  <c r="H270" i="7"/>
  <c r="H289" i="7"/>
  <c r="H19" i="7"/>
  <c r="H48" i="7"/>
  <c r="H227" i="7"/>
  <c r="H54" i="7"/>
  <c r="H194" i="7"/>
  <c r="H271" i="7"/>
  <c r="H244" i="7"/>
  <c r="H49" i="7"/>
  <c r="H108" i="7"/>
  <c r="H37" i="7"/>
  <c r="H229" i="7"/>
  <c r="H90" i="7"/>
  <c r="H63" i="7"/>
  <c r="H156" i="7"/>
  <c r="H199" i="7"/>
  <c r="H225" i="7"/>
  <c r="H196" i="7"/>
  <c r="H116" i="7"/>
  <c r="H256" i="7"/>
  <c r="H140" i="7"/>
  <c r="H139" i="7"/>
  <c r="H89" i="7"/>
  <c r="H291" i="7"/>
  <c r="H189" i="7"/>
  <c r="H201" i="7"/>
  <c r="H12" i="7"/>
  <c r="H162" i="7"/>
  <c r="H248" i="7"/>
  <c r="H174" i="7"/>
  <c r="H213" i="7"/>
  <c r="H273" i="7"/>
  <c r="H150" i="7"/>
  <c r="H142" i="7"/>
  <c r="H233" i="7"/>
  <c r="H245" i="7"/>
  <c r="H148" i="7"/>
  <c r="H217" i="7"/>
  <c r="H134" i="7"/>
  <c r="H242" i="7"/>
  <c r="H65" i="7"/>
  <c r="H269" i="7"/>
  <c r="H35" i="7"/>
  <c r="H130" i="7"/>
  <c r="H249" i="7"/>
  <c r="H276" i="7"/>
  <c r="H30" i="7"/>
  <c r="H60" i="7"/>
  <c r="H8" i="7"/>
  <c r="H102" i="7"/>
  <c r="H177" i="7"/>
  <c r="H179" i="7"/>
  <c r="H144" i="7"/>
  <c r="H258" i="7"/>
  <c r="H44" i="7"/>
  <c r="H86" i="7"/>
  <c r="H119" i="7"/>
  <c r="H72" i="7"/>
  <c r="H166" i="7"/>
  <c r="H34" i="7"/>
  <c r="H143" i="7"/>
  <c r="H290" i="7"/>
  <c r="H246" i="7"/>
  <c r="H107" i="7"/>
  <c r="H266" i="7"/>
  <c r="H88" i="7"/>
  <c r="H133" i="7"/>
  <c r="H159" i="7"/>
  <c r="H16" i="7"/>
  <c r="H5" i="7"/>
  <c r="H81" i="7"/>
  <c r="H188" i="7"/>
  <c r="H95" i="7"/>
  <c r="H138" i="7"/>
  <c r="H165" i="7"/>
  <c r="H24" i="7"/>
  <c r="H3" i="7"/>
  <c r="H210" i="7"/>
  <c r="H129" i="7"/>
  <c r="H14" i="7"/>
  <c r="H262" i="7"/>
  <c r="H15" i="7"/>
  <c r="H204" i="7"/>
  <c r="H205" i="7"/>
  <c r="H13" i="7"/>
  <c r="H141" i="7"/>
  <c r="H64" i="7"/>
  <c r="H202" i="7"/>
  <c r="H208" i="7"/>
  <c r="H18" i="7"/>
  <c r="H10" i="7"/>
  <c r="H80" i="7"/>
  <c r="H211" i="7"/>
  <c r="H79" i="7"/>
  <c r="H100" i="7"/>
  <c r="H224" i="7"/>
  <c r="H285" i="7"/>
  <c r="H135" i="7"/>
  <c r="H105" i="7"/>
  <c r="H222" i="7"/>
  <c r="H234" i="7"/>
  <c r="H251" i="7"/>
  <c r="H183" i="7"/>
  <c r="H111" i="7"/>
  <c r="H236" i="7"/>
  <c r="H78" i="7"/>
  <c r="H136" i="7"/>
  <c r="H91" i="7"/>
  <c r="H96" i="7"/>
  <c r="H184" i="7"/>
  <c r="H192" i="7"/>
  <c r="H223" i="7"/>
  <c r="H228" i="7"/>
  <c r="H66" i="7"/>
  <c r="H149" i="7"/>
  <c r="H67" i="7"/>
  <c r="H109" i="7"/>
  <c r="H132" i="7"/>
  <c r="H94" i="7"/>
  <c r="H203" i="7"/>
  <c r="H161" i="7"/>
  <c r="H181" i="7"/>
  <c r="H160" i="7"/>
  <c r="H173" i="7"/>
  <c r="H127" i="7"/>
  <c r="H231" i="7"/>
  <c r="H103" i="7"/>
  <c r="H23" i="7"/>
  <c r="H215" i="7"/>
  <c r="H152" i="7"/>
  <c r="H172" i="7"/>
  <c r="H74" i="7"/>
  <c r="H267" i="7"/>
  <c r="H283" i="7"/>
  <c r="H284" i="7"/>
  <c r="H125" i="7"/>
  <c r="H254" i="7"/>
  <c r="H247" i="7"/>
  <c r="H71" i="7"/>
  <c r="H278" i="7"/>
  <c r="H97" i="7"/>
  <c r="H216" i="7"/>
  <c r="H282" i="7"/>
  <c r="H83" i="7"/>
  <c r="H261" i="7"/>
  <c r="H101" i="7"/>
  <c r="H185" i="7"/>
  <c r="H272" i="7"/>
  <c r="H280" i="7"/>
  <c r="H212" i="7"/>
  <c r="H163" i="7"/>
  <c r="H153" i="7"/>
  <c r="H69" i="7"/>
  <c r="H31" i="7"/>
  <c r="H50" i="7"/>
  <c r="H243" i="7"/>
  <c r="H42" i="7"/>
  <c r="H191" i="7"/>
  <c r="H70" i="7"/>
  <c r="H73" i="7"/>
  <c r="H61" i="7"/>
  <c r="H75" i="7"/>
  <c r="H259" i="7"/>
  <c r="H77" i="7"/>
  <c r="H275" i="7"/>
  <c r="H28" i="7"/>
  <c r="H87" i="7"/>
  <c r="H268" i="7"/>
  <c r="H279" i="7"/>
  <c r="H26" i="7"/>
  <c r="H98" i="7"/>
  <c r="H158" i="7"/>
  <c r="H58" i="7"/>
  <c r="H43" i="7"/>
  <c r="H114" i="7"/>
  <c r="H82" i="7"/>
  <c r="H151" i="7"/>
  <c r="H226" i="7"/>
  <c r="H230" i="7"/>
  <c r="H122" i="7"/>
  <c r="H17" i="7"/>
  <c r="H68" i="7"/>
  <c r="H62" i="7"/>
  <c r="H176" i="7"/>
  <c r="H155" i="7"/>
  <c r="H76" i="7"/>
  <c r="H110" i="7"/>
  <c r="H232" i="7"/>
  <c r="H22" i="7"/>
  <c r="H11" i="7"/>
  <c r="H4" i="7"/>
  <c r="H221" i="7"/>
  <c r="H56" i="7"/>
  <c r="H115" i="7"/>
  <c r="H207" i="7"/>
  <c r="H57" i="7"/>
  <c r="H40" i="7"/>
  <c r="H265" i="7"/>
  <c r="H59" i="7"/>
  <c r="H200" i="7"/>
  <c r="H197" i="7"/>
  <c r="H164" i="7"/>
  <c r="H264" i="7"/>
  <c r="H128" i="7"/>
  <c r="H20" i="7"/>
  <c r="H118" i="7"/>
  <c r="H238" i="7"/>
  <c r="H32" i="7"/>
  <c r="H180" i="7"/>
  <c r="H277" i="7"/>
  <c r="H146" i="7"/>
  <c r="H257" i="7"/>
  <c r="H193" i="7"/>
  <c r="H112" i="7"/>
  <c r="H46" i="7"/>
  <c r="H286" i="7"/>
  <c r="H209" i="7"/>
  <c r="H171" i="7"/>
  <c r="F3" i="8"/>
  <c r="F10" i="8"/>
  <c r="F12" i="8"/>
  <c r="F13" i="8"/>
  <c r="F11" i="8"/>
  <c r="F20" i="8"/>
  <c r="F9" i="8"/>
  <c r="F16" i="8"/>
  <c r="F18" i="8"/>
  <c r="F19" i="8"/>
  <c r="F23" i="8"/>
  <c r="F7" i="8"/>
  <c r="F15" i="8"/>
  <c r="F22" i="8"/>
  <c r="F24" i="8"/>
  <c r="F25" i="8"/>
  <c r="F21" i="8"/>
  <c r="F28" i="8"/>
  <c r="F26" i="8"/>
  <c r="F8" i="8"/>
  <c r="F6" i="8"/>
  <c r="F27" i="8"/>
  <c r="F5" i="8"/>
  <c r="F17" i="8"/>
  <c r="F14" i="8"/>
  <c r="F4" i="8"/>
  <c r="R62" i="19"/>
  <c r="A1498" i="24" l="1"/>
  <c r="A1497" i="24"/>
  <c r="A1496" i="24"/>
  <c r="A1495" i="24"/>
  <c r="A1494" i="24"/>
  <c r="A1493" i="24"/>
  <c r="A1492" i="24"/>
  <c r="A1491" i="24"/>
  <c r="A1490" i="24"/>
  <c r="A1489" i="24"/>
  <c r="A1488" i="24"/>
  <c r="A1487" i="24"/>
  <c r="A1486" i="24"/>
  <c r="A1485" i="24"/>
  <c r="A1484" i="24"/>
  <c r="A1483" i="24"/>
  <c r="A1482" i="24"/>
  <c r="A1481" i="24"/>
  <c r="A1480" i="24"/>
  <c r="A1479" i="24"/>
  <c r="A1478" i="24"/>
  <c r="A1477" i="24"/>
  <c r="A1476" i="24"/>
  <c r="A1475" i="24"/>
  <c r="A1474" i="24"/>
  <c r="A1473" i="24"/>
  <c r="A1472" i="24"/>
  <c r="A1471" i="24"/>
  <c r="A1470" i="24"/>
  <c r="A1469" i="24"/>
  <c r="A1468" i="24"/>
  <c r="A1467" i="24"/>
  <c r="A1466" i="24"/>
  <c r="A1465" i="24"/>
  <c r="A1464" i="24"/>
  <c r="A1463" i="24"/>
  <c r="A1462" i="24"/>
  <c r="A1461" i="24"/>
  <c r="A1460" i="24"/>
  <c r="A1459" i="24"/>
  <c r="A1458" i="24"/>
  <c r="A1457" i="24"/>
  <c r="A1456" i="24"/>
  <c r="A1455" i="24"/>
  <c r="A1454" i="24"/>
  <c r="A1453" i="24"/>
  <c r="A1452" i="24"/>
  <c r="A1451" i="24"/>
  <c r="A1450" i="24"/>
  <c r="A1449" i="24"/>
  <c r="A1448" i="24"/>
  <c r="A1447" i="24"/>
  <c r="A1446" i="24"/>
  <c r="A1445" i="24"/>
  <c r="A1444" i="24"/>
  <c r="A1443" i="24"/>
  <c r="A1442" i="24"/>
  <c r="A1441" i="24"/>
  <c r="A1440" i="24"/>
  <c r="A1439" i="24"/>
  <c r="A1438" i="24"/>
  <c r="A1437" i="24"/>
  <c r="A1436" i="24"/>
  <c r="A1435" i="24"/>
  <c r="A1434" i="24"/>
  <c r="A1433" i="24"/>
  <c r="A1432" i="24"/>
  <c r="A1431" i="24"/>
  <c r="A1430" i="24"/>
  <c r="A1429" i="24"/>
  <c r="A1428" i="24"/>
  <c r="A1427" i="24"/>
  <c r="A1426" i="24"/>
  <c r="A1425" i="24"/>
  <c r="A1424" i="24"/>
  <c r="A1423" i="24"/>
  <c r="A1422" i="24"/>
  <c r="A1421" i="24"/>
  <c r="A1420" i="24"/>
  <c r="A1419" i="24"/>
  <c r="A1418" i="24"/>
  <c r="A1417" i="24"/>
  <c r="A1416" i="24"/>
  <c r="A1415" i="24"/>
  <c r="A1414" i="24"/>
  <c r="A1413" i="24"/>
  <c r="A1412" i="24"/>
  <c r="A1411" i="24"/>
  <c r="A1410" i="24"/>
  <c r="A1409" i="24"/>
  <c r="A1408" i="24"/>
  <c r="A1407" i="24"/>
  <c r="A1406" i="24"/>
  <c r="A1405" i="24"/>
  <c r="A1404" i="24"/>
  <c r="A1403" i="24"/>
  <c r="A1402" i="24"/>
  <c r="A1401" i="24"/>
  <c r="A1400" i="24"/>
  <c r="A1399" i="24"/>
  <c r="A1398" i="24"/>
  <c r="A1397" i="24"/>
  <c r="A1396" i="24"/>
  <c r="A1395" i="24"/>
  <c r="A1394" i="24"/>
  <c r="A1393" i="24"/>
  <c r="A1392" i="24"/>
  <c r="A1391" i="24"/>
  <c r="A1390" i="24"/>
  <c r="A1389" i="24"/>
  <c r="A1388" i="24"/>
  <c r="A1387" i="24"/>
  <c r="A1386" i="24"/>
  <c r="A1385" i="24"/>
  <c r="A1384" i="24"/>
  <c r="A1383" i="24"/>
  <c r="A1382" i="24"/>
  <c r="A1381" i="24"/>
  <c r="A1380" i="24"/>
  <c r="A1379" i="24"/>
  <c r="A1378" i="24"/>
  <c r="A1377" i="24"/>
  <c r="A1376" i="24"/>
  <c r="A1375" i="24"/>
  <c r="A1374" i="24"/>
  <c r="A1373" i="24"/>
  <c r="A1372" i="24"/>
  <c r="A1371" i="24"/>
  <c r="A1370" i="24"/>
  <c r="A1369" i="24"/>
  <c r="A1368" i="24"/>
  <c r="A1367" i="24"/>
  <c r="A1366" i="24"/>
  <c r="A1365" i="24"/>
  <c r="A1364" i="24"/>
  <c r="A1363" i="24"/>
  <c r="A1362" i="24"/>
  <c r="A1361" i="24"/>
  <c r="A1360" i="24"/>
  <c r="A1359" i="24"/>
  <c r="A1358" i="24"/>
  <c r="A1357" i="24"/>
  <c r="A1356" i="24"/>
  <c r="A1355" i="24"/>
  <c r="A1354" i="24"/>
  <c r="A1353" i="24"/>
  <c r="A1352" i="24"/>
  <c r="A1351" i="24"/>
  <c r="A1350" i="24"/>
  <c r="A1349" i="24"/>
  <c r="A1348" i="24"/>
  <c r="A1347" i="24"/>
  <c r="A1346" i="24"/>
  <c r="A1345" i="24"/>
  <c r="A1344" i="24"/>
  <c r="A1343" i="24"/>
  <c r="A1342" i="24"/>
  <c r="A1341" i="24"/>
  <c r="A1340" i="24"/>
  <c r="A1339" i="24"/>
  <c r="A1338" i="24"/>
  <c r="A1337" i="24"/>
  <c r="A1336" i="24"/>
  <c r="A1335" i="24"/>
  <c r="A1334" i="24"/>
  <c r="A1333" i="24"/>
  <c r="A1332" i="24"/>
  <c r="A1331" i="24"/>
  <c r="A1330" i="24"/>
  <c r="A1329" i="24"/>
  <c r="A1328" i="24"/>
  <c r="A1327" i="24"/>
  <c r="A1326" i="24"/>
  <c r="A1325" i="24"/>
  <c r="A1324" i="24"/>
  <c r="A1323" i="24"/>
  <c r="A1322" i="24"/>
  <c r="A1321" i="24"/>
  <c r="A1320" i="24"/>
  <c r="A1319" i="24"/>
  <c r="A1318" i="24"/>
  <c r="A1317" i="24"/>
  <c r="A1316" i="24"/>
  <c r="A1315" i="24"/>
  <c r="A1314" i="24"/>
  <c r="A1313" i="24"/>
  <c r="A1312" i="24"/>
  <c r="A1311" i="24"/>
  <c r="A1310" i="24"/>
  <c r="A1309" i="24"/>
  <c r="A1308" i="24"/>
  <c r="A1307" i="24"/>
  <c r="A1306" i="24"/>
  <c r="A1305" i="24"/>
  <c r="A1304" i="24"/>
  <c r="A1303" i="24"/>
  <c r="A1302" i="24"/>
  <c r="A1301" i="24"/>
  <c r="A1300" i="24"/>
  <c r="A1299" i="24"/>
  <c r="A1298" i="24"/>
  <c r="A1297" i="24"/>
  <c r="A1296" i="24"/>
  <c r="A1295" i="24"/>
  <c r="A1294" i="24"/>
  <c r="A1293" i="24"/>
  <c r="A1292" i="24"/>
  <c r="A1291" i="24"/>
  <c r="A1290" i="24"/>
  <c r="A1289" i="24"/>
  <c r="A1288" i="24"/>
  <c r="A1287" i="24"/>
  <c r="A1286" i="24"/>
  <c r="A1285" i="24"/>
  <c r="A1284" i="24"/>
  <c r="A1283" i="24"/>
  <c r="A1282" i="24"/>
  <c r="A1281" i="24"/>
  <c r="A1280" i="24"/>
  <c r="A1279" i="24"/>
  <c r="A1278" i="24"/>
  <c r="A1277" i="24"/>
  <c r="A1276" i="24"/>
  <c r="A1275" i="24"/>
  <c r="A1274" i="24"/>
  <c r="A1273" i="24"/>
  <c r="A1272" i="24"/>
  <c r="A1271" i="24"/>
  <c r="A1270" i="24"/>
  <c r="A1269" i="24"/>
  <c r="A1268" i="24"/>
  <c r="A1267" i="24"/>
  <c r="A1266" i="24"/>
  <c r="A1265" i="24"/>
  <c r="A1264" i="24"/>
  <c r="A1263" i="24"/>
  <c r="A1262" i="24"/>
  <c r="A1261" i="24"/>
  <c r="A1260" i="24"/>
  <c r="A1259" i="24"/>
  <c r="A1258" i="24"/>
  <c r="A1257" i="24"/>
  <c r="A1256" i="24"/>
  <c r="A1255" i="24"/>
  <c r="A1254" i="24"/>
  <c r="A1253" i="24"/>
  <c r="A1252" i="24"/>
  <c r="A1251" i="24"/>
  <c r="A1250" i="24"/>
  <c r="A1249" i="24"/>
  <c r="A1248" i="24"/>
  <c r="A1247" i="24"/>
  <c r="A1246" i="24"/>
  <c r="A1245" i="24"/>
  <c r="A1244" i="24"/>
  <c r="A1243" i="24"/>
  <c r="A1242" i="24"/>
  <c r="A1241" i="24"/>
  <c r="A1240" i="24"/>
  <c r="A1239" i="24"/>
  <c r="A1238" i="24"/>
  <c r="A1237" i="24"/>
  <c r="A1236" i="24"/>
  <c r="A1235" i="24"/>
  <c r="A1234" i="24"/>
  <c r="A1233" i="24"/>
  <c r="A1232" i="24"/>
  <c r="A1231" i="24"/>
  <c r="A1230" i="24"/>
  <c r="A1229" i="24"/>
  <c r="A1228" i="24"/>
  <c r="A1227" i="24"/>
  <c r="A1226" i="24"/>
  <c r="A1225" i="24"/>
  <c r="A1224" i="24"/>
  <c r="A1223" i="24"/>
  <c r="A1222" i="24"/>
  <c r="A1221" i="24"/>
  <c r="A1220" i="24"/>
  <c r="A1219" i="24"/>
  <c r="A1218" i="24"/>
  <c r="A1217" i="24"/>
  <c r="A1216" i="24"/>
  <c r="A1215" i="24"/>
  <c r="A1214" i="24"/>
  <c r="A1213" i="24"/>
  <c r="A1212" i="24"/>
  <c r="A1211" i="24"/>
  <c r="A1210" i="24"/>
  <c r="A1209" i="24"/>
  <c r="A1208" i="24"/>
  <c r="A1207" i="24"/>
  <c r="A1206" i="24"/>
  <c r="A1205" i="24"/>
  <c r="A1204" i="24"/>
  <c r="A1203" i="24"/>
  <c r="A1202" i="24"/>
  <c r="A1201" i="24"/>
  <c r="A1200" i="24"/>
  <c r="A1199" i="24"/>
  <c r="A1198" i="24"/>
  <c r="A1197" i="24"/>
  <c r="A1196" i="24"/>
  <c r="A1195" i="24"/>
  <c r="A1194" i="24"/>
  <c r="A1193" i="24"/>
  <c r="A1192" i="24"/>
  <c r="A1191" i="24"/>
  <c r="A1190" i="24"/>
  <c r="A1189" i="24"/>
  <c r="A1188" i="24"/>
  <c r="A1187" i="24"/>
  <c r="A1186" i="24"/>
  <c r="A1185" i="24"/>
  <c r="A1184" i="24"/>
  <c r="A1183" i="24"/>
  <c r="A1182" i="24"/>
  <c r="A1181" i="24"/>
  <c r="A1180" i="24"/>
  <c r="A1179" i="24"/>
  <c r="A1178" i="24"/>
  <c r="A1177" i="24"/>
  <c r="A1176" i="24"/>
  <c r="A1175" i="24"/>
  <c r="A1174" i="24"/>
  <c r="A1173" i="24"/>
  <c r="A1172" i="24"/>
  <c r="A1171" i="24"/>
  <c r="A1170" i="24"/>
  <c r="A1169" i="24"/>
  <c r="A1168" i="24"/>
  <c r="A1167" i="24"/>
  <c r="A1166" i="24"/>
  <c r="A1165" i="24"/>
  <c r="A1164" i="24"/>
  <c r="A1163" i="24"/>
  <c r="A1162" i="24"/>
  <c r="A1161" i="24"/>
  <c r="A1160" i="24"/>
  <c r="A1159" i="24"/>
  <c r="A1158" i="24"/>
  <c r="A1157" i="24"/>
  <c r="A1156" i="24"/>
  <c r="A1155" i="24"/>
  <c r="A1154" i="24"/>
  <c r="A1153" i="24"/>
  <c r="A1152" i="24"/>
  <c r="A1151" i="24"/>
  <c r="A1150" i="24"/>
  <c r="A1149" i="24"/>
  <c r="A1148" i="24"/>
  <c r="A1147" i="24"/>
  <c r="A1146" i="24"/>
  <c r="A1145" i="24"/>
  <c r="A1144" i="24"/>
  <c r="A1143" i="24"/>
  <c r="A1142" i="24"/>
  <c r="A1141" i="24"/>
  <c r="A1140" i="24"/>
  <c r="A1139" i="24"/>
  <c r="A1138" i="24"/>
  <c r="A1137" i="24"/>
  <c r="A1136" i="24"/>
  <c r="A1135" i="24"/>
  <c r="A1134" i="24"/>
  <c r="A1133" i="24"/>
  <c r="A1132" i="24"/>
  <c r="A1131" i="24"/>
  <c r="A1130" i="24"/>
  <c r="A1129" i="24"/>
  <c r="A1128" i="24"/>
  <c r="A1127" i="24"/>
  <c r="A1126" i="24"/>
  <c r="A1125" i="24"/>
  <c r="A1124" i="24"/>
  <c r="A1123" i="24"/>
  <c r="A1122" i="24"/>
  <c r="A1121" i="24"/>
  <c r="A1120" i="24"/>
  <c r="A1119" i="24"/>
  <c r="A1118" i="24"/>
  <c r="A1117" i="24"/>
  <c r="A1116" i="24"/>
  <c r="A1115" i="24"/>
  <c r="A1114" i="24"/>
  <c r="A1113" i="24"/>
  <c r="A1112" i="24"/>
  <c r="A1111" i="24"/>
  <c r="A1110" i="24"/>
  <c r="A1109" i="24"/>
  <c r="A1108" i="24"/>
  <c r="A1107" i="24"/>
  <c r="A1106" i="24"/>
  <c r="A1105" i="24"/>
  <c r="A1104" i="24"/>
  <c r="A1103" i="24"/>
  <c r="A1102" i="24"/>
  <c r="A1101" i="24"/>
  <c r="A1100" i="24"/>
  <c r="A1099" i="24"/>
  <c r="A1098" i="24"/>
  <c r="A1097" i="24"/>
  <c r="A1096" i="24"/>
  <c r="A1095" i="24"/>
  <c r="A1094" i="24"/>
  <c r="A1093" i="24"/>
  <c r="A1092" i="24"/>
  <c r="A1091" i="24"/>
  <c r="A1090" i="24"/>
  <c r="A1089" i="24"/>
  <c r="A1088" i="24"/>
  <c r="A1087" i="24"/>
  <c r="A1086" i="24"/>
  <c r="A1085" i="24"/>
  <c r="A1084" i="24"/>
  <c r="A1083" i="24"/>
  <c r="A1082" i="24"/>
  <c r="A1081" i="24"/>
  <c r="A1080" i="24"/>
  <c r="A1079" i="24"/>
  <c r="A1078" i="24"/>
  <c r="A1077" i="24"/>
  <c r="A1076" i="24"/>
  <c r="A1075" i="24"/>
  <c r="A1074" i="24"/>
  <c r="A1073" i="24"/>
  <c r="A1072" i="24"/>
  <c r="A1071" i="24"/>
  <c r="A1070" i="24"/>
  <c r="A1069" i="24"/>
  <c r="A1068" i="24"/>
  <c r="A1067" i="24"/>
  <c r="A1066" i="24"/>
  <c r="A1065" i="24"/>
  <c r="A1064" i="24"/>
  <c r="A1063" i="24"/>
  <c r="A1062" i="24"/>
  <c r="A1061" i="24"/>
  <c r="A1060" i="24"/>
  <c r="A1059" i="24"/>
  <c r="A1058" i="24"/>
  <c r="A1057" i="24"/>
  <c r="A1056" i="24"/>
  <c r="A1055" i="24"/>
  <c r="A1054" i="24"/>
  <c r="A1053" i="24"/>
  <c r="A1052" i="24"/>
  <c r="A1051" i="24"/>
  <c r="A1050" i="24"/>
  <c r="A1049" i="24"/>
  <c r="A1048" i="24"/>
  <c r="A1047" i="24"/>
  <c r="A1046" i="24"/>
  <c r="A1045" i="24"/>
  <c r="A1044" i="24"/>
  <c r="A1043" i="24"/>
  <c r="A1042" i="24"/>
  <c r="A1041" i="24"/>
  <c r="A1040" i="24"/>
  <c r="A1039" i="24"/>
  <c r="A1038" i="24"/>
  <c r="A1037" i="24"/>
  <c r="A1036" i="24"/>
  <c r="A1035" i="24"/>
  <c r="A1034" i="24"/>
  <c r="A1033" i="24"/>
  <c r="A1032" i="24"/>
  <c r="A1031" i="24"/>
  <c r="A1030" i="24"/>
  <c r="A1029" i="24"/>
  <c r="A1028" i="24"/>
  <c r="A1027" i="24"/>
  <c r="A1026" i="24"/>
  <c r="A1025" i="24"/>
  <c r="A1024" i="24"/>
  <c r="A1023" i="24"/>
  <c r="A1022" i="24"/>
  <c r="A1021" i="24"/>
  <c r="A1020" i="24"/>
  <c r="A1019" i="24"/>
  <c r="A1018" i="24"/>
  <c r="A1017" i="24"/>
  <c r="A1016" i="24"/>
  <c r="A1015" i="24"/>
  <c r="A1014" i="24"/>
  <c r="A1013" i="24"/>
  <c r="A1012" i="24"/>
  <c r="A1011" i="24"/>
  <c r="A1010" i="24"/>
  <c r="A1009" i="24"/>
  <c r="A1008" i="24"/>
  <c r="A1007" i="24"/>
  <c r="A1006" i="24"/>
  <c r="A1005" i="24"/>
  <c r="A1004" i="24"/>
  <c r="A1003" i="24"/>
  <c r="A1002" i="24"/>
  <c r="A1001" i="24"/>
  <c r="A1000" i="24"/>
  <c r="A999" i="24"/>
  <c r="A998" i="24"/>
  <c r="A997" i="24"/>
  <c r="A996" i="24"/>
  <c r="A995" i="24"/>
  <c r="A994" i="24"/>
  <c r="A993" i="24"/>
  <c r="A992" i="24"/>
  <c r="A991" i="24"/>
  <c r="A990" i="24"/>
  <c r="A989" i="24"/>
  <c r="A988" i="24"/>
  <c r="A987" i="24"/>
  <c r="A986" i="24"/>
  <c r="A985" i="24"/>
  <c r="A984" i="24"/>
  <c r="A983" i="24"/>
  <c r="A982" i="24"/>
  <c r="A981" i="24"/>
  <c r="A980" i="24"/>
  <c r="A979" i="24"/>
  <c r="A978" i="24"/>
  <c r="A977" i="24"/>
  <c r="A976" i="24"/>
  <c r="A975" i="24"/>
  <c r="A974" i="24"/>
  <c r="A973" i="24"/>
  <c r="A972" i="24"/>
  <c r="A971" i="24"/>
  <c r="A970" i="24"/>
  <c r="A969" i="24"/>
  <c r="A968" i="24"/>
  <c r="A967" i="24"/>
  <c r="A966" i="24"/>
  <c r="A965" i="24"/>
  <c r="A964" i="24"/>
  <c r="A963" i="24"/>
  <c r="A962" i="24"/>
  <c r="A961" i="24"/>
  <c r="A960" i="24"/>
  <c r="A959" i="24"/>
  <c r="A958" i="24"/>
  <c r="A957" i="24"/>
  <c r="A956" i="24"/>
  <c r="A955" i="24"/>
  <c r="A954" i="24"/>
  <c r="A953" i="24"/>
  <c r="A952" i="24"/>
  <c r="A951" i="24"/>
  <c r="A950" i="24"/>
  <c r="A949" i="24"/>
  <c r="A948" i="24"/>
  <c r="A947" i="24"/>
  <c r="A946" i="24"/>
  <c r="A945" i="24"/>
  <c r="A944" i="24"/>
  <c r="A943" i="24"/>
  <c r="A942" i="24"/>
  <c r="A941" i="24"/>
  <c r="A940" i="24"/>
  <c r="A939" i="24"/>
  <c r="A938" i="24"/>
  <c r="A937" i="24"/>
  <c r="A936" i="24"/>
  <c r="A935" i="24"/>
  <c r="A934" i="24"/>
  <c r="A933" i="24"/>
  <c r="A932" i="24"/>
  <c r="A931" i="24"/>
  <c r="A930" i="24"/>
  <c r="A929" i="24"/>
  <c r="A928" i="24"/>
  <c r="A927" i="24"/>
  <c r="A926" i="24"/>
  <c r="A925" i="24"/>
  <c r="A924" i="24"/>
  <c r="A923" i="24"/>
  <c r="A922" i="24"/>
  <c r="A921" i="24"/>
  <c r="A920" i="24"/>
  <c r="A919" i="24"/>
  <c r="A918" i="24"/>
  <c r="A917" i="24"/>
  <c r="A916" i="24"/>
  <c r="A915" i="24"/>
  <c r="A914" i="24"/>
  <c r="A913" i="24"/>
  <c r="A912" i="24"/>
  <c r="A911" i="24"/>
  <c r="A910" i="24"/>
  <c r="A909" i="24"/>
  <c r="A908" i="24"/>
  <c r="A907" i="24"/>
  <c r="A906" i="24"/>
  <c r="A905" i="24"/>
  <c r="A904" i="24"/>
  <c r="A903" i="24"/>
  <c r="A902" i="24"/>
  <c r="A901" i="24"/>
  <c r="A900" i="24"/>
  <c r="A899" i="24"/>
  <c r="A898" i="24"/>
  <c r="A897" i="24"/>
  <c r="A896" i="24"/>
  <c r="A895" i="24"/>
  <c r="A894" i="24"/>
  <c r="A893" i="24"/>
  <c r="A892" i="24"/>
  <c r="A891" i="24"/>
  <c r="A890" i="24"/>
  <c r="A889" i="24"/>
  <c r="A888" i="24"/>
  <c r="A887" i="24"/>
  <c r="A886" i="24"/>
  <c r="A885" i="24"/>
  <c r="A884" i="24"/>
  <c r="A883" i="24"/>
  <c r="A882" i="24"/>
  <c r="A881" i="24"/>
  <c r="A880" i="24"/>
  <c r="A879" i="24"/>
  <c r="A878" i="24"/>
  <c r="A877" i="24"/>
  <c r="A876" i="24"/>
  <c r="A875" i="24"/>
  <c r="A874" i="24"/>
  <c r="A873" i="24"/>
  <c r="A872" i="24"/>
  <c r="A871" i="24"/>
  <c r="A870" i="24"/>
  <c r="A869" i="24"/>
  <c r="A868" i="24"/>
  <c r="A867" i="24"/>
  <c r="A866" i="24"/>
  <c r="A865" i="24"/>
  <c r="A864" i="24"/>
  <c r="A863" i="24"/>
  <c r="A862" i="24"/>
  <c r="A861" i="24"/>
  <c r="A860" i="24"/>
  <c r="A859" i="24"/>
  <c r="A858" i="24"/>
  <c r="A857" i="24"/>
  <c r="A856" i="24"/>
  <c r="A855" i="24"/>
  <c r="A854" i="24"/>
  <c r="A853" i="24"/>
  <c r="A852" i="24"/>
  <c r="A851" i="24"/>
  <c r="A850" i="24"/>
  <c r="A849" i="24"/>
  <c r="A848" i="24"/>
  <c r="A847" i="24"/>
  <c r="A846" i="24"/>
  <c r="A845" i="24"/>
  <c r="A844" i="24"/>
  <c r="A843" i="24"/>
  <c r="A842" i="24"/>
  <c r="A841" i="24"/>
  <c r="A840" i="24"/>
  <c r="A839" i="24"/>
  <c r="A838" i="24"/>
  <c r="A837" i="24"/>
  <c r="A836" i="24"/>
  <c r="A835" i="24"/>
  <c r="A834" i="24"/>
  <c r="A833" i="24"/>
  <c r="A832" i="24"/>
  <c r="A831" i="24"/>
  <c r="A830" i="24"/>
  <c r="A829" i="24"/>
  <c r="A828" i="24"/>
  <c r="A827" i="24"/>
  <c r="A826" i="24"/>
  <c r="A825" i="24"/>
  <c r="A824" i="24"/>
  <c r="A823" i="24"/>
  <c r="A822" i="24"/>
  <c r="A821" i="24"/>
  <c r="A820" i="24"/>
  <c r="A819" i="24"/>
  <c r="A818" i="24"/>
  <c r="A817" i="24"/>
  <c r="A816" i="24"/>
  <c r="A815" i="24"/>
  <c r="A814" i="24"/>
  <c r="A813" i="24"/>
  <c r="A812" i="24"/>
  <c r="A811" i="24"/>
  <c r="A810" i="24"/>
  <c r="A809" i="24"/>
  <c r="A808" i="24"/>
  <c r="A807" i="24"/>
  <c r="A806" i="24"/>
  <c r="A805" i="24"/>
  <c r="A804" i="24"/>
  <c r="A803" i="24"/>
  <c r="A802" i="24"/>
  <c r="A801" i="24"/>
  <c r="A800" i="24"/>
  <c r="A799" i="24"/>
  <c r="A798" i="24"/>
  <c r="A797" i="24"/>
  <c r="A796" i="24"/>
  <c r="A795" i="24"/>
  <c r="A794" i="24"/>
  <c r="A793" i="24"/>
  <c r="A792" i="24"/>
  <c r="A791" i="24"/>
  <c r="A790" i="24"/>
  <c r="A789" i="24"/>
  <c r="A788" i="24"/>
  <c r="A787" i="24"/>
  <c r="A786" i="24"/>
  <c r="A785" i="24"/>
  <c r="A784" i="24"/>
  <c r="A783" i="24"/>
  <c r="A782" i="24"/>
  <c r="A781" i="24"/>
  <c r="A780" i="24"/>
  <c r="A779" i="24"/>
  <c r="A778" i="24"/>
  <c r="A777" i="24"/>
  <c r="A776" i="24"/>
  <c r="A775" i="24"/>
  <c r="A774" i="24"/>
  <c r="A773" i="24"/>
  <c r="A772" i="24"/>
  <c r="A771" i="24"/>
  <c r="A770" i="24"/>
  <c r="A769" i="24"/>
  <c r="A768" i="24"/>
  <c r="A767" i="24"/>
  <c r="A766" i="24"/>
  <c r="A765" i="24"/>
  <c r="A764" i="24"/>
  <c r="A763" i="24"/>
  <c r="A762" i="24"/>
  <c r="A761" i="24"/>
  <c r="A760" i="24"/>
  <c r="A759" i="24"/>
  <c r="A758" i="24"/>
  <c r="A757" i="24"/>
  <c r="A756" i="24"/>
  <c r="A755" i="24"/>
  <c r="A754" i="24"/>
  <c r="A753" i="24"/>
  <c r="A752"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6" i="24"/>
  <c r="A715" i="24"/>
  <c r="A714"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8" i="24"/>
  <c r="A677"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8" i="24"/>
  <c r="A557" i="24"/>
  <c r="A556" i="24"/>
  <c r="A555" i="24"/>
  <c r="A554" i="24"/>
  <c r="A553" i="24"/>
  <c r="A552" i="24"/>
  <c r="A551" i="24"/>
  <c r="A550" i="24"/>
  <c r="A549" i="24"/>
  <c r="A548" i="24"/>
  <c r="A547" i="24"/>
  <c r="A546" i="24"/>
  <c r="A545" i="24"/>
  <c r="A544" i="24"/>
  <c r="A543" i="24"/>
  <c r="A542" i="24"/>
  <c r="A541" i="24"/>
  <c r="A540" i="24"/>
  <c r="A539" i="24"/>
  <c r="A538" i="24"/>
  <c r="A537" i="24"/>
  <c r="A536" i="24"/>
  <c r="A535" i="24"/>
  <c r="A534" i="24"/>
  <c r="A533" i="24"/>
  <c r="A532" i="24"/>
  <c r="A531" i="24"/>
  <c r="A530" i="24"/>
  <c r="A529" i="24"/>
  <c r="A528" i="24"/>
  <c r="A527" i="24"/>
  <c r="A526" i="24"/>
  <c r="A525" i="24"/>
  <c r="A524" i="24"/>
  <c r="A523" i="24"/>
  <c r="A522" i="24"/>
  <c r="A521" i="24"/>
  <c r="A520" i="24"/>
  <c r="A519" i="24"/>
  <c r="A518" i="24"/>
  <c r="A517" i="24"/>
  <c r="A516" i="24"/>
  <c r="A515" i="24"/>
  <c r="A514" i="24"/>
  <c r="A513" i="24"/>
  <c r="A512" i="24"/>
  <c r="A511" i="24"/>
  <c r="A510" i="24"/>
  <c r="A509" i="24"/>
  <c r="A508" i="24"/>
  <c r="A507" i="24"/>
  <c r="A506" i="24"/>
  <c r="A505" i="24"/>
  <c r="A504" i="24"/>
  <c r="A503" i="24"/>
  <c r="A502" i="24"/>
  <c r="A501" i="24"/>
  <c r="A500" i="24"/>
  <c r="A499" i="24"/>
  <c r="A498" i="24"/>
  <c r="A497" i="24"/>
  <c r="A496" i="24"/>
  <c r="A495" i="24"/>
  <c r="A494" i="24"/>
  <c r="A493" i="24"/>
  <c r="A492" i="24"/>
  <c r="A491" i="24"/>
  <c r="A490" i="24"/>
  <c r="A489" i="24"/>
  <c r="A488" i="24"/>
  <c r="A487" i="24"/>
  <c r="A486" i="24"/>
  <c r="A485" i="24"/>
  <c r="A484" i="24"/>
  <c r="A483" i="24"/>
  <c r="A482" i="24"/>
  <c r="A481" i="24"/>
  <c r="A480" i="24"/>
  <c r="A479" i="24"/>
  <c r="A478" i="24"/>
  <c r="A477" i="24"/>
  <c r="A476" i="24"/>
  <c r="A475" i="24"/>
  <c r="A474" i="24"/>
  <c r="A473" i="24"/>
  <c r="A472" i="24"/>
  <c r="A471" i="24"/>
  <c r="A470" i="24"/>
  <c r="A469" i="24"/>
  <c r="A468" i="24"/>
  <c r="A467" i="24"/>
  <c r="A466" i="24"/>
  <c r="A465" i="24"/>
  <c r="A464" i="24"/>
  <c r="A463" i="24"/>
  <c r="A462" i="24"/>
  <c r="A461" i="24"/>
  <c r="A460" i="24"/>
  <c r="A459" i="24"/>
  <c r="A458" i="24"/>
  <c r="A457" i="24"/>
  <c r="A456" i="24"/>
  <c r="A455" i="24"/>
  <c r="A454" i="24"/>
  <c r="A453" i="24"/>
  <c r="A452" i="24"/>
  <c r="A451" i="24"/>
  <c r="A450" i="24"/>
  <c r="A449" i="24"/>
  <c r="A448" i="24"/>
  <c r="A447" i="24"/>
  <c r="A446" i="24"/>
  <c r="A445" i="24"/>
  <c r="A444" i="24"/>
  <c r="A443" i="24"/>
  <c r="A442" i="24"/>
  <c r="A441" i="24"/>
  <c r="A440" i="24"/>
  <c r="A439" i="24"/>
  <c r="A438" i="24"/>
  <c r="A437" i="24"/>
  <c r="A436" i="24"/>
  <c r="A435" i="24"/>
  <c r="A434" i="24"/>
  <c r="A433" i="24"/>
  <c r="A432" i="24"/>
  <c r="A431" i="24"/>
  <c r="A430" i="24"/>
  <c r="A429" i="24"/>
  <c r="A428" i="24"/>
  <c r="A427" i="24"/>
  <c r="A426"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M42" i="20"/>
  <c r="I320" i="1" s="1"/>
  <c r="M43" i="20"/>
  <c r="I321" i="1" s="1"/>
  <c r="M44" i="20"/>
  <c r="I322" i="1" s="1"/>
  <c r="M45" i="20"/>
  <c r="I323" i="1" s="1"/>
  <c r="M46" i="20"/>
  <c r="I324" i="1" s="1"/>
  <c r="M47" i="20"/>
  <c r="I325" i="1" s="1"/>
  <c r="M48" i="20"/>
  <c r="I326" i="1" s="1"/>
  <c r="M49" i="20"/>
  <c r="I327" i="1" s="1"/>
  <c r="M50" i="20"/>
  <c r="I328" i="1" s="1"/>
  <c r="M51" i="20"/>
  <c r="I329" i="1" s="1"/>
  <c r="M52" i="20"/>
  <c r="I330" i="1" s="1"/>
  <c r="M53" i="20"/>
  <c r="I331" i="1" s="1"/>
  <c r="M54" i="20"/>
  <c r="I332" i="1" s="1"/>
  <c r="M55" i="20"/>
  <c r="I333" i="1" s="1"/>
  <c r="M56" i="20"/>
  <c r="I334" i="1" s="1"/>
  <c r="M57" i="20"/>
  <c r="I335" i="1" s="1"/>
  <c r="M58" i="20"/>
  <c r="I336" i="1" s="1"/>
  <c r="M59" i="20"/>
  <c r="I337" i="1" s="1"/>
  <c r="M60" i="20"/>
  <c r="I338" i="1" s="1"/>
  <c r="M61" i="20"/>
  <c r="I339" i="1" s="1"/>
  <c r="M62" i="20"/>
  <c r="I340" i="1" s="1"/>
  <c r="M63" i="20"/>
  <c r="I341" i="1" s="1"/>
  <c r="M64" i="20"/>
  <c r="I342" i="1" s="1"/>
  <c r="M65" i="20"/>
  <c r="I343" i="1" s="1"/>
  <c r="M66" i="20"/>
  <c r="I344" i="1" s="1"/>
  <c r="M67" i="20"/>
  <c r="I345" i="1" s="1"/>
  <c r="M68" i="20"/>
  <c r="I346" i="1" s="1"/>
  <c r="M69" i="20"/>
  <c r="I347" i="1" s="1"/>
  <c r="M70" i="20"/>
  <c r="I348" i="1" s="1"/>
  <c r="M71" i="20"/>
  <c r="I349" i="1" s="1"/>
  <c r="M72" i="20"/>
  <c r="I350" i="1" s="1"/>
  <c r="M73" i="20"/>
  <c r="I351" i="1" s="1"/>
  <c r="M74" i="20"/>
  <c r="I352" i="1" s="1"/>
  <c r="M75" i="20"/>
  <c r="I353" i="1" s="1"/>
  <c r="M76" i="20"/>
  <c r="I354" i="1" s="1"/>
  <c r="M77" i="20"/>
  <c r="I355" i="1" s="1"/>
  <c r="M78" i="20"/>
  <c r="I356" i="1" s="1"/>
  <c r="M79" i="20"/>
  <c r="I357" i="1" s="1"/>
  <c r="M80" i="20"/>
  <c r="I358" i="1" s="1"/>
  <c r="M81" i="20"/>
  <c r="I359" i="1" s="1"/>
  <c r="M82" i="20"/>
  <c r="I360" i="1" s="1"/>
  <c r="M83" i="20"/>
  <c r="I361" i="1" s="1"/>
  <c r="M84" i="20"/>
  <c r="I362" i="1" s="1"/>
  <c r="M85" i="20"/>
  <c r="I363" i="1" s="1"/>
  <c r="M86" i="20"/>
  <c r="I364" i="1" s="1"/>
  <c r="M87" i="20"/>
  <c r="I365" i="1" s="1"/>
  <c r="M88" i="20"/>
  <c r="I366" i="1" s="1"/>
  <c r="M89" i="20"/>
  <c r="I367" i="1" s="1"/>
  <c r="M90" i="20"/>
  <c r="I368" i="1" s="1"/>
  <c r="M91" i="20"/>
  <c r="I369" i="1" s="1"/>
  <c r="M92" i="20"/>
  <c r="I370" i="1" s="1"/>
  <c r="M93" i="20"/>
  <c r="I371" i="1" s="1"/>
  <c r="M94" i="20"/>
  <c r="I372" i="1" s="1"/>
  <c r="M95" i="20"/>
  <c r="I373" i="1" s="1"/>
  <c r="M96" i="20"/>
  <c r="I374" i="1" s="1"/>
  <c r="M97" i="20"/>
  <c r="I375" i="1" s="1"/>
  <c r="M98" i="20"/>
  <c r="I376" i="1" s="1"/>
  <c r="M99" i="20"/>
  <c r="I377" i="1" s="1"/>
  <c r="M100" i="20"/>
  <c r="I378" i="1" s="1"/>
  <c r="M101" i="20"/>
  <c r="I379" i="1" s="1"/>
  <c r="M102" i="20"/>
  <c r="I380" i="1" s="1"/>
  <c r="M103" i="20"/>
  <c r="I381" i="1" s="1"/>
  <c r="M104" i="20"/>
  <c r="I382" i="1" s="1"/>
  <c r="M105" i="20"/>
  <c r="I383" i="1" s="1"/>
  <c r="M106" i="20"/>
  <c r="I384" i="1" s="1"/>
  <c r="M107" i="20"/>
  <c r="I385" i="1" s="1"/>
  <c r="M108" i="20"/>
  <c r="I386" i="1" s="1"/>
  <c r="M109" i="20"/>
  <c r="I387" i="1" s="1"/>
  <c r="M110" i="20"/>
  <c r="I388" i="1" s="1"/>
  <c r="M111" i="20"/>
  <c r="I389" i="1" s="1"/>
  <c r="M112" i="20"/>
  <c r="I390" i="1" s="1"/>
  <c r="M113" i="20"/>
  <c r="I391" i="1" s="1"/>
  <c r="M114" i="20"/>
  <c r="I392" i="1" s="1"/>
  <c r="M115" i="20"/>
  <c r="I393" i="1" s="1"/>
  <c r="M116" i="20"/>
  <c r="I394" i="1" s="1"/>
  <c r="M117" i="20"/>
  <c r="I395" i="1" s="1"/>
  <c r="M118" i="20"/>
  <c r="I396" i="1" s="1"/>
  <c r="M119" i="20"/>
  <c r="I397" i="1" s="1"/>
  <c r="M120" i="20"/>
  <c r="I398" i="1" s="1"/>
  <c r="M121" i="20"/>
  <c r="I399" i="1" s="1"/>
  <c r="M122" i="20"/>
  <c r="I400" i="1" s="1"/>
  <c r="M123" i="20"/>
  <c r="I401" i="1" s="1"/>
  <c r="M124" i="20"/>
  <c r="I402" i="1" s="1"/>
  <c r="M125" i="20"/>
  <c r="I403" i="1" s="1"/>
  <c r="M126" i="20"/>
  <c r="I404" i="1" s="1"/>
  <c r="M127" i="20"/>
  <c r="I405" i="1" s="1"/>
  <c r="M128" i="20"/>
  <c r="I406" i="1" s="1"/>
  <c r="M129" i="20"/>
  <c r="I407" i="1" s="1"/>
  <c r="M130" i="20"/>
  <c r="I408" i="1" s="1"/>
  <c r="M131" i="20"/>
  <c r="I409" i="1" s="1"/>
  <c r="M132" i="20"/>
  <c r="I410" i="1" s="1"/>
  <c r="M133" i="20"/>
  <c r="I411" i="1" s="1"/>
  <c r="M134" i="20"/>
  <c r="I412" i="1" s="1"/>
  <c r="M135" i="20"/>
  <c r="I413" i="1" s="1"/>
  <c r="M136" i="20"/>
  <c r="I414" i="1" s="1"/>
  <c r="M137" i="20"/>
  <c r="I415" i="1" s="1"/>
  <c r="M138" i="20"/>
  <c r="I416" i="1" s="1"/>
  <c r="M139" i="20"/>
  <c r="I417" i="1" s="1"/>
  <c r="M140" i="20"/>
  <c r="I418" i="1" s="1"/>
  <c r="M141" i="20"/>
  <c r="I419" i="1" s="1"/>
  <c r="M142" i="20"/>
  <c r="I420" i="1" s="1"/>
  <c r="M143" i="20"/>
  <c r="I421" i="1" s="1"/>
  <c r="M144" i="20"/>
  <c r="I422" i="1" s="1"/>
  <c r="M145" i="20"/>
  <c r="I423" i="1" s="1"/>
  <c r="M146" i="20"/>
  <c r="I424" i="1" s="1"/>
  <c r="M147" i="20"/>
  <c r="I425" i="1" s="1"/>
  <c r="M148" i="20"/>
  <c r="I426" i="1" s="1"/>
  <c r="M149" i="20"/>
  <c r="I427" i="1" s="1"/>
  <c r="M150" i="20"/>
  <c r="I428" i="1" s="1"/>
  <c r="M151" i="20"/>
  <c r="I429" i="1" s="1"/>
  <c r="M37" i="20"/>
  <c r="I315" i="1" s="1"/>
  <c r="M38" i="20"/>
  <c r="I316" i="1" s="1"/>
  <c r="M39" i="20"/>
  <c r="I317" i="1" s="1"/>
  <c r="M40" i="20"/>
  <c r="I318" i="1" s="1"/>
  <c r="M41" i="20"/>
  <c r="I319" i="1" s="1"/>
  <c r="A221" i="4"/>
  <c r="N221" i="4" s="1"/>
  <c r="A222" i="4"/>
  <c r="N222" i="4" s="1"/>
  <c r="A223" i="4"/>
  <c r="N223" i="4" s="1"/>
  <c r="A224" i="4"/>
  <c r="N224" i="4" s="1"/>
  <c r="A225" i="4"/>
  <c r="N225" i="4" s="1"/>
  <c r="A226" i="4"/>
  <c r="N226" i="4" s="1"/>
  <c r="A227" i="4"/>
  <c r="N227" i="4" s="1"/>
  <c r="A228" i="4"/>
  <c r="N228" i="4" s="1"/>
  <c r="A229" i="4"/>
  <c r="N229" i="4" s="1"/>
  <c r="A230" i="4"/>
  <c r="N230" i="4" s="1"/>
  <c r="A231" i="4"/>
  <c r="N231" i="4" s="1"/>
  <c r="A232" i="4"/>
  <c r="N232" i="4" s="1"/>
  <c r="A233" i="4"/>
  <c r="N233" i="4" s="1"/>
  <c r="A234" i="4"/>
  <c r="N234" i="4" s="1"/>
  <c r="A235" i="4"/>
  <c r="N235" i="4" s="1"/>
  <c r="A236" i="4"/>
  <c r="N236" i="4" s="1"/>
  <c r="A237" i="4"/>
  <c r="N237" i="4" s="1"/>
  <c r="A238" i="4"/>
  <c r="N238" i="4" s="1"/>
  <c r="A239" i="4"/>
  <c r="N239" i="4" s="1"/>
  <c r="A240" i="4"/>
  <c r="N240" i="4" s="1"/>
  <c r="A241" i="4"/>
  <c r="N241" i="4" s="1"/>
  <c r="A242" i="4"/>
  <c r="N242" i="4" s="1"/>
  <c r="A243" i="4"/>
  <c r="N243" i="4" s="1"/>
  <c r="A244" i="4"/>
  <c r="N244" i="4" s="1"/>
  <c r="A245" i="4"/>
  <c r="N245" i="4" s="1"/>
  <c r="A246" i="4"/>
  <c r="N246" i="4" s="1"/>
  <c r="A247" i="4"/>
  <c r="N247" i="4" s="1"/>
  <c r="A248" i="4"/>
  <c r="N248" i="4" s="1"/>
  <c r="A249" i="4"/>
  <c r="N249" i="4" s="1"/>
  <c r="A250" i="4"/>
  <c r="N250" i="4" s="1"/>
  <c r="A251" i="4"/>
  <c r="N251" i="4" s="1"/>
  <c r="A252" i="4"/>
  <c r="N252" i="4" s="1"/>
  <c r="A253" i="4"/>
  <c r="N253" i="4" s="1"/>
  <c r="A254" i="4"/>
  <c r="N254" i="4" s="1"/>
  <c r="A255" i="4"/>
  <c r="N255" i="4" s="1"/>
  <c r="A256" i="4"/>
  <c r="A257" i="4"/>
  <c r="N257" i="4" s="1"/>
  <c r="A258" i="4"/>
  <c r="N258" i="4" s="1"/>
  <c r="A259" i="4"/>
  <c r="N259" i="4" s="1"/>
  <c r="A260" i="4"/>
  <c r="N260" i="4" s="1"/>
  <c r="A261" i="4"/>
  <c r="N261" i="4" s="1"/>
  <c r="A262" i="4"/>
  <c r="N262" i="4" s="1"/>
  <c r="A263" i="4"/>
  <c r="N263" i="4" s="1"/>
  <c r="A264" i="4"/>
  <c r="N264" i="4" s="1"/>
  <c r="A265" i="4"/>
  <c r="N265" i="4" s="1"/>
  <c r="A266" i="4"/>
  <c r="N266" i="4" s="1"/>
  <c r="A267" i="4"/>
  <c r="N267" i="4" s="1"/>
  <c r="A268" i="4"/>
  <c r="N268" i="4" s="1"/>
  <c r="A269" i="4"/>
  <c r="N269" i="4" s="1"/>
  <c r="A270" i="4"/>
  <c r="N270" i="4" s="1"/>
  <c r="A271" i="4"/>
  <c r="N271" i="4" s="1"/>
  <c r="A272" i="4"/>
  <c r="N272" i="4" s="1"/>
  <c r="A273" i="4"/>
  <c r="N273" i="4" s="1"/>
  <c r="A274" i="4"/>
  <c r="N274" i="4" s="1"/>
  <c r="A275" i="4"/>
  <c r="N275" i="4" s="1"/>
  <c r="A276" i="4"/>
  <c r="N276" i="4" s="1"/>
  <c r="A277" i="4"/>
  <c r="N277" i="4" s="1"/>
  <c r="A278" i="4"/>
  <c r="N278" i="4" s="1"/>
  <c r="A279" i="4"/>
  <c r="N279" i="4" s="1"/>
  <c r="A280" i="4"/>
  <c r="N280" i="4" s="1"/>
  <c r="A281" i="4"/>
  <c r="N281" i="4" s="1"/>
  <c r="A282" i="4"/>
  <c r="N282" i="4" s="1"/>
  <c r="A283" i="4"/>
  <c r="N283" i="4" s="1"/>
  <c r="A284" i="4"/>
  <c r="N284" i="4" s="1"/>
  <c r="A285" i="4"/>
  <c r="N285" i="4" s="1"/>
  <c r="A286" i="4"/>
  <c r="N286" i="4" s="1"/>
  <c r="A287" i="4"/>
  <c r="N287" i="4" s="1"/>
  <c r="A288" i="4"/>
  <c r="N288" i="4" s="1"/>
  <c r="A289" i="4"/>
  <c r="N289" i="4" s="1"/>
  <c r="A290" i="4"/>
  <c r="N290" i="4" s="1"/>
  <c r="A291" i="4"/>
  <c r="N291" i="4" s="1"/>
  <c r="A292" i="4"/>
  <c r="N292" i="4" s="1"/>
  <c r="A293" i="4"/>
  <c r="N293" i="4" s="1"/>
  <c r="A294" i="4"/>
  <c r="N294" i="4" s="1"/>
  <c r="A295" i="4"/>
  <c r="N295" i="4" s="1"/>
  <c r="A296" i="4"/>
  <c r="N296" i="4" s="1"/>
  <c r="A297" i="4"/>
  <c r="N297" i="4" s="1"/>
  <c r="A298" i="4"/>
  <c r="N298" i="4" s="1"/>
  <c r="A299" i="4"/>
  <c r="N299" i="4" s="1"/>
  <c r="A300" i="4"/>
  <c r="N300" i="4" s="1"/>
  <c r="A301" i="4"/>
  <c r="N301" i="4" s="1"/>
  <c r="A302" i="4"/>
  <c r="N302" i="4" s="1"/>
  <c r="A303" i="4"/>
  <c r="N303" i="4" s="1"/>
  <c r="A304" i="4"/>
  <c r="N304" i="4" s="1"/>
  <c r="A305" i="4"/>
  <c r="N305" i="4" s="1"/>
  <c r="A306" i="4"/>
  <c r="N306" i="4" s="1"/>
  <c r="A307" i="4"/>
  <c r="N307" i="4" s="1"/>
  <c r="A308" i="4"/>
  <c r="N308" i="4" s="1"/>
  <c r="A309" i="4"/>
  <c r="N309" i="4" s="1"/>
  <c r="A310" i="4"/>
  <c r="N310" i="4" s="1"/>
  <c r="A311" i="4"/>
  <c r="N311" i="4" s="1"/>
  <c r="A312" i="4"/>
  <c r="N312" i="4" s="1"/>
  <c r="A313" i="4"/>
  <c r="N313" i="4" s="1"/>
  <c r="A314" i="4"/>
  <c r="N314" i="4" s="1"/>
  <c r="A315" i="4"/>
  <c r="N315" i="4" s="1"/>
  <c r="A316" i="4"/>
  <c r="N316" i="4" s="1"/>
  <c r="A317" i="4"/>
  <c r="N317" i="4" s="1"/>
  <c r="A318" i="4"/>
  <c r="N318" i="4" s="1"/>
  <c r="A319" i="4"/>
  <c r="N319" i="4" s="1"/>
  <c r="A320" i="4"/>
  <c r="N320" i="4" s="1"/>
  <c r="A321" i="4"/>
  <c r="N321" i="4" s="1"/>
  <c r="A322" i="4"/>
  <c r="N322" i="4" s="1"/>
  <c r="A323" i="4"/>
  <c r="N323" i="4" s="1"/>
  <c r="A324" i="4"/>
  <c r="N324" i="4" s="1"/>
  <c r="A325" i="4"/>
  <c r="N325" i="4" s="1"/>
  <c r="A326" i="4"/>
  <c r="N326" i="4" s="1"/>
  <c r="A327" i="4"/>
  <c r="N327" i="4" s="1"/>
  <c r="A328" i="4"/>
  <c r="N328" i="4" s="1"/>
  <c r="A329" i="4"/>
  <c r="N329" i="4" s="1"/>
  <c r="A330" i="4"/>
  <c r="N330" i="4" s="1"/>
  <c r="A331" i="4"/>
  <c r="N331" i="4" s="1"/>
  <c r="A332" i="4"/>
  <c r="N332" i="4" s="1"/>
  <c r="A333" i="4"/>
  <c r="N333" i="4" s="1"/>
  <c r="A334" i="4"/>
  <c r="N334" i="4" s="1"/>
  <c r="A335" i="4"/>
  <c r="N335" i="4" s="1"/>
  <c r="A336" i="4"/>
  <c r="N336" i="4" s="1"/>
  <c r="A337" i="4"/>
  <c r="N337" i="4" s="1"/>
  <c r="A338" i="4"/>
  <c r="N338" i="4" s="1"/>
  <c r="A339" i="4"/>
  <c r="N339" i="4" s="1"/>
  <c r="A340" i="4"/>
  <c r="N340" i="4" s="1"/>
  <c r="A341" i="4"/>
  <c r="N341" i="4" s="1"/>
  <c r="A342" i="4"/>
  <c r="N342" i="4" s="1"/>
  <c r="A343" i="4"/>
  <c r="N343" i="4" s="1"/>
  <c r="A344" i="4"/>
  <c r="N344" i="4" s="1"/>
  <c r="A345" i="4"/>
  <c r="N345" i="4" s="1"/>
  <c r="A346" i="4"/>
  <c r="N346" i="4" s="1"/>
  <c r="A347" i="4"/>
  <c r="N347" i="4" s="1"/>
  <c r="A348" i="4"/>
  <c r="N348" i="4" s="1"/>
  <c r="A349" i="4"/>
  <c r="N349" i="4" s="1"/>
  <c r="A350" i="4"/>
  <c r="N350" i="4" s="1"/>
  <c r="A351" i="4"/>
  <c r="N351" i="4" s="1"/>
  <c r="A352" i="4"/>
  <c r="N352" i="4" s="1"/>
  <c r="A353" i="4"/>
  <c r="N353" i="4" s="1"/>
  <c r="A354" i="4"/>
  <c r="N354" i="4" s="1"/>
  <c r="A355" i="4"/>
  <c r="N355" i="4" s="1"/>
  <c r="A356" i="4"/>
  <c r="N356" i="4" s="1"/>
  <c r="A357" i="4"/>
  <c r="N357" i="4" s="1"/>
  <c r="A358" i="4"/>
  <c r="N358" i="4" s="1"/>
  <c r="A359" i="4"/>
  <c r="N359" i="4" s="1"/>
  <c r="A360" i="4"/>
  <c r="N360" i="4" s="1"/>
  <c r="A361" i="4"/>
  <c r="N361" i="4" s="1"/>
  <c r="A362" i="4"/>
  <c r="N362" i="4" s="1"/>
  <c r="A363" i="4"/>
  <c r="N363" i="4" s="1"/>
  <c r="A364" i="4"/>
  <c r="N364" i="4" s="1"/>
  <c r="A365" i="4"/>
  <c r="N365" i="4" s="1"/>
  <c r="A366" i="4"/>
  <c r="N366" i="4" s="1"/>
  <c r="A367" i="4"/>
  <c r="N367" i="4" s="1"/>
  <c r="A368" i="4"/>
  <c r="N368" i="4" s="1"/>
  <c r="A369" i="4"/>
  <c r="N369" i="4" s="1"/>
  <c r="A370" i="4"/>
  <c r="N370" i="4" s="1"/>
  <c r="A371" i="4"/>
  <c r="N371" i="4" s="1"/>
  <c r="A372" i="4"/>
  <c r="N372" i="4" s="1"/>
  <c r="A373" i="4"/>
  <c r="N373" i="4" s="1"/>
  <c r="A374" i="4"/>
  <c r="N374" i="4" s="1"/>
  <c r="A375" i="4"/>
  <c r="N375" i="4" s="1"/>
  <c r="A376" i="4"/>
  <c r="N376" i="4" s="1"/>
  <c r="A377" i="4"/>
  <c r="N377" i="4" s="1"/>
  <c r="A378" i="4"/>
  <c r="N378" i="4" s="1"/>
  <c r="A379" i="4"/>
  <c r="N379" i="4" s="1"/>
  <c r="A380" i="4"/>
  <c r="N380" i="4" s="1"/>
  <c r="A381" i="4"/>
  <c r="N381" i="4" s="1"/>
  <c r="A382" i="4"/>
  <c r="N382" i="4" s="1"/>
  <c r="A383" i="4"/>
  <c r="N383" i="4" s="1"/>
  <c r="A384" i="4"/>
  <c r="N384" i="4" s="1"/>
  <c r="A385" i="4"/>
  <c r="N385" i="4" s="1"/>
  <c r="A386" i="4"/>
  <c r="N386" i="4" s="1"/>
  <c r="A387" i="4"/>
  <c r="N387" i="4" s="1"/>
  <c r="A388" i="4"/>
  <c r="N388" i="4" s="1"/>
  <c r="A389" i="4"/>
  <c r="N389" i="4" s="1"/>
  <c r="A390" i="4"/>
  <c r="N390" i="4" s="1"/>
  <c r="A391" i="4"/>
  <c r="N391" i="4" s="1"/>
  <c r="A392" i="4"/>
  <c r="N392" i="4" s="1"/>
  <c r="A393" i="4"/>
  <c r="N393" i="4" s="1"/>
  <c r="A394" i="4"/>
  <c r="N394" i="4" s="1"/>
  <c r="A395" i="4"/>
  <c r="N395" i="4" s="1"/>
  <c r="A396" i="4"/>
  <c r="N396" i="4" s="1"/>
  <c r="A397" i="4"/>
  <c r="N397" i="4" s="1"/>
  <c r="A398" i="4"/>
  <c r="N398" i="4" s="1"/>
  <c r="A399" i="4"/>
  <c r="N399" i="4" s="1"/>
  <c r="A400" i="4"/>
  <c r="N400" i="4" s="1"/>
  <c r="A401" i="4"/>
  <c r="N401" i="4" s="1"/>
  <c r="A402" i="4"/>
  <c r="N402" i="4" s="1"/>
  <c r="A403" i="4"/>
  <c r="N403" i="4" s="1"/>
  <c r="A404" i="4"/>
  <c r="N404" i="4" s="1"/>
  <c r="A405" i="4"/>
  <c r="N405" i="4" s="1"/>
  <c r="A406" i="4"/>
  <c r="N406" i="4" s="1"/>
  <c r="A407" i="4"/>
  <c r="N407" i="4" s="1"/>
  <c r="A408" i="4"/>
  <c r="N408" i="4" s="1"/>
  <c r="A409" i="4"/>
  <c r="N409" i="4" s="1"/>
  <c r="A410" i="4"/>
  <c r="N410" i="4" s="1"/>
  <c r="A411" i="4"/>
  <c r="N411" i="4" s="1"/>
  <c r="A412" i="4"/>
  <c r="N412" i="4" s="1"/>
  <c r="A413" i="4"/>
  <c r="N413" i="4" s="1"/>
  <c r="A414" i="4"/>
  <c r="N414" i="4" s="1"/>
  <c r="A415" i="4"/>
  <c r="N415" i="4" s="1"/>
  <c r="A416" i="4"/>
  <c r="N416" i="4" s="1"/>
  <c r="A417" i="4"/>
  <c r="N417" i="4" s="1"/>
  <c r="A418" i="4"/>
  <c r="N418" i="4" s="1"/>
  <c r="A419" i="4"/>
  <c r="N419" i="4" s="1"/>
  <c r="A420" i="4"/>
  <c r="N420" i="4" s="1"/>
  <c r="A421" i="4"/>
  <c r="N421" i="4" s="1"/>
  <c r="A422" i="4"/>
  <c r="N422" i="4" s="1"/>
  <c r="A423" i="4"/>
  <c r="N423" i="4" s="1"/>
  <c r="A424" i="4"/>
  <c r="N424" i="4" s="1"/>
  <c r="A425" i="4"/>
  <c r="N425" i="4" s="1"/>
  <c r="A426" i="4"/>
  <c r="N426" i="4" s="1"/>
  <c r="A427" i="4"/>
  <c r="N427" i="4" s="1"/>
  <c r="A428" i="4"/>
  <c r="N428" i="4" s="1"/>
  <c r="A429" i="4"/>
  <c r="N429" i="4" s="1"/>
  <c r="A430" i="4"/>
  <c r="N430" i="4" s="1"/>
  <c r="A431" i="4"/>
  <c r="N431" i="4" s="1"/>
  <c r="A432" i="4"/>
  <c r="N432" i="4" s="1"/>
  <c r="A433" i="4"/>
  <c r="N433" i="4" s="1"/>
  <c r="A434" i="4"/>
  <c r="N434" i="4" s="1"/>
  <c r="A435" i="4"/>
  <c r="N435" i="4" s="1"/>
  <c r="A436" i="4"/>
  <c r="N436" i="4" s="1"/>
  <c r="A437" i="4"/>
  <c r="N437" i="4" s="1"/>
  <c r="A438" i="4"/>
  <c r="N438" i="4" s="1"/>
  <c r="A439" i="4"/>
  <c r="N439" i="4" s="1"/>
  <c r="A440" i="4"/>
  <c r="N440" i="4" s="1"/>
  <c r="A441" i="4"/>
  <c r="N441" i="4" s="1"/>
  <c r="A442" i="4"/>
  <c r="N442" i="4" s="1"/>
  <c r="A443" i="4"/>
  <c r="N443" i="4" s="1"/>
  <c r="A444" i="4"/>
  <c r="N444" i="4" s="1"/>
  <c r="A445" i="4"/>
  <c r="N445" i="4" s="1"/>
  <c r="A446" i="4"/>
  <c r="N446" i="4" s="1"/>
  <c r="A447" i="4"/>
  <c r="N447" i="4" s="1"/>
  <c r="A448" i="4"/>
  <c r="N448" i="4" s="1"/>
  <c r="A449" i="4"/>
  <c r="N449" i="4" s="1"/>
  <c r="A450" i="4"/>
  <c r="N450" i="4" s="1"/>
  <c r="A451" i="4"/>
  <c r="N451" i="4" s="1"/>
  <c r="A452" i="4"/>
  <c r="N452" i="4" s="1"/>
  <c r="A453" i="4"/>
  <c r="N453" i="4" s="1"/>
  <c r="A454" i="4"/>
  <c r="N454" i="4" s="1"/>
  <c r="A455" i="4"/>
  <c r="N455" i="4" s="1"/>
  <c r="A456" i="4"/>
  <c r="N456" i="4" s="1"/>
  <c r="A457" i="4"/>
  <c r="N457" i="4" s="1"/>
  <c r="A458" i="4"/>
  <c r="N458" i="4" s="1"/>
  <c r="A459" i="4"/>
  <c r="N459" i="4" s="1"/>
  <c r="A460" i="4"/>
  <c r="N460" i="4" s="1"/>
  <c r="A461" i="4"/>
  <c r="N461" i="4" s="1"/>
  <c r="A462" i="4"/>
  <c r="N462" i="4" s="1"/>
  <c r="A463" i="4"/>
  <c r="N463" i="4" s="1"/>
  <c r="A464" i="4"/>
  <c r="N464" i="4" s="1"/>
  <c r="A465" i="4"/>
  <c r="N465" i="4" s="1"/>
  <c r="A466" i="4"/>
  <c r="N466" i="4" s="1"/>
  <c r="A467" i="4"/>
  <c r="N467" i="4" s="1"/>
  <c r="A468" i="4"/>
  <c r="N468" i="4" s="1"/>
  <c r="A469" i="4"/>
  <c r="N469" i="4" s="1"/>
  <c r="A470" i="4"/>
  <c r="N470" i="4" s="1"/>
  <c r="A471" i="4"/>
  <c r="N471" i="4" s="1"/>
  <c r="A472" i="4"/>
  <c r="N472" i="4" s="1"/>
  <c r="A473" i="4"/>
  <c r="N473" i="4" s="1"/>
  <c r="A474" i="4"/>
  <c r="N474" i="4" s="1"/>
  <c r="A475" i="4"/>
  <c r="N475" i="4" s="1"/>
  <c r="A476" i="4"/>
  <c r="N476" i="4" s="1"/>
  <c r="A477" i="4"/>
  <c r="N477" i="4" s="1"/>
  <c r="A478" i="4"/>
  <c r="N478" i="4" s="1"/>
  <c r="A479" i="4"/>
  <c r="N479" i="4" s="1"/>
  <c r="A480" i="4"/>
  <c r="N480" i="4" s="1"/>
  <c r="A481" i="4"/>
  <c r="N481" i="4" s="1"/>
  <c r="A482" i="4"/>
  <c r="N482" i="4" s="1"/>
  <c r="A483" i="4"/>
  <c r="N483" i="4" s="1"/>
  <c r="A484" i="4"/>
  <c r="N484" i="4" s="1"/>
  <c r="A485" i="4"/>
  <c r="N485" i="4" s="1"/>
  <c r="A486" i="4"/>
  <c r="N486" i="4" s="1"/>
  <c r="A487" i="4"/>
  <c r="N487" i="4" s="1"/>
  <c r="A488" i="4"/>
  <c r="N488" i="4" s="1"/>
  <c r="A489" i="4"/>
  <c r="N489" i="4" s="1"/>
  <c r="A490" i="4"/>
  <c r="N490" i="4" s="1"/>
  <c r="A491" i="4"/>
  <c r="N491" i="4" s="1"/>
  <c r="A492" i="4"/>
  <c r="N492" i="4" s="1"/>
  <c r="A493" i="4"/>
  <c r="N493" i="4" s="1"/>
  <c r="A494" i="4"/>
  <c r="N494" i="4" s="1"/>
  <c r="A495" i="4"/>
  <c r="N495" i="4" s="1"/>
  <c r="A496" i="4"/>
  <c r="N496" i="4" s="1"/>
  <c r="A497" i="4"/>
  <c r="N497" i="4" s="1"/>
  <c r="A498" i="4"/>
  <c r="N498" i="4" s="1"/>
  <c r="A499" i="4"/>
  <c r="N499" i="4" s="1"/>
  <c r="A500" i="4"/>
  <c r="N500" i="4" s="1"/>
  <c r="A501" i="4"/>
  <c r="N501" i="4" s="1"/>
  <c r="A502" i="4"/>
  <c r="N502" i="4" s="1"/>
  <c r="A503" i="4"/>
  <c r="N503" i="4" s="1"/>
  <c r="A504" i="4"/>
  <c r="N504" i="4" s="1"/>
  <c r="A505" i="4"/>
  <c r="N505" i="4" s="1"/>
  <c r="A506" i="4"/>
  <c r="N506" i="4" s="1"/>
  <c r="A507" i="4"/>
  <c r="N507" i="4" s="1"/>
  <c r="A508" i="4"/>
  <c r="N508" i="4" s="1"/>
  <c r="A509" i="4"/>
  <c r="N509" i="4" s="1"/>
  <c r="A510" i="4"/>
  <c r="N510" i="4" s="1"/>
  <c r="A511" i="4"/>
  <c r="N511" i="4" s="1"/>
  <c r="A512" i="4"/>
  <c r="N512" i="4" s="1"/>
  <c r="A513" i="4"/>
  <c r="N513" i="4" s="1"/>
  <c r="A514" i="4"/>
  <c r="N514" i="4" s="1"/>
  <c r="A515" i="4"/>
  <c r="N515" i="4" s="1"/>
  <c r="A516" i="4"/>
  <c r="N516" i="4" s="1"/>
  <c r="A517" i="4"/>
  <c r="N517" i="4" s="1"/>
  <c r="A518" i="4"/>
  <c r="N518" i="4" s="1"/>
  <c r="A519" i="4"/>
  <c r="N519" i="4" s="1"/>
  <c r="A520" i="4"/>
  <c r="N520" i="4" s="1"/>
  <c r="A521" i="4"/>
  <c r="N521" i="4" s="1"/>
  <c r="A522" i="4"/>
  <c r="N522" i="4" s="1"/>
  <c r="A523" i="4"/>
  <c r="N523" i="4" s="1"/>
  <c r="A524" i="4"/>
  <c r="N524" i="4" s="1"/>
  <c r="A525" i="4"/>
  <c r="N525" i="4" s="1"/>
  <c r="A526" i="4"/>
  <c r="N526" i="4" s="1"/>
  <c r="A527" i="4"/>
  <c r="N527" i="4" s="1"/>
  <c r="A528" i="4"/>
  <c r="N528" i="4" s="1"/>
  <c r="A529" i="4"/>
  <c r="N529" i="4" s="1"/>
  <c r="A530" i="4"/>
  <c r="N530" i="4" s="1"/>
  <c r="A531" i="4"/>
  <c r="N531" i="4" s="1"/>
  <c r="A532" i="4"/>
  <c r="N532" i="4" s="1"/>
  <c r="A533" i="4"/>
  <c r="N533" i="4" s="1"/>
  <c r="A534" i="4"/>
  <c r="N534" i="4" s="1"/>
  <c r="A535" i="4"/>
  <c r="N535" i="4" s="1"/>
  <c r="A536" i="4"/>
  <c r="N536" i="4" s="1"/>
  <c r="A537" i="4"/>
  <c r="N537" i="4" s="1"/>
  <c r="A538" i="4"/>
  <c r="N538" i="4" s="1"/>
  <c r="A539" i="4"/>
  <c r="N539" i="4" s="1"/>
  <c r="A540" i="4"/>
  <c r="N540" i="4" s="1"/>
  <c r="A541" i="4"/>
  <c r="N541" i="4" s="1"/>
  <c r="A542" i="4"/>
  <c r="N542" i="4" s="1"/>
  <c r="A543" i="4"/>
  <c r="N543" i="4" s="1"/>
  <c r="A544" i="4"/>
  <c r="N544" i="4" s="1"/>
  <c r="A545" i="4"/>
  <c r="N545" i="4" s="1"/>
  <c r="A546" i="4"/>
  <c r="N546" i="4" s="1"/>
  <c r="A547" i="4"/>
  <c r="N547" i="4" s="1"/>
  <c r="A548" i="4"/>
  <c r="N548" i="4" s="1"/>
  <c r="A549" i="4"/>
  <c r="N549" i="4" s="1"/>
  <c r="A550" i="4"/>
  <c r="N550" i="4" s="1"/>
  <c r="A551" i="4"/>
  <c r="N551" i="4" s="1"/>
  <c r="A552" i="4"/>
  <c r="N552" i="4" s="1"/>
  <c r="A553" i="4"/>
  <c r="N553" i="4" s="1"/>
  <c r="A554" i="4"/>
  <c r="N554" i="4" s="1"/>
  <c r="A555" i="4"/>
  <c r="N555" i="4" s="1"/>
  <c r="A556" i="4"/>
  <c r="N556" i="4" s="1"/>
  <c r="A557" i="4"/>
  <c r="N557" i="4" s="1"/>
  <c r="A558" i="4"/>
  <c r="N558" i="4" s="1"/>
  <c r="A559" i="4"/>
  <c r="N559" i="4" s="1"/>
  <c r="A560" i="4"/>
  <c r="N560" i="4" s="1"/>
  <c r="A561" i="4"/>
  <c r="N561" i="4" s="1"/>
  <c r="A562" i="4"/>
  <c r="N562" i="4" s="1"/>
  <c r="A563" i="4"/>
  <c r="N563" i="4" s="1"/>
  <c r="A564" i="4"/>
  <c r="N564" i="4" s="1"/>
  <c r="A565" i="4"/>
  <c r="N565" i="4" s="1"/>
  <c r="A566" i="4"/>
  <c r="N566" i="4" s="1"/>
  <c r="A567" i="4"/>
  <c r="N567" i="4" s="1"/>
  <c r="A568" i="4"/>
  <c r="N568" i="4" s="1"/>
  <c r="A569" i="4"/>
  <c r="N569" i="4" s="1"/>
  <c r="A570" i="4"/>
  <c r="N570" i="4" s="1"/>
  <c r="A571" i="4"/>
  <c r="N571" i="4" s="1"/>
  <c r="A572" i="4"/>
  <c r="N572" i="4" s="1"/>
  <c r="A573" i="4"/>
  <c r="N573" i="4" s="1"/>
  <c r="A574" i="4"/>
  <c r="N574" i="4" s="1"/>
  <c r="A575" i="4"/>
  <c r="N575" i="4" s="1"/>
  <c r="A576" i="4"/>
  <c r="N576" i="4" s="1"/>
  <c r="A577" i="4"/>
  <c r="N577" i="4" s="1"/>
  <c r="A578" i="4"/>
  <c r="N578" i="4" s="1"/>
  <c r="A579" i="4"/>
  <c r="N579" i="4" s="1"/>
  <c r="A580" i="4"/>
  <c r="N580" i="4" s="1"/>
  <c r="A581" i="4"/>
  <c r="N581" i="4" s="1"/>
  <c r="A582" i="4"/>
  <c r="N582" i="4" s="1"/>
  <c r="A583" i="4"/>
  <c r="N583" i="4" s="1"/>
  <c r="A584" i="4"/>
  <c r="N584" i="4" s="1"/>
  <c r="A585" i="4"/>
  <c r="N585" i="4" s="1"/>
  <c r="A586" i="4"/>
  <c r="N586" i="4" s="1"/>
  <c r="A587" i="4"/>
  <c r="N587" i="4" s="1"/>
  <c r="A588" i="4"/>
  <c r="N588" i="4" s="1"/>
  <c r="A589" i="4"/>
  <c r="N589" i="4" s="1"/>
  <c r="A590" i="4"/>
  <c r="N590" i="4" s="1"/>
  <c r="A591" i="4"/>
  <c r="N591" i="4" s="1"/>
  <c r="A592" i="4"/>
  <c r="N592" i="4" s="1"/>
  <c r="A593" i="4"/>
  <c r="N593" i="4" s="1"/>
  <c r="A594" i="4"/>
  <c r="N594" i="4" s="1"/>
  <c r="A595" i="4"/>
  <c r="N595" i="4" s="1"/>
  <c r="A596" i="4"/>
  <c r="N596" i="4" s="1"/>
  <c r="A597" i="4"/>
  <c r="N597" i="4" s="1"/>
  <c r="A598" i="4"/>
  <c r="N598" i="4" s="1"/>
  <c r="A599" i="4"/>
  <c r="N599" i="4" s="1"/>
  <c r="A600" i="4"/>
  <c r="N600" i="4" s="1"/>
  <c r="A601" i="4"/>
  <c r="N601" i="4" s="1"/>
  <c r="A602" i="4"/>
  <c r="N602" i="4" s="1"/>
  <c r="A603" i="4"/>
  <c r="N603" i="4" s="1"/>
  <c r="A604" i="4"/>
  <c r="N604" i="4" s="1"/>
  <c r="A605" i="4"/>
  <c r="N605" i="4" s="1"/>
  <c r="A606" i="4"/>
  <c r="N606" i="4" s="1"/>
  <c r="A607" i="4"/>
  <c r="N607" i="4" s="1"/>
  <c r="A608" i="4"/>
  <c r="N608" i="4" s="1"/>
  <c r="A609" i="4"/>
  <c r="N609" i="4" s="1"/>
  <c r="A610" i="4"/>
  <c r="N610" i="4" s="1"/>
  <c r="A611" i="4"/>
  <c r="N611" i="4" s="1"/>
  <c r="A612" i="4"/>
  <c r="N612" i="4" s="1"/>
  <c r="A613" i="4"/>
  <c r="N613" i="4" s="1"/>
  <c r="A614" i="4"/>
  <c r="N614" i="4" s="1"/>
  <c r="A615" i="4"/>
  <c r="N615" i="4" s="1"/>
  <c r="A616" i="4"/>
  <c r="N616" i="4" s="1"/>
  <c r="A617" i="4"/>
  <c r="N617" i="4" s="1"/>
  <c r="A618" i="4"/>
  <c r="N618" i="4" s="1"/>
  <c r="A619" i="4"/>
  <c r="N619" i="4" s="1"/>
  <c r="A620" i="4"/>
  <c r="N620" i="4" s="1"/>
  <c r="A621" i="4"/>
  <c r="N621" i="4" s="1"/>
  <c r="A622" i="4"/>
  <c r="N622" i="4" s="1"/>
  <c r="A623" i="4"/>
  <c r="N623" i="4" s="1"/>
  <c r="A624" i="4"/>
  <c r="N624" i="4" s="1"/>
  <c r="A625" i="4"/>
  <c r="N625" i="4" s="1"/>
  <c r="A626" i="4"/>
  <c r="N626" i="4" s="1"/>
  <c r="A627" i="4"/>
  <c r="N627" i="4" s="1"/>
  <c r="A628" i="4"/>
  <c r="N628" i="4" s="1"/>
  <c r="A629" i="4"/>
  <c r="N629" i="4" s="1"/>
  <c r="A630" i="4"/>
  <c r="N630" i="4" s="1"/>
  <c r="A631" i="4"/>
  <c r="N631" i="4" s="1"/>
  <c r="A632" i="4"/>
  <c r="N632" i="4" s="1"/>
  <c r="A633" i="4"/>
  <c r="N633" i="4" s="1"/>
  <c r="A634" i="4"/>
  <c r="N634" i="4" s="1"/>
  <c r="A635" i="4"/>
  <c r="N635" i="4" s="1"/>
  <c r="A636" i="4"/>
  <c r="N636" i="4" s="1"/>
  <c r="A637" i="4"/>
  <c r="N637" i="4" s="1"/>
  <c r="A638" i="4"/>
  <c r="N638" i="4" s="1"/>
  <c r="A639" i="4"/>
  <c r="N639" i="4" s="1"/>
  <c r="A640" i="4"/>
  <c r="N640" i="4" s="1"/>
  <c r="A641" i="4"/>
  <c r="N641" i="4" s="1"/>
  <c r="A642" i="4"/>
  <c r="N642" i="4" s="1"/>
  <c r="A643" i="4"/>
  <c r="N643" i="4" s="1"/>
  <c r="A644" i="4"/>
  <c r="N644" i="4" s="1"/>
  <c r="A645" i="4"/>
  <c r="N645" i="4" s="1"/>
  <c r="A646" i="4"/>
  <c r="N646" i="4" s="1"/>
  <c r="A647" i="4"/>
  <c r="N647" i="4" s="1"/>
  <c r="A648" i="4"/>
  <c r="N648" i="4" s="1"/>
  <c r="A649" i="4"/>
  <c r="N649" i="4" s="1"/>
  <c r="A650" i="4"/>
  <c r="N650" i="4" s="1"/>
  <c r="A651" i="4"/>
  <c r="N651" i="4" s="1"/>
  <c r="A652" i="4"/>
  <c r="N652" i="4" s="1"/>
  <c r="A653" i="4"/>
  <c r="N653" i="4" s="1"/>
  <c r="A654" i="4"/>
  <c r="N654" i="4" s="1"/>
  <c r="A655" i="4"/>
  <c r="N655" i="4" s="1"/>
  <c r="A656" i="4"/>
  <c r="N656" i="4" s="1"/>
  <c r="A657" i="4"/>
  <c r="N657" i="4" s="1"/>
  <c r="A658" i="4"/>
  <c r="N658" i="4" s="1"/>
  <c r="A659" i="4"/>
  <c r="N659" i="4" s="1"/>
  <c r="A660" i="4"/>
  <c r="N660" i="4" s="1"/>
  <c r="A661" i="4"/>
  <c r="N661" i="4" s="1"/>
  <c r="A662" i="4"/>
  <c r="N662" i="4" s="1"/>
  <c r="A663" i="4"/>
  <c r="N663" i="4" s="1"/>
  <c r="A664" i="4"/>
  <c r="N664" i="4" s="1"/>
  <c r="A665" i="4"/>
  <c r="N665" i="4" s="1"/>
  <c r="A666" i="4"/>
  <c r="N666" i="4" s="1"/>
  <c r="A667" i="4"/>
  <c r="N667" i="4" s="1"/>
  <c r="A668" i="4"/>
  <c r="N668" i="4" s="1"/>
  <c r="A669" i="4"/>
  <c r="N669" i="4" s="1"/>
  <c r="A670" i="4"/>
  <c r="N670" i="4" s="1"/>
  <c r="A671" i="4"/>
  <c r="N671" i="4" s="1"/>
  <c r="A672" i="4"/>
  <c r="N672" i="4" s="1"/>
  <c r="A673" i="4"/>
  <c r="N673" i="4" s="1"/>
  <c r="A674" i="4"/>
  <c r="N674" i="4" s="1"/>
  <c r="A675" i="4"/>
  <c r="N675" i="4" s="1"/>
  <c r="A676" i="4"/>
  <c r="N676" i="4" s="1"/>
  <c r="A677" i="4"/>
  <c r="N677" i="4" s="1"/>
  <c r="A678" i="4"/>
  <c r="N678" i="4" s="1"/>
  <c r="A679" i="4"/>
  <c r="N679" i="4" s="1"/>
  <c r="A680" i="4"/>
  <c r="N680" i="4" s="1"/>
  <c r="A681" i="4"/>
  <c r="N681" i="4" s="1"/>
  <c r="A682" i="4"/>
  <c r="N682" i="4" s="1"/>
  <c r="A683" i="4"/>
  <c r="N683" i="4" s="1"/>
  <c r="A684" i="4"/>
  <c r="N684" i="4" s="1"/>
  <c r="A685" i="4"/>
  <c r="N685" i="4" s="1"/>
  <c r="A686" i="4"/>
  <c r="N686" i="4" s="1"/>
  <c r="A687" i="4"/>
  <c r="N687" i="4" s="1"/>
  <c r="A688" i="4"/>
  <c r="N688" i="4" s="1"/>
  <c r="A689" i="4"/>
  <c r="N689" i="4" s="1"/>
  <c r="A690" i="4"/>
  <c r="N690" i="4" s="1"/>
  <c r="A691" i="4"/>
  <c r="N691" i="4" s="1"/>
  <c r="A692" i="4"/>
  <c r="N692" i="4" s="1"/>
  <c r="A693" i="4"/>
  <c r="N693" i="4" s="1"/>
  <c r="A694" i="4"/>
  <c r="N694" i="4" s="1"/>
  <c r="A695" i="4"/>
  <c r="N695" i="4" s="1"/>
  <c r="A696" i="4"/>
  <c r="N696" i="4" s="1"/>
  <c r="A697" i="4"/>
  <c r="N697" i="4" s="1"/>
  <c r="A698" i="4"/>
  <c r="N698" i="4" s="1"/>
  <c r="A699" i="4"/>
  <c r="N699" i="4" s="1"/>
  <c r="A700" i="4"/>
  <c r="N700" i="4" s="1"/>
  <c r="A701" i="4"/>
  <c r="N701" i="4" s="1"/>
  <c r="A702" i="4"/>
  <c r="N702" i="4" s="1"/>
  <c r="A703" i="4"/>
  <c r="N703" i="4" s="1"/>
  <c r="A704" i="4"/>
  <c r="N704" i="4" s="1"/>
  <c r="A705" i="4"/>
  <c r="N705" i="4" s="1"/>
  <c r="A706" i="4"/>
  <c r="N706" i="4" s="1"/>
  <c r="A707" i="4"/>
  <c r="N707" i="4" s="1"/>
  <c r="A708" i="4"/>
  <c r="N708" i="4" s="1"/>
  <c r="A709" i="4"/>
  <c r="N709" i="4" s="1"/>
  <c r="A710" i="4"/>
  <c r="N710" i="4" s="1"/>
  <c r="A711" i="4"/>
  <c r="N711" i="4" s="1"/>
  <c r="A712" i="4"/>
  <c r="N712" i="4" s="1"/>
  <c r="A713" i="4"/>
  <c r="N713" i="4" s="1"/>
  <c r="A714" i="4"/>
  <c r="N714" i="4" s="1"/>
  <c r="A715" i="4"/>
  <c r="N715" i="4" s="1"/>
  <c r="A716" i="4"/>
  <c r="N716" i="4" s="1"/>
  <c r="A717" i="4"/>
  <c r="N717" i="4" s="1"/>
  <c r="A718" i="4"/>
  <c r="N718" i="4" s="1"/>
  <c r="A719" i="4"/>
  <c r="N719" i="4" s="1"/>
  <c r="A720" i="4"/>
  <c r="N720" i="4" s="1"/>
  <c r="A721" i="4"/>
  <c r="N721" i="4" s="1"/>
  <c r="A722" i="4"/>
  <c r="N722" i="4" s="1"/>
  <c r="A723" i="4"/>
  <c r="N723" i="4" s="1"/>
  <c r="A724" i="4"/>
  <c r="N724" i="4" s="1"/>
  <c r="A725" i="4"/>
  <c r="N725" i="4" s="1"/>
  <c r="A726" i="4"/>
  <c r="N726" i="4" s="1"/>
  <c r="A727" i="4"/>
  <c r="N727" i="4" s="1"/>
  <c r="A728" i="4"/>
  <c r="N728" i="4" s="1"/>
  <c r="A729" i="4"/>
  <c r="N729" i="4" s="1"/>
  <c r="A730" i="4"/>
  <c r="N730" i="4" s="1"/>
  <c r="A731" i="4"/>
  <c r="N731" i="4" s="1"/>
  <c r="A732" i="4"/>
  <c r="N732" i="4" s="1"/>
  <c r="A733" i="4"/>
  <c r="N733" i="4" s="1"/>
  <c r="A734" i="4"/>
  <c r="N734" i="4" s="1"/>
  <c r="A735" i="4"/>
  <c r="N735" i="4" s="1"/>
  <c r="A736" i="4"/>
  <c r="N736" i="4" s="1"/>
  <c r="A737" i="4"/>
  <c r="N737" i="4" s="1"/>
  <c r="A738" i="4"/>
  <c r="N738" i="4" s="1"/>
  <c r="A739" i="4"/>
  <c r="N739" i="4" s="1"/>
  <c r="A740" i="4"/>
  <c r="N740" i="4" s="1"/>
  <c r="A741" i="4"/>
  <c r="N741" i="4" s="1"/>
  <c r="A742" i="4"/>
  <c r="N742" i="4" s="1"/>
  <c r="A743" i="4"/>
  <c r="N743" i="4" s="1"/>
  <c r="A744" i="4"/>
  <c r="N744" i="4" s="1"/>
  <c r="A745" i="4"/>
  <c r="N745" i="4" s="1"/>
  <c r="A746" i="4"/>
  <c r="N746" i="4" s="1"/>
  <c r="A747" i="4"/>
  <c r="N747" i="4" s="1"/>
  <c r="A748" i="4"/>
  <c r="N748" i="4" s="1"/>
  <c r="A749" i="4"/>
  <c r="N749" i="4" s="1"/>
  <c r="A750" i="4"/>
  <c r="N750" i="4" s="1"/>
  <c r="A751" i="4"/>
  <c r="N751" i="4" s="1"/>
  <c r="A752" i="4"/>
  <c r="N752" i="4" s="1"/>
  <c r="A753" i="4"/>
  <c r="N753" i="4" s="1"/>
  <c r="A754" i="4"/>
  <c r="N754" i="4" s="1"/>
  <c r="A755" i="4"/>
  <c r="N755" i="4" s="1"/>
  <c r="A756" i="4"/>
  <c r="N756" i="4" s="1"/>
  <c r="A757" i="4"/>
  <c r="N757" i="4" s="1"/>
  <c r="A758" i="4"/>
  <c r="N758" i="4" s="1"/>
  <c r="A759" i="4"/>
  <c r="N759" i="4" s="1"/>
  <c r="A760" i="4"/>
  <c r="N760" i="4" s="1"/>
  <c r="A761" i="4"/>
  <c r="N761" i="4" s="1"/>
  <c r="A762" i="4"/>
  <c r="N762" i="4" s="1"/>
  <c r="A763" i="4"/>
  <c r="N763" i="4" s="1"/>
  <c r="A764" i="4"/>
  <c r="N764" i="4" s="1"/>
  <c r="A765" i="4"/>
  <c r="N765" i="4" s="1"/>
  <c r="A766" i="4"/>
  <c r="N766" i="4" s="1"/>
  <c r="A767" i="4"/>
  <c r="N767" i="4" s="1"/>
  <c r="A768" i="4"/>
  <c r="N768" i="4" s="1"/>
  <c r="A769" i="4"/>
  <c r="N769" i="4" s="1"/>
  <c r="A770" i="4"/>
  <c r="N770" i="4" s="1"/>
  <c r="A771" i="4"/>
  <c r="N771" i="4" s="1"/>
  <c r="A772" i="4"/>
  <c r="N772" i="4" s="1"/>
  <c r="A773" i="4"/>
  <c r="N773" i="4" s="1"/>
  <c r="A774" i="4"/>
  <c r="N774" i="4" s="1"/>
  <c r="A775" i="4"/>
  <c r="N775" i="4" s="1"/>
  <c r="A776" i="4"/>
  <c r="N776" i="4" s="1"/>
  <c r="A777" i="4"/>
  <c r="N777" i="4" s="1"/>
  <c r="A778" i="4"/>
  <c r="N778" i="4" s="1"/>
  <c r="A779" i="4"/>
  <c r="N779" i="4" s="1"/>
  <c r="A780" i="4"/>
  <c r="N780" i="4" s="1"/>
  <c r="A781" i="4"/>
  <c r="N781" i="4" s="1"/>
  <c r="A782" i="4"/>
  <c r="N782" i="4" s="1"/>
  <c r="A783" i="4"/>
  <c r="N783" i="4" s="1"/>
  <c r="A784" i="4"/>
  <c r="N784" i="4" s="1"/>
  <c r="A785" i="4"/>
  <c r="N785" i="4" s="1"/>
  <c r="A786" i="4"/>
  <c r="N786" i="4" s="1"/>
  <c r="A787" i="4"/>
  <c r="N787" i="4" s="1"/>
  <c r="A788" i="4"/>
  <c r="N788" i="4" s="1"/>
  <c r="A789" i="4"/>
  <c r="N789" i="4" s="1"/>
  <c r="A790" i="4"/>
  <c r="N790" i="4" s="1"/>
  <c r="A791" i="4"/>
  <c r="N791" i="4" s="1"/>
  <c r="A792" i="4"/>
  <c r="N792" i="4" s="1"/>
  <c r="A793" i="4"/>
  <c r="N793" i="4" s="1"/>
  <c r="A794" i="4"/>
  <c r="N794" i="4" s="1"/>
  <c r="A795" i="4"/>
  <c r="N795" i="4" s="1"/>
  <c r="A796" i="4"/>
  <c r="N796" i="4" s="1"/>
  <c r="A797" i="4"/>
  <c r="N797" i="4" s="1"/>
  <c r="A798" i="4"/>
  <c r="N798" i="4" s="1"/>
  <c r="A799" i="4"/>
  <c r="N799" i="4" s="1"/>
  <c r="A800" i="4"/>
  <c r="N800" i="4" s="1"/>
  <c r="A801" i="4"/>
  <c r="N801" i="4" s="1"/>
  <c r="A802" i="4"/>
  <c r="N802" i="4" s="1"/>
  <c r="A803" i="4"/>
  <c r="N803" i="4" s="1"/>
  <c r="A804" i="4"/>
  <c r="N804" i="4" s="1"/>
  <c r="A805" i="4"/>
  <c r="N805" i="4" s="1"/>
  <c r="A806" i="4"/>
  <c r="N806" i="4" s="1"/>
  <c r="A807" i="4"/>
  <c r="N807" i="4" s="1"/>
  <c r="A808" i="4"/>
  <c r="N808" i="4" s="1"/>
  <c r="A809" i="4"/>
  <c r="N809" i="4" s="1"/>
  <c r="A810" i="4"/>
  <c r="N810" i="4" s="1"/>
  <c r="A811" i="4"/>
  <c r="N811" i="4" s="1"/>
  <c r="A812" i="4"/>
  <c r="N812" i="4" s="1"/>
  <c r="A813" i="4"/>
  <c r="N813" i="4" s="1"/>
  <c r="A814" i="4"/>
  <c r="N814" i="4" s="1"/>
  <c r="A815" i="4"/>
  <c r="N815" i="4" s="1"/>
  <c r="A816" i="4"/>
  <c r="N816" i="4" s="1"/>
  <c r="A817" i="4"/>
  <c r="N817" i="4" s="1"/>
  <c r="A818" i="4"/>
  <c r="N818" i="4" s="1"/>
  <c r="A819" i="4"/>
  <c r="N819" i="4" s="1"/>
  <c r="A820" i="4"/>
  <c r="N820" i="4" s="1"/>
  <c r="A821" i="4"/>
  <c r="N821" i="4" s="1"/>
  <c r="A822" i="4"/>
  <c r="N822" i="4" s="1"/>
  <c r="A823" i="4"/>
  <c r="N823" i="4" s="1"/>
  <c r="A824" i="4"/>
  <c r="N824" i="4" s="1"/>
  <c r="A825" i="4"/>
  <c r="N825" i="4" s="1"/>
  <c r="A826" i="4"/>
  <c r="N826" i="4" s="1"/>
  <c r="A827" i="4"/>
  <c r="N827" i="4" s="1"/>
  <c r="A828" i="4"/>
  <c r="N828" i="4" s="1"/>
  <c r="A829" i="4"/>
  <c r="N829" i="4" s="1"/>
  <c r="A830" i="4"/>
  <c r="N830" i="4" s="1"/>
  <c r="A831" i="4"/>
  <c r="N831" i="4" s="1"/>
  <c r="A832" i="4"/>
  <c r="N832" i="4" s="1"/>
  <c r="A833" i="4"/>
  <c r="N833" i="4" s="1"/>
  <c r="A834" i="4"/>
  <c r="N834" i="4" s="1"/>
  <c r="A835" i="4"/>
  <c r="N835" i="4" s="1"/>
  <c r="A836" i="4"/>
  <c r="N836" i="4" s="1"/>
  <c r="A837" i="4"/>
  <c r="N837" i="4" s="1"/>
  <c r="A838" i="4"/>
  <c r="N838" i="4" s="1"/>
  <c r="A839" i="4"/>
  <c r="N839" i="4" s="1"/>
  <c r="A840" i="4"/>
  <c r="N840" i="4" s="1"/>
  <c r="A841" i="4"/>
  <c r="N841" i="4" s="1"/>
  <c r="A842" i="4"/>
  <c r="N842" i="4" s="1"/>
  <c r="A843" i="4"/>
  <c r="N843" i="4" s="1"/>
  <c r="A844" i="4"/>
  <c r="N844" i="4" s="1"/>
  <c r="A845" i="4"/>
  <c r="N845" i="4" s="1"/>
  <c r="A846" i="4"/>
  <c r="N846" i="4" s="1"/>
  <c r="A847" i="4"/>
  <c r="N847" i="4" s="1"/>
  <c r="A848" i="4"/>
  <c r="N848" i="4" s="1"/>
  <c r="A849" i="4"/>
  <c r="N849" i="4" s="1"/>
  <c r="A850" i="4"/>
  <c r="N850" i="4" s="1"/>
  <c r="A851" i="4"/>
  <c r="N851" i="4" s="1"/>
  <c r="A852" i="4"/>
  <c r="N852" i="4" s="1"/>
  <c r="A853" i="4"/>
  <c r="N853" i="4" s="1"/>
  <c r="A854" i="4"/>
  <c r="N854" i="4" s="1"/>
  <c r="A855" i="4"/>
  <c r="N855" i="4" s="1"/>
  <c r="A856" i="4"/>
  <c r="N856" i="4" s="1"/>
  <c r="A857" i="4"/>
  <c r="N857" i="4" s="1"/>
  <c r="A858" i="4"/>
  <c r="N858" i="4" s="1"/>
  <c r="A859" i="4"/>
  <c r="N859" i="4" s="1"/>
  <c r="A860" i="4"/>
  <c r="N860" i="4" s="1"/>
  <c r="A861" i="4"/>
  <c r="N861" i="4" s="1"/>
  <c r="A862" i="4"/>
  <c r="N862" i="4" s="1"/>
  <c r="A863" i="4"/>
  <c r="N863" i="4" s="1"/>
  <c r="A864" i="4"/>
  <c r="N864" i="4" s="1"/>
  <c r="A865" i="4"/>
  <c r="N865" i="4" s="1"/>
  <c r="A866" i="4"/>
  <c r="N866" i="4" s="1"/>
  <c r="A867" i="4"/>
  <c r="N867" i="4" s="1"/>
  <c r="A868" i="4"/>
  <c r="N868" i="4" s="1"/>
  <c r="A869" i="4"/>
  <c r="N869" i="4" s="1"/>
  <c r="A870" i="4"/>
  <c r="N870" i="4" s="1"/>
  <c r="A871" i="4"/>
  <c r="N871" i="4" s="1"/>
  <c r="A872" i="4"/>
  <c r="N872" i="4" s="1"/>
  <c r="A873" i="4"/>
  <c r="N873" i="4" s="1"/>
  <c r="A874" i="4"/>
  <c r="N874" i="4" s="1"/>
  <c r="A875" i="4"/>
  <c r="N875" i="4" s="1"/>
  <c r="A876" i="4"/>
  <c r="N876" i="4" s="1"/>
  <c r="A877" i="4"/>
  <c r="N877" i="4" s="1"/>
  <c r="A878" i="4"/>
  <c r="N878" i="4" s="1"/>
  <c r="A879" i="4"/>
  <c r="N879" i="4" s="1"/>
  <c r="A880" i="4"/>
  <c r="N880" i="4" s="1"/>
  <c r="A881" i="4"/>
  <c r="N881" i="4" s="1"/>
  <c r="A882" i="4"/>
  <c r="N882" i="4" s="1"/>
  <c r="A883" i="4"/>
  <c r="N883" i="4" s="1"/>
  <c r="A884" i="4"/>
  <c r="N884" i="4" s="1"/>
  <c r="A885" i="4"/>
  <c r="N885" i="4" s="1"/>
  <c r="A886" i="4"/>
  <c r="N886" i="4" s="1"/>
  <c r="A887" i="4"/>
  <c r="N887" i="4" s="1"/>
  <c r="A888" i="4"/>
  <c r="N888" i="4" s="1"/>
  <c r="A889" i="4"/>
  <c r="N889" i="4" s="1"/>
  <c r="A890" i="4"/>
  <c r="N890" i="4" s="1"/>
  <c r="A891" i="4"/>
  <c r="N891" i="4" s="1"/>
  <c r="A892" i="4"/>
  <c r="N892" i="4" s="1"/>
  <c r="A893" i="4"/>
  <c r="N893" i="4" s="1"/>
  <c r="A894" i="4"/>
  <c r="N894" i="4" s="1"/>
  <c r="A895" i="4"/>
  <c r="N895" i="4" s="1"/>
  <c r="A896" i="4"/>
  <c r="N896" i="4" s="1"/>
  <c r="A897" i="4"/>
  <c r="N897" i="4" s="1"/>
  <c r="A898" i="4"/>
  <c r="N898" i="4" s="1"/>
  <c r="A899" i="4"/>
  <c r="N899" i="4" s="1"/>
  <c r="A900" i="4"/>
  <c r="N900" i="4" s="1"/>
  <c r="A901" i="4"/>
  <c r="N901" i="4" s="1"/>
  <c r="A902" i="4"/>
  <c r="N902" i="4" s="1"/>
  <c r="A903" i="4"/>
  <c r="N903" i="4" s="1"/>
  <c r="A904" i="4"/>
  <c r="N904" i="4" s="1"/>
  <c r="A905" i="4"/>
  <c r="N905" i="4" s="1"/>
  <c r="A906" i="4"/>
  <c r="N906" i="4" s="1"/>
  <c r="A907" i="4"/>
  <c r="N907" i="4" s="1"/>
  <c r="A908" i="4"/>
  <c r="N908" i="4" s="1"/>
  <c r="A909" i="4"/>
  <c r="N909" i="4" s="1"/>
  <c r="A910" i="4"/>
  <c r="N910" i="4" s="1"/>
  <c r="A911" i="4"/>
  <c r="N911" i="4" s="1"/>
  <c r="A912" i="4"/>
  <c r="N912" i="4" s="1"/>
  <c r="A913" i="4"/>
  <c r="N913" i="4" s="1"/>
  <c r="A914" i="4"/>
  <c r="N914" i="4" s="1"/>
  <c r="A915" i="4"/>
  <c r="N915" i="4" s="1"/>
  <c r="A916" i="4"/>
  <c r="N916" i="4" s="1"/>
  <c r="A917" i="4"/>
  <c r="N917" i="4" s="1"/>
  <c r="A918" i="4"/>
  <c r="N918" i="4" s="1"/>
  <c r="A919" i="4"/>
  <c r="N919" i="4" s="1"/>
  <c r="A920" i="4"/>
  <c r="N920" i="4" s="1"/>
  <c r="A921" i="4"/>
  <c r="N921" i="4" s="1"/>
  <c r="A922" i="4"/>
  <c r="N922" i="4" s="1"/>
  <c r="A923" i="4"/>
  <c r="N923" i="4" s="1"/>
  <c r="A924" i="4"/>
  <c r="N924" i="4" s="1"/>
  <c r="A925" i="4"/>
  <c r="N925" i="4" s="1"/>
  <c r="A926" i="4"/>
  <c r="N926" i="4" s="1"/>
  <c r="A927" i="4"/>
  <c r="N927" i="4" s="1"/>
  <c r="A928" i="4"/>
  <c r="N928" i="4" s="1"/>
  <c r="A929" i="4"/>
  <c r="N929" i="4" s="1"/>
  <c r="A930" i="4"/>
  <c r="N930" i="4" s="1"/>
  <c r="A931" i="4"/>
  <c r="N931" i="4" s="1"/>
  <c r="A932" i="4"/>
  <c r="N932" i="4" s="1"/>
  <c r="A933" i="4"/>
  <c r="N933" i="4" s="1"/>
  <c r="A934" i="4"/>
  <c r="N934" i="4" s="1"/>
  <c r="A935" i="4"/>
  <c r="N935" i="4" s="1"/>
  <c r="A936" i="4"/>
  <c r="N936" i="4" s="1"/>
  <c r="A937" i="4"/>
  <c r="N937" i="4" s="1"/>
  <c r="A938" i="4"/>
  <c r="N938" i="4" s="1"/>
  <c r="A939" i="4"/>
  <c r="N939" i="4" s="1"/>
  <c r="A940" i="4"/>
  <c r="N940" i="4" s="1"/>
  <c r="A941" i="4"/>
  <c r="N941" i="4" s="1"/>
  <c r="A942" i="4"/>
  <c r="N942" i="4" s="1"/>
  <c r="A943" i="4"/>
  <c r="N943" i="4" s="1"/>
  <c r="A944" i="4"/>
  <c r="N944" i="4" s="1"/>
  <c r="A945" i="4"/>
  <c r="N945" i="4" s="1"/>
  <c r="A946" i="4"/>
  <c r="N946" i="4" s="1"/>
  <c r="A947" i="4"/>
  <c r="N947" i="4" s="1"/>
  <c r="A948" i="4"/>
  <c r="N948" i="4" s="1"/>
  <c r="A949" i="4"/>
  <c r="N949" i="4" s="1"/>
  <c r="A950" i="4"/>
  <c r="N950" i="4" s="1"/>
  <c r="A951" i="4"/>
  <c r="N951" i="4" s="1"/>
  <c r="A952" i="4"/>
  <c r="N952" i="4" s="1"/>
  <c r="A953" i="4"/>
  <c r="N953" i="4" s="1"/>
  <c r="A954" i="4"/>
  <c r="N954" i="4" s="1"/>
  <c r="A955" i="4"/>
  <c r="N955" i="4" s="1"/>
  <c r="A956" i="4"/>
  <c r="N956" i="4" s="1"/>
  <c r="A957" i="4"/>
  <c r="N957" i="4" s="1"/>
  <c r="A958" i="4"/>
  <c r="N958" i="4" s="1"/>
  <c r="A959" i="4"/>
  <c r="N959" i="4" s="1"/>
  <c r="A960" i="4"/>
  <c r="N960" i="4" s="1"/>
  <c r="A961" i="4"/>
  <c r="N961" i="4" s="1"/>
  <c r="A962" i="4"/>
  <c r="N962" i="4" s="1"/>
  <c r="A963" i="4"/>
  <c r="N963" i="4" s="1"/>
  <c r="A964" i="4"/>
  <c r="N964" i="4" s="1"/>
  <c r="A965" i="4"/>
  <c r="N965" i="4" s="1"/>
  <c r="A966" i="4"/>
  <c r="N966" i="4" s="1"/>
  <c r="A967" i="4"/>
  <c r="N967" i="4" s="1"/>
  <c r="A968" i="4"/>
  <c r="N968" i="4" s="1"/>
  <c r="A969" i="4"/>
  <c r="N969" i="4" s="1"/>
  <c r="A970" i="4"/>
  <c r="N970" i="4" s="1"/>
  <c r="A971" i="4"/>
  <c r="N971" i="4" s="1"/>
  <c r="A972" i="4"/>
  <c r="N972" i="4" s="1"/>
  <c r="A973" i="4"/>
  <c r="N973" i="4" s="1"/>
  <c r="A974" i="4"/>
  <c r="N974" i="4" s="1"/>
  <c r="A975" i="4"/>
  <c r="N975" i="4" s="1"/>
  <c r="A976" i="4"/>
  <c r="N976" i="4" s="1"/>
  <c r="A977" i="4"/>
  <c r="N977" i="4" s="1"/>
  <c r="A978" i="4"/>
  <c r="N978" i="4" s="1"/>
  <c r="A979" i="4"/>
  <c r="N979" i="4" s="1"/>
  <c r="A980" i="4"/>
  <c r="N980" i="4" s="1"/>
  <c r="A981" i="4"/>
  <c r="N981" i="4" s="1"/>
  <c r="A982" i="4"/>
  <c r="N982" i="4" s="1"/>
  <c r="A983" i="4"/>
  <c r="N983" i="4" s="1"/>
  <c r="A984" i="4"/>
  <c r="N984" i="4" s="1"/>
  <c r="A985" i="4"/>
  <c r="N985" i="4" s="1"/>
  <c r="A986" i="4"/>
  <c r="N986" i="4" s="1"/>
  <c r="A987" i="4"/>
  <c r="N987" i="4" s="1"/>
  <c r="A988" i="4"/>
  <c r="N988" i="4" s="1"/>
  <c r="A989" i="4"/>
  <c r="N989" i="4" s="1"/>
  <c r="A990" i="4"/>
  <c r="N990" i="4" s="1"/>
  <c r="A991" i="4"/>
  <c r="N991" i="4" s="1"/>
  <c r="A992" i="4"/>
  <c r="N992" i="4" s="1"/>
  <c r="A993" i="4"/>
  <c r="N993" i="4" s="1"/>
  <c r="A994" i="4"/>
  <c r="N994" i="4" s="1"/>
  <c r="A995" i="4"/>
  <c r="N995" i="4" s="1"/>
  <c r="A996" i="4"/>
  <c r="N996" i="4" s="1"/>
  <c r="A997" i="4"/>
  <c r="N997" i="4" s="1"/>
  <c r="A998" i="4"/>
  <c r="N998" i="4" s="1"/>
  <c r="A999" i="4"/>
  <c r="N999" i="4" s="1"/>
  <c r="A1000" i="4"/>
  <c r="N1000" i="4" s="1"/>
  <c r="A1001" i="4"/>
  <c r="N1001" i="4" s="1"/>
  <c r="A1002" i="4"/>
  <c r="N1002" i="4" s="1"/>
  <c r="A1003" i="4"/>
  <c r="N1003" i="4" s="1"/>
  <c r="A1004" i="4"/>
  <c r="N1004" i="4" s="1"/>
  <c r="A1005" i="4"/>
  <c r="N1005" i="4" s="1"/>
  <c r="A1006" i="4"/>
  <c r="N1006" i="4" s="1"/>
  <c r="A1007" i="4"/>
  <c r="N1007" i="4" s="1"/>
  <c r="A1008" i="4"/>
  <c r="N1008" i="4" s="1"/>
  <c r="A1009" i="4"/>
  <c r="N1009" i="4" s="1"/>
  <c r="A1010" i="4"/>
  <c r="N1010" i="4" s="1"/>
  <c r="A1011" i="4"/>
  <c r="N1011" i="4" s="1"/>
  <c r="A1012" i="4"/>
  <c r="N1012" i="4" s="1"/>
  <c r="A1013" i="4"/>
  <c r="N1013" i="4" s="1"/>
  <c r="A1014" i="4"/>
  <c r="N1014" i="4" s="1"/>
  <c r="A1015" i="4"/>
  <c r="N1015" i="4" s="1"/>
  <c r="A1016" i="4"/>
  <c r="N1016" i="4" s="1"/>
  <c r="A1017" i="4"/>
  <c r="N1017" i="4" s="1"/>
  <c r="A1018" i="4"/>
  <c r="N1018" i="4" s="1"/>
  <c r="A1019" i="4"/>
  <c r="N1019" i="4" s="1"/>
  <c r="A1020" i="4"/>
  <c r="N1020" i="4" s="1"/>
  <c r="A1021" i="4"/>
  <c r="N1021" i="4" s="1"/>
  <c r="A1022" i="4"/>
  <c r="N1022" i="4" s="1"/>
  <c r="A1023" i="4"/>
  <c r="N1023" i="4" s="1"/>
  <c r="A1024" i="4"/>
  <c r="N1024" i="4" s="1"/>
  <c r="A1025" i="4"/>
  <c r="N1025" i="4" s="1"/>
  <c r="A1026" i="4"/>
  <c r="N1026" i="4" s="1"/>
  <c r="A1027" i="4"/>
  <c r="N1027" i="4" s="1"/>
  <c r="A1028" i="4"/>
  <c r="N1028" i="4" s="1"/>
  <c r="A1029" i="4"/>
  <c r="N1029" i="4" s="1"/>
  <c r="A1030" i="4"/>
  <c r="N1030" i="4" s="1"/>
  <c r="A1031" i="4"/>
  <c r="N1031" i="4" s="1"/>
  <c r="A1032" i="4"/>
  <c r="N1032" i="4" s="1"/>
  <c r="A1033" i="4"/>
  <c r="N1033" i="4" s="1"/>
  <c r="A1034" i="4"/>
  <c r="N1034" i="4" s="1"/>
  <c r="A1035" i="4"/>
  <c r="N1035" i="4" s="1"/>
  <c r="A1036" i="4"/>
  <c r="N1036" i="4" s="1"/>
  <c r="A1037" i="4"/>
  <c r="N1037" i="4" s="1"/>
  <c r="A1038" i="4"/>
  <c r="N1038" i="4" s="1"/>
  <c r="A1039" i="4"/>
  <c r="N1039" i="4" s="1"/>
  <c r="A1040" i="4"/>
  <c r="N1040" i="4" s="1"/>
  <c r="A1041" i="4"/>
  <c r="N1041" i="4" s="1"/>
  <c r="A1042" i="4"/>
  <c r="N1042" i="4" s="1"/>
  <c r="A1043" i="4"/>
  <c r="N1043" i="4" s="1"/>
  <c r="A1044" i="4"/>
  <c r="N1044" i="4" s="1"/>
  <c r="A1045" i="4"/>
  <c r="N1045" i="4" s="1"/>
  <c r="A1046" i="4"/>
  <c r="N1046" i="4" s="1"/>
  <c r="A1047" i="4"/>
  <c r="N1047" i="4" s="1"/>
  <c r="A1048" i="4"/>
  <c r="N1048" i="4" s="1"/>
  <c r="A1049" i="4"/>
  <c r="N1049" i="4" s="1"/>
  <c r="A1050" i="4"/>
  <c r="N1050" i="4" s="1"/>
  <c r="A1051" i="4"/>
  <c r="N1051" i="4" s="1"/>
  <c r="A1052" i="4"/>
  <c r="N1052" i="4" s="1"/>
  <c r="A1053" i="4"/>
  <c r="N1053" i="4" s="1"/>
  <c r="A1054" i="4"/>
  <c r="N1054" i="4" s="1"/>
  <c r="A1055" i="4"/>
  <c r="N1055" i="4" s="1"/>
  <c r="A1056" i="4"/>
  <c r="N1056" i="4" s="1"/>
  <c r="A1057" i="4"/>
  <c r="N1057" i="4" s="1"/>
  <c r="A1058" i="4"/>
  <c r="N1058" i="4" s="1"/>
  <c r="A1059" i="4"/>
  <c r="N1059" i="4" s="1"/>
  <c r="A1060" i="4"/>
  <c r="N1060" i="4" s="1"/>
  <c r="A1061" i="4"/>
  <c r="N1061" i="4" s="1"/>
  <c r="A1062" i="4"/>
  <c r="N1062" i="4" s="1"/>
  <c r="A1063" i="4"/>
  <c r="N1063" i="4" s="1"/>
  <c r="A1064" i="4"/>
  <c r="N1064" i="4" s="1"/>
  <c r="A1065" i="4"/>
  <c r="N1065" i="4" s="1"/>
  <c r="A1066" i="4"/>
  <c r="N1066" i="4" s="1"/>
  <c r="A1067" i="4"/>
  <c r="N1067" i="4" s="1"/>
  <c r="A1068" i="4"/>
  <c r="N1068" i="4" s="1"/>
  <c r="A1069" i="4"/>
  <c r="N1069" i="4" s="1"/>
  <c r="A1070" i="4"/>
  <c r="N1070" i="4" s="1"/>
  <c r="A1071" i="4"/>
  <c r="N1071" i="4" s="1"/>
  <c r="A1072" i="4"/>
  <c r="N1072" i="4" s="1"/>
  <c r="A1073" i="4"/>
  <c r="N1073" i="4" s="1"/>
  <c r="A1074" i="4"/>
  <c r="N1074" i="4" s="1"/>
  <c r="A1075" i="4"/>
  <c r="N1075" i="4" s="1"/>
  <c r="A1076" i="4"/>
  <c r="N1076" i="4" s="1"/>
  <c r="A1077" i="4"/>
  <c r="N1077" i="4" s="1"/>
  <c r="A1078" i="4"/>
  <c r="N1078" i="4" s="1"/>
  <c r="A1079" i="4"/>
  <c r="N1079" i="4" s="1"/>
  <c r="A1080" i="4"/>
  <c r="N1080" i="4" s="1"/>
  <c r="A1081" i="4"/>
  <c r="N1081" i="4" s="1"/>
  <c r="A1082" i="4"/>
  <c r="N1082" i="4" s="1"/>
  <c r="A1083" i="4"/>
  <c r="N1083" i="4" s="1"/>
  <c r="A1084" i="4"/>
  <c r="N1084" i="4" s="1"/>
  <c r="A1085" i="4"/>
  <c r="N1085" i="4" s="1"/>
  <c r="A1086" i="4"/>
  <c r="N1086" i="4" s="1"/>
  <c r="A1087" i="4"/>
  <c r="N1087" i="4" s="1"/>
  <c r="A1088" i="4"/>
  <c r="N1088" i="4" s="1"/>
  <c r="A1089" i="4"/>
  <c r="N1089" i="4" s="1"/>
  <c r="A1090" i="4"/>
  <c r="N1090" i="4" s="1"/>
  <c r="A1091" i="4"/>
  <c r="N1091" i="4" s="1"/>
  <c r="A1092" i="4"/>
  <c r="N1092" i="4" s="1"/>
  <c r="A1093" i="4"/>
  <c r="N1093" i="4" s="1"/>
  <c r="A1094" i="4"/>
  <c r="N1094" i="4" s="1"/>
  <c r="A1095" i="4"/>
  <c r="N1095" i="4" s="1"/>
  <c r="A1096" i="4"/>
  <c r="N1096" i="4" s="1"/>
  <c r="A1097" i="4"/>
  <c r="N1097" i="4" s="1"/>
  <c r="A1098" i="4"/>
  <c r="N1098" i="4" s="1"/>
  <c r="A1099" i="4"/>
  <c r="N1099" i="4" s="1"/>
  <c r="A1100" i="4"/>
  <c r="N1100" i="4" s="1"/>
  <c r="A1101" i="4"/>
  <c r="N1101" i="4" s="1"/>
  <c r="A1102" i="4"/>
  <c r="N1102" i="4" s="1"/>
  <c r="A1103" i="4"/>
  <c r="N1103" i="4" s="1"/>
  <c r="A1104" i="4"/>
  <c r="N1104" i="4" s="1"/>
  <c r="A1105" i="4"/>
  <c r="N1105" i="4" s="1"/>
  <c r="A1106" i="4"/>
  <c r="N1106" i="4" s="1"/>
  <c r="A1107" i="4"/>
  <c r="N1107" i="4" s="1"/>
  <c r="A1108" i="4"/>
  <c r="N1108" i="4" s="1"/>
  <c r="A1109" i="4"/>
  <c r="N1109" i="4" s="1"/>
  <c r="A1110" i="4"/>
  <c r="N1110" i="4" s="1"/>
  <c r="A1111" i="4"/>
  <c r="N1111" i="4" s="1"/>
  <c r="A1112" i="4"/>
  <c r="N1112" i="4" s="1"/>
  <c r="A1113" i="4"/>
  <c r="N1113" i="4" s="1"/>
  <c r="A1114" i="4"/>
  <c r="N1114" i="4" s="1"/>
  <c r="A1115" i="4"/>
  <c r="N1115" i="4" s="1"/>
  <c r="A1116" i="4"/>
  <c r="N1116" i="4" s="1"/>
  <c r="A1117" i="4"/>
  <c r="N1117" i="4" s="1"/>
  <c r="A1118" i="4"/>
  <c r="N1118" i="4" s="1"/>
  <c r="A1119" i="4"/>
  <c r="N1119" i="4" s="1"/>
  <c r="A1120" i="4"/>
  <c r="N1120" i="4" s="1"/>
  <c r="A1121" i="4"/>
  <c r="N1121" i="4" s="1"/>
  <c r="A1122" i="4"/>
  <c r="N1122" i="4" s="1"/>
  <c r="A1123" i="4"/>
  <c r="N1123" i="4" s="1"/>
  <c r="A1124" i="4"/>
  <c r="N1124" i="4" s="1"/>
  <c r="A1125" i="4"/>
  <c r="N1125" i="4" s="1"/>
  <c r="A1126" i="4"/>
  <c r="N1126" i="4" s="1"/>
  <c r="A1127" i="4"/>
  <c r="N1127" i="4" s="1"/>
  <c r="A1128" i="4"/>
  <c r="N1128" i="4" s="1"/>
  <c r="A1129" i="4"/>
  <c r="N1129" i="4" s="1"/>
  <c r="A1130" i="4"/>
  <c r="N1130" i="4" s="1"/>
  <c r="A1131" i="4"/>
  <c r="N1131" i="4" s="1"/>
  <c r="A1132" i="4"/>
  <c r="N1132" i="4" s="1"/>
  <c r="A1133" i="4"/>
  <c r="N1133" i="4" s="1"/>
  <c r="A1134" i="4"/>
  <c r="N1134" i="4" s="1"/>
  <c r="A1135" i="4"/>
  <c r="N1135" i="4" s="1"/>
  <c r="A1136" i="4"/>
  <c r="N1136" i="4" s="1"/>
  <c r="A1137" i="4"/>
  <c r="N1137" i="4" s="1"/>
  <c r="A1138" i="4"/>
  <c r="N1138" i="4" s="1"/>
  <c r="A1139" i="4"/>
  <c r="N1139" i="4" s="1"/>
  <c r="A1140" i="4"/>
  <c r="N1140" i="4" s="1"/>
  <c r="A1141" i="4"/>
  <c r="N1141" i="4" s="1"/>
  <c r="A1142" i="4"/>
  <c r="N1142" i="4" s="1"/>
  <c r="A1143" i="4"/>
  <c r="N1143" i="4" s="1"/>
  <c r="A1144" i="4"/>
  <c r="N1144" i="4" s="1"/>
  <c r="A1145" i="4"/>
  <c r="N1145" i="4" s="1"/>
  <c r="A1146" i="4"/>
  <c r="N1146" i="4" s="1"/>
  <c r="A1147" i="4"/>
  <c r="N1147" i="4" s="1"/>
  <c r="A1148" i="4"/>
  <c r="N1148" i="4" s="1"/>
  <c r="A1149" i="4"/>
  <c r="N1149" i="4" s="1"/>
  <c r="A1150" i="4"/>
  <c r="N1150" i="4" s="1"/>
  <c r="A1151" i="4"/>
  <c r="N1151" i="4" s="1"/>
  <c r="A1152" i="4"/>
  <c r="N1152" i="4" s="1"/>
  <c r="A1153" i="4"/>
  <c r="N1153" i="4" s="1"/>
  <c r="A1154" i="4"/>
  <c r="N1154" i="4" s="1"/>
  <c r="A1155" i="4"/>
  <c r="N1155" i="4" s="1"/>
  <c r="A1156" i="4"/>
  <c r="N1156" i="4" s="1"/>
  <c r="A1157" i="4"/>
  <c r="N1157" i="4" s="1"/>
  <c r="A1158" i="4"/>
  <c r="N1158" i="4" s="1"/>
  <c r="A1159" i="4"/>
  <c r="N1159" i="4" s="1"/>
  <c r="A1160" i="4"/>
  <c r="N1160" i="4" s="1"/>
  <c r="A1161" i="4"/>
  <c r="N1161" i="4" s="1"/>
  <c r="A1162" i="4"/>
  <c r="N1162" i="4" s="1"/>
  <c r="A1163" i="4"/>
  <c r="N1163" i="4" s="1"/>
  <c r="A1164" i="4"/>
  <c r="N1164" i="4" s="1"/>
  <c r="A1165" i="4"/>
  <c r="N1165" i="4" s="1"/>
  <c r="A1166" i="4"/>
  <c r="N1166" i="4" s="1"/>
  <c r="A1167" i="4"/>
  <c r="N1167" i="4" s="1"/>
  <c r="A1168" i="4"/>
  <c r="N1168" i="4" s="1"/>
  <c r="A1169" i="4"/>
  <c r="N1169" i="4" s="1"/>
  <c r="A1170" i="4"/>
  <c r="N1170" i="4" s="1"/>
  <c r="A1171" i="4"/>
  <c r="N1171" i="4" s="1"/>
  <c r="A1172" i="4"/>
  <c r="N1172" i="4" s="1"/>
  <c r="A1173" i="4"/>
  <c r="N1173" i="4" s="1"/>
  <c r="A1174" i="4"/>
  <c r="N1174" i="4" s="1"/>
  <c r="A1175" i="4"/>
  <c r="N1175" i="4" s="1"/>
  <c r="A1176" i="4"/>
  <c r="N1176" i="4" s="1"/>
  <c r="A1177" i="4"/>
  <c r="N1177" i="4" s="1"/>
  <c r="A1178" i="4"/>
  <c r="N1178" i="4" s="1"/>
  <c r="A1179" i="4"/>
  <c r="N1179" i="4" s="1"/>
  <c r="A1180" i="4"/>
  <c r="N1180" i="4" s="1"/>
  <c r="A1181" i="4"/>
  <c r="N1181" i="4" s="1"/>
  <c r="A1182" i="4"/>
  <c r="N1182" i="4" s="1"/>
  <c r="A1183" i="4"/>
  <c r="N1183" i="4" s="1"/>
  <c r="A1184" i="4"/>
  <c r="N1184" i="4" s="1"/>
  <c r="A1185" i="4"/>
  <c r="N1185" i="4" s="1"/>
  <c r="A1186" i="4"/>
  <c r="N1186" i="4" s="1"/>
  <c r="A1187" i="4"/>
  <c r="N1187" i="4" s="1"/>
  <c r="A1188" i="4"/>
  <c r="N1188" i="4" s="1"/>
  <c r="A1189" i="4"/>
  <c r="N1189" i="4" s="1"/>
  <c r="A1190" i="4"/>
  <c r="N1190" i="4" s="1"/>
  <c r="A1191" i="4"/>
  <c r="N1191" i="4" s="1"/>
  <c r="A1192" i="4"/>
  <c r="N1192" i="4" s="1"/>
  <c r="A1193" i="4"/>
  <c r="N1193" i="4" s="1"/>
  <c r="A1194" i="4"/>
  <c r="N1194" i="4" s="1"/>
  <c r="A1195" i="4"/>
  <c r="N1195" i="4" s="1"/>
  <c r="A1196" i="4"/>
  <c r="N1196" i="4" s="1"/>
  <c r="A1197" i="4"/>
  <c r="N1197" i="4" s="1"/>
  <c r="A1198" i="4"/>
  <c r="N1198" i="4" s="1"/>
  <c r="A1199" i="4"/>
  <c r="N1199" i="4" s="1"/>
  <c r="A1200" i="4"/>
  <c r="N1200" i="4" s="1"/>
  <c r="A1201" i="4"/>
  <c r="N1201" i="4" s="1"/>
  <c r="A1202" i="4"/>
  <c r="N1202" i="4" s="1"/>
  <c r="A1203" i="4"/>
  <c r="N1203" i="4" s="1"/>
  <c r="A1204" i="4"/>
  <c r="N1204" i="4" s="1"/>
  <c r="A1205" i="4"/>
  <c r="N1205" i="4" s="1"/>
  <c r="A1206" i="4"/>
  <c r="N1206" i="4" s="1"/>
  <c r="A1207" i="4"/>
  <c r="N1207" i="4" s="1"/>
  <c r="A1208" i="4"/>
  <c r="N1208" i="4" s="1"/>
  <c r="A1209" i="4"/>
  <c r="N1209" i="4" s="1"/>
  <c r="A1210" i="4"/>
  <c r="N1210" i="4" s="1"/>
  <c r="A1211" i="4"/>
  <c r="N1211" i="4" s="1"/>
  <c r="A1212" i="4"/>
  <c r="N1212" i="4" s="1"/>
  <c r="A1213" i="4"/>
  <c r="N1213" i="4" s="1"/>
  <c r="A1214" i="4"/>
  <c r="N1214" i="4" s="1"/>
  <c r="A1215" i="4"/>
  <c r="N1215" i="4" s="1"/>
  <c r="A1216" i="4"/>
  <c r="N1216" i="4" s="1"/>
  <c r="A1217" i="4"/>
  <c r="N1217" i="4" s="1"/>
  <c r="A1218" i="4"/>
  <c r="N1218" i="4" s="1"/>
  <c r="A1219" i="4"/>
  <c r="N1219" i="4" s="1"/>
  <c r="A1220" i="4"/>
  <c r="N1220" i="4" s="1"/>
  <c r="A1221" i="4"/>
  <c r="N1221" i="4" s="1"/>
  <c r="A1222" i="4"/>
  <c r="N1222" i="4" s="1"/>
  <c r="A1223" i="4"/>
  <c r="N1223" i="4" s="1"/>
  <c r="A1224" i="4"/>
  <c r="N1224" i="4" s="1"/>
  <c r="A1225" i="4"/>
  <c r="N1225" i="4" s="1"/>
  <c r="A1226" i="4"/>
  <c r="N1226" i="4" s="1"/>
  <c r="A1227" i="4"/>
  <c r="N1227" i="4" s="1"/>
  <c r="A1228" i="4"/>
  <c r="N1228" i="4" s="1"/>
  <c r="A1229" i="4"/>
  <c r="N1229" i="4" s="1"/>
  <c r="A1230" i="4"/>
  <c r="N1230" i="4" s="1"/>
  <c r="A1231" i="4"/>
  <c r="N1231" i="4" s="1"/>
  <c r="A1232" i="4"/>
  <c r="N1232" i="4" s="1"/>
  <c r="A1233" i="4"/>
  <c r="N1233" i="4" s="1"/>
  <c r="A1234" i="4"/>
  <c r="N1234" i="4" s="1"/>
  <c r="A1235" i="4"/>
  <c r="N1235" i="4" s="1"/>
  <c r="A1236" i="4"/>
  <c r="N1236" i="4" s="1"/>
  <c r="A1237" i="4"/>
  <c r="N1237" i="4" s="1"/>
  <c r="A1238" i="4"/>
  <c r="N1238" i="4" s="1"/>
  <c r="A1239" i="4"/>
  <c r="N1239" i="4" s="1"/>
  <c r="A1240" i="4"/>
  <c r="N1240" i="4" s="1"/>
  <c r="A1241" i="4"/>
  <c r="N1241" i="4" s="1"/>
  <c r="A1242" i="4"/>
  <c r="N1242" i="4" s="1"/>
  <c r="A1243" i="4"/>
  <c r="N1243" i="4" s="1"/>
  <c r="A1244" i="4"/>
  <c r="N1244" i="4" s="1"/>
  <c r="A1245" i="4"/>
  <c r="N1245" i="4" s="1"/>
  <c r="A1246" i="4"/>
  <c r="N1246" i="4" s="1"/>
  <c r="A1247" i="4"/>
  <c r="N1247" i="4" s="1"/>
  <c r="A1248" i="4"/>
  <c r="N1248" i="4" s="1"/>
  <c r="A1249" i="4"/>
  <c r="N1249" i="4" s="1"/>
  <c r="A1250" i="4"/>
  <c r="N1250" i="4" s="1"/>
  <c r="A1251" i="4"/>
  <c r="N1251" i="4" s="1"/>
  <c r="A1252" i="4"/>
  <c r="N1252" i="4" s="1"/>
  <c r="A1253" i="4"/>
  <c r="N1253" i="4" s="1"/>
  <c r="A1254" i="4"/>
  <c r="N1254" i="4" s="1"/>
  <c r="A1255" i="4"/>
  <c r="N1255" i="4" s="1"/>
  <c r="A1256" i="4"/>
  <c r="N1256" i="4" s="1"/>
  <c r="A1257" i="4"/>
  <c r="N1257" i="4" s="1"/>
  <c r="A1258" i="4"/>
  <c r="N1258" i="4" s="1"/>
  <c r="A1259" i="4"/>
  <c r="N1259" i="4" s="1"/>
  <c r="A1260" i="4"/>
  <c r="N1260" i="4" s="1"/>
  <c r="A1261" i="4"/>
  <c r="N1261" i="4" s="1"/>
  <c r="A1262" i="4"/>
  <c r="N1262" i="4" s="1"/>
  <c r="A1263" i="4"/>
  <c r="N1263" i="4" s="1"/>
  <c r="A1264" i="4"/>
  <c r="N1264" i="4" s="1"/>
  <c r="A1265" i="4"/>
  <c r="N1265" i="4" s="1"/>
  <c r="A1266" i="4"/>
  <c r="N1266" i="4" s="1"/>
  <c r="A1267" i="4"/>
  <c r="N1267" i="4" s="1"/>
  <c r="A1268" i="4"/>
  <c r="N1268" i="4" s="1"/>
  <c r="A1269" i="4"/>
  <c r="N1269" i="4" s="1"/>
  <c r="A1270" i="4"/>
  <c r="N1270" i="4" s="1"/>
  <c r="A1271" i="4"/>
  <c r="N1271" i="4" s="1"/>
  <c r="A1272" i="4"/>
  <c r="N1272" i="4" s="1"/>
  <c r="A1273" i="4"/>
  <c r="N1273" i="4" s="1"/>
  <c r="A1274" i="4"/>
  <c r="N1274" i="4" s="1"/>
  <c r="A1275" i="4"/>
  <c r="N1275" i="4" s="1"/>
  <c r="A1276" i="4"/>
  <c r="N1276" i="4" s="1"/>
  <c r="A1277" i="4"/>
  <c r="N1277" i="4" s="1"/>
  <c r="A1278" i="4"/>
  <c r="N1278" i="4" s="1"/>
  <c r="A1279" i="4"/>
  <c r="N1279" i="4" s="1"/>
  <c r="A1280" i="4"/>
  <c r="N1280" i="4" s="1"/>
  <c r="A1281" i="4"/>
  <c r="N1281" i="4" s="1"/>
  <c r="A1282" i="4"/>
  <c r="N1282" i="4" s="1"/>
  <c r="A1283" i="4"/>
  <c r="N1283" i="4" s="1"/>
  <c r="A1284" i="4"/>
  <c r="N1284" i="4" s="1"/>
  <c r="A1285" i="4"/>
  <c r="N1285" i="4" s="1"/>
  <c r="A1286" i="4"/>
  <c r="N1286" i="4" s="1"/>
  <c r="A1287" i="4"/>
  <c r="N1287" i="4" s="1"/>
  <c r="A1288" i="4"/>
  <c r="N1288" i="4" s="1"/>
  <c r="A1289" i="4"/>
  <c r="N1289" i="4" s="1"/>
  <c r="A1290" i="4"/>
  <c r="N1290" i="4" s="1"/>
  <c r="A1291" i="4"/>
  <c r="N1291" i="4" s="1"/>
  <c r="A1292" i="4"/>
  <c r="N1292" i="4" s="1"/>
  <c r="A1293" i="4"/>
  <c r="N1293" i="4" s="1"/>
  <c r="A1294" i="4"/>
  <c r="N1294" i="4" s="1"/>
  <c r="A1295" i="4"/>
  <c r="N1295" i="4" s="1"/>
  <c r="A1296" i="4"/>
  <c r="N1296" i="4" s="1"/>
  <c r="A1297" i="4"/>
  <c r="N1297" i="4" s="1"/>
  <c r="A1298" i="4"/>
  <c r="N1298" i="4" s="1"/>
  <c r="A1299" i="4"/>
  <c r="N1299" i="4" s="1"/>
  <c r="A1300" i="4"/>
  <c r="N1300" i="4" s="1"/>
  <c r="A1301" i="4"/>
  <c r="N1301" i="4" s="1"/>
  <c r="A1302" i="4"/>
  <c r="N1302" i="4" s="1"/>
  <c r="A1303" i="4"/>
  <c r="N1303" i="4" s="1"/>
  <c r="A1304" i="4"/>
  <c r="N1304" i="4" s="1"/>
  <c r="A1305" i="4"/>
  <c r="N1305" i="4" s="1"/>
  <c r="A1306" i="4"/>
  <c r="N1306" i="4" s="1"/>
  <c r="A1307" i="4"/>
  <c r="N1307" i="4" s="1"/>
  <c r="A1308" i="4"/>
  <c r="N1308" i="4" s="1"/>
  <c r="A1309" i="4"/>
  <c r="N1309" i="4" s="1"/>
  <c r="A1310" i="4"/>
  <c r="N1310" i="4" s="1"/>
  <c r="A1311" i="4"/>
  <c r="N1311" i="4" s="1"/>
  <c r="A1312" i="4"/>
  <c r="N1312" i="4" s="1"/>
  <c r="A1313" i="4"/>
  <c r="N1313" i="4" s="1"/>
  <c r="A1314" i="4"/>
  <c r="N1314" i="4" s="1"/>
  <c r="A1315" i="4"/>
  <c r="N1315" i="4" s="1"/>
  <c r="A1316" i="4"/>
  <c r="N1316" i="4" s="1"/>
  <c r="A1317" i="4"/>
  <c r="N1317" i="4" s="1"/>
  <c r="A1318" i="4"/>
  <c r="N1318" i="4" s="1"/>
  <c r="A1319" i="4"/>
  <c r="N1319" i="4" s="1"/>
  <c r="A1320" i="4"/>
  <c r="N1320" i="4" s="1"/>
  <c r="A1321" i="4"/>
  <c r="N1321" i="4" s="1"/>
  <c r="A1322" i="4"/>
  <c r="N1322" i="4" s="1"/>
  <c r="A1323" i="4"/>
  <c r="N1323" i="4" s="1"/>
  <c r="A1324" i="4"/>
  <c r="N1324" i="4" s="1"/>
  <c r="A1325" i="4"/>
  <c r="N1325" i="4" s="1"/>
  <c r="A1326" i="4"/>
  <c r="N1326" i="4" s="1"/>
  <c r="A1327" i="4"/>
  <c r="N1327" i="4" s="1"/>
  <c r="A1328" i="4"/>
  <c r="N1328" i="4" s="1"/>
  <c r="A1329" i="4"/>
  <c r="N1329" i="4" s="1"/>
  <c r="A1330" i="4"/>
  <c r="N1330" i="4" s="1"/>
  <c r="A1331" i="4"/>
  <c r="N1331" i="4" s="1"/>
  <c r="A1332" i="4"/>
  <c r="N1332" i="4" s="1"/>
  <c r="A1333" i="4"/>
  <c r="N1333" i="4" s="1"/>
  <c r="A1334" i="4"/>
  <c r="N1334" i="4" s="1"/>
  <c r="A1335" i="4"/>
  <c r="N1335" i="4" s="1"/>
  <c r="A1336" i="4"/>
  <c r="N1336" i="4" s="1"/>
  <c r="A1337" i="4"/>
  <c r="N1337" i="4" s="1"/>
  <c r="A1338" i="4"/>
  <c r="N1338" i="4" s="1"/>
  <c r="A1339" i="4"/>
  <c r="N1339" i="4" s="1"/>
  <c r="A1340" i="4"/>
  <c r="N1340" i="4" s="1"/>
  <c r="A1341" i="4"/>
  <c r="N1341" i="4" s="1"/>
  <c r="A1342" i="4"/>
  <c r="N1342" i="4" s="1"/>
  <c r="A1343" i="4"/>
  <c r="N1343" i="4" s="1"/>
  <c r="A1344" i="4"/>
  <c r="N1344" i="4" s="1"/>
  <c r="A1345" i="4"/>
  <c r="N1345" i="4" s="1"/>
  <c r="A1346" i="4"/>
  <c r="N1346" i="4" s="1"/>
  <c r="A1347" i="4"/>
  <c r="N1347" i="4" s="1"/>
  <c r="A1348" i="4"/>
  <c r="N1348" i="4" s="1"/>
  <c r="A1349" i="4"/>
  <c r="N1349" i="4" s="1"/>
  <c r="A1350" i="4"/>
  <c r="N1350" i="4" s="1"/>
  <c r="A1351" i="4"/>
  <c r="N1351" i="4" s="1"/>
  <c r="A1352" i="4"/>
  <c r="N1352" i="4" s="1"/>
  <c r="A1353" i="4"/>
  <c r="N1353" i="4" s="1"/>
  <c r="A1354" i="4"/>
  <c r="N1354" i="4" s="1"/>
  <c r="A1355" i="4"/>
  <c r="N1355" i="4" s="1"/>
  <c r="A1356" i="4"/>
  <c r="N1356" i="4" s="1"/>
  <c r="A1357" i="4"/>
  <c r="N1357" i="4" s="1"/>
  <c r="A1358" i="4"/>
  <c r="N1358" i="4" s="1"/>
  <c r="A1359" i="4"/>
  <c r="N1359" i="4" s="1"/>
  <c r="A1360" i="4"/>
  <c r="N1360" i="4" s="1"/>
  <c r="A1361" i="4"/>
  <c r="N1361" i="4" s="1"/>
  <c r="A1362" i="4"/>
  <c r="N1362" i="4" s="1"/>
  <c r="A1363" i="4"/>
  <c r="N1363" i="4" s="1"/>
  <c r="A1364" i="4"/>
  <c r="N1364" i="4" s="1"/>
  <c r="A1365" i="4"/>
  <c r="N1365" i="4" s="1"/>
  <c r="A1366" i="4"/>
  <c r="N1366" i="4" s="1"/>
  <c r="A1367" i="4"/>
  <c r="N1367" i="4" s="1"/>
  <c r="A1368" i="4"/>
  <c r="N1368" i="4" s="1"/>
  <c r="A1369" i="4"/>
  <c r="N1369" i="4" s="1"/>
  <c r="A1370" i="4"/>
  <c r="N1370" i="4" s="1"/>
  <c r="A1371" i="4"/>
  <c r="N1371" i="4" s="1"/>
  <c r="A1372" i="4"/>
  <c r="N1372" i="4" s="1"/>
  <c r="A1373" i="4"/>
  <c r="N1373" i="4" s="1"/>
  <c r="A1374" i="4"/>
  <c r="N1374" i="4" s="1"/>
  <c r="A1375" i="4"/>
  <c r="N1375" i="4" s="1"/>
  <c r="A1376" i="4"/>
  <c r="N1376" i="4" s="1"/>
  <c r="A1377" i="4"/>
  <c r="N1377" i="4" s="1"/>
  <c r="A1378" i="4"/>
  <c r="N1378" i="4" s="1"/>
  <c r="A1379" i="4"/>
  <c r="N1379" i="4" s="1"/>
  <c r="A1380" i="4"/>
  <c r="N1380" i="4" s="1"/>
  <c r="A1381" i="4"/>
  <c r="N1381" i="4" s="1"/>
  <c r="A1382" i="4"/>
  <c r="N1382" i="4" s="1"/>
  <c r="A1383" i="4"/>
  <c r="N1383" i="4" s="1"/>
  <c r="A1384" i="4"/>
  <c r="N1384" i="4" s="1"/>
  <c r="A1385" i="4"/>
  <c r="N1385" i="4" s="1"/>
  <c r="A1386" i="4"/>
  <c r="N1386" i="4" s="1"/>
  <c r="A1387" i="4"/>
  <c r="N1387" i="4" s="1"/>
  <c r="A1388" i="4"/>
  <c r="N1388" i="4" s="1"/>
  <c r="A1389" i="4"/>
  <c r="N1389" i="4" s="1"/>
  <c r="A1390" i="4"/>
  <c r="N1390" i="4" s="1"/>
  <c r="A1391" i="4"/>
  <c r="N1391" i="4" s="1"/>
  <c r="A1392" i="4"/>
  <c r="N1392" i="4" s="1"/>
  <c r="A1393" i="4"/>
  <c r="N1393" i="4" s="1"/>
  <c r="A1394" i="4"/>
  <c r="N1394" i="4" s="1"/>
  <c r="A1395" i="4"/>
  <c r="N1395" i="4" s="1"/>
  <c r="A1396" i="4"/>
  <c r="N1396" i="4" s="1"/>
  <c r="A1397" i="4"/>
  <c r="N1397" i="4" s="1"/>
  <c r="A1398" i="4"/>
  <c r="N1398" i="4" s="1"/>
  <c r="A1399" i="4"/>
  <c r="N1399" i="4" s="1"/>
  <c r="A1400" i="4"/>
  <c r="N1400" i="4" s="1"/>
  <c r="A1401" i="4"/>
  <c r="N1401" i="4" s="1"/>
  <c r="A1402" i="4"/>
  <c r="N1402" i="4" s="1"/>
  <c r="A1403" i="4"/>
  <c r="N1403" i="4" s="1"/>
  <c r="A1404" i="4"/>
  <c r="N1404" i="4" s="1"/>
  <c r="A1405" i="4"/>
  <c r="N1405" i="4" s="1"/>
  <c r="A1406" i="4"/>
  <c r="N1406" i="4" s="1"/>
  <c r="A1407" i="4"/>
  <c r="N1407" i="4" s="1"/>
  <c r="A1408" i="4"/>
  <c r="N1408" i="4" s="1"/>
  <c r="A1409" i="4"/>
  <c r="N1409" i="4" s="1"/>
  <c r="A1410" i="4"/>
  <c r="N1410" i="4" s="1"/>
  <c r="A1411" i="4"/>
  <c r="N1411" i="4" s="1"/>
  <c r="A1412" i="4"/>
  <c r="N1412" i="4" s="1"/>
  <c r="A1413" i="4"/>
  <c r="N1413" i="4" s="1"/>
  <c r="A1414" i="4"/>
  <c r="N1414" i="4" s="1"/>
  <c r="A1415" i="4"/>
  <c r="N1415" i="4" s="1"/>
  <c r="A1416" i="4"/>
  <c r="N1416" i="4" s="1"/>
  <c r="A1417" i="4"/>
  <c r="N1417" i="4" s="1"/>
  <c r="A1418" i="4"/>
  <c r="N1418" i="4" s="1"/>
  <c r="A1419" i="4"/>
  <c r="N1419" i="4" s="1"/>
  <c r="A1420" i="4"/>
  <c r="N1420" i="4" s="1"/>
  <c r="A1421" i="4"/>
  <c r="N1421" i="4" s="1"/>
  <c r="A1422" i="4"/>
  <c r="N1422" i="4" s="1"/>
  <c r="A1423" i="4"/>
  <c r="N1423" i="4" s="1"/>
  <c r="A1424" i="4"/>
  <c r="N1424" i="4" s="1"/>
  <c r="A1425" i="4"/>
  <c r="N1425" i="4" s="1"/>
  <c r="A1426" i="4"/>
  <c r="N1426" i="4" s="1"/>
  <c r="A1427" i="4"/>
  <c r="N1427" i="4" s="1"/>
  <c r="A1428" i="4"/>
  <c r="N1428" i="4" s="1"/>
  <c r="A1429" i="4"/>
  <c r="N1429" i="4" s="1"/>
  <c r="A1430" i="4"/>
  <c r="N1430" i="4" s="1"/>
  <c r="A1431" i="4"/>
  <c r="N1431" i="4" s="1"/>
  <c r="A1432" i="4"/>
  <c r="N1432" i="4" s="1"/>
  <c r="A1433" i="4"/>
  <c r="N1433" i="4" s="1"/>
  <c r="A1434" i="4"/>
  <c r="N1434" i="4" s="1"/>
  <c r="A1435" i="4"/>
  <c r="N1435" i="4" s="1"/>
  <c r="A1436" i="4"/>
  <c r="N1436" i="4" s="1"/>
  <c r="A1437" i="4"/>
  <c r="N1437" i="4" s="1"/>
  <c r="A1438" i="4"/>
  <c r="N1438" i="4" s="1"/>
  <c r="A1439" i="4"/>
  <c r="N1439" i="4" s="1"/>
  <c r="A1440" i="4"/>
  <c r="N1440" i="4" s="1"/>
  <c r="A1441" i="4"/>
  <c r="N1441" i="4" s="1"/>
  <c r="A1442" i="4"/>
  <c r="N1442" i="4" s="1"/>
  <c r="A1443" i="4"/>
  <c r="N1443" i="4" s="1"/>
  <c r="A1444" i="4"/>
  <c r="N1444" i="4" s="1"/>
  <c r="A1445" i="4"/>
  <c r="N1445" i="4" s="1"/>
  <c r="A1446" i="4"/>
  <c r="N1446" i="4" s="1"/>
  <c r="A1447" i="4"/>
  <c r="N1447" i="4" s="1"/>
  <c r="A1448" i="4"/>
  <c r="N1448" i="4" s="1"/>
  <c r="A1449" i="4"/>
  <c r="N1449" i="4" s="1"/>
  <c r="A1450" i="4"/>
  <c r="N1450" i="4" s="1"/>
  <c r="A1451" i="4"/>
  <c r="N1451" i="4" s="1"/>
  <c r="A1452" i="4"/>
  <c r="N1452" i="4" s="1"/>
  <c r="A1453" i="4"/>
  <c r="N1453" i="4" s="1"/>
  <c r="A1454" i="4"/>
  <c r="N1454" i="4" s="1"/>
  <c r="A1455" i="4"/>
  <c r="N1455" i="4" s="1"/>
  <c r="A1456" i="4"/>
  <c r="N1456" i="4" s="1"/>
  <c r="A1457" i="4"/>
  <c r="N1457" i="4" s="1"/>
  <c r="A1458" i="4"/>
  <c r="N1458" i="4" s="1"/>
  <c r="A1459" i="4"/>
  <c r="N1459" i="4" s="1"/>
  <c r="A1460" i="4"/>
  <c r="N1460" i="4" s="1"/>
  <c r="A1461" i="4"/>
  <c r="N1461" i="4" s="1"/>
  <c r="A1462" i="4"/>
  <c r="N1462" i="4" s="1"/>
  <c r="A1463" i="4"/>
  <c r="N1463" i="4" s="1"/>
  <c r="A1464" i="4"/>
  <c r="N1464" i="4" s="1"/>
  <c r="A1465" i="4"/>
  <c r="N1465" i="4" s="1"/>
  <c r="A1466" i="4"/>
  <c r="N1466" i="4" s="1"/>
  <c r="A1467" i="4"/>
  <c r="N1467" i="4" s="1"/>
  <c r="A1468" i="4"/>
  <c r="N1468" i="4" s="1"/>
  <c r="A1469" i="4"/>
  <c r="N1469" i="4" s="1"/>
  <c r="A1470" i="4"/>
  <c r="N1470" i="4" s="1"/>
  <c r="A1471" i="4"/>
  <c r="N1471" i="4" s="1"/>
  <c r="A1472" i="4"/>
  <c r="N1472" i="4" s="1"/>
  <c r="A1473" i="4"/>
  <c r="N1473" i="4" s="1"/>
  <c r="A1474" i="4"/>
  <c r="N1474" i="4" s="1"/>
  <c r="A1475" i="4"/>
  <c r="N1475" i="4" s="1"/>
  <c r="A1476" i="4"/>
  <c r="N1476" i="4" s="1"/>
  <c r="A1477" i="4"/>
  <c r="N1477" i="4" s="1"/>
  <c r="A1478" i="4"/>
  <c r="N1478" i="4" s="1"/>
  <c r="A1479" i="4"/>
  <c r="N1479" i="4" s="1"/>
  <c r="A1480" i="4"/>
  <c r="N1480" i="4" s="1"/>
  <c r="A1481" i="4"/>
  <c r="N1481" i="4" s="1"/>
  <c r="A1482" i="4"/>
  <c r="N1482" i="4" s="1"/>
  <c r="A1483" i="4"/>
  <c r="N1483" i="4" s="1"/>
  <c r="A1484" i="4"/>
  <c r="N1484" i="4" s="1"/>
  <c r="A1485" i="4"/>
  <c r="N1485" i="4" s="1"/>
  <c r="A1486" i="4"/>
  <c r="N1486" i="4" s="1"/>
  <c r="A1487" i="4"/>
  <c r="N1487" i="4" s="1"/>
  <c r="A1488" i="4"/>
  <c r="N1488" i="4" s="1"/>
  <c r="A1489" i="4"/>
  <c r="N1489" i="4" s="1"/>
  <c r="A1490" i="4"/>
  <c r="N1490" i="4" s="1"/>
  <c r="A1491" i="4"/>
  <c r="N1491" i="4" s="1"/>
  <c r="A1492" i="4"/>
  <c r="N1492" i="4" s="1"/>
  <c r="A1493" i="4"/>
  <c r="N1493" i="4" s="1"/>
  <c r="A1494" i="4"/>
  <c r="N1494" i="4" s="1"/>
  <c r="A1495" i="4"/>
  <c r="N1495" i="4" s="1"/>
  <c r="A1496" i="4"/>
  <c r="N1496" i="4" s="1"/>
  <c r="A1497" i="4"/>
  <c r="N1497" i="4" s="1"/>
  <c r="A1498" i="4"/>
  <c r="N1498" i="4" s="1"/>
  <c r="A1499" i="4"/>
  <c r="N1499" i="4" s="1"/>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C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20" i="4"/>
  <c r="C1121" i="4"/>
  <c r="C1122" i="4"/>
  <c r="C1123" i="4"/>
  <c r="C1124" i="4"/>
  <c r="C1125" i="4"/>
  <c r="C1126" i="4"/>
  <c r="C1127" i="4"/>
  <c r="C1128" i="4"/>
  <c r="C1129" i="4"/>
  <c r="C1130"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81" i="4"/>
  <c r="C1282"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381" i="4"/>
  <c r="C1382" i="4"/>
  <c r="C1383" i="4"/>
  <c r="C1384" i="4"/>
  <c r="C1385" i="4"/>
  <c r="C1386" i="4"/>
  <c r="C1387" i="4"/>
  <c r="C1388" i="4"/>
  <c r="C1389" i="4"/>
  <c r="C1390" i="4"/>
  <c r="C1391" i="4"/>
  <c r="C1392" i="4"/>
  <c r="C1393" i="4"/>
  <c r="C1394" i="4"/>
  <c r="C1395" i="4"/>
  <c r="C1396" i="4"/>
  <c r="C1397" i="4"/>
  <c r="C1398" i="4"/>
  <c r="C1399" i="4"/>
  <c r="C1400" i="4"/>
  <c r="C1401" i="4"/>
  <c r="C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481" i="4"/>
  <c r="C1482" i="4"/>
  <c r="C1483" i="4"/>
  <c r="C1484" i="4"/>
  <c r="C1485" i="4"/>
  <c r="C1486" i="4"/>
  <c r="C1487" i="4"/>
  <c r="C1488" i="4"/>
  <c r="C1489" i="4"/>
  <c r="C1490" i="4"/>
  <c r="C1491" i="4"/>
  <c r="C1492" i="4"/>
  <c r="C1493" i="4"/>
  <c r="C1494" i="4"/>
  <c r="C1495" i="4"/>
  <c r="C1496" i="4"/>
  <c r="C1497" i="4"/>
  <c r="C1498" i="4"/>
  <c r="C1499"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1016" i="4"/>
  <c r="E1017" i="4"/>
  <c r="E1018" i="4"/>
  <c r="E1019" i="4"/>
  <c r="E1020" i="4"/>
  <c r="E1021" i="4"/>
  <c r="E1022" i="4"/>
  <c r="E1023" i="4"/>
  <c r="E1024" i="4"/>
  <c r="E1025" i="4"/>
  <c r="E1026" i="4"/>
  <c r="E1027" i="4"/>
  <c r="E1028" i="4"/>
  <c r="E1029" i="4"/>
  <c r="E1030" i="4"/>
  <c r="E1031" i="4"/>
  <c r="E1032" i="4"/>
  <c r="E1033" i="4"/>
  <c r="E1034" i="4"/>
  <c r="E1035" i="4"/>
  <c r="E1036" i="4"/>
  <c r="E1037" i="4"/>
  <c r="E1038" i="4"/>
  <c r="E1039" i="4"/>
  <c r="E1040" i="4"/>
  <c r="E1041" i="4"/>
  <c r="E1042" i="4"/>
  <c r="E1043" i="4"/>
  <c r="E1044" i="4"/>
  <c r="E1045" i="4"/>
  <c r="E1046" i="4"/>
  <c r="E1047" i="4"/>
  <c r="E1048" i="4"/>
  <c r="E1049" i="4"/>
  <c r="E1050" i="4"/>
  <c r="E1051" i="4"/>
  <c r="E1052" i="4"/>
  <c r="E1053" i="4"/>
  <c r="E1054" i="4"/>
  <c r="E1055" i="4"/>
  <c r="E1056" i="4"/>
  <c r="E1057" i="4"/>
  <c r="E1058" i="4"/>
  <c r="E1059" i="4"/>
  <c r="E1060" i="4"/>
  <c r="E1061" i="4"/>
  <c r="E1062" i="4"/>
  <c r="E1063" i="4"/>
  <c r="E1064" i="4"/>
  <c r="E1065" i="4"/>
  <c r="E1066" i="4"/>
  <c r="E1067" i="4"/>
  <c r="E1068" i="4"/>
  <c r="E1069" i="4"/>
  <c r="E1070" i="4"/>
  <c r="E1071" i="4"/>
  <c r="E1072" i="4"/>
  <c r="E1073" i="4"/>
  <c r="E1074" i="4"/>
  <c r="E1075" i="4"/>
  <c r="E1076" i="4"/>
  <c r="E1077" i="4"/>
  <c r="E1078" i="4"/>
  <c r="E1079" i="4"/>
  <c r="E1080" i="4"/>
  <c r="E1081" i="4"/>
  <c r="E1082" i="4"/>
  <c r="E1083" i="4"/>
  <c r="E1084" i="4"/>
  <c r="E1085" i="4"/>
  <c r="E1086" i="4"/>
  <c r="E1087" i="4"/>
  <c r="E1088" i="4"/>
  <c r="E1089" i="4"/>
  <c r="E1090" i="4"/>
  <c r="E1091" i="4"/>
  <c r="E1092" i="4"/>
  <c r="E1093" i="4"/>
  <c r="E1094" i="4"/>
  <c r="E1095" i="4"/>
  <c r="E1096" i="4"/>
  <c r="E1097" i="4"/>
  <c r="E1098" i="4"/>
  <c r="E1099" i="4"/>
  <c r="E1100" i="4"/>
  <c r="E1101" i="4"/>
  <c r="E1102" i="4"/>
  <c r="E1103" i="4"/>
  <c r="E1104" i="4"/>
  <c r="E1105" i="4"/>
  <c r="E1106" i="4"/>
  <c r="E1107" i="4"/>
  <c r="E1108" i="4"/>
  <c r="E1109" i="4"/>
  <c r="E1110" i="4"/>
  <c r="E1111" i="4"/>
  <c r="E1112" i="4"/>
  <c r="E1113" i="4"/>
  <c r="E1114" i="4"/>
  <c r="E1115" i="4"/>
  <c r="E1116" i="4"/>
  <c r="E1117" i="4"/>
  <c r="E1118" i="4"/>
  <c r="E1119" i="4"/>
  <c r="E1120" i="4"/>
  <c r="E1121" i="4"/>
  <c r="E1122" i="4"/>
  <c r="E1123" i="4"/>
  <c r="E1124" i="4"/>
  <c r="E1125" i="4"/>
  <c r="E1126" i="4"/>
  <c r="E1127" i="4"/>
  <c r="E1128" i="4"/>
  <c r="E1129" i="4"/>
  <c r="E1130" i="4"/>
  <c r="E1131" i="4"/>
  <c r="E1132" i="4"/>
  <c r="E1133" i="4"/>
  <c r="E1134" i="4"/>
  <c r="E1135" i="4"/>
  <c r="E1136" i="4"/>
  <c r="E1137" i="4"/>
  <c r="E1138" i="4"/>
  <c r="E1139" i="4"/>
  <c r="E1140" i="4"/>
  <c r="E1141" i="4"/>
  <c r="E1142" i="4"/>
  <c r="E1143" i="4"/>
  <c r="E1144" i="4"/>
  <c r="E1145" i="4"/>
  <c r="E1146" i="4"/>
  <c r="E1147" i="4"/>
  <c r="E1148" i="4"/>
  <c r="E1149" i="4"/>
  <c r="E1150" i="4"/>
  <c r="E1151" i="4"/>
  <c r="E1152" i="4"/>
  <c r="E1153" i="4"/>
  <c r="E1154" i="4"/>
  <c r="E1155" i="4"/>
  <c r="E1156" i="4"/>
  <c r="E1157" i="4"/>
  <c r="E1158" i="4"/>
  <c r="E1159" i="4"/>
  <c r="E1160" i="4"/>
  <c r="E1161" i="4"/>
  <c r="E1162" i="4"/>
  <c r="E1163" i="4"/>
  <c r="E1164" i="4"/>
  <c r="E1165" i="4"/>
  <c r="E1166" i="4"/>
  <c r="E1167" i="4"/>
  <c r="E1168" i="4"/>
  <c r="E1169" i="4"/>
  <c r="E1170" i="4"/>
  <c r="E1171" i="4"/>
  <c r="E1172" i="4"/>
  <c r="E1173" i="4"/>
  <c r="E1174" i="4"/>
  <c r="E1175" i="4"/>
  <c r="E1176" i="4"/>
  <c r="E1177" i="4"/>
  <c r="E1178" i="4"/>
  <c r="E1179" i="4"/>
  <c r="E1180" i="4"/>
  <c r="E1181" i="4"/>
  <c r="E1182" i="4"/>
  <c r="E1183" i="4"/>
  <c r="E1184" i="4"/>
  <c r="E1185" i="4"/>
  <c r="E1186" i="4"/>
  <c r="E1187" i="4"/>
  <c r="E1188" i="4"/>
  <c r="E1189" i="4"/>
  <c r="E1190" i="4"/>
  <c r="E1191" i="4"/>
  <c r="E1192" i="4"/>
  <c r="E1193" i="4"/>
  <c r="E1194" i="4"/>
  <c r="E1195" i="4"/>
  <c r="E1196" i="4"/>
  <c r="E1197" i="4"/>
  <c r="E1198" i="4"/>
  <c r="E1199" i="4"/>
  <c r="E1200" i="4"/>
  <c r="E1201" i="4"/>
  <c r="E1202" i="4"/>
  <c r="E1203" i="4"/>
  <c r="E1204" i="4"/>
  <c r="E1205" i="4"/>
  <c r="E1206" i="4"/>
  <c r="E1207" i="4"/>
  <c r="E1208" i="4"/>
  <c r="E1209" i="4"/>
  <c r="E1210" i="4"/>
  <c r="E1211" i="4"/>
  <c r="E1212" i="4"/>
  <c r="E1213" i="4"/>
  <c r="E1214" i="4"/>
  <c r="E1215" i="4"/>
  <c r="E1216" i="4"/>
  <c r="E1217" i="4"/>
  <c r="E1218" i="4"/>
  <c r="E1219" i="4"/>
  <c r="E1220" i="4"/>
  <c r="E1221" i="4"/>
  <c r="E1222" i="4"/>
  <c r="E1223" i="4"/>
  <c r="E1224" i="4"/>
  <c r="E1225" i="4"/>
  <c r="E1226" i="4"/>
  <c r="E1227" i="4"/>
  <c r="E1228" i="4"/>
  <c r="E1229" i="4"/>
  <c r="E1230" i="4"/>
  <c r="E1231" i="4"/>
  <c r="E1232" i="4"/>
  <c r="E1233" i="4"/>
  <c r="E1234" i="4"/>
  <c r="E1235" i="4"/>
  <c r="E1236" i="4"/>
  <c r="E1237" i="4"/>
  <c r="E1238" i="4"/>
  <c r="E1239" i="4"/>
  <c r="E1240" i="4"/>
  <c r="E1241" i="4"/>
  <c r="E1242" i="4"/>
  <c r="E1243" i="4"/>
  <c r="E1244" i="4"/>
  <c r="E1245" i="4"/>
  <c r="E1246" i="4"/>
  <c r="E1247" i="4"/>
  <c r="E1248" i="4"/>
  <c r="E1249" i="4"/>
  <c r="E1250" i="4"/>
  <c r="E1251" i="4"/>
  <c r="E1252" i="4"/>
  <c r="E1253" i="4"/>
  <c r="E1254" i="4"/>
  <c r="E1255" i="4"/>
  <c r="E1256" i="4"/>
  <c r="E1257" i="4"/>
  <c r="E1258" i="4"/>
  <c r="E1259" i="4"/>
  <c r="E1260" i="4"/>
  <c r="E1261" i="4"/>
  <c r="E1262" i="4"/>
  <c r="E1263" i="4"/>
  <c r="E1264" i="4"/>
  <c r="E1265" i="4"/>
  <c r="E1266" i="4"/>
  <c r="E1267" i="4"/>
  <c r="E1268" i="4"/>
  <c r="E1269" i="4"/>
  <c r="E1270" i="4"/>
  <c r="E1271" i="4"/>
  <c r="E1272" i="4"/>
  <c r="E1273" i="4"/>
  <c r="E1274" i="4"/>
  <c r="E1275" i="4"/>
  <c r="E1276" i="4"/>
  <c r="E1277" i="4"/>
  <c r="E1278" i="4"/>
  <c r="E1279" i="4"/>
  <c r="E1280" i="4"/>
  <c r="E1281" i="4"/>
  <c r="E1282" i="4"/>
  <c r="E1283" i="4"/>
  <c r="E1284" i="4"/>
  <c r="E1285" i="4"/>
  <c r="E1286" i="4"/>
  <c r="E1287" i="4"/>
  <c r="E1288" i="4"/>
  <c r="E1289" i="4"/>
  <c r="E1290" i="4"/>
  <c r="E1291" i="4"/>
  <c r="E1292" i="4"/>
  <c r="E1293" i="4"/>
  <c r="E1294" i="4"/>
  <c r="E1295" i="4"/>
  <c r="E1296" i="4"/>
  <c r="E1297" i="4"/>
  <c r="E1298" i="4"/>
  <c r="E1299" i="4"/>
  <c r="E1300" i="4"/>
  <c r="E1301" i="4"/>
  <c r="E1302" i="4"/>
  <c r="E1303" i="4"/>
  <c r="E1304" i="4"/>
  <c r="E1305" i="4"/>
  <c r="E1306" i="4"/>
  <c r="E1307" i="4"/>
  <c r="E1308" i="4"/>
  <c r="E1309" i="4"/>
  <c r="E1310" i="4"/>
  <c r="E1311" i="4"/>
  <c r="E1312" i="4"/>
  <c r="E1313" i="4"/>
  <c r="E1314" i="4"/>
  <c r="E1315" i="4"/>
  <c r="E1316" i="4"/>
  <c r="E1317" i="4"/>
  <c r="E1318" i="4"/>
  <c r="E1319" i="4"/>
  <c r="E1320" i="4"/>
  <c r="E1321" i="4"/>
  <c r="E1322" i="4"/>
  <c r="E1323" i="4"/>
  <c r="E1324" i="4"/>
  <c r="E1325" i="4"/>
  <c r="E1326" i="4"/>
  <c r="E1327" i="4"/>
  <c r="E1328" i="4"/>
  <c r="E1329" i="4"/>
  <c r="E1330" i="4"/>
  <c r="E1331" i="4"/>
  <c r="E1332" i="4"/>
  <c r="E1333" i="4"/>
  <c r="E1334" i="4"/>
  <c r="E1335" i="4"/>
  <c r="E1336" i="4"/>
  <c r="E1337" i="4"/>
  <c r="E1338" i="4"/>
  <c r="E1339" i="4"/>
  <c r="E1340" i="4"/>
  <c r="E1341" i="4"/>
  <c r="E1342" i="4"/>
  <c r="E1343" i="4"/>
  <c r="E1344" i="4"/>
  <c r="E1345" i="4"/>
  <c r="E1346" i="4"/>
  <c r="E1347" i="4"/>
  <c r="E1348" i="4"/>
  <c r="E1349" i="4"/>
  <c r="E1350" i="4"/>
  <c r="E1351" i="4"/>
  <c r="E1352" i="4"/>
  <c r="E1353" i="4"/>
  <c r="E1354" i="4"/>
  <c r="E1355" i="4"/>
  <c r="E1356" i="4"/>
  <c r="E1357" i="4"/>
  <c r="E1358" i="4"/>
  <c r="E1359" i="4"/>
  <c r="E1360" i="4"/>
  <c r="E1361" i="4"/>
  <c r="E1362" i="4"/>
  <c r="E1363" i="4"/>
  <c r="E1364" i="4"/>
  <c r="E1365" i="4"/>
  <c r="E1366" i="4"/>
  <c r="E1367" i="4"/>
  <c r="E1368" i="4"/>
  <c r="E1369" i="4"/>
  <c r="E1370" i="4"/>
  <c r="E1371" i="4"/>
  <c r="E1372" i="4"/>
  <c r="E1373" i="4"/>
  <c r="E1374" i="4"/>
  <c r="E1375" i="4"/>
  <c r="E1376" i="4"/>
  <c r="E1377" i="4"/>
  <c r="E1378" i="4"/>
  <c r="E1379" i="4"/>
  <c r="E1380" i="4"/>
  <c r="E1381" i="4"/>
  <c r="E1382" i="4"/>
  <c r="E1383" i="4"/>
  <c r="E1384" i="4"/>
  <c r="E1385" i="4"/>
  <c r="E1386" i="4"/>
  <c r="E1387" i="4"/>
  <c r="E1388" i="4"/>
  <c r="E1389" i="4"/>
  <c r="E1390" i="4"/>
  <c r="E1391" i="4"/>
  <c r="E1392" i="4"/>
  <c r="E1393" i="4"/>
  <c r="E1394" i="4"/>
  <c r="E1395" i="4"/>
  <c r="E1396" i="4"/>
  <c r="E1397" i="4"/>
  <c r="E1398" i="4"/>
  <c r="E1399" i="4"/>
  <c r="E1400" i="4"/>
  <c r="E1401" i="4"/>
  <c r="E1402" i="4"/>
  <c r="E1403" i="4"/>
  <c r="E1404" i="4"/>
  <c r="E1405" i="4"/>
  <c r="E1406" i="4"/>
  <c r="E1407" i="4"/>
  <c r="E1408" i="4"/>
  <c r="E1409" i="4"/>
  <c r="E1410" i="4"/>
  <c r="E1411" i="4"/>
  <c r="E1412" i="4"/>
  <c r="E1413" i="4"/>
  <c r="E1414" i="4"/>
  <c r="E1415" i="4"/>
  <c r="E1416" i="4"/>
  <c r="E1417" i="4"/>
  <c r="E1418" i="4"/>
  <c r="E1419" i="4"/>
  <c r="E1420" i="4"/>
  <c r="E1421" i="4"/>
  <c r="E1422" i="4"/>
  <c r="E1423" i="4"/>
  <c r="E1424" i="4"/>
  <c r="E1425" i="4"/>
  <c r="E1426" i="4"/>
  <c r="E1427" i="4"/>
  <c r="E1428" i="4"/>
  <c r="E1429" i="4"/>
  <c r="E1430" i="4"/>
  <c r="E1431" i="4"/>
  <c r="E1432" i="4"/>
  <c r="E1433" i="4"/>
  <c r="E1434" i="4"/>
  <c r="E1435" i="4"/>
  <c r="E1436" i="4"/>
  <c r="E1437" i="4"/>
  <c r="E1438" i="4"/>
  <c r="E1439" i="4"/>
  <c r="E1440" i="4"/>
  <c r="E1441" i="4"/>
  <c r="E1442" i="4"/>
  <c r="E1443" i="4"/>
  <c r="E1444" i="4"/>
  <c r="E1445" i="4"/>
  <c r="E1446" i="4"/>
  <c r="E1447" i="4"/>
  <c r="E1448" i="4"/>
  <c r="E1449" i="4"/>
  <c r="E1450" i="4"/>
  <c r="E1451" i="4"/>
  <c r="E1452" i="4"/>
  <c r="E1453" i="4"/>
  <c r="E1454" i="4"/>
  <c r="E1455" i="4"/>
  <c r="E1456" i="4"/>
  <c r="E1457" i="4"/>
  <c r="E1458" i="4"/>
  <c r="E1459" i="4"/>
  <c r="E1460" i="4"/>
  <c r="E1461" i="4"/>
  <c r="E1462" i="4"/>
  <c r="E1463" i="4"/>
  <c r="E1464" i="4"/>
  <c r="E1465" i="4"/>
  <c r="E1466" i="4"/>
  <c r="E1467" i="4"/>
  <c r="E1468" i="4"/>
  <c r="E1469" i="4"/>
  <c r="E1470" i="4"/>
  <c r="E1471" i="4"/>
  <c r="E1472" i="4"/>
  <c r="E1473" i="4"/>
  <c r="E1474" i="4"/>
  <c r="E1475" i="4"/>
  <c r="E1476" i="4"/>
  <c r="E1477" i="4"/>
  <c r="E1478" i="4"/>
  <c r="E1479" i="4"/>
  <c r="E1480" i="4"/>
  <c r="E1481" i="4"/>
  <c r="E1482" i="4"/>
  <c r="E1483" i="4"/>
  <c r="E1484" i="4"/>
  <c r="E1485" i="4"/>
  <c r="E1486" i="4"/>
  <c r="E1487" i="4"/>
  <c r="E1488" i="4"/>
  <c r="E1489" i="4"/>
  <c r="E1490" i="4"/>
  <c r="E1491" i="4"/>
  <c r="E1492" i="4"/>
  <c r="E1493" i="4"/>
  <c r="E1494" i="4"/>
  <c r="E1495" i="4"/>
  <c r="E1496" i="4"/>
  <c r="E1497" i="4"/>
  <c r="E1498" i="4"/>
  <c r="E1499" i="4"/>
  <c r="N256" i="4"/>
  <c r="A219" i="4"/>
  <c r="N219" i="4" s="1"/>
  <c r="A220" i="4"/>
  <c r="N220" i="4" s="1"/>
  <c r="B219" i="4"/>
  <c r="B220" i="4"/>
  <c r="C219" i="4"/>
  <c r="C220" i="4"/>
  <c r="D219" i="4"/>
  <c r="D220" i="4"/>
  <c r="E219" i="4"/>
  <c r="E220" i="4"/>
  <c r="F1498" i="4" l="1"/>
  <c r="F1492" i="4"/>
  <c r="F1486" i="4"/>
  <c r="F1480" i="4"/>
  <c r="F1474" i="4"/>
  <c r="F1468" i="4"/>
  <c r="F1462" i="4"/>
  <c r="F1456" i="4"/>
  <c r="F1450" i="4"/>
  <c r="F1444" i="4"/>
  <c r="F1438" i="4"/>
  <c r="F1432" i="4"/>
  <c r="F1426" i="4"/>
  <c r="F1420" i="4"/>
  <c r="F1414" i="4"/>
  <c r="F1408" i="4"/>
  <c r="F1402" i="4"/>
  <c r="F1396" i="4"/>
  <c r="F1390" i="4"/>
  <c r="F1384" i="4"/>
  <c r="F1378" i="4"/>
  <c r="F1372" i="4"/>
  <c r="F1366" i="4"/>
  <c r="F1360" i="4"/>
  <c r="F1354" i="4"/>
  <c r="F1348" i="4"/>
  <c r="F1342" i="4"/>
  <c r="F1336" i="4"/>
  <c r="F1330" i="4"/>
  <c r="F1324" i="4"/>
  <c r="F1318" i="4"/>
  <c r="F1312" i="4"/>
  <c r="F1306" i="4"/>
  <c r="F1300" i="4"/>
  <c r="F1294" i="4"/>
  <c r="F1288" i="4"/>
  <c r="F1282" i="4"/>
  <c r="F1276" i="4"/>
  <c r="F1270" i="4"/>
  <c r="F1264" i="4"/>
  <c r="F1258" i="4"/>
  <c r="F1252" i="4"/>
  <c r="F1246" i="4"/>
  <c r="F1240" i="4"/>
  <c r="F1234" i="4"/>
  <c r="F1228" i="4"/>
  <c r="F1222" i="4"/>
  <c r="F1216" i="4"/>
  <c r="F1210" i="4"/>
  <c r="F1204" i="4"/>
  <c r="F1198" i="4"/>
  <c r="F1192" i="4"/>
  <c r="F1186" i="4"/>
  <c r="F1180" i="4"/>
  <c r="F1174" i="4"/>
  <c r="F1168" i="4"/>
  <c r="F1162" i="4"/>
  <c r="F1156" i="4"/>
  <c r="F1150" i="4"/>
  <c r="F1144" i="4"/>
  <c r="F1138" i="4"/>
  <c r="F1132" i="4"/>
  <c r="F1126" i="4"/>
  <c r="F1120" i="4"/>
  <c r="F1494" i="4"/>
  <c r="F1488" i="4"/>
  <c r="F1482" i="4"/>
  <c r="F1476" i="4"/>
  <c r="F1470" i="4"/>
  <c r="F1464" i="4"/>
  <c r="F1458" i="4"/>
  <c r="F1452" i="4"/>
  <c r="F1446" i="4"/>
  <c r="F1440" i="4"/>
  <c r="F1434" i="4"/>
  <c r="F1428" i="4"/>
  <c r="F1422" i="4"/>
  <c r="F1416" i="4"/>
  <c r="F1410" i="4"/>
  <c r="F1404" i="4"/>
  <c r="F1398" i="4"/>
  <c r="F1392" i="4"/>
  <c r="F1386" i="4"/>
  <c r="F1380" i="4"/>
  <c r="F1374" i="4"/>
  <c r="F1368" i="4"/>
  <c r="F1362" i="4"/>
  <c r="F1356" i="4"/>
  <c r="F1350" i="4"/>
  <c r="F1344" i="4"/>
  <c r="F1338" i="4"/>
  <c r="F1332" i="4"/>
  <c r="F1326" i="4"/>
  <c r="F1320" i="4"/>
  <c r="F1314" i="4"/>
  <c r="F1308" i="4"/>
  <c r="F1302" i="4"/>
  <c r="F1296" i="4"/>
  <c r="F1290" i="4"/>
  <c r="F1284" i="4"/>
  <c r="F1278" i="4"/>
  <c r="F1272" i="4"/>
  <c r="F1266" i="4"/>
  <c r="F1260" i="4"/>
  <c r="F1254" i="4"/>
  <c r="F603" i="4"/>
  <c r="F1089" i="4"/>
  <c r="F225" i="4"/>
  <c r="F975" i="4"/>
  <c r="F1371" i="4"/>
  <c r="F1311" i="4"/>
  <c r="F1161" i="4"/>
  <c r="F1041" i="4"/>
  <c r="F969" i="4"/>
  <c r="F897" i="4"/>
  <c r="F777" i="4"/>
  <c r="F705" i="4"/>
  <c r="F669" i="4"/>
  <c r="F591" i="4"/>
  <c r="F543" i="4"/>
  <c r="F471" i="4"/>
  <c r="F411" i="4"/>
  <c r="F321" i="4"/>
  <c r="F243" i="4"/>
  <c r="F939" i="4"/>
  <c r="F825" i="4"/>
  <c r="F783" i="4"/>
  <c r="F735" i="4"/>
  <c r="F645" i="4"/>
  <c r="F561" i="4"/>
  <c r="F519" i="4"/>
  <c r="F435" i="4"/>
  <c r="F369" i="4"/>
  <c r="F345" i="4"/>
  <c r="F1419" i="4"/>
  <c r="F1107" i="4"/>
  <c r="F1059" i="4"/>
  <c r="F855" i="4"/>
  <c r="F747" i="4"/>
  <c r="F681" i="4"/>
  <c r="F633" i="4"/>
  <c r="F501" i="4"/>
  <c r="F459" i="4"/>
  <c r="F309" i="4"/>
  <c r="F1114" i="4"/>
  <c r="F1108" i="4"/>
  <c r="F1102" i="4"/>
  <c r="F1096" i="4"/>
  <c r="F1090" i="4"/>
  <c r="F1084" i="4"/>
  <c r="F1078" i="4"/>
  <c r="F1072" i="4"/>
  <c r="F1066" i="4"/>
  <c r="F1060" i="4"/>
  <c r="F1054" i="4"/>
  <c r="F1048" i="4"/>
  <c r="F1042" i="4"/>
  <c r="F1036" i="4"/>
  <c r="F1030" i="4"/>
  <c r="F1024" i="4"/>
  <c r="F1018" i="4"/>
  <c r="F1012" i="4"/>
  <c r="F1006" i="4"/>
  <c r="F1000" i="4"/>
  <c r="F994" i="4"/>
  <c r="F988" i="4"/>
  <c r="F982" i="4"/>
  <c r="F976" i="4"/>
  <c r="F970" i="4"/>
  <c r="F964" i="4"/>
  <c r="F958" i="4"/>
  <c r="F952" i="4"/>
  <c r="F946" i="4"/>
  <c r="F940" i="4"/>
  <c r="F934" i="4"/>
  <c r="F928" i="4"/>
  <c r="F922" i="4"/>
  <c r="F916" i="4"/>
  <c r="F910" i="4"/>
  <c r="F904" i="4"/>
  <c r="F898" i="4"/>
  <c r="F892" i="4"/>
  <c r="F886" i="4"/>
  <c r="F880" i="4"/>
  <c r="F874" i="4"/>
  <c r="F868" i="4"/>
  <c r="F862" i="4"/>
  <c r="F856" i="4"/>
  <c r="F850" i="4"/>
  <c r="F844" i="4"/>
  <c r="F838" i="4"/>
  <c r="F832" i="4"/>
  <c r="F826" i="4"/>
  <c r="F820" i="4"/>
  <c r="F814" i="4"/>
  <c r="F808" i="4"/>
  <c r="F802" i="4"/>
  <c r="F796" i="4"/>
  <c r="F790" i="4"/>
  <c r="F784" i="4"/>
  <c r="F778" i="4"/>
  <c r="F772" i="4"/>
  <c r="F766" i="4"/>
  <c r="F760" i="4"/>
  <c r="F754" i="4"/>
  <c r="F748" i="4"/>
  <c r="F742" i="4"/>
  <c r="F736" i="4"/>
  <c r="F730" i="4"/>
  <c r="F724" i="4"/>
  <c r="F718" i="4"/>
  <c r="F712" i="4"/>
  <c r="F706" i="4"/>
  <c r="F700" i="4"/>
  <c r="F694" i="4"/>
  <c r="F688" i="4"/>
  <c r="F682" i="4"/>
  <c r="F676" i="4"/>
  <c r="F670" i="4"/>
  <c r="F393" i="4"/>
  <c r="F279" i="4"/>
  <c r="F261" i="4"/>
  <c r="F1454" i="4"/>
  <c r="F1250" i="4"/>
  <c r="F1220" i="4"/>
  <c r="F974" i="4"/>
  <c r="F782" i="4"/>
  <c r="F1497" i="4"/>
  <c r="F1491" i="4"/>
  <c r="F1485" i="4"/>
  <c r="F1479" i="4"/>
  <c r="F1473" i="4"/>
  <c r="F1467" i="4"/>
  <c r="F1461" i="4"/>
  <c r="F1455" i="4"/>
  <c r="F1449" i="4"/>
  <c r="F1443" i="4"/>
  <c r="F1437" i="4"/>
  <c r="F1431" i="4"/>
  <c r="F1425" i="4"/>
  <c r="F1413" i="4"/>
  <c r="F1407" i="4"/>
  <c r="F1401" i="4"/>
  <c r="F1395" i="4"/>
  <c r="F1389" i="4"/>
  <c r="F1383" i="4"/>
  <c r="F1377" i="4"/>
  <c r="F1365" i="4"/>
  <c r="F1359" i="4"/>
  <c r="F1353" i="4"/>
  <c r="F1347" i="4"/>
  <c r="F1341" i="4"/>
  <c r="F1335" i="4"/>
  <c r="F1329" i="4"/>
  <c r="F1323" i="4"/>
  <c r="F1317" i="4"/>
  <c r="F1305" i="4"/>
  <c r="F1299" i="4"/>
  <c r="F1293" i="4"/>
  <c r="F1287" i="4"/>
  <c r="F1281" i="4"/>
  <c r="F1275" i="4"/>
  <c r="F1269" i="4"/>
  <c r="F1263" i="4"/>
  <c r="F1257" i="4"/>
  <c r="F1251" i="4"/>
  <c r="F1245" i="4"/>
  <c r="F1239" i="4"/>
  <c r="F1233" i="4"/>
  <c r="F1227" i="4"/>
  <c r="F1221" i="4"/>
  <c r="F1215" i="4"/>
  <c r="F1209" i="4"/>
  <c r="F1203" i="4"/>
  <c r="F1197" i="4"/>
  <c r="F1191" i="4"/>
  <c r="F1185" i="4"/>
  <c r="F1179" i="4"/>
  <c r="F1173" i="4"/>
  <c r="F1167" i="4"/>
  <c r="F1155" i="4"/>
  <c r="F1149" i="4"/>
  <c r="F1143" i="4"/>
  <c r="F1248" i="4"/>
  <c r="F1242" i="4"/>
  <c r="F1236" i="4"/>
  <c r="F1230" i="4"/>
  <c r="F1224" i="4"/>
  <c r="F1218" i="4"/>
  <c r="F1212" i="4"/>
  <c r="F1206" i="4"/>
  <c r="F1200" i="4"/>
  <c r="F1194" i="4"/>
  <c r="F1188" i="4"/>
  <c r="F1182" i="4"/>
  <c r="F1176" i="4"/>
  <c r="F1170" i="4"/>
  <c r="F1164" i="4"/>
  <c r="F1158" i="4"/>
  <c r="F1152" i="4"/>
  <c r="F1146" i="4"/>
  <c r="F1140" i="4"/>
  <c r="F1134" i="4"/>
  <c r="F1128" i="4"/>
  <c r="F1122" i="4"/>
  <c r="F1116" i="4"/>
  <c r="F1110" i="4"/>
  <c r="F1104" i="4"/>
  <c r="F1098" i="4"/>
  <c r="F1092" i="4"/>
  <c r="F1086" i="4"/>
  <c r="F1080" i="4"/>
  <c r="F1074" i="4"/>
  <c r="F1068" i="4"/>
  <c r="F1062" i="4"/>
  <c r="F1056" i="4"/>
  <c r="F1050" i="4"/>
  <c r="F1044" i="4"/>
  <c r="F1038" i="4"/>
  <c r="F1032" i="4"/>
  <c r="F1026" i="4"/>
  <c r="F1020" i="4"/>
  <c r="F1014" i="4"/>
  <c r="F1008" i="4"/>
  <c r="F1002" i="4"/>
  <c r="F996" i="4"/>
  <c r="F990" i="4"/>
  <c r="F984" i="4"/>
  <c r="F972" i="4"/>
  <c r="F966" i="4"/>
  <c r="F960" i="4"/>
  <c r="F954" i="4"/>
  <c r="F948" i="4"/>
  <c r="F942" i="4"/>
  <c r="F936" i="4"/>
  <c r="F930" i="4"/>
  <c r="F924" i="4"/>
  <c r="F918" i="4"/>
  <c r="F912" i="4"/>
  <c r="F906" i="4"/>
  <c r="F900" i="4"/>
  <c r="F894" i="4"/>
  <c r="F888" i="4"/>
  <c r="F882" i="4"/>
  <c r="F876" i="4"/>
  <c r="F870" i="4"/>
  <c r="F864" i="4"/>
  <c r="F858" i="4"/>
  <c r="F852" i="4"/>
  <c r="F846" i="4"/>
  <c r="F840" i="4"/>
  <c r="F834" i="4"/>
  <c r="F828" i="4"/>
  <c r="F822" i="4"/>
  <c r="F816" i="4"/>
  <c r="F810" i="4"/>
  <c r="F804" i="4"/>
  <c r="F798" i="4"/>
  <c r="F792" i="4"/>
  <c r="F786" i="4"/>
  <c r="F780" i="4"/>
  <c r="F774" i="4"/>
  <c r="F768" i="4"/>
  <c r="F762" i="4"/>
  <c r="F756" i="4"/>
  <c r="F750" i="4"/>
  <c r="F744" i="4"/>
  <c r="F738" i="4"/>
  <c r="F732" i="4"/>
  <c r="F726" i="4"/>
  <c r="F720" i="4"/>
  <c r="F714" i="4"/>
  <c r="F708" i="4"/>
  <c r="F702" i="4"/>
  <c r="F696" i="4"/>
  <c r="F690" i="4"/>
  <c r="F684" i="4"/>
  <c r="F678" i="4"/>
  <c r="F672" i="4"/>
  <c r="F666" i="4"/>
  <c r="F660" i="4"/>
  <c r="F654" i="4"/>
  <c r="F648" i="4"/>
  <c r="F642" i="4"/>
  <c r="F636" i="4"/>
  <c r="F630" i="4"/>
  <c r="F624" i="4"/>
  <c r="F618" i="4"/>
  <c r="F612" i="4"/>
  <c r="F606" i="4"/>
  <c r="F600" i="4"/>
  <c r="F594" i="4"/>
  <c r="F588" i="4"/>
  <c r="F582" i="4"/>
  <c r="F576" i="4"/>
  <c r="F570" i="4"/>
  <c r="F564" i="4"/>
  <c r="F558" i="4"/>
  <c r="F552" i="4"/>
  <c r="F546" i="4"/>
  <c r="F540" i="4"/>
  <c r="F534" i="4"/>
  <c r="F528" i="4"/>
  <c r="F522" i="4"/>
  <c r="F516" i="4"/>
  <c r="F510" i="4"/>
  <c r="F504" i="4"/>
  <c r="F498" i="4"/>
  <c r="F486" i="4"/>
  <c r="F480" i="4"/>
  <c r="F474" i="4"/>
  <c r="F468" i="4"/>
  <c r="F462" i="4"/>
  <c r="F456" i="4"/>
  <c r="F450" i="4"/>
  <c r="F444" i="4"/>
  <c r="F438" i="4"/>
  <c r="F432" i="4"/>
  <c r="F426" i="4"/>
  <c r="F420" i="4"/>
  <c r="F414" i="4"/>
  <c r="F408" i="4"/>
  <c r="F402" i="4"/>
  <c r="F396" i="4"/>
  <c r="F390" i="4"/>
  <c r="F384" i="4"/>
  <c r="F378" i="4"/>
  <c r="F372" i="4"/>
  <c r="F366" i="4"/>
  <c r="F354" i="4"/>
  <c r="F348" i="4"/>
  <c r="F342" i="4"/>
  <c r="F336" i="4"/>
  <c r="F324" i="4"/>
  <c r="F318" i="4"/>
  <c r="F312" i="4"/>
  <c r="F300" i="4"/>
  <c r="F294" i="4"/>
  <c r="F288" i="4"/>
  <c r="F282" i="4"/>
  <c r="F276" i="4"/>
  <c r="F270" i="4"/>
  <c r="F264" i="4"/>
  <c r="F252" i="4"/>
  <c r="F246" i="4"/>
  <c r="F240" i="4"/>
  <c r="F228" i="4"/>
  <c r="F222" i="4"/>
  <c r="F1493" i="4"/>
  <c r="F1475" i="4"/>
  <c r="F1043" i="4"/>
  <c r="F959" i="4"/>
  <c r="F713" i="4"/>
  <c r="F653" i="4"/>
  <c r="F455" i="4"/>
  <c r="F425" i="4"/>
  <c r="F245" i="4"/>
  <c r="F1137" i="4"/>
  <c r="F1131" i="4"/>
  <c r="F1125" i="4"/>
  <c r="F1119" i="4"/>
  <c r="F1113" i="4"/>
  <c r="F1101" i="4"/>
  <c r="F1095" i="4"/>
  <c r="F1083" i="4"/>
  <c r="F1077" i="4"/>
  <c r="F1071" i="4"/>
  <c r="F1065" i="4"/>
  <c r="F1053" i="4"/>
  <c r="F1047" i="4"/>
  <c r="F1035" i="4"/>
  <c r="F1029" i="4"/>
  <c r="F1023" i="4"/>
  <c r="F1017" i="4"/>
  <c r="F1011" i="4"/>
  <c r="F1005" i="4"/>
  <c r="F999" i="4"/>
  <c r="F993" i="4"/>
  <c r="F987" i="4"/>
  <c r="F981" i="4"/>
  <c r="F963" i="4"/>
  <c r="F957" i="4"/>
  <c r="F951" i="4"/>
  <c r="F945" i="4"/>
  <c r="F933" i="4"/>
  <c r="F927" i="4"/>
  <c r="F921" i="4"/>
  <c r="F915" i="4"/>
  <c r="F909" i="4"/>
  <c r="F903" i="4"/>
  <c r="F891" i="4"/>
  <c r="F885" i="4"/>
  <c r="F879" i="4"/>
  <c r="F873" i="4"/>
  <c r="F867" i="4"/>
  <c r="F861" i="4"/>
  <c r="F849" i="4"/>
  <c r="F843" i="4"/>
  <c r="F837" i="4"/>
  <c r="F831" i="4"/>
  <c r="F819" i="4"/>
  <c r="F813" i="4"/>
  <c r="F807" i="4"/>
  <c r="F801" i="4"/>
  <c r="F765" i="4"/>
  <c r="F741" i="4"/>
  <c r="F723" i="4"/>
  <c r="F711" i="4"/>
  <c r="F693" i="4"/>
  <c r="F675" i="4"/>
  <c r="F657" i="4"/>
  <c r="F639" i="4"/>
  <c r="F621" i="4"/>
  <c r="F597" i="4"/>
  <c r="F573" i="4"/>
  <c r="F555" i="4"/>
  <c r="F531" i="4"/>
  <c r="F507" i="4"/>
  <c r="F489" i="4"/>
  <c r="F465" i="4"/>
  <c r="F447" i="4"/>
  <c r="F429" i="4"/>
  <c r="F399" i="4"/>
  <c r="F381" i="4"/>
  <c r="F351" i="4"/>
  <c r="F315" i="4"/>
  <c r="F291" i="4"/>
  <c r="F273" i="4"/>
  <c r="F249" i="4"/>
  <c r="F231" i="4"/>
  <c r="F1499" i="4"/>
  <c r="F1481" i="4"/>
  <c r="F1007" i="4"/>
  <c r="F995" i="4"/>
  <c r="F360" i="4"/>
  <c r="F1045" i="4"/>
  <c r="F1003" i="4"/>
  <c r="F985" i="4"/>
  <c r="F973" i="4"/>
  <c r="F1496" i="4"/>
  <c r="F1490" i="4"/>
  <c r="F1484" i="4"/>
  <c r="F1478" i="4"/>
  <c r="F1472" i="4"/>
  <c r="F1466" i="4"/>
  <c r="F1460" i="4"/>
  <c r="F1448" i="4"/>
  <c r="F1442" i="4"/>
  <c r="F1436" i="4"/>
  <c r="F1430" i="4"/>
  <c r="F1424" i="4"/>
  <c r="F1418" i="4"/>
  <c r="F1412" i="4"/>
  <c r="F1406" i="4"/>
  <c r="F1400" i="4"/>
  <c r="F1394" i="4"/>
  <c r="F1388" i="4"/>
  <c r="F1382" i="4"/>
  <c r="F1376" i="4"/>
  <c r="F1370" i="4"/>
  <c r="F1364" i="4"/>
  <c r="F1358" i="4"/>
  <c r="F1352" i="4"/>
  <c r="F1346" i="4"/>
  <c r="F1340" i="4"/>
  <c r="F1334" i="4"/>
  <c r="F1328" i="4"/>
  <c r="F1322" i="4"/>
  <c r="F1316" i="4"/>
  <c r="F1310" i="4"/>
  <c r="F1304" i="4"/>
  <c r="F1298" i="4"/>
  <c r="F1292" i="4"/>
  <c r="F1286" i="4"/>
  <c r="F1280" i="4"/>
  <c r="F1274" i="4"/>
  <c r="F1268" i="4"/>
  <c r="F1262" i="4"/>
  <c r="F1256" i="4"/>
  <c r="F1244" i="4"/>
  <c r="F1238" i="4"/>
  <c r="F1232" i="4"/>
  <c r="F1226" i="4"/>
  <c r="F1214" i="4"/>
  <c r="F1208" i="4"/>
  <c r="F1202" i="4"/>
  <c r="F1196" i="4"/>
  <c r="F1190" i="4"/>
  <c r="F1184" i="4"/>
  <c r="F1178" i="4"/>
  <c r="F1172" i="4"/>
  <c r="F1166" i="4"/>
  <c r="F1160" i="4"/>
  <c r="F1154" i="4"/>
  <c r="F1148" i="4"/>
  <c r="F1142" i="4"/>
  <c r="F1136" i="4"/>
  <c r="F1130" i="4"/>
  <c r="F1124" i="4"/>
  <c r="F1118" i="4"/>
  <c r="F1112" i="4"/>
  <c r="F1106" i="4"/>
  <c r="F1100" i="4"/>
  <c r="F1094" i="4"/>
  <c r="F1088" i="4"/>
  <c r="F1082" i="4"/>
  <c r="F1076" i="4"/>
  <c r="F1070" i="4"/>
  <c r="F1064" i="4"/>
  <c r="F1058" i="4"/>
  <c r="F1052" i="4"/>
  <c r="F1046" i="4"/>
  <c r="F1040" i="4"/>
  <c r="F1034" i="4"/>
  <c r="F1028" i="4"/>
  <c r="F1022" i="4"/>
  <c r="F1016" i="4"/>
  <c r="F1010" i="4"/>
  <c r="F1004" i="4"/>
  <c r="F998" i="4"/>
  <c r="F992" i="4"/>
  <c r="F986" i="4"/>
  <c r="F980" i="4"/>
  <c r="F968" i="4"/>
  <c r="F962" i="4"/>
  <c r="F956" i="4"/>
  <c r="F950" i="4"/>
  <c r="F944" i="4"/>
  <c r="F938" i="4"/>
  <c r="F932" i="4"/>
  <c r="F926" i="4"/>
  <c r="F920" i="4"/>
  <c r="F914" i="4"/>
  <c r="F908" i="4"/>
  <c r="F902" i="4"/>
  <c r="F896" i="4"/>
  <c r="F890" i="4"/>
  <c r="F884" i="4"/>
  <c r="F878" i="4"/>
  <c r="F872" i="4"/>
  <c r="F866" i="4"/>
  <c r="F860" i="4"/>
  <c r="F854" i="4"/>
  <c r="F848" i="4"/>
  <c r="F842" i="4"/>
  <c r="F836" i="4"/>
  <c r="F830" i="4"/>
  <c r="F824" i="4"/>
  <c r="F818" i="4"/>
  <c r="F812" i="4"/>
  <c r="F806" i="4"/>
  <c r="F800" i="4"/>
  <c r="F794" i="4"/>
  <c r="F788" i="4"/>
  <c r="F776" i="4"/>
  <c r="F770" i="4"/>
  <c r="F764" i="4"/>
  <c r="F758" i="4"/>
  <c r="F752" i="4"/>
  <c r="F746" i="4"/>
  <c r="F740" i="4"/>
  <c r="F734" i="4"/>
  <c r="F728" i="4"/>
  <c r="F722" i="4"/>
  <c r="F716" i="4"/>
  <c r="F710" i="4"/>
  <c r="F704" i="4"/>
  <c r="F698" i="4"/>
  <c r="F795" i="4"/>
  <c r="F789" i="4"/>
  <c r="F771" i="4"/>
  <c r="F759" i="4"/>
  <c r="F753" i="4"/>
  <c r="F729" i="4"/>
  <c r="F717" i="4"/>
  <c r="F699" i="4"/>
  <c r="F687" i="4"/>
  <c r="F663" i="4"/>
  <c r="F651" i="4"/>
  <c r="F627" i="4"/>
  <c r="F615" i="4"/>
  <c r="F609" i="4"/>
  <c r="F585" i="4"/>
  <c r="F579" i="4"/>
  <c r="F567" i="4"/>
  <c r="F549" i="4"/>
  <c r="F537" i="4"/>
  <c r="F525" i="4"/>
  <c r="F513" i="4"/>
  <c r="F495" i="4"/>
  <c r="F483" i="4"/>
  <c r="F477" i="4"/>
  <c r="F453" i="4"/>
  <c r="F441" i="4"/>
  <c r="F423" i="4"/>
  <c r="F417" i="4"/>
  <c r="F405" i="4"/>
  <c r="F387" i="4"/>
  <c r="F375" i="4"/>
  <c r="F363" i="4"/>
  <c r="F357" i="4"/>
  <c r="F339" i="4"/>
  <c r="F333" i="4"/>
  <c r="F327" i="4"/>
  <c r="F303" i="4"/>
  <c r="F297" i="4"/>
  <c r="F285" i="4"/>
  <c r="F267" i="4"/>
  <c r="F255" i="4"/>
  <c r="F237" i="4"/>
  <c r="F664" i="4"/>
  <c r="F658" i="4"/>
  <c r="F652" i="4"/>
  <c r="F646" i="4"/>
  <c r="F640" i="4"/>
  <c r="F634" i="4"/>
  <c r="F628" i="4"/>
  <c r="F622" i="4"/>
  <c r="F616" i="4"/>
  <c r="F610" i="4"/>
  <c r="F604" i="4"/>
  <c r="F598" i="4"/>
  <c r="F592" i="4"/>
  <c r="F586" i="4"/>
  <c r="F580" i="4"/>
  <c r="F574" i="4"/>
  <c r="F568" i="4"/>
  <c r="F562" i="4"/>
  <c r="F556" i="4"/>
  <c r="F550" i="4"/>
  <c r="F544" i="4"/>
  <c r="F538" i="4"/>
  <c r="F532" i="4"/>
  <c r="F526" i="4"/>
  <c r="F520" i="4"/>
  <c r="F514" i="4"/>
  <c r="F508" i="4"/>
  <c r="F502" i="4"/>
  <c r="F496" i="4"/>
  <c r="F490" i="4"/>
  <c r="F484" i="4"/>
  <c r="F478" i="4"/>
  <c r="F472" i="4"/>
  <c r="F466" i="4"/>
  <c r="F460" i="4"/>
  <c r="F454" i="4"/>
  <c r="F448" i="4"/>
  <c r="F442" i="4"/>
  <c r="F436" i="4"/>
  <c r="F430" i="4"/>
  <c r="F424" i="4"/>
  <c r="F418" i="4"/>
  <c r="F412" i="4"/>
  <c r="F406" i="4"/>
  <c r="F400" i="4"/>
  <c r="F394" i="4"/>
  <c r="F388" i="4"/>
  <c r="F382" i="4"/>
  <c r="F376" i="4"/>
  <c r="F370" i="4"/>
  <c r="F364" i="4"/>
  <c r="F358" i="4"/>
  <c r="F352" i="4"/>
  <c r="F346" i="4"/>
  <c r="F340" i="4"/>
  <c r="F334" i="4"/>
  <c r="F328" i="4"/>
  <c r="F322" i="4"/>
  <c r="F316" i="4"/>
  <c r="F310" i="4"/>
  <c r="F304" i="4"/>
  <c r="F298" i="4"/>
  <c r="F292" i="4"/>
  <c r="F286" i="4"/>
  <c r="F280" i="4"/>
  <c r="F274" i="4"/>
  <c r="F268" i="4"/>
  <c r="F262" i="4"/>
  <c r="F256" i="4"/>
  <c r="F250" i="4"/>
  <c r="F244" i="4"/>
  <c r="F238" i="4"/>
  <c r="F232" i="4"/>
  <c r="F226" i="4"/>
  <c r="F1463" i="4"/>
  <c r="F1031" i="4"/>
  <c r="F971" i="4"/>
  <c r="F677" i="4"/>
  <c r="F605" i="4"/>
  <c r="F497" i="4"/>
  <c r="F317" i="4"/>
  <c r="F293" i="4"/>
  <c r="F221" i="4"/>
  <c r="F692" i="4"/>
  <c r="F686" i="4"/>
  <c r="F680" i="4"/>
  <c r="F674" i="4"/>
  <c r="F668" i="4"/>
  <c r="F662" i="4"/>
  <c r="F656" i="4"/>
  <c r="F650" i="4"/>
  <c r="F644" i="4"/>
  <c r="F638" i="4"/>
  <c r="F632" i="4"/>
  <c r="F626" i="4"/>
  <c r="F620" i="4"/>
  <c r="F614" i="4"/>
  <c r="F608" i="4"/>
  <c r="F602" i="4"/>
  <c r="F596" i="4"/>
  <c r="F590" i="4"/>
  <c r="F584" i="4"/>
  <c r="F578" i="4"/>
  <c r="F572" i="4"/>
  <c r="F566" i="4"/>
  <c r="F560" i="4"/>
  <c r="F554" i="4"/>
  <c r="F548" i="4"/>
  <c r="F542" i="4"/>
  <c r="F536" i="4"/>
  <c r="F530" i="4"/>
  <c r="F524" i="4"/>
  <c r="F518" i="4"/>
  <c r="F512" i="4"/>
  <c r="F506" i="4"/>
  <c r="F500" i="4"/>
  <c r="F494" i="4"/>
  <c r="F488" i="4"/>
  <c r="F482" i="4"/>
  <c r="F476" i="4"/>
  <c r="F470" i="4"/>
  <c r="F464" i="4"/>
  <c r="F458" i="4"/>
  <c r="F452" i="4"/>
  <c r="F446" i="4"/>
  <c r="F440" i="4"/>
  <c r="F434" i="4"/>
  <c r="F428" i="4"/>
  <c r="F422" i="4"/>
  <c r="F416" i="4"/>
  <c r="F410" i="4"/>
  <c r="F404" i="4"/>
  <c r="F398" i="4"/>
  <c r="F392" i="4"/>
  <c r="F386" i="4"/>
  <c r="F380" i="4"/>
  <c r="F374" i="4"/>
  <c r="F368" i="4"/>
  <c r="F362" i="4"/>
  <c r="F356" i="4"/>
  <c r="F350" i="4"/>
  <c r="F344" i="4"/>
  <c r="F338" i="4"/>
  <c r="F332" i="4"/>
  <c r="F326" i="4"/>
  <c r="F320" i="4"/>
  <c r="F314" i="4"/>
  <c r="F308" i="4"/>
  <c r="F302" i="4"/>
  <c r="F296" i="4"/>
  <c r="F290" i="4"/>
  <c r="F284" i="4"/>
  <c r="F278" i="4"/>
  <c r="F272" i="4"/>
  <c r="F266" i="4"/>
  <c r="F260" i="4"/>
  <c r="F254" i="4"/>
  <c r="F248" i="4"/>
  <c r="F242" i="4"/>
  <c r="F236" i="4"/>
  <c r="F230" i="4"/>
  <c r="F224" i="4"/>
  <c r="F220" i="4"/>
  <c r="F1495" i="4"/>
  <c r="F1489" i="4"/>
  <c r="F1483" i="4"/>
  <c r="F1477" i="4"/>
  <c r="F1471" i="4"/>
  <c r="F1465" i="4"/>
  <c r="F1459" i="4"/>
  <c r="F1453" i="4"/>
  <c r="F1447" i="4"/>
  <c r="F1441" i="4"/>
  <c r="F1435" i="4"/>
  <c r="F1429" i="4"/>
  <c r="F1423" i="4"/>
  <c r="F1417" i="4"/>
  <c r="F1411" i="4"/>
  <c r="F1405" i="4"/>
  <c r="F1399" i="4"/>
  <c r="F1393" i="4"/>
  <c r="F1387" i="4"/>
  <c r="F1381" i="4"/>
  <c r="F1375" i="4"/>
  <c r="F1369" i="4"/>
  <c r="F1363" i="4"/>
  <c r="F1357" i="4"/>
  <c r="F1351" i="4"/>
  <c r="F1345" i="4"/>
  <c r="F1339" i="4"/>
  <c r="F1333" i="4"/>
  <c r="F1327" i="4"/>
  <c r="F1321" i="4"/>
  <c r="F1315" i="4"/>
  <c r="F1309" i="4"/>
  <c r="F1303" i="4"/>
  <c r="F1297" i="4"/>
  <c r="F1291" i="4"/>
  <c r="F1285" i="4"/>
  <c r="F1279" i="4"/>
  <c r="F1273" i="4"/>
  <c r="F1267" i="4"/>
  <c r="F1261" i="4"/>
  <c r="F1255" i="4"/>
  <c r="F1249" i="4"/>
  <c r="F1243" i="4"/>
  <c r="F1237" i="4"/>
  <c r="F1231" i="4"/>
  <c r="F1225" i="4"/>
  <c r="F1219" i="4"/>
  <c r="F1213" i="4"/>
  <c r="F1207" i="4"/>
  <c r="F1201" i="4"/>
  <c r="F1195" i="4"/>
  <c r="F1189" i="4"/>
  <c r="F1183" i="4"/>
  <c r="F1177" i="4"/>
  <c r="F1171" i="4"/>
  <c r="F1165" i="4"/>
  <c r="F1159" i="4"/>
  <c r="F1153" i="4"/>
  <c r="F1147" i="4"/>
  <c r="F1141" i="4"/>
  <c r="F1135" i="4"/>
  <c r="F1129" i="4"/>
  <c r="F1123" i="4"/>
  <c r="F1117" i="4"/>
  <c r="F1111" i="4"/>
  <c r="F1105" i="4"/>
  <c r="F1099" i="4"/>
  <c r="F1093" i="4"/>
  <c r="F1087" i="4"/>
  <c r="F1081" i="4"/>
  <c r="F1075" i="4"/>
  <c r="F1069" i="4"/>
  <c r="F1063" i="4"/>
  <c r="F1057" i="4"/>
  <c r="F1051" i="4"/>
  <c r="F1039" i="4"/>
  <c r="F1033" i="4"/>
  <c r="F1027" i="4"/>
  <c r="F1021" i="4"/>
  <c r="F1015" i="4"/>
  <c r="F1009" i="4"/>
  <c r="F997" i="4"/>
  <c r="F991" i="4"/>
  <c r="F979" i="4"/>
  <c r="F967" i="4"/>
  <c r="F961" i="4"/>
  <c r="F955" i="4"/>
  <c r="F949" i="4"/>
  <c r="F943" i="4"/>
  <c r="F937" i="4"/>
  <c r="F931" i="4"/>
  <c r="F925" i="4"/>
  <c r="F919" i="4"/>
  <c r="F913" i="4"/>
  <c r="F907" i="4"/>
  <c r="F901" i="4"/>
  <c r="F895" i="4"/>
  <c r="F889" i="4"/>
  <c r="F883" i="4"/>
  <c r="F877" i="4"/>
  <c r="F871" i="4"/>
  <c r="F865" i="4"/>
  <c r="F859" i="4"/>
  <c r="F853" i="4"/>
  <c r="F847" i="4"/>
  <c r="F841" i="4"/>
  <c r="F835" i="4"/>
  <c r="F829" i="4"/>
  <c r="F823" i="4"/>
  <c r="F817" i="4"/>
  <c r="F811" i="4"/>
  <c r="F805" i="4"/>
  <c r="F799" i="4"/>
  <c r="F793" i="4"/>
  <c r="F787" i="4"/>
  <c r="F781" i="4"/>
  <c r="F775" i="4"/>
  <c r="F769" i="4"/>
  <c r="F763" i="4"/>
  <c r="F757" i="4"/>
  <c r="F751" i="4"/>
  <c r="F745" i="4"/>
  <c r="F739" i="4"/>
  <c r="F733" i="4"/>
  <c r="F727" i="4"/>
  <c r="F721" i="4"/>
  <c r="F715" i="4"/>
  <c r="F709" i="4"/>
  <c r="F703" i="4"/>
  <c r="F697" i="4"/>
  <c r="F691" i="4"/>
  <c r="F685" i="4"/>
  <c r="F679" i="4"/>
  <c r="F673" i="4"/>
  <c r="F667" i="4"/>
  <c r="F661" i="4"/>
  <c r="F655" i="4"/>
  <c r="F649" i="4"/>
  <c r="F643" i="4"/>
  <c r="F637" i="4"/>
  <c r="F631" i="4"/>
  <c r="F625" i="4"/>
  <c r="F619" i="4"/>
  <c r="F613" i="4"/>
  <c r="F607" i="4"/>
  <c r="F601" i="4"/>
  <c r="F595" i="4"/>
  <c r="F589" i="4"/>
  <c r="F583" i="4"/>
  <c r="F577" i="4"/>
  <c r="F571" i="4"/>
  <c r="F565" i="4"/>
  <c r="F559" i="4"/>
  <c r="F553" i="4"/>
  <c r="F547" i="4"/>
  <c r="F541" i="4"/>
  <c r="F535" i="4"/>
  <c r="F529" i="4"/>
  <c r="F523" i="4"/>
  <c r="F517" i="4"/>
  <c r="F511" i="4"/>
  <c r="F505" i="4"/>
  <c r="F499" i="4"/>
  <c r="F493" i="4"/>
  <c r="F487" i="4"/>
  <c r="F481" i="4"/>
  <c r="F475" i="4"/>
  <c r="F469" i="4"/>
  <c r="F463" i="4"/>
  <c r="F457" i="4"/>
  <c r="F451" i="4"/>
  <c r="F445" i="4"/>
  <c r="F439" i="4"/>
  <c r="F433" i="4"/>
  <c r="F427" i="4"/>
  <c r="F421" i="4"/>
  <c r="F415" i="4"/>
  <c r="F409" i="4"/>
  <c r="F403" i="4"/>
  <c r="F397" i="4"/>
  <c r="F391" i="4"/>
  <c r="F385" i="4"/>
  <c r="F379" i="4"/>
  <c r="F373" i="4"/>
  <c r="F671" i="4"/>
  <c r="F623" i="4"/>
  <c r="F617" i="4"/>
  <c r="F569" i="4"/>
  <c r="F563" i="4"/>
  <c r="F545" i="4"/>
  <c r="F515" i="4"/>
  <c r="F509" i="4"/>
  <c r="F461" i="4"/>
  <c r="F437" i="4"/>
  <c r="F389" i="4"/>
  <c r="F365" i="4"/>
  <c r="F353" i="4"/>
  <c r="F281" i="4"/>
  <c r="F978" i="4"/>
  <c r="F492" i="4"/>
  <c r="F330" i="4"/>
  <c r="F306" i="4"/>
  <c r="F258" i="4"/>
  <c r="F234" i="4"/>
  <c r="F367" i="4"/>
  <c r="F361" i="4"/>
  <c r="F355" i="4"/>
  <c r="F349" i="4"/>
  <c r="F343" i="4"/>
  <c r="F337" i="4"/>
  <c r="F331" i="4"/>
  <c r="F325" i="4"/>
  <c r="F319" i="4"/>
  <c r="F313" i="4"/>
  <c r="F307" i="4"/>
  <c r="F301" i="4"/>
  <c r="F295" i="4"/>
  <c r="F289" i="4"/>
  <c r="F1487" i="4"/>
  <c r="F1469" i="4"/>
  <c r="F1457" i="4"/>
  <c r="F1451" i="4"/>
  <c r="F1445" i="4"/>
  <c r="F1439" i="4"/>
  <c r="F1433" i="4"/>
  <c r="F1427" i="4"/>
  <c r="F1421" i="4"/>
  <c r="F1415" i="4"/>
  <c r="F1409" i="4"/>
  <c r="F1403" i="4"/>
  <c r="F1397" i="4"/>
  <c r="F1391" i="4"/>
  <c r="F1385" i="4"/>
  <c r="F1379" i="4"/>
  <c r="F1373" i="4"/>
  <c r="F1367" i="4"/>
  <c r="F1361" i="4"/>
  <c r="F1355" i="4"/>
  <c r="F1349" i="4"/>
  <c r="F1343" i="4"/>
  <c r="F1337" i="4"/>
  <c r="F1331" i="4"/>
  <c r="F1325" i="4"/>
  <c r="F1319" i="4"/>
  <c r="F1313" i="4"/>
  <c r="F1307" i="4"/>
  <c r="F1301" i="4"/>
  <c r="F1295" i="4"/>
  <c r="F1289" i="4"/>
  <c r="F1283" i="4"/>
  <c r="F1277" i="4"/>
  <c r="F1271" i="4"/>
  <c r="F1265" i="4"/>
  <c r="F1259" i="4"/>
  <c r="F1253" i="4"/>
  <c r="F1247" i="4"/>
  <c r="F1241" i="4"/>
  <c r="F1235" i="4"/>
  <c r="F1229" i="4"/>
  <c r="F1223" i="4"/>
  <c r="F1217" i="4"/>
  <c r="F1211" i="4"/>
  <c r="F1205" i="4"/>
  <c r="F1199" i="4"/>
  <c r="F1193" i="4"/>
  <c r="F1187" i="4"/>
  <c r="F1181" i="4"/>
  <c r="F1175" i="4"/>
  <c r="F1169" i="4"/>
  <c r="F1163" i="4"/>
  <c r="F1157" i="4"/>
  <c r="F1151" i="4"/>
  <c r="F1145" i="4"/>
  <c r="F1139" i="4"/>
  <c r="F1133" i="4"/>
  <c r="F1127" i="4"/>
  <c r="F1121" i="4"/>
  <c r="F1115" i="4"/>
  <c r="F1109" i="4"/>
  <c r="F1103" i="4"/>
  <c r="F1097" i="4"/>
  <c r="F1091" i="4"/>
  <c r="F1085" i="4"/>
  <c r="F1079" i="4"/>
  <c r="F219" i="4"/>
  <c r="F1073" i="4"/>
  <c r="F1067" i="4"/>
  <c r="F1061" i="4"/>
  <c r="F1055" i="4"/>
  <c r="F1049" i="4"/>
  <c r="F1037" i="4"/>
  <c r="F1025" i="4"/>
  <c r="F1019" i="4"/>
  <c r="F1013" i="4"/>
  <c r="F1001" i="4"/>
  <c r="F989" i="4"/>
  <c r="F983" i="4"/>
  <c r="F977" i="4"/>
  <c r="F965" i="4"/>
  <c r="F953" i="4"/>
  <c r="F947" i="4"/>
  <c r="F941" i="4"/>
  <c r="F935" i="4"/>
  <c r="F929" i="4"/>
  <c r="F923" i="4"/>
  <c r="F917" i="4"/>
  <c r="F911" i="4"/>
  <c r="F905" i="4"/>
  <c r="F899" i="4"/>
  <c r="F893" i="4"/>
  <c r="F887" i="4"/>
  <c r="F881" i="4"/>
  <c r="F875" i="4"/>
  <c r="F869" i="4"/>
  <c r="F863" i="4"/>
  <c r="F857" i="4"/>
  <c r="F851" i="4"/>
  <c r="F845" i="4"/>
  <c r="F839" i="4"/>
  <c r="F833" i="4"/>
  <c r="F827" i="4"/>
  <c r="F821" i="4"/>
  <c r="F815" i="4"/>
  <c r="F809" i="4"/>
  <c r="F803" i="4"/>
  <c r="F797" i="4"/>
  <c r="F791" i="4"/>
  <c r="F785" i="4"/>
  <c r="F779" i="4"/>
  <c r="F773" i="4"/>
  <c r="F767" i="4"/>
  <c r="F761" i="4"/>
  <c r="F755" i="4"/>
  <c r="F749" i="4"/>
  <c r="F743" i="4"/>
  <c r="F737" i="4"/>
  <c r="F731" i="4"/>
  <c r="F725" i="4"/>
  <c r="F719" i="4"/>
  <c r="F707" i="4"/>
  <c r="F701" i="4"/>
  <c r="F695" i="4"/>
  <c r="F689" i="4"/>
  <c r="F683" i="4"/>
  <c r="F665" i="4"/>
  <c r="F659" i="4"/>
  <c r="F647" i="4"/>
  <c r="F641" i="4"/>
  <c r="F635" i="4"/>
  <c r="F629" i="4"/>
  <c r="F611" i="4"/>
  <c r="F599" i="4"/>
  <c r="F593" i="4"/>
  <c r="F587" i="4"/>
  <c r="F581" i="4"/>
  <c r="F575" i="4"/>
  <c r="F557" i="4"/>
  <c r="F551" i="4"/>
  <c r="F539" i="4"/>
  <c r="F533" i="4"/>
  <c r="F527" i="4"/>
  <c r="F521" i="4"/>
  <c r="F503" i="4"/>
  <c r="F491" i="4"/>
  <c r="F485" i="4"/>
  <c r="F479" i="4"/>
  <c r="F473" i="4"/>
  <c r="F467" i="4"/>
  <c r="F449" i="4"/>
  <c r="F443" i="4"/>
  <c r="F431" i="4"/>
  <c r="F419" i="4"/>
  <c r="F413" i="4"/>
  <c r="F407" i="4"/>
  <c r="F401" i="4"/>
  <c r="F395" i="4"/>
  <c r="F383" i="4"/>
  <c r="F377" i="4"/>
  <c r="F371" i="4"/>
  <c r="F359" i="4"/>
  <c r="F347" i="4"/>
  <c r="F341" i="4"/>
  <c r="F335" i="4"/>
  <c r="F329" i="4"/>
  <c r="F323" i="4"/>
  <c r="F311" i="4"/>
  <c r="F305" i="4"/>
  <c r="F299" i="4"/>
  <c r="F287" i="4"/>
  <c r="F275" i="4"/>
  <c r="F269" i="4"/>
  <c r="F263" i="4"/>
  <c r="F257" i="4"/>
  <c r="F251" i="4"/>
  <c r="F239" i="4"/>
  <c r="F233" i="4"/>
  <c r="F227" i="4"/>
  <c r="F283" i="4"/>
  <c r="F277" i="4"/>
  <c r="F271" i="4"/>
  <c r="F265" i="4"/>
  <c r="F259" i="4"/>
  <c r="F253" i="4"/>
  <c r="F247" i="4"/>
  <c r="F241" i="4"/>
  <c r="F235" i="4"/>
  <c r="F229" i="4"/>
  <c r="F223" i="4"/>
  <c r="D21" i="11"/>
  <c r="G21" i="11" s="1"/>
  <c r="D20" i="11"/>
  <c r="E20" i="11"/>
  <c r="G20" i="11" l="1"/>
  <c r="H157" i="7" l="1"/>
  <c r="H252" i="7"/>
  <c r="H255" i="7"/>
  <c r="H7" i="7"/>
  <c r="H51" i="7"/>
  <c r="H52" i="7"/>
  <c r="G41" i="19" l="1"/>
  <c r="G42" i="19"/>
  <c r="G33" i="10" l="1"/>
  <c r="G34" i="10"/>
  <c r="G35" i="10"/>
  <c r="G36" i="10"/>
  <c r="G37" i="10"/>
  <c r="D49" i="19" l="1" a="1"/>
  <c r="D49" i="19" s="1"/>
  <c r="G38" i="19" l="1"/>
  <c r="G39" i="19"/>
  <c r="G40" i="19"/>
  <c r="G43" i="19"/>
  <c r="G44" i="19"/>
  <c r="G45" i="19"/>
  <c r="H45" i="19" s="1"/>
  <c r="J57" i="25" s="1"/>
  <c r="G37" i="19"/>
  <c r="G36" i="19"/>
  <c r="G35" i="19"/>
  <c r="G34" i="19"/>
  <c r="G33" i="19"/>
  <c r="G32" i="19"/>
  <c r="G31" i="19"/>
  <c r="H31" i="19" s="1"/>
  <c r="G61" i="25" s="1"/>
  <c r="E218" i="4"/>
  <c r="D218" i="4"/>
  <c r="C218" i="4"/>
  <c r="B218" i="4"/>
  <c r="A218" i="4"/>
  <c r="N218" i="4" s="1"/>
  <c r="E217" i="4"/>
  <c r="D217" i="4"/>
  <c r="C217" i="4"/>
  <c r="B217" i="4"/>
  <c r="A217" i="4"/>
  <c r="N217" i="4" s="1"/>
  <c r="E216" i="4"/>
  <c r="D216" i="4"/>
  <c r="C216" i="4"/>
  <c r="B216" i="4"/>
  <c r="A216" i="4"/>
  <c r="N216" i="4" s="1"/>
  <c r="E215" i="4"/>
  <c r="D215" i="4"/>
  <c r="C215" i="4"/>
  <c r="B215" i="4"/>
  <c r="A215" i="4"/>
  <c r="N215" i="4" s="1"/>
  <c r="E214" i="4"/>
  <c r="D214" i="4"/>
  <c r="C214" i="4"/>
  <c r="B214" i="4"/>
  <c r="A214" i="4"/>
  <c r="N214" i="4" s="1"/>
  <c r="E213" i="4"/>
  <c r="D213" i="4"/>
  <c r="C213" i="4"/>
  <c r="B213" i="4"/>
  <c r="A213" i="4"/>
  <c r="N213" i="4" s="1"/>
  <c r="E212" i="4"/>
  <c r="D212" i="4"/>
  <c r="C212" i="4"/>
  <c r="B212" i="4"/>
  <c r="A212" i="4"/>
  <c r="N212" i="4" s="1"/>
  <c r="E211" i="4"/>
  <c r="D211" i="4"/>
  <c r="C211" i="4"/>
  <c r="B211" i="4"/>
  <c r="A211" i="4"/>
  <c r="N211" i="4" s="1"/>
  <c r="E210" i="4"/>
  <c r="D210" i="4"/>
  <c r="C210" i="4"/>
  <c r="B210" i="4"/>
  <c r="A210" i="4"/>
  <c r="N210" i="4" s="1"/>
  <c r="E209" i="4"/>
  <c r="D209" i="4"/>
  <c r="C209" i="4"/>
  <c r="B209" i="4"/>
  <c r="A209" i="4"/>
  <c r="N209" i="4" s="1"/>
  <c r="E208" i="4"/>
  <c r="D208" i="4"/>
  <c r="C208" i="4"/>
  <c r="B208" i="4"/>
  <c r="A208" i="4"/>
  <c r="N208" i="4" s="1"/>
  <c r="E207" i="4"/>
  <c r="D207" i="4"/>
  <c r="C207" i="4"/>
  <c r="B207" i="4"/>
  <c r="A207" i="4"/>
  <c r="N207" i="4" s="1"/>
  <c r="E206" i="4"/>
  <c r="D206" i="4"/>
  <c r="C206" i="4"/>
  <c r="B206" i="4"/>
  <c r="A206" i="4"/>
  <c r="N206" i="4" s="1"/>
  <c r="E205" i="4"/>
  <c r="D205" i="4"/>
  <c r="C205" i="4"/>
  <c r="B205" i="4"/>
  <c r="A205" i="4"/>
  <c r="N205" i="4" s="1"/>
  <c r="E204" i="4"/>
  <c r="D204" i="4"/>
  <c r="C204" i="4"/>
  <c r="B204" i="4"/>
  <c r="A204" i="4"/>
  <c r="N204" i="4" s="1"/>
  <c r="E203" i="4"/>
  <c r="D203" i="4"/>
  <c r="C203" i="4"/>
  <c r="B203" i="4"/>
  <c r="A203" i="4"/>
  <c r="N203" i="4" s="1"/>
  <c r="E202" i="4"/>
  <c r="D202" i="4"/>
  <c r="C202" i="4"/>
  <c r="B202" i="4"/>
  <c r="A202" i="4"/>
  <c r="N202" i="4" s="1"/>
  <c r="E201" i="4"/>
  <c r="D201" i="4"/>
  <c r="C201" i="4"/>
  <c r="B201" i="4"/>
  <c r="A201" i="4"/>
  <c r="N201" i="4" s="1"/>
  <c r="E200" i="4"/>
  <c r="D200" i="4"/>
  <c r="C200" i="4"/>
  <c r="B200" i="4"/>
  <c r="A200" i="4"/>
  <c r="N200" i="4" s="1"/>
  <c r="E199" i="4"/>
  <c r="D199" i="4"/>
  <c r="C199" i="4"/>
  <c r="B199" i="4"/>
  <c r="A199" i="4"/>
  <c r="N199" i="4" s="1"/>
  <c r="E198" i="4"/>
  <c r="D198" i="4"/>
  <c r="C198" i="4"/>
  <c r="B198" i="4"/>
  <c r="A198" i="4"/>
  <c r="N198" i="4" s="1"/>
  <c r="E197" i="4"/>
  <c r="D197" i="4"/>
  <c r="C197" i="4"/>
  <c r="B197" i="4"/>
  <c r="A197" i="4"/>
  <c r="N197" i="4" s="1"/>
  <c r="E196" i="4"/>
  <c r="D196" i="4"/>
  <c r="C196" i="4"/>
  <c r="B196" i="4"/>
  <c r="A196" i="4"/>
  <c r="N196" i="4" s="1"/>
  <c r="E195" i="4"/>
  <c r="D195" i="4"/>
  <c r="C195" i="4"/>
  <c r="B195" i="4"/>
  <c r="A195" i="4"/>
  <c r="N195" i="4" s="1"/>
  <c r="E194" i="4"/>
  <c r="D194" i="4"/>
  <c r="C194" i="4"/>
  <c r="B194" i="4"/>
  <c r="A194" i="4"/>
  <c r="N194" i="4" s="1"/>
  <c r="E193" i="4"/>
  <c r="D193" i="4"/>
  <c r="C193" i="4"/>
  <c r="B193" i="4"/>
  <c r="A193" i="4"/>
  <c r="N193" i="4" s="1"/>
  <c r="E192" i="4"/>
  <c r="D192" i="4"/>
  <c r="C192" i="4"/>
  <c r="B192" i="4"/>
  <c r="A192" i="4"/>
  <c r="N192" i="4" s="1"/>
  <c r="E191" i="4"/>
  <c r="D191" i="4"/>
  <c r="C191" i="4"/>
  <c r="B191" i="4"/>
  <c r="A191" i="4"/>
  <c r="N191" i="4" s="1"/>
  <c r="E190" i="4"/>
  <c r="D190" i="4"/>
  <c r="C190" i="4"/>
  <c r="B190" i="4"/>
  <c r="A190" i="4"/>
  <c r="N190" i="4" s="1"/>
  <c r="E189" i="4"/>
  <c r="D189" i="4"/>
  <c r="C189" i="4"/>
  <c r="B189" i="4"/>
  <c r="A189" i="4"/>
  <c r="N189" i="4" s="1"/>
  <c r="E188" i="4"/>
  <c r="D188" i="4"/>
  <c r="C188" i="4"/>
  <c r="B188" i="4"/>
  <c r="A188" i="4"/>
  <c r="N188" i="4" s="1"/>
  <c r="E187" i="4"/>
  <c r="D187" i="4"/>
  <c r="C187" i="4"/>
  <c r="B187" i="4"/>
  <c r="A187" i="4"/>
  <c r="N187" i="4" s="1"/>
  <c r="E186" i="4"/>
  <c r="D186" i="4"/>
  <c r="C186" i="4"/>
  <c r="B186" i="4"/>
  <c r="A186" i="4"/>
  <c r="N186" i="4" s="1"/>
  <c r="E185" i="4"/>
  <c r="D185" i="4"/>
  <c r="C185" i="4"/>
  <c r="B185" i="4"/>
  <c r="A185" i="4"/>
  <c r="N185" i="4" s="1"/>
  <c r="E184" i="4"/>
  <c r="D184" i="4"/>
  <c r="C184" i="4"/>
  <c r="B184" i="4"/>
  <c r="A184" i="4"/>
  <c r="N184" i="4" s="1"/>
  <c r="E183" i="4"/>
  <c r="D183" i="4"/>
  <c r="C183" i="4"/>
  <c r="B183" i="4"/>
  <c r="A183" i="4"/>
  <c r="N183" i="4" s="1"/>
  <c r="E182" i="4"/>
  <c r="D182" i="4"/>
  <c r="C182" i="4"/>
  <c r="B182" i="4"/>
  <c r="A182" i="4"/>
  <c r="N182" i="4" s="1"/>
  <c r="E181" i="4"/>
  <c r="D181" i="4"/>
  <c r="C181" i="4"/>
  <c r="B181" i="4"/>
  <c r="A181" i="4"/>
  <c r="N181" i="4" s="1"/>
  <c r="E180" i="4"/>
  <c r="D180" i="4"/>
  <c r="C180" i="4"/>
  <c r="B180" i="4"/>
  <c r="A180" i="4"/>
  <c r="N180" i="4" s="1"/>
  <c r="E179" i="4"/>
  <c r="D179" i="4"/>
  <c r="C179" i="4"/>
  <c r="B179" i="4"/>
  <c r="A179" i="4"/>
  <c r="N179" i="4" s="1"/>
  <c r="E178" i="4"/>
  <c r="D178" i="4"/>
  <c r="C178" i="4"/>
  <c r="B178" i="4"/>
  <c r="A178" i="4"/>
  <c r="N178" i="4" s="1"/>
  <c r="E177" i="4"/>
  <c r="D177" i="4"/>
  <c r="C177" i="4"/>
  <c r="B177" i="4"/>
  <c r="A177" i="4"/>
  <c r="N177" i="4" s="1"/>
  <c r="E176" i="4"/>
  <c r="D176" i="4"/>
  <c r="C176" i="4"/>
  <c r="B176" i="4"/>
  <c r="A176" i="4"/>
  <c r="N176" i="4" s="1"/>
  <c r="E175" i="4"/>
  <c r="D175" i="4"/>
  <c r="C175" i="4"/>
  <c r="B175" i="4"/>
  <c r="A175" i="4"/>
  <c r="N175" i="4" s="1"/>
  <c r="E174" i="4"/>
  <c r="D174" i="4"/>
  <c r="C174" i="4"/>
  <c r="B174" i="4"/>
  <c r="A174" i="4"/>
  <c r="N174" i="4" s="1"/>
  <c r="E173" i="4"/>
  <c r="D173" i="4"/>
  <c r="C173" i="4"/>
  <c r="B173" i="4"/>
  <c r="A173" i="4"/>
  <c r="N173" i="4" s="1"/>
  <c r="E172" i="4"/>
  <c r="D172" i="4"/>
  <c r="C172" i="4"/>
  <c r="B172" i="4"/>
  <c r="A172" i="4"/>
  <c r="N172" i="4" s="1"/>
  <c r="E171" i="4"/>
  <c r="D171" i="4"/>
  <c r="C171" i="4"/>
  <c r="B171" i="4"/>
  <c r="A171" i="4"/>
  <c r="N171" i="4" s="1"/>
  <c r="E170" i="4"/>
  <c r="D170" i="4"/>
  <c r="C170" i="4"/>
  <c r="B170" i="4"/>
  <c r="A170" i="4"/>
  <c r="N170" i="4" s="1"/>
  <c r="E169" i="4"/>
  <c r="D169" i="4"/>
  <c r="C169" i="4"/>
  <c r="B169" i="4"/>
  <c r="A169" i="4"/>
  <c r="N169" i="4" s="1"/>
  <c r="E168" i="4"/>
  <c r="D168" i="4"/>
  <c r="C168" i="4"/>
  <c r="B168" i="4"/>
  <c r="A168" i="4"/>
  <c r="N168" i="4" s="1"/>
  <c r="E167" i="4"/>
  <c r="D167" i="4"/>
  <c r="C167" i="4"/>
  <c r="B167" i="4"/>
  <c r="A167" i="4"/>
  <c r="N167" i="4" s="1"/>
  <c r="E166" i="4"/>
  <c r="D166" i="4"/>
  <c r="C166" i="4"/>
  <c r="B166" i="4"/>
  <c r="A166" i="4"/>
  <c r="N166" i="4" s="1"/>
  <c r="E165" i="4"/>
  <c r="D165" i="4"/>
  <c r="C165" i="4"/>
  <c r="B165" i="4"/>
  <c r="A165" i="4"/>
  <c r="N165" i="4" s="1"/>
  <c r="E164" i="4"/>
  <c r="D164" i="4"/>
  <c r="C164" i="4"/>
  <c r="B164" i="4"/>
  <c r="A164" i="4"/>
  <c r="N164" i="4" s="1"/>
  <c r="E163" i="4"/>
  <c r="D163" i="4"/>
  <c r="C163" i="4"/>
  <c r="B163" i="4"/>
  <c r="A163" i="4"/>
  <c r="N163" i="4" s="1"/>
  <c r="E162" i="4"/>
  <c r="D162" i="4"/>
  <c r="C162" i="4"/>
  <c r="B162" i="4"/>
  <c r="A162" i="4"/>
  <c r="N162" i="4" s="1"/>
  <c r="E161" i="4"/>
  <c r="D161" i="4"/>
  <c r="C161" i="4"/>
  <c r="B161" i="4"/>
  <c r="A161" i="4"/>
  <c r="N161" i="4" s="1"/>
  <c r="E160" i="4"/>
  <c r="D160" i="4"/>
  <c r="C160" i="4"/>
  <c r="B160" i="4"/>
  <c r="A160" i="4"/>
  <c r="N160" i="4" s="1"/>
  <c r="E159" i="4"/>
  <c r="D159" i="4"/>
  <c r="C159" i="4"/>
  <c r="B159" i="4"/>
  <c r="A159" i="4"/>
  <c r="N159" i="4" s="1"/>
  <c r="E158" i="4"/>
  <c r="D158" i="4"/>
  <c r="C158" i="4"/>
  <c r="B158" i="4"/>
  <c r="A158" i="4"/>
  <c r="N158" i="4" s="1"/>
  <c r="E157" i="4"/>
  <c r="D157" i="4"/>
  <c r="C157" i="4"/>
  <c r="B157" i="4"/>
  <c r="A157" i="4"/>
  <c r="N157" i="4" s="1"/>
  <c r="E156" i="4"/>
  <c r="D156" i="4"/>
  <c r="C156" i="4"/>
  <c r="B156" i="4"/>
  <c r="A156" i="4"/>
  <c r="N156" i="4" s="1"/>
  <c r="E155" i="4"/>
  <c r="D155" i="4"/>
  <c r="C155" i="4"/>
  <c r="B155" i="4"/>
  <c r="A155" i="4"/>
  <c r="N155" i="4" s="1"/>
  <c r="E154" i="4"/>
  <c r="D154" i="4"/>
  <c r="C154" i="4"/>
  <c r="B154" i="4"/>
  <c r="A154" i="4"/>
  <c r="N154" i="4" s="1"/>
  <c r="E153" i="4"/>
  <c r="D153" i="4"/>
  <c r="C153" i="4"/>
  <c r="B153" i="4"/>
  <c r="A153" i="4"/>
  <c r="N153" i="4" s="1"/>
  <c r="E152" i="4"/>
  <c r="D152" i="4"/>
  <c r="C152" i="4"/>
  <c r="B152" i="4"/>
  <c r="A152" i="4"/>
  <c r="N152" i="4" s="1"/>
  <c r="E151" i="4"/>
  <c r="D151" i="4"/>
  <c r="C151" i="4"/>
  <c r="B151" i="4"/>
  <c r="A151" i="4"/>
  <c r="N151" i="4" s="1"/>
  <c r="E150" i="4"/>
  <c r="D150" i="4"/>
  <c r="C150" i="4"/>
  <c r="B150" i="4"/>
  <c r="A150" i="4"/>
  <c r="N150" i="4" s="1"/>
  <c r="E149" i="4"/>
  <c r="D149" i="4"/>
  <c r="C149" i="4"/>
  <c r="B149" i="4"/>
  <c r="A149" i="4"/>
  <c r="N149" i="4" s="1"/>
  <c r="E148" i="4"/>
  <c r="D148" i="4"/>
  <c r="C148" i="4"/>
  <c r="B148" i="4"/>
  <c r="A148" i="4"/>
  <c r="N148" i="4" s="1"/>
  <c r="E147" i="4"/>
  <c r="D147" i="4"/>
  <c r="C147" i="4"/>
  <c r="B147" i="4"/>
  <c r="A147" i="4"/>
  <c r="N147" i="4" s="1"/>
  <c r="E146" i="4"/>
  <c r="D146" i="4"/>
  <c r="C146" i="4"/>
  <c r="B146" i="4"/>
  <c r="A146" i="4"/>
  <c r="N146" i="4" s="1"/>
  <c r="E145" i="4"/>
  <c r="D145" i="4"/>
  <c r="C145" i="4"/>
  <c r="B145" i="4"/>
  <c r="A145" i="4"/>
  <c r="N145" i="4" s="1"/>
  <c r="E144" i="4"/>
  <c r="D144" i="4"/>
  <c r="C144" i="4"/>
  <c r="B144" i="4"/>
  <c r="A144" i="4"/>
  <c r="N144" i="4" s="1"/>
  <c r="E143" i="4"/>
  <c r="D143" i="4"/>
  <c r="C143" i="4"/>
  <c r="B143" i="4"/>
  <c r="A143" i="4"/>
  <c r="N143" i="4" s="1"/>
  <c r="E142" i="4"/>
  <c r="D142" i="4"/>
  <c r="C142" i="4"/>
  <c r="B142" i="4"/>
  <c r="A142" i="4"/>
  <c r="N142" i="4" s="1"/>
  <c r="E141" i="4"/>
  <c r="D141" i="4"/>
  <c r="C141" i="4"/>
  <c r="B141" i="4"/>
  <c r="A141" i="4"/>
  <c r="N141" i="4" s="1"/>
  <c r="E140" i="4"/>
  <c r="D140" i="4"/>
  <c r="C140" i="4"/>
  <c r="B140" i="4"/>
  <c r="A140" i="4"/>
  <c r="N140" i="4" s="1"/>
  <c r="E139" i="4"/>
  <c r="D139" i="4"/>
  <c r="C139" i="4"/>
  <c r="B139" i="4"/>
  <c r="A139" i="4"/>
  <c r="N139" i="4" s="1"/>
  <c r="E138" i="4"/>
  <c r="D138" i="4"/>
  <c r="C138" i="4"/>
  <c r="B138" i="4"/>
  <c r="A138" i="4"/>
  <c r="N138" i="4" s="1"/>
  <c r="E137" i="4"/>
  <c r="D137" i="4"/>
  <c r="C137" i="4"/>
  <c r="B137" i="4"/>
  <c r="A137" i="4"/>
  <c r="N137" i="4" s="1"/>
  <c r="E136" i="4"/>
  <c r="D136" i="4"/>
  <c r="C136" i="4"/>
  <c r="B136" i="4"/>
  <c r="A136" i="4"/>
  <c r="N136" i="4" s="1"/>
  <c r="E135" i="4"/>
  <c r="D135" i="4"/>
  <c r="C135" i="4"/>
  <c r="B135" i="4"/>
  <c r="A135" i="4"/>
  <c r="N135" i="4" s="1"/>
  <c r="E134" i="4"/>
  <c r="D134" i="4"/>
  <c r="C134" i="4"/>
  <c r="B134" i="4"/>
  <c r="A134" i="4"/>
  <c r="N134" i="4" s="1"/>
  <c r="E133" i="4"/>
  <c r="D133" i="4"/>
  <c r="C133" i="4"/>
  <c r="B133" i="4"/>
  <c r="A133" i="4"/>
  <c r="N133" i="4" s="1"/>
  <c r="E132" i="4"/>
  <c r="D132" i="4"/>
  <c r="C132" i="4"/>
  <c r="B132" i="4"/>
  <c r="A132" i="4"/>
  <c r="N132" i="4" s="1"/>
  <c r="E131" i="4"/>
  <c r="D131" i="4"/>
  <c r="C131" i="4"/>
  <c r="B131" i="4"/>
  <c r="A131" i="4"/>
  <c r="N131" i="4" s="1"/>
  <c r="E130" i="4"/>
  <c r="D130" i="4"/>
  <c r="C130" i="4"/>
  <c r="B130" i="4"/>
  <c r="A130" i="4"/>
  <c r="N130" i="4" s="1"/>
  <c r="E129" i="4"/>
  <c r="D129" i="4"/>
  <c r="C129" i="4"/>
  <c r="B129" i="4"/>
  <c r="A129" i="4"/>
  <c r="N129" i="4" s="1"/>
  <c r="E128" i="4"/>
  <c r="D128" i="4"/>
  <c r="C128" i="4"/>
  <c r="B128" i="4"/>
  <c r="A128" i="4"/>
  <c r="N128" i="4" s="1"/>
  <c r="E127" i="4"/>
  <c r="D127" i="4"/>
  <c r="C127" i="4"/>
  <c r="B127" i="4"/>
  <c r="A127" i="4"/>
  <c r="N127" i="4" s="1"/>
  <c r="E126" i="4"/>
  <c r="D126" i="4"/>
  <c r="C126" i="4"/>
  <c r="B126" i="4"/>
  <c r="A126" i="4"/>
  <c r="N126" i="4" s="1"/>
  <c r="E125" i="4"/>
  <c r="D125" i="4"/>
  <c r="C125" i="4"/>
  <c r="B125" i="4"/>
  <c r="A125" i="4"/>
  <c r="N125" i="4" s="1"/>
  <c r="E124" i="4"/>
  <c r="D124" i="4"/>
  <c r="C124" i="4"/>
  <c r="B124" i="4"/>
  <c r="A124" i="4"/>
  <c r="N124" i="4" s="1"/>
  <c r="E123" i="4"/>
  <c r="D123" i="4"/>
  <c r="C123" i="4"/>
  <c r="B123" i="4"/>
  <c r="A123" i="4"/>
  <c r="N123" i="4" s="1"/>
  <c r="E122" i="4"/>
  <c r="D122" i="4"/>
  <c r="C122" i="4"/>
  <c r="B122" i="4"/>
  <c r="A122" i="4"/>
  <c r="N122" i="4" s="1"/>
  <c r="E121" i="4"/>
  <c r="D121" i="4"/>
  <c r="C121" i="4"/>
  <c r="B121" i="4"/>
  <c r="A121" i="4"/>
  <c r="N121" i="4" s="1"/>
  <c r="E120" i="4"/>
  <c r="D120" i="4"/>
  <c r="C120" i="4"/>
  <c r="B120" i="4"/>
  <c r="A120" i="4"/>
  <c r="N120" i="4" s="1"/>
  <c r="E119" i="4"/>
  <c r="D119" i="4"/>
  <c r="C119" i="4"/>
  <c r="B119" i="4"/>
  <c r="A119" i="4"/>
  <c r="N119" i="4" s="1"/>
  <c r="E118" i="4"/>
  <c r="D118" i="4"/>
  <c r="C118" i="4"/>
  <c r="B118" i="4"/>
  <c r="A118" i="4"/>
  <c r="N118" i="4" s="1"/>
  <c r="E117" i="4"/>
  <c r="D117" i="4"/>
  <c r="C117" i="4"/>
  <c r="B117" i="4"/>
  <c r="A117" i="4"/>
  <c r="N117" i="4" s="1"/>
  <c r="E116" i="4"/>
  <c r="D116" i="4"/>
  <c r="C116" i="4"/>
  <c r="B116" i="4"/>
  <c r="A116" i="4"/>
  <c r="N116" i="4" s="1"/>
  <c r="E115" i="4"/>
  <c r="D115" i="4"/>
  <c r="C115" i="4"/>
  <c r="B115" i="4"/>
  <c r="A115" i="4"/>
  <c r="N115" i="4" s="1"/>
  <c r="E114" i="4"/>
  <c r="D114" i="4"/>
  <c r="C114" i="4"/>
  <c r="B114" i="4"/>
  <c r="A114" i="4"/>
  <c r="N114" i="4" s="1"/>
  <c r="E113" i="4"/>
  <c r="D113" i="4"/>
  <c r="C113" i="4"/>
  <c r="B113" i="4"/>
  <c r="A113" i="4"/>
  <c r="N113" i="4" s="1"/>
  <c r="E112" i="4"/>
  <c r="D112" i="4"/>
  <c r="C112" i="4"/>
  <c r="B112" i="4"/>
  <c r="A112" i="4"/>
  <c r="N112" i="4" s="1"/>
  <c r="E111" i="4"/>
  <c r="D111" i="4"/>
  <c r="C111" i="4"/>
  <c r="B111" i="4"/>
  <c r="A111" i="4"/>
  <c r="N111" i="4" s="1"/>
  <c r="E110" i="4"/>
  <c r="D110" i="4"/>
  <c r="C110" i="4"/>
  <c r="B110" i="4"/>
  <c r="A110" i="4"/>
  <c r="N110" i="4" s="1"/>
  <c r="E109" i="4"/>
  <c r="D109" i="4"/>
  <c r="C109" i="4"/>
  <c r="B109" i="4"/>
  <c r="A109" i="4"/>
  <c r="N109" i="4" s="1"/>
  <c r="E108" i="4"/>
  <c r="D108" i="4"/>
  <c r="C108" i="4"/>
  <c r="B108" i="4"/>
  <c r="A108" i="4"/>
  <c r="N108" i="4" s="1"/>
  <c r="E107" i="4"/>
  <c r="D107" i="4"/>
  <c r="C107" i="4"/>
  <c r="B107" i="4"/>
  <c r="A107" i="4"/>
  <c r="N107" i="4" s="1"/>
  <c r="E106" i="4"/>
  <c r="D106" i="4"/>
  <c r="C106" i="4"/>
  <c r="B106" i="4"/>
  <c r="A106" i="4"/>
  <c r="N106" i="4" s="1"/>
  <c r="E105" i="4"/>
  <c r="D105" i="4"/>
  <c r="C105" i="4"/>
  <c r="B105" i="4"/>
  <c r="A105" i="4"/>
  <c r="N105" i="4" s="1"/>
  <c r="E104" i="4"/>
  <c r="D104" i="4"/>
  <c r="C104" i="4"/>
  <c r="B104" i="4"/>
  <c r="A104" i="4"/>
  <c r="N104" i="4" s="1"/>
  <c r="E103" i="4"/>
  <c r="D103" i="4"/>
  <c r="C103" i="4"/>
  <c r="B103" i="4"/>
  <c r="A103" i="4"/>
  <c r="N103" i="4" s="1"/>
  <c r="E102" i="4"/>
  <c r="D102" i="4"/>
  <c r="C102" i="4"/>
  <c r="B102" i="4"/>
  <c r="A102" i="4"/>
  <c r="N102" i="4" s="1"/>
  <c r="E101" i="4"/>
  <c r="D101" i="4"/>
  <c r="C101" i="4"/>
  <c r="B101" i="4"/>
  <c r="A101" i="4"/>
  <c r="N101" i="4" s="1"/>
  <c r="E100" i="4"/>
  <c r="D100" i="4"/>
  <c r="C100" i="4"/>
  <c r="B100" i="4"/>
  <c r="A100" i="4"/>
  <c r="N100" i="4" s="1"/>
  <c r="E99" i="4"/>
  <c r="D99" i="4"/>
  <c r="C99" i="4"/>
  <c r="B99" i="4"/>
  <c r="A99" i="4"/>
  <c r="N99" i="4" s="1"/>
  <c r="E98" i="4"/>
  <c r="D98" i="4"/>
  <c r="C98" i="4"/>
  <c r="B98" i="4"/>
  <c r="A98" i="4"/>
  <c r="N98" i="4" s="1"/>
  <c r="E97" i="4"/>
  <c r="D97" i="4"/>
  <c r="C97" i="4"/>
  <c r="B97" i="4"/>
  <c r="A97" i="4"/>
  <c r="N97" i="4" s="1"/>
  <c r="E96" i="4"/>
  <c r="D96" i="4"/>
  <c r="C96" i="4"/>
  <c r="B96" i="4"/>
  <c r="A96" i="4"/>
  <c r="N96" i="4" s="1"/>
  <c r="E95" i="4"/>
  <c r="D95" i="4"/>
  <c r="C95" i="4"/>
  <c r="B95" i="4"/>
  <c r="A95" i="4"/>
  <c r="N95" i="4" s="1"/>
  <c r="E94" i="4"/>
  <c r="D94" i="4"/>
  <c r="C94" i="4"/>
  <c r="B94" i="4"/>
  <c r="A94" i="4"/>
  <c r="N94" i="4" s="1"/>
  <c r="E93" i="4"/>
  <c r="D93" i="4"/>
  <c r="C93" i="4"/>
  <c r="B93" i="4"/>
  <c r="A93" i="4"/>
  <c r="N93" i="4" s="1"/>
  <c r="E92" i="4"/>
  <c r="D92" i="4"/>
  <c r="C92" i="4"/>
  <c r="B92" i="4"/>
  <c r="A92" i="4"/>
  <c r="N92" i="4" s="1"/>
  <c r="E91" i="4"/>
  <c r="D91" i="4"/>
  <c r="C91" i="4"/>
  <c r="B91" i="4"/>
  <c r="A91" i="4"/>
  <c r="N91" i="4" s="1"/>
  <c r="E90" i="4"/>
  <c r="D90" i="4"/>
  <c r="C90" i="4"/>
  <c r="B90" i="4"/>
  <c r="A90" i="4"/>
  <c r="N90" i="4" s="1"/>
  <c r="E89" i="4"/>
  <c r="D89" i="4"/>
  <c r="C89" i="4"/>
  <c r="B89" i="4"/>
  <c r="A89" i="4"/>
  <c r="N89" i="4" s="1"/>
  <c r="E88" i="4"/>
  <c r="D88" i="4"/>
  <c r="C88" i="4"/>
  <c r="B88" i="4"/>
  <c r="A88" i="4"/>
  <c r="N88" i="4" s="1"/>
  <c r="E87" i="4"/>
  <c r="D87" i="4"/>
  <c r="C87" i="4"/>
  <c r="B87" i="4"/>
  <c r="A87" i="4"/>
  <c r="N87" i="4" s="1"/>
  <c r="E86" i="4"/>
  <c r="D86" i="4"/>
  <c r="C86" i="4"/>
  <c r="B86" i="4"/>
  <c r="A86" i="4"/>
  <c r="N86" i="4" s="1"/>
  <c r="E85" i="4"/>
  <c r="D85" i="4"/>
  <c r="C85" i="4"/>
  <c r="B85" i="4"/>
  <c r="A85" i="4"/>
  <c r="N85" i="4" s="1"/>
  <c r="E84" i="4"/>
  <c r="D84" i="4"/>
  <c r="C84" i="4"/>
  <c r="B84" i="4"/>
  <c r="A84" i="4"/>
  <c r="N84" i="4" s="1"/>
  <c r="E83" i="4"/>
  <c r="D83" i="4"/>
  <c r="C83" i="4"/>
  <c r="B83" i="4"/>
  <c r="A83" i="4"/>
  <c r="N83" i="4" s="1"/>
  <c r="E82" i="4"/>
  <c r="D82" i="4"/>
  <c r="C82" i="4"/>
  <c r="B82" i="4"/>
  <c r="A82" i="4"/>
  <c r="N82" i="4" s="1"/>
  <c r="E81" i="4"/>
  <c r="D81" i="4"/>
  <c r="C81" i="4"/>
  <c r="B81" i="4"/>
  <c r="A81" i="4"/>
  <c r="N81" i="4" s="1"/>
  <c r="E80" i="4"/>
  <c r="D80" i="4"/>
  <c r="C80" i="4"/>
  <c r="B80" i="4"/>
  <c r="A80" i="4"/>
  <c r="N80" i="4" s="1"/>
  <c r="E79" i="4"/>
  <c r="D79" i="4"/>
  <c r="C79" i="4"/>
  <c r="B79" i="4"/>
  <c r="A79" i="4"/>
  <c r="N79" i="4" s="1"/>
  <c r="E78" i="4"/>
  <c r="D78" i="4"/>
  <c r="C78" i="4"/>
  <c r="B78" i="4"/>
  <c r="A78" i="4"/>
  <c r="N78" i="4" s="1"/>
  <c r="E77" i="4"/>
  <c r="D77" i="4"/>
  <c r="C77" i="4"/>
  <c r="B77" i="4"/>
  <c r="A77" i="4"/>
  <c r="N77" i="4" s="1"/>
  <c r="E76" i="4"/>
  <c r="D76" i="4"/>
  <c r="C76" i="4"/>
  <c r="B76" i="4"/>
  <c r="A76" i="4"/>
  <c r="N76" i="4" s="1"/>
  <c r="E75" i="4"/>
  <c r="D75" i="4"/>
  <c r="C75" i="4"/>
  <c r="B75" i="4"/>
  <c r="A75" i="4"/>
  <c r="N75" i="4" s="1"/>
  <c r="E74" i="4"/>
  <c r="D74" i="4"/>
  <c r="C74" i="4"/>
  <c r="B74" i="4"/>
  <c r="A74" i="4"/>
  <c r="N74" i="4" s="1"/>
  <c r="E73" i="4"/>
  <c r="D73" i="4"/>
  <c r="C73" i="4"/>
  <c r="B73" i="4"/>
  <c r="A73" i="4"/>
  <c r="N73" i="4" s="1"/>
  <c r="E72" i="4"/>
  <c r="D72" i="4"/>
  <c r="C72" i="4"/>
  <c r="B72" i="4"/>
  <c r="A72" i="4"/>
  <c r="N72" i="4" s="1"/>
  <c r="E71" i="4"/>
  <c r="D71" i="4"/>
  <c r="C71" i="4"/>
  <c r="B71" i="4"/>
  <c r="A71" i="4"/>
  <c r="N71" i="4" s="1"/>
  <c r="E70" i="4"/>
  <c r="D70" i="4"/>
  <c r="C70" i="4"/>
  <c r="B70" i="4"/>
  <c r="A70" i="4"/>
  <c r="N70" i="4" s="1"/>
  <c r="E69" i="4"/>
  <c r="D69" i="4"/>
  <c r="C69" i="4"/>
  <c r="B69" i="4"/>
  <c r="A69" i="4"/>
  <c r="N69" i="4" s="1"/>
  <c r="E68" i="4"/>
  <c r="D68" i="4"/>
  <c r="C68" i="4"/>
  <c r="B68" i="4"/>
  <c r="A68" i="4"/>
  <c r="N68" i="4" s="1"/>
  <c r="E67" i="4"/>
  <c r="D67" i="4"/>
  <c r="C67" i="4"/>
  <c r="B67" i="4"/>
  <c r="A67" i="4"/>
  <c r="N67" i="4" s="1"/>
  <c r="E66" i="4"/>
  <c r="D66" i="4"/>
  <c r="C66" i="4"/>
  <c r="B66" i="4"/>
  <c r="A66" i="4"/>
  <c r="N66" i="4" s="1"/>
  <c r="E65" i="4"/>
  <c r="D65" i="4"/>
  <c r="C65" i="4"/>
  <c r="B65" i="4"/>
  <c r="A65" i="4"/>
  <c r="N65" i="4" s="1"/>
  <c r="E64" i="4"/>
  <c r="D64" i="4"/>
  <c r="C64" i="4"/>
  <c r="B64" i="4"/>
  <c r="A64" i="4"/>
  <c r="N64" i="4" s="1"/>
  <c r="E63" i="4"/>
  <c r="D63" i="4"/>
  <c r="C63" i="4"/>
  <c r="B63" i="4"/>
  <c r="A63" i="4"/>
  <c r="N63" i="4" s="1"/>
  <c r="E62" i="4"/>
  <c r="D62" i="4"/>
  <c r="C62" i="4"/>
  <c r="B62" i="4"/>
  <c r="A62" i="4"/>
  <c r="N62" i="4" s="1"/>
  <c r="E61" i="4"/>
  <c r="D61" i="4"/>
  <c r="C61" i="4"/>
  <c r="B61" i="4"/>
  <c r="A61" i="4"/>
  <c r="N61" i="4" s="1"/>
  <c r="E60" i="4"/>
  <c r="D60" i="4"/>
  <c r="C60" i="4"/>
  <c r="B60" i="4"/>
  <c r="A60" i="4"/>
  <c r="N60" i="4" s="1"/>
  <c r="E59" i="4"/>
  <c r="D59" i="4"/>
  <c r="C59" i="4"/>
  <c r="B59" i="4"/>
  <c r="A59" i="4"/>
  <c r="N59" i="4" s="1"/>
  <c r="E58" i="4"/>
  <c r="D58" i="4"/>
  <c r="C58" i="4"/>
  <c r="B58" i="4"/>
  <c r="A58" i="4"/>
  <c r="N58" i="4" s="1"/>
  <c r="E57" i="4"/>
  <c r="D57" i="4"/>
  <c r="C57" i="4"/>
  <c r="B57" i="4"/>
  <c r="A57" i="4"/>
  <c r="N57" i="4" s="1"/>
  <c r="E56" i="4"/>
  <c r="D56" i="4"/>
  <c r="C56" i="4"/>
  <c r="B56" i="4"/>
  <c r="A56" i="4"/>
  <c r="N56" i="4" s="1"/>
  <c r="E55" i="4"/>
  <c r="D55" i="4"/>
  <c r="C55" i="4"/>
  <c r="B55" i="4"/>
  <c r="A55" i="4"/>
  <c r="N55" i="4" s="1"/>
  <c r="E54" i="4"/>
  <c r="D54" i="4"/>
  <c r="C54" i="4"/>
  <c r="B54" i="4"/>
  <c r="A54" i="4"/>
  <c r="N54" i="4" s="1"/>
  <c r="E53" i="4"/>
  <c r="D53" i="4"/>
  <c r="C53" i="4"/>
  <c r="B53" i="4"/>
  <c r="A53" i="4"/>
  <c r="N53" i="4" s="1"/>
  <c r="E52" i="4"/>
  <c r="D52" i="4"/>
  <c r="C52" i="4"/>
  <c r="B52" i="4"/>
  <c r="A52" i="4"/>
  <c r="N52" i="4" s="1"/>
  <c r="E51" i="4"/>
  <c r="D51" i="4"/>
  <c r="C51" i="4"/>
  <c r="B51" i="4"/>
  <c r="A51" i="4"/>
  <c r="N51" i="4" s="1"/>
  <c r="E50" i="4"/>
  <c r="D50" i="4"/>
  <c r="C50" i="4"/>
  <c r="B50" i="4"/>
  <c r="A50" i="4"/>
  <c r="N50" i="4" s="1"/>
  <c r="E49" i="4"/>
  <c r="D49" i="4"/>
  <c r="C49" i="4"/>
  <c r="B49" i="4"/>
  <c r="A49" i="4"/>
  <c r="N49" i="4" s="1"/>
  <c r="E48" i="4"/>
  <c r="D48" i="4"/>
  <c r="C48" i="4"/>
  <c r="B48" i="4"/>
  <c r="A48" i="4"/>
  <c r="N48" i="4" s="1"/>
  <c r="E47" i="4"/>
  <c r="D47" i="4"/>
  <c r="C47" i="4"/>
  <c r="B47" i="4"/>
  <c r="A47" i="4"/>
  <c r="N47" i="4" s="1"/>
  <c r="E46" i="4"/>
  <c r="D46" i="4"/>
  <c r="C46" i="4"/>
  <c r="B46" i="4"/>
  <c r="A46" i="4"/>
  <c r="N46" i="4" s="1"/>
  <c r="E45" i="4"/>
  <c r="D45" i="4"/>
  <c r="C45" i="4"/>
  <c r="B45" i="4"/>
  <c r="A45" i="4"/>
  <c r="N45" i="4" s="1"/>
  <c r="E44" i="4"/>
  <c r="D44" i="4"/>
  <c r="C44" i="4"/>
  <c r="B44" i="4"/>
  <c r="A44" i="4"/>
  <c r="N44" i="4" s="1"/>
  <c r="E43" i="4"/>
  <c r="D43" i="4"/>
  <c r="C43" i="4"/>
  <c r="B43" i="4"/>
  <c r="A43" i="4"/>
  <c r="N43" i="4" s="1"/>
  <c r="E42" i="4"/>
  <c r="D42" i="4"/>
  <c r="C42" i="4"/>
  <c r="B42" i="4"/>
  <c r="A42" i="4"/>
  <c r="N42" i="4" s="1"/>
  <c r="E41" i="4"/>
  <c r="D41" i="4"/>
  <c r="C41" i="4"/>
  <c r="B41" i="4"/>
  <c r="A41" i="4"/>
  <c r="N41" i="4" s="1"/>
  <c r="E40" i="4"/>
  <c r="D40" i="4"/>
  <c r="C40" i="4"/>
  <c r="B40" i="4"/>
  <c r="A40" i="4"/>
  <c r="N40" i="4" s="1"/>
  <c r="E39" i="4"/>
  <c r="D39" i="4"/>
  <c r="C39" i="4"/>
  <c r="B39" i="4"/>
  <c r="A39" i="4"/>
  <c r="N39" i="4" s="1"/>
  <c r="E38" i="4"/>
  <c r="D38" i="4"/>
  <c r="C38" i="4"/>
  <c r="B38" i="4"/>
  <c r="A38" i="4"/>
  <c r="N38" i="4" s="1"/>
  <c r="E37" i="4"/>
  <c r="D37" i="4"/>
  <c r="C37" i="4"/>
  <c r="B37" i="4"/>
  <c r="A37" i="4"/>
  <c r="N37" i="4" s="1"/>
  <c r="E36" i="4"/>
  <c r="D36" i="4"/>
  <c r="C36" i="4"/>
  <c r="B36" i="4"/>
  <c r="A36" i="4"/>
  <c r="N36" i="4" s="1"/>
  <c r="E35" i="4"/>
  <c r="D35" i="4"/>
  <c r="C35" i="4"/>
  <c r="B35" i="4"/>
  <c r="A35" i="4"/>
  <c r="E34" i="4"/>
  <c r="D34" i="4"/>
  <c r="C34" i="4"/>
  <c r="B34" i="4"/>
  <c r="A34" i="4"/>
  <c r="N34" i="4" s="1"/>
  <c r="E33" i="4"/>
  <c r="D33" i="4"/>
  <c r="C33" i="4"/>
  <c r="B33" i="4"/>
  <c r="A33" i="4"/>
  <c r="N33" i="4" s="1"/>
  <c r="E32" i="4"/>
  <c r="D32" i="4"/>
  <c r="C32" i="4"/>
  <c r="B32" i="4"/>
  <c r="A32" i="4"/>
  <c r="N32" i="4" s="1"/>
  <c r="E31" i="4"/>
  <c r="D31" i="4"/>
  <c r="C31" i="4"/>
  <c r="B31" i="4"/>
  <c r="A31" i="4"/>
  <c r="N31" i="4" s="1"/>
  <c r="E30" i="4"/>
  <c r="D30" i="4"/>
  <c r="C30" i="4"/>
  <c r="B30" i="4"/>
  <c r="A30" i="4"/>
  <c r="N30" i="4" s="1"/>
  <c r="E29" i="4"/>
  <c r="D29" i="4"/>
  <c r="C29" i="4"/>
  <c r="B29" i="4"/>
  <c r="A29" i="4"/>
  <c r="N29" i="4" s="1"/>
  <c r="E28" i="4"/>
  <c r="D28" i="4"/>
  <c r="C28" i="4"/>
  <c r="B28" i="4"/>
  <c r="A28" i="4"/>
  <c r="N28" i="4" s="1"/>
  <c r="E27" i="4"/>
  <c r="D27" i="4"/>
  <c r="C27" i="4"/>
  <c r="B27" i="4"/>
  <c r="A27" i="4"/>
  <c r="N27" i="4" s="1"/>
  <c r="E26" i="4"/>
  <c r="D26" i="4"/>
  <c r="C26" i="4"/>
  <c r="B26" i="4"/>
  <c r="A26" i="4"/>
  <c r="N26" i="4" s="1"/>
  <c r="E25" i="4"/>
  <c r="D25" i="4"/>
  <c r="C25" i="4"/>
  <c r="B25" i="4"/>
  <c r="A25" i="4"/>
  <c r="N25" i="4" s="1"/>
  <c r="E24" i="4"/>
  <c r="D24" i="4"/>
  <c r="C24" i="4"/>
  <c r="B24" i="4"/>
  <c r="A24" i="4"/>
  <c r="N24" i="4" s="1"/>
  <c r="E23" i="4"/>
  <c r="D23" i="4"/>
  <c r="C23" i="4"/>
  <c r="B23" i="4"/>
  <c r="A23" i="4"/>
  <c r="N23" i="4" s="1"/>
  <c r="E22" i="4"/>
  <c r="D22" i="4"/>
  <c r="C22" i="4"/>
  <c r="B22" i="4"/>
  <c r="A22" i="4"/>
  <c r="N22" i="4" s="1"/>
  <c r="E21" i="4"/>
  <c r="D21" i="4"/>
  <c r="C21" i="4"/>
  <c r="B21" i="4"/>
  <c r="A21" i="4"/>
  <c r="N21" i="4" s="1"/>
  <c r="E20" i="4"/>
  <c r="D20" i="4"/>
  <c r="C20" i="4"/>
  <c r="B20" i="4"/>
  <c r="A20" i="4"/>
  <c r="N20" i="4" s="1"/>
  <c r="E19" i="4"/>
  <c r="D19" i="4"/>
  <c r="C19" i="4"/>
  <c r="B19" i="4"/>
  <c r="A19" i="4"/>
  <c r="N19" i="4" s="1"/>
  <c r="E18" i="4"/>
  <c r="D18" i="4"/>
  <c r="C18" i="4"/>
  <c r="B18" i="4"/>
  <c r="A18" i="4"/>
  <c r="N18" i="4" s="1"/>
  <c r="E17" i="4"/>
  <c r="D17" i="4"/>
  <c r="C17" i="4"/>
  <c r="B17" i="4"/>
  <c r="A17" i="4"/>
  <c r="N17" i="4" s="1"/>
  <c r="E16" i="4"/>
  <c r="D16" i="4"/>
  <c r="C16" i="4"/>
  <c r="B16" i="4"/>
  <c r="A16" i="4"/>
  <c r="N16" i="4" s="1"/>
  <c r="E15" i="4"/>
  <c r="D15" i="4"/>
  <c r="C15" i="4"/>
  <c r="B15" i="4"/>
  <c r="A15" i="4"/>
  <c r="N15" i="4" s="1"/>
  <c r="E14" i="4"/>
  <c r="D14" i="4"/>
  <c r="C14" i="4"/>
  <c r="B14" i="4"/>
  <c r="A14" i="4"/>
  <c r="N14" i="4" s="1"/>
  <c r="E13" i="4"/>
  <c r="D13" i="4"/>
  <c r="C13" i="4"/>
  <c r="B13" i="4"/>
  <c r="A13" i="4"/>
  <c r="N13" i="4" s="1"/>
  <c r="E12" i="4"/>
  <c r="D12" i="4"/>
  <c r="C12" i="4"/>
  <c r="B12" i="4"/>
  <c r="A12" i="4"/>
  <c r="N12" i="4" s="1"/>
  <c r="D11" i="4"/>
  <c r="C11" i="4"/>
  <c r="B11" i="4"/>
  <c r="A11" i="4"/>
  <c r="N11" i="4" s="1"/>
  <c r="D10" i="4"/>
  <c r="C10" i="4"/>
  <c r="B10" i="4"/>
  <c r="A10" i="4"/>
  <c r="N10" i="4" s="1"/>
  <c r="D9" i="4"/>
  <c r="C9" i="4"/>
  <c r="B9" i="4"/>
  <c r="A9" i="4"/>
  <c r="N9" i="4" s="1"/>
  <c r="D8" i="4"/>
  <c r="C8" i="4"/>
  <c r="B8" i="4"/>
  <c r="A8" i="4"/>
  <c r="N8" i="4" s="1"/>
  <c r="D7" i="4"/>
  <c r="C7" i="4"/>
  <c r="B7" i="4"/>
  <c r="A7" i="4"/>
  <c r="N7" i="4" s="1"/>
  <c r="D6" i="4"/>
  <c r="C6" i="4"/>
  <c r="B6" i="4"/>
  <c r="A6" i="4"/>
  <c r="N6" i="4" s="1"/>
  <c r="D5" i="4"/>
  <c r="C5" i="4"/>
  <c r="B5" i="4"/>
  <c r="A5" i="4"/>
  <c r="N5" i="4" s="1"/>
  <c r="E4" i="4"/>
  <c r="D4" i="4"/>
  <c r="C4" i="4"/>
  <c r="B4" i="4"/>
  <c r="A4" i="4"/>
  <c r="D3" i="4"/>
  <c r="C3" i="4"/>
  <c r="B3" i="4"/>
  <c r="A3" i="4"/>
  <c r="N3" i="4" s="1"/>
  <c r="E2" i="4"/>
  <c r="D2" i="4"/>
  <c r="C2" i="4"/>
  <c r="B2" i="4"/>
  <c r="A2" i="4"/>
  <c r="D209" i="19"/>
  <c r="D208" i="19"/>
  <c r="D207" i="19"/>
  <c r="D206" i="19"/>
  <c r="D205" i="19"/>
  <c r="D204" i="19"/>
  <c r="D203" i="19"/>
  <c r="D202" i="19"/>
  <c r="D201" i="19"/>
  <c r="D200" i="19"/>
  <c r="D199" i="19"/>
  <c r="D198" i="19"/>
  <c r="D197" i="19"/>
  <c r="D196" i="19"/>
  <c r="D195" i="19"/>
  <c r="D194" i="19"/>
  <c r="D193" i="19"/>
  <c r="D192" i="19"/>
  <c r="D191" i="19"/>
  <c r="D190" i="19"/>
  <c r="D189" i="19"/>
  <c r="D188" i="19"/>
  <c r="D187" i="19"/>
  <c r="D186" i="19"/>
  <c r="D185" i="19"/>
  <c r="D184" i="19"/>
  <c r="D183" i="19"/>
  <c r="D182" i="19"/>
  <c r="D180" i="19"/>
  <c r="D179" i="19"/>
  <c r="D178" i="19"/>
  <c r="D177" i="19"/>
  <c r="D176" i="19"/>
  <c r="D175" i="19"/>
  <c r="D174" i="19"/>
  <c r="D173" i="19"/>
  <c r="D172" i="19"/>
  <c r="D171" i="19"/>
  <c r="D170" i="19"/>
  <c r="D169" i="19"/>
  <c r="D168" i="19"/>
  <c r="D167" i="19"/>
  <c r="D166" i="19"/>
  <c r="D164" i="19"/>
  <c r="D163" i="19"/>
  <c r="D162" i="19"/>
  <c r="D161" i="19"/>
  <c r="D160" i="19"/>
  <c r="D159" i="19"/>
  <c r="D158" i="19"/>
  <c r="D157" i="19"/>
  <c r="D156" i="19"/>
  <c r="D155" i="19"/>
  <c r="D154" i="19"/>
  <c r="D153" i="19"/>
  <c r="D152" i="19"/>
  <c r="D151" i="19"/>
  <c r="D150" i="19"/>
  <c r="D149" i="19"/>
  <c r="D148" i="19"/>
  <c r="D147" i="19"/>
  <c r="D146" i="19"/>
  <c r="D145" i="19"/>
  <c r="D144" i="19"/>
  <c r="D143" i="19"/>
  <c r="D121" i="19"/>
  <c r="F54" i="19"/>
  <c r="D52" i="19"/>
  <c r="C51" i="10"/>
  <c r="C52" i="10"/>
  <c r="C53" i="10"/>
  <c r="C54" i="10"/>
  <c r="C47" i="10"/>
  <c r="C48" i="10"/>
  <c r="C49" i="10"/>
  <c r="C50" i="10"/>
  <c r="C45" i="10"/>
  <c r="C46" i="10"/>
  <c r="C42" i="10"/>
  <c r="C43" i="10"/>
  <c r="C44" i="10"/>
  <c r="C41" i="10"/>
  <c r="C40" i="10"/>
  <c r="B44" i="10"/>
  <c r="B43" i="10"/>
  <c r="B42" i="10"/>
  <c r="B41" i="10"/>
  <c r="B40" i="10"/>
  <c r="G11" i="10"/>
  <c r="J11" i="10" s="1"/>
  <c r="I32" i="19" s="1"/>
  <c r="G12" i="10"/>
  <c r="L12" i="10" s="1"/>
  <c r="G13" i="10"/>
  <c r="J13" i="10" s="1"/>
  <c r="G14" i="10"/>
  <c r="J14" i="10" s="1"/>
  <c r="G15" i="10"/>
  <c r="L15" i="10" s="1"/>
  <c r="G16" i="10"/>
  <c r="J16" i="10" s="1"/>
  <c r="G17" i="10"/>
  <c r="J17" i="10" s="1"/>
  <c r="G18" i="10"/>
  <c r="L18" i="10" s="1"/>
  <c r="G19" i="10"/>
  <c r="L19" i="10" s="1"/>
  <c r="G20" i="10"/>
  <c r="J20" i="10" s="1"/>
  <c r="I34" i="19" s="1"/>
  <c r="G21" i="10"/>
  <c r="L21" i="10" s="1"/>
  <c r="G22" i="10"/>
  <c r="L22" i="10" s="1"/>
  <c r="G23" i="10"/>
  <c r="L23" i="10" s="1"/>
  <c r="G24" i="10"/>
  <c r="J24" i="10" s="1"/>
  <c r="G25" i="10"/>
  <c r="G26" i="10"/>
  <c r="J26" i="10" s="1"/>
  <c r="G27" i="10"/>
  <c r="L27" i="10" s="1"/>
  <c r="G28" i="10"/>
  <c r="G29" i="10"/>
  <c r="L29" i="10" s="1"/>
  <c r="J37" i="19" s="1"/>
  <c r="G30" i="10"/>
  <c r="L30" i="10" s="1"/>
  <c r="J38" i="19" s="1"/>
  <c r="G31" i="10"/>
  <c r="F48" i="10" s="1"/>
  <c r="G32" i="10"/>
  <c r="F49" i="10" s="1"/>
  <c r="L33" i="10"/>
  <c r="J41" i="19" s="1"/>
  <c r="F51" i="10"/>
  <c r="L35" i="10"/>
  <c r="J43" i="19" s="1"/>
  <c r="L36" i="10"/>
  <c r="J44" i="19" s="1"/>
  <c r="L37" i="10"/>
  <c r="J45" i="19" s="1"/>
  <c r="G10" i="10"/>
  <c r="J10" i="10" s="1"/>
  <c r="N35" i="4" l="1"/>
  <c r="L25" i="10"/>
  <c r="J25" i="10"/>
  <c r="G40" i="10"/>
  <c r="I31" i="19"/>
  <c r="F20" i="4"/>
  <c r="B48" i="24" s="1"/>
  <c r="D46" i="24"/>
  <c r="D64" i="24"/>
  <c r="D75" i="24"/>
  <c r="D81" i="24"/>
  <c r="D99" i="24"/>
  <c r="D117" i="24"/>
  <c r="D135" i="24"/>
  <c r="D141" i="24"/>
  <c r="D147" i="24"/>
  <c r="D152" i="24"/>
  <c r="D164" i="24"/>
  <c r="D170" i="24"/>
  <c r="D182" i="24"/>
  <c r="D188" i="24"/>
  <c r="D200" i="24"/>
  <c r="D218" i="24"/>
  <c r="D224" i="24"/>
  <c r="D242" i="24"/>
  <c r="D266" i="24"/>
  <c r="D272" i="24"/>
  <c r="D284" i="24"/>
  <c r="C47" i="24"/>
  <c r="C65" i="24"/>
  <c r="C70" i="24"/>
  <c r="C82" i="24"/>
  <c r="C88" i="24"/>
  <c r="C100" i="24"/>
  <c r="C130" i="24"/>
  <c r="C136" i="24"/>
  <c r="C171" i="24"/>
  <c r="C183" i="24"/>
  <c r="C189" i="24"/>
  <c r="C195" i="24"/>
  <c r="C201" i="24"/>
  <c r="C219" i="24"/>
  <c r="C225" i="24"/>
  <c r="C231" i="24"/>
  <c r="C237" i="24"/>
  <c r="C249" i="24"/>
  <c r="C261" i="24"/>
  <c r="C267" i="24"/>
  <c r="C273" i="24"/>
  <c r="B43" i="24"/>
  <c r="D47" i="24"/>
  <c r="D65" i="24"/>
  <c r="D70" i="24"/>
  <c r="D82" i="24"/>
  <c r="D88" i="24"/>
  <c r="D100" i="24"/>
  <c r="D130" i="24"/>
  <c r="D136" i="24"/>
  <c r="D171" i="24"/>
  <c r="D183" i="24"/>
  <c r="D189" i="24"/>
  <c r="D195" i="24"/>
  <c r="D201" i="24"/>
  <c r="D219" i="24"/>
  <c r="D225" i="24"/>
  <c r="D231" i="24"/>
  <c r="D237" i="24"/>
  <c r="D249" i="24"/>
  <c r="D261" i="24"/>
  <c r="D267" i="24"/>
  <c r="D273" i="24"/>
  <c r="D54" i="24"/>
  <c r="D83" i="24"/>
  <c r="D89" i="24"/>
  <c r="D101" i="24"/>
  <c r="D107" i="24"/>
  <c r="D119" i="24"/>
  <c r="D131" i="24"/>
  <c r="D149" i="24"/>
  <c r="D160" i="24"/>
  <c r="D166" i="24"/>
  <c r="D196" i="24"/>
  <c r="D202" i="24"/>
  <c r="D214" i="24"/>
  <c r="D220" i="24"/>
  <c r="D226" i="24"/>
  <c r="D232" i="24"/>
  <c r="D238" i="24"/>
  <c r="D262" i="24"/>
  <c r="D268" i="24"/>
  <c r="D280" i="24"/>
  <c r="C43" i="24"/>
  <c r="C49" i="24"/>
  <c r="C78" i="24"/>
  <c r="C84" i="24"/>
  <c r="C96" i="24"/>
  <c r="C102" i="24"/>
  <c r="C108" i="24"/>
  <c r="C114" i="24"/>
  <c r="C120" i="24"/>
  <c r="C155" i="24"/>
  <c r="C167" i="24"/>
  <c r="C173" i="24"/>
  <c r="C179" i="24"/>
  <c r="C185" i="24"/>
  <c r="C191" i="24"/>
  <c r="C197" i="24"/>
  <c r="C227" i="24"/>
  <c r="C233" i="24"/>
  <c r="C239" i="24"/>
  <c r="C257" i="24"/>
  <c r="C263" i="24"/>
  <c r="D56" i="24"/>
  <c r="D62" i="24"/>
  <c r="D43" i="24"/>
  <c r="D74" i="24"/>
  <c r="D86" i="24"/>
  <c r="D98" i="24"/>
  <c r="D110" i="24"/>
  <c r="D122" i="24"/>
  <c r="D193" i="24"/>
  <c r="D217" i="24"/>
  <c r="D277" i="24"/>
  <c r="C51" i="24"/>
  <c r="C68" i="24"/>
  <c r="C86" i="24"/>
  <c r="C122" i="24"/>
  <c r="C131" i="24"/>
  <c r="C149" i="24"/>
  <c r="C166" i="24"/>
  <c r="C193" i="24"/>
  <c r="C202" i="24"/>
  <c r="C220" i="24"/>
  <c r="C238" i="24"/>
  <c r="C282" i="24"/>
  <c r="B54" i="24"/>
  <c r="B83" i="24"/>
  <c r="B89" i="24"/>
  <c r="B101" i="24"/>
  <c r="B107" i="24"/>
  <c r="B119" i="24"/>
  <c r="B131" i="24"/>
  <c r="B149" i="24"/>
  <c r="B160" i="24"/>
  <c r="B166" i="24"/>
  <c r="B184" i="24"/>
  <c r="B196" i="24"/>
  <c r="B202" i="24"/>
  <c r="D63" i="24"/>
  <c r="D78" i="24"/>
  <c r="D102" i="24"/>
  <c r="D114" i="24"/>
  <c r="D173" i="24"/>
  <c r="D185" i="24"/>
  <c r="D197" i="24"/>
  <c r="D233" i="24"/>
  <c r="D257" i="24"/>
  <c r="C62" i="24"/>
  <c r="C79" i="24"/>
  <c r="C97" i="24"/>
  <c r="C115" i="24"/>
  <c r="C141" i="24"/>
  <c r="C168" i="24"/>
  <c r="C186" i="24"/>
  <c r="C240" i="24"/>
  <c r="C258" i="24"/>
  <c r="C266" i="24"/>
  <c r="B49" i="24"/>
  <c r="B78" i="24"/>
  <c r="B84" i="24"/>
  <c r="B96" i="24"/>
  <c r="B102" i="24"/>
  <c r="B108" i="24"/>
  <c r="B114" i="24"/>
  <c r="B120" i="24"/>
  <c r="B155" i="24"/>
  <c r="B167" i="24"/>
  <c r="B173" i="24"/>
  <c r="B179" i="24"/>
  <c r="B185" i="24"/>
  <c r="B191" i="24"/>
  <c r="B197" i="24"/>
  <c r="B227" i="24"/>
  <c r="B233" i="24"/>
  <c r="B239" i="24"/>
  <c r="B257" i="24"/>
  <c r="D49" i="24"/>
  <c r="D51" i="24"/>
  <c r="D68" i="24"/>
  <c r="D80" i="24"/>
  <c r="D116" i="24"/>
  <c r="D151" i="24"/>
  <c r="D235" i="24"/>
  <c r="C46" i="24"/>
  <c r="C56" i="24"/>
  <c r="C64" i="24"/>
  <c r="C73" i="24"/>
  <c r="C81" i="24"/>
  <c r="C91" i="24"/>
  <c r="C99" i="24"/>
  <c r="C109" i="24"/>
  <c r="C117" i="24"/>
  <c r="C135" i="24"/>
  <c r="C145" i="24"/>
  <c r="C152" i="24"/>
  <c r="C170" i="24"/>
  <c r="C180" i="24"/>
  <c r="C188" i="24"/>
  <c r="C198" i="24"/>
  <c r="C224" i="24"/>
  <c r="C242" i="24"/>
  <c r="C252" i="24"/>
  <c r="B51" i="24"/>
  <c r="B63" i="24"/>
  <c r="B68" i="24"/>
  <c r="B74" i="24"/>
  <c r="B80" i="24"/>
  <c r="B86" i="24"/>
  <c r="B98" i="24"/>
  <c r="B110" i="24"/>
  <c r="B116" i="24"/>
  <c r="B122" i="24"/>
  <c r="B151" i="24"/>
  <c r="B157" i="24"/>
  <c r="B193" i="24"/>
  <c r="B217" i="24"/>
  <c r="B235" i="24"/>
  <c r="D84" i="24"/>
  <c r="D108" i="24"/>
  <c r="D155" i="24"/>
  <c r="D179" i="24"/>
  <c r="D227" i="24"/>
  <c r="C83" i="24"/>
  <c r="C101" i="24"/>
  <c r="C119" i="24"/>
  <c r="C226" i="24"/>
  <c r="C262" i="24"/>
  <c r="C280" i="24"/>
  <c r="B46" i="24"/>
  <c r="B81" i="24"/>
  <c r="B93" i="24"/>
  <c r="B117" i="24"/>
  <c r="B141" i="24"/>
  <c r="B152" i="24"/>
  <c r="B164" i="24"/>
  <c r="B188" i="24"/>
  <c r="B200" i="24"/>
  <c r="B220" i="24"/>
  <c r="B238" i="24"/>
  <c r="B262" i="24"/>
  <c r="B268" i="24"/>
  <c r="B280" i="24"/>
  <c r="D109" i="24"/>
  <c r="D180" i="24"/>
  <c r="D252" i="24"/>
  <c r="C103" i="24"/>
  <c r="C121" i="24"/>
  <c r="D91" i="24"/>
  <c r="D115" i="24"/>
  <c r="D186" i="24"/>
  <c r="D258" i="24"/>
  <c r="D282" i="24"/>
  <c r="C54" i="24"/>
  <c r="C89" i="24"/>
  <c r="C107" i="24"/>
  <c r="C160" i="24"/>
  <c r="C196" i="24"/>
  <c r="C214" i="24"/>
  <c r="C232" i="24"/>
  <c r="C268" i="24"/>
  <c r="C284" i="24"/>
  <c r="B62" i="24"/>
  <c r="B73" i="24"/>
  <c r="B97" i="24"/>
  <c r="B109" i="24"/>
  <c r="B121" i="24"/>
  <c r="B145" i="24"/>
  <c r="B168" i="24"/>
  <c r="B180" i="24"/>
  <c r="B192" i="24"/>
  <c r="B214" i="24"/>
  <c r="B224" i="24"/>
  <c r="B232" i="24"/>
  <c r="B242" i="24"/>
  <c r="B258" i="24"/>
  <c r="B276" i="24"/>
  <c r="B282" i="24"/>
  <c r="D96" i="24"/>
  <c r="D120" i="24"/>
  <c r="D167" i="24"/>
  <c r="D191" i="24"/>
  <c r="D239" i="24"/>
  <c r="D263" i="24"/>
  <c r="C74" i="24"/>
  <c r="C110" i="24"/>
  <c r="C217" i="24"/>
  <c r="C235" i="24"/>
  <c r="B64" i="24"/>
  <c r="B75" i="24"/>
  <c r="B87" i="24"/>
  <c r="B99" i="24"/>
  <c r="B135" i="24"/>
  <c r="B147" i="24"/>
  <c r="B170" i="24"/>
  <c r="B182" i="24"/>
  <c r="B225" i="24"/>
  <c r="B252" i="24"/>
  <c r="B277" i="24"/>
  <c r="D73" i="24"/>
  <c r="D97" i="24"/>
  <c r="D121" i="24"/>
  <c r="D145" i="24"/>
  <c r="D168" i="24"/>
  <c r="D192" i="24"/>
  <c r="D240" i="24"/>
  <c r="C75" i="24"/>
  <c r="C147" i="24"/>
  <c r="C164" i="24"/>
  <c r="C182" i="24"/>
  <c r="C200" i="24"/>
  <c r="C218" i="24"/>
  <c r="C272" i="24"/>
  <c r="B65" i="24"/>
  <c r="B76" i="24"/>
  <c r="B88" i="24"/>
  <c r="B100" i="24"/>
  <c r="B136" i="24"/>
  <c r="B171" i="24"/>
  <c r="B183" i="24"/>
  <c r="B195" i="24"/>
  <c r="B218" i="24"/>
  <c r="B226" i="24"/>
  <c r="D79" i="24"/>
  <c r="C98" i="24"/>
  <c r="C192" i="24"/>
  <c r="B47" i="24"/>
  <c r="B82" i="24"/>
  <c r="B189" i="24"/>
  <c r="B249" i="24"/>
  <c r="B266" i="24"/>
  <c r="D103" i="24"/>
  <c r="C116" i="24"/>
  <c r="B56" i="24"/>
  <c r="B91" i="24"/>
  <c r="B198" i="24"/>
  <c r="B267" i="24"/>
  <c r="C277" i="24"/>
  <c r="B237" i="24"/>
  <c r="B284" i="24"/>
  <c r="B130" i="24"/>
  <c r="B201" i="24"/>
  <c r="B231" i="24"/>
  <c r="C151" i="24"/>
  <c r="B103" i="24"/>
  <c r="B272" i="24"/>
  <c r="C63" i="24"/>
  <c r="B70" i="24"/>
  <c r="B240" i="24"/>
  <c r="B261" i="24"/>
  <c r="B273" i="24"/>
  <c r="D198" i="24"/>
  <c r="C80" i="24"/>
  <c r="B79" i="24"/>
  <c r="B115" i="24"/>
  <c r="B186" i="24"/>
  <c r="B219" i="24"/>
  <c r="B263" i="24"/>
  <c r="D346" i="24"/>
  <c r="D400" i="24"/>
  <c r="D316" i="24"/>
  <c r="C384" i="24"/>
  <c r="B397" i="24"/>
  <c r="C348" i="24"/>
  <c r="C334" i="24"/>
  <c r="C432" i="24"/>
  <c r="B338" i="24"/>
  <c r="B374" i="24"/>
  <c r="B410" i="24"/>
  <c r="D333" i="24"/>
  <c r="D369" i="24"/>
  <c r="D405" i="24"/>
  <c r="D335" i="24"/>
  <c r="B312" i="24"/>
  <c r="B369" i="24"/>
  <c r="B428" i="24"/>
  <c r="B320" i="24"/>
  <c r="C358" i="24"/>
  <c r="D432" i="24"/>
  <c r="B418" i="24"/>
  <c r="B405" i="24"/>
  <c r="B412" i="24"/>
  <c r="B341" i="24"/>
  <c r="B389" i="24"/>
  <c r="C318" i="24"/>
  <c r="D325" i="24"/>
  <c r="D343" i="24"/>
  <c r="D361" i="24"/>
  <c r="D379" i="24"/>
  <c r="D397" i="24"/>
  <c r="D415" i="24"/>
  <c r="D433" i="24"/>
  <c r="B388" i="24"/>
  <c r="B331" i="24"/>
  <c r="C429" i="24"/>
  <c r="C328" i="24"/>
  <c r="B317" i="24"/>
  <c r="B395" i="24"/>
  <c r="C366" i="24"/>
  <c r="D326" i="24"/>
  <c r="D362" i="24"/>
  <c r="D398" i="24"/>
  <c r="D434" i="24"/>
  <c r="B416" i="24"/>
  <c r="B373" i="24"/>
  <c r="B315" i="24"/>
  <c r="C356" i="24"/>
  <c r="D324" i="24"/>
  <c r="D329" i="24"/>
  <c r="D377" i="24"/>
  <c r="D425" i="24"/>
  <c r="C390" i="24"/>
  <c r="B408" i="24"/>
  <c r="B357" i="24"/>
  <c r="C381" i="24"/>
  <c r="B359" i="24"/>
  <c r="D426" i="24"/>
  <c r="B421" i="24"/>
  <c r="B370" i="24"/>
  <c r="B313" i="24"/>
  <c r="C364" i="24"/>
  <c r="C406" i="24"/>
  <c r="B427" i="24"/>
  <c r="D352" i="24"/>
  <c r="D344" i="24"/>
  <c r="D380" i="24"/>
  <c r="D339" i="24"/>
  <c r="D411" i="24"/>
  <c r="D359" i="24"/>
  <c r="D408" i="24"/>
  <c r="C345" i="24"/>
  <c r="B411" i="24"/>
  <c r="C316" i="24"/>
  <c r="C417" i="24"/>
  <c r="B382" i="24"/>
  <c r="C416" i="24"/>
  <c r="B376" i="24"/>
  <c r="C405" i="24"/>
  <c r="C365" i="24"/>
  <c r="C413" i="24"/>
  <c r="D370" i="24"/>
  <c r="D340" i="24"/>
  <c r="C396" i="24"/>
  <c r="B319" i="24"/>
  <c r="C372" i="24"/>
  <c r="D416" i="24"/>
  <c r="D375" i="24"/>
  <c r="D376" i="24"/>
  <c r="D412" i="24"/>
  <c r="B358" i="24"/>
  <c r="B426" i="24"/>
  <c r="B325" i="24"/>
  <c r="B433" i="24"/>
  <c r="D328" i="24"/>
  <c r="B390" i="24"/>
  <c r="B314" i="24"/>
  <c r="B350" i="24"/>
  <c r="B386" i="24"/>
  <c r="B422" i="24"/>
  <c r="D345" i="24"/>
  <c r="D381" i="24"/>
  <c r="D417" i="24"/>
  <c r="D383" i="24"/>
  <c r="C388" i="24"/>
  <c r="B384" i="24"/>
  <c r="B348" i="24"/>
  <c r="B392" i="24"/>
  <c r="C333" i="24"/>
  <c r="C430" i="24"/>
  <c r="B346" i="24"/>
  <c r="C375" i="24"/>
  <c r="B340" i="24"/>
  <c r="C363" i="24"/>
  <c r="C323" i="24"/>
  <c r="D365" i="24"/>
  <c r="D413" i="24"/>
  <c r="C402" i="24"/>
  <c r="D313" i="24"/>
  <c r="D331" i="24"/>
  <c r="D349" i="24"/>
  <c r="D367" i="24"/>
  <c r="D385" i="24"/>
  <c r="D403" i="24"/>
  <c r="D421" i="24"/>
  <c r="B424" i="24"/>
  <c r="B367" i="24"/>
  <c r="B316" i="24"/>
  <c r="C387" i="24"/>
  <c r="D406" i="24"/>
  <c r="B347" i="24"/>
  <c r="B419" i="24"/>
  <c r="D338" i="24"/>
  <c r="D374" i="24"/>
  <c r="D410" i="24"/>
  <c r="B402" i="24"/>
  <c r="B351" i="24"/>
  <c r="C428" i="24"/>
  <c r="C327" i="24"/>
  <c r="D420" i="24"/>
  <c r="C353" i="24"/>
  <c r="C401" i="24"/>
  <c r="B393" i="24"/>
  <c r="B336" i="24"/>
  <c r="C352" i="24"/>
  <c r="D395" i="24"/>
  <c r="B311" i="24"/>
  <c r="B383" i="24"/>
  <c r="D330" i="24"/>
  <c r="B406" i="24"/>
  <c r="B349" i="24"/>
  <c r="B298" i="24"/>
  <c r="C321" i="24"/>
  <c r="B417" i="24"/>
  <c r="B360" i="24"/>
  <c r="C370" i="24"/>
  <c r="D382" i="24"/>
  <c r="C371" i="24"/>
  <c r="C338" i="24"/>
  <c r="C374" i="24"/>
  <c r="C410" i="24"/>
  <c r="B394" i="24"/>
  <c r="B344" i="24"/>
  <c r="C412" i="24"/>
  <c r="D396" i="24"/>
  <c r="D353" i="24"/>
  <c r="B379" i="24"/>
  <c r="C339" i="24"/>
  <c r="C335" i="24"/>
  <c r="C407" i="24"/>
  <c r="C378" i="24"/>
  <c r="B342" i="24"/>
  <c r="C423" i="24"/>
  <c r="C382" i="24"/>
  <c r="D418" i="24"/>
  <c r="B355" i="24"/>
  <c r="D364" i="24"/>
  <c r="C420" i="24"/>
  <c r="B302" i="24"/>
  <c r="C336" i="24"/>
  <c r="D320" i="24"/>
  <c r="D356" i="24"/>
  <c r="D392" i="24"/>
  <c r="D428" i="24"/>
  <c r="D315" i="24"/>
  <c r="D351" i="24"/>
  <c r="D387" i="24"/>
  <c r="D423" i="24"/>
  <c r="D407" i="24"/>
  <c r="B368" i="24"/>
  <c r="B404" i="24"/>
  <c r="C418" i="24"/>
  <c r="B375" i="24"/>
  <c r="D312" i="24"/>
  <c r="C392" i="24"/>
  <c r="C332" i="24"/>
  <c r="B304" i="24"/>
  <c r="C320" i="24"/>
  <c r="B323" i="24"/>
  <c r="B365" i="24"/>
  <c r="B413" i="24"/>
  <c r="D402" i="24"/>
  <c r="C313" i="24"/>
  <c r="C331" i="24"/>
  <c r="C349" i="24"/>
  <c r="C367" i="24"/>
  <c r="C385" i="24"/>
  <c r="C403" i="24"/>
  <c r="C421" i="24"/>
  <c r="D401" i="24"/>
  <c r="B328" i="24"/>
  <c r="C424" i="24"/>
  <c r="D371" i="24"/>
  <c r="B399" i="24"/>
  <c r="D388" i="24"/>
  <c r="D424" i="24"/>
  <c r="C312" i="24"/>
  <c r="B361" i="24"/>
  <c r="C360" i="24"/>
  <c r="B326" i="24"/>
  <c r="B362" i="24"/>
  <c r="B398" i="24"/>
  <c r="B434" i="24"/>
  <c r="D321" i="24"/>
  <c r="D357" i="24"/>
  <c r="D393" i="24"/>
  <c r="D429" i="24"/>
  <c r="D394" i="24"/>
  <c r="B430" i="24"/>
  <c r="B330" i="24"/>
  <c r="B391" i="24"/>
  <c r="C324" i="24"/>
  <c r="D322" i="24"/>
  <c r="C408" i="24"/>
  <c r="D332" i="24"/>
  <c r="D368" i="24"/>
  <c r="D404" i="24"/>
  <c r="D327" i="24"/>
  <c r="D363" i="24"/>
  <c r="D399" i="24"/>
  <c r="D435" i="24"/>
  <c r="D311" i="24"/>
  <c r="B332" i="24"/>
  <c r="C435" i="24"/>
  <c r="C346" i="24"/>
  <c r="C389" i="24"/>
  <c r="C343" i="24"/>
  <c r="C379" i="24"/>
  <c r="C415" i="24"/>
  <c r="B432" i="24"/>
  <c r="B324" i="24"/>
  <c r="C400" i="24"/>
  <c r="D430" i="24"/>
  <c r="C347" i="24"/>
  <c r="D366" i="24"/>
  <c r="C326" i="24"/>
  <c r="C398" i="24"/>
  <c r="B409" i="24"/>
  <c r="C404" i="24"/>
  <c r="D360" i="24"/>
  <c r="D389" i="24"/>
  <c r="D319" i="24"/>
  <c r="D355" i="24"/>
  <c r="D391" i="24"/>
  <c r="D427" i="24"/>
  <c r="B403" i="24"/>
  <c r="C357" i="24"/>
  <c r="D358" i="24"/>
  <c r="B371" i="24"/>
  <c r="D431" i="24"/>
  <c r="D350" i="24"/>
  <c r="D422" i="24"/>
  <c r="B387" i="24"/>
  <c r="B305" i="24"/>
  <c r="B401" i="24"/>
  <c r="B429" i="24"/>
  <c r="B321" i="24"/>
  <c r="C411" i="24"/>
  <c r="D347" i="24"/>
  <c r="B407" i="24"/>
  <c r="D378" i="24"/>
  <c r="B385" i="24"/>
  <c r="D336" i="24"/>
  <c r="D318" i="24"/>
  <c r="C325" i="24"/>
  <c r="C397" i="24"/>
  <c r="B381" i="24"/>
  <c r="C315" i="24"/>
  <c r="C419" i="24"/>
  <c r="C362" i="24"/>
  <c r="B366" i="24"/>
  <c r="B425" i="24"/>
  <c r="C311" i="24"/>
  <c r="B363" i="24"/>
  <c r="B335" i="24"/>
  <c r="B318" i="24"/>
  <c r="B334" i="24"/>
  <c r="D390" i="24"/>
  <c r="B343" i="24"/>
  <c r="C330" i="24"/>
  <c r="B414" i="24"/>
  <c r="C351" i="24"/>
  <c r="D384" i="24"/>
  <c r="C376" i="24"/>
  <c r="C431" i="24"/>
  <c r="C319" i="24"/>
  <c r="C355" i="24"/>
  <c r="C391" i="24"/>
  <c r="C427" i="24"/>
  <c r="B396" i="24"/>
  <c r="C344" i="24"/>
  <c r="D334" i="24"/>
  <c r="C395" i="24"/>
  <c r="C350" i="24"/>
  <c r="C422" i="24"/>
  <c r="B380" i="24"/>
  <c r="C329" i="24"/>
  <c r="C425" i="24"/>
  <c r="B415" i="24"/>
  <c r="C394" i="24"/>
  <c r="D323" i="24"/>
  <c r="C426" i="24"/>
  <c r="B378" i="24"/>
  <c r="B420" i="24"/>
  <c r="B333" i="24"/>
  <c r="B431" i="24"/>
  <c r="C361" i="24"/>
  <c r="C433" i="24"/>
  <c r="C434" i="24"/>
  <c r="B329" i="24"/>
  <c r="B400" i="24"/>
  <c r="C368" i="24"/>
  <c r="B353" i="24"/>
  <c r="C342" i="24"/>
  <c r="B372" i="24"/>
  <c r="C322" i="24"/>
  <c r="C393" i="24"/>
  <c r="C340" i="24"/>
  <c r="B377" i="24"/>
  <c r="C383" i="24"/>
  <c r="B306" i="24"/>
  <c r="B356" i="24"/>
  <c r="C341" i="24"/>
  <c r="C414" i="24"/>
  <c r="D337" i="24"/>
  <c r="D373" i="24"/>
  <c r="D409" i="24"/>
  <c r="B352" i="24"/>
  <c r="C317" i="24"/>
  <c r="C354" i="24"/>
  <c r="B354" i="24"/>
  <c r="D314" i="24"/>
  <c r="D386" i="24"/>
  <c r="B337" i="24"/>
  <c r="C399" i="24"/>
  <c r="D372" i="24"/>
  <c r="B339" i="24"/>
  <c r="D341" i="24"/>
  <c r="D414" i="24"/>
  <c r="C337" i="24"/>
  <c r="C373" i="24"/>
  <c r="C409" i="24"/>
  <c r="B345" i="24"/>
  <c r="D317" i="24"/>
  <c r="D354" i="24"/>
  <c r="C314" i="24"/>
  <c r="C386" i="24"/>
  <c r="B423" i="24"/>
  <c r="B322" i="24"/>
  <c r="C369" i="24"/>
  <c r="D348" i="24"/>
  <c r="C377" i="24"/>
  <c r="D342" i="24"/>
  <c r="B364" i="24"/>
  <c r="C359" i="24"/>
  <c r="B435" i="24"/>
  <c r="B327" i="24"/>
  <c r="C380" i="24"/>
  <c r="D419" i="24"/>
  <c r="F215" i="4"/>
  <c r="F193" i="4"/>
  <c r="F199" i="4"/>
  <c r="F205" i="4"/>
  <c r="F30" i="4"/>
  <c r="F36" i="4"/>
  <c r="F42" i="4"/>
  <c r="B61" i="24" s="1"/>
  <c r="F48" i="4"/>
  <c r="F54" i="4"/>
  <c r="F60" i="4"/>
  <c r="F66" i="4"/>
  <c r="F72" i="4"/>
  <c r="F78" i="4"/>
  <c r="F84" i="4"/>
  <c r="F90" i="4"/>
  <c r="F96" i="4"/>
  <c r="F102" i="4"/>
  <c r="F108" i="4"/>
  <c r="F114" i="4"/>
  <c r="F120" i="4"/>
  <c r="F126" i="4"/>
  <c r="B194" i="24" s="1"/>
  <c r="F132" i="4"/>
  <c r="F138" i="4"/>
  <c r="F4" i="4"/>
  <c r="B90" i="24" s="1"/>
  <c r="F15" i="4"/>
  <c r="F21" i="4"/>
  <c r="F141" i="4"/>
  <c r="F147" i="4"/>
  <c r="F153" i="4"/>
  <c r="F159" i="4"/>
  <c r="F165" i="4"/>
  <c r="F171" i="4"/>
  <c r="F177" i="4"/>
  <c r="F183" i="4"/>
  <c r="F189" i="4"/>
  <c r="F201" i="4"/>
  <c r="F207" i="4"/>
  <c r="F213" i="4"/>
  <c r="F211" i="4"/>
  <c r="F16" i="4"/>
  <c r="F22" i="4"/>
  <c r="F142" i="4"/>
  <c r="F148" i="4"/>
  <c r="F154" i="4"/>
  <c r="F160" i="4"/>
  <c r="B156" i="24" s="1"/>
  <c r="F166" i="4"/>
  <c r="F172" i="4"/>
  <c r="B162" i="24" s="1"/>
  <c r="F178" i="4"/>
  <c r="F184" i="4"/>
  <c r="F190" i="4"/>
  <c r="F196" i="4"/>
  <c r="F202" i="4"/>
  <c r="F208" i="4"/>
  <c r="F163" i="4"/>
  <c r="F17" i="4"/>
  <c r="F23" i="4"/>
  <c r="F143" i="4"/>
  <c r="F149" i="4"/>
  <c r="F155" i="4"/>
  <c r="F161" i="4"/>
  <c r="F167" i="4"/>
  <c r="F173" i="4"/>
  <c r="F179" i="4"/>
  <c r="F185" i="4"/>
  <c r="F191" i="4"/>
  <c r="F197" i="4"/>
  <c r="F203" i="4"/>
  <c r="F209" i="4"/>
  <c r="F214" i="4"/>
  <c r="F217" i="4"/>
  <c r="F140" i="4"/>
  <c r="F146" i="4"/>
  <c r="F170" i="4"/>
  <c r="F176" i="4"/>
  <c r="F182" i="4"/>
  <c r="F188" i="4"/>
  <c r="F200" i="4"/>
  <c r="F206" i="4"/>
  <c r="F212" i="4"/>
  <c r="F218" i="4"/>
  <c r="F31" i="4"/>
  <c r="B251" i="24" s="1"/>
  <c r="F37" i="4"/>
  <c r="F43" i="4"/>
  <c r="B243" i="24" s="1"/>
  <c r="F49" i="4"/>
  <c r="F55" i="4"/>
  <c r="F61" i="4"/>
  <c r="F67" i="4"/>
  <c r="B223" i="24" s="1"/>
  <c r="F73" i="4"/>
  <c r="F79" i="4"/>
  <c r="B215" i="24" s="1"/>
  <c r="F85" i="4"/>
  <c r="B57" i="24" s="1"/>
  <c r="F91" i="4"/>
  <c r="F97" i="4"/>
  <c r="F103" i="4"/>
  <c r="F109" i="4"/>
  <c r="B211" i="24" s="1"/>
  <c r="F115" i="4"/>
  <c r="F121" i="4"/>
  <c r="F127" i="4"/>
  <c r="F133" i="4"/>
  <c r="B207" i="24" s="1"/>
  <c r="F139" i="4"/>
  <c r="F195" i="4"/>
  <c r="F13" i="4"/>
  <c r="F19" i="4"/>
  <c r="F26" i="4"/>
  <c r="F32" i="4"/>
  <c r="B175" i="24" s="1"/>
  <c r="F38" i="4"/>
  <c r="B137" i="24" s="1"/>
  <c r="F44" i="4"/>
  <c r="B246" i="24" s="1"/>
  <c r="F56" i="4"/>
  <c r="F62" i="4"/>
  <c r="F74" i="4"/>
  <c r="F80" i="4"/>
  <c r="F86" i="4"/>
  <c r="F92" i="4"/>
  <c r="F104" i="4"/>
  <c r="F110" i="4"/>
  <c r="B144" i="24" s="1"/>
  <c r="F134" i="4"/>
  <c r="F46" i="4"/>
  <c r="F82" i="4"/>
  <c r="F88" i="4"/>
  <c r="F112" i="4"/>
  <c r="F124" i="4"/>
  <c r="F35" i="4"/>
  <c r="B283" i="24" s="1"/>
  <c r="F41" i="4"/>
  <c r="F47" i="4"/>
  <c r="B60" i="24" s="1"/>
  <c r="F65" i="4"/>
  <c r="F101" i="4"/>
  <c r="F107" i="4"/>
  <c r="F125" i="4"/>
  <c r="F28" i="4"/>
  <c r="F40" i="4"/>
  <c r="F58" i="4"/>
  <c r="B279" i="24" s="1"/>
  <c r="F64" i="4"/>
  <c r="B158" i="24" s="1"/>
  <c r="F76" i="4"/>
  <c r="F100" i="4"/>
  <c r="F106" i="4"/>
  <c r="B178" i="24" s="1"/>
  <c r="F118" i="4"/>
  <c r="F130" i="4"/>
  <c r="F136" i="4"/>
  <c r="F14" i="4"/>
  <c r="B241" i="24" s="1"/>
  <c r="F27" i="4"/>
  <c r="F33" i="4"/>
  <c r="F39" i="4"/>
  <c r="B271" i="24" s="1"/>
  <c r="F45" i="4"/>
  <c r="F51" i="4"/>
  <c r="F57" i="4"/>
  <c r="F63" i="4"/>
  <c r="F69" i="4"/>
  <c r="F75" i="4"/>
  <c r="F81" i="4"/>
  <c r="B210" i="24" s="1"/>
  <c r="F87" i="4"/>
  <c r="F93" i="4"/>
  <c r="F99" i="4"/>
  <c r="F105" i="4"/>
  <c r="F111" i="4"/>
  <c r="F117" i="4"/>
  <c r="F123" i="4"/>
  <c r="F129" i="4"/>
  <c r="B222" i="24" s="1"/>
  <c r="F135" i="4"/>
  <c r="F152" i="4"/>
  <c r="F158" i="4"/>
  <c r="F164" i="4"/>
  <c r="F194" i="4"/>
  <c r="F29" i="4"/>
  <c r="F59" i="4"/>
  <c r="F71" i="4"/>
  <c r="B181" i="24" s="1"/>
  <c r="F83" i="4"/>
  <c r="F89" i="4"/>
  <c r="F113" i="4"/>
  <c r="F131" i="4"/>
  <c r="F137" i="4"/>
  <c r="F34" i="4"/>
  <c r="F52" i="4"/>
  <c r="B278" i="24" s="1"/>
  <c r="F25" i="4"/>
  <c r="F50" i="4"/>
  <c r="F68" i="4"/>
  <c r="B269" i="24" s="1"/>
  <c r="F98" i="4"/>
  <c r="F116" i="4"/>
  <c r="B177" i="24" s="1"/>
  <c r="F122" i="4"/>
  <c r="F128" i="4"/>
  <c r="F145" i="4"/>
  <c r="F151" i="4"/>
  <c r="F157" i="4"/>
  <c r="F169" i="4"/>
  <c r="F175" i="4"/>
  <c r="F181" i="4"/>
  <c r="F187" i="4"/>
  <c r="F53" i="4"/>
  <c r="F77" i="4"/>
  <c r="F95" i="4"/>
  <c r="F119" i="4"/>
  <c r="F70" i="4"/>
  <c r="F94" i="4"/>
  <c r="F2" i="4"/>
  <c r="B3" i="24" s="1"/>
  <c r="F12" i="4"/>
  <c r="B15" i="24" s="1"/>
  <c r="F18" i="4"/>
  <c r="B24" i="24" s="1"/>
  <c r="F24" i="4"/>
  <c r="B165" i="24" s="1"/>
  <c r="F144" i="4"/>
  <c r="F150" i="4"/>
  <c r="F156" i="4"/>
  <c r="F162" i="4"/>
  <c r="F168" i="4"/>
  <c r="F174" i="4"/>
  <c r="F180" i="4"/>
  <c r="F186" i="4"/>
  <c r="F192" i="4"/>
  <c r="F198" i="4"/>
  <c r="F204" i="4"/>
  <c r="F210" i="4"/>
  <c r="F216" i="4"/>
  <c r="N4" i="4"/>
  <c r="K36" i="19"/>
  <c r="K42" i="19"/>
  <c r="K35" i="19"/>
  <c r="K31" i="19"/>
  <c r="K37" i="19"/>
  <c r="K43" i="19"/>
  <c r="K32" i="19"/>
  <c r="K38" i="19"/>
  <c r="K44" i="19"/>
  <c r="K33" i="19"/>
  <c r="K39" i="19"/>
  <c r="K45" i="19"/>
  <c r="K34" i="19"/>
  <c r="K40" i="19"/>
  <c r="G45" i="10"/>
  <c r="J37" i="10"/>
  <c r="I45" i="19" s="1"/>
  <c r="L10" i="10"/>
  <c r="J31" i="19" s="1"/>
  <c r="F52" i="10"/>
  <c r="G50" i="10"/>
  <c r="L16" i="10"/>
  <c r="F40" i="10"/>
  <c r="L34" i="10"/>
  <c r="J42" i="19" s="1"/>
  <c r="F54" i="10"/>
  <c r="G53" i="10"/>
  <c r="G47" i="10"/>
  <c r="L24" i="10"/>
  <c r="G54" i="10"/>
  <c r="G51" i="10"/>
  <c r="L20" i="10"/>
  <c r="J34" i="19" s="1"/>
  <c r="J34" i="10"/>
  <c r="I42" i="19" s="1"/>
  <c r="J36" i="10"/>
  <c r="I44" i="19" s="1"/>
  <c r="F53" i="10"/>
  <c r="F47" i="10"/>
  <c r="G52" i="10"/>
  <c r="L26" i="10"/>
  <c r="F44" i="10"/>
  <c r="F43" i="10"/>
  <c r="F45" i="10"/>
  <c r="F50" i="10"/>
  <c r="J35" i="10"/>
  <c r="I43" i="19" s="1"/>
  <c r="G49" i="10"/>
  <c r="L14" i="10"/>
  <c r="F46" i="10"/>
  <c r="F42" i="10"/>
  <c r="L13" i="10"/>
  <c r="L11" i="10"/>
  <c r="J32" i="19" s="1"/>
  <c r="F41" i="10"/>
  <c r="G41" i="10"/>
  <c r="G43" i="10"/>
  <c r="J22" i="10"/>
  <c r="J28" i="10"/>
  <c r="J30" i="10"/>
  <c r="I38" i="19" s="1"/>
  <c r="J32" i="10"/>
  <c r="I40" i="19" s="1"/>
  <c r="L28" i="10"/>
  <c r="J36" i="19" s="1"/>
  <c r="L32" i="10"/>
  <c r="J40" i="19" s="1"/>
  <c r="G46" i="10"/>
  <c r="G48" i="10"/>
  <c r="J19" i="10"/>
  <c r="J21" i="10"/>
  <c r="J23" i="10"/>
  <c r="J27" i="10"/>
  <c r="J29" i="10"/>
  <c r="I37" i="19" s="1"/>
  <c r="J31" i="10"/>
  <c r="I39" i="19" s="1"/>
  <c r="J33" i="10"/>
  <c r="I41" i="19" s="1"/>
  <c r="G44" i="10"/>
  <c r="L31" i="10"/>
  <c r="J39" i="19" s="1"/>
  <c r="J15" i="10"/>
  <c r="J18" i="10"/>
  <c r="L17" i="10"/>
  <c r="G42" i="10"/>
  <c r="J12" i="10"/>
  <c r="N2" i="4"/>
  <c r="B307" i="24" l="1"/>
  <c r="B303" i="24"/>
  <c r="B228" i="24"/>
  <c r="B216" i="24"/>
  <c r="B236" i="24"/>
  <c r="B203" i="24"/>
  <c r="B310" i="24"/>
  <c r="B309" i="24"/>
  <c r="B297" i="24"/>
  <c r="B213" i="24"/>
  <c r="B143" i="24"/>
  <c r="B126" i="24"/>
  <c r="B245" i="24"/>
  <c r="B92" i="24"/>
  <c r="B209" i="24"/>
  <c r="B159" i="24"/>
  <c r="I36" i="19"/>
  <c r="I33" i="19"/>
  <c r="I35" i="19"/>
  <c r="AB16" i="19"/>
  <c r="B28" i="24"/>
  <c r="B17" i="24"/>
  <c r="B26" i="24"/>
  <c r="B229" i="24"/>
  <c r="B7" i="24"/>
  <c r="B163" i="24"/>
  <c r="B208" i="24"/>
  <c r="B153" i="24"/>
  <c r="B174" i="24"/>
  <c r="B10" i="24"/>
  <c r="B190" i="24"/>
  <c r="B55" i="24"/>
  <c r="B150" i="24"/>
  <c r="B50" i="24"/>
  <c r="B205" i="24"/>
  <c r="B53" i="24"/>
  <c r="B172" i="24"/>
  <c r="B248" i="24"/>
  <c r="B286" i="24"/>
  <c r="B20" i="24"/>
  <c r="B140" i="24"/>
  <c r="B265" i="24"/>
  <c r="B234" i="24"/>
  <c r="B206" i="24"/>
  <c r="B146" i="24"/>
  <c r="B255" i="24"/>
  <c r="B71" i="24"/>
  <c r="B13" i="24"/>
  <c r="B22" i="24"/>
  <c r="B132" i="24"/>
  <c r="B264" i="24"/>
  <c r="B281" i="24"/>
  <c r="B256" i="24"/>
  <c r="B287" i="24"/>
  <c r="B221" i="24"/>
  <c r="B67" i="24"/>
  <c r="AB19" i="19"/>
  <c r="AC20" i="19"/>
  <c r="AC16" i="19"/>
  <c r="AC19" i="19"/>
  <c r="AC18" i="19"/>
  <c r="AB20" i="19"/>
  <c r="B294" i="24"/>
  <c r="B296" i="24"/>
  <c r="AD18" i="19"/>
  <c r="AD17" i="19"/>
  <c r="AD16" i="19"/>
  <c r="AD20" i="19"/>
  <c r="B250" i="24"/>
  <c r="B139" i="24"/>
  <c r="B34" i="24"/>
  <c r="B138" i="24"/>
  <c r="D118" i="19"/>
  <c r="D114" i="19"/>
  <c r="D119" i="19"/>
  <c r="B176" i="24"/>
  <c r="B123" i="24"/>
  <c r="B199" i="24"/>
  <c r="B118" i="24"/>
  <c r="B142" i="24"/>
  <c r="B154" i="24"/>
  <c r="B134" i="24"/>
  <c r="B285" i="24"/>
  <c r="B169" i="24"/>
  <c r="B148" i="24"/>
  <c r="B293" i="24"/>
  <c r="B291" i="24"/>
  <c r="B300" i="24"/>
  <c r="B292" i="24"/>
  <c r="B299" i="24"/>
  <c r="B253" i="24"/>
  <c r="B301" i="24"/>
  <c r="B260" i="24"/>
  <c r="B52" i="24"/>
  <c r="B31" i="24"/>
  <c r="B27" i="24"/>
  <c r="B259" i="24"/>
  <c r="B58" i="24"/>
  <c r="B254" i="24"/>
  <c r="B247" i="24"/>
  <c r="B35" i="24"/>
  <c r="B19" i="24"/>
  <c r="B11" i="24"/>
  <c r="D120" i="19"/>
  <c r="J35" i="19"/>
  <c r="J33" i="19"/>
  <c r="D117" i="19"/>
  <c r="AB17" i="19" l="1"/>
  <c r="AB18" i="19"/>
  <c r="AC17" i="19"/>
  <c r="D116" i="19"/>
  <c r="D115" i="19"/>
  <c r="G212" i="2"/>
  <c r="G213" i="2"/>
  <c r="G214" i="2"/>
  <c r="G215" i="2"/>
  <c r="G216" i="2"/>
  <c r="G217" i="2"/>
  <c r="G218" i="2"/>
  <c r="I33" i="10" l="1"/>
  <c r="M33" i="10" s="1"/>
  <c r="I34" i="10"/>
  <c r="M34" i="10" s="1"/>
  <c r="I35" i="10"/>
  <c r="M35" i="10" s="1"/>
  <c r="I36" i="10"/>
  <c r="M36" i="10" s="1"/>
  <c r="I37" i="10"/>
  <c r="M37" i="10" s="1"/>
  <c r="I32" i="10"/>
  <c r="M32" i="10" s="1"/>
  <c r="I31" i="10"/>
  <c r="M31" i="10" s="1"/>
  <c r="I30" i="10"/>
  <c r="M30" i="10" s="1"/>
  <c r="I29" i="10"/>
  <c r="M29" i="10" s="1"/>
  <c r="I28" i="10"/>
  <c r="M28" i="10" s="1"/>
  <c r="I27" i="10"/>
  <c r="M27" i="10" s="1"/>
  <c r="I26" i="10"/>
  <c r="M26" i="10" s="1"/>
  <c r="I25" i="10"/>
  <c r="M25" i="10" s="1"/>
  <c r="I24" i="10"/>
  <c r="M24" i="10" s="1"/>
  <c r="I23" i="10"/>
  <c r="M23" i="10" s="1"/>
  <c r="I22" i="10"/>
  <c r="M22" i="10" s="1"/>
  <c r="I21" i="10"/>
  <c r="M21" i="10" s="1"/>
  <c r="I20" i="10"/>
  <c r="M20" i="10" s="1"/>
  <c r="I19" i="10"/>
  <c r="M19" i="10" s="1"/>
  <c r="I17" i="10"/>
  <c r="M17" i="10" s="1"/>
  <c r="I18" i="10"/>
  <c r="M18" i="10" s="1"/>
  <c r="I16" i="10"/>
  <c r="M16" i="10" s="1"/>
  <c r="I12" i="10"/>
  <c r="M12" i="10" s="1"/>
  <c r="I13" i="10"/>
  <c r="M13" i="10" s="1"/>
  <c r="I14" i="10"/>
  <c r="M14" i="10" s="1"/>
  <c r="I15" i="10"/>
  <c r="M15" i="10" s="1"/>
  <c r="I11" i="10"/>
  <c r="M11" i="10" s="1"/>
  <c r="I10" i="10"/>
  <c r="M10" i="10" s="1"/>
  <c r="B15" i="13"/>
  <c r="B6" i="13"/>
  <c r="B10" i="13"/>
  <c r="B11" i="13"/>
  <c r="B12" i="13"/>
  <c r="B13" i="13"/>
  <c r="B14" i="13"/>
  <c r="B5" i="13"/>
  <c r="M4" i="20"/>
  <c r="I282" i="1" s="1"/>
  <c r="M5" i="20"/>
  <c r="I283" i="1" s="1"/>
  <c r="M6" i="20"/>
  <c r="I284" i="1" s="1"/>
  <c r="M7" i="20"/>
  <c r="I285" i="1" s="1"/>
  <c r="M8" i="20"/>
  <c r="I286" i="1" s="1"/>
  <c r="M9" i="20"/>
  <c r="I287" i="1" s="1"/>
  <c r="M10" i="20"/>
  <c r="I288" i="1" s="1"/>
  <c r="M11" i="20"/>
  <c r="I289" i="1" s="1"/>
  <c r="M12" i="20"/>
  <c r="I290" i="1" s="1"/>
  <c r="M13" i="20"/>
  <c r="I291" i="1" s="1"/>
  <c r="M14" i="20"/>
  <c r="I292" i="1" s="1"/>
  <c r="M15" i="20"/>
  <c r="I293" i="1" s="1"/>
  <c r="M16" i="20"/>
  <c r="I294" i="1" s="1"/>
  <c r="M17" i="20"/>
  <c r="I295" i="1" s="1"/>
  <c r="M18" i="20"/>
  <c r="I296" i="1" s="1"/>
  <c r="M19" i="20"/>
  <c r="I297" i="1" s="1"/>
  <c r="M20" i="20"/>
  <c r="I298" i="1" s="1"/>
  <c r="M21" i="20"/>
  <c r="I299" i="1" s="1"/>
  <c r="M22" i="20"/>
  <c r="I300" i="1" s="1"/>
  <c r="M23" i="20"/>
  <c r="I301" i="1" s="1"/>
  <c r="M24" i="20"/>
  <c r="I302" i="1" s="1"/>
  <c r="M25" i="20"/>
  <c r="I303" i="1" s="1"/>
  <c r="M26" i="20"/>
  <c r="I304" i="1" s="1"/>
  <c r="M27" i="20"/>
  <c r="I305" i="1" s="1"/>
  <c r="M28" i="20"/>
  <c r="I306" i="1" s="1"/>
  <c r="M29" i="20"/>
  <c r="I307" i="1" s="1"/>
  <c r="M30" i="20"/>
  <c r="I308" i="1" s="1"/>
  <c r="M31" i="20"/>
  <c r="I309" i="1" s="1"/>
  <c r="M32" i="20"/>
  <c r="I310" i="1" s="1"/>
  <c r="M33" i="20"/>
  <c r="I311" i="1" s="1"/>
  <c r="M34" i="20"/>
  <c r="I312" i="1" s="1"/>
  <c r="M35" i="20"/>
  <c r="I313" i="1" s="1"/>
  <c r="M36" i="20"/>
  <c r="I314" i="1" s="1"/>
  <c r="M3" i="20" l="1"/>
  <c r="I281" i="1" s="1"/>
  <c r="K33" i="4" l="1"/>
  <c r="K86" i="4"/>
  <c r="K61" i="4"/>
  <c r="K39" i="4"/>
  <c r="K98" i="4"/>
  <c r="K97" i="4"/>
  <c r="K60" i="4"/>
  <c r="K96" i="4"/>
  <c r="K93" i="4"/>
  <c r="K47" i="4"/>
  <c r="K69" i="4"/>
  <c r="K17" i="4"/>
  <c r="K89" i="4"/>
  <c r="K46" i="4"/>
  <c r="K88" i="4"/>
  <c r="K51" i="4"/>
  <c r="K110" i="4"/>
  <c r="K79" i="4"/>
  <c r="K57" i="4"/>
  <c r="K19" i="4"/>
  <c r="K6" i="4"/>
  <c r="K66" i="4"/>
  <c r="K102" i="4"/>
  <c r="K105" i="4"/>
  <c r="K53" i="4"/>
  <c r="K87" i="4"/>
  <c r="K35" i="4"/>
  <c r="K95" i="4"/>
  <c r="K52" i="4"/>
  <c r="K94" i="4"/>
  <c r="K26" i="4"/>
  <c r="K3" i="4"/>
  <c r="K91" i="4"/>
  <c r="K81" i="4"/>
  <c r="K49" i="4"/>
  <c r="K18" i="4"/>
  <c r="K72" i="4"/>
  <c r="K108" i="4"/>
  <c r="K56" i="4"/>
  <c r="K71" i="4"/>
  <c r="K111" i="4"/>
  <c r="K59" i="4"/>
  <c r="K101" i="4"/>
  <c r="K58" i="4"/>
  <c r="K106" i="4"/>
  <c r="K38" i="4"/>
  <c r="K25" i="4"/>
  <c r="K103" i="4"/>
  <c r="K99" i="4"/>
  <c r="K67" i="4"/>
  <c r="K30" i="4"/>
  <c r="K78" i="4"/>
  <c r="K4" i="4"/>
  <c r="K74" i="4"/>
  <c r="K107" i="4"/>
  <c r="K20" i="4"/>
  <c r="K65" i="4"/>
  <c r="K5" i="4"/>
  <c r="K64" i="4"/>
  <c r="K50" i="4"/>
  <c r="K31" i="4"/>
  <c r="K109" i="4"/>
  <c r="K32" i="4"/>
  <c r="K73" i="4"/>
  <c r="K48" i="4"/>
  <c r="K84" i="4"/>
  <c r="K63" i="4"/>
  <c r="K92" i="4"/>
  <c r="K21" i="4"/>
  <c r="K44" i="4"/>
  <c r="K77" i="4"/>
  <c r="K22" i="4"/>
  <c r="K70" i="4"/>
  <c r="K68" i="4"/>
  <c r="K55" i="4"/>
  <c r="K15" i="4"/>
  <c r="K62" i="4"/>
  <c r="K85" i="4"/>
  <c r="K54" i="4"/>
  <c r="K90" i="4"/>
  <c r="K75" i="4"/>
  <c r="K29" i="4"/>
  <c r="K45" i="4"/>
  <c r="K80" i="4"/>
  <c r="K83" i="4"/>
  <c r="K34" i="4"/>
  <c r="K82" i="4"/>
  <c r="K229" i="4"/>
  <c r="K2" i="4"/>
  <c r="K225" i="4"/>
  <c r="K226" i="4"/>
  <c r="K227" i="4"/>
  <c r="K228" i="4"/>
  <c r="K232" i="4"/>
  <c r="K238" i="4"/>
  <c r="K244" i="4"/>
  <c r="K250" i="4"/>
  <c r="K256" i="4"/>
  <c r="K262" i="4"/>
  <c r="K268" i="4"/>
  <c r="K274" i="4"/>
  <c r="K280" i="4"/>
  <c r="K286" i="4"/>
  <c r="K292" i="4"/>
  <c r="K298" i="4"/>
  <c r="K304" i="4"/>
  <c r="K310" i="4"/>
  <c r="K316" i="4"/>
  <c r="K322" i="4"/>
  <c r="K328" i="4"/>
  <c r="K334" i="4"/>
  <c r="K340" i="4"/>
  <c r="K346" i="4"/>
  <c r="K352" i="4"/>
  <c r="K358" i="4"/>
  <c r="K364" i="4"/>
  <c r="K370" i="4"/>
  <c r="K376" i="4"/>
  <c r="K382" i="4"/>
  <c r="K388" i="4"/>
  <c r="K394" i="4"/>
  <c r="K400" i="4"/>
  <c r="K406" i="4"/>
  <c r="K412" i="4"/>
  <c r="K418" i="4"/>
  <c r="K424" i="4"/>
  <c r="K430" i="4"/>
  <c r="K436" i="4"/>
  <c r="K442" i="4"/>
  <c r="K448" i="4"/>
  <c r="K454" i="4"/>
  <c r="K460" i="4"/>
  <c r="K466" i="4"/>
  <c r="K472" i="4"/>
  <c r="K478" i="4"/>
  <c r="K484" i="4"/>
  <c r="K490" i="4"/>
  <c r="K496" i="4"/>
  <c r="K502" i="4"/>
  <c r="K508" i="4"/>
  <c r="K514" i="4"/>
  <c r="K520" i="4"/>
  <c r="K526" i="4"/>
  <c r="K532" i="4"/>
  <c r="K538" i="4"/>
  <c r="K544" i="4"/>
  <c r="K550" i="4"/>
  <c r="K556" i="4"/>
  <c r="K562" i="4"/>
  <c r="K568" i="4"/>
  <c r="K574" i="4"/>
  <c r="K580" i="4"/>
  <c r="K586" i="4"/>
  <c r="K592" i="4"/>
  <c r="K598" i="4"/>
  <c r="K604" i="4"/>
  <c r="K610" i="4"/>
  <c r="K616" i="4"/>
  <c r="K622" i="4"/>
  <c r="K628" i="4"/>
  <c r="K634" i="4"/>
  <c r="K640" i="4"/>
  <c r="K646" i="4"/>
  <c r="K652" i="4"/>
  <c r="K658" i="4"/>
  <c r="K664" i="4"/>
  <c r="K670" i="4"/>
  <c r="K676" i="4"/>
  <c r="K682" i="4"/>
  <c r="K688" i="4"/>
  <c r="K694" i="4"/>
  <c r="K700" i="4"/>
  <c r="K706" i="4"/>
  <c r="K712" i="4"/>
  <c r="K718" i="4"/>
  <c r="K724" i="4"/>
  <c r="K730" i="4"/>
  <c r="K736" i="4"/>
  <c r="K742" i="4"/>
  <c r="K748" i="4"/>
  <c r="K754" i="4"/>
  <c r="K760" i="4"/>
  <c r="K766" i="4"/>
  <c r="K772" i="4"/>
  <c r="K778" i="4"/>
  <c r="K784" i="4"/>
  <c r="K790" i="4"/>
  <c r="K796" i="4"/>
  <c r="K802" i="4"/>
  <c r="K808" i="4"/>
  <c r="K814" i="4"/>
  <c r="K820" i="4"/>
  <c r="K826" i="4"/>
  <c r="K832" i="4"/>
  <c r="K838" i="4"/>
  <c r="K844" i="4"/>
  <c r="K850" i="4"/>
  <c r="K856" i="4"/>
  <c r="K862" i="4"/>
  <c r="K868" i="4"/>
  <c r="K874" i="4"/>
  <c r="K880" i="4"/>
  <c r="K886" i="4"/>
  <c r="K892" i="4"/>
  <c r="K898" i="4"/>
  <c r="K904" i="4"/>
  <c r="K910" i="4"/>
  <c r="K916" i="4"/>
  <c r="K922" i="4"/>
  <c r="K928" i="4"/>
  <c r="K934" i="4"/>
  <c r="K940" i="4"/>
  <c r="K946" i="4"/>
  <c r="K952" i="4"/>
  <c r="K958" i="4"/>
  <c r="K964" i="4"/>
  <c r="K970" i="4"/>
  <c r="K976" i="4"/>
  <c r="K982" i="4"/>
  <c r="K988" i="4"/>
  <c r="K994" i="4"/>
  <c r="K1000" i="4"/>
  <c r="K1006" i="4"/>
  <c r="K1012" i="4"/>
  <c r="K1018" i="4"/>
  <c r="K1024" i="4"/>
  <c r="K1030" i="4"/>
  <c r="K1036" i="4"/>
  <c r="K1042" i="4"/>
  <c r="K1048" i="4"/>
  <c r="K1054" i="4"/>
  <c r="K1060" i="4"/>
  <c r="K1066" i="4"/>
  <c r="K1072" i="4"/>
  <c r="K1078" i="4"/>
  <c r="K1084" i="4"/>
  <c r="K1090" i="4"/>
  <c r="K1096" i="4"/>
  <c r="K1102" i="4"/>
  <c r="K1108" i="4"/>
  <c r="K1114" i="4"/>
  <c r="K1120" i="4"/>
  <c r="K1126" i="4"/>
  <c r="K1132" i="4"/>
  <c r="K1138" i="4"/>
  <c r="K1144" i="4"/>
  <c r="K1150" i="4"/>
  <c r="K1156" i="4"/>
  <c r="K1162" i="4"/>
  <c r="K1168" i="4"/>
  <c r="K1174" i="4"/>
  <c r="K1180" i="4"/>
  <c r="K1186" i="4"/>
  <c r="K1192" i="4"/>
  <c r="K1198" i="4"/>
  <c r="K1204" i="4"/>
  <c r="K1210" i="4"/>
  <c r="K1216" i="4"/>
  <c r="K1222" i="4"/>
  <c r="K1228" i="4"/>
  <c r="K1234" i="4"/>
  <c r="K1240" i="4"/>
  <c r="K1246" i="4"/>
  <c r="K233" i="4"/>
  <c r="K239" i="4"/>
  <c r="K245" i="4"/>
  <c r="K251" i="4"/>
  <c r="K257" i="4"/>
  <c r="K263" i="4"/>
  <c r="K269" i="4"/>
  <c r="K275" i="4"/>
  <c r="K281" i="4"/>
  <c r="K287" i="4"/>
  <c r="K293" i="4"/>
  <c r="K299" i="4"/>
  <c r="K305" i="4"/>
  <c r="K311" i="4"/>
  <c r="K317" i="4"/>
  <c r="K323" i="4"/>
  <c r="K329" i="4"/>
  <c r="K335" i="4"/>
  <c r="K341" i="4"/>
  <c r="K347" i="4"/>
  <c r="K353" i="4"/>
  <c r="K359" i="4"/>
  <c r="K365" i="4"/>
  <c r="K371" i="4"/>
  <c r="K377" i="4"/>
  <c r="K383" i="4"/>
  <c r="K389" i="4"/>
  <c r="K395" i="4"/>
  <c r="K401" i="4"/>
  <c r="K407" i="4"/>
  <c r="K413" i="4"/>
  <c r="K419" i="4"/>
  <c r="K425" i="4"/>
  <c r="K431" i="4"/>
  <c r="K437" i="4"/>
  <c r="K443" i="4"/>
  <c r="K449" i="4"/>
  <c r="K455" i="4"/>
  <c r="K461" i="4"/>
  <c r="K467" i="4"/>
  <c r="K473" i="4"/>
  <c r="K479" i="4"/>
  <c r="K485" i="4"/>
  <c r="K491" i="4"/>
  <c r="K497" i="4"/>
  <c r="K503" i="4"/>
  <c r="K509" i="4"/>
  <c r="K515" i="4"/>
  <c r="K521" i="4"/>
  <c r="K527" i="4"/>
  <c r="K533" i="4"/>
  <c r="K539" i="4"/>
  <c r="K545" i="4"/>
  <c r="K551" i="4"/>
  <c r="K557" i="4"/>
  <c r="K563" i="4"/>
  <c r="K569" i="4"/>
  <c r="K575" i="4"/>
  <c r="K581" i="4"/>
  <c r="K587" i="4"/>
  <c r="K593" i="4"/>
  <c r="K599" i="4"/>
  <c r="K605" i="4"/>
  <c r="K611" i="4"/>
  <c r="K617" i="4"/>
  <c r="K623" i="4"/>
  <c r="K629" i="4"/>
  <c r="K635" i="4"/>
  <c r="K641" i="4"/>
  <c r="K647" i="4"/>
  <c r="K653" i="4"/>
  <c r="K659" i="4"/>
  <c r="K665" i="4"/>
  <c r="K671" i="4"/>
  <c r="K677" i="4"/>
  <c r="K683" i="4"/>
  <c r="K689" i="4"/>
  <c r="K695" i="4"/>
  <c r="K701" i="4"/>
  <c r="K707" i="4"/>
  <c r="K713" i="4"/>
  <c r="K719" i="4"/>
  <c r="K725" i="4"/>
  <c r="K731" i="4"/>
  <c r="K737" i="4"/>
  <c r="K743" i="4"/>
  <c r="K749" i="4"/>
  <c r="K755" i="4"/>
  <c r="K761" i="4"/>
  <c r="K767" i="4"/>
  <c r="K773" i="4"/>
  <c r="K779" i="4"/>
  <c r="K785" i="4"/>
  <c r="K791" i="4"/>
  <c r="K797" i="4"/>
  <c r="K803" i="4"/>
  <c r="K809" i="4"/>
  <c r="K815" i="4"/>
  <c r="K821" i="4"/>
  <c r="K827" i="4"/>
  <c r="K833" i="4"/>
  <c r="K839" i="4"/>
  <c r="K845" i="4"/>
  <c r="K851" i="4"/>
  <c r="K857" i="4"/>
  <c r="K863" i="4"/>
  <c r="K869" i="4"/>
  <c r="K875" i="4"/>
  <c r="K881" i="4"/>
  <c r="K887" i="4"/>
  <c r="K893" i="4"/>
  <c r="K899" i="4"/>
  <c r="K905" i="4"/>
  <c r="K911" i="4"/>
  <c r="K917" i="4"/>
  <c r="K923" i="4"/>
  <c r="K929" i="4"/>
  <c r="K935" i="4"/>
  <c r="K941" i="4"/>
  <c r="K947" i="4"/>
  <c r="K953" i="4"/>
  <c r="K959" i="4"/>
  <c r="K965" i="4"/>
  <c r="K971" i="4"/>
  <c r="K977" i="4"/>
  <c r="K983" i="4"/>
  <c r="K989" i="4"/>
  <c r="K995" i="4"/>
  <c r="K1001" i="4"/>
  <c r="K1007" i="4"/>
  <c r="K1013" i="4"/>
  <c r="K1019" i="4"/>
  <c r="K1025" i="4"/>
  <c r="K1031" i="4"/>
  <c r="K1037" i="4"/>
  <c r="K1043" i="4"/>
  <c r="K1049" i="4"/>
  <c r="K1055" i="4"/>
  <c r="K1061" i="4"/>
  <c r="K1067" i="4"/>
  <c r="K1073" i="4"/>
  <c r="K1079" i="4"/>
  <c r="K1085" i="4"/>
  <c r="K1091" i="4"/>
  <c r="K1097" i="4"/>
  <c r="K1103" i="4"/>
  <c r="K1109" i="4"/>
  <c r="K1115" i="4"/>
  <c r="K1121" i="4"/>
  <c r="K1127" i="4"/>
  <c r="K1133" i="4"/>
  <c r="K1139" i="4"/>
  <c r="K1145" i="4"/>
  <c r="K1151" i="4"/>
  <c r="K1157" i="4"/>
  <c r="K1163" i="4"/>
  <c r="K1169" i="4"/>
  <c r="K1175" i="4"/>
  <c r="K1181" i="4"/>
  <c r="K1187" i="4"/>
  <c r="K1193" i="4"/>
  <c r="K1199" i="4"/>
  <c r="K1205" i="4"/>
  <c r="K1211" i="4"/>
  <c r="K1217" i="4"/>
  <c r="K1223" i="4"/>
  <c r="K1229" i="4"/>
  <c r="K1235" i="4"/>
  <c r="K1241" i="4"/>
  <c r="K1247" i="4"/>
  <c r="K1253" i="4"/>
  <c r="K1259" i="4"/>
  <c r="K1265" i="4"/>
  <c r="K1271" i="4"/>
  <c r="K234" i="4"/>
  <c r="K240" i="4"/>
  <c r="K246" i="4"/>
  <c r="K252" i="4"/>
  <c r="K258" i="4"/>
  <c r="K264" i="4"/>
  <c r="K270" i="4"/>
  <c r="K276" i="4"/>
  <c r="K282" i="4"/>
  <c r="K288" i="4"/>
  <c r="K294" i="4"/>
  <c r="K300" i="4"/>
  <c r="K306" i="4"/>
  <c r="K312" i="4"/>
  <c r="K318" i="4"/>
  <c r="K324" i="4"/>
  <c r="K330" i="4"/>
  <c r="K336" i="4"/>
  <c r="K342" i="4"/>
  <c r="K348" i="4"/>
  <c r="K354" i="4"/>
  <c r="K360" i="4"/>
  <c r="K366" i="4"/>
  <c r="K372" i="4"/>
  <c r="K378" i="4"/>
  <c r="K384" i="4"/>
  <c r="K390" i="4"/>
  <c r="K396" i="4"/>
  <c r="K402" i="4"/>
  <c r="K408" i="4"/>
  <c r="K414" i="4"/>
  <c r="K420" i="4"/>
  <c r="K426" i="4"/>
  <c r="K432" i="4"/>
  <c r="K438" i="4"/>
  <c r="K444" i="4"/>
  <c r="K450" i="4"/>
  <c r="K456" i="4"/>
  <c r="K462" i="4"/>
  <c r="K468" i="4"/>
  <c r="K474" i="4"/>
  <c r="K480" i="4"/>
  <c r="K486" i="4"/>
  <c r="K492" i="4"/>
  <c r="K498" i="4"/>
  <c r="K504" i="4"/>
  <c r="K510" i="4"/>
  <c r="K516" i="4"/>
  <c r="K522" i="4"/>
  <c r="K528" i="4"/>
  <c r="K534" i="4"/>
  <c r="K540" i="4"/>
  <c r="K546" i="4"/>
  <c r="K552" i="4"/>
  <c r="K558" i="4"/>
  <c r="K564" i="4"/>
  <c r="K570" i="4"/>
  <c r="K576" i="4"/>
  <c r="K582" i="4"/>
  <c r="K588" i="4"/>
  <c r="K594" i="4"/>
  <c r="K600" i="4"/>
  <c r="K606" i="4"/>
  <c r="K612" i="4"/>
  <c r="K618" i="4"/>
  <c r="K624" i="4"/>
  <c r="K630" i="4"/>
  <c r="K636" i="4"/>
  <c r="K642" i="4"/>
  <c r="K648" i="4"/>
  <c r="K654" i="4"/>
  <c r="K660" i="4"/>
  <c r="K666" i="4"/>
  <c r="K672" i="4"/>
  <c r="K678" i="4"/>
  <c r="K684" i="4"/>
  <c r="K690" i="4"/>
  <c r="K696" i="4"/>
  <c r="K702" i="4"/>
  <c r="K708" i="4"/>
  <c r="K714" i="4"/>
  <c r="K720" i="4"/>
  <c r="K726" i="4"/>
  <c r="K732" i="4"/>
  <c r="K738" i="4"/>
  <c r="K744" i="4"/>
  <c r="K750" i="4"/>
  <c r="K756" i="4"/>
  <c r="K762" i="4"/>
  <c r="K768" i="4"/>
  <c r="K774" i="4"/>
  <c r="K780" i="4"/>
  <c r="K786" i="4"/>
  <c r="K792" i="4"/>
  <c r="K798" i="4"/>
  <c r="K804" i="4"/>
  <c r="K810" i="4"/>
  <c r="K816" i="4"/>
  <c r="K822" i="4"/>
  <c r="K828" i="4"/>
  <c r="K834" i="4"/>
  <c r="K840" i="4"/>
  <c r="K846" i="4"/>
  <c r="K852" i="4"/>
  <c r="K858" i="4"/>
  <c r="K864" i="4"/>
  <c r="K870" i="4"/>
  <c r="K876" i="4"/>
  <c r="K882" i="4"/>
  <c r="K888" i="4"/>
  <c r="K894" i="4"/>
  <c r="K900" i="4"/>
  <c r="K906" i="4"/>
  <c r="K912" i="4"/>
  <c r="K918" i="4"/>
  <c r="K924" i="4"/>
  <c r="K930" i="4"/>
  <c r="K936" i="4"/>
  <c r="K942" i="4"/>
  <c r="K948" i="4"/>
  <c r="K954" i="4"/>
  <c r="K960" i="4"/>
  <c r="K966" i="4"/>
  <c r="K972" i="4"/>
  <c r="K978" i="4"/>
  <c r="K984" i="4"/>
  <c r="K990" i="4"/>
  <c r="K996" i="4"/>
  <c r="K1002" i="4"/>
  <c r="K1008" i="4"/>
  <c r="K1014" i="4"/>
  <c r="K1020" i="4"/>
  <c r="K1026" i="4"/>
  <c r="K1032" i="4"/>
  <c r="K1038" i="4"/>
  <c r="K1044" i="4"/>
  <c r="K1050" i="4"/>
  <c r="K1056" i="4"/>
  <c r="K1062" i="4"/>
  <c r="K1068" i="4"/>
  <c r="K1074" i="4"/>
  <c r="K1080" i="4"/>
  <c r="K1086" i="4"/>
  <c r="K1092" i="4"/>
  <c r="K1098" i="4"/>
  <c r="K1104" i="4"/>
  <c r="K1110" i="4"/>
  <c r="K1116" i="4"/>
  <c r="K1122" i="4"/>
  <c r="K1128" i="4"/>
  <c r="K1134" i="4"/>
  <c r="K1140" i="4"/>
  <c r="K1146" i="4"/>
  <c r="K1152" i="4"/>
  <c r="K1158" i="4"/>
  <c r="K1164" i="4"/>
  <c r="K1170" i="4"/>
  <c r="K1176" i="4"/>
  <c r="K1182" i="4"/>
  <c r="K1188" i="4"/>
  <c r="K1194" i="4"/>
  <c r="K1200" i="4"/>
  <c r="K1206" i="4"/>
  <c r="K1212" i="4"/>
  <c r="K1218" i="4"/>
  <c r="K1224" i="4"/>
  <c r="K1230" i="4"/>
  <c r="K1236" i="4"/>
  <c r="K235" i="4"/>
  <c r="K241" i="4"/>
  <c r="K247" i="4"/>
  <c r="K253" i="4"/>
  <c r="K259" i="4"/>
  <c r="K265" i="4"/>
  <c r="K271" i="4"/>
  <c r="K277" i="4"/>
  <c r="K283" i="4"/>
  <c r="K289" i="4"/>
  <c r="K295" i="4"/>
  <c r="K301" i="4"/>
  <c r="K307" i="4"/>
  <c r="K313" i="4"/>
  <c r="K319" i="4"/>
  <c r="K325" i="4"/>
  <c r="K331" i="4"/>
  <c r="K337" i="4"/>
  <c r="K343" i="4"/>
  <c r="K349" i="4"/>
  <c r="K355" i="4"/>
  <c r="K361" i="4"/>
  <c r="K367" i="4"/>
  <c r="K373" i="4"/>
  <c r="K379" i="4"/>
  <c r="K385" i="4"/>
  <c r="K391" i="4"/>
  <c r="K397" i="4"/>
  <c r="K403" i="4"/>
  <c r="K409" i="4"/>
  <c r="K415" i="4"/>
  <c r="K421" i="4"/>
  <c r="K427" i="4"/>
  <c r="K433" i="4"/>
  <c r="K439" i="4"/>
  <c r="K445" i="4"/>
  <c r="K451" i="4"/>
  <c r="K457" i="4"/>
  <c r="K463" i="4"/>
  <c r="K469" i="4"/>
  <c r="K475" i="4"/>
  <c r="K481" i="4"/>
  <c r="K487" i="4"/>
  <c r="K493" i="4"/>
  <c r="K499" i="4"/>
  <c r="K505" i="4"/>
  <c r="K511" i="4"/>
  <c r="K517" i="4"/>
  <c r="K523" i="4"/>
  <c r="K529" i="4"/>
  <c r="K535" i="4"/>
  <c r="K541" i="4"/>
  <c r="K547" i="4"/>
  <c r="K553" i="4"/>
  <c r="K559" i="4"/>
  <c r="K565" i="4"/>
  <c r="K571" i="4"/>
  <c r="K577" i="4"/>
  <c r="K583" i="4"/>
  <c r="K589" i="4"/>
  <c r="K595" i="4"/>
  <c r="K601" i="4"/>
  <c r="K607" i="4"/>
  <c r="K613" i="4"/>
  <c r="K619" i="4"/>
  <c r="K625" i="4"/>
  <c r="K631" i="4"/>
  <c r="K637" i="4"/>
  <c r="K643" i="4"/>
  <c r="K649" i="4"/>
  <c r="K655" i="4"/>
  <c r="K661" i="4"/>
  <c r="K667" i="4"/>
  <c r="K673" i="4"/>
  <c r="K679" i="4"/>
  <c r="K685" i="4"/>
  <c r="K691" i="4"/>
  <c r="K697" i="4"/>
  <c r="K703" i="4"/>
  <c r="K709" i="4"/>
  <c r="K715" i="4"/>
  <c r="K721" i="4"/>
  <c r="K727" i="4"/>
  <c r="K733" i="4"/>
  <c r="K739" i="4"/>
  <c r="K745" i="4"/>
  <c r="K751" i="4"/>
  <c r="K757" i="4"/>
  <c r="K763" i="4"/>
  <c r="K769" i="4"/>
  <c r="K775" i="4"/>
  <c r="K781" i="4"/>
  <c r="K787" i="4"/>
  <c r="K793" i="4"/>
  <c r="K799" i="4"/>
  <c r="K805" i="4"/>
  <c r="K811" i="4"/>
  <c r="K817" i="4"/>
  <c r="K823" i="4"/>
  <c r="K829" i="4"/>
  <c r="K835" i="4"/>
  <c r="K841" i="4"/>
  <c r="K847" i="4"/>
  <c r="K853" i="4"/>
  <c r="K859" i="4"/>
  <c r="K865" i="4"/>
  <c r="K871" i="4"/>
  <c r="K877" i="4"/>
  <c r="K883" i="4"/>
  <c r="K889" i="4"/>
  <c r="K895" i="4"/>
  <c r="K901" i="4"/>
  <c r="K907" i="4"/>
  <c r="K913" i="4"/>
  <c r="K919" i="4"/>
  <c r="K925" i="4"/>
  <c r="K931" i="4"/>
  <c r="K937" i="4"/>
  <c r="K943" i="4"/>
  <c r="K949" i="4"/>
  <c r="K955" i="4"/>
  <c r="K961" i="4"/>
  <c r="K967" i="4"/>
  <c r="K973" i="4"/>
  <c r="K979" i="4"/>
  <c r="K985" i="4"/>
  <c r="K991" i="4"/>
  <c r="K997" i="4"/>
  <c r="K1003" i="4"/>
  <c r="K1009" i="4"/>
  <c r="K1015" i="4"/>
  <c r="K1021" i="4"/>
  <c r="K1027" i="4"/>
  <c r="K1033" i="4"/>
  <c r="K1039" i="4"/>
  <c r="K1045" i="4"/>
  <c r="K1051" i="4"/>
  <c r="K1057" i="4"/>
  <c r="K1063" i="4"/>
  <c r="K1069" i="4"/>
  <c r="K1075" i="4"/>
  <c r="K1081" i="4"/>
  <c r="K1087" i="4"/>
  <c r="K1093" i="4"/>
  <c r="K1099" i="4"/>
  <c r="K1105" i="4"/>
  <c r="K1111" i="4"/>
  <c r="K1117" i="4"/>
  <c r="K1123" i="4"/>
  <c r="K1129" i="4"/>
  <c r="K1135" i="4"/>
  <c r="K1141" i="4"/>
  <c r="K1147" i="4"/>
  <c r="K1153" i="4"/>
  <c r="K1159" i="4"/>
  <c r="K1165" i="4"/>
  <c r="K1171" i="4"/>
  <c r="K1177" i="4"/>
  <c r="K1183" i="4"/>
  <c r="K1189" i="4"/>
  <c r="K1195" i="4"/>
  <c r="K1201" i="4"/>
  <c r="K1207" i="4"/>
  <c r="K1213" i="4"/>
  <c r="K1219" i="4"/>
  <c r="K1225" i="4"/>
  <c r="K1231" i="4"/>
  <c r="K1237" i="4"/>
  <c r="K1243" i="4"/>
  <c r="K1249" i="4"/>
  <c r="K230" i="4"/>
  <c r="K236" i="4"/>
  <c r="K242" i="4"/>
  <c r="K248" i="4"/>
  <c r="K254" i="4"/>
  <c r="K260" i="4"/>
  <c r="K266" i="4"/>
  <c r="K272" i="4"/>
  <c r="K278" i="4"/>
  <c r="K284" i="4"/>
  <c r="K290" i="4"/>
  <c r="K296" i="4"/>
  <c r="K302" i="4"/>
  <c r="K308" i="4"/>
  <c r="K314" i="4"/>
  <c r="K320" i="4"/>
  <c r="K326" i="4"/>
  <c r="K332" i="4"/>
  <c r="K338" i="4"/>
  <c r="K344" i="4"/>
  <c r="K350" i="4"/>
  <c r="K356" i="4"/>
  <c r="K362" i="4"/>
  <c r="K368" i="4"/>
  <c r="K374" i="4"/>
  <c r="K380" i="4"/>
  <c r="K386" i="4"/>
  <c r="K392" i="4"/>
  <c r="K398" i="4"/>
  <c r="K404" i="4"/>
  <c r="K410" i="4"/>
  <c r="K416" i="4"/>
  <c r="K422" i="4"/>
  <c r="K428" i="4"/>
  <c r="K434" i="4"/>
  <c r="K440" i="4"/>
  <c r="K446" i="4"/>
  <c r="K452" i="4"/>
  <c r="K458" i="4"/>
  <c r="K464" i="4"/>
  <c r="K470" i="4"/>
  <c r="K476" i="4"/>
  <c r="K482" i="4"/>
  <c r="K488" i="4"/>
  <c r="K494" i="4"/>
  <c r="K500" i="4"/>
  <c r="K506" i="4"/>
  <c r="K512" i="4"/>
  <c r="K518" i="4"/>
  <c r="K524" i="4"/>
  <c r="K530" i="4"/>
  <c r="K536" i="4"/>
  <c r="K542" i="4"/>
  <c r="K548" i="4"/>
  <c r="K554" i="4"/>
  <c r="K560" i="4"/>
  <c r="K566" i="4"/>
  <c r="K572" i="4"/>
  <c r="K578" i="4"/>
  <c r="K584" i="4"/>
  <c r="K590" i="4"/>
  <c r="K596" i="4"/>
  <c r="K602" i="4"/>
  <c r="K608" i="4"/>
  <c r="K614" i="4"/>
  <c r="K620" i="4"/>
  <c r="K626" i="4"/>
  <c r="K632" i="4"/>
  <c r="K638" i="4"/>
  <c r="K644" i="4"/>
  <c r="K650" i="4"/>
  <c r="K656" i="4"/>
  <c r="K662" i="4"/>
  <c r="K668" i="4"/>
  <c r="K674" i="4"/>
  <c r="K680" i="4"/>
  <c r="K686" i="4"/>
  <c r="K692" i="4"/>
  <c r="K698" i="4"/>
  <c r="K704" i="4"/>
  <c r="K710" i="4"/>
  <c r="K716" i="4"/>
  <c r="K722" i="4"/>
  <c r="K728" i="4"/>
  <c r="K734" i="4"/>
  <c r="K740" i="4"/>
  <c r="K746" i="4"/>
  <c r="K752" i="4"/>
  <c r="K758" i="4"/>
  <c r="K764" i="4"/>
  <c r="K770" i="4"/>
  <c r="K776" i="4"/>
  <c r="K782" i="4"/>
  <c r="K788" i="4"/>
  <c r="K794" i="4"/>
  <c r="K800" i="4"/>
  <c r="K806" i="4"/>
  <c r="K812" i="4"/>
  <c r="K818" i="4"/>
  <c r="K824" i="4"/>
  <c r="K830" i="4"/>
  <c r="K836" i="4"/>
  <c r="K842" i="4"/>
  <c r="K848" i="4"/>
  <c r="K854" i="4"/>
  <c r="K860" i="4"/>
  <c r="K866" i="4"/>
  <c r="K872" i="4"/>
  <c r="K878" i="4"/>
  <c r="K884" i="4"/>
  <c r="K890" i="4"/>
  <c r="K896" i="4"/>
  <c r="K902" i="4"/>
  <c r="K908" i="4"/>
  <c r="K914" i="4"/>
  <c r="K920" i="4"/>
  <c r="K926" i="4"/>
  <c r="K932" i="4"/>
  <c r="K938" i="4"/>
  <c r="K944" i="4"/>
  <c r="K231" i="4"/>
  <c r="K237" i="4"/>
  <c r="K243" i="4"/>
  <c r="K249" i="4"/>
  <c r="K255" i="4"/>
  <c r="K261" i="4"/>
  <c r="K267" i="4"/>
  <c r="K273" i="4"/>
  <c r="K279" i="4"/>
  <c r="K285" i="4"/>
  <c r="K291" i="4"/>
  <c r="K297" i="4"/>
  <c r="K303" i="4"/>
  <c r="K309" i="4"/>
  <c r="K315" i="4"/>
  <c r="K321" i="4"/>
  <c r="K327" i="4"/>
  <c r="K333" i="4"/>
  <c r="K339" i="4"/>
  <c r="K345" i="4"/>
  <c r="K351" i="4"/>
  <c r="K357" i="4"/>
  <c r="K363" i="4"/>
  <c r="K369" i="4"/>
  <c r="K375" i="4"/>
  <c r="K381" i="4"/>
  <c r="K387" i="4"/>
  <c r="K393" i="4"/>
  <c r="K399" i="4"/>
  <c r="K405" i="4"/>
  <c r="K411" i="4"/>
  <c r="K417" i="4"/>
  <c r="K423" i="4"/>
  <c r="K429" i="4"/>
  <c r="K435" i="4"/>
  <c r="K441" i="4"/>
  <c r="K447" i="4"/>
  <c r="K453" i="4"/>
  <c r="K459" i="4"/>
  <c r="K465" i="4"/>
  <c r="K471" i="4"/>
  <c r="K477" i="4"/>
  <c r="K483" i="4"/>
  <c r="K489" i="4"/>
  <c r="K495" i="4"/>
  <c r="K501" i="4"/>
  <c r="K507" i="4"/>
  <c r="K513" i="4"/>
  <c r="K519" i="4"/>
  <c r="K525" i="4"/>
  <c r="K531" i="4"/>
  <c r="K537" i="4"/>
  <c r="K543" i="4"/>
  <c r="K549" i="4"/>
  <c r="K555" i="4"/>
  <c r="K561" i="4"/>
  <c r="K567" i="4"/>
  <c r="K573" i="4"/>
  <c r="K579" i="4"/>
  <c r="K585" i="4"/>
  <c r="K591" i="4"/>
  <c r="K597" i="4"/>
  <c r="K603" i="4"/>
  <c r="K609" i="4"/>
  <c r="K615" i="4"/>
  <c r="K621" i="4"/>
  <c r="K627" i="4"/>
  <c r="K633" i="4"/>
  <c r="K639" i="4"/>
  <c r="K645" i="4"/>
  <c r="K651" i="4"/>
  <c r="K657" i="4"/>
  <c r="K663" i="4"/>
  <c r="K669" i="4"/>
  <c r="K675" i="4"/>
  <c r="K681" i="4"/>
  <c r="K687" i="4"/>
  <c r="K693" i="4"/>
  <c r="K699" i="4"/>
  <c r="K705" i="4"/>
  <c r="K711" i="4"/>
  <c r="K717" i="4"/>
  <c r="K723" i="4"/>
  <c r="K729" i="4"/>
  <c r="K735" i="4"/>
  <c r="K741" i="4"/>
  <c r="K747" i="4"/>
  <c r="K753" i="4"/>
  <c r="K759" i="4"/>
  <c r="K765" i="4"/>
  <c r="K771" i="4"/>
  <c r="K777" i="4"/>
  <c r="K783" i="4"/>
  <c r="K789" i="4"/>
  <c r="K795" i="4"/>
  <c r="K801" i="4"/>
  <c r="K807" i="4"/>
  <c r="K813" i="4"/>
  <c r="K819" i="4"/>
  <c r="K825" i="4"/>
  <c r="K831" i="4"/>
  <c r="K837" i="4"/>
  <c r="K843" i="4"/>
  <c r="K849" i="4"/>
  <c r="K855" i="4"/>
  <c r="K861" i="4"/>
  <c r="K867" i="4"/>
  <c r="K873" i="4"/>
  <c r="K879" i="4"/>
  <c r="K885" i="4"/>
  <c r="K891" i="4"/>
  <c r="K897" i="4"/>
  <c r="K903" i="4"/>
  <c r="K909" i="4"/>
  <c r="K915" i="4"/>
  <c r="K921" i="4"/>
  <c r="K927" i="4"/>
  <c r="K933" i="4"/>
  <c r="K939" i="4"/>
  <c r="K945" i="4"/>
  <c r="K951" i="4"/>
  <c r="K957" i="4"/>
  <c r="K963" i="4"/>
  <c r="K969" i="4"/>
  <c r="K975" i="4"/>
  <c r="K981" i="4"/>
  <c r="K987" i="4"/>
  <c r="K993" i="4"/>
  <c r="K999" i="4"/>
  <c r="K1005" i="4"/>
  <c r="K1011" i="4"/>
  <c r="K1017" i="4"/>
  <c r="K1023" i="4"/>
  <c r="K1029" i="4"/>
  <c r="K1035" i="4"/>
  <c r="K1041" i="4"/>
  <c r="K1047" i="4"/>
  <c r="K1053" i="4"/>
  <c r="K1059" i="4"/>
  <c r="K1065" i="4"/>
  <c r="K1071" i="4"/>
  <c r="K1077" i="4"/>
  <c r="K1083" i="4"/>
  <c r="K1089" i="4"/>
  <c r="K1095" i="4"/>
  <c r="K1101" i="4"/>
  <c r="K1107" i="4"/>
  <c r="K1113" i="4"/>
  <c r="K1119" i="4"/>
  <c r="K1125" i="4"/>
  <c r="K1131" i="4"/>
  <c r="K1137" i="4"/>
  <c r="K1143" i="4"/>
  <c r="K1149" i="4"/>
  <c r="K1155" i="4"/>
  <c r="K1161" i="4"/>
  <c r="K1167" i="4"/>
  <c r="K1173" i="4"/>
  <c r="K1179" i="4"/>
  <c r="K1185" i="4"/>
  <c r="K1191" i="4"/>
  <c r="K1197" i="4"/>
  <c r="K1203" i="4"/>
  <c r="K1209" i="4"/>
  <c r="K1215" i="4"/>
  <c r="K1221" i="4"/>
  <c r="K1227" i="4"/>
  <c r="K1233" i="4"/>
  <c r="K1239" i="4"/>
  <c r="K1245" i="4"/>
  <c r="K1251" i="4"/>
  <c r="K1257" i="4"/>
  <c r="K1263" i="4"/>
  <c r="K962" i="4"/>
  <c r="K998" i="4"/>
  <c r="K1034" i="4"/>
  <c r="K1070" i="4"/>
  <c r="K1106" i="4"/>
  <c r="K1142" i="4"/>
  <c r="K1178" i="4"/>
  <c r="K1214" i="4"/>
  <c r="K1244" i="4"/>
  <c r="K1256" i="4"/>
  <c r="K1266" i="4"/>
  <c r="K1273" i="4"/>
  <c r="K1279" i="4"/>
  <c r="K1285" i="4"/>
  <c r="K1291" i="4"/>
  <c r="K1297" i="4"/>
  <c r="K1303" i="4"/>
  <c r="K1309" i="4"/>
  <c r="K1315" i="4"/>
  <c r="K1321" i="4"/>
  <c r="K1327" i="4"/>
  <c r="K1333" i="4"/>
  <c r="K1339" i="4"/>
  <c r="K1345" i="4"/>
  <c r="K1351" i="4"/>
  <c r="K1357" i="4"/>
  <c r="K1363" i="4"/>
  <c r="K1369" i="4"/>
  <c r="K1375" i="4"/>
  <c r="K1381" i="4"/>
  <c r="K1387" i="4"/>
  <c r="K1393" i="4"/>
  <c r="K1399" i="4"/>
  <c r="K1405" i="4"/>
  <c r="K1411" i="4"/>
  <c r="K1417" i="4"/>
  <c r="K1423" i="4"/>
  <c r="K1429" i="4"/>
  <c r="K1435" i="4"/>
  <c r="K1441" i="4"/>
  <c r="K1447" i="4"/>
  <c r="K1453" i="4"/>
  <c r="K1459" i="4"/>
  <c r="K1465" i="4"/>
  <c r="K1471" i="4"/>
  <c r="K1477" i="4"/>
  <c r="K1483" i="4"/>
  <c r="K1489" i="4"/>
  <c r="K1495" i="4"/>
  <c r="K1490" i="4"/>
  <c r="K1497" i="4"/>
  <c r="K1124" i="4"/>
  <c r="K1261" i="4"/>
  <c r="K1294" i="4"/>
  <c r="K1318" i="4"/>
  <c r="K1348" i="4"/>
  <c r="K1378" i="4"/>
  <c r="K1408" i="4"/>
  <c r="K1438" i="4"/>
  <c r="K1468" i="4"/>
  <c r="K1498" i="4"/>
  <c r="K968" i="4"/>
  <c r="K1004" i="4"/>
  <c r="K1040" i="4"/>
  <c r="K1076" i="4"/>
  <c r="K1112" i="4"/>
  <c r="K1148" i="4"/>
  <c r="K1184" i="4"/>
  <c r="K1220" i="4"/>
  <c r="K1248" i="4"/>
  <c r="K1258" i="4"/>
  <c r="K1267" i="4"/>
  <c r="K1274" i="4"/>
  <c r="K1280" i="4"/>
  <c r="K1286" i="4"/>
  <c r="K1292" i="4"/>
  <c r="K1298" i="4"/>
  <c r="K1304" i="4"/>
  <c r="K1310" i="4"/>
  <c r="K1316" i="4"/>
  <c r="K1322" i="4"/>
  <c r="K1328" i="4"/>
  <c r="K1334" i="4"/>
  <c r="K1340" i="4"/>
  <c r="K1346" i="4"/>
  <c r="K1352" i="4"/>
  <c r="K1358" i="4"/>
  <c r="K1364" i="4"/>
  <c r="K1370" i="4"/>
  <c r="K1376" i="4"/>
  <c r="K1382" i="4"/>
  <c r="K1388" i="4"/>
  <c r="K1394" i="4"/>
  <c r="K1400" i="4"/>
  <c r="K1406" i="4"/>
  <c r="K1412" i="4"/>
  <c r="K1418" i="4"/>
  <c r="K1424" i="4"/>
  <c r="K1430" i="4"/>
  <c r="K1436" i="4"/>
  <c r="K1442" i="4"/>
  <c r="K1448" i="4"/>
  <c r="K1454" i="4"/>
  <c r="K1460" i="4"/>
  <c r="K1466" i="4"/>
  <c r="K1472" i="4"/>
  <c r="K1478" i="4"/>
  <c r="K1484" i="4"/>
  <c r="K1496" i="4"/>
  <c r="K980" i="4"/>
  <c r="K1160" i="4"/>
  <c r="K1269" i="4"/>
  <c r="K1300" i="4"/>
  <c r="K1336" i="4"/>
  <c r="K1366" i="4"/>
  <c r="K1396" i="4"/>
  <c r="K1426" i="4"/>
  <c r="K1456" i="4"/>
  <c r="K1486" i="4"/>
  <c r="K974" i="4"/>
  <c r="K1010" i="4"/>
  <c r="K1046" i="4"/>
  <c r="K1082" i="4"/>
  <c r="K1118" i="4"/>
  <c r="K1154" i="4"/>
  <c r="K1190" i="4"/>
  <c r="K1226" i="4"/>
  <c r="K1250" i="4"/>
  <c r="K1260" i="4"/>
  <c r="K1268" i="4"/>
  <c r="K1275" i="4"/>
  <c r="K1281" i="4"/>
  <c r="K1287" i="4"/>
  <c r="K1293" i="4"/>
  <c r="K1299" i="4"/>
  <c r="K1305" i="4"/>
  <c r="K1311" i="4"/>
  <c r="K1317" i="4"/>
  <c r="K1323" i="4"/>
  <c r="K1329" i="4"/>
  <c r="K1335" i="4"/>
  <c r="K1341" i="4"/>
  <c r="K1347" i="4"/>
  <c r="K1353" i="4"/>
  <c r="K1359" i="4"/>
  <c r="K1365" i="4"/>
  <c r="K1371" i="4"/>
  <c r="K1377" i="4"/>
  <c r="K1383" i="4"/>
  <c r="K1389" i="4"/>
  <c r="K1395" i="4"/>
  <c r="K1401" i="4"/>
  <c r="K1407" i="4"/>
  <c r="K1413" i="4"/>
  <c r="K1419" i="4"/>
  <c r="K1425" i="4"/>
  <c r="K1431" i="4"/>
  <c r="K1437" i="4"/>
  <c r="K1443" i="4"/>
  <c r="K1449" i="4"/>
  <c r="K1455" i="4"/>
  <c r="K1461" i="4"/>
  <c r="K1467" i="4"/>
  <c r="K1473" i="4"/>
  <c r="K1479" i="4"/>
  <c r="K1485" i="4"/>
  <c r="K1491" i="4"/>
  <c r="K1088" i="4"/>
  <c r="K1252" i="4"/>
  <c r="K1288" i="4"/>
  <c r="K1324" i="4"/>
  <c r="K1354" i="4"/>
  <c r="K1384" i="4"/>
  <c r="K1414" i="4"/>
  <c r="K1444" i="4"/>
  <c r="K1474" i="4"/>
  <c r="K950" i="4"/>
  <c r="K986" i="4"/>
  <c r="K1022" i="4"/>
  <c r="K1058" i="4"/>
  <c r="K1094" i="4"/>
  <c r="K1130" i="4"/>
  <c r="K1166" i="4"/>
  <c r="K1202" i="4"/>
  <c r="K1238" i="4"/>
  <c r="K1254" i="4"/>
  <c r="K1262" i="4"/>
  <c r="K1270" i="4"/>
  <c r="K1277" i="4"/>
  <c r="K1283" i="4"/>
  <c r="K1289" i="4"/>
  <c r="K1295" i="4"/>
  <c r="K1301" i="4"/>
  <c r="K1307" i="4"/>
  <c r="K1313" i="4"/>
  <c r="K1319" i="4"/>
  <c r="K1325" i="4"/>
  <c r="K1331" i="4"/>
  <c r="K1337" i="4"/>
  <c r="K1343" i="4"/>
  <c r="K1349" i="4"/>
  <c r="K1355" i="4"/>
  <c r="K1361" i="4"/>
  <c r="K1367" i="4"/>
  <c r="K1373" i="4"/>
  <c r="K1379" i="4"/>
  <c r="K1385" i="4"/>
  <c r="K1391" i="4"/>
  <c r="K1397" i="4"/>
  <c r="K1403" i="4"/>
  <c r="K1409" i="4"/>
  <c r="K1415" i="4"/>
  <c r="K1421" i="4"/>
  <c r="K1427" i="4"/>
  <c r="K1433" i="4"/>
  <c r="K1439" i="4"/>
  <c r="K1445" i="4"/>
  <c r="K1451" i="4"/>
  <c r="K1457" i="4"/>
  <c r="K1463" i="4"/>
  <c r="K1469" i="4"/>
  <c r="K1475" i="4"/>
  <c r="K1481" i="4"/>
  <c r="K1487" i="4"/>
  <c r="K1493" i="4"/>
  <c r="K1499" i="4"/>
  <c r="K1052" i="4"/>
  <c r="K1232" i="4"/>
  <c r="K1282" i="4"/>
  <c r="K1306" i="4"/>
  <c r="K1330" i="4"/>
  <c r="K1360" i="4"/>
  <c r="K1390" i="4"/>
  <c r="K1420" i="4"/>
  <c r="K1450" i="4"/>
  <c r="K1480" i="4"/>
  <c r="K956" i="4"/>
  <c r="K992" i="4"/>
  <c r="K1028" i="4"/>
  <c r="K1064" i="4"/>
  <c r="K1100" i="4"/>
  <c r="K1136" i="4"/>
  <c r="K1172" i="4"/>
  <c r="K1208" i="4"/>
  <c r="K1242" i="4"/>
  <c r="K1255" i="4"/>
  <c r="K1264" i="4"/>
  <c r="K1272" i="4"/>
  <c r="K1278" i="4"/>
  <c r="K1284" i="4"/>
  <c r="K1290" i="4"/>
  <c r="K1296" i="4"/>
  <c r="K1302" i="4"/>
  <c r="K1308" i="4"/>
  <c r="K1314" i="4"/>
  <c r="K1320" i="4"/>
  <c r="K1326" i="4"/>
  <c r="K1332" i="4"/>
  <c r="K1338" i="4"/>
  <c r="K1344" i="4"/>
  <c r="K1350" i="4"/>
  <c r="K1356" i="4"/>
  <c r="K1362" i="4"/>
  <c r="K1368" i="4"/>
  <c r="K1374" i="4"/>
  <c r="K1380" i="4"/>
  <c r="K1386" i="4"/>
  <c r="K1392" i="4"/>
  <c r="K1398" i="4"/>
  <c r="K1404" i="4"/>
  <c r="K1410" i="4"/>
  <c r="K1416" i="4"/>
  <c r="K1422" i="4"/>
  <c r="K1428" i="4"/>
  <c r="K1434" i="4"/>
  <c r="K1440" i="4"/>
  <c r="K1446" i="4"/>
  <c r="K1452" i="4"/>
  <c r="K1458" i="4"/>
  <c r="K1464" i="4"/>
  <c r="K1470" i="4"/>
  <c r="K1476" i="4"/>
  <c r="K1482" i="4"/>
  <c r="K1488" i="4"/>
  <c r="K1494" i="4"/>
  <c r="K1016" i="4"/>
  <c r="K1196" i="4"/>
  <c r="K1276" i="4"/>
  <c r="K1312" i="4"/>
  <c r="K1342" i="4"/>
  <c r="K1372" i="4"/>
  <c r="K1402" i="4"/>
  <c r="K1432" i="4"/>
  <c r="K1462" i="4"/>
  <c r="K1492" i="4"/>
  <c r="K224" i="4"/>
  <c r="K223" i="4"/>
  <c r="K220" i="4"/>
  <c r="K222" i="4"/>
  <c r="K219" i="4"/>
  <c r="K221" i="4"/>
  <c r="K11" i="4"/>
  <c r="K135" i="4"/>
  <c r="K171" i="4"/>
  <c r="K207" i="4"/>
  <c r="K122" i="4"/>
  <c r="K158" i="4"/>
  <c r="K194" i="4"/>
  <c r="K13" i="4"/>
  <c r="K133" i="4"/>
  <c r="K169" i="4"/>
  <c r="K205" i="4"/>
  <c r="K36" i="4"/>
  <c r="K138" i="4"/>
  <c r="K174" i="4"/>
  <c r="K210" i="4"/>
  <c r="K119" i="4"/>
  <c r="K155" i="4"/>
  <c r="K191" i="4"/>
  <c r="K40" i="4"/>
  <c r="K130" i="4"/>
  <c r="K166" i="4"/>
  <c r="K202" i="4"/>
  <c r="K28" i="4"/>
  <c r="K141" i="4"/>
  <c r="K177" i="4"/>
  <c r="K213" i="4"/>
  <c r="K128" i="4"/>
  <c r="K164" i="4"/>
  <c r="K200" i="4"/>
  <c r="K37" i="4"/>
  <c r="K139" i="4"/>
  <c r="K175" i="4"/>
  <c r="K211" i="4"/>
  <c r="K42" i="4"/>
  <c r="K144" i="4"/>
  <c r="K180" i="4"/>
  <c r="K216" i="4"/>
  <c r="K125" i="4"/>
  <c r="K161" i="4"/>
  <c r="K197" i="4"/>
  <c r="K76" i="4"/>
  <c r="K136" i="4"/>
  <c r="K172" i="4"/>
  <c r="K208" i="4"/>
  <c r="K27" i="4"/>
  <c r="K147" i="4"/>
  <c r="K183" i="4"/>
  <c r="K10" i="4"/>
  <c r="K134" i="4"/>
  <c r="K170" i="4"/>
  <c r="K206" i="4"/>
  <c r="K43" i="4"/>
  <c r="K145" i="4"/>
  <c r="K181" i="4"/>
  <c r="K217" i="4"/>
  <c r="K114" i="4"/>
  <c r="K150" i="4"/>
  <c r="K186" i="4"/>
  <c r="K7" i="4"/>
  <c r="K131" i="4"/>
  <c r="K167" i="4"/>
  <c r="K203" i="4"/>
  <c r="K100" i="4"/>
  <c r="K142" i="4"/>
  <c r="K178" i="4"/>
  <c r="K214" i="4"/>
  <c r="K117" i="4"/>
  <c r="K153" i="4"/>
  <c r="K189" i="4"/>
  <c r="K14" i="4"/>
  <c r="K140" i="4"/>
  <c r="K176" i="4"/>
  <c r="K212" i="4"/>
  <c r="K115" i="4"/>
  <c r="K151" i="4"/>
  <c r="K187" i="4"/>
  <c r="K9" i="4"/>
  <c r="K120" i="4"/>
  <c r="K156" i="4"/>
  <c r="K192" i="4"/>
  <c r="K23" i="4"/>
  <c r="K137" i="4"/>
  <c r="K173" i="4"/>
  <c r="K209" i="4"/>
  <c r="K112" i="4"/>
  <c r="K148" i="4"/>
  <c r="K184" i="4"/>
  <c r="K123" i="4"/>
  <c r="K159" i="4"/>
  <c r="K195" i="4"/>
  <c r="K104" i="4"/>
  <c r="K146" i="4"/>
  <c r="K182" i="4"/>
  <c r="K218" i="4"/>
  <c r="K121" i="4"/>
  <c r="K157" i="4"/>
  <c r="K193" i="4"/>
  <c r="K12" i="4"/>
  <c r="K126" i="4"/>
  <c r="K162" i="4"/>
  <c r="K198" i="4"/>
  <c r="K41" i="4"/>
  <c r="K143" i="4"/>
  <c r="K179" i="4"/>
  <c r="K215" i="4"/>
  <c r="K118" i="4"/>
  <c r="K154" i="4"/>
  <c r="K190" i="4"/>
  <c r="K129" i="4"/>
  <c r="K165" i="4"/>
  <c r="K201" i="4"/>
  <c r="K116" i="4"/>
  <c r="K152" i="4"/>
  <c r="K188" i="4"/>
  <c r="K8" i="4"/>
  <c r="K127" i="4"/>
  <c r="K163" i="4"/>
  <c r="K199" i="4"/>
  <c r="K24" i="4"/>
  <c r="K132" i="4"/>
  <c r="K168" i="4"/>
  <c r="K204" i="4"/>
  <c r="K113" i="4"/>
  <c r="K149" i="4"/>
  <c r="K185" i="4"/>
  <c r="K16" i="4"/>
  <c r="K124" i="4"/>
  <c r="K160" i="4"/>
  <c r="K196" i="4"/>
  <c r="G223" i="4"/>
  <c r="H223" i="4" s="1"/>
  <c r="G229" i="4"/>
  <c r="H229" i="4" s="1"/>
  <c r="G235" i="4"/>
  <c r="H235" i="4" s="1"/>
  <c r="G241" i="4"/>
  <c r="H241" i="4" s="1"/>
  <c r="G247" i="4"/>
  <c r="H247" i="4" s="1"/>
  <c r="G253" i="4"/>
  <c r="H253" i="4" s="1"/>
  <c r="G259" i="4"/>
  <c r="H259" i="4" s="1"/>
  <c r="G265" i="4"/>
  <c r="H265" i="4" s="1"/>
  <c r="G271" i="4"/>
  <c r="H271" i="4" s="1"/>
  <c r="G277" i="4"/>
  <c r="H277" i="4" s="1"/>
  <c r="G283" i="4"/>
  <c r="H283" i="4" s="1"/>
  <c r="G289" i="4"/>
  <c r="H289" i="4" s="1"/>
  <c r="G295" i="4"/>
  <c r="H295" i="4" s="1"/>
  <c r="G301" i="4"/>
  <c r="H301" i="4" s="1"/>
  <c r="G307" i="4"/>
  <c r="H307" i="4" s="1"/>
  <c r="G313" i="4"/>
  <c r="H313" i="4" s="1"/>
  <c r="G319" i="4"/>
  <c r="H319" i="4" s="1"/>
  <c r="G325" i="4"/>
  <c r="H325" i="4" s="1"/>
  <c r="G331" i="4"/>
  <c r="H331" i="4" s="1"/>
  <c r="G337" i="4"/>
  <c r="H337" i="4" s="1"/>
  <c r="G343" i="4"/>
  <c r="H343" i="4" s="1"/>
  <c r="G349" i="4"/>
  <c r="H349" i="4" s="1"/>
  <c r="G355" i="4"/>
  <c r="H355" i="4" s="1"/>
  <c r="G361" i="4"/>
  <c r="H361" i="4" s="1"/>
  <c r="G367" i="4"/>
  <c r="H367" i="4" s="1"/>
  <c r="G373" i="4"/>
  <c r="H373" i="4" s="1"/>
  <c r="G379" i="4"/>
  <c r="H379" i="4" s="1"/>
  <c r="G385" i="4"/>
  <c r="H385" i="4" s="1"/>
  <c r="G391" i="4"/>
  <c r="H391" i="4" s="1"/>
  <c r="G397" i="4"/>
  <c r="H397" i="4" s="1"/>
  <c r="G403" i="4"/>
  <c r="H403" i="4" s="1"/>
  <c r="G409" i="4"/>
  <c r="H409" i="4" s="1"/>
  <c r="G415" i="4"/>
  <c r="H415" i="4" s="1"/>
  <c r="G421" i="4"/>
  <c r="H421" i="4" s="1"/>
  <c r="G427" i="4"/>
  <c r="H427" i="4" s="1"/>
  <c r="G433" i="4"/>
  <c r="H433" i="4" s="1"/>
  <c r="G439" i="4"/>
  <c r="H439" i="4" s="1"/>
  <c r="G445" i="4"/>
  <c r="H445" i="4" s="1"/>
  <c r="G451" i="4"/>
  <c r="H451" i="4" s="1"/>
  <c r="G457" i="4"/>
  <c r="H457" i="4" s="1"/>
  <c r="G463" i="4"/>
  <c r="H463" i="4" s="1"/>
  <c r="G469" i="4"/>
  <c r="H469" i="4" s="1"/>
  <c r="G475" i="4"/>
  <c r="H475" i="4" s="1"/>
  <c r="G481" i="4"/>
  <c r="H481" i="4" s="1"/>
  <c r="G487" i="4"/>
  <c r="H487" i="4" s="1"/>
  <c r="G493" i="4"/>
  <c r="H493" i="4" s="1"/>
  <c r="G499" i="4"/>
  <c r="H499" i="4" s="1"/>
  <c r="G505" i="4"/>
  <c r="H505" i="4" s="1"/>
  <c r="G511" i="4"/>
  <c r="H511" i="4" s="1"/>
  <c r="G224" i="4"/>
  <c r="H224" i="4" s="1"/>
  <c r="G230" i="4"/>
  <c r="H230" i="4" s="1"/>
  <c r="G236" i="4"/>
  <c r="H236" i="4" s="1"/>
  <c r="G242" i="4"/>
  <c r="H242" i="4" s="1"/>
  <c r="G248" i="4"/>
  <c r="H248" i="4" s="1"/>
  <c r="G254" i="4"/>
  <c r="H254" i="4" s="1"/>
  <c r="G260" i="4"/>
  <c r="H260" i="4" s="1"/>
  <c r="G266" i="4"/>
  <c r="H266" i="4" s="1"/>
  <c r="G272" i="4"/>
  <c r="H272" i="4" s="1"/>
  <c r="G278" i="4"/>
  <c r="H278" i="4" s="1"/>
  <c r="G284" i="4"/>
  <c r="H284" i="4" s="1"/>
  <c r="G290" i="4"/>
  <c r="H290" i="4" s="1"/>
  <c r="G296" i="4"/>
  <c r="H296" i="4" s="1"/>
  <c r="G302" i="4"/>
  <c r="H302" i="4" s="1"/>
  <c r="G308" i="4"/>
  <c r="H308" i="4" s="1"/>
  <c r="G314" i="4"/>
  <c r="H314" i="4" s="1"/>
  <c r="G320" i="4"/>
  <c r="H320" i="4" s="1"/>
  <c r="G326" i="4"/>
  <c r="H326" i="4" s="1"/>
  <c r="G332" i="4"/>
  <c r="H332" i="4" s="1"/>
  <c r="G338" i="4"/>
  <c r="H338" i="4" s="1"/>
  <c r="G344" i="4"/>
  <c r="H344" i="4" s="1"/>
  <c r="G350" i="4"/>
  <c r="H350" i="4" s="1"/>
  <c r="G356" i="4"/>
  <c r="H356" i="4" s="1"/>
  <c r="G362" i="4"/>
  <c r="H362" i="4" s="1"/>
  <c r="G368" i="4"/>
  <c r="H368" i="4" s="1"/>
  <c r="G374" i="4"/>
  <c r="H374" i="4" s="1"/>
  <c r="G380" i="4"/>
  <c r="H380" i="4" s="1"/>
  <c r="G386" i="4"/>
  <c r="H386" i="4" s="1"/>
  <c r="G392" i="4"/>
  <c r="H392" i="4" s="1"/>
  <c r="G398" i="4"/>
  <c r="H398" i="4" s="1"/>
  <c r="G404" i="4"/>
  <c r="H404" i="4" s="1"/>
  <c r="G410" i="4"/>
  <c r="H410" i="4" s="1"/>
  <c r="G416" i="4"/>
  <c r="H416" i="4" s="1"/>
  <c r="G422" i="4"/>
  <c r="H422" i="4" s="1"/>
  <c r="G428" i="4"/>
  <c r="H428" i="4" s="1"/>
  <c r="G434" i="4"/>
  <c r="H434" i="4" s="1"/>
  <c r="G440" i="4"/>
  <c r="H440" i="4" s="1"/>
  <c r="G446" i="4"/>
  <c r="H446" i="4" s="1"/>
  <c r="G225" i="4"/>
  <c r="H225" i="4" s="1"/>
  <c r="G231" i="4"/>
  <c r="H231" i="4" s="1"/>
  <c r="G237" i="4"/>
  <c r="H237" i="4" s="1"/>
  <c r="G243" i="4"/>
  <c r="H243" i="4" s="1"/>
  <c r="G249" i="4"/>
  <c r="H249" i="4" s="1"/>
  <c r="G255" i="4"/>
  <c r="H255" i="4" s="1"/>
  <c r="G261" i="4"/>
  <c r="H261" i="4" s="1"/>
  <c r="G267" i="4"/>
  <c r="H267" i="4" s="1"/>
  <c r="G273" i="4"/>
  <c r="H273" i="4" s="1"/>
  <c r="G279" i="4"/>
  <c r="H279" i="4" s="1"/>
  <c r="G285" i="4"/>
  <c r="H285" i="4" s="1"/>
  <c r="G291" i="4"/>
  <c r="H291" i="4" s="1"/>
  <c r="G297" i="4"/>
  <c r="H297" i="4" s="1"/>
  <c r="G303" i="4"/>
  <c r="H303" i="4" s="1"/>
  <c r="G309" i="4"/>
  <c r="H309" i="4" s="1"/>
  <c r="G315" i="4"/>
  <c r="H315" i="4" s="1"/>
  <c r="G321" i="4"/>
  <c r="H321" i="4" s="1"/>
  <c r="G327" i="4"/>
  <c r="H327" i="4" s="1"/>
  <c r="G333" i="4"/>
  <c r="H333" i="4" s="1"/>
  <c r="G339" i="4"/>
  <c r="H339" i="4" s="1"/>
  <c r="G345" i="4"/>
  <c r="H345" i="4" s="1"/>
  <c r="G351" i="4"/>
  <c r="H351" i="4" s="1"/>
  <c r="G357" i="4"/>
  <c r="H357" i="4" s="1"/>
  <c r="G363" i="4"/>
  <c r="H363" i="4" s="1"/>
  <c r="G369" i="4"/>
  <c r="H369" i="4" s="1"/>
  <c r="G375" i="4"/>
  <c r="H375" i="4" s="1"/>
  <c r="G381" i="4"/>
  <c r="H381" i="4" s="1"/>
  <c r="G387" i="4"/>
  <c r="H387" i="4" s="1"/>
  <c r="G393" i="4"/>
  <c r="H393" i="4" s="1"/>
  <c r="G399" i="4"/>
  <c r="H399" i="4" s="1"/>
  <c r="G405" i="4"/>
  <c r="H405" i="4" s="1"/>
  <c r="G411" i="4"/>
  <c r="H411" i="4" s="1"/>
  <c r="G417" i="4"/>
  <c r="H417" i="4" s="1"/>
  <c r="G423" i="4"/>
  <c r="H423" i="4" s="1"/>
  <c r="G429" i="4"/>
  <c r="H429" i="4" s="1"/>
  <c r="G435" i="4"/>
  <c r="H435" i="4" s="1"/>
  <c r="G441" i="4"/>
  <c r="H441" i="4" s="1"/>
  <c r="G447" i="4"/>
  <c r="H447" i="4" s="1"/>
  <c r="G226" i="4"/>
  <c r="H226" i="4" s="1"/>
  <c r="G232" i="4"/>
  <c r="H232" i="4" s="1"/>
  <c r="G238" i="4"/>
  <c r="H238" i="4" s="1"/>
  <c r="G244" i="4"/>
  <c r="H244" i="4" s="1"/>
  <c r="G250" i="4"/>
  <c r="H250" i="4" s="1"/>
  <c r="G256" i="4"/>
  <c r="H256" i="4" s="1"/>
  <c r="G262" i="4"/>
  <c r="H262" i="4" s="1"/>
  <c r="G268" i="4"/>
  <c r="H268" i="4" s="1"/>
  <c r="G274" i="4"/>
  <c r="H274" i="4" s="1"/>
  <c r="G280" i="4"/>
  <c r="H280" i="4" s="1"/>
  <c r="G286" i="4"/>
  <c r="H286" i="4" s="1"/>
  <c r="G292" i="4"/>
  <c r="H292" i="4" s="1"/>
  <c r="G298" i="4"/>
  <c r="H298" i="4" s="1"/>
  <c r="G304" i="4"/>
  <c r="H304" i="4" s="1"/>
  <c r="G310" i="4"/>
  <c r="H310" i="4" s="1"/>
  <c r="G316" i="4"/>
  <c r="H316" i="4" s="1"/>
  <c r="G322" i="4"/>
  <c r="H322" i="4" s="1"/>
  <c r="G328" i="4"/>
  <c r="H328" i="4" s="1"/>
  <c r="G334" i="4"/>
  <c r="H334" i="4" s="1"/>
  <c r="G340" i="4"/>
  <c r="H340" i="4" s="1"/>
  <c r="G346" i="4"/>
  <c r="H346" i="4" s="1"/>
  <c r="G352" i="4"/>
  <c r="H352" i="4" s="1"/>
  <c r="G358" i="4"/>
  <c r="H358" i="4" s="1"/>
  <c r="G364" i="4"/>
  <c r="H364" i="4" s="1"/>
  <c r="G370" i="4"/>
  <c r="H370" i="4" s="1"/>
  <c r="G376" i="4"/>
  <c r="H376" i="4" s="1"/>
  <c r="G382" i="4"/>
  <c r="H382" i="4" s="1"/>
  <c r="G388" i="4"/>
  <c r="H388" i="4" s="1"/>
  <c r="G394" i="4"/>
  <c r="H394" i="4" s="1"/>
  <c r="G400" i="4"/>
  <c r="H400" i="4" s="1"/>
  <c r="G406" i="4"/>
  <c r="H406" i="4" s="1"/>
  <c r="G412" i="4"/>
  <c r="H412" i="4" s="1"/>
  <c r="G418" i="4"/>
  <c r="H418" i="4" s="1"/>
  <c r="G424" i="4"/>
  <c r="H424" i="4" s="1"/>
  <c r="G430" i="4"/>
  <c r="H430" i="4" s="1"/>
  <c r="G436" i="4"/>
  <c r="H436" i="4" s="1"/>
  <c r="G442" i="4"/>
  <c r="H442" i="4" s="1"/>
  <c r="G448" i="4"/>
  <c r="H448" i="4" s="1"/>
  <c r="G454" i="4"/>
  <c r="H454" i="4" s="1"/>
  <c r="G460" i="4"/>
  <c r="H460" i="4" s="1"/>
  <c r="G466" i="4"/>
  <c r="H466" i="4" s="1"/>
  <c r="G472" i="4"/>
  <c r="H472" i="4" s="1"/>
  <c r="G478" i="4"/>
  <c r="H478" i="4" s="1"/>
  <c r="G484" i="4"/>
  <c r="H484" i="4" s="1"/>
  <c r="G490" i="4"/>
  <c r="H490" i="4" s="1"/>
  <c r="G496" i="4"/>
  <c r="H496" i="4" s="1"/>
  <c r="G502" i="4"/>
  <c r="H502" i="4" s="1"/>
  <c r="G508" i="4"/>
  <c r="H508" i="4" s="1"/>
  <c r="G514" i="4"/>
  <c r="H514" i="4" s="1"/>
  <c r="G520" i="4"/>
  <c r="H520" i="4" s="1"/>
  <c r="G526" i="4"/>
  <c r="H526" i="4" s="1"/>
  <c r="G532" i="4"/>
  <c r="H532" i="4" s="1"/>
  <c r="G538" i="4"/>
  <c r="H538" i="4" s="1"/>
  <c r="G544" i="4"/>
  <c r="H544" i="4" s="1"/>
  <c r="G550" i="4"/>
  <c r="H550" i="4" s="1"/>
  <c r="G556" i="4"/>
  <c r="H556" i="4" s="1"/>
  <c r="G562" i="4"/>
  <c r="H562" i="4" s="1"/>
  <c r="G568" i="4"/>
  <c r="H568" i="4" s="1"/>
  <c r="G574" i="4"/>
  <c r="H574" i="4" s="1"/>
  <c r="G580" i="4"/>
  <c r="H580" i="4" s="1"/>
  <c r="G586" i="4"/>
  <c r="H586" i="4" s="1"/>
  <c r="G592" i="4"/>
  <c r="H592" i="4" s="1"/>
  <c r="G598" i="4"/>
  <c r="H598" i="4" s="1"/>
  <c r="G604" i="4"/>
  <c r="H604" i="4" s="1"/>
  <c r="G610" i="4"/>
  <c r="H610" i="4" s="1"/>
  <c r="G616" i="4"/>
  <c r="H616" i="4" s="1"/>
  <c r="G622" i="4"/>
  <c r="H622" i="4" s="1"/>
  <c r="G628" i="4"/>
  <c r="H628" i="4" s="1"/>
  <c r="G634" i="4"/>
  <c r="H634" i="4" s="1"/>
  <c r="G640" i="4"/>
  <c r="H640" i="4" s="1"/>
  <c r="G646" i="4"/>
  <c r="H646" i="4" s="1"/>
  <c r="G652" i="4"/>
  <c r="H652" i="4" s="1"/>
  <c r="G658" i="4"/>
  <c r="H658" i="4" s="1"/>
  <c r="G664" i="4"/>
  <c r="H664" i="4" s="1"/>
  <c r="G670" i="4"/>
  <c r="H670" i="4" s="1"/>
  <c r="G676" i="4"/>
  <c r="H676" i="4" s="1"/>
  <c r="G682" i="4"/>
  <c r="H682" i="4" s="1"/>
  <c r="G688" i="4"/>
  <c r="H688" i="4" s="1"/>
  <c r="G694" i="4"/>
  <c r="H694" i="4" s="1"/>
  <c r="G221" i="4"/>
  <c r="H221" i="4" s="1"/>
  <c r="G227" i="4"/>
  <c r="H227" i="4" s="1"/>
  <c r="G233" i="4"/>
  <c r="H233" i="4" s="1"/>
  <c r="G239" i="4"/>
  <c r="H239" i="4" s="1"/>
  <c r="G245" i="4"/>
  <c r="H245" i="4" s="1"/>
  <c r="G251" i="4"/>
  <c r="H251" i="4" s="1"/>
  <c r="G257" i="4"/>
  <c r="H257" i="4" s="1"/>
  <c r="G263" i="4"/>
  <c r="H263" i="4" s="1"/>
  <c r="G269" i="4"/>
  <c r="H269" i="4" s="1"/>
  <c r="G275" i="4"/>
  <c r="H275" i="4" s="1"/>
  <c r="G281" i="4"/>
  <c r="H281" i="4" s="1"/>
  <c r="G287" i="4"/>
  <c r="H287" i="4" s="1"/>
  <c r="G293" i="4"/>
  <c r="H293" i="4" s="1"/>
  <c r="G299" i="4"/>
  <c r="H299" i="4" s="1"/>
  <c r="G305" i="4"/>
  <c r="H305" i="4" s="1"/>
  <c r="G311" i="4"/>
  <c r="H311" i="4" s="1"/>
  <c r="G317" i="4"/>
  <c r="H317" i="4" s="1"/>
  <c r="G323" i="4"/>
  <c r="H323" i="4" s="1"/>
  <c r="G329" i="4"/>
  <c r="H329" i="4" s="1"/>
  <c r="G335" i="4"/>
  <c r="H335" i="4" s="1"/>
  <c r="G341" i="4"/>
  <c r="H341" i="4" s="1"/>
  <c r="G347" i="4"/>
  <c r="H347" i="4" s="1"/>
  <c r="G353" i="4"/>
  <c r="H353" i="4" s="1"/>
  <c r="G359" i="4"/>
  <c r="H359" i="4" s="1"/>
  <c r="G365" i="4"/>
  <c r="H365" i="4" s="1"/>
  <c r="G371" i="4"/>
  <c r="H371" i="4" s="1"/>
  <c r="G377" i="4"/>
  <c r="H377" i="4" s="1"/>
  <c r="G383" i="4"/>
  <c r="H383" i="4" s="1"/>
  <c r="G389" i="4"/>
  <c r="H389" i="4" s="1"/>
  <c r="G395" i="4"/>
  <c r="H395" i="4" s="1"/>
  <c r="G401" i="4"/>
  <c r="H401" i="4" s="1"/>
  <c r="G407" i="4"/>
  <c r="H407" i="4" s="1"/>
  <c r="G413" i="4"/>
  <c r="H413" i="4" s="1"/>
  <c r="G419" i="4"/>
  <c r="H419" i="4" s="1"/>
  <c r="G425" i="4"/>
  <c r="H425" i="4" s="1"/>
  <c r="G431" i="4"/>
  <c r="H431" i="4" s="1"/>
  <c r="G437" i="4"/>
  <c r="H437" i="4" s="1"/>
  <c r="G443" i="4"/>
  <c r="H443" i="4" s="1"/>
  <c r="G449" i="4"/>
  <c r="H449" i="4" s="1"/>
  <c r="G455" i="4"/>
  <c r="H455" i="4" s="1"/>
  <c r="G461" i="4"/>
  <c r="H461" i="4" s="1"/>
  <c r="G467" i="4"/>
  <c r="H467" i="4" s="1"/>
  <c r="G473" i="4"/>
  <c r="H473" i="4" s="1"/>
  <c r="G479" i="4"/>
  <c r="H479" i="4" s="1"/>
  <c r="G485" i="4"/>
  <c r="H485" i="4" s="1"/>
  <c r="G491" i="4"/>
  <c r="H491" i="4" s="1"/>
  <c r="G497" i="4"/>
  <c r="H497" i="4" s="1"/>
  <c r="G503" i="4"/>
  <c r="H503" i="4" s="1"/>
  <c r="G509" i="4"/>
  <c r="H509" i="4" s="1"/>
  <c r="G515" i="4"/>
  <c r="H515" i="4" s="1"/>
  <c r="G521" i="4"/>
  <c r="H521" i="4" s="1"/>
  <c r="G527" i="4"/>
  <c r="H527" i="4" s="1"/>
  <c r="G533" i="4"/>
  <c r="H533" i="4" s="1"/>
  <c r="G539" i="4"/>
  <c r="H539" i="4" s="1"/>
  <c r="G545" i="4"/>
  <c r="H545" i="4" s="1"/>
  <c r="G551" i="4"/>
  <c r="H551" i="4" s="1"/>
  <c r="G557" i="4"/>
  <c r="H557" i="4" s="1"/>
  <c r="G563" i="4"/>
  <c r="H563" i="4" s="1"/>
  <c r="G569" i="4"/>
  <c r="H569" i="4" s="1"/>
  <c r="G575" i="4"/>
  <c r="H575" i="4" s="1"/>
  <c r="G581" i="4"/>
  <c r="H581" i="4" s="1"/>
  <c r="G587" i="4"/>
  <c r="H587" i="4" s="1"/>
  <c r="G593" i="4"/>
  <c r="H593" i="4" s="1"/>
  <c r="G599" i="4"/>
  <c r="H599" i="4" s="1"/>
  <c r="G605" i="4"/>
  <c r="H605" i="4" s="1"/>
  <c r="G611" i="4"/>
  <c r="H611" i="4" s="1"/>
  <c r="G617" i="4"/>
  <c r="H617" i="4" s="1"/>
  <c r="G623" i="4"/>
  <c r="H623" i="4" s="1"/>
  <c r="G629" i="4"/>
  <c r="H629" i="4" s="1"/>
  <c r="G635" i="4"/>
  <c r="H635" i="4" s="1"/>
  <c r="G641" i="4"/>
  <c r="H641" i="4" s="1"/>
  <c r="G647" i="4"/>
  <c r="H647" i="4" s="1"/>
  <c r="G653" i="4"/>
  <c r="H653" i="4" s="1"/>
  <c r="G659" i="4"/>
  <c r="H659" i="4" s="1"/>
  <c r="G665" i="4"/>
  <c r="H665" i="4" s="1"/>
  <c r="G671" i="4"/>
  <c r="H671" i="4" s="1"/>
  <c r="G677" i="4"/>
  <c r="H677" i="4" s="1"/>
  <c r="G683" i="4"/>
  <c r="H683" i="4" s="1"/>
  <c r="G689" i="4"/>
  <c r="H689" i="4" s="1"/>
  <c r="G222" i="4"/>
  <c r="H222" i="4" s="1"/>
  <c r="G228" i="4"/>
  <c r="H228" i="4" s="1"/>
  <c r="G234" i="4"/>
  <c r="H234" i="4" s="1"/>
  <c r="G240" i="4"/>
  <c r="H240" i="4" s="1"/>
  <c r="G246" i="4"/>
  <c r="H246" i="4" s="1"/>
  <c r="G252" i="4"/>
  <c r="H252" i="4" s="1"/>
  <c r="G258" i="4"/>
  <c r="H258" i="4" s="1"/>
  <c r="G264" i="4"/>
  <c r="H264" i="4" s="1"/>
  <c r="G270" i="4"/>
  <c r="H270" i="4" s="1"/>
  <c r="G276" i="4"/>
  <c r="H276" i="4" s="1"/>
  <c r="G282" i="4"/>
  <c r="H282" i="4" s="1"/>
  <c r="G288" i="4"/>
  <c r="H288" i="4" s="1"/>
  <c r="G294" i="4"/>
  <c r="H294" i="4" s="1"/>
  <c r="G300" i="4"/>
  <c r="H300" i="4" s="1"/>
  <c r="G306" i="4"/>
  <c r="H306" i="4" s="1"/>
  <c r="G312" i="4"/>
  <c r="H312" i="4" s="1"/>
  <c r="G318" i="4"/>
  <c r="H318" i="4" s="1"/>
  <c r="G324" i="4"/>
  <c r="H324" i="4" s="1"/>
  <c r="G330" i="4"/>
  <c r="H330" i="4" s="1"/>
  <c r="G336" i="4"/>
  <c r="H336" i="4" s="1"/>
  <c r="G342" i="4"/>
  <c r="H342" i="4" s="1"/>
  <c r="G348" i="4"/>
  <c r="H348" i="4" s="1"/>
  <c r="G354" i="4"/>
  <c r="H354" i="4" s="1"/>
  <c r="G360" i="4"/>
  <c r="H360" i="4" s="1"/>
  <c r="G366" i="4"/>
  <c r="H366" i="4" s="1"/>
  <c r="G372" i="4"/>
  <c r="H372" i="4" s="1"/>
  <c r="G378" i="4"/>
  <c r="H378" i="4" s="1"/>
  <c r="G384" i="4"/>
  <c r="H384" i="4" s="1"/>
  <c r="G390" i="4"/>
  <c r="H390" i="4" s="1"/>
  <c r="G396" i="4"/>
  <c r="H396" i="4" s="1"/>
  <c r="G402" i="4"/>
  <c r="H402" i="4" s="1"/>
  <c r="G408" i="4"/>
  <c r="H408" i="4" s="1"/>
  <c r="G414" i="4"/>
  <c r="H414" i="4" s="1"/>
  <c r="G420" i="4"/>
  <c r="H420" i="4" s="1"/>
  <c r="G426" i="4"/>
  <c r="H426" i="4" s="1"/>
  <c r="G432" i="4"/>
  <c r="H432" i="4" s="1"/>
  <c r="G438" i="4"/>
  <c r="H438" i="4" s="1"/>
  <c r="G444" i="4"/>
  <c r="H444" i="4" s="1"/>
  <c r="G450" i="4"/>
  <c r="H450" i="4" s="1"/>
  <c r="G456" i="4"/>
  <c r="H456" i="4" s="1"/>
  <c r="G462" i="4"/>
  <c r="H462" i="4" s="1"/>
  <c r="G468" i="4"/>
  <c r="H468" i="4" s="1"/>
  <c r="G474" i="4"/>
  <c r="H474" i="4" s="1"/>
  <c r="G480" i="4"/>
  <c r="H480" i="4" s="1"/>
  <c r="G486" i="4"/>
  <c r="H486" i="4" s="1"/>
  <c r="G492" i="4"/>
  <c r="H492" i="4" s="1"/>
  <c r="G498" i="4"/>
  <c r="H498" i="4" s="1"/>
  <c r="G504" i="4"/>
  <c r="H504" i="4" s="1"/>
  <c r="G510" i="4"/>
  <c r="H510" i="4" s="1"/>
  <c r="G516" i="4"/>
  <c r="H516" i="4" s="1"/>
  <c r="G522" i="4"/>
  <c r="H522" i="4" s="1"/>
  <c r="G528" i="4"/>
  <c r="H528" i="4" s="1"/>
  <c r="G534" i="4"/>
  <c r="H534" i="4" s="1"/>
  <c r="G540" i="4"/>
  <c r="H540" i="4" s="1"/>
  <c r="G546" i="4"/>
  <c r="H546" i="4" s="1"/>
  <c r="G552" i="4"/>
  <c r="H552" i="4" s="1"/>
  <c r="G558" i="4"/>
  <c r="H558" i="4" s="1"/>
  <c r="G564" i="4"/>
  <c r="H564" i="4" s="1"/>
  <c r="G570" i="4"/>
  <c r="H570" i="4" s="1"/>
  <c r="G576" i="4"/>
  <c r="H576" i="4" s="1"/>
  <c r="G582" i="4"/>
  <c r="H582" i="4" s="1"/>
  <c r="G588" i="4"/>
  <c r="H588" i="4" s="1"/>
  <c r="G594" i="4"/>
  <c r="H594" i="4" s="1"/>
  <c r="G600" i="4"/>
  <c r="H600" i="4" s="1"/>
  <c r="G606" i="4"/>
  <c r="H606" i="4" s="1"/>
  <c r="G612" i="4"/>
  <c r="H612" i="4" s="1"/>
  <c r="G618" i="4"/>
  <c r="H618" i="4" s="1"/>
  <c r="G458" i="4"/>
  <c r="H458" i="4" s="1"/>
  <c r="G476" i="4"/>
  <c r="H476" i="4" s="1"/>
  <c r="G494" i="4"/>
  <c r="H494" i="4" s="1"/>
  <c r="G512" i="4"/>
  <c r="H512" i="4" s="1"/>
  <c r="G524" i="4"/>
  <c r="H524" i="4" s="1"/>
  <c r="G536" i="4"/>
  <c r="H536" i="4" s="1"/>
  <c r="G548" i="4"/>
  <c r="H548" i="4" s="1"/>
  <c r="G560" i="4"/>
  <c r="H560" i="4" s="1"/>
  <c r="G572" i="4"/>
  <c r="H572" i="4" s="1"/>
  <c r="G584" i="4"/>
  <c r="H584" i="4" s="1"/>
  <c r="G596" i="4"/>
  <c r="H596" i="4" s="1"/>
  <c r="G608" i="4"/>
  <c r="H608" i="4" s="1"/>
  <c r="G620" i="4"/>
  <c r="H620" i="4" s="1"/>
  <c r="G630" i="4"/>
  <c r="H630" i="4" s="1"/>
  <c r="G638" i="4"/>
  <c r="H638" i="4" s="1"/>
  <c r="G648" i="4"/>
  <c r="H648" i="4" s="1"/>
  <c r="G656" i="4"/>
  <c r="H656" i="4" s="1"/>
  <c r="G666" i="4"/>
  <c r="H666" i="4" s="1"/>
  <c r="G674" i="4"/>
  <c r="H674" i="4" s="1"/>
  <c r="G684" i="4"/>
  <c r="H684" i="4" s="1"/>
  <c r="G692" i="4"/>
  <c r="H692" i="4" s="1"/>
  <c r="G699" i="4"/>
  <c r="H699" i="4" s="1"/>
  <c r="G705" i="4"/>
  <c r="H705" i="4" s="1"/>
  <c r="G711" i="4"/>
  <c r="H711" i="4" s="1"/>
  <c r="G717" i="4"/>
  <c r="H717" i="4" s="1"/>
  <c r="G723" i="4"/>
  <c r="H723" i="4" s="1"/>
  <c r="G729" i="4"/>
  <c r="H729" i="4" s="1"/>
  <c r="G735" i="4"/>
  <c r="H735" i="4" s="1"/>
  <c r="G741" i="4"/>
  <c r="H741" i="4" s="1"/>
  <c r="G747" i="4"/>
  <c r="H747" i="4" s="1"/>
  <c r="G753" i="4"/>
  <c r="H753" i="4" s="1"/>
  <c r="G759" i="4"/>
  <c r="H759" i="4" s="1"/>
  <c r="G765" i="4"/>
  <c r="H765" i="4" s="1"/>
  <c r="G771" i="4"/>
  <c r="H771" i="4" s="1"/>
  <c r="G777" i="4"/>
  <c r="H777" i="4" s="1"/>
  <c r="G783" i="4"/>
  <c r="H783" i="4" s="1"/>
  <c r="G789" i="4"/>
  <c r="H789" i="4" s="1"/>
  <c r="G795" i="4"/>
  <c r="H795" i="4" s="1"/>
  <c r="G801" i="4"/>
  <c r="H801" i="4" s="1"/>
  <c r="G807" i="4"/>
  <c r="H807" i="4" s="1"/>
  <c r="G813" i="4"/>
  <c r="H813" i="4" s="1"/>
  <c r="G819" i="4"/>
  <c r="H819" i="4" s="1"/>
  <c r="G825" i="4"/>
  <c r="H825" i="4" s="1"/>
  <c r="G831" i="4"/>
  <c r="H831" i="4" s="1"/>
  <c r="G837" i="4"/>
  <c r="H837" i="4" s="1"/>
  <c r="G843" i="4"/>
  <c r="H843" i="4" s="1"/>
  <c r="G849" i="4"/>
  <c r="H849" i="4" s="1"/>
  <c r="G855" i="4"/>
  <c r="H855" i="4" s="1"/>
  <c r="G861" i="4"/>
  <c r="H861" i="4" s="1"/>
  <c r="G867" i="4"/>
  <c r="H867" i="4" s="1"/>
  <c r="G873" i="4"/>
  <c r="H873" i="4" s="1"/>
  <c r="G879" i="4"/>
  <c r="H879" i="4" s="1"/>
  <c r="G885" i="4"/>
  <c r="H885" i="4" s="1"/>
  <c r="G891" i="4"/>
  <c r="H891" i="4" s="1"/>
  <c r="G897" i="4"/>
  <c r="H897" i="4" s="1"/>
  <c r="G903" i="4"/>
  <c r="H903" i="4" s="1"/>
  <c r="G909" i="4"/>
  <c r="H909" i="4" s="1"/>
  <c r="G915" i="4"/>
  <c r="H915" i="4" s="1"/>
  <c r="G921" i="4"/>
  <c r="H921" i="4" s="1"/>
  <c r="G927" i="4"/>
  <c r="H927" i="4" s="1"/>
  <c r="G933" i="4"/>
  <c r="H933" i="4" s="1"/>
  <c r="G939" i="4"/>
  <c r="H939" i="4" s="1"/>
  <c r="G945" i="4"/>
  <c r="H945" i="4" s="1"/>
  <c r="G951" i="4"/>
  <c r="H951" i="4" s="1"/>
  <c r="G957" i="4"/>
  <c r="H957" i="4" s="1"/>
  <c r="G963" i="4"/>
  <c r="H963" i="4" s="1"/>
  <c r="G969" i="4"/>
  <c r="H969" i="4" s="1"/>
  <c r="G975" i="4"/>
  <c r="H975" i="4" s="1"/>
  <c r="G981" i="4"/>
  <c r="H981" i="4" s="1"/>
  <c r="G987" i="4"/>
  <c r="H987" i="4" s="1"/>
  <c r="G993" i="4"/>
  <c r="H993" i="4" s="1"/>
  <c r="G999" i="4"/>
  <c r="H999" i="4" s="1"/>
  <c r="G1005" i="4"/>
  <c r="H1005" i="4" s="1"/>
  <c r="G1011" i="4"/>
  <c r="H1011" i="4" s="1"/>
  <c r="G1017" i="4"/>
  <c r="H1017" i="4" s="1"/>
  <c r="G1023" i="4"/>
  <c r="H1023" i="4" s="1"/>
  <c r="G1029" i="4"/>
  <c r="H1029" i="4" s="1"/>
  <c r="G1035" i="4"/>
  <c r="H1035" i="4" s="1"/>
  <c r="G1041" i="4"/>
  <c r="H1041" i="4" s="1"/>
  <c r="G1047" i="4"/>
  <c r="H1047" i="4" s="1"/>
  <c r="G1053" i="4"/>
  <c r="H1053" i="4" s="1"/>
  <c r="G1059" i="4"/>
  <c r="H1059" i="4" s="1"/>
  <c r="G1065" i="4"/>
  <c r="H1065" i="4" s="1"/>
  <c r="G1071" i="4"/>
  <c r="H1071" i="4" s="1"/>
  <c r="G1077" i="4"/>
  <c r="H1077" i="4" s="1"/>
  <c r="G459" i="4"/>
  <c r="H459" i="4" s="1"/>
  <c r="G477" i="4"/>
  <c r="H477" i="4" s="1"/>
  <c r="G495" i="4"/>
  <c r="H495" i="4" s="1"/>
  <c r="G513" i="4"/>
  <c r="H513" i="4" s="1"/>
  <c r="G525" i="4"/>
  <c r="H525" i="4" s="1"/>
  <c r="G537" i="4"/>
  <c r="H537" i="4" s="1"/>
  <c r="G549" i="4"/>
  <c r="H549" i="4" s="1"/>
  <c r="G561" i="4"/>
  <c r="H561" i="4" s="1"/>
  <c r="G573" i="4"/>
  <c r="H573" i="4" s="1"/>
  <c r="G585" i="4"/>
  <c r="H585" i="4" s="1"/>
  <c r="G597" i="4"/>
  <c r="H597" i="4" s="1"/>
  <c r="G609" i="4"/>
  <c r="H609" i="4" s="1"/>
  <c r="G621" i="4"/>
  <c r="H621" i="4" s="1"/>
  <c r="G631" i="4"/>
  <c r="H631" i="4" s="1"/>
  <c r="G639" i="4"/>
  <c r="H639" i="4" s="1"/>
  <c r="G649" i="4"/>
  <c r="H649" i="4" s="1"/>
  <c r="G657" i="4"/>
  <c r="H657" i="4" s="1"/>
  <c r="G667" i="4"/>
  <c r="H667" i="4" s="1"/>
  <c r="G675" i="4"/>
  <c r="H675" i="4" s="1"/>
  <c r="G685" i="4"/>
  <c r="H685" i="4" s="1"/>
  <c r="G693" i="4"/>
  <c r="H693" i="4" s="1"/>
  <c r="G700" i="4"/>
  <c r="H700" i="4" s="1"/>
  <c r="G706" i="4"/>
  <c r="H706" i="4" s="1"/>
  <c r="G712" i="4"/>
  <c r="H712" i="4" s="1"/>
  <c r="G718" i="4"/>
  <c r="H718" i="4" s="1"/>
  <c r="G724" i="4"/>
  <c r="H724" i="4" s="1"/>
  <c r="G730" i="4"/>
  <c r="H730" i="4" s="1"/>
  <c r="G736" i="4"/>
  <c r="H736" i="4" s="1"/>
  <c r="G742" i="4"/>
  <c r="H742" i="4" s="1"/>
  <c r="G748" i="4"/>
  <c r="H748" i="4" s="1"/>
  <c r="G754" i="4"/>
  <c r="H754" i="4" s="1"/>
  <c r="G760" i="4"/>
  <c r="H760" i="4" s="1"/>
  <c r="G766" i="4"/>
  <c r="H766" i="4" s="1"/>
  <c r="G772" i="4"/>
  <c r="H772" i="4" s="1"/>
  <c r="G778" i="4"/>
  <c r="H778" i="4" s="1"/>
  <c r="G784" i="4"/>
  <c r="H784" i="4" s="1"/>
  <c r="G790" i="4"/>
  <c r="H790" i="4" s="1"/>
  <c r="G796" i="4"/>
  <c r="H796" i="4" s="1"/>
  <c r="G802" i="4"/>
  <c r="H802" i="4" s="1"/>
  <c r="G808" i="4"/>
  <c r="H808" i="4" s="1"/>
  <c r="G814" i="4"/>
  <c r="H814" i="4" s="1"/>
  <c r="G820" i="4"/>
  <c r="H820" i="4" s="1"/>
  <c r="G826" i="4"/>
  <c r="H826" i="4" s="1"/>
  <c r="G832" i="4"/>
  <c r="H832" i="4" s="1"/>
  <c r="G838" i="4"/>
  <c r="H838" i="4" s="1"/>
  <c r="G844" i="4"/>
  <c r="H844" i="4" s="1"/>
  <c r="G850" i="4"/>
  <c r="H850" i="4" s="1"/>
  <c r="G464" i="4"/>
  <c r="H464" i="4" s="1"/>
  <c r="G482" i="4"/>
  <c r="H482" i="4" s="1"/>
  <c r="G500" i="4"/>
  <c r="H500" i="4" s="1"/>
  <c r="G517" i="4"/>
  <c r="H517" i="4" s="1"/>
  <c r="G529" i="4"/>
  <c r="H529" i="4" s="1"/>
  <c r="G541" i="4"/>
  <c r="H541" i="4" s="1"/>
  <c r="G553" i="4"/>
  <c r="H553" i="4" s="1"/>
  <c r="G565" i="4"/>
  <c r="H565" i="4" s="1"/>
  <c r="G577" i="4"/>
  <c r="H577" i="4" s="1"/>
  <c r="G589" i="4"/>
  <c r="H589" i="4" s="1"/>
  <c r="G601" i="4"/>
  <c r="H601" i="4" s="1"/>
  <c r="G613" i="4"/>
  <c r="H613" i="4" s="1"/>
  <c r="G624" i="4"/>
  <c r="H624" i="4" s="1"/>
  <c r="G632" i="4"/>
  <c r="H632" i="4" s="1"/>
  <c r="G642" i="4"/>
  <c r="H642" i="4" s="1"/>
  <c r="G650" i="4"/>
  <c r="H650" i="4" s="1"/>
  <c r="G660" i="4"/>
  <c r="H660" i="4" s="1"/>
  <c r="G668" i="4"/>
  <c r="H668" i="4" s="1"/>
  <c r="G678" i="4"/>
  <c r="H678" i="4" s="1"/>
  <c r="G686" i="4"/>
  <c r="H686" i="4" s="1"/>
  <c r="G695" i="4"/>
  <c r="H695" i="4" s="1"/>
  <c r="G701" i="4"/>
  <c r="H701" i="4" s="1"/>
  <c r="G707" i="4"/>
  <c r="H707" i="4" s="1"/>
  <c r="G713" i="4"/>
  <c r="H713" i="4" s="1"/>
  <c r="G719" i="4"/>
  <c r="H719" i="4" s="1"/>
  <c r="G725" i="4"/>
  <c r="H725" i="4" s="1"/>
  <c r="G731" i="4"/>
  <c r="H731" i="4" s="1"/>
  <c r="G737" i="4"/>
  <c r="H737" i="4" s="1"/>
  <c r="G743" i="4"/>
  <c r="H743" i="4" s="1"/>
  <c r="G749" i="4"/>
  <c r="H749" i="4" s="1"/>
  <c r="G755" i="4"/>
  <c r="H755" i="4" s="1"/>
  <c r="G761" i="4"/>
  <c r="H761" i="4" s="1"/>
  <c r="G767" i="4"/>
  <c r="H767" i="4" s="1"/>
  <c r="G773" i="4"/>
  <c r="H773" i="4" s="1"/>
  <c r="G779" i="4"/>
  <c r="H779" i="4" s="1"/>
  <c r="G785" i="4"/>
  <c r="H785" i="4" s="1"/>
  <c r="G791" i="4"/>
  <c r="H791" i="4" s="1"/>
  <c r="G797" i="4"/>
  <c r="H797" i="4" s="1"/>
  <c r="G803" i="4"/>
  <c r="H803" i="4" s="1"/>
  <c r="G809" i="4"/>
  <c r="H809" i="4" s="1"/>
  <c r="G815" i="4"/>
  <c r="H815" i="4" s="1"/>
  <c r="G821" i="4"/>
  <c r="H821" i="4" s="1"/>
  <c r="G827" i="4"/>
  <c r="H827" i="4" s="1"/>
  <c r="G833" i="4"/>
  <c r="H833" i="4" s="1"/>
  <c r="G839" i="4"/>
  <c r="H839" i="4" s="1"/>
  <c r="G845" i="4"/>
  <c r="H845" i="4" s="1"/>
  <c r="G851" i="4"/>
  <c r="H851" i="4" s="1"/>
  <c r="G465" i="4"/>
  <c r="H465" i="4" s="1"/>
  <c r="G483" i="4"/>
  <c r="H483" i="4" s="1"/>
  <c r="G501" i="4"/>
  <c r="H501" i="4" s="1"/>
  <c r="G518" i="4"/>
  <c r="H518" i="4" s="1"/>
  <c r="G530" i="4"/>
  <c r="H530" i="4" s="1"/>
  <c r="G542" i="4"/>
  <c r="H542" i="4" s="1"/>
  <c r="G554" i="4"/>
  <c r="H554" i="4" s="1"/>
  <c r="G566" i="4"/>
  <c r="H566" i="4" s="1"/>
  <c r="G578" i="4"/>
  <c r="H578" i="4" s="1"/>
  <c r="G590" i="4"/>
  <c r="H590" i="4" s="1"/>
  <c r="G602" i="4"/>
  <c r="H602" i="4" s="1"/>
  <c r="G614" i="4"/>
  <c r="H614" i="4" s="1"/>
  <c r="G625" i="4"/>
  <c r="H625" i="4" s="1"/>
  <c r="G633" i="4"/>
  <c r="H633" i="4" s="1"/>
  <c r="G643" i="4"/>
  <c r="H643" i="4" s="1"/>
  <c r="G651" i="4"/>
  <c r="H651" i="4" s="1"/>
  <c r="G661" i="4"/>
  <c r="H661" i="4" s="1"/>
  <c r="G669" i="4"/>
  <c r="H669" i="4" s="1"/>
  <c r="G679" i="4"/>
  <c r="H679" i="4" s="1"/>
  <c r="G687" i="4"/>
  <c r="H687" i="4" s="1"/>
  <c r="G696" i="4"/>
  <c r="H696" i="4" s="1"/>
  <c r="G702" i="4"/>
  <c r="H702" i="4" s="1"/>
  <c r="G708" i="4"/>
  <c r="H708" i="4" s="1"/>
  <c r="G714" i="4"/>
  <c r="H714" i="4" s="1"/>
  <c r="G720" i="4"/>
  <c r="H720" i="4" s="1"/>
  <c r="G726" i="4"/>
  <c r="H726" i="4" s="1"/>
  <c r="G732" i="4"/>
  <c r="H732" i="4" s="1"/>
  <c r="G738" i="4"/>
  <c r="H738" i="4" s="1"/>
  <c r="G744" i="4"/>
  <c r="H744" i="4" s="1"/>
  <c r="G750" i="4"/>
  <c r="H750" i="4" s="1"/>
  <c r="G756" i="4"/>
  <c r="H756" i="4" s="1"/>
  <c r="G762" i="4"/>
  <c r="H762" i="4" s="1"/>
  <c r="G768" i="4"/>
  <c r="H768" i="4" s="1"/>
  <c r="G774" i="4"/>
  <c r="H774" i="4" s="1"/>
  <c r="G780" i="4"/>
  <c r="H780" i="4" s="1"/>
  <c r="G786" i="4"/>
  <c r="H786" i="4" s="1"/>
  <c r="G792" i="4"/>
  <c r="H792" i="4" s="1"/>
  <c r="G798" i="4"/>
  <c r="H798" i="4" s="1"/>
  <c r="G804" i="4"/>
  <c r="H804" i="4" s="1"/>
  <c r="G810" i="4"/>
  <c r="H810" i="4" s="1"/>
  <c r="G816" i="4"/>
  <c r="H816" i="4" s="1"/>
  <c r="G822" i="4"/>
  <c r="H822" i="4" s="1"/>
  <c r="G828" i="4"/>
  <c r="H828" i="4" s="1"/>
  <c r="G834" i="4"/>
  <c r="H834" i="4" s="1"/>
  <c r="G840" i="4"/>
  <c r="H840" i="4" s="1"/>
  <c r="G452" i="4"/>
  <c r="H452" i="4" s="1"/>
  <c r="G470" i="4"/>
  <c r="H470" i="4" s="1"/>
  <c r="G488" i="4"/>
  <c r="H488" i="4" s="1"/>
  <c r="G506" i="4"/>
  <c r="H506" i="4" s="1"/>
  <c r="G519" i="4"/>
  <c r="H519" i="4" s="1"/>
  <c r="G531" i="4"/>
  <c r="H531" i="4" s="1"/>
  <c r="G543" i="4"/>
  <c r="H543" i="4" s="1"/>
  <c r="G555" i="4"/>
  <c r="H555" i="4" s="1"/>
  <c r="G567" i="4"/>
  <c r="H567" i="4" s="1"/>
  <c r="G579" i="4"/>
  <c r="H579" i="4" s="1"/>
  <c r="G591" i="4"/>
  <c r="H591" i="4" s="1"/>
  <c r="G603" i="4"/>
  <c r="H603" i="4" s="1"/>
  <c r="G615" i="4"/>
  <c r="H615" i="4" s="1"/>
  <c r="G626" i="4"/>
  <c r="H626" i="4" s="1"/>
  <c r="G636" i="4"/>
  <c r="H636" i="4" s="1"/>
  <c r="G644" i="4"/>
  <c r="H644" i="4" s="1"/>
  <c r="G654" i="4"/>
  <c r="H654" i="4" s="1"/>
  <c r="G662" i="4"/>
  <c r="H662" i="4" s="1"/>
  <c r="G672" i="4"/>
  <c r="H672" i="4" s="1"/>
  <c r="G680" i="4"/>
  <c r="H680" i="4" s="1"/>
  <c r="G690" i="4"/>
  <c r="H690" i="4" s="1"/>
  <c r="G697" i="4"/>
  <c r="H697" i="4" s="1"/>
  <c r="G703" i="4"/>
  <c r="H703" i="4" s="1"/>
  <c r="G709" i="4"/>
  <c r="H709" i="4" s="1"/>
  <c r="G715" i="4"/>
  <c r="H715" i="4" s="1"/>
  <c r="G721" i="4"/>
  <c r="H721" i="4" s="1"/>
  <c r="G727" i="4"/>
  <c r="H727" i="4" s="1"/>
  <c r="G733" i="4"/>
  <c r="H733" i="4" s="1"/>
  <c r="G739" i="4"/>
  <c r="H739" i="4" s="1"/>
  <c r="G745" i="4"/>
  <c r="H745" i="4" s="1"/>
  <c r="G751" i="4"/>
  <c r="H751" i="4" s="1"/>
  <c r="G757" i="4"/>
  <c r="H757" i="4" s="1"/>
  <c r="G763" i="4"/>
  <c r="H763" i="4" s="1"/>
  <c r="G769" i="4"/>
  <c r="H769" i="4" s="1"/>
  <c r="G775" i="4"/>
  <c r="H775" i="4" s="1"/>
  <c r="G781" i="4"/>
  <c r="H781" i="4" s="1"/>
  <c r="G787" i="4"/>
  <c r="H787" i="4" s="1"/>
  <c r="G793" i="4"/>
  <c r="H793" i="4" s="1"/>
  <c r="G799" i="4"/>
  <c r="H799" i="4" s="1"/>
  <c r="G805" i="4"/>
  <c r="H805" i="4" s="1"/>
  <c r="G811" i="4"/>
  <c r="H811" i="4" s="1"/>
  <c r="G817" i="4"/>
  <c r="H817" i="4" s="1"/>
  <c r="G823" i="4"/>
  <c r="H823" i="4" s="1"/>
  <c r="G829" i="4"/>
  <c r="H829" i="4" s="1"/>
  <c r="G835" i="4"/>
  <c r="H835" i="4" s="1"/>
  <c r="G841" i="4"/>
  <c r="H841" i="4" s="1"/>
  <c r="G847" i="4"/>
  <c r="H847" i="4" s="1"/>
  <c r="G853" i="4"/>
  <c r="H853" i="4" s="1"/>
  <c r="G859" i="4"/>
  <c r="H859" i="4" s="1"/>
  <c r="G865" i="4"/>
  <c r="H865" i="4" s="1"/>
  <c r="G871" i="4"/>
  <c r="H871" i="4" s="1"/>
  <c r="G877" i="4"/>
  <c r="H877" i="4" s="1"/>
  <c r="G883" i="4"/>
  <c r="H883" i="4" s="1"/>
  <c r="G889" i="4"/>
  <c r="H889" i="4" s="1"/>
  <c r="G895" i="4"/>
  <c r="H895" i="4" s="1"/>
  <c r="G901" i="4"/>
  <c r="H901" i="4" s="1"/>
  <c r="G907" i="4"/>
  <c r="H907" i="4" s="1"/>
  <c r="G913" i="4"/>
  <c r="H913" i="4" s="1"/>
  <c r="G919" i="4"/>
  <c r="H919" i="4" s="1"/>
  <c r="G925" i="4"/>
  <c r="H925" i="4" s="1"/>
  <c r="G931" i="4"/>
  <c r="H931" i="4" s="1"/>
  <c r="G937" i="4"/>
  <c r="H937" i="4" s="1"/>
  <c r="G943" i="4"/>
  <c r="H943" i="4" s="1"/>
  <c r="G949" i="4"/>
  <c r="H949" i="4" s="1"/>
  <c r="G955" i="4"/>
  <c r="H955" i="4" s="1"/>
  <c r="G961" i="4"/>
  <c r="H961" i="4" s="1"/>
  <c r="G967" i="4"/>
  <c r="H967" i="4" s="1"/>
  <c r="G973" i="4"/>
  <c r="H973" i="4" s="1"/>
  <c r="G979" i="4"/>
  <c r="H979" i="4" s="1"/>
  <c r="G985" i="4"/>
  <c r="H985" i="4" s="1"/>
  <c r="G991" i="4"/>
  <c r="H991" i="4" s="1"/>
  <c r="G997" i="4"/>
  <c r="H997" i="4" s="1"/>
  <c r="G1003" i="4"/>
  <c r="H1003" i="4" s="1"/>
  <c r="G1009" i="4"/>
  <c r="H1009" i="4" s="1"/>
  <c r="G1015" i="4"/>
  <c r="H1015" i="4" s="1"/>
  <c r="G1021" i="4"/>
  <c r="H1021" i="4" s="1"/>
  <c r="G1027" i="4"/>
  <c r="H1027" i="4" s="1"/>
  <c r="G1033" i="4"/>
  <c r="H1033" i="4" s="1"/>
  <c r="G1039" i="4"/>
  <c r="H1039" i="4" s="1"/>
  <c r="G1045" i="4"/>
  <c r="H1045" i="4" s="1"/>
  <c r="G1051" i="4"/>
  <c r="H1051" i="4" s="1"/>
  <c r="G1057" i="4"/>
  <c r="H1057" i="4" s="1"/>
  <c r="G1063" i="4"/>
  <c r="H1063" i="4" s="1"/>
  <c r="G1069" i="4"/>
  <c r="H1069" i="4" s="1"/>
  <c r="G1075" i="4"/>
  <c r="H1075" i="4" s="1"/>
  <c r="G453" i="4"/>
  <c r="H453" i="4" s="1"/>
  <c r="G471" i="4"/>
  <c r="H471" i="4" s="1"/>
  <c r="G489" i="4"/>
  <c r="H489" i="4" s="1"/>
  <c r="G507" i="4"/>
  <c r="H507" i="4" s="1"/>
  <c r="G523" i="4"/>
  <c r="H523" i="4" s="1"/>
  <c r="G535" i="4"/>
  <c r="H535" i="4" s="1"/>
  <c r="G547" i="4"/>
  <c r="H547" i="4" s="1"/>
  <c r="G559" i="4"/>
  <c r="H559" i="4" s="1"/>
  <c r="G571" i="4"/>
  <c r="H571" i="4" s="1"/>
  <c r="G583" i="4"/>
  <c r="H583" i="4" s="1"/>
  <c r="G595" i="4"/>
  <c r="H595" i="4" s="1"/>
  <c r="G607" i="4"/>
  <c r="H607" i="4" s="1"/>
  <c r="G619" i="4"/>
  <c r="H619" i="4" s="1"/>
  <c r="G627" i="4"/>
  <c r="H627" i="4" s="1"/>
  <c r="G637" i="4"/>
  <c r="H637" i="4" s="1"/>
  <c r="G645" i="4"/>
  <c r="H645" i="4" s="1"/>
  <c r="G655" i="4"/>
  <c r="H655" i="4" s="1"/>
  <c r="G663" i="4"/>
  <c r="H663" i="4" s="1"/>
  <c r="G673" i="4"/>
  <c r="H673" i="4" s="1"/>
  <c r="G681" i="4"/>
  <c r="H681" i="4" s="1"/>
  <c r="G691" i="4"/>
  <c r="H691" i="4" s="1"/>
  <c r="G698" i="4"/>
  <c r="H698" i="4" s="1"/>
  <c r="G704" i="4"/>
  <c r="H704" i="4" s="1"/>
  <c r="G710" i="4"/>
  <c r="H710" i="4" s="1"/>
  <c r="G716" i="4"/>
  <c r="H716" i="4" s="1"/>
  <c r="G722" i="4"/>
  <c r="H722" i="4" s="1"/>
  <c r="G728" i="4"/>
  <c r="H728" i="4" s="1"/>
  <c r="G734" i="4"/>
  <c r="H734" i="4" s="1"/>
  <c r="G740" i="4"/>
  <c r="H740" i="4" s="1"/>
  <c r="G746" i="4"/>
  <c r="H746" i="4" s="1"/>
  <c r="G752" i="4"/>
  <c r="H752" i="4" s="1"/>
  <c r="G758" i="4"/>
  <c r="H758" i="4" s="1"/>
  <c r="G764" i="4"/>
  <c r="H764" i="4" s="1"/>
  <c r="G770" i="4"/>
  <c r="H770" i="4" s="1"/>
  <c r="G776" i="4"/>
  <c r="H776" i="4" s="1"/>
  <c r="G782" i="4"/>
  <c r="H782" i="4" s="1"/>
  <c r="G788" i="4"/>
  <c r="H788" i="4" s="1"/>
  <c r="G794" i="4"/>
  <c r="H794" i="4" s="1"/>
  <c r="G800" i="4"/>
  <c r="H800" i="4" s="1"/>
  <c r="G806" i="4"/>
  <c r="H806" i="4" s="1"/>
  <c r="G812" i="4"/>
  <c r="H812" i="4" s="1"/>
  <c r="G818" i="4"/>
  <c r="H818" i="4" s="1"/>
  <c r="G824" i="4"/>
  <c r="H824" i="4" s="1"/>
  <c r="G830" i="4"/>
  <c r="H830" i="4" s="1"/>
  <c r="G836" i="4"/>
  <c r="H836" i="4" s="1"/>
  <c r="G842" i="4"/>
  <c r="H842" i="4" s="1"/>
  <c r="G848" i="4"/>
  <c r="H848" i="4" s="1"/>
  <c r="G854" i="4"/>
  <c r="H854" i="4" s="1"/>
  <c r="G860" i="4"/>
  <c r="H860" i="4" s="1"/>
  <c r="G866" i="4"/>
  <c r="H866" i="4" s="1"/>
  <c r="G872" i="4"/>
  <c r="H872" i="4" s="1"/>
  <c r="G878" i="4"/>
  <c r="H878" i="4" s="1"/>
  <c r="G884" i="4"/>
  <c r="H884" i="4" s="1"/>
  <c r="G890" i="4"/>
  <c r="H890" i="4" s="1"/>
  <c r="G896" i="4"/>
  <c r="H896" i="4" s="1"/>
  <c r="G902" i="4"/>
  <c r="H902" i="4" s="1"/>
  <c r="G908" i="4"/>
  <c r="H908" i="4" s="1"/>
  <c r="G914" i="4"/>
  <c r="H914" i="4" s="1"/>
  <c r="G920" i="4"/>
  <c r="H920" i="4" s="1"/>
  <c r="G926" i="4"/>
  <c r="H926" i="4" s="1"/>
  <c r="G932" i="4"/>
  <c r="H932" i="4" s="1"/>
  <c r="G938" i="4"/>
  <c r="H938" i="4" s="1"/>
  <c r="G944" i="4"/>
  <c r="H944" i="4" s="1"/>
  <c r="G950" i="4"/>
  <c r="H950" i="4" s="1"/>
  <c r="G956" i="4"/>
  <c r="H956" i="4" s="1"/>
  <c r="G962" i="4"/>
  <c r="H962" i="4" s="1"/>
  <c r="G968" i="4"/>
  <c r="H968" i="4" s="1"/>
  <c r="G974" i="4"/>
  <c r="H974" i="4" s="1"/>
  <c r="G980" i="4"/>
  <c r="H980" i="4" s="1"/>
  <c r="G986" i="4"/>
  <c r="H986" i="4" s="1"/>
  <c r="G992" i="4"/>
  <c r="H992" i="4" s="1"/>
  <c r="G998" i="4"/>
  <c r="H998" i="4" s="1"/>
  <c r="G1004" i="4"/>
  <c r="H1004" i="4" s="1"/>
  <c r="G1010" i="4"/>
  <c r="H1010" i="4" s="1"/>
  <c r="G1016" i="4"/>
  <c r="H1016" i="4" s="1"/>
  <c r="G1022" i="4"/>
  <c r="H1022" i="4" s="1"/>
  <c r="G1028" i="4"/>
  <c r="H1028" i="4" s="1"/>
  <c r="G1034" i="4"/>
  <c r="H1034" i="4" s="1"/>
  <c r="G1040" i="4"/>
  <c r="H1040" i="4" s="1"/>
  <c r="G1046" i="4"/>
  <c r="H1046" i="4" s="1"/>
  <c r="G1052" i="4"/>
  <c r="H1052" i="4" s="1"/>
  <c r="G1058" i="4"/>
  <c r="H1058" i="4" s="1"/>
  <c r="G1064" i="4"/>
  <c r="H1064" i="4" s="1"/>
  <c r="G1070" i="4"/>
  <c r="H1070" i="4" s="1"/>
  <c r="G856" i="4"/>
  <c r="H856" i="4" s="1"/>
  <c r="G868" i="4"/>
  <c r="H868" i="4" s="1"/>
  <c r="G880" i="4"/>
  <c r="H880" i="4" s="1"/>
  <c r="G892" i="4"/>
  <c r="H892" i="4" s="1"/>
  <c r="G904" i="4"/>
  <c r="H904" i="4" s="1"/>
  <c r="G916" i="4"/>
  <c r="H916" i="4" s="1"/>
  <c r="G928" i="4"/>
  <c r="H928" i="4" s="1"/>
  <c r="G940" i="4"/>
  <c r="H940" i="4" s="1"/>
  <c r="G952" i="4"/>
  <c r="H952" i="4" s="1"/>
  <c r="G964" i="4"/>
  <c r="H964" i="4" s="1"/>
  <c r="G976" i="4"/>
  <c r="H976" i="4" s="1"/>
  <c r="G988" i="4"/>
  <c r="H988" i="4" s="1"/>
  <c r="G1000" i="4"/>
  <c r="H1000" i="4" s="1"/>
  <c r="G1012" i="4"/>
  <c r="H1012" i="4" s="1"/>
  <c r="G1024" i="4"/>
  <c r="H1024" i="4" s="1"/>
  <c r="G1036" i="4"/>
  <c r="H1036" i="4" s="1"/>
  <c r="G1048" i="4"/>
  <c r="H1048" i="4" s="1"/>
  <c r="G1060" i="4"/>
  <c r="H1060" i="4" s="1"/>
  <c r="G1072" i="4"/>
  <c r="H1072" i="4" s="1"/>
  <c r="G1080" i="4"/>
  <c r="H1080" i="4" s="1"/>
  <c r="G1086" i="4"/>
  <c r="H1086" i="4" s="1"/>
  <c r="G1092" i="4"/>
  <c r="H1092" i="4" s="1"/>
  <c r="G1098" i="4"/>
  <c r="H1098" i="4" s="1"/>
  <c r="G1104" i="4"/>
  <c r="H1104" i="4" s="1"/>
  <c r="G1110" i="4"/>
  <c r="H1110" i="4" s="1"/>
  <c r="G1116" i="4"/>
  <c r="H1116" i="4" s="1"/>
  <c r="G1122" i="4"/>
  <c r="H1122" i="4" s="1"/>
  <c r="G1128" i="4"/>
  <c r="H1128" i="4" s="1"/>
  <c r="G1134" i="4"/>
  <c r="H1134" i="4" s="1"/>
  <c r="G1140" i="4"/>
  <c r="H1140" i="4" s="1"/>
  <c r="G1146" i="4"/>
  <c r="H1146" i="4" s="1"/>
  <c r="G1152" i="4"/>
  <c r="H1152" i="4" s="1"/>
  <c r="G1158" i="4"/>
  <c r="H1158" i="4" s="1"/>
  <c r="G1164" i="4"/>
  <c r="H1164" i="4" s="1"/>
  <c r="G1170" i="4"/>
  <c r="H1170" i="4" s="1"/>
  <c r="G1176" i="4"/>
  <c r="H1176" i="4" s="1"/>
  <c r="G1182" i="4"/>
  <c r="H1182" i="4" s="1"/>
  <c r="G1188" i="4"/>
  <c r="H1188" i="4" s="1"/>
  <c r="G1194" i="4"/>
  <c r="H1194" i="4" s="1"/>
  <c r="G1200" i="4"/>
  <c r="H1200" i="4" s="1"/>
  <c r="G1206" i="4"/>
  <c r="H1206" i="4" s="1"/>
  <c r="G1212" i="4"/>
  <c r="H1212" i="4" s="1"/>
  <c r="G1218" i="4"/>
  <c r="H1218" i="4" s="1"/>
  <c r="G1224" i="4"/>
  <c r="H1224" i="4" s="1"/>
  <c r="G1230" i="4"/>
  <c r="H1230" i="4" s="1"/>
  <c r="G1236" i="4"/>
  <c r="H1236" i="4" s="1"/>
  <c r="G1242" i="4"/>
  <c r="H1242" i="4" s="1"/>
  <c r="G1248" i="4"/>
  <c r="H1248" i="4" s="1"/>
  <c r="G1254" i="4"/>
  <c r="H1254" i="4" s="1"/>
  <c r="G1260" i="4"/>
  <c r="H1260" i="4" s="1"/>
  <c r="G1266" i="4"/>
  <c r="H1266" i="4" s="1"/>
  <c r="G1272" i="4"/>
  <c r="H1272" i="4" s="1"/>
  <c r="G1278" i="4"/>
  <c r="H1278" i="4" s="1"/>
  <c r="G1284" i="4"/>
  <c r="H1284" i="4" s="1"/>
  <c r="G1290" i="4"/>
  <c r="H1290" i="4" s="1"/>
  <c r="G1296" i="4"/>
  <c r="H1296" i="4" s="1"/>
  <c r="G1302" i="4"/>
  <c r="H1302" i="4" s="1"/>
  <c r="G1308" i="4"/>
  <c r="H1308" i="4" s="1"/>
  <c r="G1314" i="4"/>
  <c r="H1314" i="4" s="1"/>
  <c r="G1320" i="4"/>
  <c r="H1320" i="4" s="1"/>
  <c r="G1326" i="4"/>
  <c r="H1326" i="4" s="1"/>
  <c r="G1332" i="4"/>
  <c r="H1332" i="4" s="1"/>
  <c r="G1338" i="4"/>
  <c r="H1338" i="4" s="1"/>
  <c r="G1344" i="4"/>
  <c r="H1344" i="4" s="1"/>
  <c r="G1350" i="4"/>
  <c r="H1350" i="4" s="1"/>
  <c r="G1356" i="4"/>
  <c r="H1356" i="4" s="1"/>
  <c r="G1362" i="4"/>
  <c r="H1362" i="4" s="1"/>
  <c r="G1368" i="4"/>
  <c r="H1368" i="4" s="1"/>
  <c r="G1374" i="4"/>
  <c r="H1374" i="4" s="1"/>
  <c r="G1380" i="4"/>
  <c r="H1380" i="4" s="1"/>
  <c r="G1386" i="4"/>
  <c r="H1386" i="4" s="1"/>
  <c r="G1392" i="4"/>
  <c r="H1392" i="4" s="1"/>
  <c r="G1398" i="4"/>
  <c r="H1398" i="4" s="1"/>
  <c r="G1404" i="4"/>
  <c r="H1404" i="4" s="1"/>
  <c r="G1410" i="4"/>
  <c r="H1410" i="4" s="1"/>
  <c r="G1416" i="4"/>
  <c r="H1416" i="4" s="1"/>
  <c r="G1422" i="4"/>
  <c r="H1422" i="4" s="1"/>
  <c r="G1428" i="4"/>
  <c r="H1428" i="4" s="1"/>
  <c r="G1434" i="4"/>
  <c r="H1434" i="4" s="1"/>
  <c r="G1440" i="4"/>
  <c r="H1440" i="4" s="1"/>
  <c r="G1446" i="4"/>
  <c r="H1446" i="4" s="1"/>
  <c r="G1452" i="4"/>
  <c r="H1452" i="4" s="1"/>
  <c r="G1458" i="4"/>
  <c r="H1458" i="4" s="1"/>
  <c r="G1464" i="4"/>
  <c r="H1464" i="4" s="1"/>
  <c r="G1470" i="4"/>
  <c r="H1470" i="4" s="1"/>
  <c r="G1476" i="4"/>
  <c r="H1476" i="4" s="1"/>
  <c r="G857" i="4"/>
  <c r="H857" i="4" s="1"/>
  <c r="G869" i="4"/>
  <c r="H869" i="4" s="1"/>
  <c r="G881" i="4"/>
  <c r="H881" i="4" s="1"/>
  <c r="G893" i="4"/>
  <c r="H893" i="4" s="1"/>
  <c r="G905" i="4"/>
  <c r="H905" i="4" s="1"/>
  <c r="G917" i="4"/>
  <c r="H917" i="4" s="1"/>
  <c r="G929" i="4"/>
  <c r="H929" i="4" s="1"/>
  <c r="G941" i="4"/>
  <c r="H941" i="4" s="1"/>
  <c r="G953" i="4"/>
  <c r="H953" i="4" s="1"/>
  <c r="G965" i="4"/>
  <c r="H965" i="4" s="1"/>
  <c r="G977" i="4"/>
  <c r="H977" i="4" s="1"/>
  <c r="G989" i="4"/>
  <c r="H989" i="4" s="1"/>
  <c r="G1001" i="4"/>
  <c r="H1001" i="4" s="1"/>
  <c r="G1013" i="4"/>
  <c r="H1013" i="4" s="1"/>
  <c r="G1025" i="4"/>
  <c r="H1025" i="4" s="1"/>
  <c r="G1037" i="4"/>
  <c r="H1037" i="4" s="1"/>
  <c r="G1049" i="4"/>
  <c r="H1049" i="4" s="1"/>
  <c r="G1061" i="4"/>
  <c r="H1061" i="4" s="1"/>
  <c r="G1073" i="4"/>
  <c r="H1073" i="4" s="1"/>
  <c r="G1081" i="4"/>
  <c r="H1081" i="4" s="1"/>
  <c r="G1087" i="4"/>
  <c r="H1087" i="4" s="1"/>
  <c r="G1093" i="4"/>
  <c r="H1093" i="4" s="1"/>
  <c r="G1099" i="4"/>
  <c r="H1099" i="4" s="1"/>
  <c r="G1105" i="4"/>
  <c r="H1105" i="4" s="1"/>
  <c r="G1111" i="4"/>
  <c r="H1111" i="4" s="1"/>
  <c r="G1117" i="4"/>
  <c r="H1117" i="4" s="1"/>
  <c r="G1123" i="4"/>
  <c r="H1123" i="4" s="1"/>
  <c r="G1129" i="4"/>
  <c r="H1129" i="4" s="1"/>
  <c r="G1135" i="4"/>
  <c r="H1135" i="4" s="1"/>
  <c r="G1141" i="4"/>
  <c r="H1141" i="4" s="1"/>
  <c r="G1147" i="4"/>
  <c r="H1147" i="4" s="1"/>
  <c r="G1153" i="4"/>
  <c r="H1153" i="4" s="1"/>
  <c r="G1159" i="4"/>
  <c r="H1159" i="4" s="1"/>
  <c r="G1165" i="4"/>
  <c r="H1165" i="4" s="1"/>
  <c r="G1171" i="4"/>
  <c r="H1171" i="4" s="1"/>
  <c r="G1177" i="4"/>
  <c r="H1177" i="4" s="1"/>
  <c r="G858" i="4"/>
  <c r="H858" i="4" s="1"/>
  <c r="G870" i="4"/>
  <c r="H870" i="4" s="1"/>
  <c r="G882" i="4"/>
  <c r="H882" i="4" s="1"/>
  <c r="G894" i="4"/>
  <c r="H894" i="4" s="1"/>
  <c r="G906" i="4"/>
  <c r="H906" i="4" s="1"/>
  <c r="G918" i="4"/>
  <c r="H918" i="4" s="1"/>
  <c r="G930" i="4"/>
  <c r="H930" i="4" s="1"/>
  <c r="G942" i="4"/>
  <c r="H942" i="4" s="1"/>
  <c r="G954" i="4"/>
  <c r="H954" i="4" s="1"/>
  <c r="G966" i="4"/>
  <c r="H966" i="4" s="1"/>
  <c r="G978" i="4"/>
  <c r="H978" i="4" s="1"/>
  <c r="G990" i="4"/>
  <c r="H990" i="4" s="1"/>
  <c r="G1002" i="4"/>
  <c r="H1002" i="4" s="1"/>
  <c r="G1014" i="4"/>
  <c r="H1014" i="4" s="1"/>
  <c r="G1026" i="4"/>
  <c r="H1026" i="4" s="1"/>
  <c r="G1038" i="4"/>
  <c r="H1038" i="4" s="1"/>
  <c r="G1050" i="4"/>
  <c r="H1050" i="4" s="1"/>
  <c r="G1062" i="4"/>
  <c r="H1062" i="4" s="1"/>
  <c r="G1074" i="4"/>
  <c r="H1074" i="4" s="1"/>
  <c r="G1082" i="4"/>
  <c r="H1082" i="4" s="1"/>
  <c r="G1088" i="4"/>
  <c r="H1088" i="4" s="1"/>
  <c r="G1094" i="4"/>
  <c r="H1094" i="4" s="1"/>
  <c r="G1100" i="4"/>
  <c r="H1100" i="4" s="1"/>
  <c r="G1106" i="4"/>
  <c r="H1106" i="4" s="1"/>
  <c r="G1112" i="4"/>
  <c r="H1112" i="4" s="1"/>
  <c r="G1118" i="4"/>
  <c r="H1118" i="4" s="1"/>
  <c r="G1124" i="4"/>
  <c r="H1124" i="4" s="1"/>
  <c r="G1130" i="4"/>
  <c r="H1130" i="4" s="1"/>
  <c r="G1136" i="4"/>
  <c r="H1136" i="4" s="1"/>
  <c r="G1142" i="4"/>
  <c r="H1142" i="4" s="1"/>
  <c r="G1148" i="4"/>
  <c r="H1148" i="4" s="1"/>
  <c r="G1154" i="4"/>
  <c r="H1154" i="4" s="1"/>
  <c r="G1160" i="4"/>
  <c r="H1160" i="4" s="1"/>
  <c r="G1166" i="4"/>
  <c r="H1166" i="4" s="1"/>
  <c r="G1172" i="4"/>
  <c r="H1172" i="4" s="1"/>
  <c r="G1178" i="4"/>
  <c r="H1178" i="4" s="1"/>
  <c r="G1184" i="4"/>
  <c r="H1184" i="4" s="1"/>
  <c r="G862" i="4"/>
  <c r="H862" i="4" s="1"/>
  <c r="G874" i="4"/>
  <c r="H874" i="4" s="1"/>
  <c r="G886" i="4"/>
  <c r="H886" i="4" s="1"/>
  <c r="G898" i="4"/>
  <c r="H898" i="4" s="1"/>
  <c r="G910" i="4"/>
  <c r="H910" i="4" s="1"/>
  <c r="G922" i="4"/>
  <c r="H922" i="4" s="1"/>
  <c r="G934" i="4"/>
  <c r="H934" i="4" s="1"/>
  <c r="G946" i="4"/>
  <c r="H946" i="4" s="1"/>
  <c r="G958" i="4"/>
  <c r="H958" i="4" s="1"/>
  <c r="G970" i="4"/>
  <c r="H970" i="4" s="1"/>
  <c r="G982" i="4"/>
  <c r="H982" i="4" s="1"/>
  <c r="G994" i="4"/>
  <c r="H994" i="4" s="1"/>
  <c r="G1006" i="4"/>
  <c r="H1006" i="4" s="1"/>
  <c r="G1018" i="4"/>
  <c r="H1018" i="4" s="1"/>
  <c r="G1030" i="4"/>
  <c r="H1030" i="4" s="1"/>
  <c r="G1042" i="4"/>
  <c r="H1042" i="4" s="1"/>
  <c r="G1054" i="4"/>
  <c r="H1054" i="4" s="1"/>
  <c r="G1066" i="4"/>
  <c r="H1066" i="4" s="1"/>
  <c r="G1076" i="4"/>
  <c r="H1076" i="4" s="1"/>
  <c r="G1083" i="4"/>
  <c r="H1083" i="4" s="1"/>
  <c r="G1089" i="4"/>
  <c r="H1089" i="4" s="1"/>
  <c r="G1095" i="4"/>
  <c r="H1095" i="4" s="1"/>
  <c r="G1101" i="4"/>
  <c r="H1101" i="4" s="1"/>
  <c r="G1107" i="4"/>
  <c r="H1107" i="4" s="1"/>
  <c r="G1113" i="4"/>
  <c r="H1113" i="4" s="1"/>
  <c r="G1119" i="4"/>
  <c r="H1119" i="4" s="1"/>
  <c r="G1125" i="4"/>
  <c r="H1125" i="4" s="1"/>
  <c r="G1131" i="4"/>
  <c r="H1131" i="4" s="1"/>
  <c r="G1137" i="4"/>
  <c r="H1137" i="4" s="1"/>
  <c r="G1143" i="4"/>
  <c r="H1143" i="4" s="1"/>
  <c r="G1149" i="4"/>
  <c r="H1149" i="4" s="1"/>
  <c r="G1155" i="4"/>
  <c r="H1155" i="4" s="1"/>
  <c r="G1161" i="4"/>
  <c r="H1161" i="4" s="1"/>
  <c r="G1167" i="4"/>
  <c r="H1167" i="4" s="1"/>
  <c r="G1173" i="4"/>
  <c r="H1173" i="4" s="1"/>
  <c r="G1179" i="4"/>
  <c r="H1179" i="4" s="1"/>
  <c r="G846" i="4"/>
  <c r="H846" i="4" s="1"/>
  <c r="G863" i="4"/>
  <c r="H863" i="4" s="1"/>
  <c r="G875" i="4"/>
  <c r="H875" i="4" s="1"/>
  <c r="G887" i="4"/>
  <c r="H887" i="4" s="1"/>
  <c r="G899" i="4"/>
  <c r="H899" i="4" s="1"/>
  <c r="G911" i="4"/>
  <c r="H911" i="4" s="1"/>
  <c r="G923" i="4"/>
  <c r="H923" i="4" s="1"/>
  <c r="G935" i="4"/>
  <c r="H935" i="4" s="1"/>
  <c r="G947" i="4"/>
  <c r="H947" i="4" s="1"/>
  <c r="G959" i="4"/>
  <c r="H959" i="4" s="1"/>
  <c r="G971" i="4"/>
  <c r="H971" i="4" s="1"/>
  <c r="G983" i="4"/>
  <c r="H983" i="4" s="1"/>
  <c r="G995" i="4"/>
  <c r="H995" i="4" s="1"/>
  <c r="G1007" i="4"/>
  <c r="H1007" i="4" s="1"/>
  <c r="G1019" i="4"/>
  <c r="H1019" i="4" s="1"/>
  <c r="G1031" i="4"/>
  <c r="H1031" i="4" s="1"/>
  <c r="G1043" i="4"/>
  <c r="H1043" i="4" s="1"/>
  <c r="G1055" i="4"/>
  <c r="H1055" i="4" s="1"/>
  <c r="G1067" i="4"/>
  <c r="H1067" i="4" s="1"/>
  <c r="G1078" i="4"/>
  <c r="H1078" i="4" s="1"/>
  <c r="G1084" i="4"/>
  <c r="H1084" i="4" s="1"/>
  <c r="G1090" i="4"/>
  <c r="H1090" i="4" s="1"/>
  <c r="G1096" i="4"/>
  <c r="H1096" i="4" s="1"/>
  <c r="G1102" i="4"/>
  <c r="H1102" i="4" s="1"/>
  <c r="G1108" i="4"/>
  <c r="H1108" i="4" s="1"/>
  <c r="G1114" i="4"/>
  <c r="H1114" i="4" s="1"/>
  <c r="G1120" i="4"/>
  <c r="H1120" i="4" s="1"/>
  <c r="G1126" i="4"/>
  <c r="H1126" i="4" s="1"/>
  <c r="G1132" i="4"/>
  <c r="H1132" i="4" s="1"/>
  <c r="G1138" i="4"/>
  <c r="H1138" i="4" s="1"/>
  <c r="G1144" i="4"/>
  <c r="H1144" i="4" s="1"/>
  <c r="G1150" i="4"/>
  <c r="H1150" i="4" s="1"/>
  <c r="G1156" i="4"/>
  <c r="H1156" i="4" s="1"/>
  <c r="G1162" i="4"/>
  <c r="H1162" i="4" s="1"/>
  <c r="G1168" i="4"/>
  <c r="H1168" i="4" s="1"/>
  <c r="G1174" i="4"/>
  <c r="H1174" i="4" s="1"/>
  <c r="G1180" i="4"/>
  <c r="H1180" i="4" s="1"/>
  <c r="G1186" i="4"/>
  <c r="H1186" i="4" s="1"/>
  <c r="G1192" i="4"/>
  <c r="H1192" i="4" s="1"/>
  <c r="G1198" i="4"/>
  <c r="H1198" i="4" s="1"/>
  <c r="G1204" i="4"/>
  <c r="H1204" i="4" s="1"/>
  <c r="G1210" i="4"/>
  <c r="H1210" i="4" s="1"/>
  <c r="G1216" i="4"/>
  <c r="H1216" i="4" s="1"/>
  <c r="G1222" i="4"/>
  <c r="H1222" i="4" s="1"/>
  <c r="G1228" i="4"/>
  <c r="H1228" i="4" s="1"/>
  <c r="G1234" i="4"/>
  <c r="H1234" i="4" s="1"/>
  <c r="G1240" i="4"/>
  <c r="H1240" i="4" s="1"/>
  <c r="G1246" i="4"/>
  <c r="H1246" i="4" s="1"/>
  <c r="G1252" i="4"/>
  <c r="H1252" i="4" s="1"/>
  <c r="G1258" i="4"/>
  <c r="H1258" i="4" s="1"/>
  <c r="G1264" i="4"/>
  <c r="H1264" i="4" s="1"/>
  <c r="G1270" i="4"/>
  <c r="H1270" i="4" s="1"/>
  <c r="G1276" i="4"/>
  <c r="H1276" i="4" s="1"/>
  <c r="G1282" i="4"/>
  <c r="H1282" i="4" s="1"/>
  <c r="G1288" i="4"/>
  <c r="H1288" i="4" s="1"/>
  <c r="G1294" i="4"/>
  <c r="H1294" i="4" s="1"/>
  <c r="G1300" i="4"/>
  <c r="H1300" i="4" s="1"/>
  <c r="G1306" i="4"/>
  <c r="H1306" i="4" s="1"/>
  <c r="G1312" i="4"/>
  <c r="H1312" i="4" s="1"/>
  <c r="G1318" i="4"/>
  <c r="H1318" i="4" s="1"/>
  <c r="G1324" i="4"/>
  <c r="H1324" i="4" s="1"/>
  <c r="G1330" i="4"/>
  <c r="H1330" i="4" s="1"/>
  <c r="G1336" i="4"/>
  <c r="H1336" i="4" s="1"/>
  <c r="G1342" i="4"/>
  <c r="H1342" i="4" s="1"/>
  <c r="G1348" i="4"/>
  <c r="H1348" i="4" s="1"/>
  <c r="G1354" i="4"/>
  <c r="H1354" i="4" s="1"/>
  <c r="G1360" i="4"/>
  <c r="H1360" i="4" s="1"/>
  <c r="G1366" i="4"/>
  <c r="H1366" i="4" s="1"/>
  <c r="G1372" i="4"/>
  <c r="H1372" i="4" s="1"/>
  <c r="G1378" i="4"/>
  <c r="H1378" i="4" s="1"/>
  <c r="G1384" i="4"/>
  <c r="H1384" i="4" s="1"/>
  <c r="G1390" i="4"/>
  <c r="H1390" i="4" s="1"/>
  <c r="G1396" i="4"/>
  <c r="H1396" i="4" s="1"/>
  <c r="G1402" i="4"/>
  <c r="H1402" i="4" s="1"/>
  <c r="G1408" i="4"/>
  <c r="H1408" i="4" s="1"/>
  <c r="G1414" i="4"/>
  <c r="H1414" i="4" s="1"/>
  <c r="G1420" i="4"/>
  <c r="H1420" i="4" s="1"/>
  <c r="G1426" i="4"/>
  <c r="H1426" i="4" s="1"/>
  <c r="G1432" i="4"/>
  <c r="H1432" i="4" s="1"/>
  <c r="G1438" i="4"/>
  <c r="H1438" i="4" s="1"/>
  <c r="G1444" i="4"/>
  <c r="H1444" i="4" s="1"/>
  <c r="G1450" i="4"/>
  <c r="H1450" i="4" s="1"/>
  <c r="G852" i="4"/>
  <c r="H852" i="4" s="1"/>
  <c r="G864" i="4"/>
  <c r="H864" i="4" s="1"/>
  <c r="G876" i="4"/>
  <c r="H876" i="4" s="1"/>
  <c r="G888" i="4"/>
  <c r="H888" i="4" s="1"/>
  <c r="G900" i="4"/>
  <c r="H900" i="4" s="1"/>
  <c r="G912" i="4"/>
  <c r="H912" i="4" s="1"/>
  <c r="G924" i="4"/>
  <c r="H924" i="4" s="1"/>
  <c r="G936" i="4"/>
  <c r="H936" i="4" s="1"/>
  <c r="G948" i="4"/>
  <c r="H948" i="4" s="1"/>
  <c r="G960" i="4"/>
  <c r="H960" i="4" s="1"/>
  <c r="G972" i="4"/>
  <c r="H972" i="4" s="1"/>
  <c r="G984" i="4"/>
  <c r="H984" i="4" s="1"/>
  <c r="G996" i="4"/>
  <c r="H996" i="4" s="1"/>
  <c r="G1008" i="4"/>
  <c r="H1008" i="4" s="1"/>
  <c r="G1020" i="4"/>
  <c r="H1020" i="4" s="1"/>
  <c r="G1032" i="4"/>
  <c r="H1032" i="4" s="1"/>
  <c r="G1044" i="4"/>
  <c r="H1044" i="4" s="1"/>
  <c r="G1056" i="4"/>
  <c r="H1056" i="4" s="1"/>
  <c r="G1068" i="4"/>
  <c r="H1068" i="4" s="1"/>
  <c r="G1079" i="4"/>
  <c r="H1079" i="4" s="1"/>
  <c r="G1085" i="4"/>
  <c r="H1085" i="4" s="1"/>
  <c r="G1091" i="4"/>
  <c r="H1091" i="4" s="1"/>
  <c r="G1097" i="4"/>
  <c r="H1097" i="4" s="1"/>
  <c r="G1103" i="4"/>
  <c r="H1103" i="4" s="1"/>
  <c r="G1109" i="4"/>
  <c r="H1109" i="4" s="1"/>
  <c r="G1115" i="4"/>
  <c r="H1115" i="4" s="1"/>
  <c r="G1121" i="4"/>
  <c r="H1121" i="4" s="1"/>
  <c r="G1127" i="4"/>
  <c r="H1127" i="4" s="1"/>
  <c r="G1133" i="4"/>
  <c r="H1133" i="4" s="1"/>
  <c r="G1139" i="4"/>
  <c r="H1139" i="4" s="1"/>
  <c r="G1145" i="4"/>
  <c r="H1145" i="4" s="1"/>
  <c r="G1151" i="4"/>
  <c r="H1151" i="4" s="1"/>
  <c r="G1157" i="4"/>
  <c r="H1157" i="4" s="1"/>
  <c r="G1163" i="4"/>
  <c r="H1163" i="4" s="1"/>
  <c r="G1169" i="4"/>
  <c r="H1169" i="4" s="1"/>
  <c r="G1175" i="4"/>
  <c r="H1175" i="4" s="1"/>
  <c r="G1181" i="4"/>
  <c r="H1181" i="4" s="1"/>
  <c r="G1187" i="4"/>
  <c r="H1187" i="4" s="1"/>
  <c r="G1193" i="4"/>
  <c r="H1193" i="4" s="1"/>
  <c r="G1199" i="4"/>
  <c r="H1199" i="4" s="1"/>
  <c r="G1205" i="4"/>
  <c r="H1205" i="4" s="1"/>
  <c r="G1211" i="4"/>
  <c r="H1211" i="4" s="1"/>
  <c r="G1217" i="4"/>
  <c r="H1217" i="4" s="1"/>
  <c r="G1223" i="4"/>
  <c r="H1223" i="4" s="1"/>
  <c r="G1229" i="4"/>
  <c r="H1229" i="4" s="1"/>
  <c r="G1235" i="4"/>
  <c r="H1235" i="4" s="1"/>
  <c r="G1241" i="4"/>
  <c r="H1241" i="4" s="1"/>
  <c r="G1247" i="4"/>
  <c r="H1247" i="4" s="1"/>
  <c r="G1253" i="4"/>
  <c r="H1253" i="4" s="1"/>
  <c r="G1259" i="4"/>
  <c r="H1259" i="4" s="1"/>
  <c r="G1265" i="4"/>
  <c r="H1265" i="4" s="1"/>
  <c r="G1271" i="4"/>
  <c r="H1271" i="4" s="1"/>
  <c r="G1277" i="4"/>
  <c r="H1277" i="4" s="1"/>
  <c r="G1283" i="4"/>
  <c r="H1283" i="4" s="1"/>
  <c r="G1289" i="4"/>
  <c r="H1289" i="4" s="1"/>
  <c r="G1295" i="4"/>
  <c r="H1295" i="4" s="1"/>
  <c r="G1301" i="4"/>
  <c r="H1301" i="4" s="1"/>
  <c r="G1307" i="4"/>
  <c r="H1307" i="4" s="1"/>
  <c r="G1313" i="4"/>
  <c r="H1313" i="4" s="1"/>
  <c r="G1319" i="4"/>
  <c r="H1319" i="4" s="1"/>
  <c r="G1325" i="4"/>
  <c r="H1325" i="4" s="1"/>
  <c r="G1331" i="4"/>
  <c r="H1331" i="4" s="1"/>
  <c r="G1337" i="4"/>
  <c r="H1337" i="4" s="1"/>
  <c r="G1343" i="4"/>
  <c r="H1343" i="4" s="1"/>
  <c r="G1349" i="4"/>
  <c r="H1349" i="4" s="1"/>
  <c r="G1355" i="4"/>
  <c r="H1355" i="4" s="1"/>
  <c r="G1361" i="4"/>
  <c r="H1361" i="4" s="1"/>
  <c r="G1367" i="4"/>
  <c r="H1367" i="4" s="1"/>
  <c r="G1373" i="4"/>
  <c r="H1373" i="4" s="1"/>
  <c r="G1379" i="4"/>
  <c r="H1379" i="4" s="1"/>
  <c r="G1385" i="4"/>
  <c r="H1385" i="4" s="1"/>
  <c r="G1391" i="4"/>
  <c r="H1391" i="4" s="1"/>
  <c r="G1397" i="4"/>
  <c r="H1397" i="4" s="1"/>
  <c r="G1403" i="4"/>
  <c r="H1403" i="4" s="1"/>
  <c r="G1409" i="4"/>
  <c r="H1409" i="4" s="1"/>
  <c r="G1415" i="4"/>
  <c r="H1415" i="4" s="1"/>
  <c r="G1421" i="4"/>
  <c r="H1421" i="4" s="1"/>
  <c r="G1427" i="4"/>
  <c r="H1427" i="4" s="1"/>
  <c r="G1433" i="4"/>
  <c r="H1433" i="4" s="1"/>
  <c r="G1439" i="4"/>
  <c r="H1439" i="4" s="1"/>
  <c r="G1445" i="4"/>
  <c r="H1445" i="4" s="1"/>
  <c r="G1451" i="4"/>
  <c r="H1451" i="4" s="1"/>
  <c r="G1457" i="4"/>
  <c r="H1457" i="4" s="1"/>
  <c r="G1463" i="4"/>
  <c r="H1463" i="4" s="1"/>
  <c r="G1469" i="4"/>
  <c r="H1469" i="4" s="1"/>
  <c r="G1189" i="4"/>
  <c r="H1189" i="4" s="1"/>
  <c r="G1201" i="4"/>
  <c r="H1201" i="4" s="1"/>
  <c r="G1213" i="4"/>
  <c r="H1213" i="4" s="1"/>
  <c r="G1225" i="4"/>
  <c r="H1225" i="4" s="1"/>
  <c r="G1237" i="4"/>
  <c r="H1237" i="4" s="1"/>
  <c r="G1249" i="4"/>
  <c r="H1249" i="4" s="1"/>
  <c r="G1261" i="4"/>
  <c r="H1261" i="4" s="1"/>
  <c r="G1273" i="4"/>
  <c r="H1273" i="4" s="1"/>
  <c r="G1285" i="4"/>
  <c r="H1285" i="4" s="1"/>
  <c r="G1297" i="4"/>
  <c r="H1297" i="4" s="1"/>
  <c r="G1309" i="4"/>
  <c r="H1309" i="4" s="1"/>
  <c r="G1321" i="4"/>
  <c r="H1321" i="4" s="1"/>
  <c r="G1333" i="4"/>
  <c r="H1333" i="4" s="1"/>
  <c r="G1345" i="4"/>
  <c r="H1345" i="4" s="1"/>
  <c r="G1357" i="4"/>
  <c r="H1357" i="4" s="1"/>
  <c r="G1369" i="4"/>
  <c r="H1369" i="4" s="1"/>
  <c r="G1381" i="4"/>
  <c r="H1381" i="4" s="1"/>
  <c r="G1393" i="4"/>
  <c r="H1393" i="4" s="1"/>
  <c r="G1405" i="4"/>
  <c r="H1405" i="4" s="1"/>
  <c r="G1417" i="4"/>
  <c r="H1417" i="4" s="1"/>
  <c r="G1429" i="4"/>
  <c r="H1429" i="4" s="1"/>
  <c r="G1441" i="4"/>
  <c r="H1441" i="4" s="1"/>
  <c r="G1453" i="4"/>
  <c r="H1453" i="4" s="1"/>
  <c r="G1461" i="4"/>
  <c r="H1461" i="4" s="1"/>
  <c r="G1471" i="4"/>
  <c r="H1471" i="4" s="1"/>
  <c r="G1478" i="4"/>
  <c r="H1478" i="4" s="1"/>
  <c r="G1484" i="4"/>
  <c r="H1484" i="4" s="1"/>
  <c r="G1490" i="4"/>
  <c r="H1490" i="4" s="1"/>
  <c r="G1496" i="4"/>
  <c r="H1496" i="4" s="1"/>
  <c r="G1190" i="4"/>
  <c r="H1190" i="4" s="1"/>
  <c r="G1202" i="4"/>
  <c r="H1202" i="4" s="1"/>
  <c r="G1214" i="4"/>
  <c r="H1214" i="4" s="1"/>
  <c r="G1226" i="4"/>
  <c r="H1226" i="4" s="1"/>
  <c r="G1238" i="4"/>
  <c r="H1238" i="4" s="1"/>
  <c r="G1250" i="4"/>
  <c r="H1250" i="4" s="1"/>
  <c r="G1262" i="4"/>
  <c r="H1262" i="4" s="1"/>
  <c r="G1274" i="4"/>
  <c r="H1274" i="4" s="1"/>
  <c r="G1286" i="4"/>
  <c r="H1286" i="4" s="1"/>
  <c r="G1298" i="4"/>
  <c r="H1298" i="4" s="1"/>
  <c r="G1310" i="4"/>
  <c r="H1310" i="4" s="1"/>
  <c r="G1322" i="4"/>
  <c r="H1322" i="4" s="1"/>
  <c r="G1334" i="4"/>
  <c r="H1334" i="4" s="1"/>
  <c r="G1346" i="4"/>
  <c r="H1346" i="4" s="1"/>
  <c r="G1358" i="4"/>
  <c r="H1358" i="4" s="1"/>
  <c r="G1370" i="4"/>
  <c r="H1370" i="4" s="1"/>
  <c r="G1382" i="4"/>
  <c r="H1382" i="4" s="1"/>
  <c r="G1394" i="4"/>
  <c r="H1394" i="4" s="1"/>
  <c r="G1191" i="4"/>
  <c r="H1191" i="4" s="1"/>
  <c r="G1203" i="4"/>
  <c r="H1203" i="4" s="1"/>
  <c r="G1215" i="4"/>
  <c r="H1215" i="4" s="1"/>
  <c r="G1227" i="4"/>
  <c r="H1227" i="4" s="1"/>
  <c r="G1239" i="4"/>
  <c r="H1239" i="4" s="1"/>
  <c r="G1251" i="4"/>
  <c r="H1251" i="4" s="1"/>
  <c r="G1263" i="4"/>
  <c r="H1263" i="4" s="1"/>
  <c r="G1275" i="4"/>
  <c r="H1275" i="4" s="1"/>
  <c r="G1287" i="4"/>
  <c r="H1287" i="4" s="1"/>
  <c r="G1299" i="4"/>
  <c r="H1299" i="4" s="1"/>
  <c r="G1311" i="4"/>
  <c r="H1311" i="4" s="1"/>
  <c r="G1323" i="4"/>
  <c r="H1323" i="4" s="1"/>
  <c r="G1335" i="4"/>
  <c r="H1335" i="4" s="1"/>
  <c r="G1347" i="4"/>
  <c r="H1347" i="4" s="1"/>
  <c r="G1359" i="4"/>
  <c r="H1359" i="4" s="1"/>
  <c r="G1371" i="4"/>
  <c r="H1371" i="4" s="1"/>
  <c r="G1383" i="4"/>
  <c r="H1383" i="4" s="1"/>
  <c r="G1395" i="4"/>
  <c r="H1395" i="4" s="1"/>
  <c r="G1195" i="4"/>
  <c r="H1195" i="4" s="1"/>
  <c r="G1207" i="4"/>
  <c r="H1207" i="4" s="1"/>
  <c r="G1219" i="4"/>
  <c r="H1219" i="4" s="1"/>
  <c r="G1231" i="4"/>
  <c r="H1231" i="4" s="1"/>
  <c r="G1243" i="4"/>
  <c r="H1243" i="4" s="1"/>
  <c r="G1255" i="4"/>
  <c r="H1255" i="4" s="1"/>
  <c r="G1267" i="4"/>
  <c r="H1267" i="4" s="1"/>
  <c r="G1279" i="4"/>
  <c r="H1279" i="4" s="1"/>
  <c r="G1291" i="4"/>
  <c r="H1291" i="4" s="1"/>
  <c r="G1303" i="4"/>
  <c r="H1303" i="4" s="1"/>
  <c r="G1315" i="4"/>
  <c r="H1315" i="4" s="1"/>
  <c r="G1327" i="4"/>
  <c r="H1327" i="4" s="1"/>
  <c r="G1339" i="4"/>
  <c r="H1339" i="4" s="1"/>
  <c r="G1351" i="4"/>
  <c r="H1351" i="4" s="1"/>
  <c r="G1363" i="4"/>
  <c r="H1363" i="4" s="1"/>
  <c r="G1375" i="4"/>
  <c r="H1375" i="4" s="1"/>
  <c r="G1183" i="4"/>
  <c r="H1183" i="4" s="1"/>
  <c r="G1196" i="4"/>
  <c r="H1196" i="4" s="1"/>
  <c r="G1208" i="4"/>
  <c r="H1208" i="4" s="1"/>
  <c r="G1220" i="4"/>
  <c r="H1220" i="4" s="1"/>
  <c r="G1232" i="4"/>
  <c r="H1232" i="4" s="1"/>
  <c r="G1244" i="4"/>
  <c r="H1244" i="4" s="1"/>
  <c r="G1256" i="4"/>
  <c r="H1256" i="4" s="1"/>
  <c r="G1268" i="4"/>
  <c r="H1268" i="4" s="1"/>
  <c r="G1280" i="4"/>
  <c r="H1280" i="4" s="1"/>
  <c r="G1292" i="4"/>
  <c r="H1292" i="4" s="1"/>
  <c r="G1304" i="4"/>
  <c r="H1304" i="4" s="1"/>
  <c r="G1316" i="4"/>
  <c r="H1316" i="4" s="1"/>
  <c r="G1328" i="4"/>
  <c r="H1328" i="4" s="1"/>
  <c r="G1340" i="4"/>
  <c r="H1340" i="4" s="1"/>
  <c r="G1352" i="4"/>
  <c r="H1352" i="4" s="1"/>
  <c r="G1364" i="4"/>
  <c r="H1364" i="4" s="1"/>
  <c r="G1376" i="4"/>
  <c r="H1376" i="4" s="1"/>
  <c r="G1388" i="4"/>
  <c r="H1388" i="4" s="1"/>
  <c r="G1400" i="4"/>
  <c r="H1400" i="4" s="1"/>
  <c r="G1412" i="4"/>
  <c r="H1412" i="4" s="1"/>
  <c r="G1424" i="4"/>
  <c r="H1424" i="4" s="1"/>
  <c r="G1436" i="4"/>
  <c r="H1436" i="4" s="1"/>
  <c r="G1448" i="4"/>
  <c r="H1448" i="4" s="1"/>
  <c r="G1459" i="4"/>
  <c r="H1459" i="4" s="1"/>
  <c r="G1467" i="4"/>
  <c r="H1467" i="4" s="1"/>
  <c r="G1475" i="4"/>
  <c r="H1475" i="4" s="1"/>
  <c r="G1482" i="4"/>
  <c r="H1482" i="4" s="1"/>
  <c r="G1488" i="4"/>
  <c r="H1488" i="4" s="1"/>
  <c r="G1494" i="4"/>
  <c r="H1494" i="4" s="1"/>
  <c r="G1185" i="4"/>
  <c r="H1185" i="4" s="1"/>
  <c r="G1197" i="4"/>
  <c r="H1197" i="4" s="1"/>
  <c r="G1209" i="4"/>
  <c r="H1209" i="4" s="1"/>
  <c r="G1221" i="4"/>
  <c r="H1221" i="4" s="1"/>
  <c r="G1233" i="4"/>
  <c r="H1233" i="4" s="1"/>
  <c r="G1245" i="4"/>
  <c r="H1245" i="4" s="1"/>
  <c r="G1257" i="4"/>
  <c r="H1257" i="4" s="1"/>
  <c r="G1269" i="4"/>
  <c r="H1269" i="4" s="1"/>
  <c r="G1281" i="4"/>
  <c r="H1281" i="4" s="1"/>
  <c r="G1293" i="4"/>
  <c r="H1293" i="4" s="1"/>
  <c r="G1305" i="4"/>
  <c r="H1305" i="4" s="1"/>
  <c r="G1317" i="4"/>
  <c r="H1317" i="4" s="1"/>
  <c r="G1329" i="4"/>
  <c r="H1329" i="4" s="1"/>
  <c r="G1341" i="4"/>
  <c r="H1341" i="4" s="1"/>
  <c r="G1353" i="4"/>
  <c r="H1353" i="4" s="1"/>
  <c r="G1365" i="4"/>
  <c r="H1365" i="4" s="1"/>
  <c r="G1377" i="4"/>
  <c r="H1377" i="4" s="1"/>
  <c r="G1389" i="4"/>
  <c r="H1389" i="4" s="1"/>
  <c r="G1401" i="4"/>
  <c r="H1401" i="4" s="1"/>
  <c r="G1413" i="4"/>
  <c r="H1413" i="4" s="1"/>
  <c r="G1425" i="4"/>
  <c r="H1425" i="4" s="1"/>
  <c r="G1437" i="4"/>
  <c r="H1437" i="4" s="1"/>
  <c r="G1449" i="4"/>
  <c r="H1449" i="4" s="1"/>
  <c r="G1460" i="4"/>
  <c r="H1460" i="4" s="1"/>
  <c r="G1468" i="4"/>
  <c r="H1468" i="4" s="1"/>
  <c r="G1477" i="4"/>
  <c r="H1477" i="4" s="1"/>
  <c r="G1483" i="4"/>
  <c r="H1483" i="4" s="1"/>
  <c r="G1489" i="4"/>
  <c r="H1489" i="4" s="1"/>
  <c r="G1495" i="4"/>
  <c r="H1495" i="4" s="1"/>
  <c r="G1406" i="4"/>
  <c r="H1406" i="4" s="1"/>
  <c r="G1430" i="4"/>
  <c r="H1430" i="4" s="1"/>
  <c r="G1454" i="4"/>
  <c r="H1454" i="4" s="1"/>
  <c r="G1472" i="4"/>
  <c r="H1472" i="4" s="1"/>
  <c r="G1485" i="4"/>
  <c r="H1485" i="4" s="1"/>
  <c r="G1497" i="4"/>
  <c r="H1497" i="4" s="1"/>
  <c r="G1407" i="4"/>
  <c r="H1407" i="4" s="1"/>
  <c r="G1431" i="4"/>
  <c r="H1431" i="4" s="1"/>
  <c r="G1455" i="4"/>
  <c r="H1455" i="4" s="1"/>
  <c r="G1473" i="4"/>
  <c r="H1473" i="4" s="1"/>
  <c r="G1486" i="4"/>
  <c r="H1486" i="4" s="1"/>
  <c r="G1498" i="4"/>
  <c r="H1498" i="4" s="1"/>
  <c r="G1411" i="4"/>
  <c r="H1411" i="4" s="1"/>
  <c r="G1435" i="4"/>
  <c r="H1435" i="4" s="1"/>
  <c r="G1456" i="4"/>
  <c r="H1456" i="4" s="1"/>
  <c r="G1474" i="4"/>
  <c r="H1474" i="4" s="1"/>
  <c r="G1487" i="4"/>
  <c r="H1487" i="4" s="1"/>
  <c r="G1499" i="4"/>
  <c r="H1499" i="4" s="1"/>
  <c r="G1418" i="4"/>
  <c r="H1418" i="4" s="1"/>
  <c r="G1442" i="4"/>
  <c r="H1442" i="4" s="1"/>
  <c r="G1462" i="4"/>
  <c r="H1462" i="4" s="1"/>
  <c r="G1479" i="4"/>
  <c r="H1479" i="4" s="1"/>
  <c r="G1491" i="4"/>
  <c r="H1491" i="4" s="1"/>
  <c r="G1387" i="4"/>
  <c r="H1387" i="4" s="1"/>
  <c r="G1419" i="4"/>
  <c r="H1419" i="4" s="1"/>
  <c r="G1443" i="4"/>
  <c r="H1443" i="4" s="1"/>
  <c r="G1465" i="4"/>
  <c r="H1465" i="4" s="1"/>
  <c r="G1480" i="4"/>
  <c r="H1480" i="4" s="1"/>
  <c r="G1492" i="4"/>
  <c r="H1492" i="4" s="1"/>
  <c r="G1399" i="4"/>
  <c r="H1399" i="4" s="1"/>
  <c r="G1423" i="4"/>
  <c r="H1423" i="4" s="1"/>
  <c r="G1447" i="4"/>
  <c r="H1447" i="4" s="1"/>
  <c r="G1466" i="4"/>
  <c r="H1466" i="4" s="1"/>
  <c r="G1481" i="4"/>
  <c r="H1481" i="4" s="1"/>
  <c r="G1493" i="4"/>
  <c r="H1493" i="4" s="1"/>
  <c r="I224" i="4"/>
  <c r="J224" i="4" s="1"/>
  <c r="I230" i="4"/>
  <c r="J230" i="4" s="1"/>
  <c r="I236" i="4"/>
  <c r="J236" i="4" s="1"/>
  <c r="I242" i="4"/>
  <c r="J242" i="4" s="1"/>
  <c r="I248" i="4"/>
  <c r="J248" i="4" s="1"/>
  <c r="I254" i="4"/>
  <c r="J254" i="4" s="1"/>
  <c r="I260" i="4"/>
  <c r="J260" i="4" s="1"/>
  <c r="I266" i="4"/>
  <c r="J266" i="4" s="1"/>
  <c r="I272" i="4"/>
  <c r="J272" i="4" s="1"/>
  <c r="I278" i="4"/>
  <c r="J278" i="4" s="1"/>
  <c r="I284" i="4"/>
  <c r="J284" i="4" s="1"/>
  <c r="I290" i="4"/>
  <c r="J290" i="4" s="1"/>
  <c r="I296" i="4"/>
  <c r="J296" i="4" s="1"/>
  <c r="I302" i="4"/>
  <c r="J302" i="4" s="1"/>
  <c r="I308" i="4"/>
  <c r="J308" i="4" s="1"/>
  <c r="I314" i="4"/>
  <c r="J314" i="4" s="1"/>
  <c r="I320" i="4"/>
  <c r="J320" i="4" s="1"/>
  <c r="I326" i="4"/>
  <c r="J326" i="4" s="1"/>
  <c r="I332" i="4"/>
  <c r="J332" i="4" s="1"/>
  <c r="I338" i="4"/>
  <c r="J338" i="4" s="1"/>
  <c r="I344" i="4"/>
  <c r="J344" i="4" s="1"/>
  <c r="I350" i="4"/>
  <c r="J350" i="4" s="1"/>
  <c r="I356" i="4"/>
  <c r="J356" i="4" s="1"/>
  <c r="I362" i="4"/>
  <c r="J362" i="4" s="1"/>
  <c r="I368" i="4"/>
  <c r="J368" i="4" s="1"/>
  <c r="I374" i="4"/>
  <c r="J374" i="4" s="1"/>
  <c r="I380" i="4"/>
  <c r="J380" i="4" s="1"/>
  <c r="I386" i="4"/>
  <c r="J386" i="4" s="1"/>
  <c r="I392" i="4"/>
  <c r="J392" i="4" s="1"/>
  <c r="I398" i="4"/>
  <c r="J398" i="4" s="1"/>
  <c r="I404" i="4"/>
  <c r="J404" i="4" s="1"/>
  <c r="I410" i="4"/>
  <c r="J410" i="4" s="1"/>
  <c r="I416" i="4"/>
  <c r="J416" i="4" s="1"/>
  <c r="I422" i="4"/>
  <c r="J422" i="4" s="1"/>
  <c r="I428" i="4"/>
  <c r="J428" i="4" s="1"/>
  <c r="I434" i="4"/>
  <c r="J434" i="4" s="1"/>
  <c r="I440" i="4"/>
  <c r="J440" i="4" s="1"/>
  <c r="I446" i="4"/>
  <c r="J446" i="4" s="1"/>
  <c r="I452" i="4"/>
  <c r="J452" i="4" s="1"/>
  <c r="I458" i="4"/>
  <c r="J458" i="4" s="1"/>
  <c r="I464" i="4"/>
  <c r="J464" i="4" s="1"/>
  <c r="I470" i="4"/>
  <c r="J470" i="4" s="1"/>
  <c r="I476" i="4"/>
  <c r="J476" i="4" s="1"/>
  <c r="I482" i="4"/>
  <c r="J482" i="4" s="1"/>
  <c r="I488" i="4"/>
  <c r="J488" i="4" s="1"/>
  <c r="I494" i="4"/>
  <c r="J494" i="4" s="1"/>
  <c r="I500" i="4"/>
  <c r="J500" i="4" s="1"/>
  <c r="I506" i="4"/>
  <c r="J506" i="4" s="1"/>
  <c r="I512" i="4"/>
  <c r="J512" i="4" s="1"/>
  <c r="I518" i="4"/>
  <c r="J518" i="4" s="1"/>
  <c r="I524" i="4"/>
  <c r="J524" i="4" s="1"/>
  <c r="I530" i="4"/>
  <c r="J530" i="4" s="1"/>
  <c r="I536" i="4"/>
  <c r="J536" i="4" s="1"/>
  <c r="I542" i="4"/>
  <c r="J542" i="4" s="1"/>
  <c r="I548" i="4"/>
  <c r="J548" i="4" s="1"/>
  <c r="I554" i="4"/>
  <c r="J554" i="4" s="1"/>
  <c r="I560" i="4"/>
  <c r="J560" i="4" s="1"/>
  <c r="I566" i="4"/>
  <c r="J566" i="4" s="1"/>
  <c r="I572" i="4"/>
  <c r="J572" i="4" s="1"/>
  <c r="I578" i="4"/>
  <c r="J578" i="4" s="1"/>
  <c r="I584" i="4"/>
  <c r="J584" i="4" s="1"/>
  <c r="I590" i="4"/>
  <c r="J590" i="4" s="1"/>
  <c r="I596" i="4"/>
  <c r="J596" i="4" s="1"/>
  <c r="I602" i="4"/>
  <c r="J602" i="4" s="1"/>
  <c r="I608" i="4"/>
  <c r="J608" i="4" s="1"/>
  <c r="I614" i="4"/>
  <c r="J614" i="4" s="1"/>
  <c r="I620" i="4"/>
  <c r="J620" i="4" s="1"/>
  <c r="I626" i="4"/>
  <c r="J626" i="4" s="1"/>
  <c r="I632" i="4"/>
  <c r="J632" i="4" s="1"/>
  <c r="I638" i="4"/>
  <c r="J638" i="4" s="1"/>
  <c r="I644" i="4"/>
  <c r="J644" i="4" s="1"/>
  <c r="I650" i="4"/>
  <c r="J650" i="4" s="1"/>
  <c r="I656" i="4"/>
  <c r="J656" i="4" s="1"/>
  <c r="I662" i="4"/>
  <c r="J662" i="4" s="1"/>
  <c r="I668" i="4"/>
  <c r="J668" i="4" s="1"/>
  <c r="I674" i="4"/>
  <c r="J674" i="4" s="1"/>
  <c r="I680" i="4"/>
  <c r="J680" i="4" s="1"/>
  <c r="I686" i="4"/>
  <c r="J686" i="4" s="1"/>
  <c r="I692" i="4"/>
  <c r="J692" i="4" s="1"/>
  <c r="I698" i="4"/>
  <c r="J698" i="4" s="1"/>
  <c r="I704" i="4"/>
  <c r="J704" i="4" s="1"/>
  <c r="I710" i="4"/>
  <c r="J710" i="4" s="1"/>
  <c r="I716" i="4"/>
  <c r="J716" i="4" s="1"/>
  <c r="I722" i="4"/>
  <c r="J722" i="4" s="1"/>
  <c r="I728" i="4"/>
  <c r="J728" i="4" s="1"/>
  <c r="I734" i="4"/>
  <c r="J734" i="4" s="1"/>
  <c r="I740" i="4"/>
  <c r="J740" i="4" s="1"/>
  <c r="I746" i="4"/>
  <c r="J746" i="4" s="1"/>
  <c r="I752" i="4"/>
  <c r="J752" i="4" s="1"/>
  <c r="I758" i="4"/>
  <c r="J758" i="4" s="1"/>
  <c r="I764" i="4"/>
  <c r="J764" i="4" s="1"/>
  <c r="I770" i="4"/>
  <c r="J770" i="4" s="1"/>
  <c r="I776" i="4"/>
  <c r="J776" i="4" s="1"/>
  <c r="I782" i="4"/>
  <c r="J782" i="4" s="1"/>
  <c r="I788" i="4"/>
  <c r="J788" i="4" s="1"/>
  <c r="I794" i="4"/>
  <c r="J794" i="4" s="1"/>
  <c r="I800" i="4"/>
  <c r="J800" i="4" s="1"/>
  <c r="I806" i="4"/>
  <c r="J806" i="4" s="1"/>
  <c r="I812" i="4"/>
  <c r="J812" i="4" s="1"/>
  <c r="I818" i="4"/>
  <c r="J818" i="4" s="1"/>
  <c r="I824" i="4"/>
  <c r="J824" i="4" s="1"/>
  <c r="I830" i="4"/>
  <c r="J830" i="4" s="1"/>
  <c r="I836" i="4"/>
  <c r="J836" i="4" s="1"/>
  <c r="I842" i="4"/>
  <c r="J842" i="4" s="1"/>
  <c r="I848" i="4"/>
  <c r="J848" i="4" s="1"/>
  <c r="I854" i="4"/>
  <c r="J854" i="4" s="1"/>
  <c r="I860" i="4"/>
  <c r="J860" i="4" s="1"/>
  <c r="I866" i="4"/>
  <c r="J866" i="4" s="1"/>
  <c r="I872" i="4"/>
  <c r="J872" i="4" s="1"/>
  <c r="I878" i="4"/>
  <c r="J878" i="4" s="1"/>
  <c r="I884" i="4"/>
  <c r="J884" i="4" s="1"/>
  <c r="I890" i="4"/>
  <c r="J890" i="4" s="1"/>
  <c r="I896" i="4"/>
  <c r="J896" i="4" s="1"/>
  <c r="I902" i="4"/>
  <c r="J902" i="4" s="1"/>
  <c r="I908" i="4"/>
  <c r="J908" i="4" s="1"/>
  <c r="I914" i="4"/>
  <c r="J914" i="4" s="1"/>
  <c r="I920" i="4"/>
  <c r="J920" i="4" s="1"/>
  <c r="I926" i="4"/>
  <c r="J926" i="4" s="1"/>
  <c r="I932" i="4"/>
  <c r="J932" i="4" s="1"/>
  <c r="I938" i="4"/>
  <c r="J938" i="4" s="1"/>
  <c r="I944" i="4"/>
  <c r="J944" i="4" s="1"/>
  <c r="I950" i="4"/>
  <c r="J950" i="4" s="1"/>
  <c r="I956" i="4"/>
  <c r="J956" i="4" s="1"/>
  <c r="I962" i="4"/>
  <c r="J962" i="4" s="1"/>
  <c r="I968" i="4"/>
  <c r="J968" i="4" s="1"/>
  <c r="I974" i="4"/>
  <c r="J974" i="4" s="1"/>
  <c r="I980" i="4"/>
  <c r="J980" i="4" s="1"/>
  <c r="I986" i="4"/>
  <c r="J986" i="4" s="1"/>
  <c r="I992" i="4"/>
  <c r="J992" i="4" s="1"/>
  <c r="I998" i="4"/>
  <c r="J998" i="4" s="1"/>
  <c r="I1004" i="4"/>
  <c r="J1004" i="4" s="1"/>
  <c r="I1010" i="4"/>
  <c r="J1010" i="4" s="1"/>
  <c r="I1016" i="4"/>
  <c r="J1016" i="4" s="1"/>
  <c r="I1022" i="4"/>
  <c r="J1022" i="4" s="1"/>
  <c r="I1028" i="4"/>
  <c r="J1028" i="4" s="1"/>
  <c r="I1034" i="4"/>
  <c r="J1034" i="4" s="1"/>
  <c r="I1040" i="4"/>
  <c r="J1040" i="4" s="1"/>
  <c r="I1046" i="4"/>
  <c r="J1046" i="4" s="1"/>
  <c r="I1052" i="4"/>
  <c r="J1052" i="4" s="1"/>
  <c r="I1058" i="4"/>
  <c r="J1058" i="4" s="1"/>
  <c r="I1064" i="4"/>
  <c r="J1064" i="4" s="1"/>
  <c r="I1070" i="4"/>
  <c r="J1070" i="4" s="1"/>
  <c r="I1076" i="4"/>
  <c r="J1076" i="4" s="1"/>
  <c r="I1082" i="4"/>
  <c r="J1082" i="4" s="1"/>
  <c r="I1088" i="4"/>
  <c r="J1088" i="4" s="1"/>
  <c r="I1094" i="4"/>
  <c r="J1094" i="4" s="1"/>
  <c r="I1100" i="4"/>
  <c r="J1100" i="4" s="1"/>
  <c r="I1106" i="4"/>
  <c r="J1106" i="4" s="1"/>
  <c r="I1112" i="4"/>
  <c r="J1112" i="4" s="1"/>
  <c r="I1118" i="4"/>
  <c r="J1118" i="4" s="1"/>
  <c r="I1124" i="4"/>
  <c r="J1124" i="4" s="1"/>
  <c r="I225" i="4"/>
  <c r="J225" i="4" s="1"/>
  <c r="I231" i="4"/>
  <c r="J231" i="4" s="1"/>
  <c r="I237" i="4"/>
  <c r="J237" i="4" s="1"/>
  <c r="I243" i="4"/>
  <c r="J243" i="4" s="1"/>
  <c r="I249" i="4"/>
  <c r="J249" i="4" s="1"/>
  <c r="I255" i="4"/>
  <c r="J255" i="4" s="1"/>
  <c r="I261" i="4"/>
  <c r="J261" i="4" s="1"/>
  <c r="I267" i="4"/>
  <c r="J267" i="4" s="1"/>
  <c r="I273" i="4"/>
  <c r="J273" i="4" s="1"/>
  <c r="I279" i="4"/>
  <c r="J279" i="4" s="1"/>
  <c r="I285" i="4"/>
  <c r="J285" i="4" s="1"/>
  <c r="I291" i="4"/>
  <c r="J291" i="4" s="1"/>
  <c r="I297" i="4"/>
  <c r="J297" i="4" s="1"/>
  <c r="I303" i="4"/>
  <c r="J303" i="4" s="1"/>
  <c r="I309" i="4"/>
  <c r="J309" i="4" s="1"/>
  <c r="I315" i="4"/>
  <c r="J315" i="4" s="1"/>
  <c r="I321" i="4"/>
  <c r="J321" i="4" s="1"/>
  <c r="I327" i="4"/>
  <c r="J327" i="4" s="1"/>
  <c r="I333" i="4"/>
  <c r="J333" i="4" s="1"/>
  <c r="I339" i="4"/>
  <c r="J339" i="4" s="1"/>
  <c r="I345" i="4"/>
  <c r="J345" i="4" s="1"/>
  <c r="I351" i="4"/>
  <c r="J351" i="4" s="1"/>
  <c r="I357" i="4"/>
  <c r="J357" i="4" s="1"/>
  <c r="I363" i="4"/>
  <c r="J363" i="4" s="1"/>
  <c r="I369" i="4"/>
  <c r="J369" i="4" s="1"/>
  <c r="I375" i="4"/>
  <c r="J375" i="4" s="1"/>
  <c r="I381" i="4"/>
  <c r="J381" i="4" s="1"/>
  <c r="I387" i="4"/>
  <c r="J387" i="4" s="1"/>
  <c r="I393" i="4"/>
  <c r="J393" i="4" s="1"/>
  <c r="I399" i="4"/>
  <c r="J399" i="4" s="1"/>
  <c r="I405" i="4"/>
  <c r="J405" i="4" s="1"/>
  <c r="I411" i="4"/>
  <c r="J411" i="4" s="1"/>
  <c r="I417" i="4"/>
  <c r="J417" i="4" s="1"/>
  <c r="I423" i="4"/>
  <c r="J423" i="4" s="1"/>
  <c r="I429" i="4"/>
  <c r="J429" i="4" s="1"/>
  <c r="I435" i="4"/>
  <c r="J435" i="4" s="1"/>
  <c r="I441" i="4"/>
  <c r="J441" i="4" s="1"/>
  <c r="I447" i="4"/>
  <c r="J447" i="4" s="1"/>
  <c r="I453" i="4"/>
  <c r="J453" i="4" s="1"/>
  <c r="I459" i="4"/>
  <c r="J459" i="4" s="1"/>
  <c r="I465" i="4"/>
  <c r="J465" i="4" s="1"/>
  <c r="I471" i="4"/>
  <c r="J471" i="4" s="1"/>
  <c r="I477" i="4"/>
  <c r="J477" i="4" s="1"/>
  <c r="I483" i="4"/>
  <c r="J483" i="4" s="1"/>
  <c r="I489" i="4"/>
  <c r="J489" i="4" s="1"/>
  <c r="I495" i="4"/>
  <c r="J495" i="4" s="1"/>
  <c r="I501" i="4"/>
  <c r="J501" i="4" s="1"/>
  <c r="I507" i="4"/>
  <c r="J507" i="4" s="1"/>
  <c r="I513" i="4"/>
  <c r="J513" i="4" s="1"/>
  <c r="I519" i="4"/>
  <c r="J519" i="4" s="1"/>
  <c r="I525" i="4"/>
  <c r="J525" i="4" s="1"/>
  <c r="I531" i="4"/>
  <c r="J531" i="4" s="1"/>
  <c r="I537" i="4"/>
  <c r="J537" i="4" s="1"/>
  <c r="I543" i="4"/>
  <c r="J543" i="4" s="1"/>
  <c r="I549" i="4"/>
  <c r="J549" i="4" s="1"/>
  <c r="I555" i="4"/>
  <c r="J555" i="4" s="1"/>
  <c r="I561" i="4"/>
  <c r="J561" i="4" s="1"/>
  <c r="I567" i="4"/>
  <c r="J567" i="4" s="1"/>
  <c r="I573" i="4"/>
  <c r="J573" i="4" s="1"/>
  <c r="I579" i="4"/>
  <c r="J579" i="4" s="1"/>
  <c r="I585" i="4"/>
  <c r="J585" i="4" s="1"/>
  <c r="I591" i="4"/>
  <c r="J591" i="4" s="1"/>
  <c r="I597" i="4"/>
  <c r="J597" i="4" s="1"/>
  <c r="I226" i="4"/>
  <c r="J226" i="4" s="1"/>
  <c r="I232" i="4"/>
  <c r="J232" i="4" s="1"/>
  <c r="I238" i="4"/>
  <c r="J238" i="4" s="1"/>
  <c r="I244" i="4"/>
  <c r="J244" i="4" s="1"/>
  <c r="I250" i="4"/>
  <c r="J250" i="4" s="1"/>
  <c r="I256" i="4"/>
  <c r="J256" i="4" s="1"/>
  <c r="I262" i="4"/>
  <c r="J262" i="4" s="1"/>
  <c r="I268" i="4"/>
  <c r="J268" i="4" s="1"/>
  <c r="I274" i="4"/>
  <c r="J274" i="4" s="1"/>
  <c r="I280" i="4"/>
  <c r="J280" i="4" s="1"/>
  <c r="I286" i="4"/>
  <c r="J286" i="4" s="1"/>
  <c r="I292" i="4"/>
  <c r="J292" i="4" s="1"/>
  <c r="I298" i="4"/>
  <c r="J298" i="4" s="1"/>
  <c r="I304" i="4"/>
  <c r="J304" i="4" s="1"/>
  <c r="I310" i="4"/>
  <c r="J310" i="4" s="1"/>
  <c r="I316" i="4"/>
  <c r="J316" i="4" s="1"/>
  <c r="I322" i="4"/>
  <c r="J322" i="4" s="1"/>
  <c r="I328" i="4"/>
  <c r="J328" i="4" s="1"/>
  <c r="I334" i="4"/>
  <c r="J334" i="4" s="1"/>
  <c r="I340" i="4"/>
  <c r="J340" i="4" s="1"/>
  <c r="I346" i="4"/>
  <c r="J346" i="4" s="1"/>
  <c r="I352" i="4"/>
  <c r="J352" i="4" s="1"/>
  <c r="I358" i="4"/>
  <c r="J358" i="4" s="1"/>
  <c r="I364" i="4"/>
  <c r="J364" i="4" s="1"/>
  <c r="I370" i="4"/>
  <c r="J370" i="4" s="1"/>
  <c r="I376" i="4"/>
  <c r="J376" i="4" s="1"/>
  <c r="I382" i="4"/>
  <c r="J382" i="4" s="1"/>
  <c r="I388" i="4"/>
  <c r="J388" i="4" s="1"/>
  <c r="I394" i="4"/>
  <c r="J394" i="4" s="1"/>
  <c r="I400" i="4"/>
  <c r="J400" i="4" s="1"/>
  <c r="I406" i="4"/>
  <c r="J406" i="4" s="1"/>
  <c r="I412" i="4"/>
  <c r="J412" i="4" s="1"/>
  <c r="I418" i="4"/>
  <c r="J418" i="4" s="1"/>
  <c r="I424" i="4"/>
  <c r="J424" i="4" s="1"/>
  <c r="I430" i="4"/>
  <c r="J430" i="4" s="1"/>
  <c r="I436" i="4"/>
  <c r="J436" i="4" s="1"/>
  <c r="I442" i="4"/>
  <c r="J442" i="4" s="1"/>
  <c r="I448" i="4"/>
  <c r="J448" i="4" s="1"/>
  <c r="I454" i="4"/>
  <c r="J454" i="4" s="1"/>
  <c r="I460" i="4"/>
  <c r="J460" i="4" s="1"/>
  <c r="I466" i="4"/>
  <c r="J466" i="4" s="1"/>
  <c r="I472" i="4"/>
  <c r="J472" i="4" s="1"/>
  <c r="I478" i="4"/>
  <c r="J478" i="4" s="1"/>
  <c r="I484" i="4"/>
  <c r="J484" i="4" s="1"/>
  <c r="I490" i="4"/>
  <c r="J490" i="4" s="1"/>
  <c r="I496" i="4"/>
  <c r="J496" i="4" s="1"/>
  <c r="I502" i="4"/>
  <c r="J502" i="4" s="1"/>
  <c r="I508" i="4"/>
  <c r="J508" i="4" s="1"/>
  <c r="I514" i="4"/>
  <c r="J514" i="4" s="1"/>
  <c r="I520" i="4"/>
  <c r="J520" i="4" s="1"/>
  <c r="I526" i="4"/>
  <c r="J526" i="4" s="1"/>
  <c r="I532" i="4"/>
  <c r="J532" i="4" s="1"/>
  <c r="I538" i="4"/>
  <c r="J538" i="4" s="1"/>
  <c r="I544" i="4"/>
  <c r="J544" i="4" s="1"/>
  <c r="I550" i="4"/>
  <c r="J550" i="4" s="1"/>
  <c r="I556" i="4"/>
  <c r="J556" i="4" s="1"/>
  <c r="I562" i="4"/>
  <c r="J562" i="4" s="1"/>
  <c r="I568" i="4"/>
  <c r="J568" i="4" s="1"/>
  <c r="I574" i="4"/>
  <c r="J574" i="4" s="1"/>
  <c r="I580" i="4"/>
  <c r="J580" i="4" s="1"/>
  <c r="I586" i="4"/>
  <c r="J586" i="4" s="1"/>
  <c r="I592" i="4"/>
  <c r="J592" i="4" s="1"/>
  <c r="I598" i="4"/>
  <c r="J598" i="4" s="1"/>
  <c r="I221" i="4"/>
  <c r="J221" i="4" s="1"/>
  <c r="I227" i="4"/>
  <c r="J227" i="4" s="1"/>
  <c r="I233" i="4"/>
  <c r="J233" i="4" s="1"/>
  <c r="I239" i="4"/>
  <c r="J239" i="4" s="1"/>
  <c r="I245" i="4"/>
  <c r="J245" i="4" s="1"/>
  <c r="I251" i="4"/>
  <c r="J251" i="4" s="1"/>
  <c r="I257" i="4"/>
  <c r="J257" i="4" s="1"/>
  <c r="I263" i="4"/>
  <c r="J263" i="4" s="1"/>
  <c r="I269" i="4"/>
  <c r="J269" i="4" s="1"/>
  <c r="I275" i="4"/>
  <c r="J275" i="4" s="1"/>
  <c r="I281" i="4"/>
  <c r="J281" i="4" s="1"/>
  <c r="I287" i="4"/>
  <c r="J287" i="4" s="1"/>
  <c r="I293" i="4"/>
  <c r="J293" i="4" s="1"/>
  <c r="I299" i="4"/>
  <c r="J299" i="4" s="1"/>
  <c r="I305" i="4"/>
  <c r="J305" i="4" s="1"/>
  <c r="I311" i="4"/>
  <c r="J311" i="4" s="1"/>
  <c r="I317" i="4"/>
  <c r="J317" i="4" s="1"/>
  <c r="I323" i="4"/>
  <c r="J323" i="4" s="1"/>
  <c r="I329" i="4"/>
  <c r="J329" i="4" s="1"/>
  <c r="I335" i="4"/>
  <c r="J335" i="4" s="1"/>
  <c r="I341" i="4"/>
  <c r="J341" i="4" s="1"/>
  <c r="I347" i="4"/>
  <c r="J347" i="4" s="1"/>
  <c r="I353" i="4"/>
  <c r="J353" i="4" s="1"/>
  <c r="I359" i="4"/>
  <c r="J359" i="4" s="1"/>
  <c r="I365" i="4"/>
  <c r="J365" i="4" s="1"/>
  <c r="I371" i="4"/>
  <c r="J371" i="4" s="1"/>
  <c r="I377" i="4"/>
  <c r="J377" i="4" s="1"/>
  <c r="I383" i="4"/>
  <c r="J383" i="4" s="1"/>
  <c r="I389" i="4"/>
  <c r="J389" i="4" s="1"/>
  <c r="I395" i="4"/>
  <c r="J395" i="4" s="1"/>
  <c r="I401" i="4"/>
  <c r="J401" i="4" s="1"/>
  <c r="I407" i="4"/>
  <c r="J407" i="4" s="1"/>
  <c r="I413" i="4"/>
  <c r="J413" i="4" s="1"/>
  <c r="I419" i="4"/>
  <c r="J419" i="4" s="1"/>
  <c r="I425" i="4"/>
  <c r="J425" i="4" s="1"/>
  <c r="I431" i="4"/>
  <c r="J431" i="4" s="1"/>
  <c r="I437" i="4"/>
  <c r="J437" i="4" s="1"/>
  <c r="I443" i="4"/>
  <c r="J443" i="4" s="1"/>
  <c r="I449" i="4"/>
  <c r="J449" i="4" s="1"/>
  <c r="I455" i="4"/>
  <c r="J455" i="4" s="1"/>
  <c r="I461" i="4"/>
  <c r="J461" i="4" s="1"/>
  <c r="I467" i="4"/>
  <c r="J467" i="4" s="1"/>
  <c r="I473" i="4"/>
  <c r="J473" i="4" s="1"/>
  <c r="I479" i="4"/>
  <c r="J479" i="4" s="1"/>
  <c r="I485" i="4"/>
  <c r="J485" i="4" s="1"/>
  <c r="I491" i="4"/>
  <c r="J491" i="4" s="1"/>
  <c r="I497" i="4"/>
  <c r="J497" i="4" s="1"/>
  <c r="I503" i="4"/>
  <c r="J503" i="4" s="1"/>
  <c r="I509" i="4"/>
  <c r="J509" i="4" s="1"/>
  <c r="I515" i="4"/>
  <c r="J515" i="4" s="1"/>
  <c r="I521" i="4"/>
  <c r="J521" i="4" s="1"/>
  <c r="I527" i="4"/>
  <c r="J527" i="4" s="1"/>
  <c r="I533" i="4"/>
  <c r="J533" i="4" s="1"/>
  <c r="I539" i="4"/>
  <c r="J539" i="4" s="1"/>
  <c r="I545" i="4"/>
  <c r="J545" i="4" s="1"/>
  <c r="I551" i="4"/>
  <c r="J551" i="4" s="1"/>
  <c r="I557" i="4"/>
  <c r="J557" i="4" s="1"/>
  <c r="I563" i="4"/>
  <c r="J563" i="4" s="1"/>
  <c r="I569" i="4"/>
  <c r="J569" i="4" s="1"/>
  <c r="I575" i="4"/>
  <c r="J575" i="4" s="1"/>
  <c r="I581" i="4"/>
  <c r="J581" i="4" s="1"/>
  <c r="I587" i="4"/>
  <c r="J587" i="4" s="1"/>
  <c r="I593" i="4"/>
  <c r="J593" i="4" s="1"/>
  <c r="I599" i="4"/>
  <c r="J599" i="4" s="1"/>
  <c r="I605" i="4"/>
  <c r="J605" i="4" s="1"/>
  <c r="I611" i="4"/>
  <c r="J611" i="4" s="1"/>
  <c r="I617" i="4"/>
  <c r="J617" i="4" s="1"/>
  <c r="I623" i="4"/>
  <c r="J623" i="4" s="1"/>
  <c r="I629" i="4"/>
  <c r="J629" i="4" s="1"/>
  <c r="I635" i="4"/>
  <c r="J635" i="4" s="1"/>
  <c r="I641" i="4"/>
  <c r="J641" i="4" s="1"/>
  <c r="I647" i="4"/>
  <c r="J647" i="4" s="1"/>
  <c r="I653" i="4"/>
  <c r="J653" i="4" s="1"/>
  <c r="I659" i="4"/>
  <c r="J659" i="4" s="1"/>
  <c r="I665" i="4"/>
  <c r="J665" i="4" s="1"/>
  <c r="I671" i="4"/>
  <c r="J671" i="4" s="1"/>
  <c r="I677" i="4"/>
  <c r="J677" i="4" s="1"/>
  <c r="I683" i="4"/>
  <c r="J683" i="4" s="1"/>
  <c r="I689" i="4"/>
  <c r="J689" i="4" s="1"/>
  <c r="I695" i="4"/>
  <c r="J695" i="4" s="1"/>
  <c r="I701" i="4"/>
  <c r="J701" i="4" s="1"/>
  <c r="I707" i="4"/>
  <c r="J707" i="4" s="1"/>
  <c r="I713" i="4"/>
  <c r="J713" i="4" s="1"/>
  <c r="I719" i="4"/>
  <c r="J719" i="4" s="1"/>
  <c r="I725" i="4"/>
  <c r="J725" i="4" s="1"/>
  <c r="I731" i="4"/>
  <c r="J731" i="4" s="1"/>
  <c r="I737" i="4"/>
  <c r="J737" i="4" s="1"/>
  <c r="I743" i="4"/>
  <c r="J743" i="4" s="1"/>
  <c r="I749" i="4"/>
  <c r="J749" i="4" s="1"/>
  <c r="I755" i="4"/>
  <c r="J755" i="4" s="1"/>
  <c r="I761" i="4"/>
  <c r="J761" i="4" s="1"/>
  <c r="I767" i="4"/>
  <c r="J767" i="4" s="1"/>
  <c r="I773" i="4"/>
  <c r="J773" i="4" s="1"/>
  <c r="I779" i="4"/>
  <c r="J779" i="4" s="1"/>
  <c r="I785" i="4"/>
  <c r="J785" i="4" s="1"/>
  <c r="I791" i="4"/>
  <c r="J791" i="4" s="1"/>
  <c r="I797" i="4"/>
  <c r="J797" i="4" s="1"/>
  <c r="I803" i="4"/>
  <c r="J803" i="4" s="1"/>
  <c r="I809" i="4"/>
  <c r="J809" i="4" s="1"/>
  <c r="I815" i="4"/>
  <c r="J815" i="4" s="1"/>
  <c r="I821" i="4"/>
  <c r="J821" i="4" s="1"/>
  <c r="I827" i="4"/>
  <c r="J827" i="4" s="1"/>
  <c r="I833" i="4"/>
  <c r="J833" i="4" s="1"/>
  <c r="I839" i="4"/>
  <c r="J839" i="4" s="1"/>
  <c r="I845" i="4"/>
  <c r="J845" i="4" s="1"/>
  <c r="I851" i="4"/>
  <c r="J851" i="4" s="1"/>
  <c r="I857" i="4"/>
  <c r="J857" i="4" s="1"/>
  <c r="I863" i="4"/>
  <c r="J863" i="4" s="1"/>
  <c r="I869" i="4"/>
  <c r="J869" i="4" s="1"/>
  <c r="I875" i="4"/>
  <c r="J875" i="4" s="1"/>
  <c r="I881" i="4"/>
  <c r="J881" i="4" s="1"/>
  <c r="I887" i="4"/>
  <c r="J887" i="4" s="1"/>
  <c r="I893" i="4"/>
  <c r="J893" i="4" s="1"/>
  <c r="I899" i="4"/>
  <c r="J899" i="4" s="1"/>
  <c r="I905" i="4"/>
  <c r="J905" i="4" s="1"/>
  <c r="I911" i="4"/>
  <c r="J911" i="4" s="1"/>
  <c r="I917" i="4"/>
  <c r="J917" i="4" s="1"/>
  <c r="I923" i="4"/>
  <c r="J923" i="4" s="1"/>
  <c r="I929" i="4"/>
  <c r="J929" i="4" s="1"/>
  <c r="I935" i="4"/>
  <c r="J935" i="4" s="1"/>
  <c r="I941" i="4"/>
  <c r="J941" i="4" s="1"/>
  <c r="I947" i="4"/>
  <c r="J947" i="4" s="1"/>
  <c r="I953" i="4"/>
  <c r="J953" i="4" s="1"/>
  <c r="I959" i="4"/>
  <c r="J959" i="4" s="1"/>
  <c r="I965" i="4"/>
  <c r="J965" i="4" s="1"/>
  <c r="I971" i="4"/>
  <c r="J971" i="4" s="1"/>
  <c r="I977" i="4"/>
  <c r="J977" i="4" s="1"/>
  <c r="I983" i="4"/>
  <c r="J983" i="4" s="1"/>
  <c r="I989" i="4"/>
  <c r="J989" i="4" s="1"/>
  <c r="I995" i="4"/>
  <c r="J995" i="4" s="1"/>
  <c r="I1001" i="4"/>
  <c r="J1001" i="4" s="1"/>
  <c r="I1007" i="4"/>
  <c r="J1007" i="4" s="1"/>
  <c r="I1013" i="4"/>
  <c r="J1013" i="4" s="1"/>
  <c r="I1019" i="4"/>
  <c r="J1019" i="4" s="1"/>
  <c r="I1025" i="4"/>
  <c r="J1025" i="4" s="1"/>
  <c r="I1031" i="4"/>
  <c r="J1031" i="4" s="1"/>
  <c r="I1037" i="4"/>
  <c r="J1037" i="4" s="1"/>
  <c r="I1043" i="4"/>
  <c r="J1043" i="4" s="1"/>
  <c r="I1049" i="4"/>
  <c r="J1049" i="4" s="1"/>
  <c r="I1055" i="4"/>
  <c r="J1055" i="4" s="1"/>
  <c r="I1061" i="4"/>
  <c r="J1061" i="4" s="1"/>
  <c r="I1067" i="4"/>
  <c r="J1067" i="4" s="1"/>
  <c r="I1073" i="4"/>
  <c r="J1073" i="4" s="1"/>
  <c r="I1079" i="4"/>
  <c r="J1079" i="4" s="1"/>
  <c r="I1085" i="4"/>
  <c r="J1085" i="4" s="1"/>
  <c r="I1091" i="4"/>
  <c r="J1091" i="4" s="1"/>
  <c r="I1097" i="4"/>
  <c r="J1097" i="4" s="1"/>
  <c r="I1103" i="4"/>
  <c r="J1103" i="4" s="1"/>
  <c r="I1109" i="4"/>
  <c r="J1109" i="4" s="1"/>
  <c r="I1115" i="4"/>
  <c r="J1115" i="4" s="1"/>
  <c r="I222" i="4"/>
  <c r="J222" i="4" s="1"/>
  <c r="I228" i="4"/>
  <c r="J228" i="4" s="1"/>
  <c r="I234" i="4"/>
  <c r="J234" i="4" s="1"/>
  <c r="I240" i="4"/>
  <c r="J240" i="4" s="1"/>
  <c r="I246" i="4"/>
  <c r="J246" i="4" s="1"/>
  <c r="I252" i="4"/>
  <c r="J252" i="4" s="1"/>
  <c r="I258" i="4"/>
  <c r="J258" i="4" s="1"/>
  <c r="I264" i="4"/>
  <c r="J264" i="4" s="1"/>
  <c r="I270" i="4"/>
  <c r="J270" i="4" s="1"/>
  <c r="I276" i="4"/>
  <c r="J276" i="4" s="1"/>
  <c r="I282" i="4"/>
  <c r="J282" i="4" s="1"/>
  <c r="I288" i="4"/>
  <c r="J288" i="4" s="1"/>
  <c r="I294" i="4"/>
  <c r="J294" i="4" s="1"/>
  <c r="I300" i="4"/>
  <c r="J300" i="4" s="1"/>
  <c r="I306" i="4"/>
  <c r="J306" i="4" s="1"/>
  <c r="I312" i="4"/>
  <c r="J312" i="4" s="1"/>
  <c r="I318" i="4"/>
  <c r="J318" i="4" s="1"/>
  <c r="I324" i="4"/>
  <c r="J324" i="4" s="1"/>
  <c r="I330" i="4"/>
  <c r="J330" i="4" s="1"/>
  <c r="I336" i="4"/>
  <c r="J336" i="4" s="1"/>
  <c r="I342" i="4"/>
  <c r="J342" i="4" s="1"/>
  <c r="I348" i="4"/>
  <c r="J348" i="4" s="1"/>
  <c r="I354" i="4"/>
  <c r="J354" i="4" s="1"/>
  <c r="I360" i="4"/>
  <c r="J360" i="4" s="1"/>
  <c r="I366" i="4"/>
  <c r="J366" i="4" s="1"/>
  <c r="I372" i="4"/>
  <c r="J372" i="4" s="1"/>
  <c r="I378" i="4"/>
  <c r="J378" i="4" s="1"/>
  <c r="I384" i="4"/>
  <c r="J384" i="4" s="1"/>
  <c r="I390" i="4"/>
  <c r="J390" i="4" s="1"/>
  <c r="I396" i="4"/>
  <c r="J396" i="4" s="1"/>
  <c r="I402" i="4"/>
  <c r="J402" i="4" s="1"/>
  <c r="I408" i="4"/>
  <c r="J408" i="4" s="1"/>
  <c r="I414" i="4"/>
  <c r="J414" i="4" s="1"/>
  <c r="I420" i="4"/>
  <c r="J420" i="4" s="1"/>
  <c r="I426" i="4"/>
  <c r="J426" i="4" s="1"/>
  <c r="I432" i="4"/>
  <c r="J432" i="4" s="1"/>
  <c r="I438" i="4"/>
  <c r="J438" i="4" s="1"/>
  <c r="I444" i="4"/>
  <c r="J444" i="4" s="1"/>
  <c r="I450" i="4"/>
  <c r="J450" i="4" s="1"/>
  <c r="I456" i="4"/>
  <c r="J456" i="4" s="1"/>
  <c r="I462" i="4"/>
  <c r="J462" i="4" s="1"/>
  <c r="I468" i="4"/>
  <c r="J468" i="4" s="1"/>
  <c r="I474" i="4"/>
  <c r="J474" i="4" s="1"/>
  <c r="I480" i="4"/>
  <c r="J480" i="4" s="1"/>
  <c r="I486" i="4"/>
  <c r="J486" i="4" s="1"/>
  <c r="I492" i="4"/>
  <c r="J492" i="4" s="1"/>
  <c r="I498" i="4"/>
  <c r="J498" i="4" s="1"/>
  <c r="I504" i="4"/>
  <c r="J504" i="4" s="1"/>
  <c r="I510" i="4"/>
  <c r="J510" i="4" s="1"/>
  <c r="I516" i="4"/>
  <c r="J516" i="4" s="1"/>
  <c r="I522" i="4"/>
  <c r="J522" i="4" s="1"/>
  <c r="I528" i="4"/>
  <c r="J528" i="4" s="1"/>
  <c r="I534" i="4"/>
  <c r="J534" i="4" s="1"/>
  <c r="I540" i="4"/>
  <c r="J540" i="4" s="1"/>
  <c r="I546" i="4"/>
  <c r="J546" i="4" s="1"/>
  <c r="I552" i="4"/>
  <c r="J552" i="4" s="1"/>
  <c r="I558" i="4"/>
  <c r="J558" i="4" s="1"/>
  <c r="I564" i="4"/>
  <c r="J564" i="4" s="1"/>
  <c r="I570" i="4"/>
  <c r="J570" i="4" s="1"/>
  <c r="I576" i="4"/>
  <c r="J576" i="4" s="1"/>
  <c r="I582" i="4"/>
  <c r="J582" i="4" s="1"/>
  <c r="I588" i="4"/>
  <c r="J588" i="4" s="1"/>
  <c r="I594" i="4"/>
  <c r="J594" i="4" s="1"/>
  <c r="I600" i="4"/>
  <c r="J600" i="4" s="1"/>
  <c r="I606" i="4"/>
  <c r="J606" i="4" s="1"/>
  <c r="I612" i="4"/>
  <c r="J612" i="4" s="1"/>
  <c r="I618" i="4"/>
  <c r="J618" i="4" s="1"/>
  <c r="I624" i="4"/>
  <c r="J624" i="4" s="1"/>
  <c r="I630" i="4"/>
  <c r="J630" i="4" s="1"/>
  <c r="I636" i="4"/>
  <c r="J636" i="4" s="1"/>
  <c r="I642" i="4"/>
  <c r="J642" i="4" s="1"/>
  <c r="I648" i="4"/>
  <c r="J648" i="4" s="1"/>
  <c r="I654" i="4"/>
  <c r="J654" i="4" s="1"/>
  <c r="I660" i="4"/>
  <c r="J660" i="4" s="1"/>
  <c r="I666" i="4"/>
  <c r="J666" i="4" s="1"/>
  <c r="I672" i="4"/>
  <c r="J672" i="4" s="1"/>
  <c r="I678" i="4"/>
  <c r="J678" i="4" s="1"/>
  <c r="I684" i="4"/>
  <c r="J684" i="4" s="1"/>
  <c r="I690" i="4"/>
  <c r="J690" i="4" s="1"/>
  <c r="I696" i="4"/>
  <c r="J696" i="4" s="1"/>
  <c r="I702" i="4"/>
  <c r="J702" i="4" s="1"/>
  <c r="I708" i="4"/>
  <c r="J708" i="4" s="1"/>
  <c r="I714" i="4"/>
  <c r="J714" i="4" s="1"/>
  <c r="I720" i="4"/>
  <c r="J720" i="4" s="1"/>
  <c r="I726" i="4"/>
  <c r="J726" i="4" s="1"/>
  <c r="I732" i="4"/>
  <c r="J732" i="4" s="1"/>
  <c r="I738" i="4"/>
  <c r="J738" i="4" s="1"/>
  <c r="I744" i="4"/>
  <c r="J744" i="4" s="1"/>
  <c r="I750" i="4"/>
  <c r="J750" i="4" s="1"/>
  <c r="I756" i="4"/>
  <c r="J756" i="4" s="1"/>
  <c r="I762" i="4"/>
  <c r="J762" i="4" s="1"/>
  <c r="I768" i="4"/>
  <c r="J768" i="4" s="1"/>
  <c r="I774" i="4"/>
  <c r="J774" i="4" s="1"/>
  <c r="I780" i="4"/>
  <c r="J780" i="4" s="1"/>
  <c r="I786" i="4"/>
  <c r="J786" i="4" s="1"/>
  <c r="I792" i="4"/>
  <c r="J792" i="4" s="1"/>
  <c r="I798" i="4"/>
  <c r="J798" i="4" s="1"/>
  <c r="I804" i="4"/>
  <c r="J804" i="4" s="1"/>
  <c r="I810" i="4"/>
  <c r="J810" i="4" s="1"/>
  <c r="I816" i="4"/>
  <c r="J816" i="4" s="1"/>
  <c r="I822" i="4"/>
  <c r="J822" i="4" s="1"/>
  <c r="I828" i="4"/>
  <c r="J828" i="4" s="1"/>
  <c r="I834" i="4"/>
  <c r="J834" i="4" s="1"/>
  <c r="I840" i="4"/>
  <c r="J840" i="4" s="1"/>
  <c r="I846" i="4"/>
  <c r="J846" i="4" s="1"/>
  <c r="I852" i="4"/>
  <c r="J852" i="4" s="1"/>
  <c r="I858" i="4"/>
  <c r="J858" i="4" s="1"/>
  <c r="I864" i="4"/>
  <c r="J864" i="4" s="1"/>
  <c r="I870" i="4"/>
  <c r="J870" i="4" s="1"/>
  <c r="I876" i="4"/>
  <c r="J876" i="4" s="1"/>
  <c r="I882" i="4"/>
  <c r="J882" i="4" s="1"/>
  <c r="I888" i="4"/>
  <c r="J888" i="4" s="1"/>
  <c r="I894" i="4"/>
  <c r="J894" i="4" s="1"/>
  <c r="I900" i="4"/>
  <c r="J900" i="4" s="1"/>
  <c r="I906" i="4"/>
  <c r="J906" i="4" s="1"/>
  <c r="I912" i="4"/>
  <c r="J912" i="4" s="1"/>
  <c r="I918" i="4"/>
  <c r="J918" i="4" s="1"/>
  <c r="I924" i="4"/>
  <c r="J924" i="4" s="1"/>
  <c r="I930" i="4"/>
  <c r="J930" i="4" s="1"/>
  <c r="I936" i="4"/>
  <c r="J936" i="4" s="1"/>
  <c r="I942" i="4"/>
  <c r="J942" i="4" s="1"/>
  <c r="I948" i="4"/>
  <c r="J948" i="4" s="1"/>
  <c r="I954" i="4"/>
  <c r="J954" i="4" s="1"/>
  <c r="I960" i="4"/>
  <c r="J960" i="4" s="1"/>
  <c r="I966" i="4"/>
  <c r="J966" i="4" s="1"/>
  <c r="I972" i="4"/>
  <c r="J972" i="4" s="1"/>
  <c r="I978" i="4"/>
  <c r="J978" i="4" s="1"/>
  <c r="I984" i="4"/>
  <c r="J984" i="4" s="1"/>
  <c r="I990" i="4"/>
  <c r="J990" i="4" s="1"/>
  <c r="I996" i="4"/>
  <c r="J996" i="4" s="1"/>
  <c r="I1002" i="4"/>
  <c r="J1002" i="4" s="1"/>
  <c r="I1008" i="4"/>
  <c r="J1008" i="4" s="1"/>
  <c r="I1014" i="4"/>
  <c r="J1014" i="4" s="1"/>
  <c r="I1020" i="4"/>
  <c r="J1020" i="4" s="1"/>
  <c r="I1026" i="4"/>
  <c r="J1026" i="4" s="1"/>
  <c r="I1032" i="4"/>
  <c r="J1032" i="4" s="1"/>
  <c r="I1038" i="4"/>
  <c r="J1038" i="4" s="1"/>
  <c r="I1044" i="4"/>
  <c r="J1044" i="4" s="1"/>
  <c r="I1050" i="4"/>
  <c r="J1050" i="4" s="1"/>
  <c r="I223" i="4"/>
  <c r="J223" i="4" s="1"/>
  <c r="I229" i="4"/>
  <c r="J229" i="4" s="1"/>
  <c r="I235" i="4"/>
  <c r="J235" i="4" s="1"/>
  <c r="I241" i="4"/>
  <c r="J241" i="4" s="1"/>
  <c r="I247" i="4"/>
  <c r="J247" i="4" s="1"/>
  <c r="I253" i="4"/>
  <c r="J253" i="4" s="1"/>
  <c r="I259" i="4"/>
  <c r="J259" i="4" s="1"/>
  <c r="I265" i="4"/>
  <c r="J265" i="4" s="1"/>
  <c r="I271" i="4"/>
  <c r="J271" i="4" s="1"/>
  <c r="I277" i="4"/>
  <c r="J277" i="4" s="1"/>
  <c r="I283" i="4"/>
  <c r="J283" i="4" s="1"/>
  <c r="I289" i="4"/>
  <c r="J289" i="4" s="1"/>
  <c r="I295" i="4"/>
  <c r="J295" i="4" s="1"/>
  <c r="I301" i="4"/>
  <c r="J301" i="4" s="1"/>
  <c r="I307" i="4"/>
  <c r="J307" i="4" s="1"/>
  <c r="I313" i="4"/>
  <c r="J313" i="4" s="1"/>
  <c r="I319" i="4"/>
  <c r="J319" i="4" s="1"/>
  <c r="I325" i="4"/>
  <c r="J325" i="4" s="1"/>
  <c r="I331" i="4"/>
  <c r="J331" i="4" s="1"/>
  <c r="I337" i="4"/>
  <c r="J337" i="4" s="1"/>
  <c r="I343" i="4"/>
  <c r="J343" i="4" s="1"/>
  <c r="I349" i="4"/>
  <c r="J349" i="4" s="1"/>
  <c r="I355" i="4"/>
  <c r="J355" i="4" s="1"/>
  <c r="I361" i="4"/>
  <c r="J361" i="4" s="1"/>
  <c r="I367" i="4"/>
  <c r="J367" i="4" s="1"/>
  <c r="I373" i="4"/>
  <c r="J373" i="4" s="1"/>
  <c r="I379" i="4"/>
  <c r="J379" i="4" s="1"/>
  <c r="I385" i="4"/>
  <c r="J385" i="4" s="1"/>
  <c r="I391" i="4"/>
  <c r="J391" i="4" s="1"/>
  <c r="I397" i="4"/>
  <c r="J397" i="4" s="1"/>
  <c r="I403" i="4"/>
  <c r="J403" i="4" s="1"/>
  <c r="I409" i="4"/>
  <c r="J409" i="4" s="1"/>
  <c r="I415" i="4"/>
  <c r="J415" i="4" s="1"/>
  <c r="I421" i="4"/>
  <c r="J421" i="4" s="1"/>
  <c r="I427" i="4"/>
  <c r="J427" i="4" s="1"/>
  <c r="I433" i="4"/>
  <c r="J433" i="4" s="1"/>
  <c r="I439" i="4"/>
  <c r="J439" i="4" s="1"/>
  <c r="I445" i="4"/>
  <c r="J445" i="4" s="1"/>
  <c r="I451" i="4"/>
  <c r="J451" i="4" s="1"/>
  <c r="I457" i="4"/>
  <c r="J457" i="4" s="1"/>
  <c r="I463" i="4"/>
  <c r="J463" i="4" s="1"/>
  <c r="I469" i="4"/>
  <c r="J469" i="4" s="1"/>
  <c r="I475" i="4"/>
  <c r="J475" i="4" s="1"/>
  <c r="I481" i="4"/>
  <c r="J481" i="4" s="1"/>
  <c r="I487" i="4"/>
  <c r="J487" i="4" s="1"/>
  <c r="I493" i="4"/>
  <c r="J493" i="4" s="1"/>
  <c r="I499" i="4"/>
  <c r="J499" i="4" s="1"/>
  <c r="I505" i="4"/>
  <c r="J505" i="4" s="1"/>
  <c r="I511" i="4"/>
  <c r="J511" i="4" s="1"/>
  <c r="I517" i="4"/>
  <c r="J517" i="4" s="1"/>
  <c r="I523" i="4"/>
  <c r="J523" i="4" s="1"/>
  <c r="I529" i="4"/>
  <c r="J529" i="4" s="1"/>
  <c r="I535" i="4"/>
  <c r="J535" i="4" s="1"/>
  <c r="I541" i="4"/>
  <c r="J541" i="4" s="1"/>
  <c r="I547" i="4"/>
  <c r="J547" i="4" s="1"/>
  <c r="I553" i="4"/>
  <c r="J553" i="4" s="1"/>
  <c r="I559" i="4"/>
  <c r="J559" i="4" s="1"/>
  <c r="I565" i="4"/>
  <c r="J565" i="4" s="1"/>
  <c r="I571" i="4"/>
  <c r="J571" i="4" s="1"/>
  <c r="I577" i="4"/>
  <c r="J577" i="4" s="1"/>
  <c r="I583" i="4"/>
  <c r="J583" i="4" s="1"/>
  <c r="I589" i="4"/>
  <c r="J589" i="4" s="1"/>
  <c r="I595" i="4"/>
  <c r="J595" i="4" s="1"/>
  <c r="I601" i="4"/>
  <c r="J601" i="4" s="1"/>
  <c r="I607" i="4"/>
  <c r="J607" i="4" s="1"/>
  <c r="I613" i="4"/>
  <c r="J613" i="4" s="1"/>
  <c r="I619" i="4"/>
  <c r="J619" i="4" s="1"/>
  <c r="I625" i="4"/>
  <c r="J625" i="4" s="1"/>
  <c r="I631" i="4"/>
  <c r="J631" i="4" s="1"/>
  <c r="I637" i="4"/>
  <c r="J637" i="4" s="1"/>
  <c r="I643" i="4"/>
  <c r="J643" i="4" s="1"/>
  <c r="I649" i="4"/>
  <c r="J649" i="4" s="1"/>
  <c r="I655" i="4"/>
  <c r="J655" i="4" s="1"/>
  <c r="I661" i="4"/>
  <c r="J661" i="4" s="1"/>
  <c r="I667" i="4"/>
  <c r="J667" i="4" s="1"/>
  <c r="I673" i="4"/>
  <c r="J673" i="4" s="1"/>
  <c r="I679" i="4"/>
  <c r="J679" i="4" s="1"/>
  <c r="I685" i="4"/>
  <c r="J685" i="4" s="1"/>
  <c r="I691" i="4"/>
  <c r="J691" i="4" s="1"/>
  <c r="I697" i="4"/>
  <c r="J697" i="4" s="1"/>
  <c r="I703" i="4"/>
  <c r="J703" i="4" s="1"/>
  <c r="I709" i="4"/>
  <c r="J709" i="4" s="1"/>
  <c r="I715" i="4"/>
  <c r="J715" i="4" s="1"/>
  <c r="I721" i="4"/>
  <c r="J721" i="4" s="1"/>
  <c r="I727" i="4"/>
  <c r="J727" i="4" s="1"/>
  <c r="I733" i="4"/>
  <c r="J733" i="4" s="1"/>
  <c r="I739" i="4"/>
  <c r="J739" i="4" s="1"/>
  <c r="I745" i="4"/>
  <c r="J745" i="4" s="1"/>
  <c r="I751" i="4"/>
  <c r="J751" i="4" s="1"/>
  <c r="I757" i="4"/>
  <c r="J757" i="4" s="1"/>
  <c r="I763" i="4"/>
  <c r="J763" i="4" s="1"/>
  <c r="I769" i="4"/>
  <c r="J769" i="4" s="1"/>
  <c r="I775" i="4"/>
  <c r="J775" i="4" s="1"/>
  <c r="I781" i="4"/>
  <c r="J781" i="4" s="1"/>
  <c r="I787" i="4"/>
  <c r="J787" i="4" s="1"/>
  <c r="I793" i="4"/>
  <c r="J793" i="4" s="1"/>
  <c r="I799" i="4"/>
  <c r="J799" i="4" s="1"/>
  <c r="I805" i="4"/>
  <c r="J805" i="4" s="1"/>
  <c r="I811" i="4"/>
  <c r="J811" i="4" s="1"/>
  <c r="I817" i="4"/>
  <c r="J817" i="4" s="1"/>
  <c r="I823" i="4"/>
  <c r="J823" i="4" s="1"/>
  <c r="I829" i="4"/>
  <c r="J829" i="4" s="1"/>
  <c r="I835" i="4"/>
  <c r="J835" i="4" s="1"/>
  <c r="I841" i="4"/>
  <c r="J841" i="4" s="1"/>
  <c r="I847" i="4"/>
  <c r="J847" i="4" s="1"/>
  <c r="I853" i="4"/>
  <c r="J853" i="4" s="1"/>
  <c r="I859" i="4"/>
  <c r="J859" i="4" s="1"/>
  <c r="I865" i="4"/>
  <c r="J865" i="4" s="1"/>
  <c r="I871" i="4"/>
  <c r="J871" i="4" s="1"/>
  <c r="I877" i="4"/>
  <c r="J877" i="4" s="1"/>
  <c r="I883" i="4"/>
  <c r="J883" i="4" s="1"/>
  <c r="I889" i="4"/>
  <c r="J889" i="4" s="1"/>
  <c r="I895" i="4"/>
  <c r="J895" i="4" s="1"/>
  <c r="I901" i="4"/>
  <c r="J901" i="4" s="1"/>
  <c r="I907" i="4"/>
  <c r="J907" i="4" s="1"/>
  <c r="I913" i="4"/>
  <c r="J913" i="4" s="1"/>
  <c r="I919" i="4"/>
  <c r="J919" i="4" s="1"/>
  <c r="I925" i="4"/>
  <c r="J925" i="4" s="1"/>
  <c r="I931" i="4"/>
  <c r="J931" i="4" s="1"/>
  <c r="I937" i="4"/>
  <c r="J937" i="4" s="1"/>
  <c r="I943" i="4"/>
  <c r="J943" i="4" s="1"/>
  <c r="I949" i="4"/>
  <c r="J949" i="4" s="1"/>
  <c r="I955" i="4"/>
  <c r="J955" i="4" s="1"/>
  <c r="I961" i="4"/>
  <c r="J961" i="4" s="1"/>
  <c r="I967" i="4"/>
  <c r="J967" i="4" s="1"/>
  <c r="I973" i="4"/>
  <c r="J973" i="4" s="1"/>
  <c r="I979" i="4"/>
  <c r="J979" i="4" s="1"/>
  <c r="I985" i="4"/>
  <c r="J985" i="4" s="1"/>
  <c r="I991" i="4"/>
  <c r="J991" i="4" s="1"/>
  <c r="I997" i="4"/>
  <c r="J997" i="4" s="1"/>
  <c r="I1003" i="4"/>
  <c r="J1003" i="4" s="1"/>
  <c r="I1009" i="4"/>
  <c r="J1009" i="4" s="1"/>
  <c r="I1015" i="4"/>
  <c r="J1015" i="4" s="1"/>
  <c r="I1021" i="4"/>
  <c r="J1021" i="4" s="1"/>
  <c r="I1027" i="4"/>
  <c r="J1027" i="4" s="1"/>
  <c r="I1033" i="4"/>
  <c r="J1033" i="4" s="1"/>
  <c r="I1039" i="4"/>
  <c r="J1039" i="4" s="1"/>
  <c r="I1045" i="4"/>
  <c r="J1045" i="4" s="1"/>
  <c r="I1051" i="4"/>
  <c r="J1051" i="4" s="1"/>
  <c r="I1057" i="4"/>
  <c r="J1057" i="4" s="1"/>
  <c r="I1063" i="4"/>
  <c r="J1063" i="4" s="1"/>
  <c r="I1069" i="4"/>
  <c r="J1069" i="4" s="1"/>
  <c r="I1075" i="4"/>
  <c r="J1075" i="4" s="1"/>
  <c r="I1081" i="4"/>
  <c r="J1081" i="4" s="1"/>
  <c r="I1087" i="4"/>
  <c r="J1087" i="4" s="1"/>
  <c r="I1093" i="4"/>
  <c r="J1093" i="4" s="1"/>
  <c r="I1099" i="4"/>
  <c r="J1099" i="4" s="1"/>
  <c r="I1105" i="4"/>
  <c r="J1105" i="4" s="1"/>
  <c r="I1111" i="4"/>
  <c r="J1111" i="4" s="1"/>
  <c r="I609" i="4"/>
  <c r="J609" i="4" s="1"/>
  <c r="I627" i="4"/>
  <c r="J627" i="4" s="1"/>
  <c r="I645" i="4"/>
  <c r="J645" i="4" s="1"/>
  <c r="I663" i="4"/>
  <c r="J663" i="4" s="1"/>
  <c r="I681" i="4"/>
  <c r="J681" i="4" s="1"/>
  <c r="I699" i="4"/>
  <c r="J699" i="4" s="1"/>
  <c r="I717" i="4"/>
  <c r="J717" i="4" s="1"/>
  <c r="I735" i="4"/>
  <c r="J735" i="4" s="1"/>
  <c r="I753" i="4"/>
  <c r="J753" i="4" s="1"/>
  <c r="I771" i="4"/>
  <c r="J771" i="4" s="1"/>
  <c r="I789" i="4"/>
  <c r="J789" i="4" s="1"/>
  <c r="I807" i="4"/>
  <c r="J807" i="4" s="1"/>
  <c r="I825" i="4"/>
  <c r="J825" i="4" s="1"/>
  <c r="I843" i="4"/>
  <c r="J843" i="4" s="1"/>
  <c r="I861" i="4"/>
  <c r="J861" i="4" s="1"/>
  <c r="I879" i="4"/>
  <c r="J879" i="4" s="1"/>
  <c r="I897" i="4"/>
  <c r="J897" i="4" s="1"/>
  <c r="I915" i="4"/>
  <c r="J915" i="4" s="1"/>
  <c r="I933" i="4"/>
  <c r="J933" i="4" s="1"/>
  <c r="I951" i="4"/>
  <c r="J951" i="4" s="1"/>
  <c r="I969" i="4"/>
  <c r="J969" i="4" s="1"/>
  <c r="I987" i="4"/>
  <c r="J987" i="4" s="1"/>
  <c r="I1005" i="4"/>
  <c r="J1005" i="4" s="1"/>
  <c r="I1023" i="4"/>
  <c r="J1023" i="4" s="1"/>
  <c r="I1041" i="4"/>
  <c r="J1041" i="4" s="1"/>
  <c r="I1056" i="4"/>
  <c r="J1056" i="4" s="1"/>
  <c r="I1068" i="4"/>
  <c r="J1068" i="4" s="1"/>
  <c r="I1080" i="4"/>
  <c r="J1080" i="4" s="1"/>
  <c r="I1092" i="4"/>
  <c r="J1092" i="4" s="1"/>
  <c r="I1104" i="4"/>
  <c r="J1104" i="4" s="1"/>
  <c r="I1116" i="4"/>
  <c r="J1116" i="4" s="1"/>
  <c r="I1123" i="4"/>
  <c r="J1123" i="4" s="1"/>
  <c r="I1130" i="4"/>
  <c r="J1130" i="4" s="1"/>
  <c r="I1136" i="4"/>
  <c r="J1136" i="4" s="1"/>
  <c r="I1142" i="4"/>
  <c r="J1142" i="4" s="1"/>
  <c r="I1148" i="4"/>
  <c r="J1148" i="4" s="1"/>
  <c r="I1154" i="4"/>
  <c r="J1154" i="4" s="1"/>
  <c r="I1160" i="4"/>
  <c r="J1160" i="4" s="1"/>
  <c r="I1166" i="4"/>
  <c r="J1166" i="4" s="1"/>
  <c r="I1172" i="4"/>
  <c r="J1172" i="4" s="1"/>
  <c r="I1178" i="4"/>
  <c r="J1178" i="4" s="1"/>
  <c r="I1184" i="4"/>
  <c r="J1184" i="4" s="1"/>
  <c r="I1190" i="4"/>
  <c r="J1190" i="4" s="1"/>
  <c r="I1196" i="4"/>
  <c r="J1196" i="4" s="1"/>
  <c r="I1202" i="4"/>
  <c r="J1202" i="4" s="1"/>
  <c r="I1208" i="4"/>
  <c r="J1208" i="4" s="1"/>
  <c r="I610" i="4"/>
  <c r="J610" i="4" s="1"/>
  <c r="I628" i="4"/>
  <c r="J628" i="4" s="1"/>
  <c r="I646" i="4"/>
  <c r="J646" i="4" s="1"/>
  <c r="I664" i="4"/>
  <c r="J664" i="4" s="1"/>
  <c r="I682" i="4"/>
  <c r="J682" i="4" s="1"/>
  <c r="I700" i="4"/>
  <c r="J700" i="4" s="1"/>
  <c r="I718" i="4"/>
  <c r="J718" i="4" s="1"/>
  <c r="I736" i="4"/>
  <c r="J736" i="4" s="1"/>
  <c r="I754" i="4"/>
  <c r="J754" i="4" s="1"/>
  <c r="I772" i="4"/>
  <c r="J772" i="4" s="1"/>
  <c r="I790" i="4"/>
  <c r="J790" i="4" s="1"/>
  <c r="I808" i="4"/>
  <c r="J808" i="4" s="1"/>
  <c r="I826" i="4"/>
  <c r="J826" i="4" s="1"/>
  <c r="I844" i="4"/>
  <c r="J844" i="4" s="1"/>
  <c r="I862" i="4"/>
  <c r="J862" i="4" s="1"/>
  <c r="I880" i="4"/>
  <c r="J880" i="4" s="1"/>
  <c r="I898" i="4"/>
  <c r="J898" i="4" s="1"/>
  <c r="I916" i="4"/>
  <c r="J916" i="4" s="1"/>
  <c r="I934" i="4"/>
  <c r="J934" i="4" s="1"/>
  <c r="I952" i="4"/>
  <c r="J952" i="4" s="1"/>
  <c r="I970" i="4"/>
  <c r="J970" i="4" s="1"/>
  <c r="I988" i="4"/>
  <c r="J988" i="4" s="1"/>
  <c r="I1006" i="4"/>
  <c r="J1006" i="4" s="1"/>
  <c r="I1024" i="4"/>
  <c r="J1024" i="4" s="1"/>
  <c r="I1042" i="4"/>
  <c r="J1042" i="4" s="1"/>
  <c r="I1059" i="4"/>
  <c r="J1059" i="4" s="1"/>
  <c r="I1071" i="4"/>
  <c r="J1071" i="4" s="1"/>
  <c r="I1083" i="4"/>
  <c r="J1083" i="4" s="1"/>
  <c r="I1095" i="4"/>
  <c r="J1095" i="4" s="1"/>
  <c r="I1107" i="4"/>
  <c r="J1107" i="4" s="1"/>
  <c r="I1117" i="4"/>
  <c r="J1117" i="4" s="1"/>
  <c r="I1125" i="4"/>
  <c r="J1125" i="4" s="1"/>
  <c r="I1131" i="4"/>
  <c r="J1131" i="4" s="1"/>
  <c r="I1137" i="4"/>
  <c r="J1137" i="4" s="1"/>
  <c r="I1143" i="4"/>
  <c r="J1143" i="4" s="1"/>
  <c r="I1149" i="4"/>
  <c r="J1149" i="4" s="1"/>
  <c r="I1155" i="4"/>
  <c r="J1155" i="4" s="1"/>
  <c r="I1161" i="4"/>
  <c r="J1161" i="4" s="1"/>
  <c r="I1167" i="4"/>
  <c r="J1167" i="4" s="1"/>
  <c r="I1173" i="4"/>
  <c r="J1173" i="4" s="1"/>
  <c r="I1179" i="4"/>
  <c r="J1179" i="4" s="1"/>
  <c r="I1185" i="4"/>
  <c r="J1185" i="4" s="1"/>
  <c r="I1191" i="4"/>
  <c r="J1191" i="4" s="1"/>
  <c r="I1197" i="4"/>
  <c r="J1197" i="4" s="1"/>
  <c r="I1203" i="4"/>
  <c r="J1203" i="4" s="1"/>
  <c r="I1209" i="4"/>
  <c r="J1209" i="4" s="1"/>
  <c r="I1215" i="4"/>
  <c r="J1215" i="4" s="1"/>
  <c r="I1221" i="4"/>
  <c r="J1221" i="4" s="1"/>
  <c r="I1227" i="4"/>
  <c r="J1227" i="4" s="1"/>
  <c r="I1233" i="4"/>
  <c r="J1233" i="4" s="1"/>
  <c r="I1239" i="4"/>
  <c r="J1239" i="4" s="1"/>
  <c r="I1245" i="4"/>
  <c r="J1245" i="4" s="1"/>
  <c r="I1251" i="4"/>
  <c r="J1251" i="4" s="1"/>
  <c r="I1257" i="4"/>
  <c r="J1257" i="4" s="1"/>
  <c r="I1263" i="4"/>
  <c r="J1263" i="4" s="1"/>
  <c r="I1269" i="4"/>
  <c r="J1269" i="4" s="1"/>
  <c r="I1275" i="4"/>
  <c r="J1275" i="4" s="1"/>
  <c r="I1281" i="4"/>
  <c r="J1281" i="4" s="1"/>
  <c r="I1287" i="4"/>
  <c r="J1287" i="4" s="1"/>
  <c r="I1293" i="4"/>
  <c r="J1293" i="4" s="1"/>
  <c r="I1299" i="4"/>
  <c r="J1299" i="4" s="1"/>
  <c r="I1305" i="4"/>
  <c r="J1305" i="4" s="1"/>
  <c r="I1311" i="4"/>
  <c r="J1311" i="4" s="1"/>
  <c r="I1317" i="4"/>
  <c r="J1317" i="4" s="1"/>
  <c r="I1323" i="4"/>
  <c r="J1323" i="4" s="1"/>
  <c r="I1329" i="4"/>
  <c r="J1329" i="4" s="1"/>
  <c r="I1335" i="4"/>
  <c r="J1335" i="4" s="1"/>
  <c r="I1341" i="4"/>
  <c r="J1341" i="4" s="1"/>
  <c r="I1347" i="4"/>
  <c r="J1347" i="4" s="1"/>
  <c r="I1353" i="4"/>
  <c r="J1353" i="4" s="1"/>
  <c r="I1359" i="4"/>
  <c r="J1359" i="4" s="1"/>
  <c r="I1365" i="4"/>
  <c r="J1365" i="4" s="1"/>
  <c r="I1371" i="4"/>
  <c r="J1371" i="4" s="1"/>
  <c r="I1377" i="4"/>
  <c r="J1377" i="4" s="1"/>
  <c r="I1383" i="4"/>
  <c r="J1383" i="4" s="1"/>
  <c r="I1389" i="4"/>
  <c r="J1389" i="4" s="1"/>
  <c r="I1395" i="4"/>
  <c r="J1395" i="4" s="1"/>
  <c r="I1401" i="4"/>
  <c r="J1401" i="4" s="1"/>
  <c r="I1407" i="4"/>
  <c r="J1407" i="4" s="1"/>
  <c r="I1413" i="4"/>
  <c r="J1413" i="4" s="1"/>
  <c r="I1419" i="4"/>
  <c r="J1419" i="4" s="1"/>
  <c r="I1425" i="4"/>
  <c r="J1425" i="4" s="1"/>
  <c r="I1431" i="4"/>
  <c r="J1431" i="4" s="1"/>
  <c r="I1437" i="4"/>
  <c r="J1437" i="4" s="1"/>
  <c r="I1443" i="4"/>
  <c r="J1443" i="4" s="1"/>
  <c r="I1449" i="4"/>
  <c r="J1449" i="4" s="1"/>
  <c r="I1455" i="4"/>
  <c r="J1455" i="4" s="1"/>
  <c r="I1461" i="4"/>
  <c r="J1461" i="4" s="1"/>
  <c r="I1467" i="4"/>
  <c r="J1467" i="4" s="1"/>
  <c r="I1473" i="4"/>
  <c r="J1473" i="4" s="1"/>
  <c r="I1479" i="4"/>
  <c r="J1479" i="4" s="1"/>
  <c r="I1485" i="4"/>
  <c r="J1485" i="4" s="1"/>
  <c r="I1491" i="4"/>
  <c r="J1491" i="4" s="1"/>
  <c r="I1497" i="4"/>
  <c r="J1497" i="4" s="1"/>
  <c r="I615" i="4"/>
  <c r="J615" i="4" s="1"/>
  <c r="I633" i="4"/>
  <c r="J633" i="4" s="1"/>
  <c r="I651" i="4"/>
  <c r="J651" i="4" s="1"/>
  <c r="I669" i="4"/>
  <c r="J669" i="4" s="1"/>
  <c r="I687" i="4"/>
  <c r="J687" i="4" s="1"/>
  <c r="I705" i="4"/>
  <c r="J705" i="4" s="1"/>
  <c r="I723" i="4"/>
  <c r="J723" i="4" s="1"/>
  <c r="I741" i="4"/>
  <c r="J741" i="4" s="1"/>
  <c r="I759" i="4"/>
  <c r="J759" i="4" s="1"/>
  <c r="I777" i="4"/>
  <c r="J777" i="4" s="1"/>
  <c r="I795" i="4"/>
  <c r="J795" i="4" s="1"/>
  <c r="I813" i="4"/>
  <c r="J813" i="4" s="1"/>
  <c r="I831" i="4"/>
  <c r="J831" i="4" s="1"/>
  <c r="I849" i="4"/>
  <c r="J849" i="4" s="1"/>
  <c r="I867" i="4"/>
  <c r="J867" i="4" s="1"/>
  <c r="I885" i="4"/>
  <c r="J885" i="4" s="1"/>
  <c r="I903" i="4"/>
  <c r="J903" i="4" s="1"/>
  <c r="I921" i="4"/>
  <c r="J921" i="4" s="1"/>
  <c r="I939" i="4"/>
  <c r="J939" i="4" s="1"/>
  <c r="I957" i="4"/>
  <c r="J957" i="4" s="1"/>
  <c r="I975" i="4"/>
  <c r="J975" i="4" s="1"/>
  <c r="I993" i="4"/>
  <c r="J993" i="4" s="1"/>
  <c r="I1011" i="4"/>
  <c r="J1011" i="4" s="1"/>
  <c r="I1029" i="4"/>
  <c r="J1029" i="4" s="1"/>
  <c r="I1047" i="4"/>
  <c r="J1047" i="4" s="1"/>
  <c r="I1060" i="4"/>
  <c r="J1060" i="4" s="1"/>
  <c r="I1072" i="4"/>
  <c r="J1072" i="4" s="1"/>
  <c r="I1084" i="4"/>
  <c r="J1084" i="4" s="1"/>
  <c r="I1096" i="4"/>
  <c r="J1096" i="4" s="1"/>
  <c r="I1108" i="4"/>
  <c r="J1108" i="4" s="1"/>
  <c r="I1119" i="4"/>
  <c r="J1119" i="4" s="1"/>
  <c r="I1126" i="4"/>
  <c r="J1126" i="4" s="1"/>
  <c r="I1132" i="4"/>
  <c r="J1132" i="4" s="1"/>
  <c r="I1138" i="4"/>
  <c r="J1138" i="4" s="1"/>
  <c r="I1144" i="4"/>
  <c r="J1144" i="4" s="1"/>
  <c r="I1150" i="4"/>
  <c r="J1150" i="4" s="1"/>
  <c r="I1156" i="4"/>
  <c r="J1156" i="4" s="1"/>
  <c r="I1162" i="4"/>
  <c r="J1162" i="4" s="1"/>
  <c r="I1168" i="4"/>
  <c r="J1168" i="4" s="1"/>
  <c r="I1174" i="4"/>
  <c r="J1174" i="4" s="1"/>
  <c r="I1180" i="4"/>
  <c r="J1180" i="4" s="1"/>
  <c r="I1186" i="4"/>
  <c r="J1186" i="4" s="1"/>
  <c r="I1192" i="4"/>
  <c r="J1192" i="4" s="1"/>
  <c r="I1198" i="4"/>
  <c r="J1198" i="4" s="1"/>
  <c r="I1204" i="4"/>
  <c r="J1204" i="4" s="1"/>
  <c r="I1210" i="4"/>
  <c r="J1210" i="4" s="1"/>
  <c r="I1216" i="4"/>
  <c r="J1216" i="4" s="1"/>
  <c r="I1222" i="4"/>
  <c r="J1222" i="4" s="1"/>
  <c r="I1228" i="4"/>
  <c r="J1228" i="4" s="1"/>
  <c r="I1234" i="4"/>
  <c r="J1234" i="4" s="1"/>
  <c r="I1240" i="4"/>
  <c r="J1240" i="4" s="1"/>
  <c r="I1246" i="4"/>
  <c r="J1246" i="4" s="1"/>
  <c r="I1252" i="4"/>
  <c r="J1252" i="4" s="1"/>
  <c r="I1258" i="4"/>
  <c r="J1258" i="4" s="1"/>
  <c r="I1264" i="4"/>
  <c r="J1264" i="4" s="1"/>
  <c r="I1270" i="4"/>
  <c r="J1270" i="4" s="1"/>
  <c r="I1276" i="4"/>
  <c r="J1276" i="4" s="1"/>
  <c r="I1282" i="4"/>
  <c r="J1282" i="4" s="1"/>
  <c r="I1288" i="4"/>
  <c r="J1288" i="4" s="1"/>
  <c r="I1294" i="4"/>
  <c r="J1294" i="4" s="1"/>
  <c r="I1300" i="4"/>
  <c r="J1300" i="4" s="1"/>
  <c r="I1306" i="4"/>
  <c r="J1306" i="4" s="1"/>
  <c r="I1312" i="4"/>
  <c r="J1312" i="4" s="1"/>
  <c r="I1318" i="4"/>
  <c r="J1318" i="4" s="1"/>
  <c r="I1324" i="4"/>
  <c r="J1324" i="4" s="1"/>
  <c r="I1330" i="4"/>
  <c r="J1330" i="4" s="1"/>
  <c r="I1336" i="4"/>
  <c r="J1336" i="4" s="1"/>
  <c r="I1342" i="4"/>
  <c r="J1342" i="4" s="1"/>
  <c r="I1348" i="4"/>
  <c r="J1348" i="4" s="1"/>
  <c r="I1354" i="4"/>
  <c r="J1354" i="4" s="1"/>
  <c r="I1360" i="4"/>
  <c r="J1360" i="4" s="1"/>
  <c r="I1366" i="4"/>
  <c r="J1366" i="4" s="1"/>
  <c r="I1372" i="4"/>
  <c r="J1372" i="4" s="1"/>
  <c r="I1378" i="4"/>
  <c r="J1378" i="4" s="1"/>
  <c r="I1384" i="4"/>
  <c r="J1384" i="4" s="1"/>
  <c r="I1390" i="4"/>
  <c r="J1390" i="4" s="1"/>
  <c r="I1396" i="4"/>
  <c r="J1396" i="4" s="1"/>
  <c r="I1402" i="4"/>
  <c r="J1402" i="4" s="1"/>
  <c r="I1408" i="4"/>
  <c r="J1408" i="4" s="1"/>
  <c r="I1414" i="4"/>
  <c r="J1414" i="4" s="1"/>
  <c r="I1420" i="4"/>
  <c r="J1420" i="4" s="1"/>
  <c r="I1426" i="4"/>
  <c r="J1426" i="4" s="1"/>
  <c r="I1432" i="4"/>
  <c r="J1432" i="4" s="1"/>
  <c r="I1438" i="4"/>
  <c r="J1438" i="4" s="1"/>
  <c r="I1444" i="4"/>
  <c r="J1444" i="4" s="1"/>
  <c r="I1450" i="4"/>
  <c r="J1450" i="4" s="1"/>
  <c r="I1456" i="4"/>
  <c r="J1456" i="4" s="1"/>
  <c r="I1462" i="4"/>
  <c r="J1462" i="4" s="1"/>
  <c r="I1468" i="4"/>
  <c r="J1468" i="4" s="1"/>
  <c r="I1474" i="4"/>
  <c r="J1474" i="4" s="1"/>
  <c r="I1480" i="4"/>
  <c r="J1480" i="4" s="1"/>
  <c r="I1486" i="4"/>
  <c r="J1486" i="4" s="1"/>
  <c r="I1492" i="4"/>
  <c r="J1492" i="4" s="1"/>
  <c r="I1498" i="4"/>
  <c r="J1498" i="4" s="1"/>
  <c r="I616" i="4"/>
  <c r="J616" i="4" s="1"/>
  <c r="I634" i="4"/>
  <c r="J634" i="4" s="1"/>
  <c r="I652" i="4"/>
  <c r="J652" i="4" s="1"/>
  <c r="I670" i="4"/>
  <c r="J670" i="4" s="1"/>
  <c r="I688" i="4"/>
  <c r="J688" i="4" s="1"/>
  <c r="I706" i="4"/>
  <c r="J706" i="4" s="1"/>
  <c r="I724" i="4"/>
  <c r="J724" i="4" s="1"/>
  <c r="I742" i="4"/>
  <c r="J742" i="4" s="1"/>
  <c r="I760" i="4"/>
  <c r="J760" i="4" s="1"/>
  <c r="I778" i="4"/>
  <c r="J778" i="4" s="1"/>
  <c r="I796" i="4"/>
  <c r="J796" i="4" s="1"/>
  <c r="I814" i="4"/>
  <c r="J814" i="4" s="1"/>
  <c r="I832" i="4"/>
  <c r="J832" i="4" s="1"/>
  <c r="I850" i="4"/>
  <c r="J850" i="4" s="1"/>
  <c r="I868" i="4"/>
  <c r="J868" i="4" s="1"/>
  <c r="I886" i="4"/>
  <c r="J886" i="4" s="1"/>
  <c r="I904" i="4"/>
  <c r="J904" i="4" s="1"/>
  <c r="I922" i="4"/>
  <c r="J922" i="4" s="1"/>
  <c r="I940" i="4"/>
  <c r="J940" i="4" s="1"/>
  <c r="I958" i="4"/>
  <c r="J958" i="4" s="1"/>
  <c r="I976" i="4"/>
  <c r="J976" i="4" s="1"/>
  <c r="I994" i="4"/>
  <c r="J994" i="4" s="1"/>
  <c r="I1012" i="4"/>
  <c r="J1012" i="4" s="1"/>
  <c r="I1030" i="4"/>
  <c r="J1030" i="4" s="1"/>
  <c r="I1048" i="4"/>
  <c r="J1048" i="4" s="1"/>
  <c r="I1062" i="4"/>
  <c r="J1062" i="4" s="1"/>
  <c r="I1074" i="4"/>
  <c r="J1074" i="4" s="1"/>
  <c r="I1086" i="4"/>
  <c r="J1086" i="4" s="1"/>
  <c r="I1098" i="4"/>
  <c r="J1098" i="4" s="1"/>
  <c r="I1110" i="4"/>
  <c r="J1110" i="4" s="1"/>
  <c r="I1120" i="4"/>
  <c r="J1120" i="4" s="1"/>
  <c r="I1127" i="4"/>
  <c r="J1127" i="4" s="1"/>
  <c r="I1133" i="4"/>
  <c r="J1133" i="4" s="1"/>
  <c r="I1139" i="4"/>
  <c r="J1139" i="4" s="1"/>
  <c r="I1145" i="4"/>
  <c r="J1145" i="4" s="1"/>
  <c r="I1151" i="4"/>
  <c r="J1151" i="4" s="1"/>
  <c r="I1157" i="4"/>
  <c r="J1157" i="4" s="1"/>
  <c r="I1163" i="4"/>
  <c r="J1163" i="4" s="1"/>
  <c r="I1169" i="4"/>
  <c r="J1169" i="4" s="1"/>
  <c r="I1175" i="4"/>
  <c r="J1175" i="4" s="1"/>
  <c r="I1181" i="4"/>
  <c r="J1181" i="4" s="1"/>
  <c r="I1187" i="4"/>
  <c r="J1187" i="4" s="1"/>
  <c r="I1193" i="4"/>
  <c r="J1193" i="4" s="1"/>
  <c r="I1199" i="4"/>
  <c r="J1199" i="4" s="1"/>
  <c r="I1205" i="4"/>
  <c r="J1205" i="4" s="1"/>
  <c r="I1211" i="4"/>
  <c r="J1211" i="4" s="1"/>
  <c r="I1217" i="4"/>
  <c r="J1217" i="4" s="1"/>
  <c r="I1223" i="4"/>
  <c r="J1223" i="4" s="1"/>
  <c r="I1229" i="4"/>
  <c r="J1229" i="4" s="1"/>
  <c r="I1235" i="4"/>
  <c r="J1235" i="4" s="1"/>
  <c r="I1241" i="4"/>
  <c r="J1241" i="4" s="1"/>
  <c r="I1247" i="4"/>
  <c r="J1247" i="4" s="1"/>
  <c r="I1253" i="4"/>
  <c r="J1253" i="4" s="1"/>
  <c r="I1259" i="4"/>
  <c r="J1259" i="4" s="1"/>
  <c r="I1265" i="4"/>
  <c r="J1265" i="4" s="1"/>
  <c r="I1271" i="4"/>
  <c r="J1271" i="4" s="1"/>
  <c r="I1277" i="4"/>
  <c r="J1277" i="4" s="1"/>
  <c r="I1283" i="4"/>
  <c r="J1283" i="4" s="1"/>
  <c r="I1289" i="4"/>
  <c r="J1289" i="4" s="1"/>
  <c r="I1295" i="4"/>
  <c r="J1295" i="4" s="1"/>
  <c r="I1301" i="4"/>
  <c r="J1301" i="4" s="1"/>
  <c r="I1307" i="4"/>
  <c r="J1307" i="4" s="1"/>
  <c r="I1313" i="4"/>
  <c r="J1313" i="4" s="1"/>
  <c r="I1319" i="4"/>
  <c r="J1319" i="4" s="1"/>
  <c r="I1325" i="4"/>
  <c r="J1325" i="4" s="1"/>
  <c r="I1331" i="4"/>
  <c r="J1331" i="4" s="1"/>
  <c r="I1337" i="4"/>
  <c r="J1337" i="4" s="1"/>
  <c r="I1343" i="4"/>
  <c r="J1343" i="4" s="1"/>
  <c r="I1349" i="4"/>
  <c r="J1349" i="4" s="1"/>
  <c r="I1355" i="4"/>
  <c r="J1355" i="4" s="1"/>
  <c r="I1361" i="4"/>
  <c r="J1361" i="4" s="1"/>
  <c r="I1367" i="4"/>
  <c r="J1367" i="4" s="1"/>
  <c r="I1373" i="4"/>
  <c r="J1373" i="4" s="1"/>
  <c r="I1379" i="4"/>
  <c r="J1379" i="4" s="1"/>
  <c r="I1385" i="4"/>
  <c r="J1385" i="4" s="1"/>
  <c r="I1391" i="4"/>
  <c r="J1391" i="4" s="1"/>
  <c r="I1397" i="4"/>
  <c r="J1397" i="4" s="1"/>
  <c r="I1403" i="4"/>
  <c r="J1403" i="4" s="1"/>
  <c r="I1409" i="4"/>
  <c r="J1409" i="4" s="1"/>
  <c r="I1415" i="4"/>
  <c r="J1415" i="4" s="1"/>
  <c r="I1421" i="4"/>
  <c r="J1421" i="4" s="1"/>
  <c r="I1427" i="4"/>
  <c r="J1427" i="4" s="1"/>
  <c r="I1433" i="4"/>
  <c r="J1433" i="4" s="1"/>
  <c r="I1439" i="4"/>
  <c r="J1439" i="4" s="1"/>
  <c r="I1445" i="4"/>
  <c r="J1445" i="4" s="1"/>
  <c r="I1451" i="4"/>
  <c r="J1451" i="4" s="1"/>
  <c r="I1457" i="4"/>
  <c r="J1457" i="4" s="1"/>
  <c r="I1463" i="4"/>
  <c r="J1463" i="4" s="1"/>
  <c r="I1469" i="4"/>
  <c r="J1469" i="4" s="1"/>
  <c r="I1475" i="4"/>
  <c r="J1475" i="4" s="1"/>
  <c r="I1481" i="4"/>
  <c r="J1481" i="4" s="1"/>
  <c r="I1487" i="4"/>
  <c r="J1487" i="4" s="1"/>
  <c r="I1493" i="4"/>
  <c r="J1493" i="4" s="1"/>
  <c r="I1499" i="4"/>
  <c r="J1499" i="4" s="1"/>
  <c r="I603" i="4"/>
  <c r="J603" i="4" s="1"/>
  <c r="I621" i="4"/>
  <c r="J621" i="4" s="1"/>
  <c r="I639" i="4"/>
  <c r="J639" i="4" s="1"/>
  <c r="I657" i="4"/>
  <c r="J657" i="4" s="1"/>
  <c r="I675" i="4"/>
  <c r="J675" i="4" s="1"/>
  <c r="I693" i="4"/>
  <c r="J693" i="4" s="1"/>
  <c r="I711" i="4"/>
  <c r="J711" i="4" s="1"/>
  <c r="I729" i="4"/>
  <c r="J729" i="4" s="1"/>
  <c r="I747" i="4"/>
  <c r="J747" i="4" s="1"/>
  <c r="I765" i="4"/>
  <c r="J765" i="4" s="1"/>
  <c r="I783" i="4"/>
  <c r="J783" i="4" s="1"/>
  <c r="I801" i="4"/>
  <c r="J801" i="4" s="1"/>
  <c r="I819" i="4"/>
  <c r="J819" i="4" s="1"/>
  <c r="I837" i="4"/>
  <c r="J837" i="4" s="1"/>
  <c r="I855" i="4"/>
  <c r="J855" i="4" s="1"/>
  <c r="I873" i="4"/>
  <c r="J873" i="4" s="1"/>
  <c r="I891" i="4"/>
  <c r="J891" i="4" s="1"/>
  <c r="I909" i="4"/>
  <c r="J909" i="4" s="1"/>
  <c r="I927" i="4"/>
  <c r="J927" i="4" s="1"/>
  <c r="I945" i="4"/>
  <c r="J945" i="4" s="1"/>
  <c r="I963" i="4"/>
  <c r="J963" i="4" s="1"/>
  <c r="I981" i="4"/>
  <c r="J981" i="4" s="1"/>
  <c r="I999" i="4"/>
  <c r="J999" i="4" s="1"/>
  <c r="I1017" i="4"/>
  <c r="J1017" i="4" s="1"/>
  <c r="I1035" i="4"/>
  <c r="J1035" i="4" s="1"/>
  <c r="I1053" i="4"/>
  <c r="J1053" i="4" s="1"/>
  <c r="I1065" i="4"/>
  <c r="J1065" i="4" s="1"/>
  <c r="I1077" i="4"/>
  <c r="J1077" i="4" s="1"/>
  <c r="I1089" i="4"/>
  <c r="J1089" i="4" s="1"/>
  <c r="I1101" i="4"/>
  <c r="J1101" i="4" s="1"/>
  <c r="I1113" i="4"/>
  <c r="J1113" i="4" s="1"/>
  <c r="I1121" i="4"/>
  <c r="J1121" i="4" s="1"/>
  <c r="I1128" i="4"/>
  <c r="J1128" i="4" s="1"/>
  <c r="I1134" i="4"/>
  <c r="J1134" i="4" s="1"/>
  <c r="I1140" i="4"/>
  <c r="J1140" i="4" s="1"/>
  <c r="I1146" i="4"/>
  <c r="J1146" i="4" s="1"/>
  <c r="I1152" i="4"/>
  <c r="J1152" i="4" s="1"/>
  <c r="I1158" i="4"/>
  <c r="J1158" i="4" s="1"/>
  <c r="I1164" i="4"/>
  <c r="J1164" i="4" s="1"/>
  <c r="I1170" i="4"/>
  <c r="J1170" i="4" s="1"/>
  <c r="I1176" i="4"/>
  <c r="J1176" i="4" s="1"/>
  <c r="I1182" i="4"/>
  <c r="J1182" i="4" s="1"/>
  <c r="I1188" i="4"/>
  <c r="J1188" i="4" s="1"/>
  <c r="I604" i="4"/>
  <c r="J604" i="4" s="1"/>
  <c r="I622" i="4"/>
  <c r="J622" i="4" s="1"/>
  <c r="I640" i="4"/>
  <c r="J640" i="4" s="1"/>
  <c r="I658" i="4"/>
  <c r="J658" i="4" s="1"/>
  <c r="I676" i="4"/>
  <c r="J676" i="4" s="1"/>
  <c r="I694" i="4"/>
  <c r="J694" i="4" s="1"/>
  <c r="I712" i="4"/>
  <c r="J712" i="4" s="1"/>
  <c r="I730" i="4"/>
  <c r="J730" i="4" s="1"/>
  <c r="I748" i="4"/>
  <c r="J748" i="4" s="1"/>
  <c r="I766" i="4"/>
  <c r="J766" i="4" s="1"/>
  <c r="I784" i="4"/>
  <c r="J784" i="4" s="1"/>
  <c r="I802" i="4"/>
  <c r="J802" i="4" s="1"/>
  <c r="I820" i="4"/>
  <c r="J820" i="4" s="1"/>
  <c r="I838" i="4"/>
  <c r="J838" i="4" s="1"/>
  <c r="I856" i="4"/>
  <c r="J856" i="4" s="1"/>
  <c r="I874" i="4"/>
  <c r="J874" i="4" s="1"/>
  <c r="I892" i="4"/>
  <c r="J892" i="4" s="1"/>
  <c r="I910" i="4"/>
  <c r="J910" i="4" s="1"/>
  <c r="I928" i="4"/>
  <c r="J928" i="4" s="1"/>
  <c r="I946" i="4"/>
  <c r="J946" i="4" s="1"/>
  <c r="I964" i="4"/>
  <c r="J964" i="4" s="1"/>
  <c r="I982" i="4"/>
  <c r="J982" i="4" s="1"/>
  <c r="I1000" i="4"/>
  <c r="J1000" i="4" s="1"/>
  <c r="I1018" i="4"/>
  <c r="J1018" i="4" s="1"/>
  <c r="I1036" i="4"/>
  <c r="J1036" i="4" s="1"/>
  <c r="I1054" i="4"/>
  <c r="J1054" i="4" s="1"/>
  <c r="I1066" i="4"/>
  <c r="J1066" i="4" s="1"/>
  <c r="I1078" i="4"/>
  <c r="J1078" i="4" s="1"/>
  <c r="I1090" i="4"/>
  <c r="J1090" i="4" s="1"/>
  <c r="I1102" i="4"/>
  <c r="J1102" i="4" s="1"/>
  <c r="I1114" i="4"/>
  <c r="J1114" i="4" s="1"/>
  <c r="I1122" i="4"/>
  <c r="J1122" i="4" s="1"/>
  <c r="I1129" i="4"/>
  <c r="J1129" i="4" s="1"/>
  <c r="I1135" i="4"/>
  <c r="J1135" i="4" s="1"/>
  <c r="I1141" i="4"/>
  <c r="J1141" i="4" s="1"/>
  <c r="I1147" i="4"/>
  <c r="J1147" i="4" s="1"/>
  <c r="I1153" i="4"/>
  <c r="J1153" i="4" s="1"/>
  <c r="I1159" i="4"/>
  <c r="J1159" i="4" s="1"/>
  <c r="I1165" i="4"/>
  <c r="J1165" i="4" s="1"/>
  <c r="I1171" i="4"/>
  <c r="J1171" i="4" s="1"/>
  <c r="I1177" i="4"/>
  <c r="J1177" i="4" s="1"/>
  <c r="I1183" i="4"/>
  <c r="J1183" i="4" s="1"/>
  <c r="I1189" i="4"/>
  <c r="J1189" i="4" s="1"/>
  <c r="I1195" i="4"/>
  <c r="J1195" i="4" s="1"/>
  <c r="I1201" i="4"/>
  <c r="J1201" i="4" s="1"/>
  <c r="I1218" i="4"/>
  <c r="J1218" i="4" s="1"/>
  <c r="I1230" i="4"/>
  <c r="J1230" i="4" s="1"/>
  <c r="I1242" i="4"/>
  <c r="J1242" i="4" s="1"/>
  <c r="I1254" i="4"/>
  <c r="J1254" i="4" s="1"/>
  <c r="I1266" i="4"/>
  <c r="J1266" i="4" s="1"/>
  <c r="I1278" i="4"/>
  <c r="J1278" i="4" s="1"/>
  <c r="I1290" i="4"/>
  <c r="J1290" i="4" s="1"/>
  <c r="I1302" i="4"/>
  <c r="J1302" i="4" s="1"/>
  <c r="I1314" i="4"/>
  <c r="J1314" i="4" s="1"/>
  <c r="I1326" i="4"/>
  <c r="J1326" i="4" s="1"/>
  <c r="I1338" i="4"/>
  <c r="J1338" i="4" s="1"/>
  <c r="I1350" i="4"/>
  <c r="J1350" i="4" s="1"/>
  <c r="I1362" i="4"/>
  <c r="J1362" i="4" s="1"/>
  <c r="I1374" i="4"/>
  <c r="J1374" i="4" s="1"/>
  <c r="I1386" i="4"/>
  <c r="J1386" i="4" s="1"/>
  <c r="I1398" i="4"/>
  <c r="J1398" i="4" s="1"/>
  <c r="I1206" i="4"/>
  <c r="J1206" i="4" s="1"/>
  <c r="I1219" i="4"/>
  <c r="J1219" i="4" s="1"/>
  <c r="I1231" i="4"/>
  <c r="J1231" i="4" s="1"/>
  <c r="I1243" i="4"/>
  <c r="J1243" i="4" s="1"/>
  <c r="I1255" i="4"/>
  <c r="J1255" i="4" s="1"/>
  <c r="I1267" i="4"/>
  <c r="J1267" i="4" s="1"/>
  <c r="I1279" i="4"/>
  <c r="J1279" i="4" s="1"/>
  <c r="I1291" i="4"/>
  <c r="J1291" i="4" s="1"/>
  <c r="I1303" i="4"/>
  <c r="J1303" i="4" s="1"/>
  <c r="I1315" i="4"/>
  <c r="J1315" i="4" s="1"/>
  <c r="I1327" i="4"/>
  <c r="J1327" i="4" s="1"/>
  <c r="I1339" i="4"/>
  <c r="J1339" i="4" s="1"/>
  <c r="I1351" i="4"/>
  <c r="J1351" i="4" s="1"/>
  <c r="I1363" i="4"/>
  <c r="J1363" i="4" s="1"/>
  <c r="I1375" i="4"/>
  <c r="J1375" i="4" s="1"/>
  <c r="I1387" i="4"/>
  <c r="J1387" i="4" s="1"/>
  <c r="I1399" i="4"/>
  <c r="J1399" i="4" s="1"/>
  <c r="I1411" i="4"/>
  <c r="J1411" i="4" s="1"/>
  <c r="I1423" i="4"/>
  <c r="J1423" i="4" s="1"/>
  <c r="I1435" i="4"/>
  <c r="J1435" i="4" s="1"/>
  <c r="I1447" i="4"/>
  <c r="J1447" i="4" s="1"/>
  <c r="I1459" i="4"/>
  <c r="J1459" i="4" s="1"/>
  <c r="I1471" i="4"/>
  <c r="J1471" i="4" s="1"/>
  <c r="I1483" i="4"/>
  <c r="J1483" i="4" s="1"/>
  <c r="I1495" i="4"/>
  <c r="J1495" i="4" s="1"/>
  <c r="I1207" i="4"/>
  <c r="J1207" i="4" s="1"/>
  <c r="I1220" i="4"/>
  <c r="J1220" i="4" s="1"/>
  <c r="I1232" i="4"/>
  <c r="J1232" i="4" s="1"/>
  <c r="I1244" i="4"/>
  <c r="J1244" i="4" s="1"/>
  <c r="I1256" i="4"/>
  <c r="J1256" i="4" s="1"/>
  <c r="I1268" i="4"/>
  <c r="J1268" i="4" s="1"/>
  <c r="I1280" i="4"/>
  <c r="J1280" i="4" s="1"/>
  <c r="I1292" i="4"/>
  <c r="J1292" i="4" s="1"/>
  <c r="I1304" i="4"/>
  <c r="J1304" i="4" s="1"/>
  <c r="I1316" i="4"/>
  <c r="J1316" i="4" s="1"/>
  <c r="I1328" i="4"/>
  <c r="J1328" i="4" s="1"/>
  <c r="I1340" i="4"/>
  <c r="J1340" i="4" s="1"/>
  <c r="I1352" i="4"/>
  <c r="J1352" i="4" s="1"/>
  <c r="I1364" i="4"/>
  <c r="J1364" i="4" s="1"/>
  <c r="I1376" i="4"/>
  <c r="J1376" i="4" s="1"/>
  <c r="I1388" i="4"/>
  <c r="J1388" i="4" s="1"/>
  <c r="I1400" i="4"/>
  <c r="J1400" i="4" s="1"/>
  <c r="I1412" i="4"/>
  <c r="J1412" i="4" s="1"/>
  <c r="I1424" i="4"/>
  <c r="J1424" i="4" s="1"/>
  <c r="I1436" i="4"/>
  <c r="J1436" i="4" s="1"/>
  <c r="I1448" i="4"/>
  <c r="J1448" i="4" s="1"/>
  <c r="I1460" i="4"/>
  <c r="J1460" i="4" s="1"/>
  <c r="I1472" i="4"/>
  <c r="J1472" i="4" s="1"/>
  <c r="I1484" i="4"/>
  <c r="J1484" i="4" s="1"/>
  <c r="I1496" i="4"/>
  <c r="J1496" i="4" s="1"/>
  <c r="I1212" i="4"/>
  <c r="J1212" i="4" s="1"/>
  <c r="I1224" i="4"/>
  <c r="J1224" i="4" s="1"/>
  <c r="I1236" i="4"/>
  <c r="J1236" i="4" s="1"/>
  <c r="I1248" i="4"/>
  <c r="J1248" i="4" s="1"/>
  <c r="I1260" i="4"/>
  <c r="J1260" i="4" s="1"/>
  <c r="I1272" i="4"/>
  <c r="J1272" i="4" s="1"/>
  <c r="I1284" i="4"/>
  <c r="J1284" i="4" s="1"/>
  <c r="I1296" i="4"/>
  <c r="J1296" i="4" s="1"/>
  <c r="I1308" i="4"/>
  <c r="J1308" i="4" s="1"/>
  <c r="I1320" i="4"/>
  <c r="J1320" i="4" s="1"/>
  <c r="I1332" i="4"/>
  <c r="J1332" i="4" s="1"/>
  <c r="I1344" i="4"/>
  <c r="J1344" i="4" s="1"/>
  <c r="I1356" i="4"/>
  <c r="J1356" i="4" s="1"/>
  <c r="I1368" i="4"/>
  <c r="J1368" i="4" s="1"/>
  <c r="I1194" i="4"/>
  <c r="J1194" i="4" s="1"/>
  <c r="I1213" i="4"/>
  <c r="J1213" i="4" s="1"/>
  <c r="I1225" i="4"/>
  <c r="J1225" i="4" s="1"/>
  <c r="I1237" i="4"/>
  <c r="J1237" i="4" s="1"/>
  <c r="I1249" i="4"/>
  <c r="J1249" i="4" s="1"/>
  <c r="I1261" i="4"/>
  <c r="J1261" i="4" s="1"/>
  <c r="I1273" i="4"/>
  <c r="J1273" i="4" s="1"/>
  <c r="I1285" i="4"/>
  <c r="J1285" i="4" s="1"/>
  <c r="I1297" i="4"/>
  <c r="J1297" i="4" s="1"/>
  <c r="I1309" i="4"/>
  <c r="J1309" i="4" s="1"/>
  <c r="I1321" i="4"/>
  <c r="J1321" i="4" s="1"/>
  <c r="I1333" i="4"/>
  <c r="J1333" i="4" s="1"/>
  <c r="I1345" i="4"/>
  <c r="J1345" i="4" s="1"/>
  <c r="I1357" i="4"/>
  <c r="J1357" i="4" s="1"/>
  <c r="I1369" i="4"/>
  <c r="J1369" i="4" s="1"/>
  <c r="I1381" i="4"/>
  <c r="J1381" i="4" s="1"/>
  <c r="I1393" i="4"/>
  <c r="J1393" i="4" s="1"/>
  <c r="I1405" i="4"/>
  <c r="J1405" i="4" s="1"/>
  <c r="I1417" i="4"/>
  <c r="J1417" i="4" s="1"/>
  <c r="I1429" i="4"/>
  <c r="J1429" i="4" s="1"/>
  <c r="I1441" i="4"/>
  <c r="J1441" i="4" s="1"/>
  <c r="I1453" i="4"/>
  <c r="J1453" i="4" s="1"/>
  <c r="I1465" i="4"/>
  <c r="J1465" i="4" s="1"/>
  <c r="I1477" i="4"/>
  <c r="J1477" i="4" s="1"/>
  <c r="I1489" i="4"/>
  <c r="J1489" i="4" s="1"/>
  <c r="I1200" i="4"/>
  <c r="J1200" i="4" s="1"/>
  <c r="I1214" i="4"/>
  <c r="J1214" i="4" s="1"/>
  <c r="I1226" i="4"/>
  <c r="J1226" i="4" s="1"/>
  <c r="I1238" i="4"/>
  <c r="J1238" i="4" s="1"/>
  <c r="I1250" i="4"/>
  <c r="J1250" i="4" s="1"/>
  <c r="I1262" i="4"/>
  <c r="J1262" i="4" s="1"/>
  <c r="I1274" i="4"/>
  <c r="J1274" i="4" s="1"/>
  <c r="I1286" i="4"/>
  <c r="J1286" i="4" s="1"/>
  <c r="I1298" i="4"/>
  <c r="J1298" i="4" s="1"/>
  <c r="I1310" i="4"/>
  <c r="J1310" i="4" s="1"/>
  <c r="I1322" i="4"/>
  <c r="J1322" i="4" s="1"/>
  <c r="I1334" i="4"/>
  <c r="J1334" i="4" s="1"/>
  <c r="I1346" i="4"/>
  <c r="J1346" i="4" s="1"/>
  <c r="I1358" i="4"/>
  <c r="J1358" i="4" s="1"/>
  <c r="I1370" i="4"/>
  <c r="J1370" i="4" s="1"/>
  <c r="I1382" i="4"/>
  <c r="J1382" i="4" s="1"/>
  <c r="I1394" i="4"/>
  <c r="J1394" i="4" s="1"/>
  <c r="I1422" i="4"/>
  <c r="J1422" i="4" s="1"/>
  <c r="I1446" i="4"/>
  <c r="J1446" i="4" s="1"/>
  <c r="I1470" i="4"/>
  <c r="J1470" i="4" s="1"/>
  <c r="I1494" i="4"/>
  <c r="J1494" i="4" s="1"/>
  <c r="I1404" i="4"/>
  <c r="J1404" i="4" s="1"/>
  <c r="I1428" i="4"/>
  <c r="J1428" i="4" s="1"/>
  <c r="I1452" i="4"/>
  <c r="J1452" i="4" s="1"/>
  <c r="I1476" i="4"/>
  <c r="J1476" i="4" s="1"/>
  <c r="I1406" i="4"/>
  <c r="J1406" i="4" s="1"/>
  <c r="I1430" i="4"/>
  <c r="J1430" i="4" s="1"/>
  <c r="I1454" i="4"/>
  <c r="J1454" i="4" s="1"/>
  <c r="I1478" i="4"/>
  <c r="J1478" i="4" s="1"/>
  <c r="I1410" i="4"/>
  <c r="J1410" i="4" s="1"/>
  <c r="I1434" i="4"/>
  <c r="J1434" i="4" s="1"/>
  <c r="I1458" i="4"/>
  <c r="J1458" i="4" s="1"/>
  <c r="I1482" i="4"/>
  <c r="J1482" i="4" s="1"/>
  <c r="I1380" i="4"/>
  <c r="J1380" i="4" s="1"/>
  <c r="I1416" i="4"/>
  <c r="J1416" i="4" s="1"/>
  <c r="I1440" i="4"/>
  <c r="J1440" i="4" s="1"/>
  <c r="I1464" i="4"/>
  <c r="J1464" i="4" s="1"/>
  <c r="I1488" i="4"/>
  <c r="J1488" i="4" s="1"/>
  <c r="I1392" i="4"/>
  <c r="J1392" i="4" s="1"/>
  <c r="I1418" i="4"/>
  <c r="J1418" i="4" s="1"/>
  <c r="I1442" i="4"/>
  <c r="J1442" i="4" s="1"/>
  <c r="I1466" i="4"/>
  <c r="J1466" i="4" s="1"/>
  <c r="I1490" i="4"/>
  <c r="J1490" i="4" s="1"/>
  <c r="S225" i="4"/>
  <c r="S231" i="4"/>
  <c r="S237" i="4"/>
  <c r="S243" i="4"/>
  <c r="S249" i="4"/>
  <c r="S255" i="4"/>
  <c r="S261" i="4"/>
  <c r="S267" i="4"/>
  <c r="S273" i="4"/>
  <c r="S279" i="4"/>
  <c r="S285" i="4"/>
  <c r="S291" i="4"/>
  <c r="S297" i="4"/>
  <c r="S303" i="4"/>
  <c r="S309" i="4"/>
  <c r="S315" i="4"/>
  <c r="S321" i="4"/>
  <c r="S327" i="4"/>
  <c r="S333" i="4"/>
  <c r="S339" i="4"/>
  <c r="S345" i="4"/>
  <c r="S351" i="4"/>
  <c r="S357" i="4"/>
  <c r="S363" i="4"/>
  <c r="S369" i="4"/>
  <c r="S375" i="4"/>
  <c r="S381" i="4"/>
  <c r="S387" i="4"/>
  <c r="S393" i="4"/>
  <c r="S399" i="4"/>
  <c r="S405" i="4"/>
  <c r="S411" i="4"/>
  <c r="S226" i="4"/>
  <c r="S232" i="4"/>
  <c r="S238" i="4"/>
  <c r="S244" i="4"/>
  <c r="S250" i="4"/>
  <c r="S256" i="4"/>
  <c r="S262" i="4"/>
  <c r="S268" i="4"/>
  <c r="S274" i="4"/>
  <c r="S280" i="4"/>
  <c r="S286" i="4"/>
  <c r="S292" i="4"/>
  <c r="S298" i="4"/>
  <c r="S304" i="4"/>
  <c r="S310" i="4"/>
  <c r="S316" i="4"/>
  <c r="S322" i="4"/>
  <c r="S328" i="4"/>
  <c r="S334" i="4"/>
  <c r="S340" i="4"/>
  <c r="S346" i="4"/>
  <c r="S352" i="4"/>
  <c r="S358" i="4"/>
  <c r="S364" i="4"/>
  <c r="S370" i="4"/>
  <c r="S376" i="4"/>
  <c r="S382" i="4"/>
  <c r="S388" i="4"/>
  <c r="S394" i="4"/>
  <c r="S221" i="4"/>
  <c r="S227" i="4"/>
  <c r="S233" i="4"/>
  <c r="S239" i="4"/>
  <c r="S245" i="4"/>
  <c r="S251" i="4"/>
  <c r="S257" i="4"/>
  <c r="S263" i="4"/>
  <c r="S269" i="4"/>
  <c r="S275" i="4"/>
  <c r="S281" i="4"/>
  <c r="S287" i="4"/>
  <c r="S293" i="4"/>
  <c r="S299" i="4"/>
  <c r="S305" i="4"/>
  <c r="S311" i="4"/>
  <c r="S317" i="4"/>
  <c r="S323" i="4"/>
  <c r="S329" i="4"/>
  <c r="S335" i="4"/>
  <c r="S341" i="4"/>
  <c r="S347" i="4"/>
  <c r="S353" i="4"/>
  <c r="S359" i="4"/>
  <c r="S365" i="4"/>
  <c r="S371" i="4"/>
  <c r="S377" i="4"/>
  <c r="S383" i="4"/>
  <c r="S389" i="4"/>
  <c r="S395" i="4"/>
  <c r="S222" i="4"/>
  <c r="S228" i="4"/>
  <c r="S234" i="4"/>
  <c r="S240" i="4"/>
  <c r="S246" i="4"/>
  <c r="S252" i="4"/>
  <c r="S258" i="4"/>
  <c r="S264" i="4"/>
  <c r="S270" i="4"/>
  <c r="S276" i="4"/>
  <c r="S282" i="4"/>
  <c r="S288" i="4"/>
  <c r="S294" i="4"/>
  <c r="S300" i="4"/>
  <c r="S306" i="4"/>
  <c r="S312" i="4"/>
  <c r="S318" i="4"/>
  <c r="S324" i="4"/>
  <c r="S330" i="4"/>
  <c r="S336" i="4"/>
  <c r="S342" i="4"/>
  <c r="S348" i="4"/>
  <c r="S354" i="4"/>
  <c r="S360" i="4"/>
  <c r="S366" i="4"/>
  <c r="S372" i="4"/>
  <c r="S378" i="4"/>
  <c r="S384" i="4"/>
  <c r="S390" i="4"/>
  <c r="S223" i="4"/>
  <c r="S229" i="4"/>
  <c r="S235" i="4"/>
  <c r="S241" i="4"/>
  <c r="S247" i="4"/>
  <c r="S253" i="4"/>
  <c r="S259" i="4"/>
  <c r="S265" i="4"/>
  <c r="S271" i="4"/>
  <c r="S277" i="4"/>
  <c r="S283" i="4"/>
  <c r="S289" i="4"/>
  <c r="S295" i="4"/>
  <c r="S301" i="4"/>
  <c r="S307" i="4"/>
  <c r="S313" i="4"/>
  <c r="S319" i="4"/>
  <c r="S325" i="4"/>
  <c r="S331" i="4"/>
  <c r="S337" i="4"/>
  <c r="S343" i="4"/>
  <c r="S349" i="4"/>
  <c r="S355" i="4"/>
  <c r="S361" i="4"/>
  <c r="S367" i="4"/>
  <c r="S373" i="4"/>
  <c r="S379" i="4"/>
  <c r="S224" i="4"/>
  <c r="S230" i="4"/>
  <c r="S236" i="4"/>
  <c r="S242" i="4"/>
  <c r="S248" i="4"/>
  <c r="S254" i="4"/>
  <c r="S260" i="4"/>
  <c r="S266" i="4"/>
  <c r="S272" i="4"/>
  <c r="S278" i="4"/>
  <c r="S284" i="4"/>
  <c r="S290" i="4"/>
  <c r="S296" i="4"/>
  <c r="S302" i="4"/>
  <c r="S308" i="4"/>
  <c r="S314" i="4"/>
  <c r="S320" i="4"/>
  <c r="S326" i="4"/>
  <c r="S332" i="4"/>
  <c r="S338" i="4"/>
  <c r="S344" i="4"/>
  <c r="S350" i="4"/>
  <c r="S356" i="4"/>
  <c r="S362" i="4"/>
  <c r="S368" i="4"/>
  <c r="S374" i="4"/>
  <c r="S380" i="4"/>
  <c r="S386" i="4"/>
  <c r="S392" i="4"/>
  <c r="S398" i="4"/>
  <c r="S391" i="4"/>
  <c r="S403" i="4"/>
  <c r="S410" i="4"/>
  <c r="S417" i="4"/>
  <c r="S423" i="4"/>
  <c r="S429" i="4"/>
  <c r="S435" i="4"/>
  <c r="S441" i="4"/>
  <c r="S447" i="4"/>
  <c r="S453" i="4"/>
  <c r="S459" i="4"/>
  <c r="S465" i="4"/>
  <c r="S471" i="4"/>
  <c r="S477" i="4"/>
  <c r="S483" i="4"/>
  <c r="S489" i="4"/>
  <c r="S495" i="4"/>
  <c r="S501" i="4"/>
  <c r="S507" i="4"/>
  <c r="S513" i="4"/>
  <c r="S519" i="4"/>
  <c r="S525" i="4"/>
  <c r="S531" i="4"/>
  <c r="S537" i="4"/>
  <c r="S543" i="4"/>
  <c r="S549" i="4"/>
  <c r="S555" i="4"/>
  <c r="S561" i="4"/>
  <c r="S567" i="4"/>
  <c r="S573" i="4"/>
  <c r="S579" i="4"/>
  <c r="S585" i="4"/>
  <c r="S591" i="4"/>
  <c r="S597" i="4"/>
  <c r="S603" i="4"/>
  <c r="S609" i="4"/>
  <c r="S615" i="4"/>
  <c r="S621" i="4"/>
  <c r="S627" i="4"/>
  <c r="S633" i="4"/>
  <c r="S639" i="4"/>
  <c r="S645" i="4"/>
  <c r="S651" i="4"/>
  <c r="S657" i="4"/>
  <c r="S663" i="4"/>
  <c r="S669" i="4"/>
  <c r="S675" i="4"/>
  <c r="S681" i="4"/>
  <c r="S687" i="4"/>
  <c r="S693" i="4"/>
  <c r="S699" i="4"/>
  <c r="S705" i="4"/>
  <c r="S711" i="4"/>
  <c r="S717" i="4"/>
  <c r="S723" i="4"/>
  <c r="S729" i="4"/>
  <c r="S735" i="4"/>
  <c r="S741" i="4"/>
  <c r="S747" i="4"/>
  <c r="S753" i="4"/>
  <c r="S759" i="4"/>
  <c r="S765" i="4"/>
  <c r="S771" i="4"/>
  <c r="S777" i="4"/>
  <c r="S783" i="4"/>
  <c r="S789" i="4"/>
  <c r="S795" i="4"/>
  <c r="S801" i="4"/>
  <c r="S807" i="4"/>
  <c r="S813" i="4"/>
  <c r="S819" i="4"/>
  <c r="S825" i="4"/>
  <c r="S831" i="4"/>
  <c r="S837" i="4"/>
  <c r="S843" i="4"/>
  <c r="S849" i="4"/>
  <c r="S855" i="4"/>
  <c r="S861" i="4"/>
  <c r="S867" i="4"/>
  <c r="S873" i="4"/>
  <c r="S879" i="4"/>
  <c r="S885" i="4"/>
  <c r="S891" i="4"/>
  <c r="S897" i="4"/>
  <c r="S903" i="4"/>
  <c r="S909" i="4"/>
  <c r="S915" i="4"/>
  <c r="S921" i="4"/>
  <c r="S927" i="4"/>
  <c r="S933" i="4"/>
  <c r="S939" i="4"/>
  <c r="S945" i="4"/>
  <c r="S951" i="4"/>
  <c r="S957" i="4"/>
  <c r="S963" i="4"/>
  <c r="S969" i="4"/>
  <c r="S975" i="4"/>
  <c r="S981" i="4"/>
  <c r="S987" i="4"/>
  <c r="S993" i="4"/>
  <c r="S999" i="4"/>
  <c r="S1005" i="4"/>
  <c r="S1011" i="4"/>
  <c r="S1017" i="4"/>
  <c r="S1023" i="4"/>
  <c r="S1029" i="4"/>
  <c r="S1035" i="4"/>
  <c r="S1041" i="4"/>
  <c r="S1047" i="4"/>
  <c r="S1053" i="4"/>
  <c r="S1059" i="4"/>
  <c r="S1065" i="4"/>
  <c r="S1071" i="4"/>
  <c r="S1077" i="4"/>
  <c r="S1083" i="4"/>
  <c r="S1089" i="4"/>
  <c r="S1095" i="4"/>
  <c r="S1101" i="4"/>
  <c r="S1107" i="4"/>
  <c r="S1113" i="4"/>
  <c r="S1119" i="4"/>
  <c r="S1125" i="4"/>
  <c r="S1131" i="4"/>
  <c r="S1137" i="4"/>
  <c r="S1143" i="4"/>
  <c r="S1149" i="4"/>
  <c r="S1155" i="4"/>
  <c r="S1161" i="4"/>
  <c r="S1167" i="4"/>
  <c r="S1173" i="4"/>
  <c r="S1179" i="4"/>
  <c r="S1185" i="4"/>
  <c r="S1191" i="4"/>
  <c r="S1197" i="4"/>
  <c r="S1203" i="4"/>
  <c r="S1209" i="4"/>
  <c r="S1215" i="4"/>
  <c r="S1221" i="4"/>
  <c r="S1227" i="4"/>
  <c r="S1233" i="4"/>
  <c r="S1239" i="4"/>
  <c r="S1245" i="4"/>
  <c r="S1251" i="4"/>
  <c r="S1257" i="4"/>
  <c r="S1263" i="4"/>
  <c r="S1269" i="4"/>
  <c r="S1275" i="4"/>
  <c r="S1281" i="4"/>
  <c r="S1287" i="4"/>
  <c r="S1293" i="4"/>
  <c r="S1299" i="4"/>
  <c r="S1305" i="4"/>
  <c r="S1311" i="4"/>
  <c r="S1317" i="4"/>
  <c r="S1323" i="4"/>
  <c r="S1329" i="4"/>
  <c r="S1335" i="4"/>
  <c r="S1341" i="4"/>
  <c r="S1347" i="4"/>
  <c r="S1353" i="4"/>
  <c r="S1359" i="4"/>
  <c r="S1365" i="4"/>
  <c r="S1371" i="4"/>
  <c r="S1377" i="4"/>
  <c r="S1383" i="4"/>
  <c r="S1389" i="4"/>
  <c r="S1395" i="4"/>
  <c r="S1401" i="4"/>
  <c r="S1407" i="4"/>
  <c r="S1413" i="4"/>
  <c r="S1419" i="4"/>
  <c r="S1425" i="4"/>
  <c r="S1431" i="4"/>
  <c r="S1437" i="4"/>
  <c r="S1443" i="4"/>
  <c r="S1449" i="4"/>
  <c r="S1455" i="4"/>
  <c r="S1461" i="4"/>
  <c r="S1467" i="4"/>
  <c r="S1473" i="4"/>
  <c r="S1479" i="4"/>
  <c r="S1485" i="4"/>
  <c r="S1491" i="4"/>
  <c r="S1497" i="4"/>
  <c r="S396" i="4"/>
  <c r="S404" i="4"/>
  <c r="S412" i="4"/>
  <c r="S418" i="4"/>
  <c r="S424" i="4"/>
  <c r="S430" i="4"/>
  <c r="S436" i="4"/>
  <c r="S442" i="4"/>
  <c r="S448" i="4"/>
  <c r="S454" i="4"/>
  <c r="S460" i="4"/>
  <c r="S466" i="4"/>
  <c r="S472" i="4"/>
  <c r="S478" i="4"/>
  <c r="S484" i="4"/>
  <c r="S490" i="4"/>
  <c r="S496" i="4"/>
  <c r="S502" i="4"/>
  <c r="S508" i="4"/>
  <c r="S514" i="4"/>
  <c r="S520" i="4"/>
  <c r="S526" i="4"/>
  <c r="S532" i="4"/>
  <c r="S538" i="4"/>
  <c r="S544" i="4"/>
  <c r="S550" i="4"/>
  <c r="S556" i="4"/>
  <c r="S562" i="4"/>
  <c r="S568" i="4"/>
  <c r="S574" i="4"/>
  <c r="S580" i="4"/>
  <c r="S586" i="4"/>
  <c r="S592" i="4"/>
  <c r="S598" i="4"/>
  <c r="S604" i="4"/>
  <c r="S610" i="4"/>
  <c r="S616" i="4"/>
  <c r="S622" i="4"/>
  <c r="S628" i="4"/>
  <c r="S634" i="4"/>
  <c r="S640" i="4"/>
  <c r="S646" i="4"/>
  <c r="S652" i="4"/>
  <c r="S658" i="4"/>
  <c r="S664" i="4"/>
  <c r="S670" i="4"/>
  <c r="S676" i="4"/>
  <c r="S682" i="4"/>
  <c r="S688" i="4"/>
  <c r="S694" i="4"/>
  <c r="S700" i="4"/>
  <c r="S706" i="4"/>
  <c r="S712" i="4"/>
  <c r="S718" i="4"/>
  <c r="S724" i="4"/>
  <c r="S730" i="4"/>
  <c r="S736" i="4"/>
  <c r="S742" i="4"/>
  <c r="S748" i="4"/>
  <c r="S754" i="4"/>
  <c r="S760" i="4"/>
  <c r="S766" i="4"/>
  <c r="S772" i="4"/>
  <c r="S778" i="4"/>
  <c r="S784" i="4"/>
  <c r="S790" i="4"/>
  <c r="S796" i="4"/>
  <c r="S802" i="4"/>
  <c r="S808" i="4"/>
  <c r="S814" i="4"/>
  <c r="S820" i="4"/>
  <c r="S826" i="4"/>
  <c r="S832" i="4"/>
  <c r="S838" i="4"/>
  <c r="S844" i="4"/>
  <c r="S850" i="4"/>
  <c r="S856" i="4"/>
  <c r="S862" i="4"/>
  <c r="S868" i="4"/>
  <c r="S874" i="4"/>
  <c r="S880" i="4"/>
  <c r="S886" i="4"/>
  <c r="S892" i="4"/>
  <c r="S898" i="4"/>
  <c r="S904" i="4"/>
  <c r="S910" i="4"/>
  <c r="S916" i="4"/>
  <c r="S922" i="4"/>
  <c r="S928" i="4"/>
  <c r="S934" i="4"/>
  <c r="S940" i="4"/>
  <c r="S946" i="4"/>
  <c r="S952" i="4"/>
  <c r="S958" i="4"/>
  <c r="S964" i="4"/>
  <c r="S970" i="4"/>
  <c r="S976" i="4"/>
  <c r="S982" i="4"/>
  <c r="S988" i="4"/>
  <c r="S994" i="4"/>
  <c r="S1000" i="4"/>
  <c r="S1006" i="4"/>
  <c r="S1012" i="4"/>
  <c r="S1018" i="4"/>
  <c r="S1024" i="4"/>
  <c r="S1030" i="4"/>
  <c r="S1036" i="4"/>
  <c r="S1042" i="4"/>
  <c r="S1048" i="4"/>
  <c r="S1054" i="4"/>
  <c r="S1060" i="4"/>
  <c r="S1066" i="4"/>
  <c r="S1072" i="4"/>
  <c r="S1078" i="4"/>
  <c r="S1084" i="4"/>
  <c r="S1090" i="4"/>
  <c r="S1096" i="4"/>
  <c r="S1102" i="4"/>
  <c r="S1108" i="4"/>
  <c r="S1114" i="4"/>
  <c r="S1120" i="4"/>
  <c r="S1126" i="4"/>
  <c r="S1132" i="4"/>
  <c r="S1138" i="4"/>
  <c r="S1144" i="4"/>
  <c r="S1150" i="4"/>
  <c r="S1156" i="4"/>
  <c r="S1162" i="4"/>
  <c r="S1168" i="4"/>
  <c r="S1174" i="4"/>
  <c r="S1180" i="4"/>
  <c r="S1186" i="4"/>
  <c r="S1192" i="4"/>
  <c r="S1198" i="4"/>
  <c r="S1204" i="4"/>
  <c r="S1210" i="4"/>
  <c r="S1216" i="4"/>
  <c r="S1222" i="4"/>
  <c r="S1228" i="4"/>
  <c r="S1234" i="4"/>
  <c r="S1240" i="4"/>
  <c r="S1246" i="4"/>
  <c r="S1252" i="4"/>
  <c r="S1258" i="4"/>
  <c r="S1264" i="4"/>
  <c r="S1270" i="4"/>
  <c r="S1276" i="4"/>
  <c r="S1282" i="4"/>
  <c r="S1288" i="4"/>
  <c r="S1294" i="4"/>
  <c r="S1300" i="4"/>
  <c r="S1306" i="4"/>
  <c r="S1312" i="4"/>
  <c r="S1318" i="4"/>
  <c r="S1324" i="4"/>
  <c r="S1330" i="4"/>
  <c r="S1336" i="4"/>
  <c r="S1342" i="4"/>
  <c r="S1348" i="4"/>
  <c r="S1354" i="4"/>
  <c r="S1360" i="4"/>
  <c r="S1366" i="4"/>
  <c r="S1372" i="4"/>
  <c r="S1378" i="4"/>
  <c r="S1384" i="4"/>
  <c r="S1390" i="4"/>
  <c r="S1396" i="4"/>
  <c r="S1402" i="4"/>
  <c r="S1408" i="4"/>
  <c r="S1414" i="4"/>
  <c r="S1420" i="4"/>
  <c r="S1426" i="4"/>
  <c r="S1432" i="4"/>
  <c r="S1438" i="4"/>
  <c r="S1444" i="4"/>
  <c r="S1450" i="4"/>
  <c r="S1456" i="4"/>
  <c r="S1462" i="4"/>
  <c r="S1468" i="4"/>
  <c r="S1474" i="4"/>
  <c r="S1480" i="4"/>
  <c r="S1486" i="4"/>
  <c r="S1492" i="4"/>
  <c r="S1498" i="4"/>
  <c r="S397" i="4"/>
  <c r="S406" i="4"/>
  <c r="S413" i="4"/>
  <c r="S419" i="4"/>
  <c r="S425" i="4"/>
  <c r="S431" i="4"/>
  <c r="S437" i="4"/>
  <c r="S443" i="4"/>
  <c r="S449" i="4"/>
  <c r="S455" i="4"/>
  <c r="S461" i="4"/>
  <c r="S467" i="4"/>
  <c r="S473" i="4"/>
  <c r="S479" i="4"/>
  <c r="S485" i="4"/>
  <c r="S491" i="4"/>
  <c r="S497" i="4"/>
  <c r="S503" i="4"/>
  <c r="S509" i="4"/>
  <c r="S515" i="4"/>
  <c r="S521" i="4"/>
  <c r="S527" i="4"/>
  <c r="S533" i="4"/>
  <c r="S539" i="4"/>
  <c r="S545" i="4"/>
  <c r="S551" i="4"/>
  <c r="S557" i="4"/>
  <c r="S563" i="4"/>
  <c r="S569" i="4"/>
  <c r="S575" i="4"/>
  <c r="S581" i="4"/>
  <c r="S587" i="4"/>
  <c r="S593" i="4"/>
  <c r="S599" i="4"/>
  <c r="S605" i="4"/>
  <c r="S611" i="4"/>
  <c r="S617" i="4"/>
  <c r="S623" i="4"/>
  <c r="S629" i="4"/>
  <c r="S635" i="4"/>
  <c r="S641" i="4"/>
  <c r="S647" i="4"/>
  <c r="S653" i="4"/>
  <c r="S659" i="4"/>
  <c r="S665" i="4"/>
  <c r="S671" i="4"/>
  <c r="S677" i="4"/>
  <c r="S683" i="4"/>
  <c r="S689" i="4"/>
  <c r="S695" i="4"/>
  <c r="S701" i="4"/>
  <c r="S707" i="4"/>
  <c r="S713" i="4"/>
  <c r="S719" i="4"/>
  <c r="S725" i="4"/>
  <c r="S731" i="4"/>
  <c r="S737" i="4"/>
  <c r="S743" i="4"/>
  <c r="S749" i="4"/>
  <c r="S755" i="4"/>
  <c r="S761" i="4"/>
  <c r="S767" i="4"/>
  <c r="S773" i="4"/>
  <c r="S779" i="4"/>
  <c r="S785" i="4"/>
  <c r="S791" i="4"/>
  <c r="S797" i="4"/>
  <c r="S803" i="4"/>
  <c r="S809" i="4"/>
  <c r="S815" i="4"/>
  <c r="S821" i="4"/>
  <c r="S827" i="4"/>
  <c r="S833" i="4"/>
  <c r="S839" i="4"/>
  <c r="S845" i="4"/>
  <c r="S851" i="4"/>
  <c r="S857" i="4"/>
  <c r="S863" i="4"/>
  <c r="S869" i="4"/>
  <c r="S875" i="4"/>
  <c r="S881" i="4"/>
  <c r="S887" i="4"/>
  <c r="S893" i="4"/>
  <c r="S899" i="4"/>
  <c r="S905" i="4"/>
  <c r="S911" i="4"/>
  <c r="S917" i="4"/>
  <c r="S923" i="4"/>
  <c r="S929" i="4"/>
  <c r="S935" i="4"/>
  <c r="S941" i="4"/>
  <c r="S947" i="4"/>
  <c r="S953" i="4"/>
  <c r="S959" i="4"/>
  <c r="S965" i="4"/>
  <c r="S971" i="4"/>
  <c r="S977" i="4"/>
  <c r="S983" i="4"/>
  <c r="S989" i="4"/>
  <c r="S995" i="4"/>
  <c r="S1001" i="4"/>
  <c r="S1007" i="4"/>
  <c r="S1013" i="4"/>
  <c r="S1019" i="4"/>
  <c r="S1025" i="4"/>
  <c r="S1031" i="4"/>
  <c r="S1037" i="4"/>
  <c r="S1043" i="4"/>
  <c r="S1049" i="4"/>
  <c r="S1055" i="4"/>
  <c r="S1061" i="4"/>
  <c r="S1067" i="4"/>
  <c r="S1073" i="4"/>
  <c r="S1079" i="4"/>
  <c r="S1085" i="4"/>
  <c r="S1091" i="4"/>
  <c r="S1097" i="4"/>
  <c r="S1103" i="4"/>
  <c r="S1109" i="4"/>
  <c r="S1115" i="4"/>
  <c r="S1121" i="4"/>
  <c r="S1127" i="4"/>
  <c r="S1133" i="4"/>
  <c r="S1139" i="4"/>
  <c r="S1145" i="4"/>
  <c r="S1151" i="4"/>
  <c r="S1157" i="4"/>
  <c r="S1163" i="4"/>
  <c r="S1169" i="4"/>
  <c r="S1175" i="4"/>
  <c r="S1181" i="4"/>
  <c r="S1187" i="4"/>
  <c r="S1193" i="4"/>
  <c r="S1199" i="4"/>
  <c r="S1205" i="4"/>
  <c r="S1211" i="4"/>
  <c r="S1217" i="4"/>
  <c r="S1223" i="4"/>
  <c r="S1229" i="4"/>
  <c r="S1235" i="4"/>
  <c r="S1241" i="4"/>
  <c r="S1247" i="4"/>
  <c r="S1253" i="4"/>
  <c r="S1259" i="4"/>
  <c r="S1265" i="4"/>
  <c r="S1271" i="4"/>
  <c r="S1277" i="4"/>
  <c r="S1283" i="4"/>
  <c r="S1289" i="4"/>
  <c r="S1295" i="4"/>
  <c r="S1301" i="4"/>
  <c r="S1307" i="4"/>
  <c r="S1313" i="4"/>
  <c r="S1319" i="4"/>
  <c r="S1325" i="4"/>
  <c r="S1331" i="4"/>
  <c r="S1337" i="4"/>
  <c r="S1343" i="4"/>
  <c r="S1349" i="4"/>
  <c r="S1355" i="4"/>
  <c r="S1361" i="4"/>
  <c r="S1367" i="4"/>
  <c r="S1373" i="4"/>
  <c r="S1379" i="4"/>
  <c r="S1385" i="4"/>
  <c r="S1391" i="4"/>
  <c r="S1397" i="4"/>
  <c r="S1403" i="4"/>
  <c r="S1409" i="4"/>
  <c r="S1415" i="4"/>
  <c r="S1421" i="4"/>
  <c r="S1427" i="4"/>
  <c r="S1433" i="4"/>
  <c r="S1439" i="4"/>
  <c r="S1445" i="4"/>
  <c r="S1451" i="4"/>
  <c r="S1457" i="4"/>
  <c r="S1463" i="4"/>
  <c r="S1469" i="4"/>
  <c r="S1475" i="4"/>
  <c r="S1481" i="4"/>
  <c r="S1487" i="4"/>
  <c r="S1493" i="4"/>
  <c r="S1499" i="4"/>
  <c r="S400" i="4"/>
  <c r="S407" i="4"/>
  <c r="S414" i="4"/>
  <c r="S420" i="4"/>
  <c r="S426" i="4"/>
  <c r="S432" i="4"/>
  <c r="S438" i="4"/>
  <c r="S444" i="4"/>
  <c r="S450" i="4"/>
  <c r="S456" i="4"/>
  <c r="S462" i="4"/>
  <c r="S468" i="4"/>
  <c r="S474" i="4"/>
  <c r="S480" i="4"/>
  <c r="S486" i="4"/>
  <c r="S492" i="4"/>
  <c r="S498" i="4"/>
  <c r="S504" i="4"/>
  <c r="S510" i="4"/>
  <c r="S516" i="4"/>
  <c r="S522" i="4"/>
  <c r="S528" i="4"/>
  <c r="S534" i="4"/>
  <c r="S540" i="4"/>
  <c r="S546" i="4"/>
  <c r="S552" i="4"/>
  <c r="S558" i="4"/>
  <c r="S564" i="4"/>
  <c r="S570" i="4"/>
  <c r="S576" i="4"/>
  <c r="S582" i="4"/>
  <c r="S588" i="4"/>
  <c r="S594" i="4"/>
  <c r="S600" i="4"/>
  <c r="S606" i="4"/>
  <c r="S612" i="4"/>
  <c r="S618" i="4"/>
  <c r="S624" i="4"/>
  <c r="S630" i="4"/>
  <c r="S636" i="4"/>
  <c r="S642" i="4"/>
  <c r="S648" i="4"/>
  <c r="S654" i="4"/>
  <c r="S660" i="4"/>
  <c r="S666" i="4"/>
  <c r="S672" i="4"/>
  <c r="S678" i="4"/>
  <c r="S684" i="4"/>
  <c r="S690" i="4"/>
  <c r="S696" i="4"/>
  <c r="S702" i="4"/>
  <c r="S708" i="4"/>
  <c r="S714" i="4"/>
  <c r="S720" i="4"/>
  <c r="S726" i="4"/>
  <c r="S732" i="4"/>
  <c r="S738" i="4"/>
  <c r="S744" i="4"/>
  <c r="S750" i="4"/>
  <c r="S756" i="4"/>
  <c r="S762" i="4"/>
  <c r="S768" i="4"/>
  <c r="S774" i="4"/>
  <c r="S780" i="4"/>
  <c r="S786" i="4"/>
  <c r="S792" i="4"/>
  <c r="S798" i="4"/>
  <c r="S804" i="4"/>
  <c r="S810" i="4"/>
  <c r="S816" i="4"/>
  <c r="S822" i="4"/>
  <c r="S828" i="4"/>
  <c r="S834" i="4"/>
  <c r="S840" i="4"/>
  <c r="S846" i="4"/>
  <c r="S852" i="4"/>
  <c r="S858" i="4"/>
  <c r="S864" i="4"/>
  <c r="S870" i="4"/>
  <c r="S876" i="4"/>
  <c r="S882" i="4"/>
  <c r="S888" i="4"/>
  <c r="S894" i="4"/>
  <c r="S900" i="4"/>
  <c r="S906" i="4"/>
  <c r="S912" i="4"/>
  <c r="S918" i="4"/>
  <c r="S924" i="4"/>
  <c r="S930" i="4"/>
  <c r="S936" i="4"/>
  <c r="S942" i="4"/>
  <c r="S948" i="4"/>
  <c r="S954" i="4"/>
  <c r="S960" i="4"/>
  <c r="S966" i="4"/>
  <c r="S972" i="4"/>
  <c r="S978" i="4"/>
  <c r="S984" i="4"/>
  <c r="S990" i="4"/>
  <c r="S996" i="4"/>
  <c r="S1002" i="4"/>
  <c r="S1008" i="4"/>
  <c r="S1014" i="4"/>
  <c r="S1020" i="4"/>
  <c r="S1026" i="4"/>
  <c r="S1032" i="4"/>
  <c r="S1038" i="4"/>
  <c r="S1044" i="4"/>
  <c r="S1050" i="4"/>
  <c r="S1056" i="4"/>
  <c r="S1062" i="4"/>
  <c r="S1068" i="4"/>
  <c r="S1074" i="4"/>
  <c r="S1080" i="4"/>
  <c r="S1086" i="4"/>
  <c r="S1092" i="4"/>
  <c r="S1098" i="4"/>
  <c r="S1104" i="4"/>
  <c r="S1110" i="4"/>
  <c r="S1116" i="4"/>
  <c r="S1122" i="4"/>
  <c r="S1128" i="4"/>
  <c r="S1134" i="4"/>
  <c r="S1140" i="4"/>
  <c r="S1146" i="4"/>
  <c r="S1152" i="4"/>
  <c r="S1158" i="4"/>
  <c r="S1164" i="4"/>
  <c r="S1170" i="4"/>
  <c r="S1176" i="4"/>
  <c r="S1182" i="4"/>
  <c r="S1188" i="4"/>
  <c r="S1194" i="4"/>
  <c r="S1200" i="4"/>
  <c r="S1206" i="4"/>
  <c r="S1212" i="4"/>
  <c r="S1218" i="4"/>
  <c r="S1224" i="4"/>
  <c r="S1230" i="4"/>
  <c r="S1236" i="4"/>
  <c r="S1242" i="4"/>
  <c r="S1248" i="4"/>
  <c r="S1254" i="4"/>
  <c r="S1260" i="4"/>
  <c r="S1266" i="4"/>
  <c r="S1272" i="4"/>
  <c r="S1278" i="4"/>
  <c r="S1284" i="4"/>
  <c r="S1290" i="4"/>
  <c r="S1296" i="4"/>
  <c r="S1302" i="4"/>
  <c r="S1308" i="4"/>
  <c r="S1314" i="4"/>
  <c r="S1320" i="4"/>
  <c r="S1326" i="4"/>
  <c r="S1332" i="4"/>
  <c r="S1338" i="4"/>
  <c r="S1344" i="4"/>
  <c r="S1350" i="4"/>
  <c r="S1356" i="4"/>
  <c r="S1362" i="4"/>
  <c r="S1368" i="4"/>
  <c r="S1374" i="4"/>
  <c r="S1380" i="4"/>
  <c r="S1386" i="4"/>
  <c r="S1392" i="4"/>
  <c r="S1398" i="4"/>
  <c r="S1404" i="4"/>
  <c r="S1410" i="4"/>
  <c r="S1416" i="4"/>
  <c r="S1422" i="4"/>
  <c r="S1428" i="4"/>
  <c r="S1434" i="4"/>
  <c r="S1440" i="4"/>
  <c r="S1446" i="4"/>
  <c r="S1452" i="4"/>
  <c r="S1458" i="4"/>
  <c r="S1464" i="4"/>
  <c r="S1470" i="4"/>
  <c r="S1476" i="4"/>
  <c r="S1482" i="4"/>
  <c r="S1488" i="4"/>
  <c r="S1494" i="4"/>
  <c r="S401" i="4"/>
  <c r="S408" i="4"/>
  <c r="S415" i="4"/>
  <c r="S421" i="4"/>
  <c r="S427" i="4"/>
  <c r="S433" i="4"/>
  <c r="S439" i="4"/>
  <c r="S445" i="4"/>
  <c r="S451" i="4"/>
  <c r="S457" i="4"/>
  <c r="S463" i="4"/>
  <c r="S469" i="4"/>
  <c r="S475" i="4"/>
  <c r="S481" i="4"/>
  <c r="S487" i="4"/>
  <c r="S493" i="4"/>
  <c r="S499" i="4"/>
  <c r="S505" i="4"/>
  <c r="S511" i="4"/>
  <c r="S517" i="4"/>
  <c r="S523" i="4"/>
  <c r="S529" i="4"/>
  <c r="S535" i="4"/>
  <c r="S541" i="4"/>
  <c r="S547" i="4"/>
  <c r="S553" i="4"/>
  <c r="S559" i="4"/>
  <c r="S565" i="4"/>
  <c r="S571" i="4"/>
  <c r="S577" i="4"/>
  <c r="S583" i="4"/>
  <c r="S589" i="4"/>
  <c r="S595" i="4"/>
  <c r="S601" i="4"/>
  <c r="S607" i="4"/>
  <c r="S613" i="4"/>
  <c r="S619" i="4"/>
  <c r="S625" i="4"/>
  <c r="S631" i="4"/>
  <c r="S637" i="4"/>
  <c r="S643" i="4"/>
  <c r="S649" i="4"/>
  <c r="S655" i="4"/>
  <c r="S661" i="4"/>
  <c r="S667" i="4"/>
  <c r="S673" i="4"/>
  <c r="S679" i="4"/>
  <c r="S685" i="4"/>
  <c r="S691" i="4"/>
  <c r="S697" i="4"/>
  <c r="S703" i="4"/>
  <c r="S709" i="4"/>
  <c r="S715" i="4"/>
  <c r="S721" i="4"/>
  <c r="S727" i="4"/>
  <c r="S733" i="4"/>
  <c r="S739" i="4"/>
  <c r="S745" i="4"/>
  <c r="S751" i="4"/>
  <c r="S757" i="4"/>
  <c r="S763" i="4"/>
  <c r="S769" i="4"/>
  <c r="S775" i="4"/>
  <c r="S781" i="4"/>
  <c r="S787" i="4"/>
  <c r="S793" i="4"/>
  <c r="S799" i="4"/>
  <c r="S805" i="4"/>
  <c r="S811" i="4"/>
  <c r="S817" i="4"/>
  <c r="S823" i="4"/>
  <c r="S829" i="4"/>
  <c r="S835" i="4"/>
  <c r="S841" i="4"/>
  <c r="S847" i="4"/>
  <c r="S853" i="4"/>
  <c r="S859" i="4"/>
  <c r="S865" i="4"/>
  <c r="S871" i="4"/>
  <c r="S877" i="4"/>
  <c r="S385" i="4"/>
  <c r="S402" i="4"/>
  <c r="S409" i="4"/>
  <c r="S416" i="4"/>
  <c r="S422" i="4"/>
  <c r="S428" i="4"/>
  <c r="S434" i="4"/>
  <c r="S440" i="4"/>
  <c r="S446" i="4"/>
  <c r="S452" i="4"/>
  <c r="S458" i="4"/>
  <c r="S464" i="4"/>
  <c r="S470" i="4"/>
  <c r="S476" i="4"/>
  <c r="S482" i="4"/>
  <c r="S488" i="4"/>
  <c r="S494" i="4"/>
  <c r="S500" i="4"/>
  <c r="S506" i="4"/>
  <c r="S512" i="4"/>
  <c r="S518" i="4"/>
  <c r="S524" i="4"/>
  <c r="S530" i="4"/>
  <c r="S536" i="4"/>
  <c r="S542" i="4"/>
  <c r="S548" i="4"/>
  <c r="S554" i="4"/>
  <c r="S560" i="4"/>
  <c r="S566" i="4"/>
  <c r="S572" i="4"/>
  <c r="S578" i="4"/>
  <c r="S584" i="4"/>
  <c r="S590" i="4"/>
  <c r="S596" i="4"/>
  <c r="S602" i="4"/>
  <c r="S608" i="4"/>
  <c r="S614" i="4"/>
  <c r="S620" i="4"/>
  <c r="S626" i="4"/>
  <c r="S632" i="4"/>
  <c r="S638" i="4"/>
  <c r="S644" i="4"/>
  <c r="S650" i="4"/>
  <c r="S656" i="4"/>
  <c r="S662" i="4"/>
  <c r="S668" i="4"/>
  <c r="S674" i="4"/>
  <c r="S680" i="4"/>
  <c r="S686" i="4"/>
  <c r="S692" i="4"/>
  <c r="S698" i="4"/>
  <c r="S704" i="4"/>
  <c r="S710" i="4"/>
  <c r="S716" i="4"/>
  <c r="S722" i="4"/>
  <c r="S728" i="4"/>
  <c r="S734" i="4"/>
  <c r="S740" i="4"/>
  <c r="S746" i="4"/>
  <c r="S752" i="4"/>
  <c r="S758" i="4"/>
  <c r="S764" i="4"/>
  <c r="S770" i="4"/>
  <c r="S776" i="4"/>
  <c r="S782" i="4"/>
  <c r="S788" i="4"/>
  <c r="S794" i="4"/>
  <c r="S800" i="4"/>
  <c r="S806" i="4"/>
  <c r="S812" i="4"/>
  <c r="S818" i="4"/>
  <c r="S824" i="4"/>
  <c r="S830" i="4"/>
  <c r="S836" i="4"/>
  <c r="S842" i="4"/>
  <c r="S848" i="4"/>
  <c r="S854" i="4"/>
  <c r="S860" i="4"/>
  <c r="S866" i="4"/>
  <c r="S872" i="4"/>
  <c r="S878" i="4"/>
  <c r="S884" i="4"/>
  <c r="S890" i="4"/>
  <c r="S896" i="4"/>
  <c r="S902" i="4"/>
  <c r="S908" i="4"/>
  <c r="S914" i="4"/>
  <c r="S920" i="4"/>
  <c r="S926" i="4"/>
  <c r="S932" i="4"/>
  <c r="S938" i="4"/>
  <c r="S944" i="4"/>
  <c r="S950" i="4"/>
  <c r="S956" i="4"/>
  <c r="S962" i="4"/>
  <c r="S968" i="4"/>
  <c r="S974" i="4"/>
  <c r="S980" i="4"/>
  <c r="S986" i="4"/>
  <c r="S992" i="4"/>
  <c r="S998" i="4"/>
  <c r="S1004" i="4"/>
  <c r="S1010" i="4"/>
  <c r="S1016" i="4"/>
  <c r="S1022" i="4"/>
  <c r="S1028" i="4"/>
  <c r="S1034" i="4"/>
  <c r="S1040" i="4"/>
  <c r="S1046" i="4"/>
  <c r="S1052" i="4"/>
  <c r="S1058" i="4"/>
  <c r="S1064" i="4"/>
  <c r="S1070" i="4"/>
  <c r="S1076" i="4"/>
  <c r="S1082" i="4"/>
  <c r="S1088" i="4"/>
  <c r="S1094" i="4"/>
  <c r="S1100" i="4"/>
  <c r="S1106" i="4"/>
  <c r="S1112" i="4"/>
  <c r="S1118" i="4"/>
  <c r="S1124" i="4"/>
  <c r="S1130" i="4"/>
  <c r="S1136" i="4"/>
  <c r="S1142" i="4"/>
  <c r="S1148" i="4"/>
  <c r="S1154" i="4"/>
  <c r="S1160" i="4"/>
  <c r="S1166" i="4"/>
  <c r="S1172" i="4"/>
  <c r="S1178" i="4"/>
  <c r="S1184" i="4"/>
  <c r="S1190" i="4"/>
  <c r="S1196" i="4"/>
  <c r="S1202" i="4"/>
  <c r="S1208" i="4"/>
  <c r="S1214" i="4"/>
  <c r="S1220" i="4"/>
  <c r="S1226" i="4"/>
  <c r="S1232" i="4"/>
  <c r="S1238" i="4"/>
  <c r="S1244" i="4"/>
  <c r="S1250" i="4"/>
  <c r="S1256" i="4"/>
  <c r="S1262" i="4"/>
  <c r="S1268" i="4"/>
  <c r="S1274" i="4"/>
  <c r="S1280" i="4"/>
  <c r="S1286" i="4"/>
  <c r="S1292" i="4"/>
  <c r="S1298" i="4"/>
  <c r="S1304" i="4"/>
  <c r="S1310" i="4"/>
  <c r="S1316" i="4"/>
  <c r="S1322" i="4"/>
  <c r="S1328" i="4"/>
  <c r="S1334" i="4"/>
  <c r="S1340" i="4"/>
  <c r="S1346" i="4"/>
  <c r="S1352" i="4"/>
  <c r="S1358" i="4"/>
  <c r="S1364" i="4"/>
  <c r="S1370" i="4"/>
  <c r="S1376" i="4"/>
  <c r="S1382" i="4"/>
  <c r="S1388" i="4"/>
  <c r="S1394" i="4"/>
  <c r="S1400" i="4"/>
  <c r="S1406" i="4"/>
  <c r="S1412" i="4"/>
  <c r="S1418" i="4"/>
  <c r="S1424" i="4"/>
  <c r="S1430" i="4"/>
  <c r="S1436" i="4"/>
  <c r="S1442" i="4"/>
  <c r="S1448" i="4"/>
  <c r="S889" i="4"/>
  <c r="S925" i="4"/>
  <c r="S961" i="4"/>
  <c r="S997" i="4"/>
  <c r="S1033" i="4"/>
  <c r="S1069" i="4"/>
  <c r="S1105" i="4"/>
  <c r="S1141" i="4"/>
  <c r="S1177" i="4"/>
  <c r="S1213" i="4"/>
  <c r="S1249" i="4"/>
  <c r="S1285" i="4"/>
  <c r="S1321" i="4"/>
  <c r="S1357" i="4"/>
  <c r="S1393" i="4"/>
  <c r="S1429" i="4"/>
  <c r="S1459" i="4"/>
  <c r="S1477" i="4"/>
  <c r="S1495" i="4"/>
  <c r="S895" i="4"/>
  <c r="S931" i="4"/>
  <c r="S967" i="4"/>
  <c r="S1003" i="4"/>
  <c r="S1039" i="4"/>
  <c r="S1075" i="4"/>
  <c r="S1111" i="4"/>
  <c r="S1147" i="4"/>
  <c r="S1183" i="4"/>
  <c r="S1219" i="4"/>
  <c r="S1255" i="4"/>
  <c r="S1291" i="4"/>
  <c r="S1327" i="4"/>
  <c r="S1363" i="4"/>
  <c r="S1399" i="4"/>
  <c r="S1435" i="4"/>
  <c r="S1460" i="4"/>
  <c r="S1478" i="4"/>
  <c r="S1496" i="4"/>
  <c r="S901" i="4"/>
  <c r="S937" i="4"/>
  <c r="S973" i="4"/>
  <c r="S1009" i="4"/>
  <c r="S1045" i="4"/>
  <c r="S1081" i="4"/>
  <c r="S1117" i="4"/>
  <c r="S1153" i="4"/>
  <c r="S1189" i="4"/>
  <c r="S1225" i="4"/>
  <c r="S1261" i="4"/>
  <c r="S1297" i="4"/>
  <c r="S1333" i="4"/>
  <c r="S1369" i="4"/>
  <c r="S1405" i="4"/>
  <c r="S1441" i="4"/>
  <c r="S1465" i="4"/>
  <c r="S1483" i="4"/>
  <c r="S907" i="4"/>
  <c r="S943" i="4"/>
  <c r="S979" i="4"/>
  <c r="S1015" i="4"/>
  <c r="S1051" i="4"/>
  <c r="S1087" i="4"/>
  <c r="S1123" i="4"/>
  <c r="S1159" i="4"/>
  <c r="S1195" i="4"/>
  <c r="S1231" i="4"/>
  <c r="S1267" i="4"/>
  <c r="S1303" i="4"/>
  <c r="S1339" i="4"/>
  <c r="S1375" i="4"/>
  <c r="S1411" i="4"/>
  <c r="S1447" i="4"/>
  <c r="S1466" i="4"/>
  <c r="S1484" i="4"/>
  <c r="S913" i="4"/>
  <c r="S949" i="4"/>
  <c r="S985" i="4"/>
  <c r="S1021" i="4"/>
  <c r="S1057" i="4"/>
  <c r="S1093" i="4"/>
  <c r="S1129" i="4"/>
  <c r="S1165" i="4"/>
  <c r="S1201" i="4"/>
  <c r="S1237" i="4"/>
  <c r="S1273" i="4"/>
  <c r="S1309" i="4"/>
  <c r="S1345" i="4"/>
  <c r="S1381" i="4"/>
  <c r="S1417" i="4"/>
  <c r="S1453" i="4"/>
  <c r="S1471" i="4"/>
  <c r="S1489" i="4"/>
  <c r="S919" i="4"/>
  <c r="S1135" i="4"/>
  <c r="S1351" i="4"/>
  <c r="S955" i="4"/>
  <c r="S1171" i="4"/>
  <c r="S1387" i="4"/>
  <c r="S991" i="4"/>
  <c r="S1207" i="4"/>
  <c r="S1423" i="4"/>
  <c r="S1027" i="4"/>
  <c r="S1243" i="4"/>
  <c r="S1454" i="4"/>
  <c r="S1063" i="4"/>
  <c r="S1279" i="4"/>
  <c r="S1472" i="4"/>
  <c r="S1099" i="4"/>
  <c r="S1315" i="4"/>
  <c r="S1490" i="4"/>
  <c r="Y223" i="4"/>
  <c r="Y229" i="4"/>
  <c r="Y235" i="4"/>
  <c r="Y241" i="4"/>
  <c r="Y247" i="4"/>
  <c r="Y253" i="4"/>
  <c r="Y259" i="4"/>
  <c r="Y265" i="4"/>
  <c r="Y271" i="4"/>
  <c r="Y277" i="4"/>
  <c r="Y283" i="4"/>
  <c r="Y289" i="4"/>
  <c r="Y295" i="4"/>
  <c r="Y301" i="4"/>
  <c r="Y307" i="4"/>
  <c r="Y313" i="4"/>
  <c r="Y319" i="4"/>
  <c r="Y325" i="4"/>
  <c r="Y331" i="4"/>
  <c r="Y337" i="4"/>
  <c r="Y343" i="4"/>
  <c r="Y349" i="4"/>
  <c r="Y355" i="4"/>
  <c r="Y361" i="4"/>
  <c r="Y367" i="4"/>
  <c r="Y373" i="4"/>
  <c r="Y379" i="4"/>
  <c r="Y385" i="4"/>
  <c r="Y391" i="4"/>
  <c r="Y397" i="4"/>
  <c r="Y403" i="4"/>
  <c r="Y409" i="4"/>
  <c r="Y415" i="4"/>
  <c r="Y421" i="4"/>
  <c r="Y427" i="4"/>
  <c r="Y433" i="4"/>
  <c r="Y439" i="4"/>
  <c r="Y445" i="4"/>
  <c r="Y451" i="4"/>
  <c r="Y457" i="4"/>
  <c r="Y463" i="4"/>
  <c r="Y469" i="4"/>
  <c r="Y475" i="4"/>
  <c r="Y481" i="4"/>
  <c r="Y487" i="4"/>
  <c r="Y493" i="4"/>
  <c r="Y499" i="4"/>
  <c r="Y505" i="4"/>
  <c r="Y511" i="4"/>
  <c r="Y517" i="4"/>
  <c r="Y523" i="4"/>
  <c r="Y529" i="4"/>
  <c r="Y535" i="4"/>
  <c r="Y541" i="4"/>
  <c r="Y547" i="4"/>
  <c r="Y553" i="4"/>
  <c r="Y559" i="4"/>
  <c r="Y565" i="4"/>
  <c r="Y571" i="4"/>
  <c r="Y577" i="4"/>
  <c r="Y583" i="4"/>
  <c r="Y589" i="4"/>
  <c r="Y595" i="4"/>
  <c r="Y601" i="4"/>
  <c r="Y607" i="4"/>
  <c r="Y613" i="4"/>
  <c r="Y619" i="4"/>
  <c r="Y625" i="4"/>
  <c r="Y631" i="4"/>
  <c r="Y637" i="4"/>
  <c r="Y643" i="4"/>
  <c r="Y649" i="4"/>
  <c r="Y655" i="4"/>
  <c r="Y661" i="4"/>
  <c r="Y667" i="4"/>
  <c r="Y673" i="4"/>
  <c r="Y679" i="4"/>
  <c r="Y685" i="4"/>
  <c r="Y691" i="4"/>
  <c r="Y697" i="4"/>
  <c r="Y703" i="4"/>
  <c r="Y709" i="4"/>
  <c r="Y715" i="4"/>
  <c r="Y721" i="4"/>
  <c r="Y727" i="4"/>
  <c r="Y733" i="4"/>
  <c r="Y739" i="4"/>
  <c r="Y745" i="4"/>
  <c r="Y751" i="4"/>
  <c r="Y757" i="4"/>
  <c r="Y763" i="4"/>
  <c r="Y769" i="4"/>
  <c r="Y775" i="4"/>
  <c r="Y781" i="4"/>
  <c r="Y787" i="4"/>
  <c r="Y793" i="4"/>
  <c r="Y799" i="4"/>
  <c r="Y805" i="4"/>
  <c r="Y811" i="4"/>
  <c r="Y817" i="4"/>
  <c r="Y823" i="4"/>
  <c r="Y829" i="4"/>
  <c r="Y835" i="4"/>
  <c r="Y841" i="4"/>
  <c r="Y847" i="4"/>
  <c r="Y853" i="4"/>
  <c r="Y859" i="4"/>
  <c r="Y865" i="4"/>
  <c r="Y871" i="4"/>
  <c r="Y877" i="4"/>
  <c r="Y883" i="4"/>
  <c r="Y889" i="4"/>
  <c r="Y895" i="4"/>
  <c r="Y901" i="4"/>
  <c r="Y907" i="4"/>
  <c r="Y913" i="4"/>
  <c r="Y919" i="4"/>
  <c r="Y925" i="4"/>
  <c r="Y931" i="4"/>
  <c r="Y937" i="4"/>
  <c r="Y943" i="4"/>
  <c r="Y949" i="4"/>
  <c r="Y955" i="4"/>
  <c r="Y961" i="4"/>
  <c r="Y967" i="4"/>
  <c r="Y973" i="4"/>
  <c r="Y979" i="4"/>
  <c r="Y985" i="4"/>
  <c r="Y991" i="4"/>
  <c r="Y997" i="4"/>
  <c r="Y1003" i="4"/>
  <c r="Y1009" i="4"/>
  <c r="Y1015" i="4"/>
  <c r="Y1021" i="4"/>
  <c r="Y1027" i="4"/>
  <c r="Y1033" i="4"/>
  <c r="Y1039" i="4"/>
  <c r="Y1045" i="4"/>
  <c r="Y1051" i="4"/>
  <c r="Y1057" i="4"/>
  <c r="Y1063" i="4"/>
  <c r="Y1069" i="4"/>
  <c r="Y1075" i="4"/>
  <c r="Y1081" i="4"/>
  <c r="Y1087" i="4"/>
  <c r="Y1093" i="4"/>
  <c r="Y1099" i="4"/>
  <c r="Y1105" i="4"/>
  <c r="Y1111" i="4"/>
  <c r="Y1117" i="4"/>
  <c r="Y1123" i="4"/>
  <c r="Y1129" i="4"/>
  <c r="Y1135" i="4"/>
  <c r="Y1141" i="4"/>
  <c r="Y1147" i="4"/>
  <c r="Y1153" i="4"/>
  <c r="Y1159" i="4"/>
  <c r="Y1165" i="4"/>
  <c r="Y1171" i="4"/>
  <c r="Y1177" i="4"/>
  <c r="Y1183" i="4"/>
  <c r="Y1189" i="4"/>
  <c r="Y1195" i="4"/>
  <c r="Y1201" i="4"/>
  <c r="Y1207" i="4"/>
  <c r="Y1213" i="4"/>
  <c r="Y1219" i="4"/>
  <c r="Y1225" i="4"/>
  <c r="Y1231" i="4"/>
  <c r="Y1237" i="4"/>
  <c r="Y1243" i="4"/>
  <c r="Y1249" i="4"/>
  <c r="Y1255" i="4"/>
  <c r="Y1261" i="4"/>
  <c r="Y1267" i="4"/>
  <c r="Y1273" i="4"/>
  <c r="Y1279" i="4"/>
  <c r="Y1285" i="4"/>
  <c r="Y1291" i="4"/>
  <c r="Y1297" i="4"/>
  <c r="Y1303" i="4"/>
  <c r="Y1309" i="4"/>
  <c r="Y1315" i="4"/>
  <c r="Y1321" i="4"/>
  <c r="Y1327" i="4"/>
  <c r="Y1333" i="4"/>
  <c r="Y1339" i="4"/>
  <c r="Y1345" i="4"/>
  <c r="Y1351" i="4"/>
  <c r="Y1357" i="4"/>
  <c r="Y1363" i="4"/>
  <c r="Y1369" i="4"/>
  <c r="Y1375" i="4"/>
  <c r="Y1381" i="4"/>
  <c r="Y1387" i="4"/>
  <c r="Y1393" i="4"/>
  <c r="Y1399" i="4"/>
  <c r="Y1405" i="4"/>
  <c r="Y1411" i="4"/>
  <c r="Y1417" i="4"/>
  <c r="Y1423" i="4"/>
  <c r="Y1429" i="4"/>
  <c r="Y1435" i="4"/>
  <c r="Y1441" i="4"/>
  <c r="Y1447" i="4"/>
  <c r="Y1453" i="4"/>
  <c r="Y1459" i="4"/>
  <c r="Y1465" i="4"/>
  <c r="Y1471" i="4"/>
  <c r="Y1477" i="4"/>
  <c r="Y1483" i="4"/>
  <c r="Y1489" i="4"/>
  <c r="Y1495" i="4"/>
  <c r="Y224" i="4"/>
  <c r="Y230" i="4"/>
  <c r="Y236" i="4"/>
  <c r="Y242" i="4"/>
  <c r="Y248" i="4"/>
  <c r="Y254" i="4"/>
  <c r="Y260" i="4"/>
  <c r="Y266" i="4"/>
  <c r="Y272" i="4"/>
  <c r="Y278" i="4"/>
  <c r="Y284" i="4"/>
  <c r="Y290" i="4"/>
  <c r="Y296" i="4"/>
  <c r="Y302" i="4"/>
  <c r="Y308" i="4"/>
  <c r="Y314" i="4"/>
  <c r="Y320" i="4"/>
  <c r="Y326" i="4"/>
  <c r="Y332" i="4"/>
  <c r="Y338" i="4"/>
  <c r="Y344" i="4"/>
  <c r="Y350" i="4"/>
  <c r="Y356" i="4"/>
  <c r="Y362" i="4"/>
  <c r="Y368" i="4"/>
  <c r="Y374" i="4"/>
  <c r="Y380" i="4"/>
  <c r="Y386" i="4"/>
  <c r="Y392" i="4"/>
  <c r="Y398" i="4"/>
  <c r="Y404" i="4"/>
  <c r="Y410" i="4"/>
  <c r="Y416" i="4"/>
  <c r="Y422" i="4"/>
  <c r="Y428" i="4"/>
  <c r="Y434" i="4"/>
  <c r="Y440" i="4"/>
  <c r="Y446" i="4"/>
  <c r="Y452" i="4"/>
  <c r="Y458" i="4"/>
  <c r="Y464" i="4"/>
  <c r="Y470" i="4"/>
  <c r="Y476" i="4"/>
  <c r="Y482" i="4"/>
  <c r="Y488" i="4"/>
  <c r="Y494" i="4"/>
  <c r="Y500" i="4"/>
  <c r="Y506" i="4"/>
  <c r="Y512" i="4"/>
  <c r="Y518" i="4"/>
  <c r="Y524" i="4"/>
  <c r="Y530" i="4"/>
  <c r="Y536" i="4"/>
  <c r="Y542" i="4"/>
  <c r="Y548" i="4"/>
  <c r="Y554" i="4"/>
  <c r="Y560" i="4"/>
  <c r="Y566" i="4"/>
  <c r="Y572" i="4"/>
  <c r="Y578" i="4"/>
  <c r="Y584" i="4"/>
  <c r="Y590" i="4"/>
  <c r="Y596" i="4"/>
  <c r="Y602" i="4"/>
  <c r="Y608" i="4"/>
  <c r="Y614" i="4"/>
  <c r="Y620" i="4"/>
  <c r="Y626" i="4"/>
  <c r="Y632" i="4"/>
  <c r="Y638" i="4"/>
  <c r="Y644" i="4"/>
  <c r="Y650" i="4"/>
  <c r="Y656" i="4"/>
  <c r="Y662" i="4"/>
  <c r="Y668" i="4"/>
  <c r="Y674" i="4"/>
  <c r="Y680" i="4"/>
  <c r="Y686" i="4"/>
  <c r="Y692" i="4"/>
  <c r="Y698" i="4"/>
  <c r="Y704" i="4"/>
  <c r="Y710" i="4"/>
  <c r="Y716" i="4"/>
  <c r="Y722" i="4"/>
  <c r="Y728" i="4"/>
  <c r="Y734" i="4"/>
  <c r="Y740" i="4"/>
  <c r="Y746" i="4"/>
  <c r="Y752" i="4"/>
  <c r="Y758" i="4"/>
  <c r="Y764" i="4"/>
  <c r="Y770" i="4"/>
  <c r="Y776" i="4"/>
  <c r="Y782" i="4"/>
  <c r="Y788" i="4"/>
  <c r="Y794" i="4"/>
  <c r="Y800" i="4"/>
  <c r="Y806" i="4"/>
  <c r="Y812" i="4"/>
  <c r="Y818" i="4"/>
  <c r="Y824" i="4"/>
  <c r="Y830" i="4"/>
  <c r="Y836" i="4"/>
  <c r="Y842" i="4"/>
  <c r="Y848" i="4"/>
  <c r="Y854" i="4"/>
  <c r="Y860" i="4"/>
  <c r="Y866" i="4"/>
  <c r="Y872" i="4"/>
  <c r="Y878" i="4"/>
  <c r="Y884" i="4"/>
  <c r="Y890" i="4"/>
  <c r="Y896" i="4"/>
  <c r="Y902" i="4"/>
  <c r="Y908" i="4"/>
  <c r="Y914" i="4"/>
  <c r="Y920" i="4"/>
  <c r="Y926" i="4"/>
  <c r="Y932" i="4"/>
  <c r="Y938" i="4"/>
  <c r="Y944" i="4"/>
  <c r="Y950" i="4"/>
  <c r="Y956" i="4"/>
  <c r="Y962" i="4"/>
  <c r="Y968" i="4"/>
  <c r="Y974" i="4"/>
  <c r="Y980" i="4"/>
  <c r="Y986" i="4"/>
  <c r="Y992" i="4"/>
  <c r="Y998" i="4"/>
  <c r="Y1004" i="4"/>
  <c r="Y1010" i="4"/>
  <c r="Y1016" i="4"/>
  <c r="Y1022" i="4"/>
  <c r="Y1028" i="4"/>
  <c r="Y1034" i="4"/>
  <c r="Y1040" i="4"/>
  <c r="Y1046" i="4"/>
  <c r="Y1052" i="4"/>
  <c r="Y1058" i="4"/>
  <c r="Y1064" i="4"/>
  <c r="Y1070" i="4"/>
  <c r="Y1076" i="4"/>
  <c r="Y1082" i="4"/>
  <c r="Y1088" i="4"/>
  <c r="Y1094" i="4"/>
  <c r="Y1100" i="4"/>
  <c r="Y1106" i="4"/>
  <c r="Y1112" i="4"/>
  <c r="Y1118" i="4"/>
  <c r="Y1124" i="4"/>
  <c r="Y1130" i="4"/>
  <c r="Y1136" i="4"/>
  <c r="Y1142" i="4"/>
  <c r="Y1148" i="4"/>
  <c r="Y1154" i="4"/>
  <c r="Y1160" i="4"/>
  <c r="Y1166" i="4"/>
  <c r="Y1172" i="4"/>
  <c r="Y1178" i="4"/>
  <c r="Y1184" i="4"/>
  <c r="Y1190" i="4"/>
  <c r="Y1196" i="4"/>
  <c r="Y1202" i="4"/>
  <c r="Y1208" i="4"/>
  <c r="Y1214" i="4"/>
  <c r="Y1220" i="4"/>
  <c r="Y1226" i="4"/>
  <c r="Y1232" i="4"/>
  <c r="Y1238" i="4"/>
  <c r="Y1244" i="4"/>
  <c r="Y1250" i="4"/>
  <c r="Y1256" i="4"/>
  <c r="Y1262" i="4"/>
  <c r="Y1268" i="4"/>
  <c r="Y1274" i="4"/>
  <c r="Y1280" i="4"/>
  <c r="Y1286" i="4"/>
  <c r="Y1292" i="4"/>
  <c r="Y1298" i="4"/>
  <c r="Y1304" i="4"/>
  <c r="Y1310" i="4"/>
  <c r="Y1316" i="4"/>
  <c r="Y1322" i="4"/>
  <c r="Y1328" i="4"/>
  <c r="Y1334" i="4"/>
  <c r="Y1340" i="4"/>
  <c r="Y1346" i="4"/>
  <c r="Y1352" i="4"/>
  <c r="Y1358" i="4"/>
  <c r="Y1364" i="4"/>
  <c r="Y1370" i="4"/>
  <c r="Y1376" i="4"/>
  <c r="Y1382" i="4"/>
  <c r="Y1388" i="4"/>
  <c r="Y1394" i="4"/>
  <c r="Y1400" i="4"/>
  <c r="Y1406" i="4"/>
  <c r="Y1412" i="4"/>
  <c r="Y1418" i="4"/>
  <c r="Y1424" i="4"/>
  <c r="Y1430" i="4"/>
  <c r="Y1436" i="4"/>
  <c r="Y1442" i="4"/>
  <c r="Y1448" i="4"/>
  <c r="Y1454" i="4"/>
  <c r="Y1460" i="4"/>
  <c r="Y1466" i="4"/>
  <c r="Y1472" i="4"/>
  <c r="Y1478" i="4"/>
  <c r="Y1484" i="4"/>
  <c r="Y1490" i="4"/>
  <c r="Y1496" i="4"/>
  <c r="Y225" i="4"/>
  <c r="Y231" i="4"/>
  <c r="Y237" i="4"/>
  <c r="Y243" i="4"/>
  <c r="Y249" i="4"/>
  <c r="Y255" i="4"/>
  <c r="Y261" i="4"/>
  <c r="Y267" i="4"/>
  <c r="Y273" i="4"/>
  <c r="Y279" i="4"/>
  <c r="Y285" i="4"/>
  <c r="Y291" i="4"/>
  <c r="Y297" i="4"/>
  <c r="Y303" i="4"/>
  <c r="Y309" i="4"/>
  <c r="Y315" i="4"/>
  <c r="Y321" i="4"/>
  <c r="Y327" i="4"/>
  <c r="Y333" i="4"/>
  <c r="Y339" i="4"/>
  <c r="Y345" i="4"/>
  <c r="Y351" i="4"/>
  <c r="Y357" i="4"/>
  <c r="Y363" i="4"/>
  <c r="Y369" i="4"/>
  <c r="Y375" i="4"/>
  <c r="Y381" i="4"/>
  <c r="Y387" i="4"/>
  <c r="Y393" i="4"/>
  <c r="Y399" i="4"/>
  <c r="Y405" i="4"/>
  <c r="Y411" i="4"/>
  <c r="Y417" i="4"/>
  <c r="Y423" i="4"/>
  <c r="Y429" i="4"/>
  <c r="Y435" i="4"/>
  <c r="Y441" i="4"/>
  <c r="Y447" i="4"/>
  <c r="Y453" i="4"/>
  <c r="Y459" i="4"/>
  <c r="Y465" i="4"/>
  <c r="Y471" i="4"/>
  <c r="Y477" i="4"/>
  <c r="Y483" i="4"/>
  <c r="Y489" i="4"/>
  <c r="Y495" i="4"/>
  <c r="Y501" i="4"/>
  <c r="Y507" i="4"/>
  <c r="Y513" i="4"/>
  <c r="Y519" i="4"/>
  <c r="Y525" i="4"/>
  <c r="Y531" i="4"/>
  <c r="Y537" i="4"/>
  <c r="Y543" i="4"/>
  <c r="Y549" i="4"/>
  <c r="Y555" i="4"/>
  <c r="Y561" i="4"/>
  <c r="Y567" i="4"/>
  <c r="Y573" i="4"/>
  <c r="Y579" i="4"/>
  <c r="Y585" i="4"/>
  <c r="Y591" i="4"/>
  <c r="Y597" i="4"/>
  <c r="Y603" i="4"/>
  <c r="Y609" i="4"/>
  <c r="Y615" i="4"/>
  <c r="Y621" i="4"/>
  <c r="Y627" i="4"/>
  <c r="Y633" i="4"/>
  <c r="Y639" i="4"/>
  <c r="Y645" i="4"/>
  <c r="Y651" i="4"/>
  <c r="Y657" i="4"/>
  <c r="Y663" i="4"/>
  <c r="Y669" i="4"/>
  <c r="Y675" i="4"/>
  <c r="Y681" i="4"/>
  <c r="Y687" i="4"/>
  <c r="Y693" i="4"/>
  <c r="Y699" i="4"/>
  <c r="Y705" i="4"/>
  <c r="Y711" i="4"/>
  <c r="Y717" i="4"/>
  <c r="Y723" i="4"/>
  <c r="Y729" i="4"/>
  <c r="Y735" i="4"/>
  <c r="Y741" i="4"/>
  <c r="Y747" i="4"/>
  <c r="Y753" i="4"/>
  <c r="Y759" i="4"/>
  <c r="Y765" i="4"/>
  <c r="Y771" i="4"/>
  <c r="Y777" i="4"/>
  <c r="Y783" i="4"/>
  <c r="Y789" i="4"/>
  <c r="Y795" i="4"/>
  <c r="Y801" i="4"/>
  <c r="Y807" i="4"/>
  <c r="Y813" i="4"/>
  <c r="Y819" i="4"/>
  <c r="Y825" i="4"/>
  <c r="Y831" i="4"/>
  <c r="Y837" i="4"/>
  <c r="Y843" i="4"/>
  <c r="Y849" i="4"/>
  <c r="Y855" i="4"/>
  <c r="Y861" i="4"/>
  <c r="Y867" i="4"/>
  <c r="Y873" i="4"/>
  <c r="Y879" i="4"/>
  <c r="Y885" i="4"/>
  <c r="Y891" i="4"/>
  <c r="Y897" i="4"/>
  <c r="Y903" i="4"/>
  <c r="Y909" i="4"/>
  <c r="Y915" i="4"/>
  <c r="Y921" i="4"/>
  <c r="Y927" i="4"/>
  <c r="Y933" i="4"/>
  <c r="Y939" i="4"/>
  <c r="Y945" i="4"/>
  <c r="Y951" i="4"/>
  <c r="Y957" i="4"/>
  <c r="Y963" i="4"/>
  <c r="Y969" i="4"/>
  <c r="Y975" i="4"/>
  <c r="Y981" i="4"/>
  <c r="Y987" i="4"/>
  <c r="Y993" i="4"/>
  <c r="Y999" i="4"/>
  <c r="Y1005" i="4"/>
  <c r="Y1011" i="4"/>
  <c r="Y1017" i="4"/>
  <c r="Y1023" i="4"/>
  <c r="Y1029" i="4"/>
  <c r="Y1035" i="4"/>
  <c r="Y1041" i="4"/>
  <c r="Y1047" i="4"/>
  <c r="Y1053" i="4"/>
  <c r="Y1059" i="4"/>
  <c r="Y1065" i="4"/>
  <c r="Y1071" i="4"/>
  <c r="Y1077" i="4"/>
  <c r="Y1083" i="4"/>
  <c r="Y1089" i="4"/>
  <c r="Y1095" i="4"/>
  <c r="Y1101" i="4"/>
  <c r="Y1107" i="4"/>
  <c r="Y1113" i="4"/>
  <c r="Y1119" i="4"/>
  <c r="Y1125" i="4"/>
  <c r="Y1131" i="4"/>
  <c r="Y1137" i="4"/>
  <c r="Y1143" i="4"/>
  <c r="Y1149" i="4"/>
  <c r="Y1155" i="4"/>
  <c r="Y1161" i="4"/>
  <c r="Y1167" i="4"/>
  <c r="Y1173" i="4"/>
  <c r="Y1179" i="4"/>
  <c r="Y1185" i="4"/>
  <c r="Y1191" i="4"/>
  <c r="Y1197" i="4"/>
  <c r="Y1203" i="4"/>
  <c r="Y1209" i="4"/>
  <c r="Y1215" i="4"/>
  <c r="Y1221" i="4"/>
  <c r="Y1227" i="4"/>
  <c r="Y1233" i="4"/>
  <c r="Y1239" i="4"/>
  <c r="Y1245" i="4"/>
  <c r="Y1251" i="4"/>
  <c r="Y1257" i="4"/>
  <c r="Y1263" i="4"/>
  <c r="Y1269" i="4"/>
  <c r="Y1275" i="4"/>
  <c r="Y1281" i="4"/>
  <c r="Y1287" i="4"/>
  <c r="Y1293" i="4"/>
  <c r="Y1299" i="4"/>
  <c r="Y1305" i="4"/>
  <c r="Y1311" i="4"/>
  <c r="Y1317" i="4"/>
  <c r="Y1323" i="4"/>
  <c r="Y1329" i="4"/>
  <c r="Y1335" i="4"/>
  <c r="Y1341" i="4"/>
  <c r="Y1347" i="4"/>
  <c r="Y1353" i="4"/>
  <c r="Y1359" i="4"/>
  <c r="Y1365" i="4"/>
  <c r="Y1371" i="4"/>
  <c r="Y1377" i="4"/>
  <c r="Y1383" i="4"/>
  <c r="Y1389" i="4"/>
  <c r="Y1395" i="4"/>
  <c r="Y1401" i="4"/>
  <c r="Y1407" i="4"/>
  <c r="Y1413" i="4"/>
  <c r="Y1419" i="4"/>
  <c r="Y1425" i="4"/>
  <c r="Y1431" i="4"/>
  <c r="Y1437" i="4"/>
  <c r="Y1443" i="4"/>
  <c r="Y1449" i="4"/>
  <c r="Y1455" i="4"/>
  <c r="Y1461" i="4"/>
  <c r="Y1467" i="4"/>
  <c r="Y1473" i="4"/>
  <c r="Y1479" i="4"/>
  <c r="Y1485" i="4"/>
  <c r="Y1491" i="4"/>
  <c r="Y1497" i="4"/>
  <c r="Y226" i="4"/>
  <c r="Y232" i="4"/>
  <c r="Y238" i="4"/>
  <c r="Y244" i="4"/>
  <c r="Y250" i="4"/>
  <c r="Y256" i="4"/>
  <c r="Y262" i="4"/>
  <c r="Y268" i="4"/>
  <c r="Y274" i="4"/>
  <c r="Y280" i="4"/>
  <c r="Y286" i="4"/>
  <c r="Y292" i="4"/>
  <c r="Y298" i="4"/>
  <c r="Y304" i="4"/>
  <c r="Y310" i="4"/>
  <c r="Y316" i="4"/>
  <c r="Y322" i="4"/>
  <c r="Y328" i="4"/>
  <c r="Y334" i="4"/>
  <c r="Y340" i="4"/>
  <c r="Y346" i="4"/>
  <c r="Y352" i="4"/>
  <c r="Y358" i="4"/>
  <c r="Y364" i="4"/>
  <c r="Y370" i="4"/>
  <c r="Y376" i="4"/>
  <c r="Y382" i="4"/>
  <c r="Y388" i="4"/>
  <c r="Y394" i="4"/>
  <c r="Y400" i="4"/>
  <c r="Y406" i="4"/>
  <c r="Y412" i="4"/>
  <c r="Y418" i="4"/>
  <c r="Y424" i="4"/>
  <c r="Y430" i="4"/>
  <c r="Y436" i="4"/>
  <c r="Y442" i="4"/>
  <c r="Y448" i="4"/>
  <c r="Y454" i="4"/>
  <c r="Y460" i="4"/>
  <c r="Y466" i="4"/>
  <c r="Y472" i="4"/>
  <c r="Y478" i="4"/>
  <c r="Y484" i="4"/>
  <c r="Y490" i="4"/>
  <c r="Y496" i="4"/>
  <c r="Y502" i="4"/>
  <c r="Y508" i="4"/>
  <c r="Y514" i="4"/>
  <c r="Y520" i="4"/>
  <c r="Y526" i="4"/>
  <c r="Y532" i="4"/>
  <c r="Y538" i="4"/>
  <c r="Y544" i="4"/>
  <c r="Y550" i="4"/>
  <c r="Y556" i="4"/>
  <c r="Y562" i="4"/>
  <c r="Y568" i="4"/>
  <c r="Y574" i="4"/>
  <c r="Y580" i="4"/>
  <c r="Y586" i="4"/>
  <c r="Y592" i="4"/>
  <c r="Y598" i="4"/>
  <c r="Y604" i="4"/>
  <c r="Y610" i="4"/>
  <c r="Y616" i="4"/>
  <c r="Y622" i="4"/>
  <c r="Y628" i="4"/>
  <c r="Y634" i="4"/>
  <c r="Y640" i="4"/>
  <c r="Y646" i="4"/>
  <c r="Y652" i="4"/>
  <c r="Y658" i="4"/>
  <c r="Y664" i="4"/>
  <c r="Y670" i="4"/>
  <c r="Y676" i="4"/>
  <c r="Y682" i="4"/>
  <c r="Y688" i="4"/>
  <c r="Y694" i="4"/>
  <c r="Y700" i="4"/>
  <c r="Y706" i="4"/>
  <c r="Y712" i="4"/>
  <c r="Y718" i="4"/>
  <c r="Y724" i="4"/>
  <c r="Y730" i="4"/>
  <c r="Y736" i="4"/>
  <c r="Y742" i="4"/>
  <c r="Y748" i="4"/>
  <c r="Y754" i="4"/>
  <c r="Y760" i="4"/>
  <c r="Y766" i="4"/>
  <c r="Y772" i="4"/>
  <c r="Y778" i="4"/>
  <c r="Y784" i="4"/>
  <c r="Y790" i="4"/>
  <c r="Y796" i="4"/>
  <c r="Y802" i="4"/>
  <c r="Y808" i="4"/>
  <c r="Y814" i="4"/>
  <c r="Y820" i="4"/>
  <c r="Y826" i="4"/>
  <c r="Y832" i="4"/>
  <c r="Y838" i="4"/>
  <c r="Y844" i="4"/>
  <c r="Y850" i="4"/>
  <c r="Y856" i="4"/>
  <c r="Y862" i="4"/>
  <c r="Y868" i="4"/>
  <c r="Y874" i="4"/>
  <c r="Y880" i="4"/>
  <c r="Y886" i="4"/>
  <c r="Y892" i="4"/>
  <c r="Y898" i="4"/>
  <c r="Y904" i="4"/>
  <c r="Y910" i="4"/>
  <c r="Y916" i="4"/>
  <c r="Y922" i="4"/>
  <c r="Y928" i="4"/>
  <c r="Y934" i="4"/>
  <c r="Y940" i="4"/>
  <c r="Y946" i="4"/>
  <c r="Y952" i="4"/>
  <c r="Y958" i="4"/>
  <c r="Y964" i="4"/>
  <c r="Y970" i="4"/>
  <c r="Y976" i="4"/>
  <c r="Y982" i="4"/>
  <c r="Y988" i="4"/>
  <c r="Y994" i="4"/>
  <c r="Y1000" i="4"/>
  <c r="Y1006" i="4"/>
  <c r="Y1012" i="4"/>
  <c r="Y1018" i="4"/>
  <c r="Y1024" i="4"/>
  <c r="Y1030" i="4"/>
  <c r="Y1036" i="4"/>
  <c r="Y1042" i="4"/>
  <c r="Y1048" i="4"/>
  <c r="Y1054" i="4"/>
  <c r="Y1060" i="4"/>
  <c r="Y1066" i="4"/>
  <c r="Y1072" i="4"/>
  <c r="Y1078" i="4"/>
  <c r="Y1084" i="4"/>
  <c r="Y1090" i="4"/>
  <c r="Y1096" i="4"/>
  <c r="Y1102" i="4"/>
  <c r="Y1108" i="4"/>
  <c r="Y1114" i="4"/>
  <c r="Y1120" i="4"/>
  <c r="Y1126" i="4"/>
  <c r="Y1132" i="4"/>
  <c r="Y1138" i="4"/>
  <c r="Y1144" i="4"/>
  <c r="Y1150" i="4"/>
  <c r="Y1156" i="4"/>
  <c r="Y1162" i="4"/>
  <c r="Y1168" i="4"/>
  <c r="Y1174" i="4"/>
  <c r="Y1180" i="4"/>
  <c r="Y1186" i="4"/>
  <c r="Y1192" i="4"/>
  <c r="Y1198" i="4"/>
  <c r="Y1204" i="4"/>
  <c r="Y1210" i="4"/>
  <c r="Y1216" i="4"/>
  <c r="Y1222" i="4"/>
  <c r="Y1228" i="4"/>
  <c r="Y1234" i="4"/>
  <c r="Y1240" i="4"/>
  <c r="Y1246" i="4"/>
  <c r="Y1252" i="4"/>
  <c r="Y1258" i="4"/>
  <c r="Y1264" i="4"/>
  <c r="Y1270" i="4"/>
  <c r="Y1276" i="4"/>
  <c r="Y1282" i="4"/>
  <c r="Y1288" i="4"/>
  <c r="Y1294" i="4"/>
  <c r="Y1300" i="4"/>
  <c r="Y1306" i="4"/>
  <c r="Y1312" i="4"/>
  <c r="Y1318" i="4"/>
  <c r="Y1324" i="4"/>
  <c r="Y1330" i="4"/>
  <c r="Y1336" i="4"/>
  <c r="Y1342" i="4"/>
  <c r="Y1348" i="4"/>
  <c r="Y1354" i="4"/>
  <c r="Y1360" i="4"/>
  <c r="Y1366" i="4"/>
  <c r="Y1372" i="4"/>
  <c r="Y1378" i="4"/>
  <c r="Y1384" i="4"/>
  <c r="Y1390" i="4"/>
  <c r="Y1396" i="4"/>
  <c r="Y1402" i="4"/>
  <c r="Y1408" i="4"/>
  <c r="Y1414" i="4"/>
  <c r="Y1420" i="4"/>
  <c r="Y1426" i="4"/>
  <c r="Y1432" i="4"/>
  <c r="Y1438" i="4"/>
  <c r="Y1444" i="4"/>
  <c r="Y1450" i="4"/>
  <c r="Y1456" i="4"/>
  <c r="Y1462" i="4"/>
  <c r="Y1468" i="4"/>
  <c r="Y1474" i="4"/>
  <c r="Y1480" i="4"/>
  <c r="Y1486" i="4"/>
  <c r="Y1492" i="4"/>
  <c r="Y1498" i="4"/>
  <c r="Y221" i="4"/>
  <c r="Y227" i="4"/>
  <c r="Y233" i="4"/>
  <c r="Y239" i="4"/>
  <c r="Y245" i="4"/>
  <c r="Y251" i="4"/>
  <c r="Y257" i="4"/>
  <c r="Y263" i="4"/>
  <c r="Y269" i="4"/>
  <c r="Y275" i="4"/>
  <c r="Y281" i="4"/>
  <c r="Y287" i="4"/>
  <c r="Y293" i="4"/>
  <c r="Y299" i="4"/>
  <c r="Y305" i="4"/>
  <c r="Y311" i="4"/>
  <c r="Y317" i="4"/>
  <c r="Y323" i="4"/>
  <c r="Y329" i="4"/>
  <c r="Y335" i="4"/>
  <c r="Y341" i="4"/>
  <c r="Y347" i="4"/>
  <c r="Y353" i="4"/>
  <c r="Y359" i="4"/>
  <c r="Y365" i="4"/>
  <c r="Y371" i="4"/>
  <c r="Y377" i="4"/>
  <c r="Y383" i="4"/>
  <c r="Y389" i="4"/>
  <c r="Y395" i="4"/>
  <c r="Y401" i="4"/>
  <c r="Y407" i="4"/>
  <c r="Y413" i="4"/>
  <c r="Y419" i="4"/>
  <c r="Y425" i="4"/>
  <c r="Y431" i="4"/>
  <c r="Y437" i="4"/>
  <c r="Y443" i="4"/>
  <c r="Y449" i="4"/>
  <c r="Y455" i="4"/>
  <c r="Y461" i="4"/>
  <c r="Y467" i="4"/>
  <c r="Y473" i="4"/>
  <c r="Y479" i="4"/>
  <c r="Y485" i="4"/>
  <c r="Y491" i="4"/>
  <c r="Y497" i="4"/>
  <c r="Y503" i="4"/>
  <c r="Y509" i="4"/>
  <c r="Y515" i="4"/>
  <c r="Y521" i="4"/>
  <c r="Y527" i="4"/>
  <c r="Y533" i="4"/>
  <c r="Y539" i="4"/>
  <c r="Y545" i="4"/>
  <c r="Y551" i="4"/>
  <c r="Y557" i="4"/>
  <c r="Y563" i="4"/>
  <c r="Y569" i="4"/>
  <c r="Y575" i="4"/>
  <c r="Y581" i="4"/>
  <c r="Y587" i="4"/>
  <c r="Y593" i="4"/>
  <c r="Y599" i="4"/>
  <c r="Y605" i="4"/>
  <c r="Y611" i="4"/>
  <c r="Y617" i="4"/>
  <c r="Y623" i="4"/>
  <c r="Y629" i="4"/>
  <c r="Y635" i="4"/>
  <c r="Y641" i="4"/>
  <c r="Y647" i="4"/>
  <c r="Y653" i="4"/>
  <c r="Y659" i="4"/>
  <c r="Y665" i="4"/>
  <c r="Y671" i="4"/>
  <c r="Y677" i="4"/>
  <c r="Y683" i="4"/>
  <c r="Y689" i="4"/>
  <c r="Y695" i="4"/>
  <c r="Y701" i="4"/>
  <c r="Y707" i="4"/>
  <c r="Y713" i="4"/>
  <c r="Y719" i="4"/>
  <c r="Y725" i="4"/>
  <c r="Y731" i="4"/>
  <c r="Y737" i="4"/>
  <c r="Y743" i="4"/>
  <c r="Y749" i="4"/>
  <c r="Y755" i="4"/>
  <c r="Y761" i="4"/>
  <c r="Y767" i="4"/>
  <c r="Y773" i="4"/>
  <c r="Y779" i="4"/>
  <c r="Y785" i="4"/>
  <c r="Y791" i="4"/>
  <c r="Y797" i="4"/>
  <c r="Y803" i="4"/>
  <c r="Y809" i="4"/>
  <c r="Y815" i="4"/>
  <c r="Y821" i="4"/>
  <c r="Y827" i="4"/>
  <c r="Y833" i="4"/>
  <c r="Y839" i="4"/>
  <c r="Y845" i="4"/>
  <c r="Y851" i="4"/>
  <c r="Y857" i="4"/>
  <c r="Y863" i="4"/>
  <c r="Y869" i="4"/>
  <c r="Y875" i="4"/>
  <c r="Y881" i="4"/>
  <c r="Y887" i="4"/>
  <c r="Y893" i="4"/>
  <c r="Y899" i="4"/>
  <c r="Y905" i="4"/>
  <c r="Y911" i="4"/>
  <c r="Y917" i="4"/>
  <c r="Y923" i="4"/>
  <c r="Y929" i="4"/>
  <c r="Y935" i="4"/>
  <c r="Y941" i="4"/>
  <c r="Y947" i="4"/>
  <c r="Y953" i="4"/>
  <c r="Y959" i="4"/>
  <c r="Y965" i="4"/>
  <c r="Y971" i="4"/>
  <c r="Y977" i="4"/>
  <c r="Y983" i="4"/>
  <c r="Y989" i="4"/>
  <c r="Y995" i="4"/>
  <c r="Y1001" i="4"/>
  <c r="Y1007" i="4"/>
  <c r="Y1013" i="4"/>
  <c r="Y1019" i="4"/>
  <c r="Y1025" i="4"/>
  <c r="Y1031" i="4"/>
  <c r="Y1037" i="4"/>
  <c r="Y1043" i="4"/>
  <c r="Y1049" i="4"/>
  <c r="Y1055" i="4"/>
  <c r="Y1061" i="4"/>
  <c r="Y1067" i="4"/>
  <c r="Y1073" i="4"/>
  <c r="Y1079" i="4"/>
  <c r="Y1085" i="4"/>
  <c r="Y1091" i="4"/>
  <c r="Y1097" i="4"/>
  <c r="Y1103" i="4"/>
  <c r="Y1109" i="4"/>
  <c r="Y1115" i="4"/>
  <c r="Y1121" i="4"/>
  <c r="Y1127" i="4"/>
  <c r="Y1133" i="4"/>
  <c r="Y1139" i="4"/>
  <c r="Y1145" i="4"/>
  <c r="Y1151" i="4"/>
  <c r="Y1157" i="4"/>
  <c r="Y1163" i="4"/>
  <c r="Y1169" i="4"/>
  <c r="Y1175" i="4"/>
  <c r="Y1181" i="4"/>
  <c r="Y1187" i="4"/>
  <c r="Y1193" i="4"/>
  <c r="Y1199" i="4"/>
  <c r="Y1205" i="4"/>
  <c r="Y1211" i="4"/>
  <c r="Y1217" i="4"/>
  <c r="Y1223" i="4"/>
  <c r="Y1229" i="4"/>
  <c r="Y1235" i="4"/>
  <c r="Y1241" i="4"/>
  <c r="Y1247" i="4"/>
  <c r="Y1253" i="4"/>
  <c r="Y1259" i="4"/>
  <c r="Y1265" i="4"/>
  <c r="Y1271" i="4"/>
  <c r="Y1277" i="4"/>
  <c r="Y1283" i="4"/>
  <c r="Y1289" i="4"/>
  <c r="Y1295" i="4"/>
  <c r="Y1301" i="4"/>
  <c r="Y1307" i="4"/>
  <c r="Y1313" i="4"/>
  <c r="Y1319" i="4"/>
  <c r="Y1325" i="4"/>
  <c r="Y1331" i="4"/>
  <c r="Y1337" i="4"/>
  <c r="Y1343" i="4"/>
  <c r="Y1349" i="4"/>
  <c r="Y1355" i="4"/>
  <c r="Y1361" i="4"/>
  <c r="Y1367" i="4"/>
  <c r="Y1373" i="4"/>
  <c r="Y1379" i="4"/>
  <c r="Y1385" i="4"/>
  <c r="Y1391" i="4"/>
  <c r="Y1397" i="4"/>
  <c r="Y1403" i="4"/>
  <c r="Y1409" i="4"/>
  <c r="Y1415" i="4"/>
  <c r="Y1421" i="4"/>
  <c r="Y1427" i="4"/>
  <c r="Y1433" i="4"/>
  <c r="Y1439" i="4"/>
  <c r="Y1445" i="4"/>
  <c r="Y1451" i="4"/>
  <c r="Y1457" i="4"/>
  <c r="Y1463" i="4"/>
  <c r="Y1469" i="4"/>
  <c r="Y1475" i="4"/>
  <c r="Y1481" i="4"/>
  <c r="Y1487" i="4"/>
  <c r="Y1493" i="4"/>
  <c r="Y1499" i="4"/>
  <c r="S883" i="4"/>
  <c r="Y222" i="4"/>
  <c r="Y228" i="4"/>
  <c r="Y234" i="4"/>
  <c r="Y240" i="4"/>
  <c r="Y246" i="4"/>
  <c r="Y252" i="4"/>
  <c r="Y258" i="4"/>
  <c r="Y264" i="4"/>
  <c r="Y270" i="4"/>
  <c r="Y276" i="4"/>
  <c r="Y282" i="4"/>
  <c r="Y288" i="4"/>
  <c r="Y294" i="4"/>
  <c r="Y300" i="4"/>
  <c r="Y306" i="4"/>
  <c r="Y312" i="4"/>
  <c r="Y318" i="4"/>
  <c r="Y324" i="4"/>
  <c r="Y330" i="4"/>
  <c r="Y336" i="4"/>
  <c r="Y342" i="4"/>
  <c r="Y348" i="4"/>
  <c r="Y354" i="4"/>
  <c r="Y360" i="4"/>
  <c r="Y366" i="4"/>
  <c r="Y372" i="4"/>
  <c r="Y378" i="4"/>
  <c r="Y384" i="4"/>
  <c r="Y390" i="4"/>
  <c r="Y396" i="4"/>
  <c r="Y402" i="4"/>
  <c r="Y408" i="4"/>
  <c r="Y414" i="4"/>
  <c r="Y420" i="4"/>
  <c r="Y426" i="4"/>
  <c r="Y432" i="4"/>
  <c r="Y438" i="4"/>
  <c r="Y444" i="4"/>
  <c r="Y450" i="4"/>
  <c r="Y456" i="4"/>
  <c r="Y462" i="4"/>
  <c r="Y468" i="4"/>
  <c r="Y474" i="4"/>
  <c r="Y480" i="4"/>
  <c r="Y486" i="4"/>
  <c r="Y492" i="4"/>
  <c r="Y498" i="4"/>
  <c r="Y504" i="4"/>
  <c r="Y510" i="4"/>
  <c r="Y516" i="4"/>
  <c r="Y522" i="4"/>
  <c r="Y528" i="4"/>
  <c r="Y534" i="4"/>
  <c r="Y540" i="4"/>
  <c r="Y546" i="4"/>
  <c r="Y552" i="4"/>
  <c r="Y558" i="4"/>
  <c r="Y564" i="4"/>
  <c r="Y570" i="4"/>
  <c r="Y576" i="4"/>
  <c r="Y582" i="4"/>
  <c r="Y588" i="4"/>
  <c r="Y594" i="4"/>
  <c r="Y600" i="4"/>
  <c r="Y606" i="4"/>
  <c r="Y612" i="4"/>
  <c r="Y618" i="4"/>
  <c r="Y624" i="4"/>
  <c r="Y630" i="4"/>
  <c r="Y636" i="4"/>
  <c r="Y642" i="4"/>
  <c r="Y648" i="4"/>
  <c r="Y654" i="4"/>
  <c r="Y660" i="4"/>
  <c r="Y666" i="4"/>
  <c r="Y672" i="4"/>
  <c r="Y678" i="4"/>
  <c r="Y684" i="4"/>
  <c r="Y690" i="4"/>
  <c r="Y696" i="4"/>
  <c r="Y702" i="4"/>
  <c r="Y708" i="4"/>
  <c r="Y714" i="4"/>
  <c r="Y720" i="4"/>
  <c r="Y726" i="4"/>
  <c r="Y732" i="4"/>
  <c r="Y738" i="4"/>
  <c r="Y744" i="4"/>
  <c r="Y750" i="4"/>
  <c r="Y756" i="4"/>
  <c r="Y762" i="4"/>
  <c r="Y768" i="4"/>
  <c r="Y774" i="4"/>
  <c r="Y780" i="4"/>
  <c r="Y786" i="4"/>
  <c r="Y792" i="4"/>
  <c r="Y798" i="4"/>
  <c r="Y804" i="4"/>
  <c r="Y810" i="4"/>
  <c r="Y816" i="4"/>
  <c r="Y822" i="4"/>
  <c r="Y828" i="4"/>
  <c r="Y834" i="4"/>
  <c r="Y840" i="4"/>
  <c r="Y846" i="4"/>
  <c r="Y852" i="4"/>
  <c r="Y858" i="4"/>
  <c r="Y864" i="4"/>
  <c r="Y870" i="4"/>
  <c r="Y876" i="4"/>
  <c r="Y882" i="4"/>
  <c r="Y888" i="4"/>
  <c r="Y894" i="4"/>
  <c r="Y900" i="4"/>
  <c r="Y906" i="4"/>
  <c r="Y912" i="4"/>
  <c r="Y918" i="4"/>
  <c r="Y924" i="4"/>
  <c r="Y930" i="4"/>
  <c r="Y936" i="4"/>
  <c r="Y942" i="4"/>
  <c r="Y948" i="4"/>
  <c r="Y954" i="4"/>
  <c r="Y960" i="4"/>
  <c r="Y966" i="4"/>
  <c r="Y972" i="4"/>
  <c r="Y978" i="4"/>
  <c r="Y984" i="4"/>
  <c r="Y990" i="4"/>
  <c r="Y996" i="4"/>
  <c r="Y1002" i="4"/>
  <c r="Y1008" i="4"/>
  <c r="Y1014" i="4"/>
  <c r="Y1020" i="4"/>
  <c r="Y1026" i="4"/>
  <c r="Y1032" i="4"/>
  <c r="Y1038" i="4"/>
  <c r="Y1044" i="4"/>
  <c r="Y1050" i="4"/>
  <c r="Y1056" i="4"/>
  <c r="Y1062" i="4"/>
  <c r="Y1068" i="4"/>
  <c r="Y1074" i="4"/>
  <c r="Y1080" i="4"/>
  <c r="Y1086" i="4"/>
  <c r="Y1092" i="4"/>
  <c r="Y1104" i="4"/>
  <c r="Y1140" i="4"/>
  <c r="Y1176" i="4"/>
  <c r="Y1212" i="4"/>
  <c r="Y1248" i="4"/>
  <c r="Y1284" i="4"/>
  <c r="Y1320" i="4"/>
  <c r="Y1356" i="4"/>
  <c r="Y1392" i="4"/>
  <c r="Y1428" i="4"/>
  <c r="Y1464" i="4"/>
  <c r="Y1110" i="4"/>
  <c r="Y1146" i="4"/>
  <c r="Y1182" i="4"/>
  <c r="Y1218" i="4"/>
  <c r="Y1254" i="4"/>
  <c r="Y1290" i="4"/>
  <c r="Y1326" i="4"/>
  <c r="Y1362" i="4"/>
  <c r="Y1398" i="4"/>
  <c r="Y1434" i="4"/>
  <c r="Y1470" i="4"/>
  <c r="Y1116" i="4"/>
  <c r="Y1152" i="4"/>
  <c r="Y1188" i="4"/>
  <c r="Y1224" i="4"/>
  <c r="Y1260" i="4"/>
  <c r="Y1296" i="4"/>
  <c r="Y1332" i="4"/>
  <c r="Y1368" i="4"/>
  <c r="Y1404" i="4"/>
  <c r="Y1440" i="4"/>
  <c r="Y1476" i="4"/>
  <c r="Y1122" i="4"/>
  <c r="Y1158" i="4"/>
  <c r="Y1194" i="4"/>
  <c r="Y1230" i="4"/>
  <c r="Y1266" i="4"/>
  <c r="Y1302" i="4"/>
  <c r="Y1338" i="4"/>
  <c r="Y1374" i="4"/>
  <c r="Y1410" i="4"/>
  <c r="Y1446" i="4"/>
  <c r="Y1482" i="4"/>
  <c r="Y1128" i="4"/>
  <c r="Y1164" i="4"/>
  <c r="Y1200" i="4"/>
  <c r="Y1236" i="4"/>
  <c r="Y1272" i="4"/>
  <c r="Y1308" i="4"/>
  <c r="Y1344" i="4"/>
  <c r="Y1380" i="4"/>
  <c r="Y1416" i="4"/>
  <c r="Y1452" i="4"/>
  <c r="Y1488" i="4"/>
  <c r="Y1098" i="4"/>
  <c r="Y1134" i="4"/>
  <c r="Y1170" i="4"/>
  <c r="Y1206" i="4"/>
  <c r="Y1242" i="4"/>
  <c r="Y1278" i="4"/>
  <c r="Y1314" i="4"/>
  <c r="Y1350" i="4"/>
  <c r="Y1386" i="4"/>
  <c r="Y1422" i="4"/>
  <c r="Y1458" i="4"/>
  <c r="Y1494" i="4"/>
  <c r="AF226" i="4"/>
  <c r="AG226" i="4" s="1"/>
  <c r="AF232" i="4"/>
  <c r="AG232" i="4" s="1"/>
  <c r="AF238" i="4"/>
  <c r="AG238" i="4" s="1"/>
  <c r="AF244" i="4"/>
  <c r="AG244" i="4" s="1"/>
  <c r="AF250" i="4"/>
  <c r="AG250" i="4" s="1"/>
  <c r="AF256" i="4"/>
  <c r="AG256" i="4" s="1"/>
  <c r="AF262" i="4"/>
  <c r="AG262" i="4" s="1"/>
  <c r="AF268" i="4"/>
  <c r="AG268" i="4" s="1"/>
  <c r="AF274" i="4"/>
  <c r="AG274" i="4" s="1"/>
  <c r="AF280" i="4"/>
  <c r="AG280" i="4" s="1"/>
  <c r="AF286" i="4"/>
  <c r="AG286" i="4" s="1"/>
  <c r="AF292" i="4"/>
  <c r="AG292" i="4" s="1"/>
  <c r="AF298" i="4"/>
  <c r="AG298" i="4" s="1"/>
  <c r="AF304" i="4"/>
  <c r="AG304" i="4" s="1"/>
  <c r="AF310" i="4"/>
  <c r="AG310" i="4" s="1"/>
  <c r="AF316" i="4"/>
  <c r="AG316" i="4" s="1"/>
  <c r="AF322" i="4"/>
  <c r="AG322" i="4" s="1"/>
  <c r="AF328" i="4"/>
  <c r="AG328" i="4" s="1"/>
  <c r="AF334" i="4"/>
  <c r="AG334" i="4" s="1"/>
  <c r="AF340" i="4"/>
  <c r="AG340" i="4" s="1"/>
  <c r="AF346" i="4"/>
  <c r="AG346" i="4" s="1"/>
  <c r="AF352" i="4"/>
  <c r="AG352" i="4" s="1"/>
  <c r="AF358" i="4"/>
  <c r="AG358" i="4" s="1"/>
  <c r="AF364" i="4"/>
  <c r="AG364" i="4" s="1"/>
  <c r="AF370" i="4"/>
  <c r="AG370" i="4" s="1"/>
  <c r="AF376" i="4"/>
  <c r="AG376" i="4" s="1"/>
  <c r="AF382" i="4"/>
  <c r="AG382" i="4" s="1"/>
  <c r="AF388" i="4"/>
  <c r="AG388" i="4" s="1"/>
  <c r="AF394" i="4"/>
  <c r="AG394" i="4" s="1"/>
  <c r="AF400" i="4"/>
  <c r="AG400" i="4" s="1"/>
  <c r="AF406" i="4"/>
  <c r="AG406" i="4" s="1"/>
  <c r="AF412" i="4"/>
  <c r="AG412" i="4" s="1"/>
  <c r="AF418" i="4"/>
  <c r="AG418" i="4" s="1"/>
  <c r="AF424" i="4"/>
  <c r="AG424" i="4" s="1"/>
  <c r="AF430" i="4"/>
  <c r="AG430" i="4" s="1"/>
  <c r="AF436" i="4"/>
  <c r="AG436" i="4" s="1"/>
  <c r="AF442" i="4"/>
  <c r="AG442" i="4" s="1"/>
  <c r="AF448" i="4"/>
  <c r="AG448" i="4" s="1"/>
  <c r="AF454" i="4"/>
  <c r="AG454" i="4" s="1"/>
  <c r="AF460" i="4"/>
  <c r="AG460" i="4" s="1"/>
  <c r="AF466" i="4"/>
  <c r="AG466" i="4" s="1"/>
  <c r="AF472" i="4"/>
  <c r="AG472" i="4" s="1"/>
  <c r="AF478" i="4"/>
  <c r="AG478" i="4" s="1"/>
  <c r="AF484" i="4"/>
  <c r="AG484" i="4" s="1"/>
  <c r="AF490" i="4"/>
  <c r="AG490" i="4" s="1"/>
  <c r="AF496" i="4"/>
  <c r="AG496" i="4" s="1"/>
  <c r="AF502" i="4"/>
  <c r="AG502" i="4" s="1"/>
  <c r="AF508" i="4"/>
  <c r="AG508" i="4" s="1"/>
  <c r="AF514" i="4"/>
  <c r="AG514" i="4" s="1"/>
  <c r="AF520" i="4"/>
  <c r="AG520" i="4" s="1"/>
  <c r="AF526" i="4"/>
  <c r="AG526" i="4" s="1"/>
  <c r="AF532" i="4"/>
  <c r="AG532" i="4" s="1"/>
  <c r="AF538" i="4"/>
  <c r="AG538" i="4" s="1"/>
  <c r="AF544" i="4"/>
  <c r="AG544" i="4" s="1"/>
  <c r="AF550" i="4"/>
  <c r="AG550" i="4" s="1"/>
  <c r="AF556" i="4"/>
  <c r="AG556" i="4" s="1"/>
  <c r="AF562" i="4"/>
  <c r="AG562" i="4" s="1"/>
  <c r="AF568" i="4"/>
  <c r="AG568" i="4" s="1"/>
  <c r="AF574" i="4"/>
  <c r="AG574" i="4" s="1"/>
  <c r="AF580" i="4"/>
  <c r="AG580" i="4" s="1"/>
  <c r="AF586" i="4"/>
  <c r="AG586" i="4" s="1"/>
  <c r="AF592" i="4"/>
  <c r="AG592" i="4" s="1"/>
  <c r="AF598" i="4"/>
  <c r="AG598" i="4" s="1"/>
  <c r="AF604" i="4"/>
  <c r="AG604" i="4" s="1"/>
  <c r="AF610" i="4"/>
  <c r="AG610" i="4" s="1"/>
  <c r="AF616" i="4"/>
  <c r="AG616" i="4" s="1"/>
  <c r="AF622" i="4"/>
  <c r="AG622" i="4" s="1"/>
  <c r="AF628" i="4"/>
  <c r="AG628" i="4" s="1"/>
  <c r="AF634" i="4"/>
  <c r="AG634" i="4" s="1"/>
  <c r="AF640" i="4"/>
  <c r="AG640" i="4" s="1"/>
  <c r="AF646" i="4"/>
  <c r="AG646" i="4" s="1"/>
  <c r="AF652" i="4"/>
  <c r="AG652" i="4" s="1"/>
  <c r="AF658" i="4"/>
  <c r="AG658" i="4" s="1"/>
  <c r="AF664" i="4"/>
  <c r="AG664" i="4" s="1"/>
  <c r="AF670" i="4"/>
  <c r="AG670" i="4" s="1"/>
  <c r="AF676" i="4"/>
  <c r="AG676" i="4" s="1"/>
  <c r="AF682" i="4"/>
  <c r="AG682" i="4" s="1"/>
  <c r="AF688" i="4"/>
  <c r="AG688" i="4" s="1"/>
  <c r="AF694" i="4"/>
  <c r="AG694" i="4" s="1"/>
  <c r="AF700" i="4"/>
  <c r="AG700" i="4" s="1"/>
  <c r="AF706" i="4"/>
  <c r="AG706" i="4" s="1"/>
  <c r="AF712" i="4"/>
  <c r="AG712" i="4" s="1"/>
  <c r="AF718" i="4"/>
  <c r="AG718" i="4" s="1"/>
  <c r="AF724" i="4"/>
  <c r="AG724" i="4" s="1"/>
  <c r="AF730" i="4"/>
  <c r="AG730" i="4" s="1"/>
  <c r="AF736" i="4"/>
  <c r="AG736" i="4" s="1"/>
  <c r="AF742" i="4"/>
  <c r="AG742" i="4" s="1"/>
  <c r="AF748" i="4"/>
  <c r="AG748" i="4" s="1"/>
  <c r="AF754" i="4"/>
  <c r="AG754" i="4" s="1"/>
  <c r="AF760" i="4"/>
  <c r="AG760" i="4" s="1"/>
  <c r="AF766" i="4"/>
  <c r="AG766" i="4" s="1"/>
  <c r="AF772" i="4"/>
  <c r="AG772" i="4" s="1"/>
  <c r="AF778" i="4"/>
  <c r="AG778" i="4" s="1"/>
  <c r="AF784" i="4"/>
  <c r="AG784" i="4" s="1"/>
  <c r="AF790" i="4"/>
  <c r="AG790" i="4" s="1"/>
  <c r="AF796" i="4"/>
  <c r="AG796" i="4" s="1"/>
  <c r="AF802" i="4"/>
  <c r="AG802" i="4" s="1"/>
  <c r="AF808" i="4"/>
  <c r="AG808" i="4" s="1"/>
  <c r="AF814" i="4"/>
  <c r="AG814" i="4" s="1"/>
  <c r="AF820" i="4"/>
  <c r="AG820" i="4" s="1"/>
  <c r="AF826" i="4"/>
  <c r="AG826" i="4" s="1"/>
  <c r="AF832" i="4"/>
  <c r="AG832" i="4" s="1"/>
  <c r="AF838" i="4"/>
  <c r="AG838" i="4" s="1"/>
  <c r="AF844" i="4"/>
  <c r="AG844" i="4" s="1"/>
  <c r="AF850" i="4"/>
  <c r="AG850" i="4" s="1"/>
  <c r="AF856" i="4"/>
  <c r="AG856" i="4" s="1"/>
  <c r="AF862" i="4"/>
  <c r="AG862" i="4" s="1"/>
  <c r="AF868" i="4"/>
  <c r="AG868" i="4" s="1"/>
  <c r="AF874" i="4"/>
  <c r="AG874" i="4" s="1"/>
  <c r="AF880" i="4"/>
  <c r="AG880" i="4" s="1"/>
  <c r="AF886" i="4"/>
  <c r="AG886" i="4" s="1"/>
  <c r="AF892" i="4"/>
  <c r="AG892" i="4" s="1"/>
  <c r="AF898" i="4"/>
  <c r="AG898" i="4" s="1"/>
  <c r="AF904" i="4"/>
  <c r="AG904" i="4" s="1"/>
  <c r="AF910" i="4"/>
  <c r="AG910" i="4" s="1"/>
  <c r="AF916" i="4"/>
  <c r="AG916" i="4" s="1"/>
  <c r="AF922" i="4"/>
  <c r="AG922" i="4" s="1"/>
  <c r="AF928" i="4"/>
  <c r="AG928" i="4" s="1"/>
  <c r="AF934" i="4"/>
  <c r="AG934" i="4" s="1"/>
  <c r="AF940" i="4"/>
  <c r="AG940" i="4" s="1"/>
  <c r="AF946" i="4"/>
  <c r="AG946" i="4" s="1"/>
  <c r="AF952" i="4"/>
  <c r="AG952" i="4" s="1"/>
  <c r="AF958" i="4"/>
  <c r="AG958" i="4" s="1"/>
  <c r="AF964" i="4"/>
  <c r="AG964" i="4" s="1"/>
  <c r="AF970" i="4"/>
  <c r="AG970" i="4" s="1"/>
  <c r="AF976" i="4"/>
  <c r="AG976" i="4" s="1"/>
  <c r="AF982" i="4"/>
  <c r="AG982" i="4" s="1"/>
  <c r="AF988" i="4"/>
  <c r="AG988" i="4" s="1"/>
  <c r="AF994" i="4"/>
  <c r="AG994" i="4" s="1"/>
  <c r="AF1000" i="4"/>
  <c r="AG1000" i="4" s="1"/>
  <c r="AF1006" i="4"/>
  <c r="AG1006" i="4" s="1"/>
  <c r="AF1012" i="4"/>
  <c r="AG1012" i="4" s="1"/>
  <c r="AF1018" i="4"/>
  <c r="AG1018" i="4" s="1"/>
  <c r="AF1024" i="4"/>
  <c r="AG1024" i="4" s="1"/>
  <c r="AF1030" i="4"/>
  <c r="AG1030" i="4" s="1"/>
  <c r="AF1036" i="4"/>
  <c r="AG1036" i="4" s="1"/>
  <c r="AF1042" i="4"/>
  <c r="AG1042" i="4" s="1"/>
  <c r="AF1048" i="4"/>
  <c r="AG1048" i="4" s="1"/>
  <c r="AF1054" i="4"/>
  <c r="AG1054" i="4" s="1"/>
  <c r="AF1060" i="4"/>
  <c r="AG1060" i="4" s="1"/>
  <c r="AF1066" i="4"/>
  <c r="AG1066" i="4" s="1"/>
  <c r="AF1072" i="4"/>
  <c r="AG1072" i="4" s="1"/>
  <c r="AF1078" i="4"/>
  <c r="AG1078" i="4" s="1"/>
  <c r="AF1084" i="4"/>
  <c r="AG1084" i="4" s="1"/>
  <c r="AF1090" i="4"/>
  <c r="AG1090" i="4" s="1"/>
  <c r="AF1096" i="4"/>
  <c r="AG1096" i="4" s="1"/>
  <c r="AF1102" i="4"/>
  <c r="AG1102" i="4" s="1"/>
  <c r="AF1108" i="4"/>
  <c r="AG1108" i="4" s="1"/>
  <c r="AF1114" i="4"/>
  <c r="AG1114" i="4" s="1"/>
  <c r="AF1120" i="4"/>
  <c r="AG1120" i="4" s="1"/>
  <c r="AF1126" i="4"/>
  <c r="AG1126" i="4" s="1"/>
  <c r="AF1132" i="4"/>
  <c r="AG1132" i="4" s="1"/>
  <c r="AF1138" i="4"/>
  <c r="AG1138" i="4" s="1"/>
  <c r="AF1144" i="4"/>
  <c r="AG1144" i="4" s="1"/>
  <c r="AF1150" i="4"/>
  <c r="AG1150" i="4" s="1"/>
  <c r="AF1156" i="4"/>
  <c r="AG1156" i="4" s="1"/>
  <c r="AF1162" i="4"/>
  <c r="AG1162" i="4" s="1"/>
  <c r="AF1168" i="4"/>
  <c r="AG1168" i="4" s="1"/>
  <c r="AF1174" i="4"/>
  <c r="AG1174" i="4" s="1"/>
  <c r="AF1180" i="4"/>
  <c r="AG1180" i="4" s="1"/>
  <c r="AF1186" i="4"/>
  <c r="AG1186" i="4" s="1"/>
  <c r="AF1192" i="4"/>
  <c r="AG1192" i="4" s="1"/>
  <c r="AF1198" i="4"/>
  <c r="AG1198" i="4" s="1"/>
  <c r="AF1204" i="4"/>
  <c r="AG1204" i="4" s="1"/>
  <c r="AF1210" i="4"/>
  <c r="AG1210" i="4" s="1"/>
  <c r="AF1216" i="4"/>
  <c r="AG1216" i="4" s="1"/>
  <c r="AF1222" i="4"/>
  <c r="AG1222" i="4" s="1"/>
  <c r="AF1228" i="4"/>
  <c r="AG1228" i="4" s="1"/>
  <c r="AF1234" i="4"/>
  <c r="AG1234" i="4" s="1"/>
  <c r="AF1240" i="4"/>
  <c r="AG1240" i="4" s="1"/>
  <c r="AF1246" i="4"/>
  <c r="AG1246" i="4" s="1"/>
  <c r="AF1252" i="4"/>
  <c r="AG1252" i="4" s="1"/>
  <c r="AF1258" i="4"/>
  <c r="AG1258" i="4" s="1"/>
  <c r="AF1264" i="4"/>
  <c r="AG1264" i="4" s="1"/>
  <c r="AF1270" i="4"/>
  <c r="AG1270" i="4" s="1"/>
  <c r="AF1276" i="4"/>
  <c r="AG1276" i="4" s="1"/>
  <c r="AF1282" i="4"/>
  <c r="AG1282" i="4" s="1"/>
  <c r="AF1288" i="4"/>
  <c r="AG1288" i="4" s="1"/>
  <c r="AF1294" i="4"/>
  <c r="AG1294" i="4" s="1"/>
  <c r="AF1300" i="4"/>
  <c r="AG1300" i="4" s="1"/>
  <c r="AF1306" i="4"/>
  <c r="AG1306" i="4" s="1"/>
  <c r="AF1312" i="4"/>
  <c r="AG1312" i="4" s="1"/>
  <c r="AF1318" i="4"/>
  <c r="AG1318" i="4" s="1"/>
  <c r="AF1324" i="4"/>
  <c r="AG1324" i="4" s="1"/>
  <c r="AF1330" i="4"/>
  <c r="AG1330" i="4" s="1"/>
  <c r="AF1336" i="4"/>
  <c r="AG1336" i="4" s="1"/>
  <c r="AF1342" i="4"/>
  <c r="AG1342" i="4" s="1"/>
  <c r="AF1348" i="4"/>
  <c r="AG1348" i="4" s="1"/>
  <c r="AF1354" i="4"/>
  <c r="AG1354" i="4" s="1"/>
  <c r="AF1360" i="4"/>
  <c r="AG1360" i="4" s="1"/>
  <c r="AF1366" i="4"/>
  <c r="AG1366" i="4" s="1"/>
  <c r="AF1372" i="4"/>
  <c r="AG1372" i="4" s="1"/>
  <c r="AF1378" i="4"/>
  <c r="AG1378" i="4" s="1"/>
  <c r="AF1384" i="4"/>
  <c r="AG1384" i="4" s="1"/>
  <c r="AF1390" i="4"/>
  <c r="AG1390" i="4" s="1"/>
  <c r="AF1396" i="4"/>
  <c r="AG1396" i="4" s="1"/>
  <c r="AF1402" i="4"/>
  <c r="AG1402" i="4" s="1"/>
  <c r="AF1408" i="4"/>
  <c r="AG1408" i="4" s="1"/>
  <c r="AF1414" i="4"/>
  <c r="AG1414" i="4" s="1"/>
  <c r="AF1420" i="4"/>
  <c r="AG1420" i="4" s="1"/>
  <c r="AF1426" i="4"/>
  <c r="AG1426" i="4" s="1"/>
  <c r="AF1432" i="4"/>
  <c r="AG1432" i="4" s="1"/>
  <c r="AF1438" i="4"/>
  <c r="AG1438" i="4" s="1"/>
  <c r="AF1444" i="4"/>
  <c r="AG1444" i="4" s="1"/>
  <c r="AF1450" i="4"/>
  <c r="AG1450" i="4" s="1"/>
  <c r="AF1456" i="4"/>
  <c r="AG1456" i="4" s="1"/>
  <c r="AF1462" i="4"/>
  <c r="AG1462" i="4" s="1"/>
  <c r="AF1468" i="4"/>
  <c r="AG1468" i="4" s="1"/>
  <c r="AF1474" i="4"/>
  <c r="AG1474" i="4" s="1"/>
  <c r="AF1480" i="4"/>
  <c r="AG1480" i="4" s="1"/>
  <c r="AF1486" i="4"/>
  <c r="AG1486" i="4" s="1"/>
  <c r="AF1492" i="4"/>
  <c r="AG1492" i="4" s="1"/>
  <c r="AF1498" i="4"/>
  <c r="AG1498" i="4" s="1"/>
  <c r="AJ224" i="4"/>
  <c r="AJ230" i="4"/>
  <c r="AJ236" i="4"/>
  <c r="AJ242" i="4"/>
  <c r="AJ248" i="4"/>
  <c r="AJ254" i="4"/>
  <c r="AJ260" i="4"/>
  <c r="AJ266" i="4"/>
  <c r="AJ272" i="4"/>
  <c r="AJ278" i="4"/>
  <c r="AJ284" i="4"/>
  <c r="AJ290" i="4"/>
  <c r="AJ296" i="4"/>
  <c r="AJ302" i="4"/>
  <c r="AJ308" i="4"/>
  <c r="AJ314" i="4"/>
  <c r="AJ320" i="4"/>
  <c r="AJ326" i="4"/>
  <c r="AJ332" i="4"/>
  <c r="AJ338" i="4"/>
  <c r="AJ344" i="4"/>
  <c r="AJ350" i="4"/>
  <c r="AJ356" i="4"/>
  <c r="AJ362" i="4"/>
  <c r="AJ368" i="4"/>
  <c r="AJ374" i="4"/>
  <c r="AJ380" i="4"/>
  <c r="AJ386" i="4"/>
  <c r="AJ392" i="4"/>
  <c r="AJ398" i="4"/>
  <c r="AJ404" i="4"/>
  <c r="AJ410" i="4"/>
  <c r="AJ416" i="4"/>
  <c r="AJ422" i="4"/>
  <c r="AJ428" i="4"/>
  <c r="AJ434" i="4"/>
  <c r="AJ440" i="4"/>
  <c r="AJ446" i="4"/>
  <c r="AJ452" i="4"/>
  <c r="AJ458" i="4"/>
  <c r="AJ464" i="4"/>
  <c r="AJ470" i="4"/>
  <c r="AJ476" i="4"/>
  <c r="AJ482" i="4"/>
  <c r="AJ488" i="4"/>
  <c r="AJ494" i="4"/>
  <c r="AJ500" i="4"/>
  <c r="AJ506" i="4"/>
  <c r="AJ512" i="4"/>
  <c r="AJ518" i="4"/>
  <c r="AJ524" i="4"/>
  <c r="AJ530" i="4"/>
  <c r="AJ536" i="4"/>
  <c r="AJ542" i="4"/>
  <c r="AJ548" i="4"/>
  <c r="AJ554" i="4"/>
  <c r="AJ560" i="4"/>
  <c r="AJ566" i="4"/>
  <c r="AJ572" i="4"/>
  <c r="AJ578" i="4"/>
  <c r="AJ584" i="4"/>
  <c r="AJ590" i="4"/>
  <c r="AJ596" i="4"/>
  <c r="AJ602" i="4"/>
  <c r="AJ608" i="4"/>
  <c r="AJ614" i="4"/>
  <c r="AJ620" i="4"/>
  <c r="AJ626" i="4"/>
  <c r="AJ632" i="4"/>
  <c r="AJ638" i="4"/>
  <c r="AJ644" i="4"/>
  <c r="AF221" i="4"/>
  <c r="AG221" i="4" s="1"/>
  <c r="AF227" i="4"/>
  <c r="AG227" i="4" s="1"/>
  <c r="AF233" i="4"/>
  <c r="AG233" i="4" s="1"/>
  <c r="AF239" i="4"/>
  <c r="AG239" i="4" s="1"/>
  <c r="AF245" i="4"/>
  <c r="AG245" i="4" s="1"/>
  <c r="AF251" i="4"/>
  <c r="AG251" i="4" s="1"/>
  <c r="AF257" i="4"/>
  <c r="AG257" i="4" s="1"/>
  <c r="AF263" i="4"/>
  <c r="AG263" i="4" s="1"/>
  <c r="AF269" i="4"/>
  <c r="AG269" i="4" s="1"/>
  <c r="AF275" i="4"/>
  <c r="AG275" i="4" s="1"/>
  <c r="AF281" i="4"/>
  <c r="AG281" i="4" s="1"/>
  <c r="AF287" i="4"/>
  <c r="AG287" i="4" s="1"/>
  <c r="AF293" i="4"/>
  <c r="AG293" i="4" s="1"/>
  <c r="AF299" i="4"/>
  <c r="AG299" i="4" s="1"/>
  <c r="AF305" i="4"/>
  <c r="AG305" i="4" s="1"/>
  <c r="AF311" i="4"/>
  <c r="AG311" i="4" s="1"/>
  <c r="AF317" i="4"/>
  <c r="AG317" i="4" s="1"/>
  <c r="AF323" i="4"/>
  <c r="AG323" i="4" s="1"/>
  <c r="AF329" i="4"/>
  <c r="AG329" i="4" s="1"/>
  <c r="AF335" i="4"/>
  <c r="AG335" i="4" s="1"/>
  <c r="AF341" i="4"/>
  <c r="AG341" i="4" s="1"/>
  <c r="AF347" i="4"/>
  <c r="AG347" i="4" s="1"/>
  <c r="AF353" i="4"/>
  <c r="AG353" i="4" s="1"/>
  <c r="AF359" i="4"/>
  <c r="AG359" i="4" s="1"/>
  <c r="AF365" i="4"/>
  <c r="AG365" i="4" s="1"/>
  <c r="AF371" i="4"/>
  <c r="AG371" i="4" s="1"/>
  <c r="AF377" i="4"/>
  <c r="AG377" i="4" s="1"/>
  <c r="AF383" i="4"/>
  <c r="AG383" i="4" s="1"/>
  <c r="AF389" i="4"/>
  <c r="AG389" i="4" s="1"/>
  <c r="AF395" i="4"/>
  <c r="AG395" i="4" s="1"/>
  <c r="AF401" i="4"/>
  <c r="AG401" i="4" s="1"/>
  <c r="AF407" i="4"/>
  <c r="AG407" i="4" s="1"/>
  <c r="AF413" i="4"/>
  <c r="AG413" i="4" s="1"/>
  <c r="AF419" i="4"/>
  <c r="AG419" i="4" s="1"/>
  <c r="AF425" i="4"/>
  <c r="AG425" i="4" s="1"/>
  <c r="AF431" i="4"/>
  <c r="AG431" i="4" s="1"/>
  <c r="AF437" i="4"/>
  <c r="AG437" i="4" s="1"/>
  <c r="AF443" i="4"/>
  <c r="AG443" i="4" s="1"/>
  <c r="AF449" i="4"/>
  <c r="AG449" i="4" s="1"/>
  <c r="AF455" i="4"/>
  <c r="AG455" i="4" s="1"/>
  <c r="AF461" i="4"/>
  <c r="AG461" i="4" s="1"/>
  <c r="AF467" i="4"/>
  <c r="AG467" i="4" s="1"/>
  <c r="AF473" i="4"/>
  <c r="AG473" i="4" s="1"/>
  <c r="AF479" i="4"/>
  <c r="AG479" i="4" s="1"/>
  <c r="AF485" i="4"/>
  <c r="AG485" i="4" s="1"/>
  <c r="AF491" i="4"/>
  <c r="AG491" i="4" s="1"/>
  <c r="AF497" i="4"/>
  <c r="AG497" i="4" s="1"/>
  <c r="AF503" i="4"/>
  <c r="AG503" i="4" s="1"/>
  <c r="AF509" i="4"/>
  <c r="AG509" i="4" s="1"/>
  <c r="AF515" i="4"/>
  <c r="AG515" i="4" s="1"/>
  <c r="AF521" i="4"/>
  <c r="AG521" i="4" s="1"/>
  <c r="AF527" i="4"/>
  <c r="AG527" i="4" s="1"/>
  <c r="AF533" i="4"/>
  <c r="AG533" i="4" s="1"/>
  <c r="AF539" i="4"/>
  <c r="AG539" i="4" s="1"/>
  <c r="AF545" i="4"/>
  <c r="AG545" i="4" s="1"/>
  <c r="AF551" i="4"/>
  <c r="AG551" i="4" s="1"/>
  <c r="AF557" i="4"/>
  <c r="AG557" i="4" s="1"/>
  <c r="AF563" i="4"/>
  <c r="AG563" i="4" s="1"/>
  <c r="AF569" i="4"/>
  <c r="AG569" i="4" s="1"/>
  <c r="AF575" i="4"/>
  <c r="AG575" i="4" s="1"/>
  <c r="AF581" i="4"/>
  <c r="AG581" i="4" s="1"/>
  <c r="AF587" i="4"/>
  <c r="AG587" i="4" s="1"/>
  <c r="AF593" i="4"/>
  <c r="AG593" i="4" s="1"/>
  <c r="AF599" i="4"/>
  <c r="AG599" i="4" s="1"/>
  <c r="AF605" i="4"/>
  <c r="AG605" i="4" s="1"/>
  <c r="AF611" i="4"/>
  <c r="AG611" i="4" s="1"/>
  <c r="AF617" i="4"/>
  <c r="AG617" i="4" s="1"/>
  <c r="AF623" i="4"/>
  <c r="AG623" i="4" s="1"/>
  <c r="AF629" i="4"/>
  <c r="AG629" i="4" s="1"/>
  <c r="AF635" i="4"/>
  <c r="AG635" i="4" s="1"/>
  <c r="AF641" i="4"/>
  <c r="AG641" i="4" s="1"/>
  <c r="AF647" i="4"/>
  <c r="AG647" i="4" s="1"/>
  <c r="AF653" i="4"/>
  <c r="AG653" i="4" s="1"/>
  <c r="AF659" i="4"/>
  <c r="AG659" i="4" s="1"/>
  <c r="AF665" i="4"/>
  <c r="AG665" i="4" s="1"/>
  <c r="AF671" i="4"/>
  <c r="AG671" i="4" s="1"/>
  <c r="AF677" i="4"/>
  <c r="AG677" i="4" s="1"/>
  <c r="AF683" i="4"/>
  <c r="AG683" i="4" s="1"/>
  <c r="AF689" i="4"/>
  <c r="AG689" i="4" s="1"/>
  <c r="AF695" i="4"/>
  <c r="AG695" i="4" s="1"/>
  <c r="AF701" i="4"/>
  <c r="AG701" i="4" s="1"/>
  <c r="AF707" i="4"/>
  <c r="AG707" i="4" s="1"/>
  <c r="AF713" i="4"/>
  <c r="AG713" i="4" s="1"/>
  <c r="AF719" i="4"/>
  <c r="AG719" i="4" s="1"/>
  <c r="AF725" i="4"/>
  <c r="AG725" i="4" s="1"/>
  <c r="AF731" i="4"/>
  <c r="AG731" i="4" s="1"/>
  <c r="AF737" i="4"/>
  <c r="AG737" i="4" s="1"/>
  <c r="AF743" i="4"/>
  <c r="AG743" i="4" s="1"/>
  <c r="AF749" i="4"/>
  <c r="AG749" i="4" s="1"/>
  <c r="AF755" i="4"/>
  <c r="AG755" i="4" s="1"/>
  <c r="AF761" i="4"/>
  <c r="AG761" i="4" s="1"/>
  <c r="AF767" i="4"/>
  <c r="AG767" i="4" s="1"/>
  <c r="AF773" i="4"/>
  <c r="AG773" i="4" s="1"/>
  <c r="AF779" i="4"/>
  <c r="AG779" i="4" s="1"/>
  <c r="AF785" i="4"/>
  <c r="AG785" i="4" s="1"/>
  <c r="AF791" i="4"/>
  <c r="AG791" i="4" s="1"/>
  <c r="AF797" i="4"/>
  <c r="AG797" i="4" s="1"/>
  <c r="AF803" i="4"/>
  <c r="AG803" i="4" s="1"/>
  <c r="AF809" i="4"/>
  <c r="AG809" i="4" s="1"/>
  <c r="AF815" i="4"/>
  <c r="AG815" i="4" s="1"/>
  <c r="AF821" i="4"/>
  <c r="AG821" i="4" s="1"/>
  <c r="AF827" i="4"/>
  <c r="AG827" i="4" s="1"/>
  <c r="AF833" i="4"/>
  <c r="AG833" i="4" s="1"/>
  <c r="AF839" i="4"/>
  <c r="AG839" i="4" s="1"/>
  <c r="AF845" i="4"/>
  <c r="AG845" i="4" s="1"/>
  <c r="AF851" i="4"/>
  <c r="AG851" i="4" s="1"/>
  <c r="AF857" i="4"/>
  <c r="AG857" i="4" s="1"/>
  <c r="AF863" i="4"/>
  <c r="AG863" i="4" s="1"/>
  <c r="AF869" i="4"/>
  <c r="AG869" i="4" s="1"/>
  <c r="AF875" i="4"/>
  <c r="AG875" i="4" s="1"/>
  <c r="AF881" i="4"/>
  <c r="AG881" i="4" s="1"/>
  <c r="AF887" i="4"/>
  <c r="AG887" i="4" s="1"/>
  <c r="AF893" i="4"/>
  <c r="AG893" i="4" s="1"/>
  <c r="AF899" i="4"/>
  <c r="AG899" i="4" s="1"/>
  <c r="AF905" i="4"/>
  <c r="AG905" i="4" s="1"/>
  <c r="AF911" i="4"/>
  <c r="AG911" i="4" s="1"/>
  <c r="AF917" i="4"/>
  <c r="AG917" i="4" s="1"/>
  <c r="AF923" i="4"/>
  <c r="AG923" i="4" s="1"/>
  <c r="AF929" i="4"/>
  <c r="AG929" i="4" s="1"/>
  <c r="AF935" i="4"/>
  <c r="AG935" i="4" s="1"/>
  <c r="AF941" i="4"/>
  <c r="AG941" i="4" s="1"/>
  <c r="AF947" i="4"/>
  <c r="AG947" i="4" s="1"/>
  <c r="AF953" i="4"/>
  <c r="AG953" i="4" s="1"/>
  <c r="AF959" i="4"/>
  <c r="AG959" i="4" s="1"/>
  <c r="AF965" i="4"/>
  <c r="AG965" i="4" s="1"/>
  <c r="AF971" i="4"/>
  <c r="AG971" i="4" s="1"/>
  <c r="AF977" i="4"/>
  <c r="AG977" i="4" s="1"/>
  <c r="AF983" i="4"/>
  <c r="AG983" i="4" s="1"/>
  <c r="AF989" i="4"/>
  <c r="AG989" i="4" s="1"/>
  <c r="AF995" i="4"/>
  <c r="AG995" i="4" s="1"/>
  <c r="AF1001" i="4"/>
  <c r="AG1001" i="4" s="1"/>
  <c r="AF1007" i="4"/>
  <c r="AG1007" i="4" s="1"/>
  <c r="AF1013" i="4"/>
  <c r="AG1013" i="4" s="1"/>
  <c r="AF1019" i="4"/>
  <c r="AG1019" i="4" s="1"/>
  <c r="AF1025" i="4"/>
  <c r="AG1025" i="4" s="1"/>
  <c r="AF1031" i="4"/>
  <c r="AG1031" i="4" s="1"/>
  <c r="AF1037" i="4"/>
  <c r="AG1037" i="4" s="1"/>
  <c r="AF1043" i="4"/>
  <c r="AG1043" i="4" s="1"/>
  <c r="AF1049" i="4"/>
  <c r="AG1049" i="4" s="1"/>
  <c r="AF1055" i="4"/>
  <c r="AG1055" i="4" s="1"/>
  <c r="AF1061" i="4"/>
  <c r="AG1061" i="4" s="1"/>
  <c r="AF1067" i="4"/>
  <c r="AG1067" i="4" s="1"/>
  <c r="AF1073" i="4"/>
  <c r="AG1073" i="4" s="1"/>
  <c r="AF1079" i="4"/>
  <c r="AG1079" i="4" s="1"/>
  <c r="AF1085" i="4"/>
  <c r="AG1085" i="4" s="1"/>
  <c r="AF1091" i="4"/>
  <c r="AG1091" i="4" s="1"/>
  <c r="AF1097" i="4"/>
  <c r="AG1097" i="4" s="1"/>
  <c r="AF1103" i="4"/>
  <c r="AG1103" i="4" s="1"/>
  <c r="AF1109" i="4"/>
  <c r="AG1109" i="4" s="1"/>
  <c r="AF1115" i="4"/>
  <c r="AG1115" i="4" s="1"/>
  <c r="AF1121" i="4"/>
  <c r="AG1121" i="4" s="1"/>
  <c r="AF1127" i="4"/>
  <c r="AG1127" i="4" s="1"/>
  <c r="AF1133" i="4"/>
  <c r="AG1133" i="4" s="1"/>
  <c r="AF1139" i="4"/>
  <c r="AG1139" i="4" s="1"/>
  <c r="AF1145" i="4"/>
  <c r="AG1145" i="4" s="1"/>
  <c r="AF1151" i="4"/>
  <c r="AG1151" i="4" s="1"/>
  <c r="AF1157" i="4"/>
  <c r="AG1157" i="4" s="1"/>
  <c r="AF1163" i="4"/>
  <c r="AG1163" i="4" s="1"/>
  <c r="AF1169" i="4"/>
  <c r="AG1169" i="4" s="1"/>
  <c r="AF1175" i="4"/>
  <c r="AG1175" i="4" s="1"/>
  <c r="AF1181" i="4"/>
  <c r="AG1181" i="4" s="1"/>
  <c r="AF1187" i="4"/>
  <c r="AG1187" i="4" s="1"/>
  <c r="AF1193" i="4"/>
  <c r="AG1193" i="4" s="1"/>
  <c r="AF1199" i="4"/>
  <c r="AG1199" i="4" s="1"/>
  <c r="AF1205" i="4"/>
  <c r="AG1205" i="4" s="1"/>
  <c r="AF1211" i="4"/>
  <c r="AG1211" i="4" s="1"/>
  <c r="AF1217" i="4"/>
  <c r="AG1217" i="4" s="1"/>
  <c r="AF1223" i="4"/>
  <c r="AG1223" i="4" s="1"/>
  <c r="AF1229" i="4"/>
  <c r="AG1229" i="4" s="1"/>
  <c r="AF1235" i="4"/>
  <c r="AG1235" i="4" s="1"/>
  <c r="AF1241" i="4"/>
  <c r="AG1241" i="4" s="1"/>
  <c r="AF1247" i="4"/>
  <c r="AG1247" i="4" s="1"/>
  <c r="AF1253" i="4"/>
  <c r="AG1253" i="4" s="1"/>
  <c r="AF1259" i="4"/>
  <c r="AG1259" i="4" s="1"/>
  <c r="AF1265" i="4"/>
  <c r="AG1265" i="4" s="1"/>
  <c r="AF1271" i="4"/>
  <c r="AG1271" i="4" s="1"/>
  <c r="AF1277" i="4"/>
  <c r="AG1277" i="4" s="1"/>
  <c r="AF1283" i="4"/>
  <c r="AG1283" i="4" s="1"/>
  <c r="AF1289" i="4"/>
  <c r="AG1289" i="4" s="1"/>
  <c r="AF1295" i="4"/>
  <c r="AG1295" i="4" s="1"/>
  <c r="AF1301" i="4"/>
  <c r="AG1301" i="4" s="1"/>
  <c r="AF1307" i="4"/>
  <c r="AG1307" i="4" s="1"/>
  <c r="AF1313" i="4"/>
  <c r="AG1313" i="4" s="1"/>
  <c r="AF1319" i="4"/>
  <c r="AG1319" i="4" s="1"/>
  <c r="AF1325" i="4"/>
  <c r="AG1325" i="4" s="1"/>
  <c r="AF1331" i="4"/>
  <c r="AG1331" i="4" s="1"/>
  <c r="AF1337" i="4"/>
  <c r="AG1337" i="4" s="1"/>
  <c r="AF1343" i="4"/>
  <c r="AG1343" i="4" s="1"/>
  <c r="AF1349" i="4"/>
  <c r="AG1349" i="4" s="1"/>
  <c r="AF1355" i="4"/>
  <c r="AG1355" i="4" s="1"/>
  <c r="AF1361" i="4"/>
  <c r="AG1361" i="4" s="1"/>
  <c r="AF1367" i="4"/>
  <c r="AG1367" i="4" s="1"/>
  <c r="AF1373" i="4"/>
  <c r="AG1373" i="4" s="1"/>
  <c r="AF1379" i="4"/>
  <c r="AG1379" i="4" s="1"/>
  <c r="AF1385" i="4"/>
  <c r="AG1385" i="4" s="1"/>
  <c r="AF1391" i="4"/>
  <c r="AG1391" i="4" s="1"/>
  <c r="AF1397" i="4"/>
  <c r="AG1397" i="4" s="1"/>
  <c r="AF1403" i="4"/>
  <c r="AG1403" i="4" s="1"/>
  <c r="AF1409" i="4"/>
  <c r="AG1409" i="4" s="1"/>
  <c r="AF1415" i="4"/>
  <c r="AG1415" i="4" s="1"/>
  <c r="AF1421" i="4"/>
  <c r="AG1421" i="4" s="1"/>
  <c r="AF1427" i="4"/>
  <c r="AG1427" i="4" s="1"/>
  <c r="AF1433" i="4"/>
  <c r="AG1433" i="4" s="1"/>
  <c r="AF1439" i="4"/>
  <c r="AG1439" i="4" s="1"/>
  <c r="AF1445" i="4"/>
  <c r="AG1445" i="4" s="1"/>
  <c r="AF1451" i="4"/>
  <c r="AG1451" i="4" s="1"/>
  <c r="AF1457" i="4"/>
  <c r="AG1457" i="4" s="1"/>
  <c r="AF1463" i="4"/>
  <c r="AG1463" i="4" s="1"/>
  <c r="AF1469" i="4"/>
  <c r="AG1469" i="4" s="1"/>
  <c r="AF1475" i="4"/>
  <c r="AG1475" i="4" s="1"/>
  <c r="AF1481" i="4"/>
  <c r="AG1481" i="4" s="1"/>
  <c r="AF1487" i="4"/>
  <c r="AG1487" i="4" s="1"/>
  <c r="AF1493" i="4"/>
  <c r="AG1493" i="4" s="1"/>
  <c r="AF1499" i="4"/>
  <c r="AG1499" i="4" s="1"/>
  <c r="AJ225" i="4"/>
  <c r="AJ231" i="4"/>
  <c r="AJ237" i="4"/>
  <c r="AJ243" i="4"/>
  <c r="AJ249" i="4"/>
  <c r="AJ255" i="4"/>
  <c r="AJ261" i="4"/>
  <c r="AJ267" i="4"/>
  <c r="AJ273" i="4"/>
  <c r="AJ279" i="4"/>
  <c r="AJ285" i="4"/>
  <c r="AJ291" i="4"/>
  <c r="AJ297" i="4"/>
  <c r="AJ303" i="4"/>
  <c r="AJ309" i="4"/>
  <c r="AJ315" i="4"/>
  <c r="AJ321" i="4"/>
  <c r="AJ327" i="4"/>
  <c r="AJ333" i="4"/>
  <c r="AJ339" i="4"/>
  <c r="AJ345" i="4"/>
  <c r="AJ351" i="4"/>
  <c r="AJ357" i="4"/>
  <c r="AJ363" i="4"/>
  <c r="AJ369" i="4"/>
  <c r="AJ375" i="4"/>
  <c r="AJ381" i="4"/>
  <c r="AJ387" i="4"/>
  <c r="AJ393" i="4"/>
  <c r="AJ399" i="4"/>
  <c r="AJ405" i="4"/>
  <c r="AJ411" i="4"/>
  <c r="AJ417" i="4"/>
  <c r="AJ423" i="4"/>
  <c r="AJ429" i="4"/>
  <c r="AJ435" i="4"/>
  <c r="AJ441" i="4"/>
  <c r="AJ447" i="4"/>
  <c r="AJ453" i="4"/>
  <c r="AJ459" i="4"/>
  <c r="AJ465" i="4"/>
  <c r="AJ471" i="4"/>
  <c r="AJ477" i="4"/>
  <c r="AJ483" i="4"/>
  <c r="AJ489" i="4"/>
  <c r="AJ495" i="4"/>
  <c r="AJ501" i="4"/>
  <c r="AJ507" i="4"/>
  <c r="AJ513" i="4"/>
  <c r="AJ519" i="4"/>
  <c r="AJ525" i="4"/>
  <c r="AJ531" i="4"/>
  <c r="AJ537" i="4"/>
  <c r="AJ543" i="4"/>
  <c r="AJ549" i="4"/>
  <c r="AJ555" i="4"/>
  <c r="AJ561" i="4"/>
  <c r="AJ567" i="4"/>
  <c r="AJ573" i="4"/>
  <c r="AJ579" i="4"/>
  <c r="AJ585" i="4"/>
  <c r="AJ591" i="4"/>
  <c r="AJ597" i="4"/>
  <c r="AJ603" i="4"/>
  <c r="AJ609" i="4"/>
  <c r="AJ615" i="4"/>
  <c r="AJ621" i="4"/>
  <c r="AJ627" i="4"/>
  <c r="AF222" i="4"/>
  <c r="AG222" i="4" s="1"/>
  <c r="AF228" i="4"/>
  <c r="AG228" i="4" s="1"/>
  <c r="AF234" i="4"/>
  <c r="AG234" i="4" s="1"/>
  <c r="AF240" i="4"/>
  <c r="AG240" i="4" s="1"/>
  <c r="AF246" i="4"/>
  <c r="AG246" i="4" s="1"/>
  <c r="AF252" i="4"/>
  <c r="AG252" i="4" s="1"/>
  <c r="AF258" i="4"/>
  <c r="AG258" i="4" s="1"/>
  <c r="AF264" i="4"/>
  <c r="AG264" i="4" s="1"/>
  <c r="AF270" i="4"/>
  <c r="AG270" i="4" s="1"/>
  <c r="AF276" i="4"/>
  <c r="AG276" i="4" s="1"/>
  <c r="AF282" i="4"/>
  <c r="AG282" i="4" s="1"/>
  <c r="AF288" i="4"/>
  <c r="AG288" i="4" s="1"/>
  <c r="AF294" i="4"/>
  <c r="AG294" i="4" s="1"/>
  <c r="AF300" i="4"/>
  <c r="AG300" i="4" s="1"/>
  <c r="AF306" i="4"/>
  <c r="AG306" i="4" s="1"/>
  <c r="AF312" i="4"/>
  <c r="AG312" i="4" s="1"/>
  <c r="AF318" i="4"/>
  <c r="AG318" i="4" s="1"/>
  <c r="AF324" i="4"/>
  <c r="AG324" i="4" s="1"/>
  <c r="AF330" i="4"/>
  <c r="AG330" i="4" s="1"/>
  <c r="AF336" i="4"/>
  <c r="AG336" i="4" s="1"/>
  <c r="AF342" i="4"/>
  <c r="AG342" i="4" s="1"/>
  <c r="AF348" i="4"/>
  <c r="AG348" i="4" s="1"/>
  <c r="AF354" i="4"/>
  <c r="AG354" i="4" s="1"/>
  <c r="AF360" i="4"/>
  <c r="AG360" i="4" s="1"/>
  <c r="AF366" i="4"/>
  <c r="AG366" i="4" s="1"/>
  <c r="AF372" i="4"/>
  <c r="AG372" i="4" s="1"/>
  <c r="AF378" i="4"/>
  <c r="AG378" i="4" s="1"/>
  <c r="AF384" i="4"/>
  <c r="AG384" i="4" s="1"/>
  <c r="AF390" i="4"/>
  <c r="AG390" i="4" s="1"/>
  <c r="AF396" i="4"/>
  <c r="AG396" i="4" s="1"/>
  <c r="AF402" i="4"/>
  <c r="AG402" i="4" s="1"/>
  <c r="AF408" i="4"/>
  <c r="AG408" i="4" s="1"/>
  <c r="AF414" i="4"/>
  <c r="AG414" i="4" s="1"/>
  <c r="AF420" i="4"/>
  <c r="AG420" i="4" s="1"/>
  <c r="AF426" i="4"/>
  <c r="AG426" i="4" s="1"/>
  <c r="AF432" i="4"/>
  <c r="AG432" i="4" s="1"/>
  <c r="AF438" i="4"/>
  <c r="AG438" i="4" s="1"/>
  <c r="AF444" i="4"/>
  <c r="AG444" i="4" s="1"/>
  <c r="AF450" i="4"/>
  <c r="AG450" i="4" s="1"/>
  <c r="AF456" i="4"/>
  <c r="AG456" i="4" s="1"/>
  <c r="AF462" i="4"/>
  <c r="AG462" i="4" s="1"/>
  <c r="AF468" i="4"/>
  <c r="AG468" i="4" s="1"/>
  <c r="AF474" i="4"/>
  <c r="AG474" i="4" s="1"/>
  <c r="AF480" i="4"/>
  <c r="AG480" i="4" s="1"/>
  <c r="AF486" i="4"/>
  <c r="AG486" i="4" s="1"/>
  <c r="AF492" i="4"/>
  <c r="AG492" i="4" s="1"/>
  <c r="AF498" i="4"/>
  <c r="AG498" i="4" s="1"/>
  <c r="AF504" i="4"/>
  <c r="AG504" i="4" s="1"/>
  <c r="AF510" i="4"/>
  <c r="AG510" i="4" s="1"/>
  <c r="AF516" i="4"/>
  <c r="AG516" i="4" s="1"/>
  <c r="AF522" i="4"/>
  <c r="AG522" i="4" s="1"/>
  <c r="AF528" i="4"/>
  <c r="AG528" i="4" s="1"/>
  <c r="AF534" i="4"/>
  <c r="AG534" i="4" s="1"/>
  <c r="AF540" i="4"/>
  <c r="AG540" i="4" s="1"/>
  <c r="AF546" i="4"/>
  <c r="AG546" i="4" s="1"/>
  <c r="AF552" i="4"/>
  <c r="AG552" i="4" s="1"/>
  <c r="AF558" i="4"/>
  <c r="AG558" i="4" s="1"/>
  <c r="AF564" i="4"/>
  <c r="AG564" i="4" s="1"/>
  <c r="AF570" i="4"/>
  <c r="AG570" i="4" s="1"/>
  <c r="AF576" i="4"/>
  <c r="AG576" i="4" s="1"/>
  <c r="AF582" i="4"/>
  <c r="AG582" i="4" s="1"/>
  <c r="AF588" i="4"/>
  <c r="AG588" i="4" s="1"/>
  <c r="AF594" i="4"/>
  <c r="AG594" i="4" s="1"/>
  <c r="AF600" i="4"/>
  <c r="AG600" i="4" s="1"/>
  <c r="AF606" i="4"/>
  <c r="AG606" i="4" s="1"/>
  <c r="AF612" i="4"/>
  <c r="AG612" i="4" s="1"/>
  <c r="AF618" i="4"/>
  <c r="AG618" i="4" s="1"/>
  <c r="AF624" i="4"/>
  <c r="AG624" i="4" s="1"/>
  <c r="AF630" i="4"/>
  <c r="AG630" i="4" s="1"/>
  <c r="AF636" i="4"/>
  <c r="AG636" i="4" s="1"/>
  <c r="AF642" i="4"/>
  <c r="AG642" i="4" s="1"/>
  <c r="AF648" i="4"/>
  <c r="AG648" i="4" s="1"/>
  <c r="AF654" i="4"/>
  <c r="AG654" i="4" s="1"/>
  <c r="AF660" i="4"/>
  <c r="AG660" i="4" s="1"/>
  <c r="AF666" i="4"/>
  <c r="AG666" i="4" s="1"/>
  <c r="AF672" i="4"/>
  <c r="AG672" i="4" s="1"/>
  <c r="AF678" i="4"/>
  <c r="AG678" i="4" s="1"/>
  <c r="AF684" i="4"/>
  <c r="AG684" i="4" s="1"/>
  <c r="AF690" i="4"/>
  <c r="AG690" i="4" s="1"/>
  <c r="AF696" i="4"/>
  <c r="AG696" i="4" s="1"/>
  <c r="AF702" i="4"/>
  <c r="AG702" i="4" s="1"/>
  <c r="AF708" i="4"/>
  <c r="AG708" i="4" s="1"/>
  <c r="AF714" i="4"/>
  <c r="AG714" i="4" s="1"/>
  <c r="AF720" i="4"/>
  <c r="AG720" i="4" s="1"/>
  <c r="AF726" i="4"/>
  <c r="AG726" i="4" s="1"/>
  <c r="AF732" i="4"/>
  <c r="AG732" i="4" s="1"/>
  <c r="AF738" i="4"/>
  <c r="AG738" i="4" s="1"/>
  <c r="AF744" i="4"/>
  <c r="AG744" i="4" s="1"/>
  <c r="AF750" i="4"/>
  <c r="AG750" i="4" s="1"/>
  <c r="AF756" i="4"/>
  <c r="AG756" i="4" s="1"/>
  <c r="AF762" i="4"/>
  <c r="AG762" i="4" s="1"/>
  <c r="AF768" i="4"/>
  <c r="AG768" i="4" s="1"/>
  <c r="AF774" i="4"/>
  <c r="AG774" i="4" s="1"/>
  <c r="AF780" i="4"/>
  <c r="AG780" i="4" s="1"/>
  <c r="AF786" i="4"/>
  <c r="AG786" i="4" s="1"/>
  <c r="AF792" i="4"/>
  <c r="AG792" i="4" s="1"/>
  <c r="AF798" i="4"/>
  <c r="AG798" i="4" s="1"/>
  <c r="AF804" i="4"/>
  <c r="AG804" i="4" s="1"/>
  <c r="AF810" i="4"/>
  <c r="AG810" i="4" s="1"/>
  <c r="AF816" i="4"/>
  <c r="AG816" i="4" s="1"/>
  <c r="AF822" i="4"/>
  <c r="AG822" i="4" s="1"/>
  <c r="AF828" i="4"/>
  <c r="AG828" i="4" s="1"/>
  <c r="AF834" i="4"/>
  <c r="AG834" i="4" s="1"/>
  <c r="AF840" i="4"/>
  <c r="AG840" i="4" s="1"/>
  <c r="AF846" i="4"/>
  <c r="AG846" i="4" s="1"/>
  <c r="AF852" i="4"/>
  <c r="AG852" i="4" s="1"/>
  <c r="AF858" i="4"/>
  <c r="AG858" i="4" s="1"/>
  <c r="AF864" i="4"/>
  <c r="AG864" i="4" s="1"/>
  <c r="AF870" i="4"/>
  <c r="AG870" i="4" s="1"/>
  <c r="AF876" i="4"/>
  <c r="AG876" i="4" s="1"/>
  <c r="AF882" i="4"/>
  <c r="AG882" i="4" s="1"/>
  <c r="AF888" i="4"/>
  <c r="AG888" i="4" s="1"/>
  <c r="AF894" i="4"/>
  <c r="AG894" i="4" s="1"/>
  <c r="AF900" i="4"/>
  <c r="AG900" i="4" s="1"/>
  <c r="AF906" i="4"/>
  <c r="AG906" i="4" s="1"/>
  <c r="AF912" i="4"/>
  <c r="AG912" i="4" s="1"/>
  <c r="AF918" i="4"/>
  <c r="AG918" i="4" s="1"/>
  <c r="AF924" i="4"/>
  <c r="AG924" i="4" s="1"/>
  <c r="AF930" i="4"/>
  <c r="AG930" i="4" s="1"/>
  <c r="AF936" i="4"/>
  <c r="AG936" i="4" s="1"/>
  <c r="AF942" i="4"/>
  <c r="AG942" i="4" s="1"/>
  <c r="AF948" i="4"/>
  <c r="AG948" i="4" s="1"/>
  <c r="AF954" i="4"/>
  <c r="AG954" i="4" s="1"/>
  <c r="AF960" i="4"/>
  <c r="AG960" i="4" s="1"/>
  <c r="AF966" i="4"/>
  <c r="AG966" i="4" s="1"/>
  <c r="AF972" i="4"/>
  <c r="AG972" i="4" s="1"/>
  <c r="AF978" i="4"/>
  <c r="AG978" i="4" s="1"/>
  <c r="AF984" i="4"/>
  <c r="AG984" i="4" s="1"/>
  <c r="AF990" i="4"/>
  <c r="AG990" i="4" s="1"/>
  <c r="AF996" i="4"/>
  <c r="AG996" i="4" s="1"/>
  <c r="AF1002" i="4"/>
  <c r="AG1002" i="4" s="1"/>
  <c r="AF1008" i="4"/>
  <c r="AG1008" i="4" s="1"/>
  <c r="AF1014" i="4"/>
  <c r="AG1014" i="4" s="1"/>
  <c r="AF1020" i="4"/>
  <c r="AG1020" i="4" s="1"/>
  <c r="AF1026" i="4"/>
  <c r="AG1026" i="4" s="1"/>
  <c r="AF1032" i="4"/>
  <c r="AG1032" i="4" s="1"/>
  <c r="AF1038" i="4"/>
  <c r="AG1038" i="4" s="1"/>
  <c r="AF1044" i="4"/>
  <c r="AG1044" i="4" s="1"/>
  <c r="AF1050" i="4"/>
  <c r="AG1050" i="4" s="1"/>
  <c r="AF1056" i="4"/>
  <c r="AG1056" i="4" s="1"/>
  <c r="AF1062" i="4"/>
  <c r="AG1062" i="4" s="1"/>
  <c r="AF1068" i="4"/>
  <c r="AG1068" i="4" s="1"/>
  <c r="AF1074" i="4"/>
  <c r="AG1074" i="4" s="1"/>
  <c r="AF1080" i="4"/>
  <c r="AG1080" i="4" s="1"/>
  <c r="AF1086" i="4"/>
  <c r="AG1086" i="4" s="1"/>
  <c r="AF1092" i="4"/>
  <c r="AG1092" i="4" s="1"/>
  <c r="AF1098" i="4"/>
  <c r="AG1098" i="4" s="1"/>
  <c r="AF1104" i="4"/>
  <c r="AG1104" i="4" s="1"/>
  <c r="AF1110" i="4"/>
  <c r="AG1110" i="4" s="1"/>
  <c r="AF1116" i="4"/>
  <c r="AG1116" i="4" s="1"/>
  <c r="AF1122" i="4"/>
  <c r="AG1122" i="4" s="1"/>
  <c r="AF1128" i="4"/>
  <c r="AG1128" i="4" s="1"/>
  <c r="AF1134" i="4"/>
  <c r="AG1134" i="4" s="1"/>
  <c r="AF1140" i="4"/>
  <c r="AG1140" i="4" s="1"/>
  <c r="AF1146" i="4"/>
  <c r="AG1146" i="4" s="1"/>
  <c r="AF1152" i="4"/>
  <c r="AG1152" i="4" s="1"/>
  <c r="AF1158" i="4"/>
  <c r="AG1158" i="4" s="1"/>
  <c r="AF1164" i="4"/>
  <c r="AG1164" i="4" s="1"/>
  <c r="AF1170" i="4"/>
  <c r="AG1170" i="4" s="1"/>
  <c r="AF1176" i="4"/>
  <c r="AG1176" i="4" s="1"/>
  <c r="AF1182" i="4"/>
  <c r="AG1182" i="4" s="1"/>
  <c r="AF1188" i="4"/>
  <c r="AG1188" i="4" s="1"/>
  <c r="AF1194" i="4"/>
  <c r="AG1194" i="4" s="1"/>
  <c r="AF1200" i="4"/>
  <c r="AG1200" i="4" s="1"/>
  <c r="AF1206" i="4"/>
  <c r="AG1206" i="4" s="1"/>
  <c r="AF1212" i="4"/>
  <c r="AG1212" i="4" s="1"/>
  <c r="AF1218" i="4"/>
  <c r="AG1218" i="4" s="1"/>
  <c r="AF1224" i="4"/>
  <c r="AG1224" i="4" s="1"/>
  <c r="AF1230" i="4"/>
  <c r="AG1230" i="4" s="1"/>
  <c r="AF1236" i="4"/>
  <c r="AG1236" i="4" s="1"/>
  <c r="AF1242" i="4"/>
  <c r="AG1242" i="4" s="1"/>
  <c r="AF1248" i="4"/>
  <c r="AG1248" i="4" s="1"/>
  <c r="AF1254" i="4"/>
  <c r="AG1254" i="4" s="1"/>
  <c r="AF1260" i="4"/>
  <c r="AG1260" i="4" s="1"/>
  <c r="AF1266" i="4"/>
  <c r="AG1266" i="4" s="1"/>
  <c r="AF1272" i="4"/>
  <c r="AG1272" i="4" s="1"/>
  <c r="AF1278" i="4"/>
  <c r="AG1278" i="4" s="1"/>
  <c r="AF1284" i="4"/>
  <c r="AG1284" i="4" s="1"/>
  <c r="AF1290" i="4"/>
  <c r="AG1290" i="4" s="1"/>
  <c r="AF1296" i="4"/>
  <c r="AG1296" i="4" s="1"/>
  <c r="AF1302" i="4"/>
  <c r="AG1302" i="4" s="1"/>
  <c r="AF1308" i="4"/>
  <c r="AG1308" i="4" s="1"/>
  <c r="AF1314" i="4"/>
  <c r="AG1314" i="4" s="1"/>
  <c r="AF1320" i="4"/>
  <c r="AG1320" i="4" s="1"/>
  <c r="AF1326" i="4"/>
  <c r="AG1326" i="4" s="1"/>
  <c r="AF1332" i="4"/>
  <c r="AG1332" i="4" s="1"/>
  <c r="AF1338" i="4"/>
  <c r="AG1338" i="4" s="1"/>
  <c r="AF1344" i="4"/>
  <c r="AG1344" i="4" s="1"/>
  <c r="AF1350" i="4"/>
  <c r="AG1350" i="4" s="1"/>
  <c r="AF1356" i="4"/>
  <c r="AG1356" i="4" s="1"/>
  <c r="AF1362" i="4"/>
  <c r="AG1362" i="4" s="1"/>
  <c r="AF1368" i="4"/>
  <c r="AG1368" i="4" s="1"/>
  <c r="AF1374" i="4"/>
  <c r="AG1374" i="4" s="1"/>
  <c r="AF1380" i="4"/>
  <c r="AG1380" i="4" s="1"/>
  <c r="AF1386" i="4"/>
  <c r="AG1386" i="4" s="1"/>
  <c r="AF1392" i="4"/>
  <c r="AG1392" i="4" s="1"/>
  <c r="AF1398" i="4"/>
  <c r="AG1398" i="4" s="1"/>
  <c r="AF1404" i="4"/>
  <c r="AG1404" i="4" s="1"/>
  <c r="AF1410" i="4"/>
  <c r="AG1410" i="4" s="1"/>
  <c r="AF1416" i="4"/>
  <c r="AG1416" i="4" s="1"/>
  <c r="AF1422" i="4"/>
  <c r="AG1422" i="4" s="1"/>
  <c r="AF1428" i="4"/>
  <c r="AG1428" i="4" s="1"/>
  <c r="AF1434" i="4"/>
  <c r="AG1434" i="4" s="1"/>
  <c r="AF1440" i="4"/>
  <c r="AG1440" i="4" s="1"/>
  <c r="AF1446" i="4"/>
  <c r="AG1446" i="4" s="1"/>
  <c r="AF1452" i="4"/>
  <c r="AG1452" i="4" s="1"/>
  <c r="AF1458" i="4"/>
  <c r="AG1458" i="4" s="1"/>
  <c r="AF1464" i="4"/>
  <c r="AG1464" i="4" s="1"/>
  <c r="AF1470" i="4"/>
  <c r="AG1470" i="4" s="1"/>
  <c r="AF1476" i="4"/>
  <c r="AG1476" i="4" s="1"/>
  <c r="AF1482" i="4"/>
  <c r="AG1482" i="4" s="1"/>
  <c r="AF1488" i="4"/>
  <c r="AG1488" i="4" s="1"/>
  <c r="AF1494" i="4"/>
  <c r="AG1494" i="4" s="1"/>
  <c r="AJ226" i="4"/>
  <c r="AJ232" i="4"/>
  <c r="AJ238" i="4"/>
  <c r="AJ244" i="4"/>
  <c r="AJ250" i="4"/>
  <c r="AJ256" i="4"/>
  <c r="AJ262" i="4"/>
  <c r="AJ268" i="4"/>
  <c r="AJ274" i="4"/>
  <c r="AJ280" i="4"/>
  <c r="AJ286" i="4"/>
  <c r="AJ292" i="4"/>
  <c r="AJ298" i="4"/>
  <c r="AJ304" i="4"/>
  <c r="AJ310" i="4"/>
  <c r="AJ316" i="4"/>
  <c r="AJ322" i="4"/>
  <c r="AJ328" i="4"/>
  <c r="AJ334" i="4"/>
  <c r="AJ340" i="4"/>
  <c r="AJ346" i="4"/>
  <c r="AJ352" i="4"/>
  <c r="AJ358" i="4"/>
  <c r="AJ364" i="4"/>
  <c r="AJ370" i="4"/>
  <c r="AJ376" i="4"/>
  <c r="AJ382" i="4"/>
  <c r="AJ388" i="4"/>
  <c r="AJ394" i="4"/>
  <c r="AJ400" i="4"/>
  <c r="AJ406" i="4"/>
  <c r="AJ412" i="4"/>
  <c r="AJ418" i="4"/>
  <c r="AJ424" i="4"/>
  <c r="AJ430" i="4"/>
  <c r="AJ436" i="4"/>
  <c r="AJ442" i="4"/>
  <c r="AJ448" i="4"/>
  <c r="AJ454" i="4"/>
  <c r="AJ460" i="4"/>
  <c r="AJ466" i="4"/>
  <c r="AJ472" i="4"/>
  <c r="AJ478" i="4"/>
  <c r="AJ484" i="4"/>
  <c r="AJ490" i="4"/>
  <c r="AJ496" i="4"/>
  <c r="AJ502" i="4"/>
  <c r="AJ508" i="4"/>
  <c r="AJ514" i="4"/>
  <c r="AJ520" i="4"/>
  <c r="AJ526" i="4"/>
  <c r="AJ532" i="4"/>
  <c r="AJ538" i="4"/>
  <c r="AJ544" i="4"/>
  <c r="AJ550" i="4"/>
  <c r="AJ556" i="4"/>
  <c r="AJ562" i="4"/>
  <c r="AJ568" i="4"/>
  <c r="AJ574" i="4"/>
  <c r="AJ580" i="4"/>
  <c r="AJ586" i="4"/>
  <c r="AJ592" i="4"/>
  <c r="AJ598" i="4"/>
  <c r="AJ604" i="4"/>
  <c r="AJ610" i="4"/>
  <c r="AJ616" i="4"/>
  <c r="AJ622" i="4"/>
  <c r="AJ628" i="4"/>
  <c r="AF223" i="4"/>
  <c r="AG223" i="4" s="1"/>
  <c r="AF229" i="4"/>
  <c r="AG229" i="4" s="1"/>
  <c r="AF235" i="4"/>
  <c r="AG235" i="4" s="1"/>
  <c r="AF241" i="4"/>
  <c r="AG241" i="4" s="1"/>
  <c r="AF247" i="4"/>
  <c r="AG247" i="4" s="1"/>
  <c r="AF253" i="4"/>
  <c r="AG253" i="4" s="1"/>
  <c r="AF259" i="4"/>
  <c r="AG259" i="4" s="1"/>
  <c r="AF265" i="4"/>
  <c r="AG265" i="4" s="1"/>
  <c r="AF271" i="4"/>
  <c r="AG271" i="4" s="1"/>
  <c r="AF277" i="4"/>
  <c r="AG277" i="4" s="1"/>
  <c r="AF283" i="4"/>
  <c r="AG283" i="4" s="1"/>
  <c r="AF289" i="4"/>
  <c r="AG289" i="4" s="1"/>
  <c r="AF295" i="4"/>
  <c r="AG295" i="4" s="1"/>
  <c r="AF301" i="4"/>
  <c r="AG301" i="4" s="1"/>
  <c r="AF307" i="4"/>
  <c r="AG307" i="4" s="1"/>
  <c r="AF313" i="4"/>
  <c r="AG313" i="4" s="1"/>
  <c r="AF319" i="4"/>
  <c r="AG319" i="4" s="1"/>
  <c r="AF325" i="4"/>
  <c r="AG325" i="4" s="1"/>
  <c r="AF331" i="4"/>
  <c r="AG331" i="4" s="1"/>
  <c r="AF337" i="4"/>
  <c r="AG337" i="4" s="1"/>
  <c r="AF343" i="4"/>
  <c r="AG343" i="4" s="1"/>
  <c r="AF349" i="4"/>
  <c r="AG349" i="4" s="1"/>
  <c r="AF355" i="4"/>
  <c r="AG355" i="4" s="1"/>
  <c r="AF361" i="4"/>
  <c r="AG361" i="4" s="1"/>
  <c r="AF367" i="4"/>
  <c r="AG367" i="4" s="1"/>
  <c r="AF373" i="4"/>
  <c r="AG373" i="4" s="1"/>
  <c r="AF379" i="4"/>
  <c r="AG379" i="4" s="1"/>
  <c r="AF385" i="4"/>
  <c r="AG385" i="4" s="1"/>
  <c r="AF391" i="4"/>
  <c r="AG391" i="4" s="1"/>
  <c r="AF397" i="4"/>
  <c r="AG397" i="4" s="1"/>
  <c r="AF403" i="4"/>
  <c r="AG403" i="4" s="1"/>
  <c r="AF409" i="4"/>
  <c r="AG409" i="4" s="1"/>
  <c r="AF415" i="4"/>
  <c r="AG415" i="4" s="1"/>
  <c r="AF421" i="4"/>
  <c r="AG421" i="4" s="1"/>
  <c r="AF427" i="4"/>
  <c r="AG427" i="4" s="1"/>
  <c r="AF433" i="4"/>
  <c r="AG433" i="4" s="1"/>
  <c r="AF439" i="4"/>
  <c r="AG439" i="4" s="1"/>
  <c r="AF445" i="4"/>
  <c r="AG445" i="4" s="1"/>
  <c r="AF451" i="4"/>
  <c r="AG451" i="4" s="1"/>
  <c r="AF457" i="4"/>
  <c r="AG457" i="4" s="1"/>
  <c r="AF463" i="4"/>
  <c r="AG463" i="4" s="1"/>
  <c r="AF469" i="4"/>
  <c r="AG469" i="4" s="1"/>
  <c r="AF475" i="4"/>
  <c r="AG475" i="4" s="1"/>
  <c r="AF481" i="4"/>
  <c r="AG481" i="4" s="1"/>
  <c r="AF487" i="4"/>
  <c r="AG487" i="4" s="1"/>
  <c r="AF493" i="4"/>
  <c r="AG493" i="4" s="1"/>
  <c r="AF499" i="4"/>
  <c r="AG499" i="4" s="1"/>
  <c r="AF505" i="4"/>
  <c r="AG505" i="4" s="1"/>
  <c r="AF511" i="4"/>
  <c r="AG511" i="4" s="1"/>
  <c r="AF517" i="4"/>
  <c r="AG517" i="4" s="1"/>
  <c r="AF523" i="4"/>
  <c r="AG523" i="4" s="1"/>
  <c r="AF529" i="4"/>
  <c r="AG529" i="4" s="1"/>
  <c r="AF535" i="4"/>
  <c r="AG535" i="4" s="1"/>
  <c r="AF541" i="4"/>
  <c r="AG541" i="4" s="1"/>
  <c r="AF547" i="4"/>
  <c r="AG547" i="4" s="1"/>
  <c r="AF553" i="4"/>
  <c r="AG553" i="4" s="1"/>
  <c r="AF559" i="4"/>
  <c r="AG559" i="4" s="1"/>
  <c r="AF565" i="4"/>
  <c r="AG565" i="4" s="1"/>
  <c r="AF571" i="4"/>
  <c r="AG571" i="4" s="1"/>
  <c r="AF577" i="4"/>
  <c r="AG577" i="4" s="1"/>
  <c r="AF583" i="4"/>
  <c r="AG583" i="4" s="1"/>
  <c r="AF589" i="4"/>
  <c r="AG589" i="4" s="1"/>
  <c r="AF595" i="4"/>
  <c r="AG595" i="4" s="1"/>
  <c r="AF601" i="4"/>
  <c r="AG601" i="4" s="1"/>
  <c r="AF607" i="4"/>
  <c r="AG607" i="4" s="1"/>
  <c r="AF613" i="4"/>
  <c r="AG613" i="4" s="1"/>
  <c r="AF619" i="4"/>
  <c r="AG619" i="4" s="1"/>
  <c r="AF625" i="4"/>
  <c r="AG625" i="4" s="1"/>
  <c r="AF631" i="4"/>
  <c r="AG631" i="4" s="1"/>
  <c r="AF637" i="4"/>
  <c r="AG637" i="4" s="1"/>
  <c r="AF643" i="4"/>
  <c r="AG643" i="4" s="1"/>
  <c r="AF649" i="4"/>
  <c r="AG649" i="4" s="1"/>
  <c r="AF655" i="4"/>
  <c r="AG655" i="4" s="1"/>
  <c r="AF661" i="4"/>
  <c r="AG661" i="4" s="1"/>
  <c r="AF667" i="4"/>
  <c r="AG667" i="4" s="1"/>
  <c r="AF673" i="4"/>
  <c r="AG673" i="4" s="1"/>
  <c r="AF679" i="4"/>
  <c r="AG679" i="4" s="1"/>
  <c r="AF685" i="4"/>
  <c r="AG685" i="4" s="1"/>
  <c r="AF691" i="4"/>
  <c r="AG691" i="4" s="1"/>
  <c r="AF697" i="4"/>
  <c r="AG697" i="4" s="1"/>
  <c r="AF703" i="4"/>
  <c r="AG703" i="4" s="1"/>
  <c r="AF709" i="4"/>
  <c r="AG709" i="4" s="1"/>
  <c r="AF715" i="4"/>
  <c r="AG715" i="4" s="1"/>
  <c r="AF721" i="4"/>
  <c r="AG721" i="4" s="1"/>
  <c r="AF727" i="4"/>
  <c r="AG727" i="4" s="1"/>
  <c r="AF733" i="4"/>
  <c r="AG733" i="4" s="1"/>
  <c r="AF739" i="4"/>
  <c r="AG739" i="4" s="1"/>
  <c r="AF745" i="4"/>
  <c r="AG745" i="4" s="1"/>
  <c r="AF751" i="4"/>
  <c r="AG751" i="4" s="1"/>
  <c r="AF757" i="4"/>
  <c r="AG757" i="4" s="1"/>
  <c r="AF763" i="4"/>
  <c r="AG763" i="4" s="1"/>
  <c r="AF769" i="4"/>
  <c r="AG769" i="4" s="1"/>
  <c r="AF775" i="4"/>
  <c r="AG775" i="4" s="1"/>
  <c r="AF781" i="4"/>
  <c r="AG781" i="4" s="1"/>
  <c r="AF787" i="4"/>
  <c r="AG787" i="4" s="1"/>
  <c r="AF793" i="4"/>
  <c r="AG793" i="4" s="1"/>
  <c r="AF799" i="4"/>
  <c r="AG799" i="4" s="1"/>
  <c r="AF805" i="4"/>
  <c r="AG805" i="4" s="1"/>
  <c r="AF811" i="4"/>
  <c r="AG811" i="4" s="1"/>
  <c r="AF817" i="4"/>
  <c r="AG817" i="4" s="1"/>
  <c r="AF823" i="4"/>
  <c r="AG823" i="4" s="1"/>
  <c r="AF829" i="4"/>
  <c r="AG829" i="4" s="1"/>
  <c r="AF835" i="4"/>
  <c r="AG835" i="4" s="1"/>
  <c r="AF841" i="4"/>
  <c r="AG841" i="4" s="1"/>
  <c r="AF847" i="4"/>
  <c r="AG847" i="4" s="1"/>
  <c r="AF853" i="4"/>
  <c r="AG853" i="4" s="1"/>
  <c r="AF859" i="4"/>
  <c r="AG859" i="4" s="1"/>
  <c r="AF865" i="4"/>
  <c r="AG865" i="4" s="1"/>
  <c r="AF871" i="4"/>
  <c r="AG871" i="4" s="1"/>
  <c r="AF877" i="4"/>
  <c r="AG877" i="4" s="1"/>
  <c r="AF883" i="4"/>
  <c r="AG883" i="4" s="1"/>
  <c r="AF889" i="4"/>
  <c r="AG889" i="4" s="1"/>
  <c r="AF895" i="4"/>
  <c r="AG895" i="4" s="1"/>
  <c r="AF901" i="4"/>
  <c r="AG901" i="4" s="1"/>
  <c r="AF907" i="4"/>
  <c r="AG907" i="4" s="1"/>
  <c r="AF913" i="4"/>
  <c r="AG913" i="4" s="1"/>
  <c r="AF919" i="4"/>
  <c r="AG919" i="4" s="1"/>
  <c r="AF925" i="4"/>
  <c r="AG925" i="4" s="1"/>
  <c r="AF931" i="4"/>
  <c r="AG931" i="4" s="1"/>
  <c r="AF937" i="4"/>
  <c r="AG937" i="4" s="1"/>
  <c r="AF943" i="4"/>
  <c r="AG943" i="4" s="1"/>
  <c r="AF949" i="4"/>
  <c r="AG949" i="4" s="1"/>
  <c r="AF955" i="4"/>
  <c r="AG955" i="4" s="1"/>
  <c r="AF961" i="4"/>
  <c r="AG961" i="4" s="1"/>
  <c r="AF967" i="4"/>
  <c r="AG967" i="4" s="1"/>
  <c r="AF973" i="4"/>
  <c r="AG973" i="4" s="1"/>
  <c r="AF979" i="4"/>
  <c r="AG979" i="4" s="1"/>
  <c r="AF985" i="4"/>
  <c r="AG985" i="4" s="1"/>
  <c r="AF991" i="4"/>
  <c r="AG991" i="4" s="1"/>
  <c r="AF997" i="4"/>
  <c r="AG997" i="4" s="1"/>
  <c r="AF1003" i="4"/>
  <c r="AG1003" i="4" s="1"/>
  <c r="AF1009" i="4"/>
  <c r="AG1009" i="4" s="1"/>
  <c r="AF1015" i="4"/>
  <c r="AG1015" i="4" s="1"/>
  <c r="AF1021" i="4"/>
  <c r="AG1021" i="4" s="1"/>
  <c r="AF1027" i="4"/>
  <c r="AG1027" i="4" s="1"/>
  <c r="AF1033" i="4"/>
  <c r="AG1033" i="4" s="1"/>
  <c r="AF1039" i="4"/>
  <c r="AG1039" i="4" s="1"/>
  <c r="AF1045" i="4"/>
  <c r="AG1045" i="4" s="1"/>
  <c r="AF1051" i="4"/>
  <c r="AG1051" i="4" s="1"/>
  <c r="AF1057" i="4"/>
  <c r="AG1057" i="4" s="1"/>
  <c r="AF1063" i="4"/>
  <c r="AG1063" i="4" s="1"/>
  <c r="AF1069" i="4"/>
  <c r="AG1069" i="4" s="1"/>
  <c r="AF1075" i="4"/>
  <c r="AG1075" i="4" s="1"/>
  <c r="AF1081" i="4"/>
  <c r="AG1081" i="4" s="1"/>
  <c r="AF1087" i="4"/>
  <c r="AG1087" i="4" s="1"/>
  <c r="AF1093" i="4"/>
  <c r="AG1093" i="4" s="1"/>
  <c r="AF1099" i="4"/>
  <c r="AG1099" i="4" s="1"/>
  <c r="AF1105" i="4"/>
  <c r="AG1105" i="4" s="1"/>
  <c r="AF1111" i="4"/>
  <c r="AG1111" i="4" s="1"/>
  <c r="AF1117" i="4"/>
  <c r="AG1117" i="4" s="1"/>
  <c r="AF1123" i="4"/>
  <c r="AG1123" i="4" s="1"/>
  <c r="AF1129" i="4"/>
  <c r="AG1129" i="4" s="1"/>
  <c r="AF1135" i="4"/>
  <c r="AG1135" i="4" s="1"/>
  <c r="AF1141" i="4"/>
  <c r="AG1141" i="4" s="1"/>
  <c r="AF1147" i="4"/>
  <c r="AG1147" i="4" s="1"/>
  <c r="AF1153" i="4"/>
  <c r="AG1153" i="4" s="1"/>
  <c r="AF1159" i="4"/>
  <c r="AG1159" i="4" s="1"/>
  <c r="AF1165" i="4"/>
  <c r="AG1165" i="4" s="1"/>
  <c r="AF1171" i="4"/>
  <c r="AG1171" i="4" s="1"/>
  <c r="AF1177" i="4"/>
  <c r="AG1177" i="4" s="1"/>
  <c r="AF1183" i="4"/>
  <c r="AG1183" i="4" s="1"/>
  <c r="AF1189" i="4"/>
  <c r="AG1189" i="4" s="1"/>
  <c r="AF1195" i="4"/>
  <c r="AG1195" i="4" s="1"/>
  <c r="AF1201" i="4"/>
  <c r="AG1201" i="4" s="1"/>
  <c r="AF1207" i="4"/>
  <c r="AG1207" i="4" s="1"/>
  <c r="AF1213" i="4"/>
  <c r="AG1213" i="4" s="1"/>
  <c r="AF1219" i="4"/>
  <c r="AG1219" i="4" s="1"/>
  <c r="AF1225" i="4"/>
  <c r="AG1225" i="4" s="1"/>
  <c r="AF1231" i="4"/>
  <c r="AG1231" i="4" s="1"/>
  <c r="AF1237" i="4"/>
  <c r="AG1237" i="4" s="1"/>
  <c r="AF1243" i="4"/>
  <c r="AG1243" i="4" s="1"/>
  <c r="AF1249" i="4"/>
  <c r="AG1249" i="4" s="1"/>
  <c r="AF1255" i="4"/>
  <c r="AG1255" i="4" s="1"/>
  <c r="AF1261" i="4"/>
  <c r="AG1261" i="4" s="1"/>
  <c r="AF1267" i="4"/>
  <c r="AG1267" i="4" s="1"/>
  <c r="AF1273" i="4"/>
  <c r="AG1273" i="4" s="1"/>
  <c r="AF1279" i="4"/>
  <c r="AG1279" i="4" s="1"/>
  <c r="AF1285" i="4"/>
  <c r="AG1285" i="4" s="1"/>
  <c r="AF1291" i="4"/>
  <c r="AG1291" i="4" s="1"/>
  <c r="AF1297" i="4"/>
  <c r="AG1297" i="4" s="1"/>
  <c r="AF1303" i="4"/>
  <c r="AG1303" i="4" s="1"/>
  <c r="AF1309" i="4"/>
  <c r="AG1309" i="4" s="1"/>
  <c r="AF1315" i="4"/>
  <c r="AG1315" i="4" s="1"/>
  <c r="AF1321" i="4"/>
  <c r="AG1321" i="4" s="1"/>
  <c r="AF1327" i="4"/>
  <c r="AG1327" i="4" s="1"/>
  <c r="AF1333" i="4"/>
  <c r="AG1333" i="4" s="1"/>
  <c r="AF1339" i="4"/>
  <c r="AG1339" i="4" s="1"/>
  <c r="AF1345" i="4"/>
  <c r="AG1345" i="4" s="1"/>
  <c r="AF1351" i="4"/>
  <c r="AG1351" i="4" s="1"/>
  <c r="AF1357" i="4"/>
  <c r="AG1357" i="4" s="1"/>
  <c r="AF1363" i="4"/>
  <c r="AG1363" i="4" s="1"/>
  <c r="AF1369" i="4"/>
  <c r="AG1369" i="4" s="1"/>
  <c r="AF1375" i="4"/>
  <c r="AG1375" i="4" s="1"/>
  <c r="AF1381" i="4"/>
  <c r="AG1381" i="4" s="1"/>
  <c r="AF1387" i="4"/>
  <c r="AG1387" i="4" s="1"/>
  <c r="AF1393" i="4"/>
  <c r="AG1393" i="4" s="1"/>
  <c r="AF1399" i="4"/>
  <c r="AG1399" i="4" s="1"/>
  <c r="AF1405" i="4"/>
  <c r="AG1405" i="4" s="1"/>
  <c r="AF1411" i="4"/>
  <c r="AG1411" i="4" s="1"/>
  <c r="AF1417" i="4"/>
  <c r="AG1417" i="4" s="1"/>
  <c r="AF1423" i="4"/>
  <c r="AG1423" i="4" s="1"/>
  <c r="AF1429" i="4"/>
  <c r="AG1429" i="4" s="1"/>
  <c r="AF1435" i="4"/>
  <c r="AG1435" i="4" s="1"/>
  <c r="AF1441" i="4"/>
  <c r="AG1441" i="4" s="1"/>
  <c r="AF1447" i="4"/>
  <c r="AG1447" i="4" s="1"/>
  <c r="AF1453" i="4"/>
  <c r="AG1453" i="4" s="1"/>
  <c r="AF1459" i="4"/>
  <c r="AG1459" i="4" s="1"/>
  <c r="AF1465" i="4"/>
  <c r="AG1465" i="4" s="1"/>
  <c r="AF1471" i="4"/>
  <c r="AG1471" i="4" s="1"/>
  <c r="AF1477" i="4"/>
  <c r="AG1477" i="4" s="1"/>
  <c r="AF1483" i="4"/>
  <c r="AG1483" i="4" s="1"/>
  <c r="AF1489" i="4"/>
  <c r="AG1489" i="4" s="1"/>
  <c r="AF1495" i="4"/>
  <c r="AG1495" i="4" s="1"/>
  <c r="AJ221" i="4"/>
  <c r="AJ227" i="4"/>
  <c r="AJ233" i="4"/>
  <c r="AJ239" i="4"/>
  <c r="AJ245" i="4"/>
  <c r="AJ251" i="4"/>
  <c r="AJ257" i="4"/>
  <c r="AJ263" i="4"/>
  <c r="AJ269" i="4"/>
  <c r="AJ275" i="4"/>
  <c r="AJ281" i="4"/>
  <c r="AJ287" i="4"/>
  <c r="AJ293" i="4"/>
  <c r="AJ299" i="4"/>
  <c r="AJ305" i="4"/>
  <c r="AJ311" i="4"/>
  <c r="AJ317" i="4"/>
  <c r="AJ323" i="4"/>
  <c r="AJ329" i="4"/>
  <c r="AJ335" i="4"/>
  <c r="AJ341" i="4"/>
  <c r="AJ347" i="4"/>
  <c r="AJ353" i="4"/>
  <c r="AJ359" i="4"/>
  <c r="AJ365" i="4"/>
  <c r="AJ371" i="4"/>
  <c r="AJ377" i="4"/>
  <c r="AJ383" i="4"/>
  <c r="AJ389" i="4"/>
  <c r="AJ395" i="4"/>
  <c r="AJ401" i="4"/>
  <c r="AJ407" i="4"/>
  <c r="AJ413" i="4"/>
  <c r="AJ419" i="4"/>
  <c r="AJ425" i="4"/>
  <c r="AJ431" i="4"/>
  <c r="AJ437" i="4"/>
  <c r="AJ443" i="4"/>
  <c r="AJ449" i="4"/>
  <c r="AJ455" i="4"/>
  <c r="AJ461" i="4"/>
  <c r="AJ467" i="4"/>
  <c r="AJ473" i="4"/>
  <c r="AJ479" i="4"/>
  <c r="AJ485" i="4"/>
  <c r="AJ491" i="4"/>
  <c r="AJ497" i="4"/>
  <c r="AJ503" i="4"/>
  <c r="AJ509" i="4"/>
  <c r="AJ515" i="4"/>
  <c r="AJ521" i="4"/>
  <c r="AJ527" i="4"/>
  <c r="AJ533" i="4"/>
  <c r="AJ539" i="4"/>
  <c r="AJ545" i="4"/>
  <c r="AJ551" i="4"/>
  <c r="AJ557" i="4"/>
  <c r="AJ563" i="4"/>
  <c r="AJ569" i="4"/>
  <c r="AJ575" i="4"/>
  <c r="AJ581" i="4"/>
  <c r="AJ587" i="4"/>
  <c r="AJ593" i="4"/>
  <c r="AJ599" i="4"/>
  <c r="AJ605" i="4"/>
  <c r="AJ611" i="4"/>
  <c r="AJ617" i="4"/>
  <c r="AJ623" i="4"/>
  <c r="AJ629" i="4"/>
  <c r="AJ635" i="4"/>
  <c r="AJ641" i="4"/>
  <c r="AF224" i="4"/>
  <c r="AG224" i="4" s="1"/>
  <c r="AF230" i="4"/>
  <c r="AG230" i="4" s="1"/>
  <c r="AF236" i="4"/>
  <c r="AG236" i="4" s="1"/>
  <c r="AF242" i="4"/>
  <c r="AG242" i="4" s="1"/>
  <c r="AF248" i="4"/>
  <c r="AG248" i="4" s="1"/>
  <c r="AF254" i="4"/>
  <c r="AG254" i="4" s="1"/>
  <c r="AF260" i="4"/>
  <c r="AG260" i="4" s="1"/>
  <c r="AF266" i="4"/>
  <c r="AG266" i="4" s="1"/>
  <c r="AF272" i="4"/>
  <c r="AG272" i="4" s="1"/>
  <c r="AF278" i="4"/>
  <c r="AG278" i="4" s="1"/>
  <c r="AF284" i="4"/>
  <c r="AG284" i="4" s="1"/>
  <c r="AF290" i="4"/>
  <c r="AG290" i="4" s="1"/>
  <c r="AF296" i="4"/>
  <c r="AG296" i="4" s="1"/>
  <c r="AF302" i="4"/>
  <c r="AG302" i="4" s="1"/>
  <c r="AF308" i="4"/>
  <c r="AG308" i="4" s="1"/>
  <c r="AF314" i="4"/>
  <c r="AG314" i="4" s="1"/>
  <c r="AF320" i="4"/>
  <c r="AG320" i="4" s="1"/>
  <c r="AF326" i="4"/>
  <c r="AG326" i="4" s="1"/>
  <c r="AF332" i="4"/>
  <c r="AG332" i="4" s="1"/>
  <c r="AF338" i="4"/>
  <c r="AG338" i="4" s="1"/>
  <c r="AF344" i="4"/>
  <c r="AG344" i="4" s="1"/>
  <c r="AF350" i="4"/>
  <c r="AG350" i="4" s="1"/>
  <c r="AF356" i="4"/>
  <c r="AG356" i="4" s="1"/>
  <c r="AF362" i="4"/>
  <c r="AG362" i="4" s="1"/>
  <c r="AF368" i="4"/>
  <c r="AG368" i="4" s="1"/>
  <c r="AF374" i="4"/>
  <c r="AG374" i="4" s="1"/>
  <c r="AF380" i="4"/>
  <c r="AG380" i="4" s="1"/>
  <c r="AF386" i="4"/>
  <c r="AG386" i="4" s="1"/>
  <c r="AF392" i="4"/>
  <c r="AG392" i="4" s="1"/>
  <c r="AF398" i="4"/>
  <c r="AG398" i="4" s="1"/>
  <c r="AF404" i="4"/>
  <c r="AG404" i="4" s="1"/>
  <c r="AF410" i="4"/>
  <c r="AG410" i="4" s="1"/>
  <c r="AF416" i="4"/>
  <c r="AG416" i="4" s="1"/>
  <c r="AF422" i="4"/>
  <c r="AG422" i="4" s="1"/>
  <c r="AF428" i="4"/>
  <c r="AG428" i="4" s="1"/>
  <c r="AF434" i="4"/>
  <c r="AG434" i="4" s="1"/>
  <c r="AF440" i="4"/>
  <c r="AG440" i="4" s="1"/>
  <c r="AF446" i="4"/>
  <c r="AG446" i="4" s="1"/>
  <c r="AF452" i="4"/>
  <c r="AG452" i="4" s="1"/>
  <c r="AF458" i="4"/>
  <c r="AG458" i="4" s="1"/>
  <c r="AF464" i="4"/>
  <c r="AG464" i="4" s="1"/>
  <c r="AF470" i="4"/>
  <c r="AG470" i="4" s="1"/>
  <c r="AF476" i="4"/>
  <c r="AG476" i="4" s="1"/>
  <c r="AF482" i="4"/>
  <c r="AG482" i="4" s="1"/>
  <c r="AF488" i="4"/>
  <c r="AG488" i="4" s="1"/>
  <c r="AF494" i="4"/>
  <c r="AG494" i="4" s="1"/>
  <c r="AF500" i="4"/>
  <c r="AG500" i="4" s="1"/>
  <c r="AF506" i="4"/>
  <c r="AG506" i="4" s="1"/>
  <c r="AF512" i="4"/>
  <c r="AG512" i="4" s="1"/>
  <c r="AF518" i="4"/>
  <c r="AG518" i="4" s="1"/>
  <c r="AF524" i="4"/>
  <c r="AG524" i="4" s="1"/>
  <c r="AF530" i="4"/>
  <c r="AG530" i="4" s="1"/>
  <c r="AF536" i="4"/>
  <c r="AG536" i="4" s="1"/>
  <c r="AF542" i="4"/>
  <c r="AG542" i="4" s="1"/>
  <c r="AF548" i="4"/>
  <c r="AG548" i="4" s="1"/>
  <c r="AF554" i="4"/>
  <c r="AG554" i="4" s="1"/>
  <c r="AF560" i="4"/>
  <c r="AG560" i="4" s="1"/>
  <c r="AF566" i="4"/>
  <c r="AG566" i="4" s="1"/>
  <c r="AF572" i="4"/>
  <c r="AG572" i="4" s="1"/>
  <c r="AF578" i="4"/>
  <c r="AG578" i="4" s="1"/>
  <c r="AF584" i="4"/>
  <c r="AG584" i="4" s="1"/>
  <c r="AF590" i="4"/>
  <c r="AG590" i="4" s="1"/>
  <c r="AF596" i="4"/>
  <c r="AG596" i="4" s="1"/>
  <c r="AF602" i="4"/>
  <c r="AG602" i="4" s="1"/>
  <c r="AF608" i="4"/>
  <c r="AG608" i="4" s="1"/>
  <c r="AF614" i="4"/>
  <c r="AG614" i="4" s="1"/>
  <c r="AF620" i="4"/>
  <c r="AG620" i="4" s="1"/>
  <c r="AF626" i="4"/>
  <c r="AG626" i="4" s="1"/>
  <c r="AF632" i="4"/>
  <c r="AG632" i="4" s="1"/>
  <c r="AF638" i="4"/>
  <c r="AG638" i="4" s="1"/>
  <c r="AF644" i="4"/>
  <c r="AG644" i="4" s="1"/>
  <c r="AF650" i="4"/>
  <c r="AG650" i="4" s="1"/>
  <c r="AF656" i="4"/>
  <c r="AG656" i="4" s="1"/>
  <c r="AF662" i="4"/>
  <c r="AG662" i="4" s="1"/>
  <c r="AF668" i="4"/>
  <c r="AG668" i="4" s="1"/>
  <c r="AF674" i="4"/>
  <c r="AG674" i="4" s="1"/>
  <c r="AF680" i="4"/>
  <c r="AG680" i="4" s="1"/>
  <c r="AF686" i="4"/>
  <c r="AG686" i="4" s="1"/>
  <c r="AF692" i="4"/>
  <c r="AG692" i="4" s="1"/>
  <c r="AF698" i="4"/>
  <c r="AG698" i="4" s="1"/>
  <c r="AF704" i="4"/>
  <c r="AG704" i="4" s="1"/>
  <c r="AF710" i="4"/>
  <c r="AG710" i="4" s="1"/>
  <c r="AF716" i="4"/>
  <c r="AG716" i="4" s="1"/>
  <c r="AF722" i="4"/>
  <c r="AG722" i="4" s="1"/>
  <c r="AF728" i="4"/>
  <c r="AG728" i="4" s="1"/>
  <c r="AF734" i="4"/>
  <c r="AG734" i="4" s="1"/>
  <c r="AF740" i="4"/>
  <c r="AG740" i="4" s="1"/>
  <c r="AF746" i="4"/>
  <c r="AG746" i="4" s="1"/>
  <c r="AF752" i="4"/>
  <c r="AG752" i="4" s="1"/>
  <c r="AF758" i="4"/>
  <c r="AG758" i="4" s="1"/>
  <c r="AF764" i="4"/>
  <c r="AG764" i="4" s="1"/>
  <c r="AF770" i="4"/>
  <c r="AG770" i="4" s="1"/>
  <c r="AF776" i="4"/>
  <c r="AG776" i="4" s="1"/>
  <c r="AF782" i="4"/>
  <c r="AG782" i="4" s="1"/>
  <c r="AF788" i="4"/>
  <c r="AG788" i="4" s="1"/>
  <c r="AF794" i="4"/>
  <c r="AG794" i="4" s="1"/>
  <c r="AF800" i="4"/>
  <c r="AG800" i="4" s="1"/>
  <c r="AF806" i="4"/>
  <c r="AG806" i="4" s="1"/>
  <c r="AF812" i="4"/>
  <c r="AG812" i="4" s="1"/>
  <c r="AF818" i="4"/>
  <c r="AG818" i="4" s="1"/>
  <c r="AF824" i="4"/>
  <c r="AG824" i="4" s="1"/>
  <c r="AF830" i="4"/>
  <c r="AG830" i="4" s="1"/>
  <c r="AF836" i="4"/>
  <c r="AG836" i="4" s="1"/>
  <c r="AF842" i="4"/>
  <c r="AG842" i="4" s="1"/>
  <c r="AF848" i="4"/>
  <c r="AG848" i="4" s="1"/>
  <c r="AF854" i="4"/>
  <c r="AG854" i="4" s="1"/>
  <c r="AF860" i="4"/>
  <c r="AG860" i="4" s="1"/>
  <c r="AF866" i="4"/>
  <c r="AG866" i="4" s="1"/>
  <c r="AF872" i="4"/>
  <c r="AG872" i="4" s="1"/>
  <c r="AF878" i="4"/>
  <c r="AG878" i="4" s="1"/>
  <c r="AF884" i="4"/>
  <c r="AG884" i="4" s="1"/>
  <c r="AF890" i="4"/>
  <c r="AG890" i="4" s="1"/>
  <c r="AF896" i="4"/>
  <c r="AG896" i="4" s="1"/>
  <c r="AF902" i="4"/>
  <c r="AG902" i="4" s="1"/>
  <c r="AF908" i="4"/>
  <c r="AG908" i="4" s="1"/>
  <c r="AF914" i="4"/>
  <c r="AG914" i="4" s="1"/>
  <c r="AF920" i="4"/>
  <c r="AG920" i="4" s="1"/>
  <c r="AF926" i="4"/>
  <c r="AG926" i="4" s="1"/>
  <c r="AF932" i="4"/>
  <c r="AG932" i="4" s="1"/>
  <c r="AF938" i="4"/>
  <c r="AG938" i="4" s="1"/>
  <c r="AF944" i="4"/>
  <c r="AG944" i="4" s="1"/>
  <c r="AF950" i="4"/>
  <c r="AG950" i="4" s="1"/>
  <c r="AF956" i="4"/>
  <c r="AG956" i="4" s="1"/>
  <c r="AF962" i="4"/>
  <c r="AG962" i="4" s="1"/>
  <c r="AF968" i="4"/>
  <c r="AG968" i="4" s="1"/>
  <c r="AF974" i="4"/>
  <c r="AG974" i="4" s="1"/>
  <c r="AF980" i="4"/>
  <c r="AG980" i="4" s="1"/>
  <c r="AF986" i="4"/>
  <c r="AG986" i="4" s="1"/>
  <c r="AF992" i="4"/>
  <c r="AG992" i="4" s="1"/>
  <c r="AF998" i="4"/>
  <c r="AG998" i="4" s="1"/>
  <c r="AF1004" i="4"/>
  <c r="AG1004" i="4" s="1"/>
  <c r="AF1010" i="4"/>
  <c r="AG1010" i="4" s="1"/>
  <c r="AF1016" i="4"/>
  <c r="AG1016" i="4" s="1"/>
  <c r="AF1022" i="4"/>
  <c r="AG1022" i="4" s="1"/>
  <c r="AF1028" i="4"/>
  <c r="AG1028" i="4" s="1"/>
  <c r="AF1034" i="4"/>
  <c r="AG1034" i="4" s="1"/>
  <c r="AF1040" i="4"/>
  <c r="AG1040" i="4" s="1"/>
  <c r="AF1046" i="4"/>
  <c r="AG1046" i="4" s="1"/>
  <c r="AF1052" i="4"/>
  <c r="AG1052" i="4" s="1"/>
  <c r="AF1058" i="4"/>
  <c r="AG1058" i="4" s="1"/>
  <c r="AF1064" i="4"/>
  <c r="AG1064" i="4" s="1"/>
  <c r="AF1070" i="4"/>
  <c r="AG1070" i="4" s="1"/>
  <c r="AF1076" i="4"/>
  <c r="AG1076" i="4" s="1"/>
  <c r="AF1082" i="4"/>
  <c r="AG1082" i="4" s="1"/>
  <c r="AF1088" i="4"/>
  <c r="AG1088" i="4" s="1"/>
  <c r="AF1094" i="4"/>
  <c r="AG1094" i="4" s="1"/>
  <c r="AF1100" i="4"/>
  <c r="AG1100" i="4" s="1"/>
  <c r="AF1106" i="4"/>
  <c r="AG1106" i="4" s="1"/>
  <c r="AF1112" i="4"/>
  <c r="AG1112" i="4" s="1"/>
  <c r="AF1118" i="4"/>
  <c r="AG1118" i="4" s="1"/>
  <c r="AF1124" i="4"/>
  <c r="AG1124" i="4" s="1"/>
  <c r="AF1130" i="4"/>
  <c r="AG1130" i="4" s="1"/>
  <c r="AF1136" i="4"/>
  <c r="AG1136" i="4" s="1"/>
  <c r="AF1142" i="4"/>
  <c r="AG1142" i="4" s="1"/>
  <c r="AF1148" i="4"/>
  <c r="AG1148" i="4" s="1"/>
  <c r="AF1154" i="4"/>
  <c r="AG1154" i="4" s="1"/>
  <c r="AF1160" i="4"/>
  <c r="AG1160" i="4" s="1"/>
  <c r="AF1166" i="4"/>
  <c r="AG1166" i="4" s="1"/>
  <c r="AF1172" i="4"/>
  <c r="AG1172" i="4" s="1"/>
  <c r="AF1178" i="4"/>
  <c r="AG1178" i="4" s="1"/>
  <c r="AF1184" i="4"/>
  <c r="AG1184" i="4" s="1"/>
  <c r="AF1190" i="4"/>
  <c r="AG1190" i="4" s="1"/>
  <c r="AF1196" i="4"/>
  <c r="AG1196" i="4" s="1"/>
  <c r="AF1202" i="4"/>
  <c r="AG1202" i="4" s="1"/>
  <c r="AF1208" i="4"/>
  <c r="AG1208" i="4" s="1"/>
  <c r="AF1214" i="4"/>
  <c r="AG1214" i="4" s="1"/>
  <c r="AF1220" i="4"/>
  <c r="AG1220" i="4" s="1"/>
  <c r="AF1226" i="4"/>
  <c r="AG1226" i="4" s="1"/>
  <c r="AF1232" i="4"/>
  <c r="AG1232" i="4" s="1"/>
  <c r="AF1238" i="4"/>
  <c r="AG1238" i="4" s="1"/>
  <c r="AF1244" i="4"/>
  <c r="AG1244" i="4" s="1"/>
  <c r="AF1250" i="4"/>
  <c r="AG1250" i="4" s="1"/>
  <c r="AF1256" i="4"/>
  <c r="AG1256" i="4" s="1"/>
  <c r="AF1262" i="4"/>
  <c r="AG1262" i="4" s="1"/>
  <c r="AF1268" i="4"/>
  <c r="AG1268" i="4" s="1"/>
  <c r="AF1274" i="4"/>
  <c r="AG1274" i="4" s="1"/>
  <c r="AF1280" i="4"/>
  <c r="AG1280" i="4" s="1"/>
  <c r="AF1286" i="4"/>
  <c r="AG1286" i="4" s="1"/>
  <c r="AF1292" i="4"/>
  <c r="AG1292" i="4" s="1"/>
  <c r="AF1298" i="4"/>
  <c r="AG1298" i="4" s="1"/>
  <c r="AF1304" i="4"/>
  <c r="AG1304" i="4" s="1"/>
  <c r="AF1310" i="4"/>
  <c r="AG1310" i="4" s="1"/>
  <c r="AF1316" i="4"/>
  <c r="AG1316" i="4" s="1"/>
  <c r="AF1322" i="4"/>
  <c r="AG1322" i="4" s="1"/>
  <c r="AF1328" i="4"/>
  <c r="AG1328" i="4" s="1"/>
  <c r="AF1334" i="4"/>
  <c r="AG1334" i="4" s="1"/>
  <c r="AF1340" i="4"/>
  <c r="AG1340" i="4" s="1"/>
  <c r="AF1346" i="4"/>
  <c r="AG1346" i="4" s="1"/>
  <c r="AF1352" i="4"/>
  <c r="AG1352" i="4" s="1"/>
  <c r="AF1358" i="4"/>
  <c r="AG1358" i="4" s="1"/>
  <c r="AF1364" i="4"/>
  <c r="AG1364" i="4" s="1"/>
  <c r="AF1370" i="4"/>
  <c r="AG1370" i="4" s="1"/>
  <c r="AF1376" i="4"/>
  <c r="AG1376" i="4" s="1"/>
  <c r="AF1382" i="4"/>
  <c r="AG1382" i="4" s="1"/>
  <c r="AF1388" i="4"/>
  <c r="AG1388" i="4" s="1"/>
  <c r="AF1394" i="4"/>
  <c r="AG1394" i="4" s="1"/>
  <c r="AF1400" i="4"/>
  <c r="AG1400" i="4" s="1"/>
  <c r="AF1406" i="4"/>
  <c r="AG1406" i="4" s="1"/>
  <c r="AF1412" i="4"/>
  <c r="AG1412" i="4" s="1"/>
  <c r="AF1418" i="4"/>
  <c r="AG1418" i="4" s="1"/>
  <c r="AF1424" i="4"/>
  <c r="AG1424" i="4" s="1"/>
  <c r="AF1430" i="4"/>
  <c r="AG1430" i="4" s="1"/>
  <c r="AF1436" i="4"/>
  <c r="AG1436" i="4" s="1"/>
  <c r="AF1442" i="4"/>
  <c r="AG1442" i="4" s="1"/>
  <c r="AF1448" i="4"/>
  <c r="AG1448" i="4" s="1"/>
  <c r="AF1454" i="4"/>
  <c r="AG1454" i="4" s="1"/>
  <c r="AF1460" i="4"/>
  <c r="AG1460" i="4" s="1"/>
  <c r="AF1466" i="4"/>
  <c r="AG1466" i="4" s="1"/>
  <c r="AF1472" i="4"/>
  <c r="AG1472" i="4" s="1"/>
  <c r="AF1478" i="4"/>
  <c r="AG1478" i="4" s="1"/>
  <c r="AF1484" i="4"/>
  <c r="AG1484" i="4" s="1"/>
  <c r="AF1490" i="4"/>
  <c r="AG1490" i="4" s="1"/>
  <c r="AF1496" i="4"/>
  <c r="AG1496" i="4" s="1"/>
  <c r="AJ222" i="4"/>
  <c r="AJ228" i="4"/>
  <c r="AJ234" i="4"/>
  <c r="AJ240" i="4"/>
  <c r="AJ246" i="4"/>
  <c r="AJ252" i="4"/>
  <c r="AJ258" i="4"/>
  <c r="AJ264" i="4"/>
  <c r="AJ270" i="4"/>
  <c r="AJ276" i="4"/>
  <c r="AJ282" i="4"/>
  <c r="AJ288" i="4"/>
  <c r="AJ294" i="4"/>
  <c r="AJ300" i="4"/>
  <c r="AJ306" i="4"/>
  <c r="AJ312" i="4"/>
  <c r="AJ318" i="4"/>
  <c r="AJ324" i="4"/>
  <c r="AJ330" i="4"/>
  <c r="AJ336" i="4"/>
  <c r="AJ342" i="4"/>
  <c r="AJ348" i="4"/>
  <c r="AJ354" i="4"/>
  <c r="AJ360" i="4"/>
  <c r="AJ366" i="4"/>
  <c r="AJ372" i="4"/>
  <c r="AJ378" i="4"/>
  <c r="AJ384" i="4"/>
  <c r="AJ390" i="4"/>
  <c r="AJ396" i="4"/>
  <c r="AJ402" i="4"/>
  <c r="AJ408" i="4"/>
  <c r="AJ414" i="4"/>
  <c r="AJ420" i="4"/>
  <c r="AJ426" i="4"/>
  <c r="AJ432" i="4"/>
  <c r="AJ438" i="4"/>
  <c r="AJ444" i="4"/>
  <c r="AJ450" i="4"/>
  <c r="AJ456" i="4"/>
  <c r="AJ462" i="4"/>
  <c r="AJ468" i="4"/>
  <c r="AJ474" i="4"/>
  <c r="AJ480" i="4"/>
  <c r="AJ486" i="4"/>
  <c r="AJ492" i="4"/>
  <c r="AJ498" i="4"/>
  <c r="AJ504" i="4"/>
  <c r="AJ510" i="4"/>
  <c r="AJ516" i="4"/>
  <c r="AJ522" i="4"/>
  <c r="AJ528" i="4"/>
  <c r="AJ534" i="4"/>
  <c r="AJ540" i="4"/>
  <c r="AJ546" i="4"/>
  <c r="AJ552" i="4"/>
  <c r="AJ558" i="4"/>
  <c r="AJ564" i="4"/>
  <c r="AJ570" i="4"/>
  <c r="AJ576" i="4"/>
  <c r="AJ582" i="4"/>
  <c r="AJ588" i="4"/>
  <c r="AJ594" i="4"/>
  <c r="AJ600" i="4"/>
  <c r="AJ606" i="4"/>
  <c r="AJ612" i="4"/>
  <c r="AJ618" i="4"/>
  <c r="AJ624" i="4"/>
  <c r="AF225" i="4"/>
  <c r="AG225" i="4" s="1"/>
  <c r="AF231" i="4"/>
  <c r="AG231" i="4" s="1"/>
  <c r="AF237" i="4"/>
  <c r="AG237" i="4" s="1"/>
  <c r="AF243" i="4"/>
  <c r="AG243" i="4" s="1"/>
  <c r="AF249" i="4"/>
  <c r="AG249" i="4" s="1"/>
  <c r="AF255" i="4"/>
  <c r="AG255" i="4" s="1"/>
  <c r="AF261" i="4"/>
  <c r="AG261" i="4" s="1"/>
  <c r="AF267" i="4"/>
  <c r="AG267" i="4" s="1"/>
  <c r="AF273" i="4"/>
  <c r="AG273" i="4" s="1"/>
  <c r="AF279" i="4"/>
  <c r="AG279" i="4" s="1"/>
  <c r="AF285" i="4"/>
  <c r="AG285" i="4" s="1"/>
  <c r="AF291" i="4"/>
  <c r="AG291" i="4" s="1"/>
  <c r="AF297" i="4"/>
  <c r="AG297" i="4" s="1"/>
  <c r="AF303" i="4"/>
  <c r="AG303" i="4" s="1"/>
  <c r="AF309" i="4"/>
  <c r="AG309" i="4" s="1"/>
  <c r="AF315" i="4"/>
  <c r="AG315" i="4" s="1"/>
  <c r="AF321" i="4"/>
  <c r="AG321" i="4" s="1"/>
  <c r="AF327" i="4"/>
  <c r="AG327" i="4" s="1"/>
  <c r="AF333" i="4"/>
  <c r="AG333" i="4" s="1"/>
  <c r="AF339" i="4"/>
  <c r="AG339" i="4" s="1"/>
  <c r="AF345" i="4"/>
  <c r="AG345" i="4" s="1"/>
  <c r="AF351" i="4"/>
  <c r="AG351" i="4" s="1"/>
  <c r="AF357" i="4"/>
  <c r="AG357" i="4" s="1"/>
  <c r="AF363" i="4"/>
  <c r="AG363" i="4" s="1"/>
  <c r="AF369" i="4"/>
  <c r="AG369" i="4" s="1"/>
  <c r="AF375" i="4"/>
  <c r="AG375" i="4" s="1"/>
  <c r="AF381" i="4"/>
  <c r="AG381" i="4" s="1"/>
  <c r="AF387" i="4"/>
  <c r="AG387" i="4" s="1"/>
  <c r="AF393" i="4"/>
  <c r="AG393" i="4" s="1"/>
  <c r="AF399" i="4"/>
  <c r="AG399" i="4" s="1"/>
  <c r="AF405" i="4"/>
  <c r="AG405" i="4" s="1"/>
  <c r="AF411" i="4"/>
  <c r="AG411" i="4" s="1"/>
  <c r="AF417" i="4"/>
  <c r="AG417" i="4" s="1"/>
  <c r="AF423" i="4"/>
  <c r="AG423" i="4" s="1"/>
  <c r="AF429" i="4"/>
  <c r="AG429" i="4" s="1"/>
  <c r="AF435" i="4"/>
  <c r="AG435" i="4" s="1"/>
  <c r="AF441" i="4"/>
  <c r="AG441" i="4" s="1"/>
  <c r="AF447" i="4"/>
  <c r="AG447" i="4" s="1"/>
  <c r="AF453" i="4"/>
  <c r="AG453" i="4" s="1"/>
  <c r="AF459" i="4"/>
  <c r="AG459" i="4" s="1"/>
  <c r="AF465" i="4"/>
  <c r="AG465" i="4" s="1"/>
  <c r="AF471" i="4"/>
  <c r="AG471" i="4" s="1"/>
  <c r="AF477" i="4"/>
  <c r="AG477" i="4" s="1"/>
  <c r="AF483" i="4"/>
  <c r="AG483" i="4" s="1"/>
  <c r="AF489" i="4"/>
  <c r="AG489" i="4" s="1"/>
  <c r="AF495" i="4"/>
  <c r="AG495" i="4" s="1"/>
  <c r="AF501" i="4"/>
  <c r="AG501" i="4" s="1"/>
  <c r="AF507" i="4"/>
  <c r="AG507" i="4" s="1"/>
  <c r="AF513" i="4"/>
  <c r="AG513" i="4" s="1"/>
  <c r="AF519" i="4"/>
  <c r="AG519" i="4" s="1"/>
  <c r="AF525" i="4"/>
  <c r="AG525" i="4" s="1"/>
  <c r="AF531" i="4"/>
  <c r="AG531" i="4" s="1"/>
  <c r="AF537" i="4"/>
  <c r="AG537" i="4" s="1"/>
  <c r="AF543" i="4"/>
  <c r="AG543" i="4" s="1"/>
  <c r="AF549" i="4"/>
  <c r="AG549" i="4" s="1"/>
  <c r="AF555" i="4"/>
  <c r="AG555" i="4" s="1"/>
  <c r="AF561" i="4"/>
  <c r="AG561" i="4" s="1"/>
  <c r="AF567" i="4"/>
  <c r="AG567" i="4" s="1"/>
  <c r="AF573" i="4"/>
  <c r="AG573" i="4" s="1"/>
  <c r="AF579" i="4"/>
  <c r="AG579" i="4" s="1"/>
  <c r="AF585" i="4"/>
  <c r="AG585" i="4" s="1"/>
  <c r="AF591" i="4"/>
  <c r="AG591" i="4" s="1"/>
  <c r="AF597" i="4"/>
  <c r="AG597" i="4" s="1"/>
  <c r="AF603" i="4"/>
  <c r="AG603" i="4" s="1"/>
  <c r="AF609" i="4"/>
  <c r="AG609" i="4" s="1"/>
  <c r="AF615" i="4"/>
  <c r="AG615" i="4" s="1"/>
  <c r="AF621" i="4"/>
  <c r="AG621" i="4" s="1"/>
  <c r="AF627" i="4"/>
  <c r="AG627" i="4" s="1"/>
  <c r="AF633" i="4"/>
  <c r="AG633" i="4" s="1"/>
  <c r="AF639" i="4"/>
  <c r="AG639" i="4" s="1"/>
  <c r="AF645" i="4"/>
  <c r="AG645" i="4" s="1"/>
  <c r="AF651" i="4"/>
  <c r="AG651" i="4" s="1"/>
  <c r="AF657" i="4"/>
  <c r="AG657" i="4" s="1"/>
  <c r="AF663" i="4"/>
  <c r="AG663" i="4" s="1"/>
  <c r="AF669" i="4"/>
  <c r="AG669" i="4" s="1"/>
  <c r="AF675" i="4"/>
  <c r="AG675" i="4" s="1"/>
  <c r="AF681" i="4"/>
  <c r="AG681" i="4" s="1"/>
  <c r="AF687" i="4"/>
  <c r="AG687" i="4" s="1"/>
  <c r="AF693" i="4"/>
  <c r="AG693" i="4" s="1"/>
  <c r="AF699" i="4"/>
  <c r="AG699" i="4" s="1"/>
  <c r="AF705" i="4"/>
  <c r="AG705" i="4" s="1"/>
  <c r="AF711" i="4"/>
  <c r="AG711" i="4" s="1"/>
  <c r="AF717" i="4"/>
  <c r="AG717" i="4" s="1"/>
  <c r="AF723" i="4"/>
  <c r="AG723" i="4" s="1"/>
  <c r="AF729" i="4"/>
  <c r="AG729" i="4" s="1"/>
  <c r="AF735" i="4"/>
  <c r="AG735" i="4" s="1"/>
  <c r="AF741" i="4"/>
  <c r="AG741" i="4" s="1"/>
  <c r="AF747" i="4"/>
  <c r="AG747" i="4" s="1"/>
  <c r="AF753" i="4"/>
  <c r="AG753" i="4" s="1"/>
  <c r="AF759" i="4"/>
  <c r="AG759" i="4" s="1"/>
  <c r="AF765" i="4"/>
  <c r="AG765" i="4" s="1"/>
  <c r="AF771" i="4"/>
  <c r="AG771" i="4" s="1"/>
  <c r="AF777" i="4"/>
  <c r="AG777" i="4" s="1"/>
  <c r="AF783" i="4"/>
  <c r="AG783" i="4" s="1"/>
  <c r="AF789" i="4"/>
  <c r="AG789" i="4" s="1"/>
  <c r="AF795" i="4"/>
  <c r="AG795" i="4" s="1"/>
  <c r="AF801" i="4"/>
  <c r="AG801" i="4" s="1"/>
  <c r="AF807" i="4"/>
  <c r="AG807" i="4" s="1"/>
  <c r="AF813" i="4"/>
  <c r="AG813" i="4" s="1"/>
  <c r="AF819" i="4"/>
  <c r="AG819" i="4" s="1"/>
  <c r="AF825" i="4"/>
  <c r="AG825" i="4" s="1"/>
  <c r="AF831" i="4"/>
  <c r="AG831" i="4" s="1"/>
  <c r="AF837" i="4"/>
  <c r="AG837" i="4" s="1"/>
  <c r="AF843" i="4"/>
  <c r="AG843" i="4" s="1"/>
  <c r="AF849" i="4"/>
  <c r="AG849" i="4" s="1"/>
  <c r="AF855" i="4"/>
  <c r="AG855" i="4" s="1"/>
  <c r="AF861" i="4"/>
  <c r="AG861" i="4" s="1"/>
  <c r="AF867" i="4"/>
  <c r="AG867" i="4" s="1"/>
  <c r="AF873" i="4"/>
  <c r="AG873" i="4" s="1"/>
  <c r="AF879" i="4"/>
  <c r="AG879" i="4" s="1"/>
  <c r="AF885" i="4"/>
  <c r="AG885" i="4" s="1"/>
  <c r="AF891" i="4"/>
  <c r="AG891" i="4" s="1"/>
  <c r="AF897" i="4"/>
  <c r="AG897" i="4" s="1"/>
  <c r="AF903" i="4"/>
  <c r="AG903" i="4" s="1"/>
  <c r="AF909" i="4"/>
  <c r="AG909" i="4" s="1"/>
  <c r="AF915" i="4"/>
  <c r="AG915" i="4" s="1"/>
  <c r="AF921" i="4"/>
  <c r="AG921" i="4" s="1"/>
  <c r="AF927" i="4"/>
  <c r="AG927" i="4" s="1"/>
  <c r="AF933" i="4"/>
  <c r="AG933" i="4" s="1"/>
  <c r="AF939" i="4"/>
  <c r="AG939" i="4" s="1"/>
  <c r="AF945" i="4"/>
  <c r="AG945" i="4" s="1"/>
  <c r="AF951" i="4"/>
  <c r="AG951" i="4" s="1"/>
  <c r="AF957" i="4"/>
  <c r="AG957" i="4" s="1"/>
  <c r="AF963" i="4"/>
  <c r="AG963" i="4" s="1"/>
  <c r="AF969" i="4"/>
  <c r="AG969" i="4" s="1"/>
  <c r="AF975" i="4"/>
  <c r="AG975" i="4" s="1"/>
  <c r="AF981" i="4"/>
  <c r="AG981" i="4" s="1"/>
  <c r="AF987" i="4"/>
  <c r="AG987" i="4" s="1"/>
  <c r="AF993" i="4"/>
  <c r="AG993" i="4" s="1"/>
  <c r="AF999" i="4"/>
  <c r="AG999" i="4" s="1"/>
  <c r="AF1005" i="4"/>
  <c r="AG1005" i="4" s="1"/>
  <c r="AF1011" i="4"/>
  <c r="AG1011" i="4" s="1"/>
  <c r="AF1017" i="4"/>
  <c r="AG1017" i="4" s="1"/>
  <c r="AF1023" i="4"/>
  <c r="AG1023" i="4" s="1"/>
  <c r="AF1029" i="4"/>
  <c r="AG1029" i="4" s="1"/>
  <c r="AF1035" i="4"/>
  <c r="AG1035" i="4" s="1"/>
  <c r="AF1041" i="4"/>
  <c r="AG1041" i="4" s="1"/>
  <c r="AF1047" i="4"/>
  <c r="AG1047" i="4" s="1"/>
  <c r="AF1053" i="4"/>
  <c r="AG1053" i="4" s="1"/>
  <c r="AF1059" i="4"/>
  <c r="AG1059" i="4" s="1"/>
  <c r="AF1065" i="4"/>
  <c r="AG1065" i="4" s="1"/>
  <c r="AF1071" i="4"/>
  <c r="AG1071" i="4" s="1"/>
  <c r="AF1077" i="4"/>
  <c r="AG1077" i="4" s="1"/>
  <c r="AF1083" i="4"/>
  <c r="AG1083" i="4" s="1"/>
  <c r="AF1089" i="4"/>
  <c r="AG1089" i="4" s="1"/>
  <c r="AF1095" i="4"/>
  <c r="AG1095" i="4" s="1"/>
  <c r="AF1101" i="4"/>
  <c r="AG1101" i="4" s="1"/>
  <c r="AF1107" i="4"/>
  <c r="AG1107" i="4" s="1"/>
  <c r="AF1113" i="4"/>
  <c r="AG1113" i="4" s="1"/>
  <c r="AF1119" i="4"/>
  <c r="AG1119" i="4" s="1"/>
  <c r="AF1125" i="4"/>
  <c r="AG1125" i="4" s="1"/>
  <c r="AF1131" i="4"/>
  <c r="AG1131" i="4" s="1"/>
  <c r="AF1137" i="4"/>
  <c r="AG1137" i="4" s="1"/>
  <c r="AF1143" i="4"/>
  <c r="AG1143" i="4" s="1"/>
  <c r="AF1149" i="4"/>
  <c r="AG1149" i="4" s="1"/>
  <c r="AF1155" i="4"/>
  <c r="AG1155" i="4" s="1"/>
  <c r="AF1161" i="4"/>
  <c r="AG1161" i="4" s="1"/>
  <c r="AF1167" i="4"/>
  <c r="AG1167" i="4" s="1"/>
  <c r="AF1173" i="4"/>
  <c r="AG1173" i="4" s="1"/>
  <c r="AF1179" i="4"/>
  <c r="AG1179" i="4" s="1"/>
  <c r="AF1185" i="4"/>
  <c r="AG1185" i="4" s="1"/>
  <c r="AF1191" i="4"/>
  <c r="AG1191" i="4" s="1"/>
  <c r="AF1197" i="4"/>
  <c r="AG1197" i="4" s="1"/>
  <c r="AF1203" i="4"/>
  <c r="AG1203" i="4" s="1"/>
  <c r="AF1209" i="4"/>
  <c r="AG1209" i="4" s="1"/>
  <c r="AF1215" i="4"/>
  <c r="AG1215" i="4" s="1"/>
  <c r="AF1221" i="4"/>
  <c r="AG1221" i="4" s="1"/>
  <c r="AF1227" i="4"/>
  <c r="AG1227" i="4" s="1"/>
  <c r="AF1233" i="4"/>
  <c r="AG1233" i="4" s="1"/>
  <c r="AF1239" i="4"/>
  <c r="AG1239" i="4" s="1"/>
  <c r="AF1245" i="4"/>
  <c r="AG1245" i="4" s="1"/>
  <c r="AF1251" i="4"/>
  <c r="AG1251" i="4" s="1"/>
  <c r="AF1257" i="4"/>
  <c r="AG1257" i="4" s="1"/>
  <c r="AF1263" i="4"/>
  <c r="AG1263" i="4" s="1"/>
  <c r="AF1269" i="4"/>
  <c r="AG1269" i="4" s="1"/>
  <c r="AF1275" i="4"/>
  <c r="AG1275" i="4" s="1"/>
  <c r="AF1281" i="4"/>
  <c r="AG1281" i="4" s="1"/>
  <c r="AF1287" i="4"/>
  <c r="AG1287" i="4" s="1"/>
  <c r="AF1293" i="4"/>
  <c r="AG1293" i="4" s="1"/>
  <c r="AF1299" i="4"/>
  <c r="AG1299" i="4" s="1"/>
  <c r="AF1305" i="4"/>
  <c r="AG1305" i="4" s="1"/>
  <c r="AF1311" i="4"/>
  <c r="AG1311" i="4" s="1"/>
  <c r="AF1317" i="4"/>
  <c r="AG1317" i="4" s="1"/>
  <c r="AF1323" i="4"/>
  <c r="AG1323" i="4" s="1"/>
  <c r="AF1329" i="4"/>
  <c r="AG1329" i="4" s="1"/>
  <c r="AF1335" i="4"/>
  <c r="AG1335" i="4" s="1"/>
  <c r="AF1341" i="4"/>
  <c r="AG1341" i="4" s="1"/>
  <c r="AF1347" i="4"/>
  <c r="AG1347" i="4" s="1"/>
  <c r="AF1353" i="4"/>
  <c r="AG1353" i="4" s="1"/>
  <c r="AF1359" i="4"/>
  <c r="AG1359" i="4" s="1"/>
  <c r="AF1365" i="4"/>
  <c r="AG1365" i="4" s="1"/>
  <c r="AF1371" i="4"/>
  <c r="AG1371" i="4" s="1"/>
  <c r="AF1377" i="4"/>
  <c r="AG1377" i="4" s="1"/>
  <c r="AF1383" i="4"/>
  <c r="AG1383" i="4" s="1"/>
  <c r="AF1389" i="4"/>
  <c r="AG1389" i="4" s="1"/>
  <c r="AF1395" i="4"/>
  <c r="AG1395" i="4" s="1"/>
  <c r="AF1401" i="4"/>
  <c r="AG1401" i="4" s="1"/>
  <c r="AF1407" i="4"/>
  <c r="AG1407" i="4" s="1"/>
  <c r="AF1413" i="4"/>
  <c r="AG1413" i="4" s="1"/>
  <c r="AF1419" i="4"/>
  <c r="AG1419" i="4" s="1"/>
  <c r="AF1425" i="4"/>
  <c r="AG1425" i="4" s="1"/>
  <c r="AF1431" i="4"/>
  <c r="AG1431" i="4" s="1"/>
  <c r="AF1437" i="4"/>
  <c r="AG1437" i="4" s="1"/>
  <c r="AF1443" i="4"/>
  <c r="AG1443" i="4" s="1"/>
  <c r="AF1449" i="4"/>
  <c r="AG1449" i="4" s="1"/>
  <c r="AF1455" i="4"/>
  <c r="AG1455" i="4" s="1"/>
  <c r="AF1461" i="4"/>
  <c r="AG1461" i="4" s="1"/>
  <c r="AF1467" i="4"/>
  <c r="AG1467" i="4" s="1"/>
  <c r="AF1473" i="4"/>
  <c r="AG1473" i="4" s="1"/>
  <c r="AF1479" i="4"/>
  <c r="AG1479" i="4" s="1"/>
  <c r="AF1485" i="4"/>
  <c r="AG1485" i="4" s="1"/>
  <c r="AF1491" i="4"/>
  <c r="AG1491" i="4" s="1"/>
  <c r="AF1497" i="4"/>
  <c r="AG1497" i="4" s="1"/>
  <c r="AJ223" i="4"/>
  <c r="AJ229" i="4"/>
  <c r="AJ235" i="4"/>
  <c r="AJ241" i="4"/>
  <c r="AJ247" i="4"/>
  <c r="AJ253" i="4"/>
  <c r="AJ259" i="4"/>
  <c r="AJ265" i="4"/>
  <c r="AJ271" i="4"/>
  <c r="AJ277" i="4"/>
  <c r="AJ283" i="4"/>
  <c r="AJ289" i="4"/>
  <c r="AJ295" i="4"/>
  <c r="AJ301" i="4"/>
  <c r="AJ307" i="4"/>
  <c r="AJ313" i="4"/>
  <c r="AJ319" i="4"/>
  <c r="AJ325" i="4"/>
  <c r="AJ331" i="4"/>
  <c r="AJ337" i="4"/>
  <c r="AJ343" i="4"/>
  <c r="AJ349" i="4"/>
  <c r="AJ355" i="4"/>
  <c r="AJ361" i="4"/>
  <c r="AJ367" i="4"/>
  <c r="AJ373" i="4"/>
  <c r="AJ379" i="4"/>
  <c r="AJ385" i="4"/>
  <c r="AJ391" i="4"/>
  <c r="AJ397" i="4"/>
  <c r="AJ403" i="4"/>
  <c r="AJ409" i="4"/>
  <c r="AJ415" i="4"/>
  <c r="AJ421" i="4"/>
  <c r="AJ427" i="4"/>
  <c r="AJ433" i="4"/>
  <c r="AJ439" i="4"/>
  <c r="AJ445" i="4"/>
  <c r="AJ451" i="4"/>
  <c r="AJ457" i="4"/>
  <c r="AJ463" i="4"/>
  <c r="AJ469" i="4"/>
  <c r="AJ475" i="4"/>
  <c r="AJ481" i="4"/>
  <c r="AJ487" i="4"/>
  <c r="AJ493" i="4"/>
  <c r="AJ499" i="4"/>
  <c r="AJ505" i="4"/>
  <c r="AJ511" i="4"/>
  <c r="AJ517" i="4"/>
  <c r="AJ523" i="4"/>
  <c r="AJ529" i="4"/>
  <c r="AJ535" i="4"/>
  <c r="AJ541" i="4"/>
  <c r="AJ547" i="4"/>
  <c r="AJ553" i="4"/>
  <c r="AJ559" i="4"/>
  <c r="AJ565" i="4"/>
  <c r="AJ571" i="4"/>
  <c r="AJ577" i="4"/>
  <c r="AJ583" i="4"/>
  <c r="AJ589" i="4"/>
  <c r="AJ595" i="4"/>
  <c r="AJ601" i="4"/>
  <c r="AJ607" i="4"/>
  <c r="AJ613" i="4"/>
  <c r="AJ619" i="4"/>
  <c r="AJ625" i="4"/>
  <c r="AJ631" i="4"/>
  <c r="AJ637" i="4"/>
  <c r="AJ643" i="4"/>
  <c r="AJ649" i="4"/>
  <c r="AJ633" i="4"/>
  <c r="AJ645" i="4"/>
  <c r="AJ652" i="4"/>
  <c r="AJ658" i="4"/>
  <c r="AJ664" i="4"/>
  <c r="AJ670" i="4"/>
  <c r="AJ676" i="4"/>
  <c r="AJ682" i="4"/>
  <c r="AJ688" i="4"/>
  <c r="AJ694" i="4"/>
  <c r="AJ700" i="4"/>
  <c r="AJ706" i="4"/>
  <c r="AJ712" i="4"/>
  <c r="AJ718" i="4"/>
  <c r="AJ724" i="4"/>
  <c r="AJ730" i="4"/>
  <c r="AJ736" i="4"/>
  <c r="AJ742" i="4"/>
  <c r="AJ748" i="4"/>
  <c r="AJ754" i="4"/>
  <c r="AJ760" i="4"/>
  <c r="AJ766" i="4"/>
  <c r="AJ772" i="4"/>
  <c r="AJ778" i="4"/>
  <c r="AJ784" i="4"/>
  <c r="AJ790" i="4"/>
  <c r="AJ796" i="4"/>
  <c r="AJ802" i="4"/>
  <c r="AJ808" i="4"/>
  <c r="AJ814" i="4"/>
  <c r="AJ820" i="4"/>
  <c r="AJ826" i="4"/>
  <c r="AJ832" i="4"/>
  <c r="AJ838" i="4"/>
  <c r="AJ844" i="4"/>
  <c r="AJ850" i="4"/>
  <c r="AJ856" i="4"/>
  <c r="AJ862" i="4"/>
  <c r="AJ868" i="4"/>
  <c r="AJ874" i="4"/>
  <c r="AJ880" i="4"/>
  <c r="AJ886" i="4"/>
  <c r="AJ892" i="4"/>
  <c r="AJ898" i="4"/>
  <c r="AJ904" i="4"/>
  <c r="AJ910" i="4"/>
  <c r="AJ916" i="4"/>
  <c r="AJ922" i="4"/>
  <c r="AJ928" i="4"/>
  <c r="AJ934" i="4"/>
  <c r="AJ940" i="4"/>
  <c r="AJ946" i="4"/>
  <c r="AJ952" i="4"/>
  <c r="AJ958" i="4"/>
  <c r="AJ964" i="4"/>
  <c r="AJ970" i="4"/>
  <c r="AJ976" i="4"/>
  <c r="AJ982" i="4"/>
  <c r="AJ988" i="4"/>
  <c r="AJ994" i="4"/>
  <c r="AJ1000" i="4"/>
  <c r="AJ1006" i="4"/>
  <c r="AJ1012" i="4"/>
  <c r="AJ1018" i="4"/>
  <c r="AJ1024" i="4"/>
  <c r="AJ1030" i="4"/>
  <c r="AJ1036" i="4"/>
  <c r="AJ1042" i="4"/>
  <c r="AJ1048" i="4"/>
  <c r="AJ1054" i="4"/>
  <c r="AJ1060" i="4"/>
  <c r="AJ1066" i="4"/>
  <c r="AJ1072" i="4"/>
  <c r="AJ1078" i="4"/>
  <c r="AJ1084" i="4"/>
  <c r="AJ1090" i="4"/>
  <c r="AJ1096" i="4"/>
  <c r="AJ1102" i="4"/>
  <c r="AJ1108" i="4"/>
  <c r="AJ1114" i="4"/>
  <c r="AJ1120" i="4"/>
  <c r="AJ1126" i="4"/>
  <c r="AJ1132" i="4"/>
  <c r="AJ1138" i="4"/>
  <c r="AJ1144" i="4"/>
  <c r="AJ1150" i="4"/>
  <c r="AJ1156" i="4"/>
  <c r="AJ1162" i="4"/>
  <c r="AJ1168" i="4"/>
  <c r="AJ1174" i="4"/>
  <c r="AJ1180" i="4"/>
  <c r="AJ1186" i="4"/>
  <c r="AJ1192" i="4"/>
  <c r="AJ1198" i="4"/>
  <c r="AJ1204" i="4"/>
  <c r="AJ1210" i="4"/>
  <c r="AJ1216" i="4"/>
  <c r="AJ1222" i="4"/>
  <c r="AJ1228" i="4"/>
  <c r="AJ1234" i="4"/>
  <c r="AJ1240" i="4"/>
  <c r="AJ1246" i="4"/>
  <c r="AJ1252" i="4"/>
  <c r="AJ1258" i="4"/>
  <c r="AJ1264" i="4"/>
  <c r="AJ1270" i="4"/>
  <c r="AJ1276" i="4"/>
  <c r="AJ1282" i="4"/>
  <c r="AJ1288" i="4"/>
  <c r="AJ1294" i="4"/>
  <c r="AJ1300" i="4"/>
  <c r="AJ1306" i="4"/>
  <c r="AJ1312" i="4"/>
  <c r="AJ1318" i="4"/>
  <c r="AJ1324" i="4"/>
  <c r="AJ1330" i="4"/>
  <c r="AJ1336" i="4"/>
  <c r="AJ1342" i="4"/>
  <c r="AJ1348" i="4"/>
  <c r="AJ1354" i="4"/>
  <c r="AJ1360" i="4"/>
  <c r="AJ1366" i="4"/>
  <c r="AJ1372" i="4"/>
  <c r="AJ1378" i="4"/>
  <c r="AJ1384" i="4"/>
  <c r="AJ1390" i="4"/>
  <c r="AJ1396" i="4"/>
  <c r="AJ1402" i="4"/>
  <c r="AJ1408" i="4"/>
  <c r="AJ1414" i="4"/>
  <c r="AJ1420" i="4"/>
  <c r="AJ1426" i="4"/>
  <c r="AJ1432" i="4"/>
  <c r="AJ1438" i="4"/>
  <c r="AJ1444" i="4"/>
  <c r="AJ1450" i="4"/>
  <c r="AJ1456" i="4"/>
  <c r="AJ1462" i="4"/>
  <c r="AJ1468" i="4"/>
  <c r="AJ1474" i="4"/>
  <c r="AJ1480" i="4"/>
  <c r="AJ1486" i="4"/>
  <c r="AJ1492" i="4"/>
  <c r="AJ1498" i="4"/>
  <c r="AK225" i="4"/>
  <c r="AL225" i="4" s="1"/>
  <c r="AK231" i="4"/>
  <c r="AL231" i="4" s="1"/>
  <c r="AK237" i="4"/>
  <c r="AL237" i="4" s="1"/>
  <c r="AK243" i="4"/>
  <c r="AL243" i="4" s="1"/>
  <c r="AK249" i="4"/>
  <c r="AL249" i="4" s="1"/>
  <c r="AK255" i="4"/>
  <c r="AL255" i="4" s="1"/>
  <c r="AK261" i="4"/>
  <c r="AL261" i="4" s="1"/>
  <c r="AK267" i="4"/>
  <c r="AL267" i="4" s="1"/>
  <c r="AK273" i="4"/>
  <c r="AL273" i="4" s="1"/>
  <c r="AK279" i="4"/>
  <c r="AL279" i="4" s="1"/>
  <c r="AK285" i="4"/>
  <c r="AL285" i="4" s="1"/>
  <c r="AK291" i="4"/>
  <c r="AL291" i="4" s="1"/>
  <c r="AK297" i="4"/>
  <c r="AL297" i="4" s="1"/>
  <c r="AK303" i="4"/>
  <c r="AL303" i="4" s="1"/>
  <c r="AK309" i="4"/>
  <c r="AL309" i="4" s="1"/>
  <c r="AK315" i="4"/>
  <c r="AL315" i="4" s="1"/>
  <c r="AK321" i="4"/>
  <c r="AL321" i="4" s="1"/>
  <c r="AK327" i="4"/>
  <c r="AL327" i="4" s="1"/>
  <c r="AK333" i="4"/>
  <c r="AL333" i="4" s="1"/>
  <c r="AK339" i="4"/>
  <c r="AL339" i="4" s="1"/>
  <c r="AK345" i="4"/>
  <c r="AL345" i="4" s="1"/>
  <c r="AK351" i="4"/>
  <c r="AL351" i="4" s="1"/>
  <c r="AK357" i="4"/>
  <c r="AL357" i="4" s="1"/>
  <c r="AK363" i="4"/>
  <c r="AL363" i="4" s="1"/>
  <c r="AK369" i="4"/>
  <c r="AL369" i="4" s="1"/>
  <c r="AK375" i="4"/>
  <c r="AL375" i="4" s="1"/>
  <c r="AK381" i="4"/>
  <c r="AL381" i="4" s="1"/>
  <c r="AK387" i="4"/>
  <c r="AL387" i="4" s="1"/>
  <c r="AK393" i="4"/>
  <c r="AL393" i="4" s="1"/>
  <c r="AK399" i="4"/>
  <c r="AL399" i="4" s="1"/>
  <c r="AK405" i="4"/>
  <c r="AL405" i="4" s="1"/>
  <c r="AK411" i="4"/>
  <c r="AL411" i="4" s="1"/>
  <c r="AK417" i="4"/>
  <c r="AL417" i="4" s="1"/>
  <c r="AK423" i="4"/>
  <c r="AL423" i="4" s="1"/>
  <c r="AK429" i="4"/>
  <c r="AL429" i="4" s="1"/>
  <c r="AK435" i="4"/>
  <c r="AL435" i="4" s="1"/>
  <c r="AK441" i="4"/>
  <c r="AL441" i="4" s="1"/>
  <c r="AK447" i="4"/>
  <c r="AL447" i="4" s="1"/>
  <c r="AK453" i="4"/>
  <c r="AL453" i="4" s="1"/>
  <c r="AK459" i="4"/>
  <c r="AL459" i="4" s="1"/>
  <c r="AK465" i="4"/>
  <c r="AL465" i="4" s="1"/>
  <c r="AK471" i="4"/>
  <c r="AL471" i="4" s="1"/>
  <c r="AK477" i="4"/>
  <c r="AL477" i="4" s="1"/>
  <c r="AK483" i="4"/>
  <c r="AL483" i="4" s="1"/>
  <c r="AK489" i="4"/>
  <c r="AL489" i="4" s="1"/>
  <c r="AK495" i="4"/>
  <c r="AL495" i="4" s="1"/>
  <c r="AK501" i="4"/>
  <c r="AL501" i="4" s="1"/>
  <c r="AK507" i="4"/>
  <c r="AL507" i="4" s="1"/>
  <c r="AK513" i="4"/>
  <c r="AL513" i="4" s="1"/>
  <c r="AK519" i="4"/>
  <c r="AL519" i="4" s="1"/>
  <c r="AK525" i="4"/>
  <c r="AL525" i="4" s="1"/>
  <c r="AK531" i="4"/>
  <c r="AL531" i="4" s="1"/>
  <c r="AK537" i="4"/>
  <c r="AL537" i="4" s="1"/>
  <c r="AK543" i="4"/>
  <c r="AL543" i="4" s="1"/>
  <c r="AK549" i="4"/>
  <c r="AL549" i="4" s="1"/>
  <c r="AK555" i="4"/>
  <c r="AL555" i="4" s="1"/>
  <c r="AK561" i="4"/>
  <c r="AL561" i="4" s="1"/>
  <c r="AK567" i="4"/>
  <c r="AL567" i="4" s="1"/>
  <c r="AK573" i="4"/>
  <c r="AL573" i="4" s="1"/>
  <c r="AK579" i="4"/>
  <c r="AL579" i="4" s="1"/>
  <c r="AK585" i="4"/>
  <c r="AL585" i="4" s="1"/>
  <c r="AK591" i="4"/>
  <c r="AL591" i="4" s="1"/>
  <c r="AK597" i="4"/>
  <c r="AL597" i="4" s="1"/>
  <c r="AK603" i="4"/>
  <c r="AL603" i="4" s="1"/>
  <c r="AK609" i="4"/>
  <c r="AL609" i="4" s="1"/>
  <c r="AK615" i="4"/>
  <c r="AL615" i="4" s="1"/>
  <c r="AK621" i="4"/>
  <c r="AL621" i="4" s="1"/>
  <c r="AK627" i="4"/>
  <c r="AL627" i="4" s="1"/>
  <c r="AK633" i="4"/>
  <c r="AL633" i="4" s="1"/>
  <c r="AK639" i="4"/>
  <c r="AL639" i="4" s="1"/>
  <c r="AK645" i="4"/>
  <c r="AL645" i="4" s="1"/>
  <c r="AK651" i="4"/>
  <c r="AL651" i="4" s="1"/>
  <c r="AK657" i="4"/>
  <c r="AL657" i="4" s="1"/>
  <c r="AK663" i="4"/>
  <c r="AL663" i="4" s="1"/>
  <c r="AK669" i="4"/>
  <c r="AL669" i="4" s="1"/>
  <c r="AK675" i="4"/>
  <c r="AL675" i="4" s="1"/>
  <c r="AK681" i="4"/>
  <c r="AL681" i="4" s="1"/>
  <c r="AK687" i="4"/>
  <c r="AL687" i="4" s="1"/>
  <c r="AK693" i="4"/>
  <c r="AL693" i="4" s="1"/>
  <c r="AK699" i="4"/>
  <c r="AL699" i="4" s="1"/>
  <c r="AK705" i="4"/>
  <c r="AL705" i="4" s="1"/>
  <c r="AK711" i="4"/>
  <c r="AL711" i="4" s="1"/>
  <c r="AK717" i="4"/>
  <c r="AL717" i="4" s="1"/>
  <c r="AK723" i="4"/>
  <c r="AL723" i="4" s="1"/>
  <c r="AK729" i="4"/>
  <c r="AL729" i="4" s="1"/>
  <c r="AK735" i="4"/>
  <c r="AL735" i="4" s="1"/>
  <c r="AK741" i="4"/>
  <c r="AL741" i="4" s="1"/>
  <c r="AK747" i="4"/>
  <c r="AL747" i="4" s="1"/>
  <c r="AK753" i="4"/>
  <c r="AL753" i="4" s="1"/>
  <c r="AK759" i="4"/>
  <c r="AL759" i="4" s="1"/>
  <c r="AK765" i="4"/>
  <c r="AL765" i="4" s="1"/>
  <c r="AK771" i="4"/>
  <c r="AL771" i="4" s="1"/>
  <c r="AK777" i="4"/>
  <c r="AL777" i="4" s="1"/>
  <c r="AK783" i="4"/>
  <c r="AL783" i="4" s="1"/>
  <c r="AK789" i="4"/>
  <c r="AL789" i="4" s="1"/>
  <c r="AK795" i="4"/>
  <c r="AL795" i="4" s="1"/>
  <c r="AK801" i="4"/>
  <c r="AL801" i="4" s="1"/>
  <c r="AK807" i="4"/>
  <c r="AL807" i="4" s="1"/>
  <c r="AK813" i="4"/>
  <c r="AL813" i="4" s="1"/>
  <c r="AK819" i="4"/>
  <c r="AL819" i="4" s="1"/>
  <c r="AK825" i="4"/>
  <c r="AL825" i="4" s="1"/>
  <c r="AK831" i="4"/>
  <c r="AL831" i="4" s="1"/>
  <c r="AK837" i="4"/>
  <c r="AL837" i="4" s="1"/>
  <c r="AK843" i="4"/>
  <c r="AL843" i="4" s="1"/>
  <c r="AK849" i="4"/>
  <c r="AL849" i="4" s="1"/>
  <c r="AK855" i="4"/>
  <c r="AL855" i="4" s="1"/>
  <c r="AK861" i="4"/>
  <c r="AL861" i="4" s="1"/>
  <c r="AK867" i="4"/>
  <c r="AL867" i="4" s="1"/>
  <c r="AK873" i="4"/>
  <c r="AL873" i="4" s="1"/>
  <c r="AK879" i="4"/>
  <c r="AL879" i="4" s="1"/>
  <c r="AK885" i="4"/>
  <c r="AL885" i="4" s="1"/>
  <c r="AK891" i="4"/>
  <c r="AL891" i="4" s="1"/>
  <c r="AK897" i="4"/>
  <c r="AL897" i="4" s="1"/>
  <c r="AK903" i="4"/>
  <c r="AL903" i="4" s="1"/>
  <c r="AK909" i="4"/>
  <c r="AL909" i="4" s="1"/>
  <c r="AK915" i="4"/>
  <c r="AL915" i="4" s="1"/>
  <c r="AK921" i="4"/>
  <c r="AL921" i="4" s="1"/>
  <c r="AK927" i="4"/>
  <c r="AL927" i="4" s="1"/>
  <c r="AK933" i="4"/>
  <c r="AL933" i="4" s="1"/>
  <c r="AK939" i="4"/>
  <c r="AL939" i="4" s="1"/>
  <c r="AK945" i="4"/>
  <c r="AL945" i="4" s="1"/>
  <c r="AK951" i="4"/>
  <c r="AL951" i="4" s="1"/>
  <c r="AK957" i="4"/>
  <c r="AL957" i="4" s="1"/>
  <c r="AK963" i="4"/>
  <c r="AL963" i="4" s="1"/>
  <c r="AK969" i="4"/>
  <c r="AL969" i="4" s="1"/>
  <c r="AK975" i="4"/>
  <c r="AL975" i="4" s="1"/>
  <c r="AK981" i="4"/>
  <c r="AL981" i="4" s="1"/>
  <c r="AK987" i="4"/>
  <c r="AL987" i="4" s="1"/>
  <c r="AK993" i="4"/>
  <c r="AL993" i="4" s="1"/>
  <c r="AK999" i="4"/>
  <c r="AL999" i="4" s="1"/>
  <c r="AK1005" i="4"/>
  <c r="AL1005" i="4" s="1"/>
  <c r="AK1011" i="4"/>
  <c r="AL1011" i="4" s="1"/>
  <c r="AK1017" i="4"/>
  <c r="AL1017" i="4" s="1"/>
  <c r="AK1023" i="4"/>
  <c r="AL1023" i="4" s="1"/>
  <c r="AK1029" i="4"/>
  <c r="AL1029" i="4" s="1"/>
  <c r="AK1035" i="4"/>
  <c r="AL1035" i="4" s="1"/>
  <c r="AK1041" i="4"/>
  <c r="AL1041" i="4" s="1"/>
  <c r="AK1047" i="4"/>
  <c r="AL1047" i="4" s="1"/>
  <c r="AK1053" i="4"/>
  <c r="AL1053" i="4" s="1"/>
  <c r="AK1059" i="4"/>
  <c r="AL1059" i="4" s="1"/>
  <c r="AK1065" i="4"/>
  <c r="AL1065" i="4" s="1"/>
  <c r="AK1071" i="4"/>
  <c r="AL1071" i="4" s="1"/>
  <c r="AK1077" i="4"/>
  <c r="AL1077" i="4" s="1"/>
  <c r="AK1083" i="4"/>
  <c r="AL1083" i="4" s="1"/>
  <c r="AK1089" i="4"/>
  <c r="AL1089" i="4" s="1"/>
  <c r="AK1095" i="4"/>
  <c r="AL1095" i="4" s="1"/>
  <c r="AK1101" i="4"/>
  <c r="AL1101" i="4" s="1"/>
  <c r="AK1107" i="4"/>
  <c r="AL1107" i="4" s="1"/>
  <c r="AK1113" i="4"/>
  <c r="AL1113" i="4" s="1"/>
  <c r="AK1119" i="4"/>
  <c r="AL1119" i="4" s="1"/>
  <c r="AK1125" i="4"/>
  <c r="AL1125" i="4" s="1"/>
  <c r="AK1131" i="4"/>
  <c r="AL1131" i="4" s="1"/>
  <c r="AK1137" i="4"/>
  <c r="AL1137" i="4" s="1"/>
  <c r="AK1143" i="4"/>
  <c r="AL1143" i="4" s="1"/>
  <c r="AK1149" i="4"/>
  <c r="AL1149" i="4" s="1"/>
  <c r="AK1155" i="4"/>
  <c r="AL1155" i="4" s="1"/>
  <c r="AK1161" i="4"/>
  <c r="AL1161" i="4" s="1"/>
  <c r="AK1167" i="4"/>
  <c r="AL1167" i="4" s="1"/>
  <c r="AK1173" i="4"/>
  <c r="AL1173" i="4" s="1"/>
  <c r="AK1179" i="4"/>
  <c r="AL1179" i="4" s="1"/>
  <c r="AK1185" i="4"/>
  <c r="AL1185" i="4" s="1"/>
  <c r="AK1191" i="4"/>
  <c r="AL1191" i="4" s="1"/>
  <c r="AK1197" i="4"/>
  <c r="AL1197" i="4" s="1"/>
  <c r="AK1203" i="4"/>
  <c r="AL1203" i="4" s="1"/>
  <c r="AK1209" i="4"/>
  <c r="AL1209" i="4" s="1"/>
  <c r="AK1215" i="4"/>
  <c r="AL1215" i="4" s="1"/>
  <c r="AK1221" i="4"/>
  <c r="AL1221" i="4" s="1"/>
  <c r="AK1227" i="4"/>
  <c r="AL1227" i="4" s="1"/>
  <c r="AK1233" i="4"/>
  <c r="AL1233" i="4" s="1"/>
  <c r="AK1239" i="4"/>
  <c r="AL1239" i="4" s="1"/>
  <c r="AK1245" i="4"/>
  <c r="AL1245" i="4" s="1"/>
  <c r="AK1251" i="4"/>
  <c r="AL1251" i="4" s="1"/>
  <c r="AK1257" i="4"/>
  <c r="AL1257" i="4" s="1"/>
  <c r="AK1263" i="4"/>
  <c r="AL1263" i="4" s="1"/>
  <c r="AK1269" i="4"/>
  <c r="AL1269" i="4" s="1"/>
  <c r="AK1275" i="4"/>
  <c r="AL1275" i="4" s="1"/>
  <c r="AK1281" i="4"/>
  <c r="AL1281" i="4" s="1"/>
  <c r="AK1287" i="4"/>
  <c r="AL1287" i="4" s="1"/>
  <c r="AK1293" i="4"/>
  <c r="AL1293" i="4" s="1"/>
  <c r="AK1299" i="4"/>
  <c r="AL1299" i="4" s="1"/>
  <c r="AK1305" i="4"/>
  <c r="AL1305" i="4" s="1"/>
  <c r="AK1311" i="4"/>
  <c r="AL1311" i="4" s="1"/>
  <c r="AK1317" i="4"/>
  <c r="AL1317" i="4" s="1"/>
  <c r="AK1323" i="4"/>
  <c r="AL1323" i="4" s="1"/>
  <c r="AK1329" i="4"/>
  <c r="AL1329" i="4" s="1"/>
  <c r="AK1335" i="4"/>
  <c r="AL1335" i="4" s="1"/>
  <c r="AK1341" i="4"/>
  <c r="AL1341" i="4" s="1"/>
  <c r="AK1347" i="4"/>
  <c r="AL1347" i="4" s="1"/>
  <c r="AK1353" i="4"/>
  <c r="AL1353" i="4" s="1"/>
  <c r="AK1359" i="4"/>
  <c r="AL1359" i="4" s="1"/>
  <c r="AK1365" i="4"/>
  <c r="AL1365" i="4" s="1"/>
  <c r="AK1371" i="4"/>
  <c r="AL1371" i="4" s="1"/>
  <c r="AK1377" i="4"/>
  <c r="AL1377" i="4" s="1"/>
  <c r="AK1383" i="4"/>
  <c r="AL1383" i="4" s="1"/>
  <c r="AK1389" i="4"/>
  <c r="AL1389" i="4" s="1"/>
  <c r="AK1395" i="4"/>
  <c r="AL1395" i="4" s="1"/>
  <c r="AK1401" i="4"/>
  <c r="AL1401" i="4" s="1"/>
  <c r="AK1407" i="4"/>
  <c r="AL1407" i="4" s="1"/>
  <c r="AK1413" i="4"/>
  <c r="AL1413" i="4" s="1"/>
  <c r="AK1419" i="4"/>
  <c r="AL1419" i="4" s="1"/>
  <c r="AK1425" i="4"/>
  <c r="AL1425" i="4" s="1"/>
  <c r="AK1431" i="4"/>
  <c r="AL1431" i="4" s="1"/>
  <c r="AK1437" i="4"/>
  <c r="AL1437" i="4" s="1"/>
  <c r="AK1443" i="4"/>
  <c r="AL1443" i="4" s="1"/>
  <c r="AK1449" i="4"/>
  <c r="AL1449" i="4" s="1"/>
  <c r="AK1455" i="4"/>
  <c r="AL1455" i="4" s="1"/>
  <c r="AK1461" i="4"/>
  <c r="AL1461" i="4" s="1"/>
  <c r="AK1467" i="4"/>
  <c r="AL1467" i="4" s="1"/>
  <c r="AK1473" i="4"/>
  <c r="AL1473" i="4" s="1"/>
  <c r="AK1479" i="4"/>
  <c r="AL1479" i="4" s="1"/>
  <c r="AK1485" i="4"/>
  <c r="AL1485" i="4" s="1"/>
  <c r="AK1491" i="4"/>
  <c r="AL1491" i="4" s="1"/>
  <c r="AK1497" i="4"/>
  <c r="AL1497" i="4" s="1"/>
  <c r="S220" i="4"/>
  <c r="AK220" i="4"/>
  <c r="AL220" i="4" s="1"/>
  <c r="G220" i="4"/>
  <c r="H220" i="4" s="1"/>
  <c r="AJ634" i="4"/>
  <c r="AJ646" i="4"/>
  <c r="AJ653" i="4"/>
  <c r="AJ659" i="4"/>
  <c r="AJ665" i="4"/>
  <c r="AJ671" i="4"/>
  <c r="AJ677" i="4"/>
  <c r="AJ683" i="4"/>
  <c r="AJ689" i="4"/>
  <c r="AJ695" i="4"/>
  <c r="AJ701" i="4"/>
  <c r="AJ707" i="4"/>
  <c r="AJ713" i="4"/>
  <c r="AJ719" i="4"/>
  <c r="AJ725" i="4"/>
  <c r="AJ731" i="4"/>
  <c r="AJ737" i="4"/>
  <c r="AJ743" i="4"/>
  <c r="AJ749" i="4"/>
  <c r="AJ755" i="4"/>
  <c r="AJ761" i="4"/>
  <c r="AJ767" i="4"/>
  <c r="AJ773" i="4"/>
  <c r="AJ779" i="4"/>
  <c r="AJ785" i="4"/>
  <c r="AJ791" i="4"/>
  <c r="AJ797" i="4"/>
  <c r="AJ803" i="4"/>
  <c r="AJ809" i="4"/>
  <c r="AJ815" i="4"/>
  <c r="AJ821" i="4"/>
  <c r="AJ827" i="4"/>
  <c r="AJ833" i="4"/>
  <c r="AJ839" i="4"/>
  <c r="AJ845" i="4"/>
  <c r="AJ851" i="4"/>
  <c r="AJ857" i="4"/>
  <c r="AJ863" i="4"/>
  <c r="AJ869" i="4"/>
  <c r="AJ875" i="4"/>
  <c r="AJ881" i="4"/>
  <c r="AJ887" i="4"/>
  <c r="AJ893" i="4"/>
  <c r="AJ899" i="4"/>
  <c r="AJ905" i="4"/>
  <c r="AJ911" i="4"/>
  <c r="AJ917" i="4"/>
  <c r="AJ923" i="4"/>
  <c r="AJ929" i="4"/>
  <c r="AJ935" i="4"/>
  <c r="AJ941" i="4"/>
  <c r="AJ947" i="4"/>
  <c r="AJ953" i="4"/>
  <c r="AJ959" i="4"/>
  <c r="AJ965" i="4"/>
  <c r="AJ971" i="4"/>
  <c r="AJ977" i="4"/>
  <c r="AJ983" i="4"/>
  <c r="AJ989" i="4"/>
  <c r="AJ995" i="4"/>
  <c r="AJ1001" i="4"/>
  <c r="AJ1007" i="4"/>
  <c r="AJ1013" i="4"/>
  <c r="AJ1019" i="4"/>
  <c r="AJ1025" i="4"/>
  <c r="AJ1031" i="4"/>
  <c r="AJ1037" i="4"/>
  <c r="AJ1043" i="4"/>
  <c r="AJ1049" i="4"/>
  <c r="AJ1055" i="4"/>
  <c r="AJ1061" i="4"/>
  <c r="AJ1067" i="4"/>
  <c r="AJ1073" i="4"/>
  <c r="AJ1079" i="4"/>
  <c r="AJ1085" i="4"/>
  <c r="AJ1091" i="4"/>
  <c r="AJ1097" i="4"/>
  <c r="AJ1103" i="4"/>
  <c r="AJ1109" i="4"/>
  <c r="AJ1115" i="4"/>
  <c r="AJ1121" i="4"/>
  <c r="AJ1127" i="4"/>
  <c r="AJ1133" i="4"/>
  <c r="AJ1139" i="4"/>
  <c r="AJ1145" i="4"/>
  <c r="AJ1151" i="4"/>
  <c r="AJ1157" i="4"/>
  <c r="AJ1163" i="4"/>
  <c r="AJ1169" i="4"/>
  <c r="AJ1175" i="4"/>
  <c r="AJ1181" i="4"/>
  <c r="AJ1187" i="4"/>
  <c r="AJ1193" i="4"/>
  <c r="AJ1199" i="4"/>
  <c r="AJ1205" i="4"/>
  <c r="AJ1211" i="4"/>
  <c r="AJ1217" i="4"/>
  <c r="AJ1223" i="4"/>
  <c r="AJ1229" i="4"/>
  <c r="AJ1235" i="4"/>
  <c r="AJ1241" i="4"/>
  <c r="AJ1247" i="4"/>
  <c r="AJ1253" i="4"/>
  <c r="AJ1259" i="4"/>
  <c r="AJ1265" i="4"/>
  <c r="AJ1271" i="4"/>
  <c r="AJ1277" i="4"/>
  <c r="AJ1283" i="4"/>
  <c r="AJ1289" i="4"/>
  <c r="AJ1295" i="4"/>
  <c r="AJ1301" i="4"/>
  <c r="AJ1307" i="4"/>
  <c r="AJ1313" i="4"/>
  <c r="AJ1319" i="4"/>
  <c r="AJ1325" i="4"/>
  <c r="AJ1331" i="4"/>
  <c r="AJ1337" i="4"/>
  <c r="AJ1343" i="4"/>
  <c r="AJ1349" i="4"/>
  <c r="AJ1355" i="4"/>
  <c r="AJ1361" i="4"/>
  <c r="AJ1367" i="4"/>
  <c r="AJ1373" i="4"/>
  <c r="AJ1379" i="4"/>
  <c r="AJ1385" i="4"/>
  <c r="AJ1391" i="4"/>
  <c r="AJ1397" i="4"/>
  <c r="AJ1403" i="4"/>
  <c r="AJ1409" i="4"/>
  <c r="AJ1415" i="4"/>
  <c r="AJ1421" i="4"/>
  <c r="AJ1427" i="4"/>
  <c r="AJ1433" i="4"/>
  <c r="AJ1439" i="4"/>
  <c r="AJ1445" i="4"/>
  <c r="AJ1451" i="4"/>
  <c r="AJ1457" i="4"/>
  <c r="AJ1463" i="4"/>
  <c r="AJ1469" i="4"/>
  <c r="AJ1475" i="4"/>
  <c r="AJ1481" i="4"/>
  <c r="AJ1487" i="4"/>
  <c r="AJ1493" i="4"/>
  <c r="AJ1499" i="4"/>
  <c r="AK226" i="4"/>
  <c r="AL226" i="4" s="1"/>
  <c r="AK232" i="4"/>
  <c r="AL232" i="4" s="1"/>
  <c r="AK238" i="4"/>
  <c r="AL238" i="4" s="1"/>
  <c r="AK244" i="4"/>
  <c r="AL244" i="4" s="1"/>
  <c r="AK250" i="4"/>
  <c r="AL250" i="4" s="1"/>
  <c r="AK256" i="4"/>
  <c r="AL256" i="4" s="1"/>
  <c r="AK262" i="4"/>
  <c r="AL262" i="4" s="1"/>
  <c r="AK268" i="4"/>
  <c r="AL268" i="4" s="1"/>
  <c r="AK274" i="4"/>
  <c r="AL274" i="4" s="1"/>
  <c r="AK280" i="4"/>
  <c r="AL280" i="4" s="1"/>
  <c r="AK286" i="4"/>
  <c r="AL286" i="4" s="1"/>
  <c r="AK292" i="4"/>
  <c r="AL292" i="4" s="1"/>
  <c r="AK298" i="4"/>
  <c r="AL298" i="4" s="1"/>
  <c r="AK304" i="4"/>
  <c r="AL304" i="4" s="1"/>
  <c r="AK310" i="4"/>
  <c r="AL310" i="4" s="1"/>
  <c r="AK316" i="4"/>
  <c r="AL316" i="4" s="1"/>
  <c r="AK322" i="4"/>
  <c r="AL322" i="4" s="1"/>
  <c r="AK328" i="4"/>
  <c r="AL328" i="4" s="1"/>
  <c r="AK334" i="4"/>
  <c r="AL334" i="4" s="1"/>
  <c r="AK340" i="4"/>
  <c r="AL340" i="4" s="1"/>
  <c r="AK346" i="4"/>
  <c r="AL346" i="4" s="1"/>
  <c r="AK352" i="4"/>
  <c r="AL352" i="4" s="1"/>
  <c r="AK358" i="4"/>
  <c r="AL358" i="4" s="1"/>
  <c r="AK364" i="4"/>
  <c r="AL364" i="4" s="1"/>
  <c r="AK370" i="4"/>
  <c r="AL370" i="4" s="1"/>
  <c r="AK376" i="4"/>
  <c r="AL376" i="4" s="1"/>
  <c r="AK382" i="4"/>
  <c r="AL382" i="4" s="1"/>
  <c r="AK388" i="4"/>
  <c r="AL388" i="4" s="1"/>
  <c r="AK394" i="4"/>
  <c r="AL394" i="4" s="1"/>
  <c r="AK400" i="4"/>
  <c r="AL400" i="4" s="1"/>
  <c r="AK406" i="4"/>
  <c r="AL406" i="4" s="1"/>
  <c r="AK412" i="4"/>
  <c r="AL412" i="4" s="1"/>
  <c r="AK418" i="4"/>
  <c r="AL418" i="4" s="1"/>
  <c r="AK424" i="4"/>
  <c r="AL424" i="4" s="1"/>
  <c r="AK430" i="4"/>
  <c r="AL430" i="4" s="1"/>
  <c r="AK436" i="4"/>
  <c r="AL436" i="4" s="1"/>
  <c r="AK442" i="4"/>
  <c r="AL442" i="4" s="1"/>
  <c r="AK448" i="4"/>
  <c r="AL448" i="4" s="1"/>
  <c r="AK454" i="4"/>
  <c r="AL454" i="4" s="1"/>
  <c r="AK460" i="4"/>
  <c r="AL460" i="4" s="1"/>
  <c r="AK466" i="4"/>
  <c r="AL466" i="4" s="1"/>
  <c r="AK472" i="4"/>
  <c r="AL472" i="4" s="1"/>
  <c r="AK478" i="4"/>
  <c r="AL478" i="4" s="1"/>
  <c r="AK484" i="4"/>
  <c r="AL484" i="4" s="1"/>
  <c r="AK490" i="4"/>
  <c r="AL490" i="4" s="1"/>
  <c r="AK496" i="4"/>
  <c r="AL496" i="4" s="1"/>
  <c r="AK502" i="4"/>
  <c r="AL502" i="4" s="1"/>
  <c r="AK508" i="4"/>
  <c r="AL508" i="4" s="1"/>
  <c r="AK514" i="4"/>
  <c r="AL514" i="4" s="1"/>
  <c r="AK520" i="4"/>
  <c r="AL520" i="4" s="1"/>
  <c r="AK526" i="4"/>
  <c r="AL526" i="4" s="1"/>
  <c r="AK532" i="4"/>
  <c r="AL532" i="4" s="1"/>
  <c r="AK538" i="4"/>
  <c r="AL538" i="4" s="1"/>
  <c r="AK544" i="4"/>
  <c r="AL544" i="4" s="1"/>
  <c r="AK550" i="4"/>
  <c r="AL550" i="4" s="1"/>
  <c r="AK556" i="4"/>
  <c r="AL556" i="4" s="1"/>
  <c r="AK562" i="4"/>
  <c r="AL562" i="4" s="1"/>
  <c r="AK568" i="4"/>
  <c r="AL568" i="4" s="1"/>
  <c r="AK574" i="4"/>
  <c r="AL574" i="4" s="1"/>
  <c r="AK580" i="4"/>
  <c r="AL580" i="4" s="1"/>
  <c r="AK586" i="4"/>
  <c r="AL586" i="4" s="1"/>
  <c r="AK592" i="4"/>
  <c r="AL592" i="4" s="1"/>
  <c r="AK598" i="4"/>
  <c r="AL598" i="4" s="1"/>
  <c r="AK604" i="4"/>
  <c r="AL604" i="4" s="1"/>
  <c r="AK610" i="4"/>
  <c r="AL610" i="4" s="1"/>
  <c r="AK616" i="4"/>
  <c r="AL616" i="4" s="1"/>
  <c r="AK622" i="4"/>
  <c r="AL622" i="4" s="1"/>
  <c r="AK628" i="4"/>
  <c r="AL628" i="4" s="1"/>
  <c r="AK634" i="4"/>
  <c r="AL634" i="4" s="1"/>
  <c r="AK640" i="4"/>
  <c r="AL640" i="4" s="1"/>
  <c r="AK646" i="4"/>
  <c r="AL646" i="4" s="1"/>
  <c r="AK652" i="4"/>
  <c r="AL652" i="4" s="1"/>
  <c r="AK658" i="4"/>
  <c r="AL658" i="4" s="1"/>
  <c r="AK664" i="4"/>
  <c r="AL664" i="4" s="1"/>
  <c r="AK670" i="4"/>
  <c r="AL670" i="4" s="1"/>
  <c r="AK676" i="4"/>
  <c r="AL676" i="4" s="1"/>
  <c r="AK682" i="4"/>
  <c r="AL682" i="4" s="1"/>
  <c r="AK688" i="4"/>
  <c r="AL688" i="4" s="1"/>
  <c r="AK694" i="4"/>
  <c r="AL694" i="4" s="1"/>
  <c r="AK700" i="4"/>
  <c r="AL700" i="4" s="1"/>
  <c r="AK706" i="4"/>
  <c r="AL706" i="4" s="1"/>
  <c r="AK712" i="4"/>
  <c r="AL712" i="4" s="1"/>
  <c r="AK718" i="4"/>
  <c r="AL718" i="4" s="1"/>
  <c r="AK724" i="4"/>
  <c r="AL724" i="4" s="1"/>
  <c r="AK730" i="4"/>
  <c r="AL730" i="4" s="1"/>
  <c r="AK736" i="4"/>
  <c r="AL736" i="4" s="1"/>
  <c r="AK742" i="4"/>
  <c r="AL742" i="4" s="1"/>
  <c r="AK748" i="4"/>
  <c r="AL748" i="4" s="1"/>
  <c r="AK754" i="4"/>
  <c r="AL754" i="4" s="1"/>
  <c r="AK760" i="4"/>
  <c r="AL760" i="4" s="1"/>
  <c r="AK766" i="4"/>
  <c r="AL766" i="4" s="1"/>
  <c r="AK772" i="4"/>
  <c r="AL772" i="4" s="1"/>
  <c r="AK778" i="4"/>
  <c r="AL778" i="4" s="1"/>
  <c r="AK784" i="4"/>
  <c r="AL784" i="4" s="1"/>
  <c r="AK790" i="4"/>
  <c r="AL790" i="4" s="1"/>
  <c r="AK796" i="4"/>
  <c r="AL796" i="4" s="1"/>
  <c r="AK802" i="4"/>
  <c r="AL802" i="4" s="1"/>
  <c r="AK808" i="4"/>
  <c r="AL808" i="4" s="1"/>
  <c r="AK814" i="4"/>
  <c r="AL814" i="4" s="1"/>
  <c r="AK820" i="4"/>
  <c r="AL820" i="4" s="1"/>
  <c r="AK826" i="4"/>
  <c r="AL826" i="4" s="1"/>
  <c r="AK832" i="4"/>
  <c r="AL832" i="4" s="1"/>
  <c r="AK838" i="4"/>
  <c r="AL838" i="4" s="1"/>
  <c r="AK844" i="4"/>
  <c r="AL844" i="4" s="1"/>
  <c r="AK850" i="4"/>
  <c r="AL850" i="4" s="1"/>
  <c r="AK856" i="4"/>
  <c r="AL856" i="4" s="1"/>
  <c r="AK862" i="4"/>
  <c r="AL862" i="4" s="1"/>
  <c r="AK868" i="4"/>
  <c r="AL868" i="4" s="1"/>
  <c r="AK874" i="4"/>
  <c r="AL874" i="4" s="1"/>
  <c r="AK880" i="4"/>
  <c r="AL880" i="4" s="1"/>
  <c r="AK886" i="4"/>
  <c r="AL886" i="4" s="1"/>
  <c r="AK892" i="4"/>
  <c r="AL892" i="4" s="1"/>
  <c r="AK898" i="4"/>
  <c r="AL898" i="4" s="1"/>
  <c r="AK904" i="4"/>
  <c r="AL904" i="4" s="1"/>
  <c r="AK910" i="4"/>
  <c r="AL910" i="4" s="1"/>
  <c r="AK916" i="4"/>
  <c r="AL916" i="4" s="1"/>
  <c r="AK922" i="4"/>
  <c r="AL922" i="4" s="1"/>
  <c r="AK928" i="4"/>
  <c r="AL928" i="4" s="1"/>
  <c r="AK934" i="4"/>
  <c r="AL934" i="4" s="1"/>
  <c r="AK940" i="4"/>
  <c r="AL940" i="4" s="1"/>
  <c r="AK946" i="4"/>
  <c r="AL946" i="4" s="1"/>
  <c r="AK952" i="4"/>
  <c r="AL952" i="4" s="1"/>
  <c r="AK958" i="4"/>
  <c r="AL958" i="4" s="1"/>
  <c r="AK964" i="4"/>
  <c r="AL964" i="4" s="1"/>
  <c r="AK970" i="4"/>
  <c r="AL970" i="4" s="1"/>
  <c r="AK976" i="4"/>
  <c r="AL976" i="4" s="1"/>
  <c r="AK982" i="4"/>
  <c r="AL982" i="4" s="1"/>
  <c r="AK988" i="4"/>
  <c r="AL988" i="4" s="1"/>
  <c r="AK994" i="4"/>
  <c r="AL994" i="4" s="1"/>
  <c r="AK1000" i="4"/>
  <c r="AL1000" i="4" s="1"/>
  <c r="AK1006" i="4"/>
  <c r="AL1006" i="4" s="1"/>
  <c r="AK1012" i="4"/>
  <c r="AL1012" i="4" s="1"/>
  <c r="AK1018" i="4"/>
  <c r="AL1018" i="4" s="1"/>
  <c r="AK1024" i="4"/>
  <c r="AL1024" i="4" s="1"/>
  <c r="AK1030" i="4"/>
  <c r="AL1030" i="4" s="1"/>
  <c r="AK1036" i="4"/>
  <c r="AL1036" i="4" s="1"/>
  <c r="AK1042" i="4"/>
  <c r="AL1042" i="4" s="1"/>
  <c r="AK1048" i="4"/>
  <c r="AL1048" i="4" s="1"/>
  <c r="AK1054" i="4"/>
  <c r="AL1054" i="4" s="1"/>
  <c r="AK1060" i="4"/>
  <c r="AL1060" i="4" s="1"/>
  <c r="AK1066" i="4"/>
  <c r="AL1066" i="4" s="1"/>
  <c r="AK1072" i="4"/>
  <c r="AL1072" i="4" s="1"/>
  <c r="AK1078" i="4"/>
  <c r="AL1078" i="4" s="1"/>
  <c r="AK1084" i="4"/>
  <c r="AL1084" i="4" s="1"/>
  <c r="AK1090" i="4"/>
  <c r="AL1090" i="4" s="1"/>
  <c r="AK1096" i="4"/>
  <c r="AL1096" i="4" s="1"/>
  <c r="AK1102" i="4"/>
  <c r="AL1102" i="4" s="1"/>
  <c r="AK1108" i="4"/>
  <c r="AL1108" i="4" s="1"/>
  <c r="AK1114" i="4"/>
  <c r="AL1114" i="4" s="1"/>
  <c r="AK1120" i="4"/>
  <c r="AL1120" i="4" s="1"/>
  <c r="AK1126" i="4"/>
  <c r="AL1126" i="4" s="1"/>
  <c r="AK1132" i="4"/>
  <c r="AL1132" i="4" s="1"/>
  <c r="AK1138" i="4"/>
  <c r="AL1138" i="4" s="1"/>
  <c r="AK1144" i="4"/>
  <c r="AL1144" i="4" s="1"/>
  <c r="AK1150" i="4"/>
  <c r="AL1150" i="4" s="1"/>
  <c r="AK1156" i="4"/>
  <c r="AL1156" i="4" s="1"/>
  <c r="AK1162" i="4"/>
  <c r="AL1162" i="4" s="1"/>
  <c r="AK1168" i="4"/>
  <c r="AL1168" i="4" s="1"/>
  <c r="AK1174" i="4"/>
  <c r="AL1174" i="4" s="1"/>
  <c r="AK1180" i="4"/>
  <c r="AL1180" i="4" s="1"/>
  <c r="AK1186" i="4"/>
  <c r="AL1186" i="4" s="1"/>
  <c r="AK1192" i="4"/>
  <c r="AL1192" i="4" s="1"/>
  <c r="AK1198" i="4"/>
  <c r="AL1198" i="4" s="1"/>
  <c r="AK1204" i="4"/>
  <c r="AL1204" i="4" s="1"/>
  <c r="AK1210" i="4"/>
  <c r="AL1210" i="4" s="1"/>
  <c r="AK1216" i="4"/>
  <c r="AL1216" i="4" s="1"/>
  <c r="AK1222" i="4"/>
  <c r="AL1222" i="4" s="1"/>
  <c r="AK1228" i="4"/>
  <c r="AL1228" i="4" s="1"/>
  <c r="AK1234" i="4"/>
  <c r="AL1234" i="4" s="1"/>
  <c r="AK1240" i="4"/>
  <c r="AL1240" i="4" s="1"/>
  <c r="AK1246" i="4"/>
  <c r="AL1246" i="4" s="1"/>
  <c r="AK1252" i="4"/>
  <c r="AL1252" i="4" s="1"/>
  <c r="AK1258" i="4"/>
  <c r="AL1258" i="4" s="1"/>
  <c r="AK1264" i="4"/>
  <c r="AL1264" i="4" s="1"/>
  <c r="AK1270" i="4"/>
  <c r="AL1270" i="4" s="1"/>
  <c r="AK1276" i="4"/>
  <c r="AL1276" i="4" s="1"/>
  <c r="AK1282" i="4"/>
  <c r="AL1282" i="4" s="1"/>
  <c r="AK1288" i="4"/>
  <c r="AL1288" i="4" s="1"/>
  <c r="AK1294" i="4"/>
  <c r="AL1294" i="4" s="1"/>
  <c r="AK1300" i="4"/>
  <c r="AL1300" i="4" s="1"/>
  <c r="AK1306" i="4"/>
  <c r="AL1306" i="4" s="1"/>
  <c r="AK1312" i="4"/>
  <c r="AL1312" i="4" s="1"/>
  <c r="AK1318" i="4"/>
  <c r="AL1318" i="4" s="1"/>
  <c r="AK1324" i="4"/>
  <c r="AL1324" i="4" s="1"/>
  <c r="AK1330" i="4"/>
  <c r="AL1330" i="4" s="1"/>
  <c r="AK1336" i="4"/>
  <c r="AL1336" i="4" s="1"/>
  <c r="AK1342" i="4"/>
  <c r="AL1342" i="4" s="1"/>
  <c r="AK1348" i="4"/>
  <c r="AL1348" i="4" s="1"/>
  <c r="AK1354" i="4"/>
  <c r="AL1354" i="4" s="1"/>
  <c r="AK1360" i="4"/>
  <c r="AL1360" i="4" s="1"/>
  <c r="AK1366" i="4"/>
  <c r="AL1366" i="4" s="1"/>
  <c r="AK1372" i="4"/>
  <c r="AL1372" i="4" s="1"/>
  <c r="AK1378" i="4"/>
  <c r="AL1378" i="4" s="1"/>
  <c r="AK1384" i="4"/>
  <c r="AL1384" i="4" s="1"/>
  <c r="AK1390" i="4"/>
  <c r="AL1390" i="4" s="1"/>
  <c r="AK1396" i="4"/>
  <c r="AL1396" i="4" s="1"/>
  <c r="AK1402" i="4"/>
  <c r="AL1402" i="4" s="1"/>
  <c r="AK1408" i="4"/>
  <c r="AL1408" i="4" s="1"/>
  <c r="AK1414" i="4"/>
  <c r="AL1414" i="4" s="1"/>
  <c r="AK1420" i="4"/>
  <c r="AL1420" i="4" s="1"/>
  <c r="AK1426" i="4"/>
  <c r="AL1426" i="4" s="1"/>
  <c r="AK1432" i="4"/>
  <c r="AL1432" i="4" s="1"/>
  <c r="AK1438" i="4"/>
  <c r="AL1438" i="4" s="1"/>
  <c r="AK1444" i="4"/>
  <c r="AL1444" i="4" s="1"/>
  <c r="AK1450" i="4"/>
  <c r="AL1450" i="4" s="1"/>
  <c r="AK1456" i="4"/>
  <c r="AL1456" i="4" s="1"/>
  <c r="AK1462" i="4"/>
  <c r="AL1462" i="4" s="1"/>
  <c r="AK1468" i="4"/>
  <c r="AL1468" i="4" s="1"/>
  <c r="AK1474" i="4"/>
  <c r="AL1474" i="4" s="1"/>
  <c r="AK1480" i="4"/>
  <c r="AL1480" i="4" s="1"/>
  <c r="AK1486" i="4"/>
  <c r="AL1486" i="4" s="1"/>
  <c r="AK1492" i="4"/>
  <c r="AL1492" i="4" s="1"/>
  <c r="AK1498" i="4"/>
  <c r="AL1498" i="4" s="1"/>
  <c r="AJ636" i="4"/>
  <c r="AJ647" i="4"/>
  <c r="AJ654" i="4"/>
  <c r="AJ660" i="4"/>
  <c r="AJ666" i="4"/>
  <c r="AJ672" i="4"/>
  <c r="AJ678" i="4"/>
  <c r="AJ684" i="4"/>
  <c r="AJ690" i="4"/>
  <c r="AJ696" i="4"/>
  <c r="AJ702" i="4"/>
  <c r="AJ708" i="4"/>
  <c r="AJ714" i="4"/>
  <c r="AJ720" i="4"/>
  <c r="AJ726" i="4"/>
  <c r="AJ732" i="4"/>
  <c r="AJ738" i="4"/>
  <c r="AJ744" i="4"/>
  <c r="AJ750" i="4"/>
  <c r="AJ756" i="4"/>
  <c r="AJ762" i="4"/>
  <c r="AJ768" i="4"/>
  <c r="AJ774" i="4"/>
  <c r="AJ780" i="4"/>
  <c r="AJ786" i="4"/>
  <c r="AJ792" i="4"/>
  <c r="AJ798" i="4"/>
  <c r="AJ804" i="4"/>
  <c r="AJ810" i="4"/>
  <c r="AJ816" i="4"/>
  <c r="AJ822" i="4"/>
  <c r="AJ828" i="4"/>
  <c r="AJ834" i="4"/>
  <c r="AJ840" i="4"/>
  <c r="AJ846" i="4"/>
  <c r="AJ852" i="4"/>
  <c r="AJ858" i="4"/>
  <c r="AJ864" i="4"/>
  <c r="AJ870" i="4"/>
  <c r="AJ876" i="4"/>
  <c r="AJ882" i="4"/>
  <c r="AJ888" i="4"/>
  <c r="AJ894" i="4"/>
  <c r="AJ900" i="4"/>
  <c r="AJ906" i="4"/>
  <c r="AJ912" i="4"/>
  <c r="AJ918" i="4"/>
  <c r="AJ924" i="4"/>
  <c r="AJ930" i="4"/>
  <c r="AJ936" i="4"/>
  <c r="AJ942" i="4"/>
  <c r="AJ948" i="4"/>
  <c r="AJ954" i="4"/>
  <c r="AJ960" i="4"/>
  <c r="AJ966" i="4"/>
  <c r="AJ972" i="4"/>
  <c r="AJ978" i="4"/>
  <c r="AJ984" i="4"/>
  <c r="AJ990" i="4"/>
  <c r="AJ996" i="4"/>
  <c r="AJ1002" i="4"/>
  <c r="AJ1008" i="4"/>
  <c r="AJ1014" i="4"/>
  <c r="AJ1020" i="4"/>
  <c r="AJ1026" i="4"/>
  <c r="AJ1032" i="4"/>
  <c r="AJ1038" i="4"/>
  <c r="AJ1044" i="4"/>
  <c r="AJ1050" i="4"/>
  <c r="AJ1056" i="4"/>
  <c r="AJ1062" i="4"/>
  <c r="AJ1068" i="4"/>
  <c r="AJ1074" i="4"/>
  <c r="AJ1080" i="4"/>
  <c r="AJ1086" i="4"/>
  <c r="AJ1092" i="4"/>
  <c r="AJ1098" i="4"/>
  <c r="AJ1104" i="4"/>
  <c r="AJ1110" i="4"/>
  <c r="AJ1116" i="4"/>
  <c r="AJ1122" i="4"/>
  <c r="AJ1128" i="4"/>
  <c r="AJ1134" i="4"/>
  <c r="AJ1140" i="4"/>
  <c r="AJ1146" i="4"/>
  <c r="AJ1152" i="4"/>
  <c r="AJ1158" i="4"/>
  <c r="AJ1164" i="4"/>
  <c r="AJ1170" i="4"/>
  <c r="AJ1176" i="4"/>
  <c r="AJ1182" i="4"/>
  <c r="AJ1188" i="4"/>
  <c r="AJ1194" i="4"/>
  <c r="AJ1200" i="4"/>
  <c r="AJ1206" i="4"/>
  <c r="AJ1212" i="4"/>
  <c r="AJ1218" i="4"/>
  <c r="AJ1224" i="4"/>
  <c r="AJ1230" i="4"/>
  <c r="AJ1236" i="4"/>
  <c r="AJ1242" i="4"/>
  <c r="AJ1248" i="4"/>
  <c r="AJ1254" i="4"/>
  <c r="AJ1260" i="4"/>
  <c r="AJ1266" i="4"/>
  <c r="AJ1272" i="4"/>
  <c r="AJ1278" i="4"/>
  <c r="AJ1284" i="4"/>
  <c r="AJ1290" i="4"/>
  <c r="AJ1296" i="4"/>
  <c r="AJ1302" i="4"/>
  <c r="AJ1308" i="4"/>
  <c r="AJ1314" i="4"/>
  <c r="AJ1320" i="4"/>
  <c r="AJ1326" i="4"/>
  <c r="AJ1332" i="4"/>
  <c r="AJ1338" i="4"/>
  <c r="AJ1344" i="4"/>
  <c r="AJ1350" i="4"/>
  <c r="AJ1356" i="4"/>
  <c r="AJ1362" i="4"/>
  <c r="AJ1368" i="4"/>
  <c r="AJ1374" i="4"/>
  <c r="AJ1380" i="4"/>
  <c r="AJ1386" i="4"/>
  <c r="AJ1392" i="4"/>
  <c r="AJ1398" i="4"/>
  <c r="AJ1404" i="4"/>
  <c r="AJ1410" i="4"/>
  <c r="AJ1416" i="4"/>
  <c r="AJ1422" i="4"/>
  <c r="AJ1428" i="4"/>
  <c r="AJ1434" i="4"/>
  <c r="AJ1440" i="4"/>
  <c r="AJ1446" i="4"/>
  <c r="AJ1452" i="4"/>
  <c r="AJ1458" i="4"/>
  <c r="AJ1464" i="4"/>
  <c r="AJ1470" i="4"/>
  <c r="AJ1476" i="4"/>
  <c r="AJ1482" i="4"/>
  <c r="AJ1488" i="4"/>
  <c r="AJ1494" i="4"/>
  <c r="AK221" i="4"/>
  <c r="AL221" i="4" s="1"/>
  <c r="AK227" i="4"/>
  <c r="AL227" i="4" s="1"/>
  <c r="AK233" i="4"/>
  <c r="AL233" i="4" s="1"/>
  <c r="AK239" i="4"/>
  <c r="AL239" i="4" s="1"/>
  <c r="AK245" i="4"/>
  <c r="AL245" i="4" s="1"/>
  <c r="AK251" i="4"/>
  <c r="AL251" i="4" s="1"/>
  <c r="AK257" i="4"/>
  <c r="AL257" i="4" s="1"/>
  <c r="AK263" i="4"/>
  <c r="AL263" i="4" s="1"/>
  <c r="AK269" i="4"/>
  <c r="AL269" i="4" s="1"/>
  <c r="AK275" i="4"/>
  <c r="AL275" i="4" s="1"/>
  <c r="AK281" i="4"/>
  <c r="AL281" i="4" s="1"/>
  <c r="AK287" i="4"/>
  <c r="AL287" i="4" s="1"/>
  <c r="AK293" i="4"/>
  <c r="AL293" i="4" s="1"/>
  <c r="AK299" i="4"/>
  <c r="AL299" i="4" s="1"/>
  <c r="AK305" i="4"/>
  <c r="AL305" i="4" s="1"/>
  <c r="AK311" i="4"/>
  <c r="AL311" i="4" s="1"/>
  <c r="AK317" i="4"/>
  <c r="AL317" i="4" s="1"/>
  <c r="AK323" i="4"/>
  <c r="AL323" i="4" s="1"/>
  <c r="AK329" i="4"/>
  <c r="AL329" i="4" s="1"/>
  <c r="AK335" i="4"/>
  <c r="AL335" i="4" s="1"/>
  <c r="AK341" i="4"/>
  <c r="AL341" i="4" s="1"/>
  <c r="AK347" i="4"/>
  <c r="AL347" i="4" s="1"/>
  <c r="AK353" i="4"/>
  <c r="AL353" i="4" s="1"/>
  <c r="AK359" i="4"/>
  <c r="AL359" i="4" s="1"/>
  <c r="AK365" i="4"/>
  <c r="AL365" i="4" s="1"/>
  <c r="AK371" i="4"/>
  <c r="AL371" i="4" s="1"/>
  <c r="AK377" i="4"/>
  <c r="AL377" i="4" s="1"/>
  <c r="AK383" i="4"/>
  <c r="AL383" i="4" s="1"/>
  <c r="AK389" i="4"/>
  <c r="AL389" i="4" s="1"/>
  <c r="AK395" i="4"/>
  <c r="AL395" i="4" s="1"/>
  <c r="AK401" i="4"/>
  <c r="AL401" i="4" s="1"/>
  <c r="AK407" i="4"/>
  <c r="AL407" i="4" s="1"/>
  <c r="AK413" i="4"/>
  <c r="AL413" i="4" s="1"/>
  <c r="AK419" i="4"/>
  <c r="AL419" i="4" s="1"/>
  <c r="AK425" i="4"/>
  <c r="AL425" i="4" s="1"/>
  <c r="AK431" i="4"/>
  <c r="AL431" i="4" s="1"/>
  <c r="AK437" i="4"/>
  <c r="AL437" i="4" s="1"/>
  <c r="AK443" i="4"/>
  <c r="AL443" i="4" s="1"/>
  <c r="AK449" i="4"/>
  <c r="AL449" i="4" s="1"/>
  <c r="AK455" i="4"/>
  <c r="AL455" i="4" s="1"/>
  <c r="AK461" i="4"/>
  <c r="AL461" i="4" s="1"/>
  <c r="AK467" i="4"/>
  <c r="AL467" i="4" s="1"/>
  <c r="AK473" i="4"/>
  <c r="AL473" i="4" s="1"/>
  <c r="AK479" i="4"/>
  <c r="AL479" i="4" s="1"/>
  <c r="AK485" i="4"/>
  <c r="AL485" i="4" s="1"/>
  <c r="AK491" i="4"/>
  <c r="AL491" i="4" s="1"/>
  <c r="AK497" i="4"/>
  <c r="AL497" i="4" s="1"/>
  <c r="AK503" i="4"/>
  <c r="AL503" i="4" s="1"/>
  <c r="AK509" i="4"/>
  <c r="AL509" i="4" s="1"/>
  <c r="AK515" i="4"/>
  <c r="AL515" i="4" s="1"/>
  <c r="AK521" i="4"/>
  <c r="AL521" i="4" s="1"/>
  <c r="AK527" i="4"/>
  <c r="AL527" i="4" s="1"/>
  <c r="AK533" i="4"/>
  <c r="AL533" i="4" s="1"/>
  <c r="AK539" i="4"/>
  <c r="AL539" i="4" s="1"/>
  <c r="AK545" i="4"/>
  <c r="AL545" i="4" s="1"/>
  <c r="AK551" i="4"/>
  <c r="AL551" i="4" s="1"/>
  <c r="AK557" i="4"/>
  <c r="AL557" i="4" s="1"/>
  <c r="AK563" i="4"/>
  <c r="AL563" i="4" s="1"/>
  <c r="AK569" i="4"/>
  <c r="AL569" i="4" s="1"/>
  <c r="AK575" i="4"/>
  <c r="AL575" i="4" s="1"/>
  <c r="AK581" i="4"/>
  <c r="AL581" i="4" s="1"/>
  <c r="AK587" i="4"/>
  <c r="AL587" i="4" s="1"/>
  <c r="AK593" i="4"/>
  <c r="AL593" i="4" s="1"/>
  <c r="AK599" i="4"/>
  <c r="AL599" i="4" s="1"/>
  <c r="AK605" i="4"/>
  <c r="AL605" i="4" s="1"/>
  <c r="AK611" i="4"/>
  <c r="AL611" i="4" s="1"/>
  <c r="AK617" i="4"/>
  <c r="AL617" i="4" s="1"/>
  <c r="AK623" i="4"/>
  <c r="AL623" i="4" s="1"/>
  <c r="AK629" i="4"/>
  <c r="AL629" i="4" s="1"/>
  <c r="AK635" i="4"/>
  <c r="AL635" i="4" s="1"/>
  <c r="AK641" i="4"/>
  <c r="AL641" i="4" s="1"/>
  <c r="AK647" i="4"/>
  <c r="AL647" i="4" s="1"/>
  <c r="AK653" i="4"/>
  <c r="AL653" i="4" s="1"/>
  <c r="AK659" i="4"/>
  <c r="AL659" i="4" s="1"/>
  <c r="AK665" i="4"/>
  <c r="AL665" i="4" s="1"/>
  <c r="AK671" i="4"/>
  <c r="AL671" i="4" s="1"/>
  <c r="AK677" i="4"/>
  <c r="AL677" i="4" s="1"/>
  <c r="AK683" i="4"/>
  <c r="AL683" i="4" s="1"/>
  <c r="AK689" i="4"/>
  <c r="AL689" i="4" s="1"/>
  <c r="AK695" i="4"/>
  <c r="AL695" i="4" s="1"/>
  <c r="AK701" i="4"/>
  <c r="AL701" i="4" s="1"/>
  <c r="AK707" i="4"/>
  <c r="AL707" i="4" s="1"/>
  <c r="AK713" i="4"/>
  <c r="AL713" i="4" s="1"/>
  <c r="AK719" i="4"/>
  <c r="AL719" i="4" s="1"/>
  <c r="AK725" i="4"/>
  <c r="AL725" i="4" s="1"/>
  <c r="AK731" i="4"/>
  <c r="AL731" i="4" s="1"/>
  <c r="AK737" i="4"/>
  <c r="AL737" i="4" s="1"/>
  <c r="AK743" i="4"/>
  <c r="AL743" i="4" s="1"/>
  <c r="AK749" i="4"/>
  <c r="AL749" i="4" s="1"/>
  <c r="AK755" i="4"/>
  <c r="AL755" i="4" s="1"/>
  <c r="AK761" i="4"/>
  <c r="AL761" i="4" s="1"/>
  <c r="AK767" i="4"/>
  <c r="AL767" i="4" s="1"/>
  <c r="AK773" i="4"/>
  <c r="AL773" i="4" s="1"/>
  <c r="AK779" i="4"/>
  <c r="AL779" i="4" s="1"/>
  <c r="AK785" i="4"/>
  <c r="AL785" i="4" s="1"/>
  <c r="AK791" i="4"/>
  <c r="AL791" i="4" s="1"/>
  <c r="AK797" i="4"/>
  <c r="AL797" i="4" s="1"/>
  <c r="AK803" i="4"/>
  <c r="AL803" i="4" s="1"/>
  <c r="AK809" i="4"/>
  <c r="AL809" i="4" s="1"/>
  <c r="AK815" i="4"/>
  <c r="AL815" i="4" s="1"/>
  <c r="AK821" i="4"/>
  <c r="AL821" i="4" s="1"/>
  <c r="AK827" i="4"/>
  <c r="AL827" i="4" s="1"/>
  <c r="AK833" i="4"/>
  <c r="AL833" i="4" s="1"/>
  <c r="AK839" i="4"/>
  <c r="AL839" i="4" s="1"/>
  <c r="AK845" i="4"/>
  <c r="AL845" i="4" s="1"/>
  <c r="AK851" i="4"/>
  <c r="AL851" i="4" s="1"/>
  <c r="AK857" i="4"/>
  <c r="AL857" i="4" s="1"/>
  <c r="AK863" i="4"/>
  <c r="AL863" i="4" s="1"/>
  <c r="AK869" i="4"/>
  <c r="AL869" i="4" s="1"/>
  <c r="AK875" i="4"/>
  <c r="AL875" i="4" s="1"/>
  <c r="AK881" i="4"/>
  <c r="AL881" i="4" s="1"/>
  <c r="AK887" i="4"/>
  <c r="AL887" i="4" s="1"/>
  <c r="AK893" i="4"/>
  <c r="AL893" i="4" s="1"/>
  <c r="AK899" i="4"/>
  <c r="AL899" i="4" s="1"/>
  <c r="AK905" i="4"/>
  <c r="AL905" i="4" s="1"/>
  <c r="AK911" i="4"/>
  <c r="AL911" i="4" s="1"/>
  <c r="AK917" i="4"/>
  <c r="AL917" i="4" s="1"/>
  <c r="AK923" i="4"/>
  <c r="AL923" i="4" s="1"/>
  <c r="AK929" i="4"/>
  <c r="AL929" i="4" s="1"/>
  <c r="AK935" i="4"/>
  <c r="AL935" i="4" s="1"/>
  <c r="AK941" i="4"/>
  <c r="AL941" i="4" s="1"/>
  <c r="AK947" i="4"/>
  <c r="AL947" i="4" s="1"/>
  <c r="AK953" i="4"/>
  <c r="AL953" i="4" s="1"/>
  <c r="AK959" i="4"/>
  <c r="AL959" i="4" s="1"/>
  <c r="AK965" i="4"/>
  <c r="AL965" i="4" s="1"/>
  <c r="AK971" i="4"/>
  <c r="AL971" i="4" s="1"/>
  <c r="AK977" i="4"/>
  <c r="AL977" i="4" s="1"/>
  <c r="AK983" i="4"/>
  <c r="AL983" i="4" s="1"/>
  <c r="AK989" i="4"/>
  <c r="AL989" i="4" s="1"/>
  <c r="AK995" i="4"/>
  <c r="AL995" i="4" s="1"/>
  <c r="AK1001" i="4"/>
  <c r="AL1001" i="4" s="1"/>
  <c r="AK1007" i="4"/>
  <c r="AL1007" i="4" s="1"/>
  <c r="AK1013" i="4"/>
  <c r="AL1013" i="4" s="1"/>
  <c r="AK1019" i="4"/>
  <c r="AL1019" i="4" s="1"/>
  <c r="AK1025" i="4"/>
  <c r="AL1025" i="4" s="1"/>
  <c r="AK1031" i="4"/>
  <c r="AL1031" i="4" s="1"/>
  <c r="AK1037" i="4"/>
  <c r="AL1037" i="4" s="1"/>
  <c r="AK1043" i="4"/>
  <c r="AL1043" i="4" s="1"/>
  <c r="AK1049" i="4"/>
  <c r="AL1049" i="4" s="1"/>
  <c r="AK1055" i="4"/>
  <c r="AL1055" i="4" s="1"/>
  <c r="AK1061" i="4"/>
  <c r="AL1061" i="4" s="1"/>
  <c r="AK1067" i="4"/>
  <c r="AL1067" i="4" s="1"/>
  <c r="AK1073" i="4"/>
  <c r="AL1073" i="4" s="1"/>
  <c r="AK1079" i="4"/>
  <c r="AL1079" i="4" s="1"/>
  <c r="AK1085" i="4"/>
  <c r="AL1085" i="4" s="1"/>
  <c r="AK1091" i="4"/>
  <c r="AL1091" i="4" s="1"/>
  <c r="AK1097" i="4"/>
  <c r="AL1097" i="4" s="1"/>
  <c r="AK1103" i="4"/>
  <c r="AL1103" i="4" s="1"/>
  <c r="AK1109" i="4"/>
  <c r="AL1109" i="4" s="1"/>
  <c r="AK1115" i="4"/>
  <c r="AL1115" i="4" s="1"/>
  <c r="AK1121" i="4"/>
  <c r="AL1121" i="4" s="1"/>
  <c r="AK1127" i="4"/>
  <c r="AL1127" i="4" s="1"/>
  <c r="AK1133" i="4"/>
  <c r="AL1133" i="4" s="1"/>
  <c r="AK1139" i="4"/>
  <c r="AL1139" i="4" s="1"/>
  <c r="AK1145" i="4"/>
  <c r="AL1145" i="4" s="1"/>
  <c r="AK1151" i="4"/>
  <c r="AL1151" i="4" s="1"/>
  <c r="AK1157" i="4"/>
  <c r="AL1157" i="4" s="1"/>
  <c r="AK1163" i="4"/>
  <c r="AL1163" i="4" s="1"/>
  <c r="AK1169" i="4"/>
  <c r="AL1169" i="4" s="1"/>
  <c r="AK1175" i="4"/>
  <c r="AL1175" i="4" s="1"/>
  <c r="AK1181" i="4"/>
  <c r="AL1181" i="4" s="1"/>
  <c r="AK1187" i="4"/>
  <c r="AL1187" i="4" s="1"/>
  <c r="AK1193" i="4"/>
  <c r="AL1193" i="4" s="1"/>
  <c r="AK1199" i="4"/>
  <c r="AL1199" i="4" s="1"/>
  <c r="AK1205" i="4"/>
  <c r="AL1205" i="4" s="1"/>
  <c r="AK1211" i="4"/>
  <c r="AL1211" i="4" s="1"/>
  <c r="AK1217" i="4"/>
  <c r="AL1217" i="4" s="1"/>
  <c r="AK1223" i="4"/>
  <c r="AL1223" i="4" s="1"/>
  <c r="AK1229" i="4"/>
  <c r="AL1229" i="4" s="1"/>
  <c r="AK1235" i="4"/>
  <c r="AL1235" i="4" s="1"/>
  <c r="AK1241" i="4"/>
  <c r="AL1241" i="4" s="1"/>
  <c r="AK1247" i="4"/>
  <c r="AL1247" i="4" s="1"/>
  <c r="AK1253" i="4"/>
  <c r="AL1253" i="4" s="1"/>
  <c r="AK1259" i="4"/>
  <c r="AL1259" i="4" s="1"/>
  <c r="AK1265" i="4"/>
  <c r="AL1265" i="4" s="1"/>
  <c r="AK1271" i="4"/>
  <c r="AL1271" i="4" s="1"/>
  <c r="AK1277" i="4"/>
  <c r="AL1277" i="4" s="1"/>
  <c r="AK1283" i="4"/>
  <c r="AL1283" i="4" s="1"/>
  <c r="AK1289" i="4"/>
  <c r="AL1289" i="4" s="1"/>
  <c r="AK1295" i="4"/>
  <c r="AL1295" i="4" s="1"/>
  <c r="AK1301" i="4"/>
  <c r="AL1301" i="4" s="1"/>
  <c r="AK1307" i="4"/>
  <c r="AL1307" i="4" s="1"/>
  <c r="AK1313" i="4"/>
  <c r="AL1313" i="4" s="1"/>
  <c r="AK1319" i="4"/>
  <c r="AL1319" i="4" s="1"/>
  <c r="AK1325" i="4"/>
  <c r="AL1325" i="4" s="1"/>
  <c r="AK1331" i="4"/>
  <c r="AL1331" i="4" s="1"/>
  <c r="AK1337" i="4"/>
  <c r="AL1337" i="4" s="1"/>
  <c r="AK1343" i="4"/>
  <c r="AL1343" i="4" s="1"/>
  <c r="AK1349" i="4"/>
  <c r="AL1349" i="4" s="1"/>
  <c r="AK1355" i="4"/>
  <c r="AL1355" i="4" s="1"/>
  <c r="AK1361" i="4"/>
  <c r="AL1361" i="4" s="1"/>
  <c r="AK1367" i="4"/>
  <c r="AL1367" i="4" s="1"/>
  <c r="AK1373" i="4"/>
  <c r="AL1373" i="4" s="1"/>
  <c r="AK1379" i="4"/>
  <c r="AL1379" i="4" s="1"/>
  <c r="AK1385" i="4"/>
  <c r="AL1385" i="4" s="1"/>
  <c r="AK1391" i="4"/>
  <c r="AL1391" i="4" s="1"/>
  <c r="AK1397" i="4"/>
  <c r="AL1397" i="4" s="1"/>
  <c r="AK1403" i="4"/>
  <c r="AL1403" i="4" s="1"/>
  <c r="AK1409" i="4"/>
  <c r="AL1409" i="4" s="1"/>
  <c r="AK1415" i="4"/>
  <c r="AL1415" i="4" s="1"/>
  <c r="AK1421" i="4"/>
  <c r="AL1421" i="4" s="1"/>
  <c r="AK1427" i="4"/>
  <c r="AL1427" i="4" s="1"/>
  <c r="AK1433" i="4"/>
  <c r="AL1433" i="4" s="1"/>
  <c r="AK1439" i="4"/>
  <c r="AL1439" i="4" s="1"/>
  <c r="AK1445" i="4"/>
  <c r="AL1445" i="4" s="1"/>
  <c r="AK1451" i="4"/>
  <c r="AL1451" i="4" s="1"/>
  <c r="AK1457" i="4"/>
  <c r="AL1457" i="4" s="1"/>
  <c r="AK1463" i="4"/>
  <c r="AL1463" i="4" s="1"/>
  <c r="AK1469" i="4"/>
  <c r="AL1469" i="4" s="1"/>
  <c r="AK1475" i="4"/>
  <c r="AL1475" i="4" s="1"/>
  <c r="AK1481" i="4"/>
  <c r="AL1481" i="4" s="1"/>
  <c r="AK1487" i="4"/>
  <c r="AL1487" i="4" s="1"/>
  <c r="AK1493" i="4"/>
  <c r="AL1493" i="4" s="1"/>
  <c r="AK1499" i="4"/>
  <c r="AL1499" i="4" s="1"/>
  <c r="I220" i="4"/>
  <c r="J220" i="4" s="1"/>
  <c r="AF219" i="4"/>
  <c r="AG219" i="4" s="1"/>
  <c r="AF220" i="4"/>
  <c r="AG220" i="4" s="1"/>
  <c r="AJ639" i="4"/>
  <c r="AJ648" i="4"/>
  <c r="AJ655" i="4"/>
  <c r="AJ661" i="4"/>
  <c r="AJ667" i="4"/>
  <c r="AJ673" i="4"/>
  <c r="AJ679" i="4"/>
  <c r="AJ685" i="4"/>
  <c r="AJ691" i="4"/>
  <c r="AJ697" i="4"/>
  <c r="AJ703" i="4"/>
  <c r="AJ709" i="4"/>
  <c r="AJ715" i="4"/>
  <c r="AJ721" i="4"/>
  <c r="AJ727" i="4"/>
  <c r="AJ733" i="4"/>
  <c r="AJ739" i="4"/>
  <c r="AJ745" i="4"/>
  <c r="AJ751" i="4"/>
  <c r="AJ757" i="4"/>
  <c r="AJ763" i="4"/>
  <c r="AJ769" i="4"/>
  <c r="AJ775" i="4"/>
  <c r="AJ781" i="4"/>
  <c r="AJ787" i="4"/>
  <c r="AJ793" i="4"/>
  <c r="AJ799" i="4"/>
  <c r="AJ805" i="4"/>
  <c r="AJ811" i="4"/>
  <c r="AJ817" i="4"/>
  <c r="AJ823" i="4"/>
  <c r="AJ829" i="4"/>
  <c r="AJ835" i="4"/>
  <c r="AJ841" i="4"/>
  <c r="AJ847" i="4"/>
  <c r="AJ853" i="4"/>
  <c r="AJ859" i="4"/>
  <c r="AJ865" i="4"/>
  <c r="AJ871" i="4"/>
  <c r="AJ877" i="4"/>
  <c r="AJ883" i="4"/>
  <c r="AJ889" i="4"/>
  <c r="AJ895" i="4"/>
  <c r="AJ901" i="4"/>
  <c r="AJ907" i="4"/>
  <c r="AJ913" i="4"/>
  <c r="AJ919" i="4"/>
  <c r="AJ925" i="4"/>
  <c r="AJ931" i="4"/>
  <c r="AJ937" i="4"/>
  <c r="AJ943" i="4"/>
  <c r="AJ949" i="4"/>
  <c r="AJ955" i="4"/>
  <c r="AJ961" i="4"/>
  <c r="AJ967" i="4"/>
  <c r="AJ973" i="4"/>
  <c r="AJ979" i="4"/>
  <c r="AJ985" i="4"/>
  <c r="AJ991" i="4"/>
  <c r="AJ997" i="4"/>
  <c r="AJ1003" i="4"/>
  <c r="AJ1009" i="4"/>
  <c r="AJ1015" i="4"/>
  <c r="AJ1021" i="4"/>
  <c r="AJ1027" i="4"/>
  <c r="AJ1033" i="4"/>
  <c r="AJ1039" i="4"/>
  <c r="AJ1045" i="4"/>
  <c r="AJ1051" i="4"/>
  <c r="AJ1057" i="4"/>
  <c r="AJ1063" i="4"/>
  <c r="AJ1069" i="4"/>
  <c r="AJ1075" i="4"/>
  <c r="AJ1081" i="4"/>
  <c r="AJ1087" i="4"/>
  <c r="AJ1093" i="4"/>
  <c r="AJ1099" i="4"/>
  <c r="AJ1105" i="4"/>
  <c r="AJ1111" i="4"/>
  <c r="AJ1117" i="4"/>
  <c r="AJ1123" i="4"/>
  <c r="AJ1129" i="4"/>
  <c r="AJ1135" i="4"/>
  <c r="AJ1141" i="4"/>
  <c r="AJ1147" i="4"/>
  <c r="AJ1153" i="4"/>
  <c r="AJ1159" i="4"/>
  <c r="AJ1165" i="4"/>
  <c r="AJ1171" i="4"/>
  <c r="AJ1177" i="4"/>
  <c r="AJ1183" i="4"/>
  <c r="AJ1189" i="4"/>
  <c r="AJ1195" i="4"/>
  <c r="AJ1201" i="4"/>
  <c r="AJ1207" i="4"/>
  <c r="AJ1213" i="4"/>
  <c r="AJ1219" i="4"/>
  <c r="AJ1225" i="4"/>
  <c r="AJ1231" i="4"/>
  <c r="AJ1237" i="4"/>
  <c r="AJ1243" i="4"/>
  <c r="AJ1249" i="4"/>
  <c r="AJ1255" i="4"/>
  <c r="AJ1261" i="4"/>
  <c r="AJ1267" i="4"/>
  <c r="AJ1273" i="4"/>
  <c r="AJ1279" i="4"/>
  <c r="AJ1285" i="4"/>
  <c r="AJ1291" i="4"/>
  <c r="AJ1297" i="4"/>
  <c r="AJ1303" i="4"/>
  <c r="AJ1309" i="4"/>
  <c r="AJ1315" i="4"/>
  <c r="AJ1321" i="4"/>
  <c r="AJ1327" i="4"/>
  <c r="AJ1333" i="4"/>
  <c r="AJ1339" i="4"/>
  <c r="AJ1345" i="4"/>
  <c r="AJ1351" i="4"/>
  <c r="AJ1357" i="4"/>
  <c r="AJ1363" i="4"/>
  <c r="AJ1369" i="4"/>
  <c r="AJ1375" i="4"/>
  <c r="AJ1381" i="4"/>
  <c r="AJ1387" i="4"/>
  <c r="AJ1393" i="4"/>
  <c r="AJ1399" i="4"/>
  <c r="AJ1405" i="4"/>
  <c r="AJ1411" i="4"/>
  <c r="AJ1417" i="4"/>
  <c r="AJ1423" i="4"/>
  <c r="AJ1429" i="4"/>
  <c r="AJ1435" i="4"/>
  <c r="AJ1441" i="4"/>
  <c r="AJ1447" i="4"/>
  <c r="AJ1453" i="4"/>
  <c r="AJ1459" i="4"/>
  <c r="AJ1465" i="4"/>
  <c r="AJ1471" i="4"/>
  <c r="AJ1477" i="4"/>
  <c r="AJ1483" i="4"/>
  <c r="AJ1489" i="4"/>
  <c r="AJ1495" i="4"/>
  <c r="AK222" i="4"/>
  <c r="AL222" i="4" s="1"/>
  <c r="AK228" i="4"/>
  <c r="AL228" i="4" s="1"/>
  <c r="AK234" i="4"/>
  <c r="AL234" i="4" s="1"/>
  <c r="AK240" i="4"/>
  <c r="AL240" i="4" s="1"/>
  <c r="AK246" i="4"/>
  <c r="AL246" i="4" s="1"/>
  <c r="AK252" i="4"/>
  <c r="AL252" i="4" s="1"/>
  <c r="AK258" i="4"/>
  <c r="AL258" i="4" s="1"/>
  <c r="AK264" i="4"/>
  <c r="AL264" i="4" s="1"/>
  <c r="AK270" i="4"/>
  <c r="AL270" i="4" s="1"/>
  <c r="AK276" i="4"/>
  <c r="AL276" i="4" s="1"/>
  <c r="AK282" i="4"/>
  <c r="AL282" i="4" s="1"/>
  <c r="AK288" i="4"/>
  <c r="AL288" i="4" s="1"/>
  <c r="AK294" i="4"/>
  <c r="AL294" i="4" s="1"/>
  <c r="AK300" i="4"/>
  <c r="AL300" i="4" s="1"/>
  <c r="AK306" i="4"/>
  <c r="AL306" i="4" s="1"/>
  <c r="AK312" i="4"/>
  <c r="AL312" i="4" s="1"/>
  <c r="AK318" i="4"/>
  <c r="AL318" i="4" s="1"/>
  <c r="AK324" i="4"/>
  <c r="AL324" i="4" s="1"/>
  <c r="AK330" i="4"/>
  <c r="AL330" i="4" s="1"/>
  <c r="AK336" i="4"/>
  <c r="AL336" i="4" s="1"/>
  <c r="AK342" i="4"/>
  <c r="AL342" i="4" s="1"/>
  <c r="AK348" i="4"/>
  <c r="AL348" i="4" s="1"/>
  <c r="AK354" i="4"/>
  <c r="AL354" i="4" s="1"/>
  <c r="AK360" i="4"/>
  <c r="AL360" i="4" s="1"/>
  <c r="AK366" i="4"/>
  <c r="AL366" i="4" s="1"/>
  <c r="AK372" i="4"/>
  <c r="AL372" i="4" s="1"/>
  <c r="AK378" i="4"/>
  <c r="AL378" i="4" s="1"/>
  <c r="AK384" i="4"/>
  <c r="AL384" i="4" s="1"/>
  <c r="AK390" i="4"/>
  <c r="AL390" i="4" s="1"/>
  <c r="AK396" i="4"/>
  <c r="AL396" i="4" s="1"/>
  <c r="AK402" i="4"/>
  <c r="AL402" i="4" s="1"/>
  <c r="AK408" i="4"/>
  <c r="AL408" i="4" s="1"/>
  <c r="AK414" i="4"/>
  <c r="AL414" i="4" s="1"/>
  <c r="AK420" i="4"/>
  <c r="AL420" i="4" s="1"/>
  <c r="AK426" i="4"/>
  <c r="AL426" i="4" s="1"/>
  <c r="AK432" i="4"/>
  <c r="AL432" i="4" s="1"/>
  <c r="AK438" i="4"/>
  <c r="AL438" i="4" s="1"/>
  <c r="AK444" i="4"/>
  <c r="AL444" i="4" s="1"/>
  <c r="AK450" i="4"/>
  <c r="AL450" i="4" s="1"/>
  <c r="AK456" i="4"/>
  <c r="AL456" i="4" s="1"/>
  <c r="AK462" i="4"/>
  <c r="AL462" i="4" s="1"/>
  <c r="AK468" i="4"/>
  <c r="AL468" i="4" s="1"/>
  <c r="AK474" i="4"/>
  <c r="AL474" i="4" s="1"/>
  <c r="AK480" i="4"/>
  <c r="AL480" i="4" s="1"/>
  <c r="AK486" i="4"/>
  <c r="AL486" i="4" s="1"/>
  <c r="AK492" i="4"/>
  <c r="AL492" i="4" s="1"/>
  <c r="AK498" i="4"/>
  <c r="AL498" i="4" s="1"/>
  <c r="AK504" i="4"/>
  <c r="AL504" i="4" s="1"/>
  <c r="AK510" i="4"/>
  <c r="AL510" i="4" s="1"/>
  <c r="AK516" i="4"/>
  <c r="AL516" i="4" s="1"/>
  <c r="AK522" i="4"/>
  <c r="AL522" i="4" s="1"/>
  <c r="AK528" i="4"/>
  <c r="AL528" i="4" s="1"/>
  <c r="AK534" i="4"/>
  <c r="AL534" i="4" s="1"/>
  <c r="AK540" i="4"/>
  <c r="AL540" i="4" s="1"/>
  <c r="AK546" i="4"/>
  <c r="AL546" i="4" s="1"/>
  <c r="AK552" i="4"/>
  <c r="AL552" i="4" s="1"/>
  <c r="AK558" i="4"/>
  <c r="AL558" i="4" s="1"/>
  <c r="AK564" i="4"/>
  <c r="AL564" i="4" s="1"/>
  <c r="AK570" i="4"/>
  <c r="AL570" i="4" s="1"/>
  <c r="AK576" i="4"/>
  <c r="AL576" i="4" s="1"/>
  <c r="AK582" i="4"/>
  <c r="AL582" i="4" s="1"/>
  <c r="AK588" i="4"/>
  <c r="AL588" i="4" s="1"/>
  <c r="AK594" i="4"/>
  <c r="AL594" i="4" s="1"/>
  <c r="AK600" i="4"/>
  <c r="AL600" i="4" s="1"/>
  <c r="AK606" i="4"/>
  <c r="AL606" i="4" s="1"/>
  <c r="AK612" i="4"/>
  <c r="AL612" i="4" s="1"/>
  <c r="AK618" i="4"/>
  <c r="AL618" i="4" s="1"/>
  <c r="AK624" i="4"/>
  <c r="AL624" i="4" s="1"/>
  <c r="AK630" i="4"/>
  <c r="AL630" i="4" s="1"/>
  <c r="AK636" i="4"/>
  <c r="AL636" i="4" s="1"/>
  <c r="AK642" i="4"/>
  <c r="AL642" i="4" s="1"/>
  <c r="AK648" i="4"/>
  <c r="AL648" i="4" s="1"/>
  <c r="AK654" i="4"/>
  <c r="AL654" i="4" s="1"/>
  <c r="AK660" i="4"/>
  <c r="AL660" i="4" s="1"/>
  <c r="AK666" i="4"/>
  <c r="AL666" i="4" s="1"/>
  <c r="AK672" i="4"/>
  <c r="AL672" i="4" s="1"/>
  <c r="AK678" i="4"/>
  <c r="AL678" i="4" s="1"/>
  <c r="AK684" i="4"/>
  <c r="AL684" i="4" s="1"/>
  <c r="AK690" i="4"/>
  <c r="AL690" i="4" s="1"/>
  <c r="AK696" i="4"/>
  <c r="AL696" i="4" s="1"/>
  <c r="AK702" i="4"/>
  <c r="AL702" i="4" s="1"/>
  <c r="AK708" i="4"/>
  <c r="AL708" i="4" s="1"/>
  <c r="AK714" i="4"/>
  <c r="AL714" i="4" s="1"/>
  <c r="AK720" i="4"/>
  <c r="AL720" i="4" s="1"/>
  <c r="AK726" i="4"/>
  <c r="AL726" i="4" s="1"/>
  <c r="AK732" i="4"/>
  <c r="AL732" i="4" s="1"/>
  <c r="AK738" i="4"/>
  <c r="AL738" i="4" s="1"/>
  <c r="AK744" i="4"/>
  <c r="AL744" i="4" s="1"/>
  <c r="AK750" i="4"/>
  <c r="AL750" i="4" s="1"/>
  <c r="AK756" i="4"/>
  <c r="AL756" i="4" s="1"/>
  <c r="AK762" i="4"/>
  <c r="AL762" i="4" s="1"/>
  <c r="AK768" i="4"/>
  <c r="AL768" i="4" s="1"/>
  <c r="AK774" i="4"/>
  <c r="AL774" i="4" s="1"/>
  <c r="AK780" i="4"/>
  <c r="AL780" i="4" s="1"/>
  <c r="AK786" i="4"/>
  <c r="AL786" i="4" s="1"/>
  <c r="AK792" i="4"/>
  <c r="AL792" i="4" s="1"/>
  <c r="AK798" i="4"/>
  <c r="AL798" i="4" s="1"/>
  <c r="AK804" i="4"/>
  <c r="AL804" i="4" s="1"/>
  <c r="AK810" i="4"/>
  <c r="AL810" i="4" s="1"/>
  <c r="AK816" i="4"/>
  <c r="AL816" i="4" s="1"/>
  <c r="AK822" i="4"/>
  <c r="AL822" i="4" s="1"/>
  <c r="AK828" i="4"/>
  <c r="AL828" i="4" s="1"/>
  <c r="AK834" i="4"/>
  <c r="AL834" i="4" s="1"/>
  <c r="AK840" i="4"/>
  <c r="AL840" i="4" s="1"/>
  <c r="AK846" i="4"/>
  <c r="AL846" i="4" s="1"/>
  <c r="AK852" i="4"/>
  <c r="AL852" i="4" s="1"/>
  <c r="AK858" i="4"/>
  <c r="AL858" i="4" s="1"/>
  <c r="AK864" i="4"/>
  <c r="AL864" i="4" s="1"/>
  <c r="AK870" i="4"/>
  <c r="AL870" i="4" s="1"/>
  <c r="AK876" i="4"/>
  <c r="AL876" i="4" s="1"/>
  <c r="AK882" i="4"/>
  <c r="AL882" i="4" s="1"/>
  <c r="AK888" i="4"/>
  <c r="AL888" i="4" s="1"/>
  <c r="AK894" i="4"/>
  <c r="AL894" i="4" s="1"/>
  <c r="AK900" i="4"/>
  <c r="AL900" i="4" s="1"/>
  <c r="AK906" i="4"/>
  <c r="AL906" i="4" s="1"/>
  <c r="AK912" i="4"/>
  <c r="AL912" i="4" s="1"/>
  <c r="AK918" i="4"/>
  <c r="AL918" i="4" s="1"/>
  <c r="AK924" i="4"/>
  <c r="AL924" i="4" s="1"/>
  <c r="AK930" i="4"/>
  <c r="AL930" i="4" s="1"/>
  <c r="AK936" i="4"/>
  <c r="AL936" i="4" s="1"/>
  <c r="AK942" i="4"/>
  <c r="AL942" i="4" s="1"/>
  <c r="AK948" i="4"/>
  <c r="AL948" i="4" s="1"/>
  <c r="AK954" i="4"/>
  <c r="AL954" i="4" s="1"/>
  <c r="AK960" i="4"/>
  <c r="AL960" i="4" s="1"/>
  <c r="AK966" i="4"/>
  <c r="AL966" i="4" s="1"/>
  <c r="AK972" i="4"/>
  <c r="AL972" i="4" s="1"/>
  <c r="AK978" i="4"/>
  <c r="AL978" i="4" s="1"/>
  <c r="AK984" i="4"/>
  <c r="AL984" i="4" s="1"/>
  <c r="AK990" i="4"/>
  <c r="AL990" i="4" s="1"/>
  <c r="AK996" i="4"/>
  <c r="AL996" i="4" s="1"/>
  <c r="AK1002" i="4"/>
  <c r="AL1002" i="4" s="1"/>
  <c r="AK1008" i="4"/>
  <c r="AL1008" i="4" s="1"/>
  <c r="AK1014" i="4"/>
  <c r="AL1014" i="4" s="1"/>
  <c r="AK1020" i="4"/>
  <c r="AL1020" i="4" s="1"/>
  <c r="AK1026" i="4"/>
  <c r="AL1026" i="4" s="1"/>
  <c r="AK1032" i="4"/>
  <c r="AL1032" i="4" s="1"/>
  <c r="AK1038" i="4"/>
  <c r="AL1038" i="4" s="1"/>
  <c r="AK1044" i="4"/>
  <c r="AL1044" i="4" s="1"/>
  <c r="AK1050" i="4"/>
  <c r="AL1050" i="4" s="1"/>
  <c r="AK1056" i="4"/>
  <c r="AL1056" i="4" s="1"/>
  <c r="AK1062" i="4"/>
  <c r="AL1062" i="4" s="1"/>
  <c r="AK1068" i="4"/>
  <c r="AL1068" i="4" s="1"/>
  <c r="AK1074" i="4"/>
  <c r="AL1074" i="4" s="1"/>
  <c r="AK1080" i="4"/>
  <c r="AL1080" i="4" s="1"/>
  <c r="AK1086" i="4"/>
  <c r="AL1086" i="4" s="1"/>
  <c r="AK1092" i="4"/>
  <c r="AL1092" i="4" s="1"/>
  <c r="AK1098" i="4"/>
  <c r="AL1098" i="4" s="1"/>
  <c r="AK1104" i="4"/>
  <c r="AL1104" i="4" s="1"/>
  <c r="AK1110" i="4"/>
  <c r="AL1110" i="4" s="1"/>
  <c r="AK1116" i="4"/>
  <c r="AL1116" i="4" s="1"/>
  <c r="AK1122" i="4"/>
  <c r="AL1122" i="4" s="1"/>
  <c r="AK1128" i="4"/>
  <c r="AL1128" i="4" s="1"/>
  <c r="AK1134" i="4"/>
  <c r="AL1134" i="4" s="1"/>
  <c r="AK1140" i="4"/>
  <c r="AL1140" i="4" s="1"/>
  <c r="AK1146" i="4"/>
  <c r="AL1146" i="4" s="1"/>
  <c r="AK1152" i="4"/>
  <c r="AL1152" i="4" s="1"/>
  <c r="AK1158" i="4"/>
  <c r="AL1158" i="4" s="1"/>
  <c r="AK1164" i="4"/>
  <c r="AL1164" i="4" s="1"/>
  <c r="AK1170" i="4"/>
  <c r="AL1170" i="4" s="1"/>
  <c r="AK1176" i="4"/>
  <c r="AL1176" i="4" s="1"/>
  <c r="AK1182" i="4"/>
  <c r="AL1182" i="4" s="1"/>
  <c r="AK1188" i="4"/>
  <c r="AL1188" i="4" s="1"/>
  <c r="AK1194" i="4"/>
  <c r="AL1194" i="4" s="1"/>
  <c r="AK1200" i="4"/>
  <c r="AL1200" i="4" s="1"/>
  <c r="AK1206" i="4"/>
  <c r="AL1206" i="4" s="1"/>
  <c r="AK1212" i="4"/>
  <c r="AL1212" i="4" s="1"/>
  <c r="AK1218" i="4"/>
  <c r="AL1218" i="4" s="1"/>
  <c r="AK1224" i="4"/>
  <c r="AL1224" i="4" s="1"/>
  <c r="AK1230" i="4"/>
  <c r="AL1230" i="4" s="1"/>
  <c r="AK1236" i="4"/>
  <c r="AL1236" i="4" s="1"/>
  <c r="AK1242" i="4"/>
  <c r="AL1242" i="4" s="1"/>
  <c r="AK1248" i="4"/>
  <c r="AL1248" i="4" s="1"/>
  <c r="AK1254" i="4"/>
  <c r="AL1254" i="4" s="1"/>
  <c r="AK1260" i="4"/>
  <c r="AL1260" i="4" s="1"/>
  <c r="AK1266" i="4"/>
  <c r="AL1266" i="4" s="1"/>
  <c r="AK1272" i="4"/>
  <c r="AL1272" i="4" s="1"/>
  <c r="AK1278" i="4"/>
  <c r="AL1278" i="4" s="1"/>
  <c r="AK1284" i="4"/>
  <c r="AL1284" i="4" s="1"/>
  <c r="AK1290" i="4"/>
  <c r="AL1290" i="4" s="1"/>
  <c r="AK1296" i="4"/>
  <c r="AL1296" i="4" s="1"/>
  <c r="AK1302" i="4"/>
  <c r="AL1302" i="4" s="1"/>
  <c r="AK1308" i="4"/>
  <c r="AL1308" i="4" s="1"/>
  <c r="AK1314" i="4"/>
  <c r="AL1314" i="4" s="1"/>
  <c r="AK1320" i="4"/>
  <c r="AL1320" i="4" s="1"/>
  <c r="AK1326" i="4"/>
  <c r="AL1326" i="4" s="1"/>
  <c r="AK1332" i="4"/>
  <c r="AL1332" i="4" s="1"/>
  <c r="AK1338" i="4"/>
  <c r="AL1338" i="4" s="1"/>
  <c r="AK1344" i="4"/>
  <c r="AL1344" i="4" s="1"/>
  <c r="AK1350" i="4"/>
  <c r="AL1350" i="4" s="1"/>
  <c r="AK1356" i="4"/>
  <c r="AL1356" i="4" s="1"/>
  <c r="AK1362" i="4"/>
  <c r="AL1362" i="4" s="1"/>
  <c r="AK1368" i="4"/>
  <c r="AL1368" i="4" s="1"/>
  <c r="AK1374" i="4"/>
  <c r="AL1374" i="4" s="1"/>
  <c r="AK1380" i="4"/>
  <c r="AL1380" i="4" s="1"/>
  <c r="AK1386" i="4"/>
  <c r="AL1386" i="4" s="1"/>
  <c r="AK1392" i="4"/>
  <c r="AL1392" i="4" s="1"/>
  <c r="AK1398" i="4"/>
  <c r="AL1398" i="4" s="1"/>
  <c r="AK1404" i="4"/>
  <c r="AL1404" i="4" s="1"/>
  <c r="AK1410" i="4"/>
  <c r="AL1410" i="4" s="1"/>
  <c r="AK1416" i="4"/>
  <c r="AL1416" i="4" s="1"/>
  <c r="AK1422" i="4"/>
  <c r="AL1422" i="4" s="1"/>
  <c r="AK1428" i="4"/>
  <c r="AL1428" i="4" s="1"/>
  <c r="AK1434" i="4"/>
  <c r="AL1434" i="4" s="1"/>
  <c r="AK1440" i="4"/>
  <c r="AL1440" i="4" s="1"/>
  <c r="AK1446" i="4"/>
  <c r="AL1446" i="4" s="1"/>
  <c r="AK1452" i="4"/>
  <c r="AL1452" i="4" s="1"/>
  <c r="AK1458" i="4"/>
  <c r="AL1458" i="4" s="1"/>
  <c r="AK1464" i="4"/>
  <c r="AL1464" i="4" s="1"/>
  <c r="AK1470" i="4"/>
  <c r="AL1470" i="4" s="1"/>
  <c r="AK1476" i="4"/>
  <c r="AL1476" i="4" s="1"/>
  <c r="AK1482" i="4"/>
  <c r="AL1482" i="4" s="1"/>
  <c r="AK1488" i="4"/>
  <c r="AL1488" i="4" s="1"/>
  <c r="AK1494" i="4"/>
  <c r="AL1494" i="4" s="1"/>
  <c r="AJ640" i="4"/>
  <c r="AJ650" i="4"/>
  <c r="AJ656" i="4"/>
  <c r="AJ662" i="4"/>
  <c r="AJ668" i="4"/>
  <c r="AJ674" i="4"/>
  <c r="AJ680" i="4"/>
  <c r="AJ686" i="4"/>
  <c r="AJ692" i="4"/>
  <c r="AJ698" i="4"/>
  <c r="AJ704" i="4"/>
  <c r="AJ710" i="4"/>
  <c r="AJ716" i="4"/>
  <c r="AJ722" i="4"/>
  <c r="AJ728" i="4"/>
  <c r="AJ734" i="4"/>
  <c r="AJ740" i="4"/>
  <c r="AJ746" i="4"/>
  <c r="AJ752" i="4"/>
  <c r="AJ758" i="4"/>
  <c r="AJ764" i="4"/>
  <c r="AJ770" i="4"/>
  <c r="AJ776" i="4"/>
  <c r="AJ782" i="4"/>
  <c r="AJ788" i="4"/>
  <c r="AJ794" i="4"/>
  <c r="AJ800" i="4"/>
  <c r="AJ806" i="4"/>
  <c r="AJ812" i="4"/>
  <c r="AJ818" i="4"/>
  <c r="AJ824" i="4"/>
  <c r="AJ830" i="4"/>
  <c r="AJ836" i="4"/>
  <c r="AJ842" i="4"/>
  <c r="AJ848" i="4"/>
  <c r="AJ854" i="4"/>
  <c r="AJ860" i="4"/>
  <c r="AJ866" i="4"/>
  <c r="AJ872" i="4"/>
  <c r="AJ878" i="4"/>
  <c r="AJ884" i="4"/>
  <c r="AJ890" i="4"/>
  <c r="AJ896" i="4"/>
  <c r="AJ902" i="4"/>
  <c r="AJ908" i="4"/>
  <c r="AJ914" i="4"/>
  <c r="AJ920" i="4"/>
  <c r="AJ926" i="4"/>
  <c r="AJ932" i="4"/>
  <c r="AJ938" i="4"/>
  <c r="AJ944" i="4"/>
  <c r="AJ950" i="4"/>
  <c r="AJ956" i="4"/>
  <c r="AJ962" i="4"/>
  <c r="AJ968" i="4"/>
  <c r="AJ974" i="4"/>
  <c r="AJ980" i="4"/>
  <c r="AJ986" i="4"/>
  <c r="AJ992" i="4"/>
  <c r="AJ998" i="4"/>
  <c r="AJ1004" i="4"/>
  <c r="AJ1010" i="4"/>
  <c r="AJ1016" i="4"/>
  <c r="AJ1022" i="4"/>
  <c r="AJ1028" i="4"/>
  <c r="AJ1034" i="4"/>
  <c r="AJ1040" i="4"/>
  <c r="AJ1046" i="4"/>
  <c r="AJ1052" i="4"/>
  <c r="AJ1058" i="4"/>
  <c r="AJ1064" i="4"/>
  <c r="AJ1070" i="4"/>
  <c r="AJ1076" i="4"/>
  <c r="AJ1082" i="4"/>
  <c r="AJ1088" i="4"/>
  <c r="AJ1094" i="4"/>
  <c r="AJ1100" i="4"/>
  <c r="AJ1106" i="4"/>
  <c r="AJ1112" i="4"/>
  <c r="AJ1118" i="4"/>
  <c r="AJ1124" i="4"/>
  <c r="AJ1130" i="4"/>
  <c r="AJ1136" i="4"/>
  <c r="AJ1142" i="4"/>
  <c r="AJ1148" i="4"/>
  <c r="AJ1154" i="4"/>
  <c r="AJ1160" i="4"/>
  <c r="AJ1166" i="4"/>
  <c r="AJ1172" i="4"/>
  <c r="AJ1178" i="4"/>
  <c r="AJ1184" i="4"/>
  <c r="AJ1190" i="4"/>
  <c r="AJ1196" i="4"/>
  <c r="AJ1202" i="4"/>
  <c r="AJ1208" i="4"/>
  <c r="AJ1214" i="4"/>
  <c r="AJ1220" i="4"/>
  <c r="AJ1226" i="4"/>
  <c r="AJ1232" i="4"/>
  <c r="AJ1238" i="4"/>
  <c r="AJ1244" i="4"/>
  <c r="AJ1250" i="4"/>
  <c r="AJ1256" i="4"/>
  <c r="AJ1262" i="4"/>
  <c r="AJ1268" i="4"/>
  <c r="AJ1274" i="4"/>
  <c r="AJ1280" i="4"/>
  <c r="AJ1286" i="4"/>
  <c r="AJ1292" i="4"/>
  <c r="AJ1298" i="4"/>
  <c r="AJ1304" i="4"/>
  <c r="AJ1310" i="4"/>
  <c r="AJ1316" i="4"/>
  <c r="AJ1322" i="4"/>
  <c r="AJ1328" i="4"/>
  <c r="AJ1334" i="4"/>
  <c r="AJ1340" i="4"/>
  <c r="AJ1346" i="4"/>
  <c r="AJ1352" i="4"/>
  <c r="AJ1358" i="4"/>
  <c r="AJ1364" i="4"/>
  <c r="AJ1370" i="4"/>
  <c r="AJ1376" i="4"/>
  <c r="AJ1382" i="4"/>
  <c r="AJ1388" i="4"/>
  <c r="AJ1394" i="4"/>
  <c r="AJ1400" i="4"/>
  <c r="AJ1406" i="4"/>
  <c r="AJ1412" i="4"/>
  <c r="AJ1418" i="4"/>
  <c r="AJ1424" i="4"/>
  <c r="AJ1430" i="4"/>
  <c r="AJ1436" i="4"/>
  <c r="AJ1442" i="4"/>
  <c r="AJ1448" i="4"/>
  <c r="AJ1454" i="4"/>
  <c r="AJ1460" i="4"/>
  <c r="AJ1466" i="4"/>
  <c r="AJ1472" i="4"/>
  <c r="AJ1478" i="4"/>
  <c r="AJ1484" i="4"/>
  <c r="AJ1490" i="4"/>
  <c r="AJ1496" i="4"/>
  <c r="AK223" i="4"/>
  <c r="AL223" i="4" s="1"/>
  <c r="AK229" i="4"/>
  <c r="AL229" i="4" s="1"/>
  <c r="AK235" i="4"/>
  <c r="AL235" i="4" s="1"/>
  <c r="AK241" i="4"/>
  <c r="AL241" i="4" s="1"/>
  <c r="AK247" i="4"/>
  <c r="AL247" i="4" s="1"/>
  <c r="AK253" i="4"/>
  <c r="AL253" i="4" s="1"/>
  <c r="AK259" i="4"/>
  <c r="AL259" i="4" s="1"/>
  <c r="AK265" i="4"/>
  <c r="AL265" i="4" s="1"/>
  <c r="AK271" i="4"/>
  <c r="AL271" i="4" s="1"/>
  <c r="AK277" i="4"/>
  <c r="AL277" i="4" s="1"/>
  <c r="AK283" i="4"/>
  <c r="AL283" i="4" s="1"/>
  <c r="AK289" i="4"/>
  <c r="AL289" i="4" s="1"/>
  <c r="AK295" i="4"/>
  <c r="AL295" i="4" s="1"/>
  <c r="AK301" i="4"/>
  <c r="AL301" i="4" s="1"/>
  <c r="AK307" i="4"/>
  <c r="AL307" i="4" s="1"/>
  <c r="AK313" i="4"/>
  <c r="AL313" i="4" s="1"/>
  <c r="AK319" i="4"/>
  <c r="AL319" i="4" s="1"/>
  <c r="AK325" i="4"/>
  <c r="AL325" i="4" s="1"/>
  <c r="AK331" i="4"/>
  <c r="AL331" i="4" s="1"/>
  <c r="AK337" i="4"/>
  <c r="AL337" i="4" s="1"/>
  <c r="AK343" i="4"/>
  <c r="AL343" i="4" s="1"/>
  <c r="AK349" i="4"/>
  <c r="AL349" i="4" s="1"/>
  <c r="AK355" i="4"/>
  <c r="AL355" i="4" s="1"/>
  <c r="AK361" i="4"/>
  <c r="AL361" i="4" s="1"/>
  <c r="AK367" i="4"/>
  <c r="AL367" i="4" s="1"/>
  <c r="AK373" i="4"/>
  <c r="AL373" i="4" s="1"/>
  <c r="AK379" i="4"/>
  <c r="AL379" i="4" s="1"/>
  <c r="AK385" i="4"/>
  <c r="AL385" i="4" s="1"/>
  <c r="AK391" i="4"/>
  <c r="AL391" i="4" s="1"/>
  <c r="AK397" i="4"/>
  <c r="AL397" i="4" s="1"/>
  <c r="AK403" i="4"/>
  <c r="AL403" i="4" s="1"/>
  <c r="AK409" i="4"/>
  <c r="AL409" i="4" s="1"/>
  <c r="AK415" i="4"/>
  <c r="AL415" i="4" s="1"/>
  <c r="AK421" i="4"/>
  <c r="AL421" i="4" s="1"/>
  <c r="AK427" i="4"/>
  <c r="AL427" i="4" s="1"/>
  <c r="AK433" i="4"/>
  <c r="AL433" i="4" s="1"/>
  <c r="AK439" i="4"/>
  <c r="AL439" i="4" s="1"/>
  <c r="AK445" i="4"/>
  <c r="AL445" i="4" s="1"/>
  <c r="AK451" i="4"/>
  <c r="AL451" i="4" s="1"/>
  <c r="AK457" i="4"/>
  <c r="AL457" i="4" s="1"/>
  <c r="AK463" i="4"/>
  <c r="AL463" i="4" s="1"/>
  <c r="AK469" i="4"/>
  <c r="AL469" i="4" s="1"/>
  <c r="AK475" i="4"/>
  <c r="AL475" i="4" s="1"/>
  <c r="AK481" i="4"/>
  <c r="AL481" i="4" s="1"/>
  <c r="AK487" i="4"/>
  <c r="AL487" i="4" s="1"/>
  <c r="AK493" i="4"/>
  <c r="AL493" i="4" s="1"/>
  <c r="AK499" i="4"/>
  <c r="AL499" i="4" s="1"/>
  <c r="AK505" i="4"/>
  <c r="AL505" i="4" s="1"/>
  <c r="AK511" i="4"/>
  <c r="AL511" i="4" s="1"/>
  <c r="AK517" i="4"/>
  <c r="AL517" i="4" s="1"/>
  <c r="AK523" i="4"/>
  <c r="AL523" i="4" s="1"/>
  <c r="AK529" i="4"/>
  <c r="AL529" i="4" s="1"/>
  <c r="AK535" i="4"/>
  <c r="AL535" i="4" s="1"/>
  <c r="AK541" i="4"/>
  <c r="AL541" i="4" s="1"/>
  <c r="AK547" i="4"/>
  <c r="AL547" i="4" s="1"/>
  <c r="AK553" i="4"/>
  <c r="AL553" i="4" s="1"/>
  <c r="AK559" i="4"/>
  <c r="AL559" i="4" s="1"/>
  <c r="AK565" i="4"/>
  <c r="AL565" i="4" s="1"/>
  <c r="AK571" i="4"/>
  <c r="AL571" i="4" s="1"/>
  <c r="AK577" i="4"/>
  <c r="AL577" i="4" s="1"/>
  <c r="AK583" i="4"/>
  <c r="AL583" i="4" s="1"/>
  <c r="AK589" i="4"/>
  <c r="AL589" i="4" s="1"/>
  <c r="AK595" i="4"/>
  <c r="AL595" i="4" s="1"/>
  <c r="AK601" i="4"/>
  <c r="AL601" i="4" s="1"/>
  <c r="AK607" i="4"/>
  <c r="AL607" i="4" s="1"/>
  <c r="AK613" i="4"/>
  <c r="AL613" i="4" s="1"/>
  <c r="AK619" i="4"/>
  <c r="AL619" i="4" s="1"/>
  <c r="AK625" i="4"/>
  <c r="AL625" i="4" s="1"/>
  <c r="AK631" i="4"/>
  <c r="AL631" i="4" s="1"/>
  <c r="AK637" i="4"/>
  <c r="AL637" i="4" s="1"/>
  <c r="AK643" i="4"/>
  <c r="AL643" i="4" s="1"/>
  <c r="AK649" i="4"/>
  <c r="AL649" i="4" s="1"/>
  <c r="AK655" i="4"/>
  <c r="AL655" i="4" s="1"/>
  <c r="AK661" i="4"/>
  <c r="AL661" i="4" s="1"/>
  <c r="AK667" i="4"/>
  <c r="AL667" i="4" s="1"/>
  <c r="AK673" i="4"/>
  <c r="AL673" i="4" s="1"/>
  <c r="AK679" i="4"/>
  <c r="AL679" i="4" s="1"/>
  <c r="AK685" i="4"/>
  <c r="AL685" i="4" s="1"/>
  <c r="AK691" i="4"/>
  <c r="AL691" i="4" s="1"/>
  <c r="AK697" i="4"/>
  <c r="AL697" i="4" s="1"/>
  <c r="AK703" i="4"/>
  <c r="AL703" i="4" s="1"/>
  <c r="AK709" i="4"/>
  <c r="AL709" i="4" s="1"/>
  <c r="AK715" i="4"/>
  <c r="AL715" i="4" s="1"/>
  <c r="AK721" i="4"/>
  <c r="AL721" i="4" s="1"/>
  <c r="AK727" i="4"/>
  <c r="AL727" i="4" s="1"/>
  <c r="AK733" i="4"/>
  <c r="AL733" i="4" s="1"/>
  <c r="AK739" i="4"/>
  <c r="AL739" i="4" s="1"/>
  <c r="AK745" i="4"/>
  <c r="AL745" i="4" s="1"/>
  <c r="AK751" i="4"/>
  <c r="AL751" i="4" s="1"/>
  <c r="AK757" i="4"/>
  <c r="AL757" i="4" s="1"/>
  <c r="AK763" i="4"/>
  <c r="AL763" i="4" s="1"/>
  <c r="AK769" i="4"/>
  <c r="AL769" i="4" s="1"/>
  <c r="AK775" i="4"/>
  <c r="AL775" i="4" s="1"/>
  <c r="AK781" i="4"/>
  <c r="AL781" i="4" s="1"/>
  <c r="AK787" i="4"/>
  <c r="AL787" i="4" s="1"/>
  <c r="AK793" i="4"/>
  <c r="AL793" i="4" s="1"/>
  <c r="AK799" i="4"/>
  <c r="AL799" i="4" s="1"/>
  <c r="AK805" i="4"/>
  <c r="AL805" i="4" s="1"/>
  <c r="AK811" i="4"/>
  <c r="AL811" i="4" s="1"/>
  <c r="AK817" i="4"/>
  <c r="AL817" i="4" s="1"/>
  <c r="AK823" i="4"/>
  <c r="AL823" i="4" s="1"/>
  <c r="AK829" i="4"/>
  <c r="AL829" i="4" s="1"/>
  <c r="AK835" i="4"/>
  <c r="AL835" i="4" s="1"/>
  <c r="AK841" i="4"/>
  <c r="AL841" i="4" s="1"/>
  <c r="AK847" i="4"/>
  <c r="AL847" i="4" s="1"/>
  <c r="AK853" i="4"/>
  <c r="AL853" i="4" s="1"/>
  <c r="AK859" i="4"/>
  <c r="AL859" i="4" s="1"/>
  <c r="AK865" i="4"/>
  <c r="AL865" i="4" s="1"/>
  <c r="AK871" i="4"/>
  <c r="AL871" i="4" s="1"/>
  <c r="AK877" i="4"/>
  <c r="AL877" i="4" s="1"/>
  <c r="AK883" i="4"/>
  <c r="AL883" i="4" s="1"/>
  <c r="AK889" i="4"/>
  <c r="AL889" i="4" s="1"/>
  <c r="AK895" i="4"/>
  <c r="AL895" i="4" s="1"/>
  <c r="AK901" i="4"/>
  <c r="AL901" i="4" s="1"/>
  <c r="AK907" i="4"/>
  <c r="AL907" i="4" s="1"/>
  <c r="AK913" i="4"/>
  <c r="AL913" i="4" s="1"/>
  <c r="AK919" i="4"/>
  <c r="AL919" i="4" s="1"/>
  <c r="AK925" i="4"/>
  <c r="AL925" i="4" s="1"/>
  <c r="AK931" i="4"/>
  <c r="AL931" i="4" s="1"/>
  <c r="AK937" i="4"/>
  <c r="AL937" i="4" s="1"/>
  <c r="AK943" i="4"/>
  <c r="AL943" i="4" s="1"/>
  <c r="AK949" i="4"/>
  <c r="AL949" i="4" s="1"/>
  <c r="AK955" i="4"/>
  <c r="AL955" i="4" s="1"/>
  <c r="AK961" i="4"/>
  <c r="AL961" i="4" s="1"/>
  <c r="AK967" i="4"/>
  <c r="AL967" i="4" s="1"/>
  <c r="AK973" i="4"/>
  <c r="AL973" i="4" s="1"/>
  <c r="AK979" i="4"/>
  <c r="AL979" i="4" s="1"/>
  <c r="AK985" i="4"/>
  <c r="AL985" i="4" s="1"/>
  <c r="AK991" i="4"/>
  <c r="AL991" i="4" s="1"/>
  <c r="AK997" i="4"/>
  <c r="AL997" i="4" s="1"/>
  <c r="AK1003" i="4"/>
  <c r="AL1003" i="4" s="1"/>
  <c r="AK1009" i="4"/>
  <c r="AL1009" i="4" s="1"/>
  <c r="AK1015" i="4"/>
  <c r="AL1015" i="4" s="1"/>
  <c r="AK1021" i="4"/>
  <c r="AL1021" i="4" s="1"/>
  <c r="AK1027" i="4"/>
  <c r="AL1027" i="4" s="1"/>
  <c r="AK1033" i="4"/>
  <c r="AL1033" i="4" s="1"/>
  <c r="AK1039" i="4"/>
  <c r="AL1039" i="4" s="1"/>
  <c r="AK1045" i="4"/>
  <c r="AL1045" i="4" s="1"/>
  <c r="AK1051" i="4"/>
  <c r="AL1051" i="4" s="1"/>
  <c r="AK1057" i="4"/>
  <c r="AL1057" i="4" s="1"/>
  <c r="AK1063" i="4"/>
  <c r="AL1063" i="4" s="1"/>
  <c r="AK1069" i="4"/>
  <c r="AL1069" i="4" s="1"/>
  <c r="AK1075" i="4"/>
  <c r="AL1075" i="4" s="1"/>
  <c r="AK1081" i="4"/>
  <c r="AL1081" i="4" s="1"/>
  <c r="AK1087" i="4"/>
  <c r="AL1087" i="4" s="1"/>
  <c r="AK1093" i="4"/>
  <c r="AL1093" i="4" s="1"/>
  <c r="AK1099" i="4"/>
  <c r="AL1099" i="4" s="1"/>
  <c r="AK1105" i="4"/>
  <c r="AL1105" i="4" s="1"/>
  <c r="AK1111" i="4"/>
  <c r="AL1111" i="4" s="1"/>
  <c r="AK1117" i="4"/>
  <c r="AL1117" i="4" s="1"/>
  <c r="AK1123" i="4"/>
  <c r="AL1123" i="4" s="1"/>
  <c r="AK1129" i="4"/>
  <c r="AL1129" i="4" s="1"/>
  <c r="AK1135" i="4"/>
  <c r="AL1135" i="4" s="1"/>
  <c r="AK1141" i="4"/>
  <c r="AL1141" i="4" s="1"/>
  <c r="AK1147" i="4"/>
  <c r="AL1147" i="4" s="1"/>
  <c r="AK1153" i="4"/>
  <c r="AL1153" i="4" s="1"/>
  <c r="AK1159" i="4"/>
  <c r="AL1159" i="4" s="1"/>
  <c r="AK1165" i="4"/>
  <c r="AL1165" i="4" s="1"/>
  <c r="AK1171" i="4"/>
  <c r="AL1171" i="4" s="1"/>
  <c r="AK1177" i="4"/>
  <c r="AL1177" i="4" s="1"/>
  <c r="AK1183" i="4"/>
  <c r="AL1183" i="4" s="1"/>
  <c r="AK1189" i="4"/>
  <c r="AL1189" i="4" s="1"/>
  <c r="AK1195" i="4"/>
  <c r="AL1195" i="4" s="1"/>
  <c r="AK1201" i="4"/>
  <c r="AL1201" i="4" s="1"/>
  <c r="AK1207" i="4"/>
  <c r="AL1207" i="4" s="1"/>
  <c r="AK1213" i="4"/>
  <c r="AL1213" i="4" s="1"/>
  <c r="AK1219" i="4"/>
  <c r="AL1219" i="4" s="1"/>
  <c r="AK1225" i="4"/>
  <c r="AL1225" i="4" s="1"/>
  <c r="AK1231" i="4"/>
  <c r="AL1231" i="4" s="1"/>
  <c r="AK1237" i="4"/>
  <c r="AL1237" i="4" s="1"/>
  <c r="AK1243" i="4"/>
  <c r="AL1243" i="4" s="1"/>
  <c r="AK1249" i="4"/>
  <c r="AL1249" i="4" s="1"/>
  <c r="AK1255" i="4"/>
  <c r="AL1255" i="4" s="1"/>
  <c r="AK1261" i="4"/>
  <c r="AL1261" i="4" s="1"/>
  <c r="AK1267" i="4"/>
  <c r="AL1267" i="4" s="1"/>
  <c r="AK1273" i="4"/>
  <c r="AL1273" i="4" s="1"/>
  <c r="AK1279" i="4"/>
  <c r="AL1279" i="4" s="1"/>
  <c r="AK1285" i="4"/>
  <c r="AL1285" i="4" s="1"/>
  <c r="AK1291" i="4"/>
  <c r="AL1291" i="4" s="1"/>
  <c r="AK1297" i="4"/>
  <c r="AL1297" i="4" s="1"/>
  <c r="AK1303" i="4"/>
  <c r="AL1303" i="4" s="1"/>
  <c r="AK1309" i="4"/>
  <c r="AL1309" i="4" s="1"/>
  <c r="AK1315" i="4"/>
  <c r="AL1315" i="4" s="1"/>
  <c r="AK1321" i="4"/>
  <c r="AL1321" i="4" s="1"/>
  <c r="AK1327" i="4"/>
  <c r="AL1327" i="4" s="1"/>
  <c r="AK1333" i="4"/>
  <c r="AL1333" i="4" s="1"/>
  <c r="AK1339" i="4"/>
  <c r="AL1339" i="4" s="1"/>
  <c r="AK1345" i="4"/>
  <c r="AL1345" i="4" s="1"/>
  <c r="AK1351" i="4"/>
  <c r="AL1351" i="4" s="1"/>
  <c r="AK1357" i="4"/>
  <c r="AL1357" i="4" s="1"/>
  <c r="AK1363" i="4"/>
  <c r="AL1363" i="4" s="1"/>
  <c r="AK1369" i="4"/>
  <c r="AL1369" i="4" s="1"/>
  <c r="AK1375" i="4"/>
  <c r="AL1375" i="4" s="1"/>
  <c r="AK1381" i="4"/>
  <c r="AL1381" i="4" s="1"/>
  <c r="AK1387" i="4"/>
  <c r="AL1387" i="4" s="1"/>
  <c r="AK1393" i="4"/>
  <c r="AL1393" i="4" s="1"/>
  <c r="AK1399" i="4"/>
  <c r="AL1399" i="4" s="1"/>
  <c r="AK1405" i="4"/>
  <c r="AL1405" i="4" s="1"/>
  <c r="AK1411" i="4"/>
  <c r="AL1411" i="4" s="1"/>
  <c r="AK1417" i="4"/>
  <c r="AL1417" i="4" s="1"/>
  <c r="AK1423" i="4"/>
  <c r="AL1423" i="4" s="1"/>
  <c r="AK1429" i="4"/>
  <c r="AL1429" i="4" s="1"/>
  <c r="AK1435" i="4"/>
  <c r="AL1435" i="4" s="1"/>
  <c r="AK1441" i="4"/>
  <c r="AL1441" i="4" s="1"/>
  <c r="AK1447" i="4"/>
  <c r="AL1447" i="4" s="1"/>
  <c r="AK1453" i="4"/>
  <c r="AL1453" i="4" s="1"/>
  <c r="AK1459" i="4"/>
  <c r="AL1459" i="4" s="1"/>
  <c r="AK1465" i="4"/>
  <c r="AL1465" i="4" s="1"/>
  <c r="AK1471" i="4"/>
  <c r="AL1471" i="4" s="1"/>
  <c r="AK1477" i="4"/>
  <c r="AL1477" i="4" s="1"/>
  <c r="AK1483" i="4"/>
  <c r="AL1483" i="4" s="1"/>
  <c r="AK1489" i="4"/>
  <c r="AL1489" i="4" s="1"/>
  <c r="AK1495" i="4"/>
  <c r="AL1495" i="4" s="1"/>
  <c r="AJ220" i="4"/>
  <c r="AJ630" i="4"/>
  <c r="AJ642" i="4"/>
  <c r="AJ651" i="4"/>
  <c r="AJ657" i="4"/>
  <c r="AJ663" i="4"/>
  <c r="AJ669" i="4"/>
  <c r="AJ675" i="4"/>
  <c r="AJ681" i="4"/>
  <c r="AJ687" i="4"/>
  <c r="AJ693" i="4"/>
  <c r="AJ699" i="4"/>
  <c r="AJ705" i="4"/>
  <c r="AJ711" i="4"/>
  <c r="AJ717" i="4"/>
  <c r="AJ723" i="4"/>
  <c r="AJ729" i="4"/>
  <c r="AJ735" i="4"/>
  <c r="AJ741" i="4"/>
  <c r="AJ747" i="4"/>
  <c r="AJ753" i="4"/>
  <c r="AJ759" i="4"/>
  <c r="AJ765" i="4"/>
  <c r="AJ771" i="4"/>
  <c r="AJ777" i="4"/>
  <c r="AJ783" i="4"/>
  <c r="AJ789" i="4"/>
  <c r="AJ795" i="4"/>
  <c r="AJ801" i="4"/>
  <c r="AJ807" i="4"/>
  <c r="AJ813" i="4"/>
  <c r="AJ819" i="4"/>
  <c r="AJ825" i="4"/>
  <c r="AJ831" i="4"/>
  <c r="AJ837" i="4"/>
  <c r="AJ843" i="4"/>
  <c r="AJ849" i="4"/>
  <c r="AJ855" i="4"/>
  <c r="AJ861" i="4"/>
  <c r="AJ867" i="4"/>
  <c r="AJ873" i="4"/>
  <c r="AJ879" i="4"/>
  <c r="AJ885" i="4"/>
  <c r="AJ891" i="4"/>
  <c r="AJ897" i="4"/>
  <c r="AJ903" i="4"/>
  <c r="AJ909" i="4"/>
  <c r="AJ915" i="4"/>
  <c r="AJ921" i="4"/>
  <c r="AJ927" i="4"/>
  <c r="AJ933" i="4"/>
  <c r="AJ939" i="4"/>
  <c r="AJ945" i="4"/>
  <c r="AJ951" i="4"/>
  <c r="AJ957" i="4"/>
  <c r="AJ963" i="4"/>
  <c r="AJ969" i="4"/>
  <c r="AJ975" i="4"/>
  <c r="AJ981" i="4"/>
  <c r="AJ987" i="4"/>
  <c r="AJ993" i="4"/>
  <c r="AJ999" i="4"/>
  <c r="AJ1005" i="4"/>
  <c r="AJ1011" i="4"/>
  <c r="AJ1017" i="4"/>
  <c r="AJ1023" i="4"/>
  <c r="AJ1029" i="4"/>
  <c r="AJ1035" i="4"/>
  <c r="AJ1041" i="4"/>
  <c r="AJ1047" i="4"/>
  <c r="AJ1053" i="4"/>
  <c r="AJ1059" i="4"/>
  <c r="AJ1065" i="4"/>
  <c r="AJ1071" i="4"/>
  <c r="AJ1077" i="4"/>
  <c r="AJ1083" i="4"/>
  <c r="AJ1089" i="4"/>
  <c r="AJ1095" i="4"/>
  <c r="AJ1101" i="4"/>
  <c r="AJ1107" i="4"/>
  <c r="AJ1113" i="4"/>
  <c r="AJ1119" i="4"/>
  <c r="AJ1125" i="4"/>
  <c r="AJ1131" i="4"/>
  <c r="AJ1137" i="4"/>
  <c r="AJ1143" i="4"/>
  <c r="AJ1149" i="4"/>
  <c r="AJ1155" i="4"/>
  <c r="AJ1161" i="4"/>
  <c r="AJ1167" i="4"/>
  <c r="AJ1173" i="4"/>
  <c r="AJ1179" i="4"/>
  <c r="AJ1185" i="4"/>
  <c r="AJ1191" i="4"/>
  <c r="AJ1197" i="4"/>
  <c r="AJ1203" i="4"/>
  <c r="AJ1209" i="4"/>
  <c r="AJ1215" i="4"/>
  <c r="AJ1221" i="4"/>
  <c r="AJ1227" i="4"/>
  <c r="AJ1233" i="4"/>
  <c r="AJ1239" i="4"/>
  <c r="AJ1245" i="4"/>
  <c r="AJ1251" i="4"/>
  <c r="AJ1257" i="4"/>
  <c r="AJ1263" i="4"/>
  <c r="AJ1269" i="4"/>
  <c r="AJ1275" i="4"/>
  <c r="AJ1281" i="4"/>
  <c r="AJ1287" i="4"/>
  <c r="AJ1293" i="4"/>
  <c r="AJ1299" i="4"/>
  <c r="AJ1305" i="4"/>
  <c r="AJ1311" i="4"/>
  <c r="AJ1317" i="4"/>
  <c r="AJ1323" i="4"/>
  <c r="AJ1329" i="4"/>
  <c r="AJ1335" i="4"/>
  <c r="AJ1341" i="4"/>
  <c r="AJ1347" i="4"/>
  <c r="AJ1353" i="4"/>
  <c r="AJ1359" i="4"/>
  <c r="AJ1365" i="4"/>
  <c r="AJ1371" i="4"/>
  <c r="AJ1377" i="4"/>
  <c r="AJ1383" i="4"/>
  <c r="AJ1389" i="4"/>
  <c r="AJ1395" i="4"/>
  <c r="AJ1401" i="4"/>
  <c r="AJ1407" i="4"/>
  <c r="AJ1413" i="4"/>
  <c r="AJ1419" i="4"/>
  <c r="AJ1425" i="4"/>
  <c r="AJ1431" i="4"/>
  <c r="AJ1437" i="4"/>
  <c r="AJ1443" i="4"/>
  <c r="AJ1449" i="4"/>
  <c r="AJ1455" i="4"/>
  <c r="AJ1461" i="4"/>
  <c r="AJ1467" i="4"/>
  <c r="AJ1473" i="4"/>
  <c r="AJ1479" i="4"/>
  <c r="AJ1485" i="4"/>
  <c r="AJ1491" i="4"/>
  <c r="AJ1497" i="4"/>
  <c r="AK224" i="4"/>
  <c r="AL224" i="4" s="1"/>
  <c r="AK230" i="4"/>
  <c r="AL230" i="4" s="1"/>
  <c r="AK236" i="4"/>
  <c r="AL236" i="4" s="1"/>
  <c r="AK242" i="4"/>
  <c r="AL242" i="4" s="1"/>
  <c r="AK248" i="4"/>
  <c r="AL248" i="4" s="1"/>
  <c r="AK254" i="4"/>
  <c r="AL254" i="4" s="1"/>
  <c r="AK260" i="4"/>
  <c r="AL260" i="4" s="1"/>
  <c r="AK266" i="4"/>
  <c r="AL266" i="4" s="1"/>
  <c r="AK272" i="4"/>
  <c r="AL272" i="4" s="1"/>
  <c r="AK278" i="4"/>
  <c r="AL278" i="4" s="1"/>
  <c r="AK284" i="4"/>
  <c r="AL284" i="4" s="1"/>
  <c r="AK290" i="4"/>
  <c r="AL290" i="4" s="1"/>
  <c r="AK296" i="4"/>
  <c r="AL296" i="4" s="1"/>
  <c r="AK302" i="4"/>
  <c r="AL302" i="4" s="1"/>
  <c r="AK308" i="4"/>
  <c r="AL308" i="4" s="1"/>
  <c r="AK314" i="4"/>
  <c r="AL314" i="4" s="1"/>
  <c r="AK320" i="4"/>
  <c r="AL320" i="4" s="1"/>
  <c r="AK326" i="4"/>
  <c r="AL326" i="4" s="1"/>
  <c r="AK332" i="4"/>
  <c r="AL332" i="4" s="1"/>
  <c r="AK338" i="4"/>
  <c r="AL338" i="4" s="1"/>
  <c r="AK344" i="4"/>
  <c r="AL344" i="4" s="1"/>
  <c r="AK350" i="4"/>
  <c r="AL350" i="4" s="1"/>
  <c r="AK356" i="4"/>
  <c r="AL356" i="4" s="1"/>
  <c r="AK362" i="4"/>
  <c r="AL362" i="4" s="1"/>
  <c r="AK368" i="4"/>
  <c r="AL368" i="4" s="1"/>
  <c r="AK374" i="4"/>
  <c r="AL374" i="4" s="1"/>
  <c r="AK380" i="4"/>
  <c r="AL380" i="4" s="1"/>
  <c r="AK386" i="4"/>
  <c r="AL386" i="4" s="1"/>
  <c r="AK392" i="4"/>
  <c r="AL392" i="4" s="1"/>
  <c r="AK398" i="4"/>
  <c r="AL398" i="4" s="1"/>
  <c r="AK404" i="4"/>
  <c r="AL404" i="4" s="1"/>
  <c r="AK410" i="4"/>
  <c r="AL410" i="4" s="1"/>
  <c r="AK416" i="4"/>
  <c r="AL416" i="4" s="1"/>
  <c r="AK422" i="4"/>
  <c r="AL422" i="4" s="1"/>
  <c r="AK428" i="4"/>
  <c r="AL428" i="4" s="1"/>
  <c r="AK434" i="4"/>
  <c r="AL434" i="4" s="1"/>
  <c r="AK440" i="4"/>
  <c r="AL440" i="4" s="1"/>
  <c r="AK446" i="4"/>
  <c r="AL446" i="4" s="1"/>
  <c r="AK452" i="4"/>
  <c r="AL452" i="4" s="1"/>
  <c r="AK458" i="4"/>
  <c r="AL458" i="4" s="1"/>
  <c r="AK464" i="4"/>
  <c r="AL464" i="4" s="1"/>
  <c r="AK470" i="4"/>
  <c r="AL470" i="4" s="1"/>
  <c r="AK476" i="4"/>
  <c r="AL476" i="4" s="1"/>
  <c r="AK482" i="4"/>
  <c r="AL482" i="4" s="1"/>
  <c r="AK488" i="4"/>
  <c r="AL488" i="4" s="1"/>
  <c r="AK494" i="4"/>
  <c r="AL494" i="4" s="1"/>
  <c r="AK500" i="4"/>
  <c r="AL500" i="4" s="1"/>
  <c r="AK506" i="4"/>
  <c r="AL506" i="4" s="1"/>
  <c r="AK512" i="4"/>
  <c r="AL512" i="4" s="1"/>
  <c r="AK518" i="4"/>
  <c r="AL518" i="4" s="1"/>
  <c r="AK524" i="4"/>
  <c r="AL524" i="4" s="1"/>
  <c r="AK530" i="4"/>
  <c r="AL530" i="4" s="1"/>
  <c r="AK536" i="4"/>
  <c r="AL536" i="4" s="1"/>
  <c r="AK542" i="4"/>
  <c r="AL542" i="4" s="1"/>
  <c r="AK548" i="4"/>
  <c r="AL548" i="4" s="1"/>
  <c r="AK554" i="4"/>
  <c r="AL554" i="4" s="1"/>
  <c r="AK560" i="4"/>
  <c r="AL560" i="4" s="1"/>
  <c r="AK566" i="4"/>
  <c r="AL566" i="4" s="1"/>
  <c r="AK572" i="4"/>
  <c r="AL572" i="4" s="1"/>
  <c r="AK578" i="4"/>
  <c r="AL578" i="4" s="1"/>
  <c r="AK584" i="4"/>
  <c r="AL584" i="4" s="1"/>
  <c r="AK590" i="4"/>
  <c r="AL590" i="4" s="1"/>
  <c r="AK596" i="4"/>
  <c r="AL596" i="4" s="1"/>
  <c r="AK602" i="4"/>
  <c r="AL602" i="4" s="1"/>
  <c r="AK608" i="4"/>
  <c r="AL608" i="4" s="1"/>
  <c r="AK614" i="4"/>
  <c r="AL614" i="4" s="1"/>
  <c r="AK620" i="4"/>
  <c r="AL620" i="4" s="1"/>
  <c r="AK626" i="4"/>
  <c r="AL626" i="4" s="1"/>
  <c r="AK632" i="4"/>
  <c r="AL632" i="4" s="1"/>
  <c r="AK638" i="4"/>
  <c r="AL638" i="4" s="1"/>
  <c r="AK644" i="4"/>
  <c r="AL644" i="4" s="1"/>
  <c r="AK650" i="4"/>
  <c r="AL650" i="4" s="1"/>
  <c r="AK656" i="4"/>
  <c r="AL656" i="4" s="1"/>
  <c r="AK662" i="4"/>
  <c r="AL662" i="4" s="1"/>
  <c r="AK668" i="4"/>
  <c r="AL668" i="4" s="1"/>
  <c r="AK674" i="4"/>
  <c r="AL674" i="4" s="1"/>
  <c r="AK680" i="4"/>
  <c r="AL680" i="4" s="1"/>
  <c r="AK686" i="4"/>
  <c r="AL686" i="4" s="1"/>
  <c r="AK692" i="4"/>
  <c r="AL692" i="4" s="1"/>
  <c r="AK698" i="4"/>
  <c r="AL698" i="4" s="1"/>
  <c r="AK704" i="4"/>
  <c r="AL704" i="4" s="1"/>
  <c r="AK710" i="4"/>
  <c r="AL710" i="4" s="1"/>
  <c r="AK716" i="4"/>
  <c r="AL716" i="4" s="1"/>
  <c r="AK722" i="4"/>
  <c r="AL722" i="4" s="1"/>
  <c r="AK728" i="4"/>
  <c r="AL728" i="4" s="1"/>
  <c r="AK734" i="4"/>
  <c r="AL734" i="4" s="1"/>
  <c r="AK740" i="4"/>
  <c r="AL740" i="4" s="1"/>
  <c r="AK746" i="4"/>
  <c r="AL746" i="4" s="1"/>
  <c r="AK752" i="4"/>
  <c r="AL752" i="4" s="1"/>
  <c r="AK758" i="4"/>
  <c r="AL758" i="4" s="1"/>
  <c r="AK764" i="4"/>
  <c r="AL764" i="4" s="1"/>
  <c r="AK770" i="4"/>
  <c r="AL770" i="4" s="1"/>
  <c r="AK776" i="4"/>
  <c r="AL776" i="4" s="1"/>
  <c r="AK782" i="4"/>
  <c r="AL782" i="4" s="1"/>
  <c r="AK788" i="4"/>
  <c r="AL788" i="4" s="1"/>
  <c r="AK794" i="4"/>
  <c r="AL794" i="4" s="1"/>
  <c r="AK800" i="4"/>
  <c r="AL800" i="4" s="1"/>
  <c r="AK806" i="4"/>
  <c r="AL806" i="4" s="1"/>
  <c r="AK812" i="4"/>
  <c r="AL812" i="4" s="1"/>
  <c r="AK818" i="4"/>
  <c r="AL818" i="4" s="1"/>
  <c r="AK824" i="4"/>
  <c r="AL824" i="4" s="1"/>
  <c r="AK830" i="4"/>
  <c r="AL830" i="4" s="1"/>
  <c r="AK836" i="4"/>
  <c r="AL836" i="4" s="1"/>
  <c r="AK842" i="4"/>
  <c r="AL842" i="4" s="1"/>
  <c r="AK848" i="4"/>
  <c r="AL848" i="4" s="1"/>
  <c r="AK854" i="4"/>
  <c r="AL854" i="4" s="1"/>
  <c r="AK860" i="4"/>
  <c r="AL860" i="4" s="1"/>
  <c r="AK866" i="4"/>
  <c r="AL866" i="4" s="1"/>
  <c r="AK872" i="4"/>
  <c r="AL872" i="4" s="1"/>
  <c r="AK878" i="4"/>
  <c r="AL878" i="4" s="1"/>
  <c r="AK884" i="4"/>
  <c r="AL884" i="4" s="1"/>
  <c r="AK890" i="4"/>
  <c r="AL890" i="4" s="1"/>
  <c r="AK896" i="4"/>
  <c r="AL896" i="4" s="1"/>
  <c r="AK902" i="4"/>
  <c r="AL902" i="4" s="1"/>
  <c r="AK908" i="4"/>
  <c r="AL908" i="4" s="1"/>
  <c r="AK914" i="4"/>
  <c r="AL914" i="4" s="1"/>
  <c r="AK920" i="4"/>
  <c r="AL920" i="4" s="1"/>
  <c r="AK926" i="4"/>
  <c r="AL926" i="4" s="1"/>
  <c r="AK932" i="4"/>
  <c r="AL932" i="4" s="1"/>
  <c r="AK938" i="4"/>
  <c r="AL938" i="4" s="1"/>
  <c r="AK944" i="4"/>
  <c r="AL944" i="4" s="1"/>
  <c r="AK950" i="4"/>
  <c r="AL950" i="4" s="1"/>
  <c r="AK956" i="4"/>
  <c r="AL956" i="4" s="1"/>
  <c r="AK962" i="4"/>
  <c r="AL962" i="4" s="1"/>
  <c r="AK968" i="4"/>
  <c r="AL968" i="4" s="1"/>
  <c r="AK974" i="4"/>
  <c r="AL974" i="4" s="1"/>
  <c r="AK980" i="4"/>
  <c r="AL980" i="4" s="1"/>
  <c r="AK986" i="4"/>
  <c r="AL986" i="4" s="1"/>
  <c r="AK992" i="4"/>
  <c r="AL992" i="4" s="1"/>
  <c r="AK998" i="4"/>
  <c r="AL998" i="4" s="1"/>
  <c r="AK1004" i="4"/>
  <c r="AL1004" i="4" s="1"/>
  <c r="AK1010" i="4"/>
  <c r="AL1010" i="4" s="1"/>
  <c r="AK1016" i="4"/>
  <c r="AL1016" i="4" s="1"/>
  <c r="AK1022" i="4"/>
  <c r="AL1022" i="4" s="1"/>
  <c r="AK1028" i="4"/>
  <c r="AL1028" i="4" s="1"/>
  <c r="AK1034" i="4"/>
  <c r="AL1034" i="4" s="1"/>
  <c r="AK1040" i="4"/>
  <c r="AL1040" i="4" s="1"/>
  <c r="AK1046" i="4"/>
  <c r="AL1046" i="4" s="1"/>
  <c r="AK1052" i="4"/>
  <c r="AL1052" i="4" s="1"/>
  <c r="AK1058" i="4"/>
  <c r="AL1058" i="4" s="1"/>
  <c r="AK1064" i="4"/>
  <c r="AL1064" i="4" s="1"/>
  <c r="AK1070" i="4"/>
  <c r="AL1070" i="4" s="1"/>
  <c r="AK1076" i="4"/>
  <c r="AL1076" i="4" s="1"/>
  <c r="AK1082" i="4"/>
  <c r="AL1082" i="4" s="1"/>
  <c r="AK1088" i="4"/>
  <c r="AL1088" i="4" s="1"/>
  <c r="AK1094" i="4"/>
  <c r="AL1094" i="4" s="1"/>
  <c r="AK1100" i="4"/>
  <c r="AL1100" i="4" s="1"/>
  <c r="AK1106" i="4"/>
  <c r="AL1106" i="4" s="1"/>
  <c r="AK1112" i="4"/>
  <c r="AL1112" i="4" s="1"/>
  <c r="AK1118" i="4"/>
  <c r="AL1118" i="4" s="1"/>
  <c r="AK1124" i="4"/>
  <c r="AL1124" i="4" s="1"/>
  <c r="AK1130" i="4"/>
  <c r="AL1130" i="4" s="1"/>
  <c r="AK1136" i="4"/>
  <c r="AL1136" i="4" s="1"/>
  <c r="AK1142" i="4"/>
  <c r="AL1142" i="4" s="1"/>
  <c r="AK1148" i="4"/>
  <c r="AL1148" i="4" s="1"/>
  <c r="AK1154" i="4"/>
  <c r="AL1154" i="4" s="1"/>
  <c r="AK1160" i="4"/>
  <c r="AL1160" i="4" s="1"/>
  <c r="AK1166" i="4"/>
  <c r="AL1166" i="4" s="1"/>
  <c r="AK1172" i="4"/>
  <c r="AL1172" i="4" s="1"/>
  <c r="AK1178" i="4"/>
  <c r="AL1178" i="4" s="1"/>
  <c r="AK1184" i="4"/>
  <c r="AL1184" i="4" s="1"/>
  <c r="AK1190" i="4"/>
  <c r="AL1190" i="4" s="1"/>
  <c r="AK1196" i="4"/>
  <c r="AL1196" i="4" s="1"/>
  <c r="AK1202" i="4"/>
  <c r="AL1202" i="4" s="1"/>
  <c r="AK1208" i="4"/>
  <c r="AL1208" i="4" s="1"/>
  <c r="AK1214" i="4"/>
  <c r="AL1214" i="4" s="1"/>
  <c r="AK1220" i="4"/>
  <c r="AL1220" i="4" s="1"/>
  <c r="AK1226" i="4"/>
  <c r="AL1226" i="4" s="1"/>
  <c r="AK1232" i="4"/>
  <c r="AL1232" i="4" s="1"/>
  <c r="AK1238" i="4"/>
  <c r="AL1238" i="4" s="1"/>
  <c r="AK1244" i="4"/>
  <c r="AL1244" i="4" s="1"/>
  <c r="AK1250" i="4"/>
  <c r="AL1250" i="4" s="1"/>
  <c r="AK1256" i="4"/>
  <c r="AL1256" i="4" s="1"/>
  <c r="AK1262" i="4"/>
  <c r="AL1262" i="4" s="1"/>
  <c r="AK1268" i="4"/>
  <c r="AL1268" i="4" s="1"/>
  <c r="AK1274" i="4"/>
  <c r="AL1274" i="4" s="1"/>
  <c r="AK1280" i="4"/>
  <c r="AL1280" i="4" s="1"/>
  <c r="AK1286" i="4"/>
  <c r="AL1286" i="4" s="1"/>
  <c r="AK1292" i="4"/>
  <c r="AL1292" i="4" s="1"/>
  <c r="AK1298" i="4"/>
  <c r="AL1298" i="4" s="1"/>
  <c r="AK1304" i="4"/>
  <c r="AL1304" i="4" s="1"/>
  <c r="AK1310" i="4"/>
  <c r="AL1310" i="4" s="1"/>
  <c r="AK1316" i="4"/>
  <c r="AL1316" i="4" s="1"/>
  <c r="AK1322" i="4"/>
  <c r="AL1322" i="4" s="1"/>
  <c r="AK1328" i="4"/>
  <c r="AL1328" i="4" s="1"/>
  <c r="AK1334" i="4"/>
  <c r="AL1334" i="4" s="1"/>
  <c r="AK1340" i="4"/>
  <c r="AL1340" i="4" s="1"/>
  <c r="AK1346" i="4"/>
  <c r="AL1346" i="4" s="1"/>
  <c r="AK1352" i="4"/>
  <c r="AL1352" i="4" s="1"/>
  <c r="AK1358" i="4"/>
  <c r="AL1358" i="4" s="1"/>
  <c r="AK1364" i="4"/>
  <c r="AL1364" i="4" s="1"/>
  <c r="AK1370" i="4"/>
  <c r="AL1370" i="4" s="1"/>
  <c r="AK1376" i="4"/>
  <c r="AL1376" i="4" s="1"/>
  <c r="AK1382" i="4"/>
  <c r="AL1382" i="4" s="1"/>
  <c r="AK1388" i="4"/>
  <c r="AL1388" i="4" s="1"/>
  <c r="AK1394" i="4"/>
  <c r="AL1394" i="4" s="1"/>
  <c r="AK1400" i="4"/>
  <c r="AL1400" i="4" s="1"/>
  <c r="AK1406" i="4"/>
  <c r="AL1406" i="4" s="1"/>
  <c r="AK1412" i="4"/>
  <c r="AL1412" i="4" s="1"/>
  <c r="AK1418" i="4"/>
  <c r="AL1418" i="4" s="1"/>
  <c r="AK1424" i="4"/>
  <c r="AL1424" i="4" s="1"/>
  <c r="AK1430" i="4"/>
  <c r="AL1430" i="4" s="1"/>
  <c r="AK1436" i="4"/>
  <c r="AL1436" i="4" s="1"/>
  <c r="AK1442" i="4"/>
  <c r="AL1442" i="4" s="1"/>
  <c r="AK1448" i="4"/>
  <c r="AL1448" i="4" s="1"/>
  <c r="AK1454" i="4"/>
  <c r="AL1454" i="4" s="1"/>
  <c r="AK1460" i="4"/>
  <c r="AL1460" i="4" s="1"/>
  <c r="AK1466" i="4"/>
  <c r="AL1466" i="4" s="1"/>
  <c r="AK1472" i="4"/>
  <c r="AL1472" i="4" s="1"/>
  <c r="AK1478" i="4"/>
  <c r="AL1478" i="4" s="1"/>
  <c r="AK1484" i="4"/>
  <c r="AL1484" i="4" s="1"/>
  <c r="AK1490" i="4"/>
  <c r="AL1490" i="4" s="1"/>
  <c r="AK1496" i="4"/>
  <c r="AL1496" i="4" s="1"/>
  <c r="AK219" i="4"/>
  <c r="AL219" i="4" s="1"/>
  <c r="Y220" i="4"/>
  <c r="G219" i="4"/>
  <c r="H219" i="4" s="1"/>
  <c r="S219" i="4"/>
  <c r="I219" i="4"/>
  <c r="J219" i="4" s="1"/>
  <c r="AJ219" i="4"/>
  <c r="Y219" i="4"/>
  <c r="AJ2" i="4"/>
  <c r="Y2" i="4"/>
  <c r="S2" i="4"/>
  <c r="AJ15" i="4"/>
  <c r="AJ105" i="4"/>
  <c r="AJ13" i="4"/>
  <c r="AJ49" i="4"/>
  <c r="AJ85" i="4"/>
  <c r="AJ121" i="4"/>
  <c r="AJ157" i="4"/>
  <c r="AJ193" i="4"/>
  <c r="AJ45" i="4"/>
  <c r="AJ123" i="4"/>
  <c r="AJ10" i="4"/>
  <c r="AJ116" i="4"/>
  <c r="AJ182" i="4"/>
  <c r="AJ18" i="4"/>
  <c r="AJ54" i="4"/>
  <c r="AJ90" i="4"/>
  <c r="AJ126" i="4"/>
  <c r="AJ150" i="4"/>
  <c r="AJ198" i="4"/>
  <c r="AJ216" i="4"/>
  <c r="AJ38" i="4"/>
  <c r="AJ17" i="4"/>
  <c r="AJ53" i="4"/>
  <c r="AJ89" i="4"/>
  <c r="AJ125" i="4"/>
  <c r="AJ161" i="4"/>
  <c r="AJ197" i="4"/>
  <c r="AJ99" i="4"/>
  <c r="AJ201" i="4"/>
  <c r="AJ92" i="4"/>
  <c r="AJ5" i="4"/>
  <c r="AJ172" i="4"/>
  <c r="AJ208" i="4"/>
  <c r="AJ31" i="4"/>
  <c r="AJ139" i="4"/>
  <c r="AJ81" i="4"/>
  <c r="AJ62" i="4"/>
  <c r="AJ200" i="4"/>
  <c r="AJ108" i="4"/>
  <c r="AJ141" i="4"/>
  <c r="AJ71" i="4"/>
  <c r="AJ179" i="4"/>
  <c r="AJ32" i="4"/>
  <c r="AJ40" i="4"/>
  <c r="AJ94" i="4"/>
  <c r="AJ154" i="4"/>
  <c r="AJ43" i="4"/>
  <c r="AJ151" i="4"/>
  <c r="AJ213" i="4"/>
  <c r="AJ48" i="4"/>
  <c r="AJ195" i="4"/>
  <c r="AJ155" i="4"/>
  <c r="AJ158" i="4"/>
  <c r="AJ100" i="4"/>
  <c r="AJ202" i="4"/>
  <c r="AJ39" i="4"/>
  <c r="AJ153" i="4"/>
  <c r="AJ19" i="4"/>
  <c r="AJ55" i="4"/>
  <c r="AJ91" i="4"/>
  <c r="AJ127" i="4"/>
  <c r="AJ163" i="4"/>
  <c r="AJ199" i="4"/>
  <c r="AJ57" i="4"/>
  <c r="AJ147" i="4"/>
  <c r="AJ26" i="4"/>
  <c r="AJ140" i="4"/>
  <c r="AJ188" i="4"/>
  <c r="AJ24" i="4"/>
  <c r="AJ60" i="4"/>
  <c r="AJ96" i="4"/>
  <c r="AJ132" i="4"/>
  <c r="AJ156" i="4"/>
  <c r="AJ180" i="4"/>
  <c r="AJ50" i="4"/>
  <c r="AJ23" i="4"/>
  <c r="AJ59" i="4"/>
  <c r="AJ95" i="4"/>
  <c r="AJ131" i="4"/>
  <c r="AJ167" i="4"/>
  <c r="AJ203" i="4"/>
  <c r="AJ117" i="4"/>
  <c r="AJ14" i="4"/>
  <c r="AJ104" i="4"/>
  <c r="AJ8" i="4"/>
  <c r="AJ34" i="4"/>
  <c r="AJ52" i="4"/>
  <c r="AJ70" i="4"/>
  <c r="AJ88" i="4"/>
  <c r="AJ106" i="4"/>
  <c r="AJ124" i="4"/>
  <c r="AJ142" i="4"/>
  <c r="AJ178" i="4"/>
  <c r="AJ214" i="4"/>
  <c r="AJ7" i="4"/>
  <c r="AJ103" i="4"/>
  <c r="AJ211" i="4"/>
  <c r="AJ164" i="4"/>
  <c r="AJ36" i="4"/>
  <c r="AJ168" i="4"/>
  <c r="AJ86" i="4"/>
  <c r="AJ107" i="4"/>
  <c r="AJ215" i="4"/>
  <c r="AJ134" i="4"/>
  <c r="AJ58" i="4"/>
  <c r="AJ112" i="4"/>
  <c r="AJ190" i="4"/>
  <c r="AJ3" i="4"/>
  <c r="AJ115" i="4"/>
  <c r="AJ21" i="4"/>
  <c r="AJ176" i="4"/>
  <c r="AJ84" i="4"/>
  <c r="AJ192" i="4"/>
  <c r="AJ83" i="4"/>
  <c r="AJ27" i="4"/>
  <c r="AJ80" i="4"/>
  <c r="AJ64" i="4"/>
  <c r="AJ136" i="4"/>
  <c r="AJ51" i="4"/>
  <c r="AJ207" i="4"/>
  <c r="AJ25" i="4"/>
  <c r="AJ61" i="4"/>
  <c r="AJ97" i="4"/>
  <c r="AJ133" i="4"/>
  <c r="AJ169" i="4"/>
  <c r="AJ205" i="4"/>
  <c r="AJ69" i="4"/>
  <c r="AJ159" i="4"/>
  <c r="AJ44" i="4"/>
  <c r="AJ152" i="4"/>
  <c r="AJ194" i="4"/>
  <c r="AJ30" i="4"/>
  <c r="AJ66" i="4"/>
  <c r="AJ102" i="4"/>
  <c r="AJ138" i="4"/>
  <c r="AJ162" i="4"/>
  <c r="AJ204" i="4"/>
  <c r="AJ33" i="4"/>
  <c r="AJ68" i="4"/>
  <c r="AJ29" i="4"/>
  <c r="AJ65" i="4"/>
  <c r="AJ101" i="4"/>
  <c r="AJ137" i="4"/>
  <c r="AJ173" i="4"/>
  <c r="AJ209" i="4"/>
  <c r="AJ129" i="4"/>
  <c r="AJ20" i="4"/>
  <c r="AJ122" i="4"/>
  <c r="AJ11" i="4"/>
  <c r="AJ148" i="4"/>
  <c r="AJ184" i="4"/>
  <c r="AJ63" i="4"/>
  <c r="AJ67" i="4"/>
  <c r="AJ175" i="4"/>
  <c r="AJ177" i="4"/>
  <c r="AJ6" i="4"/>
  <c r="AJ72" i="4"/>
  <c r="AJ186" i="4"/>
  <c r="AJ35" i="4"/>
  <c r="AJ143" i="4"/>
  <c r="AJ135" i="4"/>
  <c r="AJ16" i="4"/>
  <c r="AJ76" i="4"/>
  <c r="AJ130" i="4"/>
  <c r="AJ79" i="4"/>
  <c r="AJ187" i="4"/>
  <c r="AJ98" i="4"/>
  <c r="AJ12" i="4"/>
  <c r="AJ174" i="4"/>
  <c r="AJ47" i="4"/>
  <c r="AJ191" i="4"/>
  <c r="AJ28" i="4"/>
  <c r="AJ82" i="4"/>
  <c r="AJ166" i="4"/>
  <c r="AJ75" i="4"/>
  <c r="AJ212" i="4"/>
  <c r="AJ37" i="4"/>
  <c r="AJ73" i="4"/>
  <c r="AJ109" i="4"/>
  <c r="AJ145" i="4"/>
  <c r="AJ181" i="4"/>
  <c r="AJ217" i="4"/>
  <c r="AJ93" i="4"/>
  <c r="AJ189" i="4"/>
  <c r="AJ74" i="4"/>
  <c r="AJ170" i="4"/>
  <c r="AJ206" i="4"/>
  <c r="AJ9" i="4"/>
  <c r="AJ42" i="4"/>
  <c r="AJ78" i="4"/>
  <c r="AJ114" i="4"/>
  <c r="AJ144" i="4"/>
  <c r="AJ210" i="4"/>
  <c r="AJ165" i="4"/>
  <c r="AJ110" i="4"/>
  <c r="AJ41" i="4"/>
  <c r="AJ77" i="4"/>
  <c r="AJ113" i="4"/>
  <c r="AJ149" i="4"/>
  <c r="AJ185" i="4"/>
  <c r="AJ4" i="4"/>
  <c r="AJ171" i="4"/>
  <c r="AJ56" i="4"/>
  <c r="AJ146" i="4"/>
  <c r="AJ22" i="4"/>
  <c r="AJ160" i="4"/>
  <c r="AJ196" i="4"/>
  <c r="AJ87" i="4"/>
  <c r="AJ111" i="4"/>
  <c r="AJ218" i="4"/>
  <c r="AJ120" i="4"/>
  <c r="AJ128" i="4"/>
  <c r="AJ119" i="4"/>
  <c r="AJ183" i="4"/>
  <c r="AJ46" i="4"/>
  <c r="AJ118" i="4"/>
  <c r="G21" i="4"/>
  <c r="H21" i="4" s="1"/>
  <c r="AK7" i="4"/>
  <c r="AK20" i="4"/>
  <c r="AL20" i="4" s="1"/>
  <c r="AK17" i="4"/>
  <c r="AL17" i="4" s="1"/>
  <c r="AK5" i="4"/>
  <c r="AF10" i="4"/>
  <c r="AF15" i="4"/>
  <c r="AG15" i="4" s="1"/>
  <c r="AF19" i="4"/>
  <c r="AG19" i="4" s="1"/>
  <c r="Y12" i="4"/>
  <c r="Y23" i="4"/>
  <c r="AF11" i="4"/>
  <c r="AK2" i="4"/>
  <c r="AL2" i="4" s="1"/>
  <c r="Y8" i="4"/>
  <c r="AF13" i="4"/>
  <c r="AG13" i="4" s="1"/>
  <c r="AF22" i="4"/>
  <c r="AG22" i="4" s="1"/>
  <c r="Y19" i="4"/>
  <c r="Y11" i="4"/>
  <c r="AK3" i="4"/>
  <c r="AK6" i="4"/>
  <c r="AK8" i="4"/>
  <c r="AF2" i="4"/>
  <c r="AG2" i="4" s="1"/>
  <c r="Y14" i="4"/>
  <c r="Y3" i="4"/>
  <c r="Y25" i="4"/>
  <c r="AF18" i="4"/>
  <c r="AG18" i="4" s="1"/>
  <c r="AF5" i="4"/>
  <c r="Y16" i="4"/>
  <c r="Y22" i="4"/>
  <c r="AK25" i="4"/>
  <c r="AL25" i="4" s="1"/>
  <c r="AF20" i="4"/>
  <c r="AG20" i="4" s="1"/>
  <c r="AF17" i="4"/>
  <c r="AG17" i="4" s="1"/>
  <c r="Y15" i="4"/>
  <c r="G2" i="4"/>
  <c r="AK13" i="4"/>
  <c r="AL13" i="4" s="1"/>
  <c r="AK12" i="4"/>
  <c r="AL12" i="4" s="1"/>
  <c r="AK23" i="4"/>
  <c r="AL23" i="4" s="1"/>
  <c r="AK11" i="4"/>
  <c r="AF14" i="4"/>
  <c r="AG14" i="4" s="1"/>
  <c r="AF3" i="4"/>
  <c r="AF25" i="4"/>
  <c r="AG25" i="4" s="1"/>
  <c r="Y18" i="4"/>
  <c r="Y5" i="4"/>
  <c r="AF16" i="4"/>
  <c r="AG16" i="4" s="1"/>
  <c r="Y17" i="4"/>
  <c r="AK10" i="4"/>
  <c r="AF7" i="4"/>
  <c r="AF8" i="4"/>
  <c r="AF12" i="4"/>
  <c r="AG12" i="4" s="1"/>
  <c r="AK19" i="4"/>
  <c r="AL19" i="4" s="1"/>
  <c r="AK18" i="4"/>
  <c r="AL18" i="4" s="1"/>
  <c r="AK16" i="4"/>
  <c r="AL16" i="4" s="1"/>
  <c r="Y7" i="4"/>
  <c r="Y20" i="4"/>
  <c r="Y13" i="4"/>
  <c r="AF6" i="4"/>
  <c r="AK15" i="4"/>
  <c r="AL15" i="4" s="1"/>
  <c r="AK22" i="4"/>
  <c r="AL22" i="4" s="1"/>
  <c r="Y6" i="4"/>
  <c r="AK14" i="4"/>
  <c r="AL14" i="4" s="1"/>
  <c r="Y10" i="4"/>
  <c r="AF23" i="4"/>
  <c r="AG23" i="4" s="1"/>
  <c r="AF24" i="4"/>
  <c r="AG24" i="4" s="1"/>
  <c r="AF9" i="4"/>
  <c r="AK4" i="4"/>
  <c r="AL4" i="4" s="1"/>
  <c r="AK28" i="4"/>
  <c r="AL28" i="4" s="1"/>
  <c r="AK34" i="4"/>
  <c r="AL34" i="4" s="1"/>
  <c r="AK40" i="4"/>
  <c r="AL40" i="4" s="1"/>
  <c r="AK46" i="4"/>
  <c r="AL46" i="4" s="1"/>
  <c r="AK52" i="4"/>
  <c r="AL52" i="4" s="1"/>
  <c r="AK58" i="4"/>
  <c r="AL58" i="4" s="1"/>
  <c r="AK64" i="4"/>
  <c r="AL64" i="4" s="1"/>
  <c r="AK70" i="4"/>
  <c r="AL70" i="4" s="1"/>
  <c r="AK76" i="4"/>
  <c r="AL76" i="4" s="1"/>
  <c r="AK82" i="4"/>
  <c r="AL82" i="4" s="1"/>
  <c r="AK88" i="4"/>
  <c r="AL88" i="4" s="1"/>
  <c r="AK118" i="4"/>
  <c r="AL118" i="4" s="1"/>
  <c r="AK148" i="4"/>
  <c r="AL148" i="4" s="1"/>
  <c r="AK184" i="4"/>
  <c r="AL184" i="4" s="1"/>
  <c r="AK214" i="4"/>
  <c r="AL214" i="4" s="1"/>
  <c r="AK215" i="4"/>
  <c r="AL215" i="4" s="1"/>
  <c r="AK29" i="4"/>
  <c r="AL29" i="4" s="1"/>
  <c r="AK35" i="4"/>
  <c r="AL35" i="4" s="1"/>
  <c r="AK41" i="4"/>
  <c r="AL41" i="4" s="1"/>
  <c r="AK47" i="4"/>
  <c r="AL47" i="4" s="1"/>
  <c r="AK53" i="4"/>
  <c r="AL53" i="4" s="1"/>
  <c r="AK59" i="4"/>
  <c r="AL59" i="4" s="1"/>
  <c r="AK65" i="4"/>
  <c r="AL65" i="4" s="1"/>
  <c r="AK71" i="4"/>
  <c r="AL71" i="4" s="1"/>
  <c r="AK77" i="4"/>
  <c r="AL77" i="4" s="1"/>
  <c r="AK83" i="4"/>
  <c r="AL83" i="4" s="1"/>
  <c r="AK89" i="4"/>
  <c r="AL89" i="4" s="1"/>
  <c r="AK95" i="4"/>
  <c r="AL95" i="4" s="1"/>
  <c r="AK101" i="4"/>
  <c r="AL101" i="4" s="1"/>
  <c r="AK107" i="4"/>
  <c r="AL107" i="4" s="1"/>
  <c r="AK113" i="4"/>
  <c r="AL113" i="4" s="1"/>
  <c r="AK119" i="4"/>
  <c r="AL119" i="4" s="1"/>
  <c r="AK125" i="4"/>
  <c r="AL125" i="4" s="1"/>
  <c r="AK131" i="4"/>
  <c r="AL131" i="4" s="1"/>
  <c r="AK137" i="4"/>
  <c r="AL137" i="4" s="1"/>
  <c r="AK143" i="4"/>
  <c r="AL143" i="4" s="1"/>
  <c r="AK149" i="4"/>
  <c r="AL149" i="4" s="1"/>
  <c r="AK155" i="4"/>
  <c r="AL155" i="4" s="1"/>
  <c r="AK161" i="4"/>
  <c r="AL161" i="4" s="1"/>
  <c r="AK167" i="4"/>
  <c r="AL167" i="4" s="1"/>
  <c r="AK173" i="4"/>
  <c r="AL173" i="4" s="1"/>
  <c r="AK179" i="4"/>
  <c r="AL179" i="4" s="1"/>
  <c r="AK197" i="4"/>
  <c r="AL197" i="4" s="1"/>
  <c r="AK216" i="4"/>
  <c r="AL216" i="4" s="1"/>
  <c r="AK24" i="4"/>
  <c r="AL24" i="4" s="1"/>
  <c r="AK30" i="4"/>
  <c r="AL30" i="4" s="1"/>
  <c r="AK36" i="4"/>
  <c r="AL36" i="4" s="1"/>
  <c r="AK42" i="4"/>
  <c r="AL42" i="4" s="1"/>
  <c r="AK48" i="4"/>
  <c r="AL48" i="4" s="1"/>
  <c r="AK54" i="4"/>
  <c r="AL54" i="4" s="1"/>
  <c r="AK60" i="4"/>
  <c r="AL60" i="4" s="1"/>
  <c r="AK66" i="4"/>
  <c r="AL66" i="4" s="1"/>
  <c r="AK72" i="4"/>
  <c r="AL72" i="4" s="1"/>
  <c r="AK78" i="4"/>
  <c r="AL78" i="4" s="1"/>
  <c r="AK84" i="4"/>
  <c r="AL84" i="4" s="1"/>
  <c r="AK90" i="4"/>
  <c r="AL90" i="4" s="1"/>
  <c r="AK96" i="4"/>
  <c r="AL96" i="4" s="1"/>
  <c r="AK102" i="4"/>
  <c r="AL102" i="4" s="1"/>
  <c r="AK108" i="4"/>
  <c r="AL108" i="4" s="1"/>
  <c r="AK114" i="4"/>
  <c r="AL114" i="4" s="1"/>
  <c r="AK120" i="4"/>
  <c r="AL120" i="4" s="1"/>
  <c r="AK126" i="4"/>
  <c r="AL126" i="4" s="1"/>
  <c r="AK132" i="4"/>
  <c r="AL132" i="4" s="1"/>
  <c r="AK138" i="4"/>
  <c r="AL138" i="4" s="1"/>
  <c r="AK144" i="4"/>
  <c r="AL144" i="4" s="1"/>
  <c r="AK150" i="4"/>
  <c r="AL150" i="4" s="1"/>
  <c r="AK156" i="4"/>
  <c r="AL156" i="4" s="1"/>
  <c r="AK162" i="4"/>
  <c r="AL162" i="4" s="1"/>
  <c r="AK168" i="4"/>
  <c r="AL168" i="4" s="1"/>
  <c r="AK174" i="4"/>
  <c r="AL174" i="4" s="1"/>
  <c r="AK180" i="4"/>
  <c r="AL180" i="4" s="1"/>
  <c r="AK192" i="4"/>
  <c r="AL192" i="4" s="1"/>
  <c r="AK31" i="4"/>
  <c r="AL31" i="4" s="1"/>
  <c r="AK37" i="4"/>
  <c r="AL37" i="4" s="1"/>
  <c r="AK43" i="4"/>
  <c r="AL43" i="4" s="1"/>
  <c r="AK49" i="4"/>
  <c r="AL49" i="4" s="1"/>
  <c r="AK55" i="4"/>
  <c r="AL55" i="4" s="1"/>
  <c r="AK61" i="4"/>
  <c r="AL61" i="4" s="1"/>
  <c r="AK67" i="4"/>
  <c r="AL67" i="4" s="1"/>
  <c r="AK73" i="4"/>
  <c r="AL73" i="4" s="1"/>
  <c r="AK79" i="4"/>
  <c r="AL79" i="4" s="1"/>
  <c r="AK85" i="4"/>
  <c r="AL85" i="4" s="1"/>
  <c r="AK91" i="4"/>
  <c r="AL91" i="4" s="1"/>
  <c r="AK97" i="4"/>
  <c r="AL97" i="4" s="1"/>
  <c r="AK103" i="4"/>
  <c r="AL103" i="4" s="1"/>
  <c r="AK109" i="4"/>
  <c r="AL109" i="4" s="1"/>
  <c r="AK115" i="4"/>
  <c r="AL115" i="4" s="1"/>
  <c r="AK121" i="4"/>
  <c r="AL121" i="4" s="1"/>
  <c r="AK127" i="4"/>
  <c r="AL127" i="4" s="1"/>
  <c r="AK133" i="4"/>
  <c r="AL133" i="4" s="1"/>
  <c r="AK139" i="4"/>
  <c r="AL139" i="4" s="1"/>
  <c r="AK145" i="4"/>
  <c r="AL145" i="4" s="1"/>
  <c r="AK151" i="4"/>
  <c r="AL151" i="4" s="1"/>
  <c r="AK157" i="4"/>
  <c r="AL157" i="4" s="1"/>
  <c r="AK163" i="4"/>
  <c r="AL163" i="4" s="1"/>
  <c r="AK169" i="4"/>
  <c r="AL169" i="4" s="1"/>
  <c r="AK175" i="4"/>
  <c r="AL175" i="4" s="1"/>
  <c r="AK181" i="4"/>
  <c r="AL181" i="4" s="1"/>
  <c r="AK187" i="4"/>
  <c r="AL187" i="4" s="1"/>
  <c r="AK193" i="4"/>
  <c r="AL193" i="4" s="1"/>
  <c r="AK199" i="4"/>
  <c r="AL199" i="4" s="1"/>
  <c r="AK205" i="4"/>
  <c r="AL205" i="4" s="1"/>
  <c r="AK211" i="4"/>
  <c r="AL211" i="4" s="1"/>
  <c r="AK217" i="4"/>
  <c r="AL217" i="4" s="1"/>
  <c r="AK9" i="4"/>
  <c r="AK21" i="4"/>
  <c r="AL21" i="4" s="1"/>
  <c r="AK39" i="4"/>
  <c r="AL39" i="4" s="1"/>
  <c r="AK51" i="4"/>
  <c r="AL51" i="4" s="1"/>
  <c r="AK63" i="4"/>
  <c r="AL63" i="4" s="1"/>
  <c r="AK75" i="4"/>
  <c r="AL75" i="4" s="1"/>
  <c r="AK87" i="4"/>
  <c r="AL87" i="4" s="1"/>
  <c r="AK99" i="4"/>
  <c r="AL99" i="4" s="1"/>
  <c r="AK111" i="4"/>
  <c r="AL111" i="4" s="1"/>
  <c r="AK123" i="4"/>
  <c r="AL123" i="4" s="1"/>
  <c r="AK135" i="4"/>
  <c r="AL135" i="4" s="1"/>
  <c r="AK147" i="4"/>
  <c r="AL147" i="4" s="1"/>
  <c r="AK159" i="4"/>
  <c r="AL159" i="4" s="1"/>
  <c r="AK171" i="4"/>
  <c r="AL171" i="4" s="1"/>
  <c r="AK183" i="4"/>
  <c r="AL183" i="4" s="1"/>
  <c r="AK195" i="4"/>
  <c r="AL195" i="4" s="1"/>
  <c r="AK207" i="4"/>
  <c r="AL207" i="4" s="1"/>
  <c r="AK94" i="4"/>
  <c r="AL94" i="4" s="1"/>
  <c r="AK106" i="4"/>
  <c r="AL106" i="4" s="1"/>
  <c r="AK124" i="4"/>
  <c r="AL124" i="4" s="1"/>
  <c r="AK136" i="4"/>
  <c r="AL136" i="4" s="1"/>
  <c r="AK154" i="4"/>
  <c r="AL154" i="4" s="1"/>
  <c r="AK166" i="4"/>
  <c r="AL166" i="4" s="1"/>
  <c r="AK178" i="4"/>
  <c r="AL178" i="4" s="1"/>
  <c r="AK196" i="4"/>
  <c r="AL196" i="4" s="1"/>
  <c r="AK208" i="4"/>
  <c r="AL208" i="4" s="1"/>
  <c r="AK191" i="4"/>
  <c r="AL191" i="4" s="1"/>
  <c r="AK209" i="4"/>
  <c r="AL209" i="4" s="1"/>
  <c r="AK198" i="4"/>
  <c r="AL198" i="4" s="1"/>
  <c r="AK210" i="4"/>
  <c r="AL210" i="4" s="1"/>
  <c r="AK26" i="4"/>
  <c r="AL26" i="4" s="1"/>
  <c r="AK32" i="4"/>
  <c r="AL32" i="4" s="1"/>
  <c r="AK38" i="4"/>
  <c r="AL38" i="4" s="1"/>
  <c r="AK44" i="4"/>
  <c r="AL44" i="4" s="1"/>
  <c r="AK50" i="4"/>
  <c r="AL50" i="4" s="1"/>
  <c r="AK56" i="4"/>
  <c r="AL56" i="4" s="1"/>
  <c r="AK62" i="4"/>
  <c r="AL62" i="4" s="1"/>
  <c r="AK68" i="4"/>
  <c r="AL68" i="4" s="1"/>
  <c r="AK74" i="4"/>
  <c r="AL74" i="4" s="1"/>
  <c r="AK80" i="4"/>
  <c r="AL80" i="4" s="1"/>
  <c r="AK86" i="4"/>
  <c r="AL86" i="4" s="1"/>
  <c r="AK92" i="4"/>
  <c r="AL92" i="4" s="1"/>
  <c r="AK98" i="4"/>
  <c r="AL98" i="4" s="1"/>
  <c r="AK104" i="4"/>
  <c r="AL104" i="4" s="1"/>
  <c r="AK110" i="4"/>
  <c r="AL110" i="4" s="1"/>
  <c r="AK116" i="4"/>
  <c r="AL116" i="4" s="1"/>
  <c r="AK122" i="4"/>
  <c r="AL122" i="4" s="1"/>
  <c r="AK128" i="4"/>
  <c r="AL128" i="4" s="1"/>
  <c r="AK134" i="4"/>
  <c r="AL134" i="4" s="1"/>
  <c r="AK140" i="4"/>
  <c r="AL140" i="4" s="1"/>
  <c r="AK146" i="4"/>
  <c r="AL146" i="4" s="1"/>
  <c r="AK152" i="4"/>
  <c r="AL152" i="4" s="1"/>
  <c r="AK158" i="4"/>
  <c r="AL158" i="4" s="1"/>
  <c r="AK164" i="4"/>
  <c r="AL164" i="4" s="1"/>
  <c r="AK170" i="4"/>
  <c r="AL170" i="4" s="1"/>
  <c r="AK176" i="4"/>
  <c r="AL176" i="4" s="1"/>
  <c r="AK182" i="4"/>
  <c r="AL182" i="4" s="1"/>
  <c r="AK188" i="4"/>
  <c r="AL188" i="4" s="1"/>
  <c r="AK194" i="4"/>
  <c r="AL194" i="4" s="1"/>
  <c r="AK200" i="4"/>
  <c r="AL200" i="4" s="1"/>
  <c r="AK206" i="4"/>
  <c r="AL206" i="4" s="1"/>
  <c r="AK212" i="4"/>
  <c r="AL212" i="4" s="1"/>
  <c r="AK218" i="4"/>
  <c r="AL218" i="4" s="1"/>
  <c r="AK27" i="4"/>
  <c r="AL27" i="4" s="1"/>
  <c r="AK33" i="4"/>
  <c r="AL33" i="4" s="1"/>
  <c r="AK45" i="4"/>
  <c r="AL45" i="4" s="1"/>
  <c r="AK57" i="4"/>
  <c r="AL57" i="4" s="1"/>
  <c r="AK69" i="4"/>
  <c r="AL69" i="4" s="1"/>
  <c r="AK81" i="4"/>
  <c r="AL81" i="4" s="1"/>
  <c r="AK93" i="4"/>
  <c r="AL93" i="4" s="1"/>
  <c r="AK105" i="4"/>
  <c r="AL105" i="4" s="1"/>
  <c r="AK117" i="4"/>
  <c r="AL117" i="4" s="1"/>
  <c r="AK129" i="4"/>
  <c r="AL129" i="4" s="1"/>
  <c r="AK141" i="4"/>
  <c r="AL141" i="4" s="1"/>
  <c r="AK153" i="4"/>
  <c r="AL153" i="4" s="1"/>
  <c r="AK165" i="4"/>
  <c r="AL165" i="4" s="1"/>
  <c r="AK177" i="4"/>
  <c r="AL177" i="4" s="1"/>
  <c r="AK189" i="4"/>
  <c r="AL189" i="4" s="1"/>
  <c r="AK201" i="4"/>
  <c r="AL201" i="4" s="1"/>
  <c r="AK213" i="4"/>
  <c r="AL213" i="4" s="1"/>
  <c r="AK100" i="4"/>
  <c r="AL100" i="4" s="1"/>
  <c r="AK112" i="4"/>
  <c r="AL112" i="4" s="1"/>
  <c r="AK130" i="4"/>
  <c r="AL130" i="4" s="1"/>
  <c r="AK142" i="4"/>
  <c r="AL142" i="4" s="1"/>
  <c r="AK160" i="4"/>
  <c r="AL160" i="4" s="1"/>
  <c r="AK172" i="4"/>
  <c r="AL172" i="4" s="1"/>
  <c r="AK190" i="4"/>
  <c r="AL190" i="4" s="1"/>
  <c r="AK202" i="4"/>
  <c r="AL202" i="4" s="1"/>
  <c r="AK185" i="4"/>
  <c r="AL185" i="4" s="1"/>
  <c r="AK203" i="4"/>
  <c r="AL203" i="4" s="1"/>
  <c r="AK186" i="4"/>
  <c r="AL186" i="4" s="1"/>
  <c r="AK204" i="4"/>
  <c r="AL204" i="4" s="1"/>
  <c r="AF69" i="4"/>
  <c r="AG69" i="4" s="1"/>
  <c r="Y87" i="4"/>
  <c r="AF105" i="4"/>
  <c r="AG105" i="4" s="1"/>
  <c r="Y123" i="4"/>
  <c r="AF141" i="4"/>
  <c r="AG141" i="4" s="1"/>
  <c r="Y159" i="4"/>
  <c r="Y177" i="4"/>
  <c r="Y195" i="4"/>
  <c r="Y213" i="4"/>
  <c r="Y68" i="4"/>
  <c r="Y86" i="4"/>
  <c r="Y104" i="4"/>
  <c r="Y122" i="4"/>
  <c r="Y140" i="4"/>
  <c r="Y158" i="4"/>
  <c r="Y176" i="4"/>
  <c r="Y194" i="4"/>
  <c r="Y212" i="4"/>
  <c r="Y109" i="4"/>
  <c r="Y127" i="4"/>
  <c r="Y145" i="4"/>
  <c r="Y163" i="4"/>
  <c r="Y181" i="4"/>
  <c r="Y199" i="4"/>
  <c r="Y217" i="4"/>
  <c r="Y54" i="4"/>
  <c r="Y72" i="4"/>
  <c r="Y90" i="4"/>
  <c r="Y108" i="4"/>
  <c r="Y126" i="4"/>
  <c r="Y144" i="4"/>
  <c r="Y162" i="4"/>
  <c r="Y180" i="4"/>
  <c r="Y198" i="4"/>
  <c r="Y216" i="4"/>
  <c r="Y59" i="4"/>
  <c r="Y77" i="4"/>
  <c r="Y95" i="4"/>
  <c r="Y113" i="4"/>
  <c r="Y131" i="4"/>
  <c r="Y149" i="4"/>
  <c r="Y167" i="4"/>
  <c r="Y185" i="4"/>
  <c r="Y203" i="4"/>
  <c r="Y79" i="4"/>
  <c r="Y97" i="4"/>
  <c r="Y64" i="4"/>
  <c r="Y82" i="4"/>
  <c r="Y100" i="4"/>
  <c r="Y118" i="4"/>
  <c r="Y136" i="4"/>
  <c r="Y154" i="4"/>
  <c r="Y172" i="4"/>
  <c r="Y190" i="4"/>
  <c r="Y208" i="4"/>
  <c r="AF21" i="4"/>
  <c r="AG21" i="4" s="1"/>
  <c r="AF26" i="4"/>
  <c r="AG26" i="4" s="1"/>
  <c r="AF44" i="4"/>
  <c r="AG44" i="4" s="1"/>
  <c r="AF39" i="4"/>
  <c r="AG39" i="4" s="1"/>
  <c r="AF57" i="4"/>
  <c r="AG57" i="4" s="1"/>
  <c r="Y75" i="4"/>
  <c r="AF93" i="4"/>
  <c r="AG93" i="4" s="1"/>
  <c r="Y111" i="4"/>
  <c r="AF129" i="4"/>
  <c r="AG129" i="4" s="1"/>
  <c r="Y147" i="4"/>
  <c r="AF165" i="4"/>
  <c r="AG165" i="4" s="1"/>
  <c r="AF183" i="4"/>
  <c r="AG183" i="4" s="1"/>
  <c r="AF201" i="4"/>
  <c r="AG201" i="4" s="1"/>
  <c r="AF56" i="4"/>
  <c r="AG56" i="4" s="1"/>
  <c r="AF74" i="4"/>
  <c r="AG74" i="4" s="1"/>
  <c r="AF92" i="4"/>
  <c r="AG92" i="4" s="1"/>
  <c r="AF110" i="4"/>
  <c r="AG110" i="4" s="1"/>
  <c r="AF128" i="4"/>
  <c r="AG128" i="4" s="1"/>
  <c r="AF146" i="4"/>
  <c r="AG146" i="4" s="1"/>
  <c r="AF164" i="4"/>
  <c r="AG164" i="4" s="1"/>
  <c r="AF182" i="4"/>
  <c r="AG182" i="4" s="1"/>
  <c r="AF200" i="4"/>
  <c r="AG200" i="4" s="1"/>
  <c r="AF218" i="4"/>
  <c r="AG218" i="4" s="1"/>
  <c r="AF115" i="4"/>
  <c r="AG115" i="4" s="1"/>
  <c r="AF133" i="4"/>
  <c r="AG133" i="4" s="1"/>
  <c r="AF151" i="4"/>
  <c r="AG151" i="4" s="1"/>
  <c r="AF169" i="4"/>
  <c r="AG169" i="4" s="1"/>
  <c r="AF187" i="4"/>
  <c r="AG187" i="4" s="1"/>
  <c r="AF205" i="4"/>
  <c r="AG205" i="4" s="1"/>
  <c r="AF55" i="4"/>
  <c r="AG55" i="4" s="1"/>
  <c r="AF60" i="4"/>
  <c r="AG60" i="4" s="1"/>
  <c r="AF78" i="4"/>
  <c r="AG78" i="4" s="1"/>
  <c r="AF96" i="4"/>
  <c r="AG96" i="4" s="1"/>
  <c r="AF114" i="4"/>
  <c r="AG114" i="4" s="1"/>
  <c r="AF132" i="4"/>
  <c r="AG132" i="4" s="1"/>
  <c r="AF150" i="4"/>
  <c r="AG150" i="4" s="1"/>
  <c r="AF168" i="4"/>
  <c r="AG168" i="4" s="1"/>
  <c r="AF186" i="4"/>
  <c r="AG186" i="4" s="1"/>
  <c r="AF204" i="4"/>
  <c r="AG204" i="4" s="1"/>
  <c r="AF73" i="4"/>
  <c r="AG73" i="4" s="1"/>
  <c r="AF65" i="4"/>
  <c r="AG65" i="4" s="1"/>
  <c r="AF83" i="4"/>
  <c r="AG83" i="4" s="1"/>
  <c r="AF101" i="4"/>
  <c r="AG101" i="4" s="1"/>
  <c r="AF119" i="4"/>
  <c r="AG119" i="4" s="1"/>
  <c r="AF137" i="4"/>
  <c r="AG137" i="4" s="1"/>
  <c r="AF155" i="4"/>
  <c r="AG155" i="4" s="1"/>
  <c r="AF173" i="4"/>
  <c r="AG173" i="4" s="1"/>
  <c r="AF191" i="4"/>
  <c r="AG191" i="4" s="1"/>
  <c r="AF209" i="4"/>
  <c r="AG209" i="4" s="1"/>
  <c r="AF85" i="4"/>
  <c r="AG85" i="4" s="1"/>
  <c r="AF103" i="4"/>
  <c r="AG103" i="4" s="1"/>
  <c r="AF70" i="4"/>
  <c r="AG70" i="4" s="1"/>
  <c r="AF88" i="4"/>
  <c r="AG88" i="4" s="1"/>
  <c r="AF106" i="4"/>
  <c r="AG106" i="4" s="1"/>
  <c r="AF124" i="4"/>
  <c r="AG124" i="4" s="1"/>
  <c r="AF142" i="4"/>
  <c r="AG142" i="4" s="1"/>
  <c r="AF160" i="4"/>
  <c r="AG160" i="4" s="1"/>
  <c r="AF178" i="4"/>
  <c r="AG178" i="4" s="1"/>
  <c r="AF196" i="4"/>
  <c r="AG196" i="4" s="1"/>
  <c r="AF214" i="4"/>
  <c r="AG214" i="4" s="1"/>
  <c r="Y33" i="4"/>
  <c r="Y32" i="4"/>
  <c r="Y50" i="4"/>
  <c r="Y45" i="4"/>
  <c r="Y31" i="4"/>
  <c r="Y49" i="4"/>
  <c r="Y9" i="4"/>
  <c r="AF30" i="4"/>
  <c r="AG30" i="4" s="1"/>
  <c r="AF48" i="4"/>
  <c r="AG48" i="4" s="1"/>
  <c r="Y29" i="4"/>
  <c r="Y57" i="4"/>
  <c r="AF75" i="4"/>
  <c r="AG75" i="4" s="1"/>
  <c r="Y93" i="4"/>
  <c r="AF111" i="4"/>
  <c r="AG111" i="4" s="1"/>
  <c r="Y129" i="4"/>
  <c r="AF147" i="4"/>
  <c r="AG147" i="4" s="1"/>
  <c r="Y165" i="4"/>
  <c r="Y183" i="4"/>
  <c r="Y201" i="4"/>
  <c r="Y56" i="4"/>
  <c r="Y74" i="4"/>
  <c r="Y92" i="4"/>
  <c r="Y110" i="4"/>
  <c r="Y128" i="4"/>
  <c r="Y146" i="4"/>
  <c r="Y164" i="4"/>
  <c r="Y182" i="4"/>
  <c r="Y200" i="4"/>
  <c r="Y218" i="4"/>
  <c r="Y115" i="4"/>
  <c r="Y133" i="4"/>
  <c r="Y151" i="4"/>
  <c r="Y169" i="4"/>
  <c r="Y187" i="4"/>
  <c r="Y205" i="4"/>
  <c r="Y55" i="4"/>
  <c r="Y60" i="4"/>
  <c r="Y78" i="4"/>
  <c r="Y96" i="4"/>
  <c r="Y114" i="4"/>
  <c r="Y132" i="4"/>
  <c r="Y150" i="4"/>
  <c r="Y168" i="4"/>
  <c r="Y186" i="4"/>
  <c r="Y204" i="4"/>
  <c r="Y73" i="4"/>
  <c r="Y65" i="4"/>
  <c r="Y83" i="4"/>
  <c r="Y101" i="4"/>
  <c r="Y119" i="4"/>
  <c r="Y137" i="4"/>
  <c r="Y155" i="4"/>
  <c r="Y173" i="4"/>
  <c r="Y191" i="4"/>
  <c r="Y209" i="4"/>
  <c r="Y85" i="4"/>
  <c r="Y103" i="4"/>
  <c r="Y70" i="4"/>
  <c r="Y88" i="4"/>
  <c r="Y106" i="4"/>
  <c r="Y124" i="4"/>
  <c r="Y142" i="4"/>
  <c r="Y160" i="4"/>
  <c r="Y178" i="4"/>
  <c r="Y196" i="4"/>
  <c r="Y214" i="4"/>
  <c r="AF33" i="4"/>
  <c r="AG33" i="4" s="1"/>
  <c r="AF32" i="4"/>
  <c r="AG32" i="4" s="1"/>
  <c r="AF50" i="4"/>
  <c r="AG50" i="4" s="1"/>
  <c r="AF45" i="4"/>
  <c r="AG45" i="4" s="1"/>
  <c r="AF31" i="4"/>
  <c r="AG31" i="4" s="1"/>
  <c r="AF49" i="4"/>
  <c r="AG49" i="4" s="1"/>
  <c r="Y30" i="4"/>
  <c r="Y48" i="4"/>
  <c r="AF29" i="4"/>
  <c r="AG29" i="4" s="1"/>
  <c r="Y47" i="4"/>
  <c r="AF63" i="4"/>
  <c r="AG63" i="4" s="1"/>
  <c r="Y81" i="4"/>
  <c r="AF99" i="4"/>
  <c r="AG99" i="4" s="1"/>
  <c r="Y117" i="4"/>
  <c r="AF135" i="4"/>
  <c r="AG135" i="4" s="1"/>
  <c r="Y153" i="4"/>
  <c r="AF171" i="4"/>
  <c r="AG171" i="4" s="1"/>
  <c r="AF189" i="4"/>
  <c r="AG189" i="4" s="1"/>
  <c r="AF207" i="4"/>
  <c r="AG207" i="4" s="1"/>
  <c r="AF62" i="4"/>
  <c r="AG62" i="4" s="1"/>
  <c r="AF80" i="4"/>
  <c r="AG80" i="4" s="1"/>
  <c r="AF98" i="4"/>
  <c r="AG98" i="4" s="1"/>
  <c r="AF116" i="4"/>
  <c r="AG116" i="4" s="1"/>
  <c r="AF134" i="4"/>
  <c r="AG134" i="4" s="1"/>
  <c r="AF152" i="4"/>
  <c r="AG152" i="4" s="1"/>
  <c r="AF170" i="4"/>
  <c r="AG170" i="4" s="1"/>
  <c r="AF188" i="4"/>
  <c r="AG188" i="4" s="1"/>
  <c r="AF206" i="4"/>
  <c r="AG206" i="4" s="1"/>
  <c r="AF67" i="4"/>
  <c r="AG67" i="4" s="1"/>
  <c r="AF121" i="4"/>
  <c r="AG121" i="4" s="1"/>
  <c r="AF139" i="4"/>
  <c r="AG139" i="4" s="1"/>
  <c r="AF157" i="4"/>
  <c r="AG157" i="4" s="1"/>
  <c r="AF175" i="4"/>
  <c r="AG175" i="4" s="1"/>
  <c r="AF193" i="4"/>
  <c r="AG193" i="4" s="1"/>
  <c r="AF211" i="4"/>
  <c r="AG211" i="4" s="1"/>
  <c r="AF61" i="4"/>
  <c r="AG61" i="4" s="1"/>
  <c r="AF66" i="4"/>
  <c r="AG66" i="4" s="1"/>
  <c r="AF84" i="4"/>
  <c r="AG84" i="4" s="1"/>
  <c r="AF102" i="4"/>
  <c r="AG102" i="4" s="1"/>
  <c r="AF120" i="4"/>
  <c r="AG120" i="4" s="1"/>
  <c r="AF138" i="4"/>
  <c r="AG138" i="4" s="1"/>
  <c r="AF156" i="4"/>
  <c r="AG156" i="4" s="1"/>
  <c r="AF174" i="4"/>
  <c r="AG174" i="4" s="1"/>
  <c r="AF192" i="4"/>
  <c r="AG192" i="4" s="1"/>
  <c r="AF210" i="4"/>
  <c r="AG210" i="4" s="1"/>
  <c r="AF53" i="4"/>
  <c r="AG53" i="4" s="1"/>
  <c r="AF71" i="4"/>
  <c r="AG71" i="4" s="1"/>
  <c r="AF89" i="4"/>
  <c r="AG89" i="4" s="1"/>
  <c r="AF107" i="4"/>
  <c r="AG107" i="4" s="1"/>
  <c r="AF125" i="4"/>
  <c r="AG125" i="4" s="1"/>
  <c r="AF143" i="4"/>
  <c r="AG143" i="4" s="1"/>
  <c r="AF161" i="4"/>
  <c r="AG161" i="4" s="1"/>
  <c r="AF179" i="4"/>
  <c r="AG179" i="4" s="1"/>
  <c r="AF197" i="4"/>
  <c r="AG197" i="4" s="1"/>
  <c r="AF215" i="4"/>
  <c r="AG215" i="4" s="1"/>
  <c r="AF91" i="4"/>
  <c r="AG91" i="4" s="1"/>
  <c r="AF58" i="4"/>
  <c r="AG58" i="4" s="1"/>
  <c r="AF76" i="4"/>
  <c r="AG76" i="4" s="1"/>
  <c r="AF94" i="4"/>
  <c r="AG94" i="4" s="1"/>
  <c r="AF112" i="4"/>
  <c r="AG112" i="4" s="1"/>
  <c r="AF130" i="4"/>
  <c r="AG130" i="4" s="1"/>
  <c r="AF148" i="4"/>
  <c r="AG148" i="4" s="1"/>
  <c r="AF166" i="4"/>
  <c r="AG166" i="4" s="1"/>
  <c r="AF184" i="4"/>
  <c r="AG184" i="4" s="1"/>
  <c r="AF202" i="4"/>
  <c r="AG202" i="4" s="1"/>
  <c r="Y38" i="4"/>
  <c r="Y51" i="4"/>
  <c r="Y37" i="4"/>
  <c r="Y4" i="4"/>
  <c r="AF36" i="4"/>
  <c r="AG36" i="4" s="1"/>
  <c r="AF35" i="4"/>
  <c r="AG35" i="4" s="1"/>
  <c r="Y99" i="4"/>
  <c r="AF153" i="4"/>
  <c r="AG153" i="4" s="1"/>
  <c r="Y207" i="4"/>
  <c r="Y98" i="4"/>
  <c r="Y152" i="4"/>
  <c r="Y206" i="4"/>
  <c r="Y139" i="4"/>
  <c r="Y193" i="4"/>
  <c r="Y66" i="4"/>
  <c r="Y120" i="4"/>
  <c r="Y174" i="4"/>
  <c r="Y53" i="4"/>
  <c r="Y107" i="4"/>
  <c r="Y161" i="4"/>
  <c r="Y215" i="4"/>
  <c r="Y76" i="4"/>
  <c r="Y130" i="4"/>
  <c r="Y184" i="4"/>
  <c r="Y21" i="4"/>
  <c r="AF37" i="4"/>
  <c r="AG37" i="4" s="1"/>
  <c r="AF42" i="4"/>
  <c r="AG42" i="4" s="1"/>
  <c r="Y35" i="4"/>
  <c r="Y34" i="4"/>
  <c r="Y52" i="4"/>
  <c r="Y80" i="4"/>
  <c r="Y61" i="4"/>
  <c r="Y210" i="4"/>
  <c r="Y112" i="4"/>
  <c r="Y141" i="4"/>
  <c r="AF127" i="4"/>
  <c r="AG127" i="4" s="1"/>
  <c r="AF108" i="4"/>
  <c r="AG108" i="4" s="1"/>
  <c r="AF95" i="4"/>
  <c r="AG95" i="4" s="1"/>
  <c r="AF64" i="4"/>
  <c r="AG64" i="4" s="1"/>
  <c r="Y105" i="4"/>
  <c r="AF159" i="4"/>
  <c r="AG159" i="4" s="1"/>
  <c r="AF213" i="4"/>
  <c r="AG213" i="4" s="1"/>
  <c r="AF104" i="4"/>
  <c r="AG104" i="4" s="1"/>
  <c r="AF158" i="4"/>
  <c r="AG158" i="4" s="1"/>
  <c r="AF212" i="4"/>
  <c r="AG212" i="4" s="1"/>
  <c r="AF145" i="4"/>
  <c r="AG145" i="4" s="1"/>
  <c r="AF199" i="4"/>
  <c r="AG199" i="4" s="1"/>
  <c r="AF72" i="4"/>
  <c r="AG72" i="4" s="1"/>
  <c r="AF126" i="4"/>
  <c r="AG126" i="4" s="1"/>
  <c r="AF180" i="4"/>
  <c r="AG180" i="4" s="1"/>
  <c r="AF59" i="4"/>
  <c r="AG59" i="4" s="1"/>
  <c r="AF113" i="4"/>
  <c r="AG113" i="4" s="1"/>
  <c r="AF167" i="4"/>
  <c r="AG167" i="4" s="1"/>
  <c r="AF79" i="4"/>
  <c r="AG79" i="4" s="1"/>
  <c r="AF82" i="4"/>
  <c r="AG82" i="4" s="1"/>
  <c r="AF136" i="4"/>
  <c r="AG136" i="4" s="1"/>
  <c r="AF190" i="4"/>
  <c r="AG190" i="4" s="1"/>
  <c r="Y43" i="4"/>
  <c r="Y42" i="4"/>
  <c r="Y41" i="4"/>
  <c r="AF34" i="4"/>
  <c r="AG34" i="4" s="1"/>
  <c r="AF52" i="4"/>
  <c r="AG52" i="4" s="1"/>
  <c r="Y135" i="4"/>
  <c r="Y188" i="4"/>
  <c r="Y102" i="4"/>
  <c r="Y143" i="4"/>
  <c r="Y166" i="4"/>
  <c r="Y24" i="4"/>
  <c r="Y46" i="4"/>
  <c r="AF87" i="4"/>
  <c r="AG87" i="4" s="1"/>
  <c r="AF140" i="4"/>
  <c r="AG140" i="4" s="1"/>
  <c r="AF54" i="4"/>
  <c r="AG54" i="4" s="1"/>
  <c r="AF216" i="4"/>
  <c r="AG216" i="4" s="1"/>
  <c r="AF118" i="4"/>
  <c r="AG118" i="4" s="1"/>
  <c r="AF28" i="4"/>
  <c r="AG28" i="4" s="1"/>
  <c r="Y63" i="4"/>
  <c r="AF117" i="4"/>
  <c r="AG117" i="4" s="1"/>
  <c r="Y171" i="4"/>
  <c r="Y62" i="4"/>
  <c r="Y116" i="4"/>
  <c r="Y170" i="4"/>
  <c r="Y67" i="4"/>
  <c r="Y157" i="4"/>
  <c r="Y211" i="4"/>
  <c r="Y84" i="4"/>
  <c r="Y138" i="4"/>
  <c r="Y192" i="4"/>
  <c r="Y71" i="4"/>
  <c r="Y125" i="4"/>
  <c r="Y179" i="4"/>
  <c r="Y91" i="4"/>
  <c r="Y94" i="4"/>
  <c r="Y148" i="4"/>
  <c r="Y202" i="4"/>
  <c r="Y39" i="4"/>
  <c r="AF43" i="4"/>
  <c r="AG43" i="4" s="1"/>
  <c r="AF41" i="4"/>
  <c r="AG41" i="4" s="1"/>
  <c r="Y40" i="4"/>
  <c r="Y189" i="4"/>
  <c r="Y175" i="4"/>
  <c r="Y89" i="4"/>
  <c r="Y58" i="4"/>
  <c r="AF38" i="4"/>
  <c r="AG38" i="4" s="1"/>
  <c r="Y27" i="4"/>
  <c r="Y28" i="4"/>
  <c r="AF195" i="4"/>
  <c r="AG195" i="4" s="1"/>
  <c r="AF181" i="4"/>
  <c r="AG181" i="4" s="1"/>
  <c r="AF149" i="4"/>
  <c r="AG149" i="4" s="1"/>
  <c r="AF172" i="4"/>
  <c r="AG172" i="4" s="1"/>
  <c r="AF46" i="4"/>
  <c r="AG46" i="4" s="1"/>
  <c r="Y69" i="4"/>
  <c r="AF123" i="4"/>
  <c r="AG123" i="4" s="1"/>
  <c r="AF177" i="4"/>
  <c r="AG177" i="4" s="1"/>
  <c r="AF68" i="4"/>
  <c r="AG68" i="4" s="1"/>
  <c r="AF122" i="4"/>
  <c r="AG122" i="4" s="1"/>
  <c r="AF176" i="4"/>
  <c r="AG176" i="4" s="1"/>
  <c r="AF109" i="4"/>
  <c r="AG109" i="4" s="1"/>
  <c r="AF163" i="4"/>
  <c r="AG163" i="4" s="1"/>
  <c r="AF217" i="4"/>
  <c r="AG217" i="4" s="1"/>
  <c r="AF90" i="4"/>
  <c r="AG90" i="4" s="1"/>
  <c r="AF144" i="4"/>
  <c r="AG144" i="4" s="1"/>
  <c r="AF198" i="4"/>
  <c r="AG198" i="4" s="1"/>
  <c r="AF77" i="4"/>
  <c r="AG77" i="4" s="1"/>
  <c r="AF131" i="4"/>
  <c r="AG131" i="4" s="1"/>
  <c r="AF185" i="4"/>
  <c r="AG185" i="4" s="1"/>
  <c r="AF97" i="4"/>
  <c r="AG97" i="4" s="1"/>
  <c r="AF100" i="4"/>
  <c r="AG100" i="4" s="1"/>
  <c r="AF154" i="4"/>
  <c r="AG154" i="4" s="1"/>
  <c r="AF208" i="4"/>
  <c r="AG208" i="4" s="1"/>
  <c r="Y26" i="4"/>
  <c r="AF51" i="4"/>
  <c r="AG51" i="4" s="1"/>
  <c r="AF4" i="4"/>
  <c r="AG4" i="4" s="1"/>
  <c r="AF47" i="4"/>
  <c r="AG47" i="4" s="1"/>
  <c r="AF40" i="4"/>
  <c r="AG40" i="4" s="1"/>
  <c r="AF81" i="4"/>
  <c r="AG81" i="4" s="1"/>
  <c r="Y134" i="4"/>
  <c r="Y121" i="4"/>
  <c r="Y156" i="4"/>
  <c r="Y197" i="4"/>
  <c r="AF86" i="4"/>
  <c r="AG86" i="4" s="1"/>
  <c r="AF194" i="4"/>
  <c r="AG194" i="4" s="1"/>
  <c r="AF162" i="4"/>
  <c r="AG162" i="4" s="1"/>
  <c r="AF203" i="4"/>
  <c r="AG203" i="4" s="1"/>
  <c r="Y44" i="4"/>
  <c r="Y36" i="4"/>
  <c r="AF27" i="4"/>
  <c r="AG27" i="4" s="1"/>
  <c r="S7" i="4"/>
  <c r="S13" i="4"/>
  <c r="S19" i="4"/>
  <c r="S25" i="4"/>
  <c r="S31" i="4"/>
  <c r="S37" i="4"/>
  <c r="S43" i="4"/>
  <c r="S49" i="4"/>
  <c r="S55" i="4"/>
  <c r="S61" i="4"/>
  <c r="S67" i="4"/>
  <c r="S73" i="4"/>
  <c r="S79" i="4"/>
  <c r="S85" i="4"/>
  <c r="S91" i="4"/>
  <c r="S97" i="4"/>
  <c r="S103" i="4"/>
  <c r="S109" i="4"/>
  <c r="S115" i="4"/>
  <c r="S121" i="4"/>
  <c r="S127" i="4"/>
  <c r="S133" i="4"/>
  <c r="S139" i="4"/>
  <c r="S145" i="4"/>
  <c r="S151" i="4"/>
  <c r="S157" i="4"/>
  <c r="S163" i="4"/>
  <c r="S169" i="4"/>
  <c r="S175" i="4"/>
  <c r="S181" i="4"/>
  <c r="S187" i="4"/>
  <c r="S193" i="4"/>
  <c r="S199" i="4"/>
  <c r="S205" i="4"/>
  <c r="S211" i="4"/>
  <c r="S217" i="4"/>
  <c r="S16" i="4"/>
  <c r="S34" i="4"/>
  <c r="S52" i="4"/>
  <c r="S70" i="4"/>
  <c r="S88" i="4"/>
  <c r="S112" i="4"/>
  <c r="S130" i="4"/>
  <c r="S160" i="4"/>
  <c r="S190" i="4"/>
  <c r="S8" i="4"/>
  <c r="S14" i="4"/>
  <c r="S20" i="4"/>
  <c r="S26" i="4"/>
  <c r="S32" i="4"/>
  <c r="S38" i="4"/>
  <c r="S44" i="4"/>
  <c r="S50" i="4"/>
  <c r="S56" i="4"/>
  <c r="S62" i="4"/>
  <c r="S68" i="4"/>
  <c r="S74" i="4"/>
  <c r="S80" i="4"/>
  <c r="S86" i="4"/>
  <c r="S92" i="4"/>
  <c r="S98" i="4"/>
  <c r="S104" i="4"/>
  <c r="S110" i="4"/>
  <c r="S116" i="4"/>
  <c r="S122" i="4"/>
  <c r="S128" i="4"/>
  <c r="S134" i="4"/>
  <c r="S140" i="4"/>
  <c r="S146" i="4"/>
  <c r="S152" i="4"/>
  <c r="S158" i="4"/>
  <c r="S164" i="4"/>
  <c r="S170" i="4"/>
  <c r="S176" i="4"/>
  <c r="S182" i="4"/>
  <c r="S188" i="4"/>
  <c r="S194" i="4"/>
  <c r="S200" i="4"/>
  <c r="S206" i="4"/>
  <c r="S212" i="4"/>
  <c r="S218" i="4"/>
  <c r="S22" i="4"/>
  <c r="S40" i="4"/>
  <c r="S58" i="4"/>
  <c r="S76" i="4"/>
  <c r="S94" i="4"/>
  <c r="S106" i="4"/>
  <c r="S124" i="4"/>
  <c r="S154" i="4"/>
  <c r="S184" i="4"/>
  <c r="S214" i="4"/>
  <c r="S9" i="4"/>
  <c r="S15" i="4"/>
  <c r="S21" i="4"/>
  <c r="S27" i="4"/>
  <c r="S33" i="4"/>
  <c r="S39" i="4"/>
  <c r="S45" i="4"/>
  <c r="S51" i="4"/>
  <c r="S57" i="4"/>
  <c r="S63" i="4"/>
  <c r="S69" i="4"/>
  <c r="S75" i="4"/>
  <c r="S81" i="4"/>
  <c r="S87" i="4"/>
  <c r="S93" i="4"/>
  <c r="S99" i="4"/>
  <c r="S105" i="4"/>
  <c r="S111" i="4"/>
  <c r="S117" i="4"/>
  <c r="S123" i="4"/>
  <c r="S129" i="4"/>
  <c r="S135" i="4"/>
  <c r="S141" i="4"/>
  <c r="S147" i="4"/>
  <c r="S153" i="4"/>
  <c r="S159" i="4"/>
  <c r="S165" i="4"/>
  <c r="S171" i="4"/>
  <c r="S177" i="4"/>
  <c r="S183" i="4"/>
  <c r="S189" i="4"/>
  <c r="S195" i="4"/>
  <c r="S201" i="4"/>
  <c r="S207" i="4"/>
  <c r="S213" i="4"/>
  <c r="S10" i="4"/>
  <c r="S28" i="4"/>
  <c r="S46" i="4"/>
  <c r="S64" i="4"/>
  <c r="S82" i="4"/>
  <c r="S100" i="4"/>
  <c r="S118" i="4"/>
  <c r="S136" i="4"/>
  <c r="S166" i="4"/>
  <c r="S196" i="4"/>
  <c r="S5" i="4"/>
  <c r="S11" i="4"/>
  <c r="S17" i="4"/>
  <c r="S23" i="4"/>
  <c r="S29" i="4"/>
  <c r="S35" i="4"/>
  <c r="S41" i="4"/>
  <c r="S47" i="4"/>
  <c r="S53" i="4"/>
  <c r="S59" i="4"/>
  <c r="S65" i="4"/>
  <c r="S71" i="4"/>
  <c r="S77" i="4"/>
  <c r="S83" i="4"/>
  <c r="S89" i="4"/>
  <c r="S95" i="4"/>
  <c r="S101" i="4"/>
  <c r="S107" i="4"/>
  <c r="S113" i="4"/>
  <c r="S119" i="4"/>
  <c r="S125" i="4"/>
  <c r="S131" i="4"/>
  <c r="S137" i="4"/>
  <c r="S143" i="4"/>
  <c r="S149" i="4"/>
  <c r="S155" i="4"/>
  <c r="S161" i="4"/>
  <c r="S167" i="4"/>
  <c r="S173" i="4"/>
  <c r="S179" i="4"/>
  <c r="S185" i="4"/>
  <c r="S191" i="4"/>
  <c r="S197" i="4"/>
  <c r="S203" i="4"/>
  <c r="S209" i="4"/>
  <c r="S215" i="4"/>
  <c r="S156" i="4"/>
  <c r="S168" i="4"/>
  <c r="S180" i="4"/>
  <c r="S192" i="4"/>
  <c r="S204" i="4"/>
  <c r="S216" i="4"/>
  <c r="S148" i="4"/>
  <c r="S178" i="4"/>
  <c r="S208" i="4"/>
  <c r="S6" i="4"/>
  <c r="S12" i="4"/>
  <c r="S18" i="4"/>
  <c r="S24" i="4"/>
  <c r="S30" i="4"/>
  <c r="S36" i="4"/>
  <c r="S42" i="4"/>
  <c r="S48" i="4"/>
  <c r="S54" i="4"/>
  <c r="S60" i="4"/>
  <c r="S66" i="4"/>
  <c r="S72" i="4"/>
  <c r="S78" i="4"/>
  <c r="S84" i="4"/>
  <c r="S90" i="4"/>
  <c r="S96" i="4"/>
  <c r="S102" i="4"/>
  <c r="S108" i="4"/>
  <c r="S114" i="4"/>
  <c r="S120" i="4"/>
  <c r="S126" i="4"/>
  <c r="S132" i="4"/>
  <c r="S138" i="4"/>
  <c r="S144" i="4"/>
  <c r="S150" i="4"/>
  <c r="S162" i="4"/>
  <c r="S174" i="4"/>
  <c r="S186" i="4"/>
  <c r="S198" i="4"/>
  <c r="S210" i="4"/>
  <c r="S142" i="4"/>
  <c r="S172" i="4"/>
  <c r="S202" i="4"/>
  <c r="S4" i="4"/>
  <c r="S3" i="4"/>
  <c r="G4" i="4"/>
  <c r="H4" i="4" s="1"/>
  <c r="G19" i="4"/>
  <c r="H19" i="4" s="1"/>
  <c r="G37" i="4"/>
  <c r="H37" i="4" s="1"/>
  <c r="G55" i="4"/>
  <c r="H55" i="4" s="1"/>
  <c r="G73" i="4"/>
  <c r="H73" i="4" s="1"/>
  <c r="G91" i="4"/>
  <c r="H91" i="4" s="1"/>
  <c r="G109" i="4"/>
  <c r="H109" i="4" s="1"/>
  <c r="C211" i="24" s="1"/>
  <c r="G127" i="4"/>
  <c r="H127" i="4" s="1"/>
  <c r="G145" i="4"/>
  <c r="H145" i="4" s="1"/>
  <c r="G163" i="4"/>
  <c r="H163" i="4" s="1"/>
  <c r="G181" i="4"/>
  <c r="H181" i="4" s="1"/>
  <c r="G199" i="4"/>
  <c r="H199" i="4" s="1"/>
  <c r="G217" i="4"/>
  <c r="H217" i="4" s="1"/>
  <c r="G146" i="4"/>
  <c r="H146" i="4" s="1"/>
  <c r="G164" i="4"/>
  <c r="H164" i="4" s="1"/>
  <c r="G182" i="4"/>
  <c r="H182" i="4" s="1"/>
  <c r="G200" i="4"/>
  <c r="H200" i="4" s="1"/>
  <c r="G218" i="4"/>
  <c r="H218" i="4" s="1"/>
  <c r="G80" i="4"/>
  <c r="H80" i="4" s="1"/>
  <c r="G152" i="4"/>
  <c r="H152" i="4" s="1"/>
  <c r="G206" i="4"/>
  <c r="H206" i="4" s="1"/>
  <c r="G157" i="4"/>
  <c r="H157" i="4" s="1"/>
  <c r="G131" i="4"/>
  <c r="H131" i="4" s="1"/>
  <c r="G185" i="4"/>
  <c r="H185" i="4" s="1"/>
  <c r="G6" i="4"/>
  <c r="G24" i="4"/>
  <c r="H24" i="4" s="1"/>
  <c r="G42" i="4"/>
  <c r="H42" i="4" s="1"/>
  <c r="G60" i="4"/>
  <c r="H60" i="4" s="1"/>
  <c r="G78" i="4"/>
  <c r="H78" i="4" s="1"/>
  <c r="G96" i="4"/>
  <c r="H96" i="4" s="1"/>
  <c r="G114" i="4"/>
  <c r="H114" i="4" s="1"/>
  <c r="G132" i="4"/>
  <c r="H132" i="4" s="1"/>
  <c r="G150" i="4"/>
  <c r="H150" i="4" s="1"/>
  <c r="G168" i="4"/>
  <c r="H168" i="4" s="1"/>
  <c r="G186" i="4"/>
  <c r="H186" i="4" s="1"/>
  <c r="G204" i="4"/>
  <c r="H204" i="4" s="1"/>
  <c r="G191" i="4"/>
  <c r="H191" i="4" s="1"/>
  <c r="G209" i="4"/>
  <c r="H209" i="4" s="1"/>
  <c r="G11" i="4"/>
  <c r="G77" i="4"/>
  <c r="H77" i="4" s="1"/>
  <c r="G10" i="4"/>
  <c r="G28" i="4"/>
  <c r="H28" i="4" s="1"/>
  <c r="G46" i="4"/>
  <c r="H46" i="4" s="1"/>
  <c r="G64" i="4"/>
  <c r="H64" i="4" s="1"/>
  <c r="G82" i="4"/>
  <c r="H82" i="4" s="1"/>
  <c r="G100" i="4"/>
  <c r="H100" i="4" s="1"/>
  <c r="G118" i="4"/>
  <c r="H118" i="4" s="1"/>
  <c r="G136" i="4"/>
  <c r="H136" i="4" s="1"/>
  <c r="G154" i="4"/>
  <c r="H154" i="4" s="1"/>
  <c r="G172" i="4"/>
  <c r="H172" i="4" s="1"/>
  <c r="G190" i="4"/>
  <c r="H190" i="4" s="1"/>
  <c r="G208" i="4"/>
  <c r="H208" i="4" s="1"/>
  <c r="G53" i="4"/>
  <c r="H53" i="4" s="1"/>
  <c r="G83" i="4"/>
  <c r="H83" i="4" s="1"/>
  <c r="G15" i="4"/>
  <c r="H15" i="4" s="1"/>
  <c r="G33" i="4"/>
  <c r="H33" i="4" s="1"/>
  <c r="G51" i="4"/>
  <c r="H51" i="4" s="1"/>
  <c r="G69" i="4"/>
  <c r="H69" i="4" s="1"/>
  <c r="G87" i="4"/>
  <c r="H87" i="4" s="1"/>
  <c r="G105" i="4"/>
  <c r="H105" i="4" s="1"/>
  <c r="G123" i="4"/>
  <c r="H123" i="4" s="1"/>
  <c r="G141" i="4"/>
  <c r="H141" i="4" s="1"/>
  <c r="G159" i="4"/>
  <c r="H159" i="4" s="1"/>
  <c r="G177" i="4"/>
  <c r="H177" i="4" s="1"/>
  <c r="G195" i="4"/>
  <c r="H195" i="4" s="1"/>
  <c r="G213" i="4"/>
  <c r="H213" i="4" s="1"/>
  <c r="G47" i="4"/>
  <c r="H47" i="4" s="1"/>
  <c r="C60" i="24" s="1"/>
  <c r="G101" i="4"/>
  <c r="H101" i="4" s="1"/>
  <c r="G119" i="4"/>
  <c r="H119" i="4" s="1"/>
  <c r="G149" i="4"/>
  <c r="H149" i="4" s="1"/>
  <c r="G20" i="4"/>
  <c r="H20" i="4" s="1"/>
  <c r="C48" i="24" s="1"/>
  <c r="G38" i="4"/>
  <c r="H38" i="4" s="1"/>
  <c r="G56" i="4"/>
  <c r="H56" i="4" s="1"/>
  <c r="G74" i="4"/>
  <c r="H74" i="4" s="1"/>
  <c r="G92" i="4"/>
  <c r="H92" i="4" s="1"/>
  <c r="G110" i="4"/>
  <c r="H110" i="4" s="1"/>
  <c r="C144" i="24" s="1"/>
  <c r="G128" i="4"/>
  <c r="H128" i="4" s="1"/>
  <c r="G7" i="4"/>
  <c r="G25" i="4"/>
  <c r="H25" i="4" s="1"/>
  <c r="G43" i="4"/>
  <c r="H43" i="4" s="1"/>
  <c r="G61" i="4"/>
  <c r="H61" i="4" s="1"/>
  <c r="G79" i="4"/>
  <c r="H79" i="4" s="1"/>
  <c r="G97" i="4"/>
  <c r="H97" i="4" s="1"/>
  <c r="G115" i="4"/>
  <c r="H115" i="4" s="1"/>
  <c r="G133" i="4"/>
  <c r="H133" i="4" s="1"/>
  <c r="C207" i="24" s="1"/>
  <c r="G151" i="4"/>
  <c r="H151" i="4" s="1"/>
  <c r="G169" i="4"/>
  <c r="H169" i="4" s="1"/>
  <c r="G187" i="4"/>
  <c r="H187" i="4" s="1"/>
  <c r="G205" i="4"/>
  <c r="H205" i="4" s="1"/>
  <c r="G75" i="4"/>
  <c r="H75" i="4" s="1"/>
  <c r="G111" i="4"/>
  <c r="H111" i="4" s="1"/>
  <c r="G147" i="4"/>
  <c r="H147" i="4" s="1"/>
  <c r="G183" i="4"/>
  <c r="H183" i="4" s="1"/>
  <c r="G17" i="4"/>
  <c r="H17" i="4" s="1"/>
  <c r="G107" i="4"/>
  <c r="H107" i="4" s="1"/>
  <c r="G155" i="4"/>
  <c r="H155" i="4" s="1"/>
  <c r="G26" i="4"/>
  <c r="H26" i="4" s="1"/>
  <c r="G62" i="4"/>
  <c r="H62" i="4" s="1"/>
  <c r="G116" i="4"/>
  <c r="H116" i="4" s="1"/>
  <c r="C177" i="24" s="1"/>
  <c r="G170" i="4"/>
  <c r="H170" i="4" s="1"/>
  <c r="G175" i="4"/>
  <c r="H175" i="4" s="1"/>
  <c r="G137" i="4"/>
  <c r="H137" i="4" s="1"/>
  <c r="G161" i="4"/>
  <c r="H161" i="4" s="1"/>
  <c r="G12" i="4"/>
  <c r="H12" i="4" s="1"/>
  <c r="G30" i="4"/>
  <c r="H30" i="4" s="1"/>
  <c r="G48" i="4"/>
  <c r="H48" i="4" s="1"/>
  <c r="G66" i="4"/>
  <c r="H66" i="4" s="1"/>
  <c r="G84" i="4"/>
  <c r="H84" i="4" s="1"/>
  <c r="G102" i="4"/>
  <c r="H102" i="4" s="1"/>
  <c r="G120" i="4"/>
  <c r="H120" i="4" s="1"/>
  <c r="G138" i="4"/>
  <c r="H138" i="4" s="1"/>
  <c r="G156" i="4"/>
  <c r="H156" i="4" s="1"/>
  <c r="G174" i="4"/>
  <c r="H174" i="4" s="1"/>
  <c r="G192" i="4"/>
  <c r="H192" i="4" s="1"/>
  <c r="G210" i="4"/>
  <c r="H210" i="4" s="1"/>
  <c r="G197" i="4"/>
  <c r="H197" i="4" s="1"/>
  <c r="G215" i="4"/>
  <c r="H215" i="4" s="1"/>
  <c r="G29" i="4"/>
  <c r="H29" i="4" s="1"/>
  <c r="G89" i="4"/>
  <c r="H89" i="4" s="1"/>
  <c r="G16" i="4"/>
  <c r="H16" i="4" s="1"/>
  <c r="G34" i="4"/>
  <c r="H34" i="4" s="1"/>
  <c r="G52" i="4"/>
  <c r="H52" i="4" s="1"/>
  <c r="C278" i="24" s="1"/>
  <c r="G70" i="4"/>
  <c r="H70" i="4" s="1"/>
  <c r="G88" i="4"/>
  <c r="H88" i="4" s="1"/>
  <c r="G106" i="4"/>
  <c r="H106" i="4" s="1"/>
  <c r="C178" i="24" s="1"/>
  <c r="G124" i="4"/>
  <c r="H124" i="4" s="1"/>
  <c r="G142" i="4"/>
  <c r="H142" i="4" s="1"/>
  <c r="G160" i="4"/>
  <c r="H160" i="4" s="1"/>
  <c r="G178" i="4"/>
  <c r="H178" i="4" s="1"/>
  <c r="G196" i="4"/>
  <c r="H196" i="4" s="1"/>
  <c r="G214" i="4"/>
  <c r="H214" i="4" s="1"/>
  <c r="G65" i="4"/>
  <c r="H65" i="4" s="1"/>
  <c r="G3" i="4"/>
  <c r="G39" i="4"/>
  <c r="H39" i="4" s="1"/>
  <c r="G57" i="4"/>
  <c r="H57" i="4" s="1"/>
  <c r="G93" i="4"/>
  <c r="H93" i="4" s="1"/>
  <c r="G129" i="4"/>
  <c r="H129" i="4" s="1"/>
  <c r="C222" i="24" s="1"/>
  <c r="G165" i="4"/>
  <c r="H165" i="4" s="1"/>
  <c r="G201" i="4"/>
  <c r="H201" i="4" s="1"/>
  <c r="G59" i="4"/>
  <c r="H59" i="4" s="1"/>
  <c r="G125" i="4"/>
  <c r="H125" i="4" s="1"/>
  <c r="G8" i="4"/>
  <c r="G44" i="4"/>
  <c r="H44" i="4" s="1"/>
  <c r="G98" i="4"/>
  <c r="H98" i="4" s="1"/>
  <c r="G134" i="4"/>
  <c r="H134" i="4" s="1"/>
  <c r="G188" i="4"/>
  <c r="H188" i="4" s="1"/>
  <c r="G193" i="4"/>
  <c r="H193" i="4" s="1"/>
  <c r="G13" i="4"/>
  <c r="H13" i="4" s="1"/>
  <c r="C221" i="24" s="1"/>
  <c r="G31" i="4"/>
  <c r="H31" i="4" s="1"/>
  <c r="C251" i="24" s="1"/>
  <c r="G49" i="4"/>
  <c r="H49" i="4" s="1"/>
  <c r="G67" i="4"/>
  <c r="H67" i="4" s="1"/>
  <c r="G85" i="4"/>
  <c r="H85" i="4" s="1"/>
  <c r="G103" i="4"/>
  <c r="H103" i="4" s="1"/>
  <c r="G121" i="4"/>
  <c r="H121" i="4" s="1"/>
  <c r="G139" i="4"/>
  <c r="H139" i="4" s="1"/>
  <c r="G211" i="4"/>
  <c r="H211" i="4" s="1"/>
  <c r="G18" i="4"/>
  <c r="H18" i="4" s="1"/>
  <c r="G158" i="4"/>
  <c r="H158" i="4" s="1"/>
  <c r="G36" i="4"/>
  <c r="H36" i="4" s="1"/>
  <c r="G90" i="4"/>
  <c r="H90" i="4" s="1"/>
  <c r="G144" i="4"/>
  <c r="H144" i="4" s="1"/>
  <c r="G198" i="4"/>
  <c r="H198" i="4" s="1"/>
  <c r="G5" i="4"/>
  <c r="G22" i="4"/>
  <c r="H22" i="4" s="1"/>
  <c r="G76" i="4"/>
  <c r="H76" i="4" s="1"/>
  <c r="G130" i="4"/>
  <c r="H130" i="4" s="1"/>
  <c r="G184" i="4"/>
  <c r="H184" i="4" s="1"/>
  <c r="G71" i="4"/>
  <c r="H71" i="4" s="1"/>
  <c r="C181" i="24" s="1"/>
  <c r="G45" i="4"/>
  <c r="H45" i="4" s="1"/>
  <c r="G99" i="4"/>
  <c r="H99" i="4" s="1"/>
  <c r="G153" i="4"/>
  <c r="H153" i="4" s="1"/>
  <c r="G207" i="4"/>
  <c r="H207" i="4" s="1"/>
  <c r="G113" i="4"/>
  <c r="H113" i="4" s="1"/>
  <c r="G50" i="4"/>
  <c r="H50" i="4" s="1"/>
  <c r="G104" i="4"/>
  <c r="H104" i="4" s="1"/>
  <c r="G212" i="4"/>
  <c r="H212" i="4" s="1"/>
  <c r="G72" i="4"/>
  <c r="H72" i="4" s="1"/>
  <c r="G180" i="4"/>
  <c r="H180" i="4" s="1"/>
  <c r="G166" i="4"/>
  <c r="H166" i="4" s="1"/>
  <c r="G81" i="4"/>
  <c r="H81" i="4" s="1"/>
  <c r="C210" i="24" s="1"/>
  <c r="G189" i="4"/>
  <c r="H189" i="4" s="1"/>
  <c r="G173" i="4"/>
  <c r="H173" i="4" s="1"/>
  <c r="G140" i="4"/>
  <c r="H140" i="4" s="1"/>
  <c r="G27" i="4"/>
  <c r="H27" i="4" s="1"/>
  <c r="G32" i="4"/>
  <c r="H32" i="4" s="1"/>
  <c r="G194" i="4"/>
  <c r="H194" i="4" s="1"/>
  <c r="G54" i="4"/>
  <c r="H54" i="4" s="1"/>
  <c r="G108" i="4"/>
  <c r="H108" i="4" s="1"/>
  <c r="G162" i="4"/>
  <c r="H162" i="4" s="1"/>
  <c r="G216" i="4"/>
  <c r="H216" i="4" s="1"/>
  <c r="G41" i="4"/>
  <c r="H41" i="4" s="1"/>
  <c r="G40" i="4"/>
  <c r="H40" i="4" s="1"/>
  <c r="G94" i="4"/>
  <c r="H94" i="4" s="1"/>
  <c r="G148" i="4"/>
  <c r="H148" i="4" s="1"/>
  <c r="G202" i="4"/>
  <c r="H202" i="4" s="1"/>
  <c r="G9" i="4"/>
  <c r="G63" i="4"/>
  <c r="H63" i="4" s="1"/>
  <c r="G117" i="4"/>
  <c r="H117" i="4" s="1"/>
  <c r="G171" i="4"/>
  <c r="H171" i="4" s="1"/>
  <c r="G23" i="4"/>
  <c r="H23" i="4" s="1"/>
  <c r="G143" i="4"/>
  <c r="H143" i="4" s="1"/>
  <c r="G14" i="4"/>
  <c r="H14" i="4" s="1"/>
  <c r="G68" i="4"/>
  <c r="H68" i="4" s="1"/>
  <c r="G122" i="4"/>
  <c r="H122" i="4" s="1"/>
  <c r="G176" i="4"/>
  <c r="H176" i="4" s="1"/>
  <c r="G179" i="4"/>
  <c r="H179" i="4" s="1"/>
  <c r="G167" i="4"/>
  <c r="H167" i="4" s="1"/>
  <c r="G126" i="4"/>
  <c r="H126" i="4" s="1"/>
  <c r="C194" i="24" s="1"/>
  <c r="G203" i="4"/>
  <c r="H203" i="4" s="1"/>
  <c r="G58" i="4"/>
  <c r="H58" i="4" s="1"/>
  <c r="G112" i="4"/>
  <c r="H112" i="4" s="1"/>
  <c r="G35" i="4"/>
  <c r="H35" i="4" s="1"/>
  <c r="C283" i="24" s="1"/>
  <c r="G135" i="4"/>
  <c r="H135" i="4" s="1"/>
  <c r="G95" i="4"/>
  <c r="H95" i="4" s="1"/>
  <c r="G86" i="4"/>
  <c r="H86" i="4" s="1"/>
  <c r="I2" i="4"/>
  <c r="I3" i="4"/>
  <c r="I149" i="4"/>
  <c r="J149" i="4" s="1"/>
  <c r="I131" i="4"/>
  <c r="J131" i="4" s="1"/>
  <c r="I119" i="4"/>
  <c r="J119" i="4" s="1"/>
  <c r="I108" i="4"/>
  <c r="J108" i="4" s="1"/>
  <c r="I188" i="4"/>
  <c r="J188" i="4" s="1"/>
  <c r="I183" i="4"/>
  <c r="J183" i="4" s="1"/>
  <c r="I178" i="4"/>
  <c r="J178" i="4" s="1"/>
  <c r="I177" i="4"/>
  <c r="J177" i="4" s="1"/>
  <c r="I155" i="4"/>
  <c r="J155" i="4" s="1"/>
  <c r="I143" i="4"/>
  <c r="J143" i="4" s="1"/>
  <c r="I128" i="4"/>
  <c r="J128" i="4" s="1"/>
  <c r="I86" i="4"/>
  <c r="J86" i="4" s="1"/>
  <c r="I65" i="4"/>
  <c r="J65" i="4" s="1"/>
  <c r="I196" i="4"/>
  <c r="J196" i="4" s="1"/>
  <c r="I158" i="4"/>
  <c r="J158" i="4" s="1"/>
  <c r="I150" i="4"/>
  <c r="J150" i="4" s="1"/>
  <c r="I144" i="4"/>
  <c r="J144" i="4" s="1"/>
  <c r="I125" i="4"/>
  <c r="J125" i="4" s="1"/>
  <c r="I113" i="4"/>
  <c r="J113" i="4" s="1"/>
  <c r="I96" i="4"/>
  <c r="J96" i="4" s="1"/>
  <c r="I92" i="4"/>
  <c r="J92" i="4" s="1"/>
  <c r="I77" i="4"/>
  <c r="J77" i="4" s="1"/>
  <c r="I53" i="4"/>
  <c r="J53" i="4" s="1"/>
  <c r="I160" i="4"/>
  <c r="J160" i="4" s="1"/>
  <c r="I157" i="4"/>
  <c r="J157" i="4" s="1"/>
  <c r="I75" i="4"/>
  <c r="J75" i="4" s="1"/>
  <c r="I63" i="4"/>
  <c r="J63" i="4" s="1"/>
  <c r="I47" i="4"/>
  <c r="J47" i="4" s="1"/>
  <c r="I45" i="4"/>
  <c r="J45" i="4" s="1"/>
  <c r="I23" i="4"/>
  <c r="J23" i="4" s="1"/>
  <c r="I22" i="4"/>
  <c r="J22" i="4" s="1"/>
  <c r="I5" i="4"/>
  <c r="I4" i="4"/>
  <c r="J4" i="4" s="1"/>
  <c r="I193" i="4"/>
  <c r="J193" i="4" s="1"/>
  <c r="I171" i="4"/>
  <c r="J171" i="4" s="1"/>
  <c r="I100" i="4"/>
  <c r="J100" i="4" s="1"/>
  <c r="I88" i="4"/>
  <c r="J88" i="4" s="1"/>
  <c r="I34" i="4"/>
  <c r="J34" i="4" s="1"/>
  <c r="I175" i="4"/>
  <c r="J175" i="4" s="1"/>
  <c r="I170" i="4"/>
  <c r="J170" i="4" s="1"/>
  <c r="I138" i="4"/>
  <c r="J138" i="4" s="1"/>
  <c r="I107" i="4"/>
  <c r="J107" i="4" s="1"/>
  <c r="I73" i="4"/>
  <c r="J73" i="4" s="1"/>
  <c r="I29" i="4"/>
  <c r="J29" i="4" s="1"/>
  <c r="I28" i="4"/>
  <c r="J28" i="4" s="1"/>
  <c r="I11" i="4"/>
  <c r="I10" i="4"/>
  <c r="I181" i="4"/>
  <c r="J181" i="4" s="1"/>
  <c r="I169" i="4"/>
  <c r="J169" i="4" s="1"/>
  <c r="I164" i="4"/>
  <c r="J164" i="4" s="1"/>
  <c r="I137" i="4"/>
  <c r="J137" i="4" s="1"/>
  <c r="I126" i="4"/>
  <c r="J126" i="4" s="1"/>
  <c r="I104" i="4"/>
  <c r="J104" i="4" s="1"/>
  <c r="I98" i="4"/>
  <c r="J98" i="4" s="1"/>
  <c r="I83" i="4"/>
  <c r="J83" i="4" s="1"/>
  <c r="I71" i="4"/>
  <c r="J71" i="4" s="1"/>
  <c r="I61" i="4"/>
  <c r="J61" i="4" s="1"/>
  <c r="I59" i="4"/>
  <c r="J59" i="4" s="1"/>
  <c r="I42" i="4"/>
  <c r="J42" i="4" s="1"/>
  <c r="I35" i="4"/>
  <c r="J35" i="4" s="1"/>
  <c r="I187" i="4"/>
  <c r="J187" i="4" s="1"/>
  <c r="I163" i="4"/>
  <c r="J163" i="4" s="1"/>
  <c r="I132" i="4"/>
  <c r="J132" i="4" s="1"/>
  <c r="I120" i="4"/>
  <c r="J120" i="4" s="1"/>
  <c r="I114" i="4"/>
  <c r="J114" i="4" s="1"/>
  <c r="I81" i="4"/>
  <c r="J81" i="4" s="1"/>
  <c r="I69" i="4"/>
  <c r="J69" i="4" s="1"/>
  <c r="I17" i="4"/>
  <c r="J17" i="4" s="1"/>
  <c r="I16" i="4"/>
  <c r="J16" i="4" s="1"/>
  <c r="I90" i="4"/>
  <c r="J90" i="4" s="1"/>
  <c r="I79" i="4"/>
  <c r="J79" i="4" s="1"/>
  <c r="I67" i="4"/>
  <c r="J67" i="4" s="1"/>
  <c r="I41" i="4"/>
  <c r="J41" i="4" s="1"/>
  <c r="I39" i="4"/>
  <c r="J39" i="4" s="1"/>
  <c r="I57" i="4"/>
  <c r="J57" i="4" s="1"/>
  <c r="I184" i="4"/>
  <c r="J184" i="4" s="1"/>
  <c r="I13" i="4"/>
  <c r="J13" i="4" s="1"/>
  <c r="I31" i="4"/>
  <c r="J31" i="4" s="1"/>
  <c r="I91" i="4"/>
  <c r="J91" i="4" s="1"/>
  <c r="I60" i="4"/>
  <c r="J60" i="4" s="1"/>
  <c r="I38" i="4"/>
  <c r="J38" i="4" s="1"/>
  <c r="I70" i="4"/>
  <c r="J70" i="4" s="1"/>
  <c r="I54" i="4"/>
  <c r="J54" i="4" s="1"/>
  <c r="I66" i="4"/>
  <c r="J66" i="4" s="1"/>
  <c r="I68" i="4"/>
  <c r="J68" i="4" s="1"/>
  <c r="I94" i="4"/>
  <c r="J94" i="4" s="1"/>
  <c r="I112" i="4"/>
  <c r="J112" i="4" s="1"/>
  <c r="I89" i="4"/>
  <c r="J89" i="4" s="1"/>
  <c r="I115" i="4"/>
  <c r="J115" i="4" s="1"/>
  <c r="I142" i="4"/>
  <c r="J142" i="4" s="1"/>
  <c r="I145" i="4"/>
  <c r="J145" i="4" s="1"/>
  <c r="I130" i="4"/>
  <c r="J130" i="4" s="1"/>
  <c r="I118" i="4"/>
  <c r="J118" i="4" s="1"/>
  <c r="I189" i="4"/>
  <c r="J189" i="4" s="1"/>
  <c r="I105" i="4"/>
  <c r="J105" i="4" s="1"/>
  <c r="I123" i="4"/>
  <c r="J123" i="4" s="1"/>
  <c r="I141" i="4"/>
  <c r="J141" i="4" s="1"/>
  <c r="I152" i="4"/>
  <c r="J152" i="4" s="1"/>
  <c r="I186" i="4"/>
  <c r="J186" i="4" s="1"/>
  <c r="I33" i="4"/>
  <c r="J33" i="4" s="1"/>
  <c r="I43" i="4"/>
  <c r="J43" i="4" s="1"/>
  <c r="I18" i="4"/>
  <c r="J18" i="4" s="1"/>
  <c r="I36" i="4"/>
  <c r="J36" i="4" s="1"/>
  <c r="I55" i="4"/>
  <c r="J55" i="4" s="1"/>
  <c r="I82" i="4"/>
  <c r="J82" i="4" s="1"/>
  <c r="I14" i="4"/>
  <c r="J14" i="4" s="1"/>
  <c r="I26" i="4"/>
  <c r="J26" i="4" s="1"/>
  <c r="I44" i="4"/>
  <c r="J44" i="4" s="1"/>
  <c r="I64" i="4"/>
  <c r="J64" i="4" s="1"/>
  <c r="I84" i="4"/>
  <c r="J84" i="4" s="1"/>
  <c r="I52" i="4"/>
  <c r="J52" i="4" s="1"/>
  <c r="I85" i="4"/>
  <c r="J85" i="4" s="1"/>
  <c r="I99" i="4"/>
  <c r="J99" i="4" s="1"/>
  <c r="I102" i="4"/>
  <c r="J102" i="4" s="1"/>
  <c r="I124" i="4"/>
  <c r="J124" i="4" s="1"/>
  <c r="I127" i="4"/>
  <c r="J127" i="4" s="1"/>
  <c r="I110" i="4"/>
  <c r="J110" i="4" s="1"/>
  <c r="I190" i="4"/>
  <c r="J190" i="4" s="1"/>
  <c r="I27" i="4"/>
  <c r="J27" i="4" s="1"/>
  <c r="I19" i="4"/>
  <c r="J19" i="4" s="1"/>
  <c r="I49" i="4"/>
  <c r="J49" i="4" s="1"/>
  <c r="I48" i="4"/>
  <c r="J48" i="4" s="1"/>
  <c r="I134" i="4"/>
  <c r="J134" i="4" s="1"/>
  <c r="I103" i="4"/>
  <c r="J103" i="4" s="1"/>
  <c r="I146" i="4"/>
  <c r="J146" i="4" s="1"/>
  <c r="I133" i="4"/>
  <c r="J133" i="4" s="1"/>
  <c r="I165" i="4"/>
  <c r="J165" i="4" s="1"/>
  <c r="I37" i="4"/>
  <c r="J37" i="4" s="1"/>
  <c r="I21" i="4"/>
  <c r="J21" i="4" s="1"/>
  <c r="I6" i="4"/>
  <c r="I24" i="4"/>
  <c r="J24" i="4" s="1"/>
  <c r="I40" i="4"/>
  <c r="J40" i="4" s="1"/>
  <c r="I62" i="4"/>
  <c r="J62" i="4" s="1"/>
  <c r="I58" i="4"/>
  <c r="J58" i="4" s="1"/>
  <c r="I72" i="4"/>
  <c r="J72" i="4" s="1"/>
  <c r="I74" i="4"/>
  <c r="J74" i="4" s="1"/>
  <c r="I78" i="4"/>
  <c r="J78" i="4" s="1"/>
  <c r="I80" i="4"/>
  <c r="J80" i="4" s="1"/>
  <c r="I116" i="4"/>
  <c r="J116" i="4" s="1"/>
  <c r="I93" i="4"/>
  <c r="J93" i="4" s="1"/>
  <c r="I176" i="4"/>
  <c r="J176" i="4" s="1"/>
  <c r="I95" i="4"/>
  <c r="J95" i="4" s="1"/>
  <c r="I192" i="4"/>
  <c r="J192" i="4" s="1"/>
  <c r="I180" i="4"/>
  <c r="J180" i="4" s="1"/>
  <c r="I15" i="4"/>
  <c r="J15" i="4" s="1"/>
  <c r="I50" i="4"/>
  <c r="J50" i="4" s="1"/>
  <c r="I7" i="4"/>
  <c r="I25" i="4"/>
  <c r="J25" i="4" s="1"/>
  <c r="I8" i="4"/>
  <c r="I20" i="4"/>
  <c r="J20" i="4" s="1"/>
  <c r="I32" i="4"/>
  <c r="J32" i="4" s="1"/>
  <c r="I87" i="4"/>
  <c r="J87" i="4" s="1"/>
  <c r="I101" i="4"/>
  <c r="J101" i="4" s="1"/>
  <c r="I122" i="4"/>
  <c r="J122" i="4" s="1"/>
  <c r="I46" i="4"/>
  <c r="J46" i="4" s="1"/>
  <c r="I9" i="4"/>
  <c r="I12" i="4"/>
  <c r="J12" i="4" s="1"/>
  <c r="I30" i="4"/>
  <c r="J30" i="4" s="1"/>
  <c r="I56" i="4"/>
  <c r="J56" i="4" s="1"/>
  <c r="I51" i="4"/>
  <c r="J51" i="4" s="1"/>
  <c r="I76" i="4"/>
  <c r="J76" i="4" s="1"/>
  <c r="I97" i="4"/>
  <c r="J97" i="4" s="1"/>
  <c r="I136" i="4"/>
  <c r="J136" i="4" s="1"/>
  <c r="I173" i="4"/>
  <c r="J173" i="4" s="1"/>
  <c r="I106" i="4"/>
  <c r="J106" i="4" s="1"/>
  <c r="I159" i="4"/>
  <c r="J159" i="4" s="1"/>
  <c r="I140" i="4"/>
  <c r="J140" i="4" s="1"/>
  <c r="I121" i="4"/>
  <c r="J121" i="4" s="1"/>
  <c r="I139" i="4"/>
  <c r="J139" i="4" s="1"/>
  <c r="I109" i="4"/>
  <c r="J109" i="4" s="1"/>
  <c r="I148" i="4"/>
  <c r="J148" i="4" s="1"/>
  <c r="I167" i="4"/>
  <c r="J167" i="4" s="1"/>
  <c r="I161" i="4"/>
  <c r="J161" i="4" s="1"/>
  <c r="I203" i="4"/>
  <c r="J203" i="4" s="1"/>
  <c r="I213" i="4"/>
  <c r="J213" i="4" s="1"/>
  <c r="I208" i="4"/>
  <c r="J208" i="4" s="1"/>
  <c r="I174" i="4"/>
  <c r="J174" i="4" s="1"/>
  <c r="I135" i="4"/>
  <c r="J135" i="4" s="1"/>
  <c r="I166" i="4"/>
  <c r="J166" i="4" s="1"/>
  <c r="I191" i="4"/>
  <c r="J191" i="4" s="1"/>
  <c r="I211" i="4"/>
  <c r="J211" i="4" s="1"/>
  <c r="I197" i="4"/>
  <c r="J197" i="4" s="1"/>
  <c r="I217" i="4"/>
  <c r="J217" i="4" s="1"/>
  <c r="I198" i="4"/>
  <c r="J198" i="4" s="1"/>
  <c r="I210" i="4"/>
  <c r="J210" i="4" s="1"/>
  <c r="I111" i="4"/>
  <c r="J111" i="4" s="1"/>
  <c r="I147" i="4"/>
  <c r="J147" i="4" s="1"/>
  <c r="I185" i="4"/>
  <c r="J185" i="4" s="1"/>
  <c r="I182" i="4"/>
  <c r="J182" i="4" s="1"/>
  <c r="I179" i="4"/>
  <c r="J179" i="4" s="1"/>
  <c r="I200" i="4"/>
  <c r="J200" i="4" s="1"/>
  <c r="I212" i="4"/>
  <c r="J212" i="4" s="1"/>
  <c r="I154" i="4"/>
  <c r="J154" i="4" s="1"/>
  <c r="I168" i="4"/>
  <c r="J168" i="4" s="1"/>
  <c r="I162" i="4"/>
  <c r="J162" i="4" s="1"/>
  <c r="I207" i="4"/>
  <c r="J207" i="4" s="1"/>
  <c r="I195" i="4"/>
  <c r="J195" i="4" s="1"/>
  <c r="I199" i="4"/>
  <c r="J199" i="4" s="1"/>
  <c r="I202" i="4"/>
  <c r="J202" i="4" s="1"/>
  <c r="I214" i="4"/>
  <c r="J214" i="4" s="1"/>
  <c r="I117" i="4"/>
  <c r="J117" i="4" s="1"/>
  <c r="I151" i="4"/>
  <c r="J151" i="4" s="1"/>
  <c r="I172" i="4"/>
  <c r="J172" i="4" s="1"/>
  <c r="I153" i="4"/>
  <c r="J153" i="4" s="1"/>
  <c r="I205" i="4"/>
  <c r="J205" i="4" s="1"/>
  <c r="I209" i="4"/>
  <c r="J209" i="4" s="1"/>
  <c r="I204" i="4"/>
  <c r="J204" i="4" s="1"/>
  <c r="I216" i="4"/>
  <c r="J216" i="4" s="1"/>
  <c r="I129" i="4"/>
  <c r="J129" i="4" s="1"/>
  <c r="I156" i="4"/>
  <c r="J156" i="4" s="1"/>
  <c r="I194" i="4"/>
  <c r="J194" i="4" s="1"/>
  <c r="I215" i="4"/>
  <c r="J215" i="4" s="1"/>
  <c r="I201" i="4"/>
  <c r="J201" i="4" s="1"/>
  <c r="I206" i="4"/>
  <c r="J206" i="4" s="1"/>
  <c r="I218" i="4"/>
  <c r="J218" i="4" s="1"/>
  <c r="X52" i="19"/>
  <c r="C223" i="24" l="1"/>
  <c r="C203" i="24"/>
  <c r="C216" i="24"/>
  <c r="C184" i="24"/>
  <c r="C286" i="24"/>
  <c r="C228" i="24"/>
  <c r="C269" i="24"/>
  <c r="C213" i="24"/>
  <c r="C137" i="24"/>
  <c r="C126" i="24"/>
  <c r="C156" i="24"/>
  <c r="C236" i="24"/>
  <c r="C241" i="24"/>
  <c r="C61" i="24"/>
  <c r="C162" i="24"/>
  <c r="C246" i="24"/>
  <c r="C158" i="24"/>
  <c r="C175" i="24"/>
  <c r="L582" i="4"/>
  <c r="L546" i="4"/>
  <c r="L510" i="4"/>
  <c r="L474" i="4"/>
  <c r="L438" i="4"/>
  <c r="L402" i="4"/>
  <c r="L366" i="4"/>
  <c r="L330" i="4"/>
  <c r="L294" i="4"/>
  <c r="L747" i="4"/>
  <c r="L711" i="4"/>
  <c r="L606" i="4"/>
  <c r="L258" i="4"/>
  <c r="L1268" i="4"/>
  <c r="L1485" i="4"/>
  <c r="L690" i="4"/>
  <c r="L710" i="4"/>
  <c r="L638" i="4"/>
  <c r="L833" i="4"/>
  <c r="L797" i="4"/>
  <c r="L761" i="4"/>
  <c r="L851" i="4"/>
  <c r="L815" i="4"/>
  <c r="L779" i="4"/>
  <c r="L529" i="4"/>
  <c r="L477" i="4"/>
  <c r="L765" i="4"/>
  <c r="L729" i="4"/>
  <c r="L564" i="4"/>
  <c r="L528" i="4"/>
  <c r="L492" i="4"/>
  <c r="L456" i="4"/>
  <c r="L420" i="4"/>
  <c r="L384" i="4"/>
  <c r="L348" i="4"/>
  <c r="L312" i="4"/>
  <c r="L276" i="4"/>
  <c r="L240" i="4"/>
  <c r="L1431" i="4"/>
  <c r="L1459" i="4"/>
  <c r="L565" i="4"/>
  <c r="L1214" i="4"/>
  <c r="L699" i="4"/>
  <c r="L555" i="4"/>
  <c r="L570" i="4"/>
  <c r="L534" i="4"/>
  <c r="L498" i="4"/>
  <c r="L462" i="4"/>
  <c r="L426" i="4"/>
  <c r="L390" i="4"/>
  <c r="L354" i="4"/>
  <c r="L318" i="4"/>
  <c r="L282" i="4"/>
  <c r="L246" i="4"/>
  <c r="L1073" i="4"/>
  <c r="L1001" i="4"/>
  <c r="L929" i="4"/>
  <c r="L857" i="4"/>
  <c r="L785" i="4"/>
  <c r="L1317" i="4"/>
  <c r="L522" i="4"/>
  <c r="L414" i="4"/>
  <c r="L306" i="4"/>
  <c r="L845" i="4"/>
  <c r="L856" i="4"/>
  <c r="L753" i="4"/>
  <c r="L717" i="4"/>
  <c r="L735" i="4"/>
  <c r="L645" i="4"/>
  <c r="L609" i="4"/>
  <c r="L537" i="4"/>
  <c r="L464" i="4"/>
  <c r="L1465" i="4"/>
  <c r="L590" i="4"/>
  <c r="L1196" i="4"/>
  <c r="L1201" i="4"/>
  <c r="L553" i="4"/>
  <c r="L588" i="4"/>
  <c r="L552" i="4"/>
  <c r="L516" i="4"/>
  <c r="L480" i="4"/>
  <c r="L444" i="4"/>
  <c r="L408" i="4"/>
  <c r="L372" i="4"/>
  <c r="L336" i="4"/>
  <c r="L300" i="4"/>
  <c r="L264" i="4"/>
  <c r="L1030" i="4"/>
  <c r="L1347" i="4"/>
  <c r="L1275" i="4"/>
  <c r="L1203" i="4"/>
  <c r="L644" i="4"/>
  <c r="L821" i="4"/>
  <c r="L222" i="4"/>
  <c r="L1019" i="4"/>
  <c r="L947" i="4"/>
  <c r="L875" i="4"/>
  <c r="L958" i="4"/>
  <c r="L886" i="4"/>
  <c r="L839" i="4"/>
  <c r="L803" i="4"/>
  <c r="L767" i="4"/>
  <c r="L1255" i="4"/>
  <c r="L1389" i="4"/>
  <c r="L1412" i="4"/>
  <c r="L1340" i="4"/>
  <c r="L1417" i="4"/>
  <c r="L1345" i="4"/>
  <c r="L1273" i="4"/>
  <c r="L759" i="4"/>
  <c r="L723" i="4"/>
  <c r="L650" i="4"/>
  <c r="L739" i="4"/>
  <c r="L667" i="4"/>
  <c r="L559" i="4"/>
  <c r="L594" i="4"/>
  <c r="L558" i="4"/>
  <c r="L486" i="4"/>
  <c r="L450" i="4"/>
  <c r="L378" i="4"/>
  <c r="L342" i="4"/>
  <c r="L270" i="4"/>
  <c r="L234" i="4"/>
  <c r="L809" i="4"/>
  <c r="L773" i="4"/>
  <c r="L1072" i="4"/>
  <c r="L1000" i="4"/>
  <c r="L928" i="4"/>
  <c r="L1462" i="4"/>
  <c r="L738" i="4"/>
  <c r="L121" i="4"/>
  <c r="L669" i="4"/>
  <c r="L740" i="4"/>
  <c r="L612" i="4"/>
  <c r="C208" i="24"/>
  <c r="L1479" i="4"/>
  <c r="L1358" i="4"/>
  <c r="L1286" i="4"/>
  <c r="L1327" i="4"/>
  <c r="L1245" i="4"/>
  <c r="L741" i="4"/>
  <c r="L705" i="4"/>
  <c r="L524" i="4"/>
  <c r="L488" i="4"/>
  <c r="L757" i="4"/>
  <c r="L721" i="4"/>
  <c r="L576" i="4"/>
  <c r="L540" i="4"/>
  <c r="L504" i="4"/>
  <c r="L468" i="4"/>
  <c r="L432" i="4"/>
  <c r="L396" i="4"/>
  <c r="L360" i="4"/>
  <c r="L324" i="4"/>
  <c r="L288" i="4"/>
  <c r="L252" i="4"/>
  <c r="L827" i="4"/>
  <c r="L791" i="4"/>
  <c r="L228" i="4"/>
  <c r="AD1488" i="4"/>
  <c r="AC1488" i="4"/>
  <c r="AA1488" i="4"/>
  <c r="Z1488" i="4"/>
  <c r="AD1362" i="4"/>
  <c r="AC1362" i="4"/>
  <c r="AA1362" i="4"/>
  <c r="Z1362" i="4"/>
  <c r="AD990" i="4"/>
  <c r="AC990" i="4"/>
  <c r="AA990" i="4"/>
  <c r="Z990" i="4"/>
  <c r="AD810" i="4"/>
  <c r="AC810" i="4"/>
  <c r="AA810" i="4"/>
  <c r="Z810" i="4"/>
  <c r="AD594" i="4"/>
  <c r="AC594" i="4"/>
  <c r="AA594" i="4"/>
  <c r="Z594" i="4"/>
  <c r="AD378" i="4"/>
  <c r="AC378" i="4"/>
  <c r="AA378" i="4"/>
  <c r="Z378" i="4"/>
  <c r="AD1451" i="4"/>
  <c r="AC1451" i="4"/>
  <c r="AA1451" i="4"/>
  <c r="Z1451" i="4"/>
  <c r="AD1235" i="4"/>
  <c r="AC1235" i="4"/>
  <c r="AA1235" i="4"/>
  <c r="Z1235" i="4"/>
  <c r="AD1019" i="4"/>
  <c r="AC1019" i="4"/>
  <c r="AA1019" i="4"/>
  <c r="Z1019" i="4"/>
  <c r="AD803" i="4"/>
  <c r="AC803" i="4"/>
  <c r="AA803" i="4"/>
  <c r="Z803" i="4"/>
  <c r="AD587" i="4"/>
  <c r="AC587" i="4"/>
  <c r="AA587" i="4"/>
  <c r="Z587" i="4"/>
  <c r="AD371" i="4"/>
  <c r="AC371" i="4"/>
  <c r="AA371" i="4"/>
  <c r="Z371" i="4"/>
  <c r="AD1402" i="4"/>
  <c r="AC1402" i="4"/>
  <c r="AA1402" i="4"/>
  <c r="Z1402" i="4"/>
  <c r="AD1186" i="4"/>
  <c r="AC1186" i="4"/>
  <c r="AA1186" i="4"/>
  <c r="Z1186" i="4"/>
  <c r="AD970" i="4"/>
  <c r="AC970" i="4"/>
  <c r="AA970" i="4"/>
  <c r="Z970" i="4"/>
  <c r="AD754" i="4"/>
  <c r="AC754" i="4"/>
  <c r="AA754" i="4"/>
  <c r="Z754" i="4"/>
  <c r="AD538" i="4"/>
  <c r="AC538" i="4"/>
  <c r="AA538" i="4"/>
  <c r="Z538" i="4"/>
  <c r="AD322" i="4"/>
  <c r="AC322" i="4"/>
  <c r="AA322" i="4"/>
  <c r="Z322" i="4"/>
  <c r="AD1383" i="4"/>
  <c r="AC1383" i="4"/>
  <c r="AA1383" i="4"/>
  <c r="Z1383" i="4"/>
  <c r="AD1131" i="4"/>
  <c r="AC1131" i="4"/>
  <c r="AA1131" i="4"/>
  <c r="Z1131" i="4"/>
  <c r="AD915" i="4"/>
  <c r="AC915" i="4"/>
  <c r="AA915" i="4"/>
  <c r="Z915" i="4"/>
  <c r="AD699" i="4"/>
  <c r="AC699" i="4"/>
  <c r="AA699" i="4"/>
  <c r="Z699" i="4"/>
  <c r="AD483" i="4"/>
  <c r="AC483" i="4"/>
  <c r="AA483" i="4"/>
  <c r="Z483" i="4"/>
  <c r="AD267" i="4"/>
  <c r="AC267" i="4"/>
  <c r="AA267" i="4"/>
  <c r="Z267" i="4"/>
  <c r="AD1328" i="4"/>
  <c r="AC1328" i="4"/>
  <c r="AA1328" i="4"/>
  <c r="Z1328" i="4"/>
  <c r="AD1040" i="4"/>
  <c r="AC1040" i="4"/>
  <c r="AA1040" i="4"/>
  <c r="Z1040" i="4"/>
  <c r="AD824" i="4"/>
  <c r="AC824" i="4"/>
  <c r="AA824" i="4"/>
  <c r="Z824" i="4"/>
  <c r="AD716" i="4"/>
  <c r="AC716" i="4"/>
  <c r="AA716" i="4"/>
  <c r="Z716" i="4"/>
  <c r="AD572" i="4"/>
  <c r="AC572" i="4"/>
  <c r="AA572" i="4"/>
  <c r="Z572" i="4"/>
  <c r="AD464" i="4"/>
  <c r="AC464" i="4"/>
  <c r="AA464" i="4"/>
  <c r="Z464" i="4"/>
  <c r="AD356" i="4"/>
  <c r="AC356" i="4"/>
  <c r="AA356" i="4"/>
  <c r="Z356" i="4"/>
  <c r="AD248" i="4"/>
  <c r="AC248" i="4"/>
  <c r="AA248" i="4"/>
  <c r="Z248" i="4"/>
  <c r="AD1417" i="4"/>
  <c r="AC1417" i="4"/>
  <c r="AA1417" i="4"/>
  <c r="Z1417" i="4"/>
  <c r="AD1273" i="4"/>
  <c r="AC1273" i="4"/>
  <c r="AA1273" i="4"/>
  <c r="Z1273" i="4"/>
  <c r="AD1093" i="4"/>
  <c r="AC1093" i="4"/>
  <c r="AA1093" i="4"/>
  <c r="Z1093" i="4"/>
  <c r="AD985" i="4"/>
  <c r="AC985" i="4"/>
  <c r="AA985" i="4"/>
  <c r="Z985" i="4"/>
  <c r="AD877" i="4"/>
  <c r="AC877" i="4"/>
  <c r="AA877" i="4"/>
  <c r="Z877" i="4"/>
  <c r="AD769" i="4"/>
  <c r="AC769" i="4"/>
  <c r="AA769" i="4"/>
  <c r="Z769" i="4"/>
  <c r="AD661" i="4"/>
  <c r="AC661" i="4"/>
  <c r="AA661" i="4"/>
  <c r="Z661" i="4"/>
  <c r="AD553" i="4"/>
  <c r="AC553" i="4"/>
  <c r="AA553" i="4"/>
  <c r="Z553" i="4"/>
  <c r="AD445" i="4"/>
  <c r="AC445" i="4"/>
  <c r="AA445" i="4"/>
  <c r="Z445" i="4"/>
  <c r="AD337" i="4"/>
  <c r="AC337" i="4"/>
  <c r="AA337" i="4"/>
  <c r="Z337" i="4"/>
  <c r="AD229" i="4"/>
  <c r="AC229" i="4"/>
  <c r="AA229" i="4"/>
  <c r="Z229" i="4"/>
  <c r="AD1278" i="4"/>
  <c r="AC1278" i="4"/>
  <c r="AA1278" i="4"/>
  <c r="Z1278" i="4"/>
  <c r="AD1188" i="4"/>
  <c r="AC1188" i="4"/>
  <c r="AA1188" i="4"/>
  <c r="Z1188" i="4"/>
  <c r="AD1026" i="4"/>
  <c r="AC1026" i="4"/>
  <c r="AA1026" i="4"/>
  <c r="Z1026" i="4"/>
  <c r="AD738" i="4"/>
  <c r="AC738" i="4"/>
  <c r="AA738" i="4"/>
  <c r="Z738" i="4"/>
  <c r="AD522" i="4"/>
  <c r="AC522" i="4"/>
  <c r="AA522" i="4"/>
  <c r="Z522" i="4"/>
  <c r="AD306" i="4"/>
  <c r="AC306" i="4"/>
  <c r="AA306" i="4"/>
  <c r="Z306" i="4"/>
  <c r="AD1379" i="4"/>
  <c r="AC1379" i="4"/>
  <c r="AA1379" i="4"/>
  <c r="Z1379" i="4"/>
  <c r="AD1163" i="4"/>
  <c r="AC1163" i="4"/>
  <c r="AA1163" i="4"/>
  <c r="Z1163" i="4"/>
  <c r="AD947" i="4"/>
  <c r="AC947" i="4"/>
  <c r="AA947" i="4"/>
  <c r="Z947" i="4"/>
  <c r="AD731" i="4"/>
  <c r="AC731" i="4"/>
  <c r="AA731" i="4"/>
  <c r="Z731" i="4"/>
  <c r="AD515" i="4"/>
  <c r="AC515" i="4"/>
  <c r="AA515" i="4"/>
  <c r="Z515" i="4"/>
  <c r="AD299" i="4"/>
  <c r="AC299" i="4"/>
  <c r="AA299" i="4"/>
  <c r="Z299" i="4"/>
  <c r="AD1366" i="4"/>
  <c r="AC1366" i="4"/>
  <c r="AA1366" i="4"/>
  <c r="Z1366" i="4"/>
  <c r="AD1150" i="4"/>
  <c r="AC1150" i="4"/>
  <c r="AA1150" i="4"/>
  <c r="Z1150" i="4"/>
  <c r="AD790" i="4"/>
  <c r="AC790" i="4"/>
  <c r="AA790" i="4"/>
  <c r="Z790" i="4"/>
  <c r="AD574" i="4"/>
  <c r="AC574" i="4"/>
  <c r="AA574" i="4"/>
  <c r="Z574" i="4"/>
  <c r="AD358" i="4"/>
  <c r="AC358" i="4"/>
  <c r="AA358" i="4"/>
  <c r="Z358" i="4"/>
  <c r="AD1419" i="4"/>
  <c r="AC1419" i="4"/>
  <c r="AA1419" i="4"/>
  <c r="Z1419" i="4"/>
  <c r="AD1203" i="4"/>
  <c r="AC1203" i="4"/>
  <c r="AA1203" i="4"/>
  <c r="Z1203" i="4"/>
  <c r="AD987" i="4"/>
  <c r="AC987" i="4"/>
  <c r="AA987" i="4"/>
  <c r="Z987" i="4"/>
  <c r="AD771" i="4"/>
  <c r="AC771" i="4"/>
  <c r="AA771" i="4"/>
  <c r="Z771" i="4"/>
  <c r="AD591" i="4"/>
  <c r="AC591" i="4"/>
  <c r="AA591" i="4"/>
  <c r="Z591" i="4"/>
  <c r="AD375" i="4"/>
  <c r="AC375" i="4"/>
  <c r="AA375" i="4"/>
  <c r="Z375" i="4"/>
  <c r="AD1436" i="4"/>
  <c r="AC1436" i="4"/>
  <c r="AA1436" i="4"/>
  <c r="Z1436" i="4"/>
  <c r="AD1292" i="4"/>
  <c r="AC1292" i="4"/>
  <c r="AA1292" i="4"/>
  <c r="Z1292" i="4"/>
  <c r="AD1112" i="4"/>
  <c r="AC1112" i="4"/>
  <c r="AA1112" i="4"/>
  <c r="Z1112" i="4"/>
  <c r="AD1004" i="4"/>
  <c r="AC1004" i="4"/>
  <c r="AA1004" i="4"/>
  <c r="Z1004" i="4"/>
  <c r="AD788" i="4"/>
  <c r="AC788" i="4"/>
  <c r="AA788" i="4"/>
  <c r="Z788" i="4"/>
  <c r="AD680" i="4"/>
  <c r="AC680" i="4"/>
  <c r="AA680" i="4"/>
  <c r="Z680" i="4"/>
  <c r="AD608" i="4"/>
  <c r="AC608" i="4"/>
  <c r="AA608" i="4"/>
  <c r="Z608" i="4"/>
  <c r="AD500" i="4"/>
  <c r="AC500" i="4"/>
  <c r="AA500" i="4"/>
  <c r="Z500" i="4"/>
  <c r="AD392" i="4"/>
  <c r="AC392" i="4"/>
  <c r="AA392" i="4"/>
  <c r="Z392" i="4"/>
  <c r="AD284" i="4"/>
  <c r="AC284" i="4"/>
  <c r="AA284" i="4"/>
  <c r="Z284" i="4"/>
  <c r="AD1453" i="4"/>
  <c r="AC1453" i="4"/>
  <c r="AA1453" i="4"/>
  <c r="Z1453" i="4"/>
  <c r="AD1345" i="4"/>
  <c r="AC1345" i="4"/>
  <c r="AA1345" i="4"/>
  <c r="Z1345" i="4"/>
  <c r="AD1201" i="4"/>
  <c r="AC1201" i="4"/>
  <c r="AA1201" i="4"/>
  <c r="Z1201" i="4"/>
  <c r="AD1021" i="4"/>
  <c r="AC1021" i="4"/>
  <c r="AA1021" i="4"/>
  <c r="Z1021" i="4"/>
  <c r="AD913" i="4"/>
  <c r="AC913" i="4"/>
  <c r="AA913" i="4"/>
  <c r="Z913" i="4"/>
  <c r="AD805" i="4"/>
  <c r="AC805" i="4"/>
  <c r="AA805" i="4"/>
  <c r="Z805" i="4"/>
  <c r="AD697" i="4"/>
  <c r="AC697" i="4"/>
  <c r="AA697" i="4"/>
  <c r="Z697" i="4"/>
  <c r="AD589" i="4"/>
  <c r="AC589" i="4"/>
  <c r="AA589" i="4"/>
  <c r="Z589" i="4"/>
  <c r="AD481" i="4"/>
  <c r="AC481" i="4"/>
  <c r="AA481" i="4"/>
  <c r="Z481" i="4"/>
  <c r="AD373" i="4"/>
  <c r="AC373" i="4"/>
  <c r="AA373" i="4"/>
  <c r="Z373" i="4"/>
  <c r="AD265" i="4"/>
  <c r="AC265" i="4"/>
  <c r="AA265" i="4"/>
  <c r="Z265" i="4"/>
  <c r="AD1458" i="4"/>
  <c r="AC1458" i="4"/>
  <c r="AA1458" i="4"/>
  <c r="Z1458" i="4"/>
  <c r="AD1242" i="4"/>
  <c r="AC1242" i="4"/>
  <c r="AA1242" i="4"/>
  <c r="Z1242" i="4"/>
  <c r="AD1452" i="4"/>
  <c r="AC1452" i="4"/>
  <c r="AA1452" i="4"/>
  <c r="Z1452" i="4"/>
  <c r="AD1236" i="4"/>
  <c r="AC1236" i="4"/>
  <c r="AA1236" i="4"/>
  <c r="Z1236" i="4"/>
  <c r="AD1410" i="4"/>
  <c r="AC1410" i="4"/>
  <c r="AA1410" i="4"/>
  <c r="Z1410" i="4"/>
  <c r="AD1194" i="4"/>
  <c r="AC1194" i="4"/>
  <c r="AA1194" i="4"/>
  <c r="Z1194" i="4"/>
  <c r="AD1368" i="4"/>
  <c r="AC1368" i="4"/>
  <c r="AA1368" i="4"/>
  <c r="Z1368" i="4"/>
  <c r="AD1152" i="4"/>
  <c r="AC1152" i="4"/>
  <c r="AA1152" i="4"/>
  <c r="Z1152" i="4"/>
  <c r="AD1326" i="4"/>
  <c r="AC1326" i="4"/>
  <c r="AA1326" i="4"/>
  <c r="Z1326" i="4"/>
  <c r="AD1110" i="4"/>
  <c r="AC1110" i="4"/>
  <c r="AA1110" i="4"/>
  <c r="Z1110" i="4"/>
  <c r="AD1284" i="4"/>
  <c r="AC1284" i="4"/>
  <c r="AA1284" i="4"/>
  <c r="Z1284" i="4"/>
  <c r="AD1092" i="4"/>
  <c r="AC1092" i="4"/>
  <c r="AA1092" i="4"/>
  <c r="Z1092" i="4"/>
  <c r="AD1056" i="4"/>
  <c r="AC1056" i="4"/>
  <c r="AA1056" i="4"/>
  <c r="Z1056" i="4"/>
  <c r="AD1020" i="4"/>
  <c r="AC1020" i="4"/>
  <c r="AA1020" i="4"/>
  <c r="Z1020" i="4"/>
  <c r="AD984" i="4"/>
  <c r="AC984" i="4"/>
  <c r="AA984" i="4"/>
  <c r="Z984" i="4"/>
  <c r="AD948" i="4"/>
  <c r="AC948" i="4"/>
  <c r="AA948" i="4"/>
  <c r="Z948" i="4"/>
  <c r="AD912" i="4"/>
  <c r="AC912" i="4"/>
  <c r="AA912" i="4"/>
  <c r="Z912" i="4"/>
  <c r="AD876" i="4"/>
  <c r="AC876" i="4"/>
  <c r="AA876" i="4"/>
  <c r="Z876" i="4"/>
  <c r="AD840" i="4"/>
  <c r="AC840" i="4"/>
  <c r="AA840" i="4"/>
  <c r="Z840" i="4"/>
  <c r="AD804" i="4"/>
  <c r="AC804" i="4"/>
  <c r="AA804" i="4"/>
  <c r="Z804" i="4"/>
  <c r="AD768" i="4"/>
  <c r="AC768" i="4"/>
  <c r="AA768" i="4"/>
  <c r="Z768" i="4"/>
  <c r="AD732" i="4"/>
  <c r="AC732" i="4"/>
  <c r="AA732" i="4"/>
  <c r="Z732" i="4"/>
  <c r="AD696" i="4"/>
  <c r="AC696" i="4"/>
  <c r="AA696" i="4"/>
  <c r="Z696" i="4"/>
  <c r="AD660" i="4"/>
  <c r="AC660" i="4"/>
  <c r="AA660" i="4"/>
  <c r="Z660" i="4"/>
  <c r="AD624" i="4"/>
  <c r="AC624" i="4"/>
  <c r="AA624" i="4"/>
  <c r="Z624" i="4"/>
  <c r="AD588" i="4"/>
  <c r="AC588" i="4"/>
  <c r="AA588" i="4"/>
  <c r="Z588" i="4"/>
  <c r="AD552" i="4"/>
  <c r="AC552" i="4"/>
  <c r="AA552" i="4"/>
  <c r="Z552" i="4"/>
  <c r="AD516" i="4"/>
  <c r="AC516" i="4"/>
  <c r="AA516" i="4"/>
  <c r="Z516" i="4"/>
  <c r="AD480" i="4"/>
  <c r="AC480" i="4"/>
  <c r="AA480" i="4"/>
  <c r="Z480" i="4"/>
  <c r="AD444" i="4"/>
  <c r="AC444" i="4"/>
  <c r="AA444" i="4"/>
  <c r="Z444" i="4"/>
  <c r="AD408" i="4"/>
  <c r="AC408" i="4"/>
  <c r="AA408" i="4"/>
  <c r="Z408" i="4"/>
  <c r="AD372" i="4"/>
  <c r="AC372" i="4"/>
  <c r="AA372" i="4"/>
  <c r="Z372" i="4"/>
  <c r="AD336" i="4"/>
  <c r="AC336" i="4"/>
  <c r="AA336" i="4"/>
  <c r="Z336" i="4"/>
  <c r="AD300" i="4"/>
  <c r="AC300" i="4"/>
  <c r="AA300" i="4"/>
  <c r="Z300" i="4"/>
  <c r="AD264" i="4"/>
  <c r="AC264" i="4"/>
  <c r="AA264" i="4"/>
  <c r="Z264" i="4"/>
  <c r="AD228" i="4"/>
  <c r="AC228" i="4"/>
  <c r="AA228" i="4"/>
  <c r="Z228" i="4"/>
  <c r="AD1481" i="4"/>
  <c r="AC1481" i="4"/>
  <c r="AA1481" i="4"/>
  <c r="Z1481" i="4"/>
  <c r="AD1445" i="4"/>
  <c r="AC1445" i="4"/>
  <c r="AA1445" i="4"/>
  <c r="Z1445" i="4"/>
  <c r="AD1409" i="4"/>
  <c r="AC1409" i="4"/>
  <c r="AA1409" i="4"/>
  <c r="Z1409" i="4"/>
  <c r="AD1373" i="4"/>
  <c r="AC1373" i="4"/>
  <c r="AA1373" i="4"/>
  <c r="Z1373" i="4"/>
  <c r="AD1337" i="4"/>
  <c r="AC1337" i="4"/>
  <c r="AA1337" i="4"/>
  <c r="Z1337" i="4"/>
  <c r="AD1301" i="4"/>
  <c r="AC1301" i="4"/>
  <c r="AA1301" i="4"/>
  <c r="Z1301" i="4"/>
  <c r="AD1265" i="4"/>
  <c r="AC1265" i="4"/>
  <c r="AA1265" i="4"/>
  <c r="Z1265" i="4"/>
  <c r="AD1229" i="4"/>
  <c r="AC1229" i="4"/>
  <c r="AA1229" i="4"/>
  <c r="Z1229" i="4"/>
  <c r="AD1193" i="4"/>
  <c r="AC1193" i="4"/>
  <c r="AA1193" i="4"/>
  <c r="Z1193" i="4"/>
  <c r="AD1157" i="4"/>
  <c r="AC1157" i="4"/>
  <c r="AA1157" i="4"/>
  <c r="Z1157" i="4"/>
  <c r="AD1121" i="4"/>
  <c r="AC1121" i="4"/>
  <c r="AA1121" i="4"/>
  <c r="Z1121" i="4"/>
  <c r="AD1085" i="4"/>
  <c r="AC1085" i="4"/>
  <c r="AA1085" i="4"/>
  <c r="Z1085" i="4"/>
  <c r="AD1049" i="4"/>
  <c r="AC1049" i="4"/>
  <c r="AA1049" i="4"/>
  <c r="Z1049" i="4"/>
  <c r="AD1013" i="4"/>
  <c r="AC1013" i="4"/>
  <c r="AA1013" i="4"/>
  <c r="Z1013" i="4"/>
  <c r="AD977" i="4"/>
  <c r="AC977" i="4"/>
  <c r="AA977" i="4"/>
  <c r="Z977" i="4"/>
  <c r="AD941" i="4"/>
  <c r="AC941" i="4"/>
  <c r="AA941" i="4"/>
  <c r="Z941" i="4"/>
  <c r="AD905" i="4"/>
  <c r="AC905" i="4"/>
  <c r="AA905" i="4"/>
  <c r="Z905" i="4"/>
  <c r="AD869" i="4"/>
  <c r="AC869" i="4"/>
  <c r="AA869" i="4"/>
  <c r="Z869" i="4"/>
  <c r="AD833" i="4"/>
  <c r="AC833" i="4"/>
  <c r="AA833" i="4"/>
  <c r="Z833" i="4"/>
  <c r="AD797" i="4"/>
  <c r="AC797" i="4"/>
  <c r="AA797" i="4"/>
  <c r="Z797" i="4"/>
  <c r="AD761" i="4"/>
  <c r="AC761" i="4"/>
  <c r="AA761" i="4"/>
  <c r="Z761" i="4"/>
  <c r="AD725" i="4"/>
  <c r="AC725" i="4"/>
  <c r="AA725" i="4"/>
  <c r="Z725" i="4"/>
  <c r="AD689" i="4"/>
  <c r="AC689" i="4"/>
  <c r="AA689" i="4"/>
  <c r="Z689" i="4"/>
  <c r="AD653" i="4"/>
  <c r="AC653" i="4"/>
  <c r="AA653" i="4"/>
  <c r="Z653" i="4"/>
  <c r="AD617" i="4"/>
  <c r="AC617" i="4"/>
  <c r="AA617" i="4"/>
  <c r="Z617" i="4"/>
  <c r="AD581" i="4"/>
  <c r="AC581" i="4"/>
  <c r="AA581" i="4"/>
  <c r="Z581" i="4"/>
  <c r="AD545" i="4"/>
  <c r="AC545" i="4"/>
  <c r="AA545" i="4"/>
  <c r="Z545" i="4"/>
  <c r="AD509" i="4"/>
  <c r="AC509" i="4"/>
  <c r="AA509" i="4"/>
  <c r="Z509" i="4"/>
  <c r="AD473" i="4"/>
  <c r="AC473" i="4"/>
  <c r="AA473" i="4"/>
  <c r="Z473" i="4"/>
  <c r="AD437" i="4"/>
  <c r="AC437" i="4"/>
  <c r="AA437" i="4"/>
  <c r="Z437" i="4"/>
  <c r="AD401" i="4"/>
  <c r="AC401" i="4"/>
  <c r="AA401" i="4"/>
  <c r="Z401" i="4"/>
  <c r="AD365" i="4"/>
  <c r="AC365" i="4"/>
  <c r="AA365" i="4"/>
  <c r="Z365" i="4"/>
  <c r="AD329" i="4"/>
  <c r="AC329" i="4"/>
  <c r="AA329" i="4"/>
  <c r="Z329" i="4"/>
  <c r="AD293" i="4"/>
  <c r="AC293" i="4"/>
  <c r="AA293" i="4"/>
  <c r="Z293" i="4"/>
  <c r="AD257" i="4"/>
  <c r="AC257" i="4"/>
  <c r="AA257" i="4"/>
  <c r="Z257" i="4"/>
  <c r="AD1468" i="4"/>
  <c r="AC1468" i="4"/>
  <c r="AA1468" i="4"/>
  <c r="Z1468" i="4"/>
  <c r="AD1432" i="4"/>
  <c r="AC1432" i="4"/>
  <c r="AA1432" i="4"/>
  <c r="Z1432" i="4"/>
  <c r="AD1396" i="4"/>
  <c r="AC1396" i="4"/>
  <c r="AA1396" i="4"/>
  <c r="Z1396" i="4"/>
  <c r="AD1360" i="4"/>
  <c r="AC1360" i="4"/>
  <c r="AA1360" i="4"/>
  <c r="Z1360" i="4"/>
  <c r="AD1324" i="4"/>
  <c r="AC1324" i="4"/>
  <c r="AA1324" i="4"/>
  <c r="Z1324" i="4"/>
  <c r="AD1288" i="4"/>
  <c r="AC1288" i="4"/>
  <c r="AA1288" i="4"/>
  <c r="Z1288" i="4"/>
  <c r="AD1252" i="4"/>
  <c r="AC1252" i="4"/>
  <c r="AA1252" i="4"/>
  <c r="Z1252" i="4"/>
  <c r="AD1216" i="4"/>
  <c r="AC1216" i="4"/>
  <c r="AA1216" i="4"/>
  <c r="Z1216" i="4"/>
  <c r="AD1180" i="4"/>
  <c r="AC1180" i="4"/>
  <c r="AA1180" i="4"/>
  <c r="Z1180" i="4"/>
  <c r="AD1144" i="4"/>
  <c r="AC1144" i="4"/>
  <c r="AA1144" i="4"/>
  <c r="Z1144" i="4"/>
  <c r="AD1108" i="4"/>
  <c r="AC1108" i="4"/>
  <c r="AA1108" i="4"/>
  <c r="Z1108" i="4"/>
  <c r="AD1072" i="4"/>
  <c r="AC1072" i="4"/>
  <c r="AA1072" i="4"/>
  <c r="Z1072" i="4"/>
  <c r="AD1036" i="4"/>
  <c r="AC1036" i="4"/>
  <c r="AA1036" i="4"/>
  <c r="Z1036" i="4"/>
  <c r="AD1000" i="4"/>
  <c r="AC1000" i="4"/>
  <c r="AA1000" i="4"/>
  <c r="Z1000" i="4"/>
  <c r="AD964" i="4"/>
  <c r="AC964" i="4"/>
  <c r="AA964" i="4"/>
  <c r="Z964" i="4"/>
  <c r="AD928" i="4"/>
  <c r="AC928" i="4"/>
  <c r="AA928" i="4"/>
  <c r="Z928" i="4"/>
  <c r="AD892" i="4"/>
  <c r="AC892" i="4"/>
  <c r="AA892" i="4"/>
  <c r="Z892" i="4"/>
  <c r="AD856" i="4"/>
  <c r="AC856" i="4"/>
  <c r="AA856" i="4"/>
  <c r="Z856" i="4"/>
  <c r="AD820" i="4"/>
  <c r="AC820" i="4"/>
  <c r="AA820" i="4"/>
  <c r="Z820" i="4"/>
  <c r="AD784" i="4"/>
  <c r="AC784" i="4"/>
  <c r="AA784" i="4"/>
  <c r="Z784" i="4"/>
  <c r="AD748" i="4"/>
  <c r="AC748" i="4"/>
  <c r="AA748" i="4"/>
  <c r="Z748" i="4"/>
  <c r="AD712" i="4"/>
  <c r="AC712" i="4"/>
  <c r="AA712" i="4"/>
  <c r="Z712" i="4"/>
  <c r="AD676" i="4"/>
  <c r="AC676" i="4"/>
  <c r="AA676" i="4"/>
  <c r="Z676" i="4"/>
  <c r="AD640" i="4"/>
  <c r="AC640" i="4"/>
  <c r="AA640" i="4"/>
  <c r="Z640" i="4"/>
  <c r="AD604" i="4"/>
  <c r="AC604" i="4"/>
  <c r="AA604" i="4"/>
  <c r="Z604" i="4"/>
  <c r="AD568" i="4"/>
  <c r="AC568" i="4"/>
  <c r="AA568" i="4"/>
  <c r="Z568" i="4"/>
  <c r="AD532" i="4"/>
  <c r="AC532" i="4"/>
  <c r="AA532" i="4"/>
  <c r="Z532" i="4"/>
  <c r="AD496" i="4"/>
  <c r="AC496" i="4"/>
  <c r="AA496" i="4"/>
  <c r="Z496" i="4"/>
  <c r="AD460" i="4"/>
  <c r="AC460" i="4"/>
  <c r="AA460" i="4"/>
  <c r="Z460" i="4"/>
  <c r="AD424" i="4"/>
  <c r="AC424" i="4"/>
  <c r="AA424" i="4"/>
  <c r="Z424" i="4"/>
  <c r="AD388" i="4"/>
  <c r="AC388" i="4"/>
  <c r="AA388" i="4"/>
  <c r="Z388" i="4"/>
  <c r="AD352" i="4"/>
  <c r="AC352" i="4"/>
  <c r="AA352" i="4"/>
  <c r="Z352" i="4"/>
  <c r="AD316" i="4"/>
  <c r="AC316" i="4"/>
  <c r="AA316" i="4"/>
  <c r="Z316" i="4"/>
  <c r="AD280" i="4"/>
  <c r="AC280" i="4"/>
  <c r="AA280" i="4"/>
  <c r="Z280" i="4"/>
  <c r="AD244" i="4"/>
  <c r="AC244" i="4"/>
  <c r="AA244" i="4"/>
  <c r="Z244" i="4"/>
  <c r="AD1485" i="4"/>
  <c r="AC1485" i="4"/>
  <c r="AA1485" i="4"/>
  <c r="Z1485" i="4"/>
  <c r="AD1449" i="4"/>
  <c r="AC1449" i="4"/>
  <c r="AA1449" i="4"/>
  <c r="Z1449" i="4"/>
  <c r="AD1413" i="4"/>
  <c r="AC1413" i="4"/>
  <c r="AA1413" i="4"/>
  <c r="Z1413" i="4"/>
  <c r="AD1377" i="4"/>
  <c r="AC1377" i="4"/>
  <c r="AA1377" i="4"/>
  <c r="Z1377" i="4"/>
  <c r="AD1341" i="4"/>
  <c r="AC1341" i="4"/>
  <c r="AA1341" i="4"/>
  <c r="Z1341" i="4"/>
  <c r="AD1305" i="4"/>
  <c r="AC1305" i="4"/>
  <c r="AA1305" i="4"/>
  <c r="Z1305" i="4"/>
  <c r="AD1269" i="4"/>
  <c r="AC1269" i="4"/>
  <c r="AA1269" i="4"/>
  <c r="Z1269" i="4"/>
  <c r="AD1233" i="4"/>
  <c r="AC1233" i="4"/>
  <c r="AA1233" i="4"/>
  <c r="Z1233" i="4"/>
  <c r="AD1197" i="4"/>
  <c r="AC1197" i="4"/>
  <c r="AA1197" i="4"/>
  <c r="Z1197" i="4"/>
  <c r="AD1161" i="4"/>
  <c r="AC1161" i="4"/>
  <c r="AA1161" i="4"/>
  <c r="Z1161" i="4"/>
  <c r="AD1125" i="4"/>
  <c r="AC1125" i="4"/>
  <c r="AA1125" i="4"/>
  <c r="Z1125" i="4"/>
  <c r="AD1089" i="4"/>
  <c r="AC1089" i="4"/>
  <c r="AA1089" i="4"/>
  <c r="Z1089" i="4"/>
  <c r="AD1053" i="4"/>
  <c r="AC1053" i="4"/>
  <c r="AA1053" i="4"/>
  <c r="Z1053" i="4"/>
  <c r="AD1017" i="4"/>
  <c r="AC1017" i="4"/>
  <c r="AA1017" i="4"/>
  <c r="Z1017" i="4"/>
  <c r="AD981" i="4"/>
  <c r="AC981" i="4"/>
  <c r="AA981" i="4"/>
  <c r="Z981" i="4"/>
  <c r="AD945" i="4"/>
  <c r="AC945" i="4"/>
  <c r="AA945" i="4"/>
  <c r="Z945" i="4"/>
  <c r="AD909" i="4"/>
  <c r="AC909" i="4"/>
  <c r="AA909" i="4"/>
  <c r="Z909" i="4"/>
  <c r="AD873" i="4"/>
  <c r="AC873" i="4"/>
  <c r="AA873" i="4"/>
  <c r="Z873" i="4"/>
  <c r="AD837" i="4"/>
  <c r="AC837" i="4"/>
  <c r="AA837" i="4"/>
  <c r="Z837" i="4"/>
  <c r="AD801" i="4"/>
  <c r="AC801" i="4"/>
  <c r="AA801" i="4"/>
  <c r="Z801" i="4"/>
  <c r="AD765" i="4"/>
  <c r="AC765" i="4"/>
  <c r="AA765" i="4"/>
  <c r="Z765" i="4"/>
  <c r="AD729" i="4"/>
  <c r="AC729" i="4"/>
  <c r="AA729" i="4"/>
  <c r="Z729" i="4"/>
  <c r="AD693" i="4"/>
  <c r="AC693" i="4"/>
  <c r="AA693" i="4"/>
  <c r="Z693" i="4"/>
  <c r="AD657" i="4"/>
  <c r="AC657" i="4"/>
  <c r="AA657" i="4"/>
  <c r="Z657" i="4"/>
  <c r="AD621" i="4"/>
  <c r="AC621" i="4"/>
  <c r="AA621" i="4"/>
  <c r="Z621" i="4"/>
  <c r="AD585" i="4"/>
  <c r="AC585" i="4"/>
  <c r="AA585" i="4"/>
  <c r="Z585" i="4"/>
  <c r="AD549" i="4"/>
  <c r="AC549" i="4"/>
  <c r="AA549" i="4"/>
  <c r="Z549" i="4"/>
  <c r="AD513" i="4"/>
  <c r="AC513" i="4"/>
  <c r="AA513" i="4"/>
  <c r="Z513" i="4"/>
  <c r="AD477" i="4"/>
  <c r="AC477" i="4"/>
  <c r="AA477" i="4"/>
  <c r="Z477" i="4"/>
  <c r="AD441" i="4"/>
  <c r="AC441" i="4"/>
  <c r="AA441" i="4"/>
  <c r="Z441" i="4"/>
  <c r="AD405" i="4"/>
  <c r="AC405" i="4"/>
  <c r="AA405" i="4"/>
  <c r="Z405" i="4"/>
  <c r="AD369" i="4"/>
  <c r="AC369" i="4"/>
  <c r="AA369" i="4"/>
  <c r="Z369" i="4"/>
  <c r="AD333" i="4"/>
  <c r="AC333" i="4"/>
  <c r="AA333" i="4"/>
  <c r="Z333" i="4"/>
  <c r="AD297" i="4"/>
  <c r="AC297" i="4"/>
  <c r="AA297" i="4"/>
  <c r="Z297" i="4"/>
  <c r="AD261" i="4"/>
  <c r="AC261" i="4"/>
  <c r="AA261" i="4"/>
  <c r="Z261" i="4"/>
  <c r="AD225" i="4"/>
  <c r="AC225" i="4"/>
  <c r="AA225" i="4"/>
  <c r="Z225" i="4"/>
  <c r="AD1466" i="4"/>
  <c r="AC1466" i="4"/>
  <c r="AA1466" i="4"/>
  <c r="Z1466" i="4"/>
  <c r="AD1430" i="4"/>
  <c r="AC1430" i="4"/>
  <c r="AA1430" i="4"/>
  <c r="Z1430" i="4"/>
  <c r="AD1394" i="4"/>
  <c r="AC1394" i="4"/>
  <c r="AA1394" i="4"/>
  <c r="Z1394" i="4"/>
  <c r="AD1358" i="4"/>
  <c r="AC1358" i="4"/>
  <c r="AA1358" i="4"/>
  <c r="Z1358" i="4"/>
  <c r="AD1322" i="4"/>
  <c r="AC1322" i="4"/>
  <c r="AA1322" i="4"/>
  <c r="Z1322" i="4"/>
  <c r="AD1286" i="4"/>
  <c r="AC1286" i="4"/>
  <c r="AA1286" i="4"/>
  <c r="Z1286" i="4"/>
  <c r="AD1250" i="4"/>
  <c r="AC1250" i="4"/>
  <c r="AA1250" i="4"/>
  <c r="Z1250" i="4"/>
  <c r="AD1214" i="4"/>
  <c r="AC1214" i="4"/>
  <c r="AA1214" i="4"/>
  <c r="Z1214" i="4"/>
  <c r="AD1178" i="4"/>
  <c r="AC1178" i="4"/>
  <c r="AA1178" i="4"/>
  <c r="Z1178" i="4"/>
  <c r="AD1142" i="4"/>
  <c r="AC1142" i="4"/>
  <c r="AA1142" i="4"/>
  <c r="Z1142" i="4"/>
  <c r="AD1106" i="4"/>
  <c r="AC1106" i="4"/>
  <c r="AA1106" i="4"/>
  <c r="Z1106" i="4"/>
  <c r="AD1070" i="4"/>
  <c r="AC1070" i="4"/>
  <c r="AA1070" i="4"/>
  <c r="Z1070" i="4"/>
  <c r="AD1034" i="4"/>
  <c r="AC1034" i="4"/>
  <c r="AA1034" i="4"/>
  <c r="Z1034" i="4"/>
  <c r="AD998" i="4"/>
  <c r="AC998" i="4"/>
  <c r="AA998" i="4"/>
  <c r="Z998" i="4"/>
  <c r="AD962" i="4"/>
  <c r="AC962" i="4"/>
  <c r="AA962" i="4"/>
  <c r="Z962" i="4"/>
  <c r="AD926" i="4"/>
  <c r="AC926" i="4"/>
  <c r="AA926" i="4"/>
  <c r="Z926" i="4"/>
  <c r="AD890" i="4"/>
  <c r="AC890" i="4"/>
  <c r="AA890" i="4"/>
  <c r="Z890" i="4"/>
  <c r="AD854" i="4"/>
  <c r="AC854" i="4"/>
  <c r="AA854" i="4"/>
  <c r="Z854" i="4"/>
  <c r="AD818" i="4"/>
  <c r="AC818" i="4"/>
  <c r="AA818" i="4"/>
  <c r="Z818" i="4"/>
  <c r="AD782" i="4"/>
  <c r="AC782" i="4"/>
  <c r="AA782" i="4"/>
  <c r="Z782" i="4"/>
  <c r="AD746" i="4"/>
  <c r="AC746" i="4"/>
  <c r="AA746" i="4"/>
  <c r="Z746" i="4"/>
  <c r="AD710" i="4"/>
  <c r="AC710" i="4"/>
  <c r="AA710" i="4"/>
  <c r="Z710" i="4"/>
  <c r="AD674" i="4"/>
  <c r="AC674" i="4"/>
  <c r="AA674" i="4"/>
  <c r="Z674" i="4"/>
  <c r="AD638" i="4"/>
  <c r="AC638" i="4"/>
  <c r="AA638" i="4"/>
  <c r="Z638" i="4"/>
  <c r="AD602" i="4"/>
  <c r="AC602" i="4"/>
  <c r="AA602" i="4"/>
  <c r="Z602" i="4"/>
  <c r="AD566" i="4"/>
  <c r="AC566" i="4"/>
  <c r="AA566" i="4"/>
  <c r="Z566" i="4"/>
  <c r="AD530" i="4"/>
  <c r="AC530" i="4"/>
  <c r="AA530" i="4"/>
  <c r="Z530" i="4"/>
  <c r="AD494" i="4"/>
  <c r="AC494" i="4"/>
  <c r="AA494" i="4"/>
  <c r="Z494" i="4"/>
  <c r="AD458" i="4"/>
  <c r="AC458" i="4"/>
  <c r="AA458" i="4"/>
  <c r="Z458" i="4"/>
  <c r="AD422" i="4"/>
  <c r="AC422" i="4"/>
  <c r="AA422" i="4"/>
  <c r="Z422" i="4"/>
  <c r="AD386" i="4"/>
  <c r="AC386" i="4"/>
  <c r="AA386" i="4"/>
  <c r="Z386" i="4"/>
  <c r="AD350" i="4"/>
  <c r="AC350" i="4"/>
  <c r="AA350" i="4"/>
  <c r="Z350" i="4"/>
  <c r="AD314" i="4"/>
  <c r="AC314" i="4"/>
  <c r="AA314" i="4"/>
  <c r="Z314" i="4"/>
  <c r="AD278" i="4"/>
  <c r="AC278" i="4"/>
  <c r="AA278" i="4"/>
  <c r="Z278" i="4"/>
  <c r="AD242" i="4"/>
  <c r="AC242" i="4"/>
  <c r="AA242" i="4"/>
  <c r="Z242" i="4"/>
  <c r="AD1483" i="4"/>
  <c r="AC1483" i="4"/>
  <c r="AA1483" i="4"/>
  <c r="Z1483" i="4"/>
  <c r="AD1447" i="4"/>
  <c r="AC1447" i="4"/>
  <c r="AA1447" i="4"/>
  <c r="Z1447" i="4"/>
  <c r="AD1411" i="4"/>
  <c r="AC1411" i="4"/>
  <c r="AA1411" i="4"/>
  <c r="Z1411" i="4"/>
  <c r="AD1375" i="4"/>
  <c r="AC1375" i="4"/>
  <c r="AA1375" i="4"/>
  <c r="Z1375" i="4"/>
  <c r="AD1339" i="4"/>
  <c r="AC1339" i="4"/>
  <c r="AA1339" i="4"/>
  <c r="Z1339" i="4"/>
  <c r="AD1303" i="4"/>
  <c r="AC1303" i="4"/>
  <c r="AA1303" i="4"/>
  <c r="Z1303" i="4"/>
  <c r="AD1267" i="4"/>
  <c r="AC1267" i="4"/>
  <c r="AA1267" i="4"/>
  <c r="Z1267" i="4"/>
  <c r="AD1231" i="4"/>
  <c r="AC1231" i="4"/>
  <c r="AA1231" i="4"/>
  <c r="Z1231" i="4"/>
  <c r="AD1195" i="4"/>
  <c r="AC1195" i="4"/>
  <c r="AA1195" i="4"/>
  <c r="Z1195" i="4"/>
  <c r="AD1159" i="4"/>
  <c r="AC1159" i="4"/>
  <c r="AA1159" i="4"/>
  <c r="Z1159" i="4"/>
  <c r="AD1123" i="4"/>
  <c r="AC1123" i="4"/>
  <c r="AA1123" i="4"/>
  <c r="Z1123" i="4"/>
  <c r="AD1087" i="4"/>
  <c r="AC1087" i="4"/>
  <c r="AA1087" i="4"/>
  <c r="Z1087" i="4"/>
  <c r="AD1051" i="4"/>
  <c r="AC1051" i="4"/>
  <c r="AA1051" i="4"/>
  <c r="Z1051" i="4"/>
  <c r="AD1015" i="4"/>
  <c r="AC1015" i="4"/>
  <c r="AA1015" i="4"/>
  <c r="Z1015" i="4"/>
  <c r="AD979" i="4"/>
  <c r="AC979" i="4"/>
  <c r="AA979" i="4"/>
  <c r="Z979" i="4"/>
  <c r="AD943" i="4"/>
  <c r="AC943" i="4"/>
  <c r="AA943" i="4"/>
  <c r="Z943" i="4"/>
  <c r="AD907" i="4"/>
  <c r="AC907" i="4"/>
  <c r="AA907" i="4"/>
  <c r="Z907" i="4"/>
  <c r="AD871" i="4"/>
  <c r="AC871" i="4"/>
  <c r="AA871" i="4"/>
  <c r="Z871" i="4"/>
  <c r="AD835" i="4"/>
  <c r="AC835" i="4"/>
  <c r="AA835" i="4"/>
  <c r="Z835" i="4"/>
  <c r="AD799" i="4"/>
  <c r="AC799" i="4"/>
  <c r="AA799" i="4"/>
  <c r="Z799" i="4"/>
  <c r="AD763" i="4"/>
  <c r="AC763" i="4"/>
  <c r="AA763" i="4"/>
  <c r="Z763" i="4"/>
  <c r="AD727" i="4"/>
  <c r="AC727" i="4"/>
  <c r="AA727" i="4"/>
  <c r="Z727" i="4"/>
  <c r="AD691" i="4"/>
  <c r="AC691" i="4"/>
  <c r="AA691" i="4"/>
  <c r="Z691" i="4"/>
  <c r="AD655" i="4"/>
  <c r="AC655" i="4"/>
  <c r="AA655" i="4"/>
  <c r="Z655" i="4"/>
  <c r="AD619" i="4"/>
  <c r="AC619" i="4"/>
  <c r="AA619" i="4"/>
  <c r="Z619" i="4"/>
  <c r="AD583" i="4"/>
  <c r="AC583" i="4"/>
  <c r="AA583" i="4"/>
  <c r="Z583" i="4"/>
  <c r="AD547" i="4"/>
  <c r="AC547" i="4"/>
  <c r="AA547" i="4"/>
  <c r="Z547" i="4"/>
  <c r="AD511" i="4"/>
  <c r="AC511" i="4"/>
  <c r="AA511" i="4"/>
  <c r="Z511" i="4"/>
  <c r="AD475" i="4"/>
  <c r="AC475" i="4"/>
  <c r="AA475" i="4"/>
  <c r="Z475" i="4"/>
  <c r="AD439" i="4"/>
  <c r="AC439" i="4"/>
  <c r="AA439" i="4"/>
  <c r="Z439" i="4"/>
  <c r="AD403" i="4"/>
  <c r="AC403" i="4"/>
  <c r="AA403" i="4"/>
  <c r="Z403" i="4"/>
  <c r="AD367" i="4"/>
  <c r="AC367" i="4"/>
  <c r="AA367" i="4"/>
  <c r="Z367" i="4"/>
  <c r="AD331" i="4"/>
  <c r="AC331" i="4"/>
  <c r="AA331" i="4"/>
  <c r="Z331" i="4"/>
  <c r="AD295" i="4"/>
  <c r="AC295" i="4"/>
  <c r="AA295" i="4"/>
  <c r="Z295" i="4"/>
  <c r="AD259" i="4"/>
  <c r="AC259" i="4"/>
  <c r="AA259" i="4"/>
  <c r="Z259" i="4"/>
  <c r="AD1230" i="4"/>
  <c r="AC1230" i="4"/>
  <c r="AA1230" i="4"/>
  <c r="Z1230" i="4"/>
  <c r="AD1104" i="4"/>
  <c r="AC1104" i="4"/>
  <c r="AA1104" i="4"/>
  <c r="Z1104" i="4"/>
  <c r="AD846" i="4"/>
  <c r="AC846" i="4"/>
  <c r="AA846" i="4"/>
  <c r="Z846" i="4"/>
  <c r="AD630" i="4"/>
  <c r="AC630" i="4"/>
  <c r="AA630" i="4"/>
  <c r="Z630" i="4"/>
  <c r="AD414" i="4"/>
  <c r="AC414" i="4"/>
  <c r="AA414" i="4"/>
  <c r="Z414" i="4"/>
  <c r="AD234" i="4"/>
  <c r="AC234" i="4"/>
  <c r="AA234" i="4"/>
  <c r="Z234" i="4"/>
  <c r="AD1307" i="4"/>
  <c r="AC1307" i="4"/>
  <c r="AA1307" i="4"/>
  <c r="Z1307" i="4"/>
  <c r="AD1055" i="4"/>
  <c r="AC1055" i="4"/>
  <c r="AA1055" i="4"/>
  <c r="Z1055" i="4"/>
  <c r="AD839" i="4"/>
  <c r="AC839" i="4"/>
  <c r="AA839" i="4"/>
  <c r="Z839" i="4"/>
  <c r="AD623" i="4"/>
  <c r="AC623" i="4"/>
  <c r="AA623" i="4"/>
  <c r="Z623" i="4"/>
  <c r="AD443" i="4"/>
  <c r="AC443" i="4"/>
  <c r="AA443" i="4"/>
  <c r="Z443" i="4"/>
  <c r="AD1474" i="4"/>
  <c r="AC1474" i="4"/>
  <c r="AA1474" i="4"/>
  <c r="Z1474" i="4"/>
  <c r="AD1258" i="4"/>
  <c r="AC1258" i="4"/>
  <c r="AA1258" i="4"/>
  <c r="Z1258" i="4"/>
  <c r="AD1042" i="4"/>
  <c r="AC1042" i="4"/>
  <c r="AA1042" i="4"/>
  <c r="Z1042" i="4"/>
  <c r="AD862" i="4"/>
  <c r="AC862" i="4"/>
  <c r="AA862" i="4"/>
  <c r="Z862" i="4"/>
  <c r="AD682" i="4"/>
  <c r="AC682" i="4"/>
  <c r="AA682" i="4"/>
  <c r="Z682" i="4"/>
  <c r="AD502" i="4"/>
  <c r="AC502" i="4"/>
  <c r="AA502" i="4"/>
  <c r="Z502" i="4"/>
  <c r="AD286" i="4"/>
  <c r="AC286" i="4"/>
  <c r="AA286" i="4"/>
  <c r="Z286" i="4"/>
  <c r="AD1347" i="4"/>
  <c r="AC1347" i="4"/>
  <c r="AA1347" i="4"/>
  <c r="Z1347" i="4"/>
  <c r="AD1167" i="4"/>
  <c r="AC1167" i="4"/>
  <c r="AA1167" i="4"/>
  <c r="Z1167" i="4"/>
  <c r="AD951" i="4"/>
  <c r="AC951" i="4"/>
  <c r="AA951" i="4"/>
  <c r="Z951" i="4"/>
  <c r="AD735" i="4"/>
  <c r="AC735" i="4"/>
  <c r="AA735" i="4"/>
  <c r="Z735" i="4"/>
  <c r="AD519" i="4"/>
  <c r="AC519" i="4"/>
  <c r="AA519" i="4"/>
  <c r="Z519" i="4"/>
  <c r="AD303" i="4"/>
  <c r="AC303" i="4"/>
  <c r="AA303" i="4"/>
  <c r="Z303" i="4"/>
  <c r="AD1364" i="4"/>
  <c r="AC1364" i="4"/>
  <c r="AA1364" i="4"/>
  <c r="Z1364" i="4"/>
  <c r="AD1148" i="4"/>
  <c r="AC1148" i="4"/>
  <c r="AA1148" i="4"/>
  <c r="Z1148" i="4"/>
  <c r="AD860" i="4"/>
  <c r="AC860" i="4"/>
  <c r="AA860" i="4"/>
  <c r="Z860" i="4"/>
  <c r="AD1129" i="4"/>
  <c r="AC1129" i="4"/>
  <c r="AA1129" i="4"/>
  <c r="Z1129" i="4"/>
  <c r="AD1422" i="4"/>
  <c r="AC1422" i="4"/>
  <c r="AA1422" i="4"/>
  <c r="Z1422" i="4"/>
  <c r="AD1206" i="4"/>
  <c r="AC1206" i="4"/>
  <c r="AA1206" i="4"/>
  <c r="Z1206" i="4"/>
  <c r="AD1416" i="4"/>
  <c r="AC1416" i="4"/>
  <c r="AA1416" i="4"/>
  <c r="Z1416" i="4"/>
  <c r="AD1200" i="4"/>
  <c r="AC1200" i="4"/>
  <c r="AA1200" i="4"/>
  <c r="Z1200" i="4"/>
  <c r="AD1374" i="4"/>
  <c r="AC1374" i="4"/>
  <c r="AA1374" i="4"/>
  <c r="Z1374" i="4"/>
  <c r="AD1158" i="4"/>
  <c r="AC1158" i="4"/>
  <c r="AA1158" i="4"/>
  <c r="Z1158" i="4"/>
  <c r="AD1332" i="4"/>
  <c r="AC1332" i="4"/>
  <c r="AA1332" i="4"/>
  <c r="Z1332" i="4"/>
  <c r="AD1116" i="4"/>
  <c r="AC1116" i="4"/>
  <c r="AA1116" i="4"/>
  <c r="Z1116" i="4"/>
  <c r="AD1290" i="4"/>
  <c r="AC1290" i="4"/>
  <c r="AA1290" i="4"/>
  <c r="Z1290" i="4"/>
  <c r="AD1464" i="4"/>
  <c r="AC1464" i="4"/>
  <c r="AA1464" i="4"/>
  <c r="Z1464" i="4"/>
  <c r="AD1248" i="4"/>
  <c r="AC1248" i="4"/>
  <c r="AA1248" i="4"/>
  <c r="Z1248" i="4"/>
  <c r="AD1086" i="4"/>
  <c r="AC1086" i="4"/>
  <c r="AA1086" i="4"/>
  <c r="Z1086" i="4"/>
  <c r="AD1050" i="4"/>
  <c r="AC1050" i="4"/>
  <c r="AA1050" i="4"/>
  <c r="Z1050" i="4"/>
  <c r="AD1014" i="4"/>
  <c r="AC1014" i="4"/>
  <c r="AA1014" i="4"/>
  <c r="Z1014" i="4"/>
  <c r="AD978" i="4"/>
  <c r="AC978" i="4"/>
  <c r="AA978" i="4"/>
  <c r="Z978" i="4"/>
  <c r="AD942" i="4"/>
  <c r="AC942" i="4"/>
  <c r="AA942" i="4"/>
  <c r="Z942" i="4"/>
  <c r="AD906" i="4"/>
  <c r="AC906" i="4"/>
  <c r="AA906" i="4"/>
  <c r="Z906" i="4"/>
  <c r="AD870" i="4"/>
  <c r="AC870" i="4"/>
  <c r="AA870" i="4"/>
  <c r="Z870" i="4"/>
  <c r="AD834" i="4"/>
  <c r="AC834" i="4"/>
  <c r="AA834" i="4"/>
  <c r="Z834" i="4"/>
  <c r="AD798" i="4"/>
  <c r="AC798" i="4"/>
  <c r="AA798" i="4"/>
  <c r="Z798" i="4"/>
  <c r="AD762" i="4"/>
  <c r="AC762" i="4"/>
  <c r="AA762" i="4"/>
  <c r="Z762" i="4"/>
  <c r="AD726" i="4"/>
  <c r="AC726" i="4"/>
  <c r="AA726" i="4"/>
  <c r="Z726" i="4"/>
  <c r="AD690" i="4"/>
  <c r="AC690" i="4"/>
  <c r="AA690" i="4"/>
  <c r="Z690" i="4"/>
  <c r="AD654" i="4"/>
  <c r="AC654" i="4"/>
  <c r="AA654" i="4"/>
  <c r="Z654" i="4"/>
  <c r="AD618" i="4"/>
  <c r="AC618" i="4"/>
  <c r="AA618" i="4"/>
  <c r="Z618" i="4"/>
  <c r="AD582" i="4"/>
  <c r="AC582" i="4"/>
  <c r="AA582" i="4"/>
  <c r="Z582" i="4"/>
  <c r="AD546" i="4"/>
  <c r="AC546" i="4"/>
  <c r="AA546" i="4"/>
  <c r="Z546" i="4"/>
  <c r="AD510" i="4"/>
  <c r="AC510" i="4"/>
  <c r="AA510" i="4"/>
  <c r="Z510" i="4"/>
  <c r="AD474" i="4"/>
  <c r="AC474" i="4"/>
  <c r="AA474" i="4"/>
  <c r="Z474" i="4"/>
  <c r="AD438" i="4"/>
  <c r="AC438" i="4"/>
  <c r="AA438" i="4"/>
  <c r="Z438" i="4"/>
  <c r="AD402" i="4"/>
  <c r="AC402" i="4"/>
  <c r="AA402" i="4"/>
  <c r="Z402" i="4"/>
  <c r="AD366" i="4"/>
  <c r="AC366" i="4"/>
  <c r="AA366" i="4"/>
  <c r="Z366" i="4"/>
  <c r="AD330" i="4"/>
  <c r="AC330" i="4"/>
  <c r="AA330" i="4"/>
  <c r="Z330" i="4"/>
  <c r="AD294" i="4"/>
  <c r="AC294" i="4"/>
  <c r="AA294" i="4"/>
  <c r="Z294" i="4"/>
  <c r="AD258" i="4"/>
  <c r="AC258" i="4"/>
  <c r="AA258" i="4"/>
  <c r="Z258" i="4"/>
  <c r="AD1475" i="4"/>
  <c r="AC1475" i="4"/>
  <c r="AA1475" i="4"/>
  <c r="Z1475" i="4"/>
  <c r="AD1439" i="4"/>
  <c r="AC1439" i="4"/>
  <c r="AA1439" i="4"/>
  <c r="Z1439" i="4"/>
  <c r="AD1403" i="4"/>
  <c r="AC1403" i="4"/>
  <c r="AA1403" i="4"/>
  <c r="Z1403" i="4"/>
  <c r="AD1367" i="4"/>
  <c r="AC1367" i="4"/>
  <c r="AA1367" i="4"/>
  <c r="Z1367" i="4"/>
  <c r="AD1331" i="4"/>
  <c r="AC1331" i="4"/>
  <c r="AA1331" i="4"/>
  <c r="Z1331" i="4"/>
  <c r="AD1295" i="4"/>
  <c r="AC1295" i="4"/>
  <c r="AA1295" i="4"/>
  <c r="Z1295" i="4"/>
  <c r="AD1259" i="4"/>
  <c r="AC1259" i="4"/>
  <c r="AA1259" i="4"/>
  <c r="Z1259" i="4"/>
  <c r="AD1223" i="4"/>
  <c r="AC1223" i="4"/>
  <c r="AA1223" i="4"/>
  <c r="Z1223" i="4"/>
  <c r="AD1187" i="4"/>
  <c r="AC1187" i="4"/>
  <c r="AA1187" i="4"/>
  <c r="Z1187" i="4"/>
  <c r="AD1151" i="4"/>
  <c r="AC1151" i="4"/>
  <c r="AA1151" i="4"/>
  <c r="Z1151" i="4"/>
  <c r="AD1115" i="4"/>
  <c r="AC1115" i="4"/>
  <c r="AA1115" i="4"/>
  <c r="Z1115" i="4"/>
  <c r="AD1079" i="4"/>
  <c r="AC1079" i="4"/>
  <c r="AA1079" i="4"/>
  <c r="Z1079" i="4"/>
  <c r="AD1043" i="4"/>
  <c r="AC1043" i="4"/>
  <c r="AA1043" i="4"/>
  <c r="Z1043" i="4"/>
  <c r="AD1007" i="4"/>
  <c r="AC1007" i="4"/>
  <c r="AA1007" i="4"/>
  <c r="Z1007" i="4"/>
  <c r="AD971" i="4"/>
  <c r="AC971" i="4"/>
  <c r="AA971" i="4"/>
  <c r="Z971" i="4"/>
  <c r="AD935" i="4"/>
  <c r="AC935" i="4"/>
  <c r="AA935" i="4"/>
  <c r="Z935" i="4"/>
  <c r="AD899" i="4"/>
  <c r="AC899" i="4"/>
  <c r="AA899" i="4"/>
  <c r="Z899" i="4"/>
  <c r="AD863" i="4"/>
  <c r="AC863" i="4"/>
  <c r="AA863" i="4"/>
  <c r="Z863" i="4"/>
  <c r="AD827" i="4"/>
  <c r="AC827" i="4"/>
  <c r="AA827" i="4"/>
  <c r="Z827" i="4"/>
  <c r="AD791" i="4"/>
  <c r="AC791" i="4"/>
  <c r="AA791" i="4"/>
  <c r="Z791" i="4"/>
  <c r="AD755" i="4"/>
  <c r="AC755" i="4"/>
  <c r="AA755" i="4"/>
  <c r="Z755" i="4"/>
  <c r="AD719" i="4"/>
  <c r="AC719" i="4"/>
  <c r="AA719" i="4"/>
  <c r="Z719" i="4"/>
  <c r="AD683" i="4"/>
  <c r="AC683" i="4"/>
  <c r="AA683" i="4"/>
  <c r="Z683" i="4"/>
  <c r="AD647" i="4"/>
  <c r="AC647" i="4"/>
  <c r="AA647" i="4"/>
  <c r="Z647" i="4"/>
  <c r="AD611" i="4"/>
  <c r="AC611" i="4"/>
  <c r="AA611" i="4"/>
  <c r="Z611" i="4"/>
  <c r="AD575" i="4"/>
  <c r="AC575" i="4"/>
  <c r="AA575" i="4"/>
  <c r="Z575" i="4"/>
  <c r="AD539" i="4"/>
  <c r="AC539" i="4"/>
  <c r="AA539" i="4"/>
  <c r="Z539" i="4"/>
  <c r="AD503" i="4"/>
  <c r="AC503" i="4"/>
  <c r="AA503" i="4"/>
  <c r="Z503" i="4"/>
  <c r="AD467" i="4"/>
  <c r="AC467" i="4"/>
  <c r="AA467" i="4"/>
  <c r="Z467" i="4"/>
  <c r="AD431" i="4"/>
  <c r="AC431" i="4"/>
  <c r="AA431" i="4"/>
  <c r="Z431" i="4"/>
  <c r="AD395" i="4"/>
  <c r="AC395" i="4"/>
  <c r="AA395" i="4"/>
  <c r="Z395" i="4"/>
  <c r="AD359" i="4"/>
  <c r="AC359" i="4"/>
  <c r="AA359" i="4"/>
  <c r="Z359" i="4"/>
  <c r="AD323" i="4"/>
  <c r="AC323" i="4"/>
  <c r="AA323" i="4"/>
  <c r="Z323" i="4"/>
  <c r="AD287" i="4"/>
  <c r="AC287" i="4"/>
  <c r="AA287" i="4"/>
  <c r="Z287" i="4"/>
  <c r="AD251" i="4"/>
  <c r="AC251" i="4"/>
  <c r="AA251" i="4"/>
  <c r="Z251" i="4"/>
  <c r="AD1498" i="4"/>
  <c r="AC1498" i="4"/>
  <c r="AA1498" i="4"/>
  <c r="Z1498" i="4"/>
  <c r="AD1462" i="4"/>
  <c r="AC1462" i="4"/>
  <c r="AA1462" i="4"/>
  <c r="Z1462" i="4"/>
  <c r="AD1426" i="4"/>
  <c r="AC1426" i="4"/>
  <c r="AA1426" i="4"/>
  <c r="Z1426" i="4"/>
  <c r="AD1390" i="4"/>
  <c r="AC1390" i="4"/>
  <c r="AA1390" i="4"/>
  <c r="Z1390" i="4"/>
  <c r="AD1354" i="4"/>
  <c r="AC1354" i="4"/>
  <c r="AA1354" i="4"/>
  <c r="Z1354" i="4"/>
  <c r="AD1318" i="4"/>
  <c r="AC1318" i="4"/>
  <c r="AA1318" i="4"/>
  <c r="Z1318" i="4"/>
  <c r="AD1282" i="4"/>
  <c r="AC1282" i="4"/>
  <c r="AA1282" i="4"/>
  <c r="Z1282" i="4"/>
  <c r="AD1246" i="4"/>
  <c r="AC1246" i="4"/>
  <c r="AA1246" i="4"/>
  <c r="Z1246" i="4"/>
  <c r="AD1210" i="4"/>
  <c r="AC1210" i="4"/>
  <c r="AA1210" i="4"/>
  <c r="Z1210" i="4"/>
  <c r="AD1174" i="4"/>
  <c r="AC1174" i="4"/>
  <c r="AA1174" i="4"/>
  <c r="Z1174" i="4"/>
  <c r="AD1138" i="4"/>
  <c r="AC1138" i="4"/>
  <c r="AA1138" i="4"/>
  <c r="Z1138" i="4"/>
  <c r="AD1102" i="4"/>
  <c r="AC1102" i="4"/>
  <c r="AA1102" i="4"/>
  <c r="Z1102" i="4"/>
  <c r="AD1066" i="4"/>
  <c r="AC1066" i="4"/>
  <c r="AA1066" i="4"/>
  <c r="Z1066" i="4"/>
  <c r="AD1030" i="4"/>
  <c r="AC1030" i="4"/>
  <c r="AA1030" i="4"/>
  <c r="Z1030" i="4"/>
  <c r="AD994" i="4"/>
  <c r="AC994" i="4"/>
  <c r="AA994" i="4"/>
  <c r="Z994" i="4"/>
  <c r="AD958" i="4"/>
  <c r="AC958" i="4"/>
  <c r="AA958" i="4"/>
  <c r="Z958" i="4"/>
  <c r="AD922" i="4"/>
  <c r="AC922" i="4"/>
  <c r="AA922" i="4"/>
  <c r="Z922" i="4"/>
  <c r="AD886" i="4"/>
  <c r="AC886" i="4"/>
  <c r="AA886" i="4"/>
  <c r="Z886" i="4"/>
  <c r="AD850" i="4"/>
  <c r="AC850" i="4"/>
  <c r="AA850" i="4"/>
  <c r="Z850" i="4"/>
  <c r="AD814" i="4"/>
  <c r="AC814" i="4"/>
  <c r="AA814" i="4"/>
  <c r="Z814" i="4"/>
  <c r="AD778" i="4"/>
  <c r="AC778" i="4"/>
  <c r="AA778" i="4"/>
  <c r="Z778" i="4"/>
  <c r="AD742" i="4"/>
  <c r="AC742" i="4"/>
  <c r="AA742" i="4"/>
  <c r="Z742" i="4"/>
  <c r="AD706" i="4"/>
  <c r="AC706" i="4"/>
  <c r="AA706" i="4"/>
  <c r="Z706" i="4"/>
  <c r="AD670" i="4"/>
  <c r="AC670" i="4"/>
  <c r="AA670" i="4"/>
  <c r="Z670" i="4"/>
  <c r="AD634" i="4"/>
  <c r="AC634" i="4"/>
  <c r="AA634" i="4"/>
  <c r="Z634" i="4"/>
  <c r="AD598" i="4"/>
  <c r="AC598" i="4"/>
  <c r="AA598" i="4"/>
  <c r="Z598" i="4"/>
  <c r="AD562" i="4"/>
  <c r="AC562" i="4"/>
  <c r="AA562" i="4"/>
  <c r="Z562" i="4"/>
  <c r="AD526" i="4"/>
  <c r="AC526" i="4"/>
  <c r="AA526" i="4"/>
  <c r="Z526" i="4"/>
  <c r="AD490" i="4"/>
  <c r="AC490" i="4"/>
  <c r="AA490" i="4"/>
  <c r="Z490" i="4"/>
  <c r="AD454" i="4"/>
  <c r="AC454" i="4"/>
  <c r="AA454" i="4"/>
  <c r="Z454" i="4"/>
  <c r="AD418" i="4"/>
  <c r="AC418" i="4"/>
  <c r="AA418" i="4"/>
  <c r="Z418" i="4"/>
  <c r="AD382" i="4"/>
  <c r="AC382" i="4"/>
  <c r="AA382" i="4"/>
  <c r="Z382" i="4"/>
  <c r="AD346" i="4"/>
  <c r="AC346" i="4"/>
  <c r="AA346" i="4"/>
  <c r="Z346" i="4"/>
  <c r="AD310" i="4"/>
  <c r="AC310" i="4"/>
  <c r="AA310" i="4"/>
  <c r="Z310" i="4"/>
  <c r="AD274" i="4"/>
  <c r="AC274" i="4"/>
  <c r="AA274" i="4"/>
  <c r="Z274" i="4"/>
  <c r="AD238" i="4"/>
  <c r="AC238" i="4"/>
  <c r="AA238" i="4"/>
  <c r="Z238" i="4"/>
  <c r="AD1479" i="4"/>
  <c r="AC1479" i="4"/>
  <c r="AA1479" i="4"/>
  <c r="Z1479" i="4"/>
  <c r="AD1443" i="4"/>
  <c r="AC1443" i="4"/>
  <c r="AA1443" i="4"/>
  <c r="Z1443" i="4"/>
  <c r="AD1407" i="4"/>
  <c r="AC1407" i="4"/>
  <c r="AA1407" i="4"/>
  <c r="Z1407" i="4"/>
  <c r="AD1371" i="4"/>
  <c r="AC1371" i="4"/>
  <c r="AA1371" i="4"/>
  <c r="Z1371" i="4"/>
  <c r="AD1335" i="4"/>
  <c r="AC1335" i="4"/>
  <c r="AA1335" i="4"/>
  <c r="Z1335" i="4"/>
  <c r="AD1299" i="4"/>
  <c r="AC1299" i="4"/>
  <c r="AA1299" i="4"/>
  <c r="Z1299" i="4"/>
  <c r="AD1263" i="4"/>
  <c r="AC1263" i="4"/>
  <c r="AA1263" i="4"/>
  <c r="Z1263" i="4"/>
  <c r="AD1227" i="4"/>
  <c r="AC1227" i="4"/>
  <c r="AA1227" i="4"/>
  <c r="Z1227" i="4"/>
  <c r="AD1191" i="4"/>
  <c r="AC1191" i="4"/>
  <c r="AA1191" i="4"/>
  <c r="Z1191" i="4"/>
  <c r="AD1155" i="4"/>
  <c r="AC1155" i="4"/>
  <c r="AA1155" i="4"/>
  <c r="Z1155" i="4"/>
  <c r="AD1119" i="4"/>
  <c r="AC1119" i="4"/>
  <c r="AA1119" i="4"/>
  <c r="Z1119" i="4"/>
  <c r="AD1083" i="4"/>
  <c r="AC1083" i="4"/>
  <c r="AA1083" i="4"/>
  <c r="Z1083" i="4"/>
  <c r="AD1047" i="4"/>
  <c r="AC1047" i="4"/>
  <c r="AA1047" i="4"/>
  <c r="Z1047" i="4"/>
  <c r="AD1011" i="4"/>
  <c r="AC1011" i="4"/>
  <c r="AA1011" i="4"/>
  <c r="Z1011" i="4"/>
  <c r="AD975" i="4"/>
  <c r="AC975" i="4"/>
  <c r="AA975" i="4"/>
  <c r="Z975" i="4"/>
  <c r="AD939" i="4"/>
  <c r="AC939" i="4"/>
  <c r="AA939" i="4"/>
  <c r="Z939" i="4"/>
  <c r="AD903" i="4"/>
  <c r="AC903" i="4"/>
  <c r="AA903" i="4"/>
  <c r="Z903" i="4"/>
  <c r="AD867" i="4"/>
  <c r="AC867" i="4"/>
  <c r="AA867" i="4"/>
  <c r="Z867" i="4"/>
  <c r="AD831" i="4"/>
  <c r="AC831" i="4"/>
  <c r="AA831" i="4"/>
  <c r="Z831" i="4"/>
  <c r="AD795" i="4"/>
  <c r="AC795" i="4"/>
  <c r="AA795" i="4"/>
  <c r="Z795" i="4"/>
  <c r="AD759" i="4"/>
  <c r="AC759" i="4"/>
  <c r="AA759" i="4"/>
  <c r="Z759" i="4"/>
  <c r="AD723" i="4"/>
  <c r="AC723" i="4"/>
  <c r="AA723" i="4"/>
  <c r="Z723" i="4"/>
  <c r="AD687" i="4"/>
  <c r="AC687" i="4"/>
  <c r="AA687" i="4"/>
  <c r="Z687" i="4"/>
  <c r="AD651" i="4"/>
  <c r="AC651" i="4"/>
  <c r="AA651" i="4"/>
  <c r="Z651" i="4"/>
  <c r="AD615" i="4"/>
  <c r="AC615" i="4"/>
  <c r="AA615" i="4"/>
  <c r="Z615" i="4"/>
  <c r="AD579" i="4"/>
  <c r="AC579" i="4"/>
  <c r="AA579" i="4"/>
  <c r="Z579" i="4"/>
  <c r="AD543" i="4"/>
  <c r="AC543" i="4"/>
  <c r="AA543" i="4"/>
  <c r="Z543" i="4"/>
  <c r="AD507" i="4"/>
  <c r="AC507" i="4"/>
  <c r="AA507" i="4"/>
  <c r="Z507" i="4"/>
  <c r="AD471" i="4"/>
  <c r="AC471" i="4"/>
  <c r="AA471" i="4"/>
  <c r="Z471" i="4"/>
  <c r="AD435" i="4"/>
  <c r="AC435" i="4"/>
  <c r="AA435" i="4"/>
  <c r="Z435" i="4"/>
  <c r="AD399" i="4"/>
  <c r="AC399" i="4"/>
  <c r="AA399" i="4"/>
  <c r="Z399" i="4"/>
  <c r="AD363" i="4"/>
  <c r="AC363" i="4"/>
  <c r="AA363" i="4"/>
  <c r="Z363" i="4"/>
  <c r="AD327" i="4"/>
  <c r="AC327" i="4"/>
  <c r="AA327" i="4"/>
  <c r="Z327" i="4"/>
  <c r="AD291" i="4"/>
  <c r="AC291" i="4"/>
  <c r="AA291" i="4"/>
  <c r="Z291" i="4"/>
  <c r="AD255" i="4"/>
  <c r="AC255" i="4"/>
  <c r="AA255" i="4"/>
  <c r="Z255" i="4"/>
  <c r="AD1496" i="4"/>
  <c r="AC1496" i="4"/>
  <c r="AA1496" i="4"/>
  <c r="Z1496" i="4"/>
  <c r="AD1460" i="4"/>
  <c r="AC1460" i="4"/>
  <c r="AA1460" i="4"/>
  <c r="Z1460" i="4"/>
  <c r="AD1424" i="4"/>
  <c r="AC1424" i="4"/>
  <c r="AA1424" i="4"/>
  <c r="Z1424" i="4"/>
  <c r="AD1388" i="4"/>
  <c r="AC1388" i="4"/>
  <c r="AA1388" i="4"/>
  <c r="Z1388" i="4"/>
  <c r="AD1352" i="4"/>
  <c r="AC1352" i="4"/>
  <c r="AA1352" i="4"/>
  <c r="Z1352" i="4"/>
  <c r="AD1316" i="4"/>
  <c r="AC1316" i="4"/>
  <c r="AA1316" i="4"/>
  <c r="Z1316" i="4"/>
  <c r="AD1280" i="4"/>
  <c r="AC1280" i="4"/>
  <c r="AA1280" i="4"/>
  <c r="Z1280" i="4"/>
  <c r="AD1244" i="4"/>
  <c r="AC1244" i="4"/>
  <c r="AA1244" i="4"/>
  <c r="Z1244" i="4"/>
  <c r="AD1208" i="4"/>
  <c r="AC1208" i="4"/>
  <c r="AA1208" i="4"/>
  <c r="Z1208" i="4"/>
  <c r="AD1172" i="4"/>
  <c r="AC1172" i="4"/>
  <c r="AA1172" i="4"/>
  <c r="Z1172" i="4"/>
  <c r="AD1136" i="4"/>
  <c r="AC1136" i="4"/>
  <c r="AA1136" i="4"/>
  <c r="Z1136" i="4"/>
  <c r="AD1100" i="4"/>
  <c r="AC1100" i="4"/>
  <c r="AA1100" i="4"/>
  <c r="Z1100" i="4"/>
  <c r="AD1064" i="4"/>
  <c r="AC1064" i="4"/>
  <c r="AA1064" i="4"/>
  <c r="Z1064" i="4"/>
  <c r="AD1028" i="4"/>
  <c r="AC1028" i="4"/>
  <c r="AA1028" i="4"/>
  <c r="Z1028" i="4"/>
  <c r="AD992" i="4"/>
  <c r="AC992" i="4"/>
  <c r="AA992" i="4"/>
  <c r="Z992" i="4"/>
  <c r="AD956" i="4"/>
  <c r="AC956" i="4"/>
  <c r="AA956" i="4"/>
  <c r="Z956" i="4"/>
  <c r="AD920" i="4"/>
  <c r="AC920" i="4"/>
  <c r="AA920" i="4"/>
  <c r="Z920" i="4"/>
  <c r="AD884" i="4"/>
  <c r="AC884" i="4"/>
  <c r="AA884" i="4"/>
  <c r="Z884" i="4"/>
  <c r="AD848" i="4"/>
  <c r="AC848" i="4"/>
  <c r="AA848" i="4"/>
  <c r="Z848" i="4"/>
  <c r="AD812" i="4"/>
  <c r="AC812" i="4"/>
  <c r="AA812" i="4"/>
  <c r="Z812" i="4"/>
  <c r="AD776" i="4"/>
  <c r="AC776" i="4"/>
  <c r="AA776" i="4"/>
  <c r="Z776" i="4"/>
  <c r="AD740" i="4"/>
  <c r="AC740" i="4"/>
  <c r="AA740" i="4"/>
  <c r="Z740" i="4"/>
  <c r="AD704" i="4"/>
  <c r="AC704" i="4"/>
  <c r="AA704" i="4"/>
  <c r="Z704" i="4"/>
  <c r="AD668" i="4"/>
  <c r="AC668" i="4"/>
  <c r="AA668" i="4"/>
  <c r="Z668" i="4"/>
  <c r="AD632" i="4"/>
  <c r="AC632" i="4"/>
  <c r="AA632" i="4"/>
  <c r="Z632" i="4"/>
  <c r="AD596" i="4"/>
  <c r="AC596" i="4"/>
  <c r="AA596" i="4"/>
  <c r="Z596" i="4"/>
  <c r="AD560" i="4"/>
  <c r="AC560" i="4"/>
  <c r="AA560" i="4"/>
  <c r="Z560" i="4"/>
  <c r="AD524" i="4"/>
  <c r="AC524" i="4"/>
  <c r="AA524" i="4"/>
  <c r="Z524" i="4"/>
  <c r="AD488" i="4"/>
  <c r="AC488" i="4"/>
  <c r="AA488" i="4"/>
  <c r="Z488" i="4"/>
  <c r="AD452" i="4"/>
  <c r="AC452" i="4"/>
  <c r="AA452" i="4"/>
  <c r="Z452" i="4"/>
  <c r="AD416" i="4"/>
  <c r="AC416" i="4"/>
  <c r="AA416" i="4"/>
  <c r="Z416" i="4"/>
  <c r="AD380" i="4"/>
  <c r="AC380" i="4"/>
  <c r="AA380" i="4"/>
  <c r="Z380" i="4"/>
  <c r="AD344" i="4"/>
  <c r="AC344" i="4"/>
  <c r="AA344" i="4"/>
  <c r="Z344" i="4"/>
  <c r="AD308" i="4"/>
  <c r="AC308" i="4"/>
  <c r="AA308" i="4"/>
  <c r="Z308" i="4"/>
  <c r="AD272" i="4"/>
  <c r="AC272" i="4"/>
  <c r="AA272" i="4"/>
  <c r="Z272" i="4"/>
  <c r="AD236" i="4"/>
  <c r="AC236" i="4"/>
  <c r="AA236" i="4"/>
  <c r="Z236" i="4"/>
  <c r="AD1477" i="4"/>
  <c r="AC1477" i="4"/>
  <c r="AA1477" i="4"/>
  <c r="Z1477" i="4"/>
  <c r="AD1441" i="4"/>
  <c r="AC1441" i="4"/>
  <c r="AA1441" i="4"/>
  <c r="Z1441" i="4"/>
  <c r="AD1405" i="4"/>
  <c r="AC1405" i="4"/>
  <c r="AA1405" i="4"/>
  <c r="Z1405" i="4"/>
  <c r="AD1369" i="4"/>
  <c r="AC1369" i="4"/>
  <c r="AA1369" i="4"/>
  <c r="Z1369" i="4"/>
  <c r="AD1333" i="4"/>
  <c r="AC1333" i="4"/>
  <c r="AA1333" i="4"/>
  <c r="Z1333" i="4"/>
  <c r="AD1297" i="4"/>
  <c r="AC1297" i="4"/>
  <c r="AA1297" i="4"/>
  <c r="Z1297" i="4"/>
  <c r="AD1261" i="4"/>
  <c r="AC1261" i="4"/>
  <c r="AA1261" i="4"/>
  <c r="Z1261" i="4"/>
  <c r="AD1225" i="4"/>
  <c r="AC1225" i="4"/>
  <c r="AA1225" i="4"/>
  <c r="Z1225" i="4"/>
  <c r="AD1189" i="4"/>
  <c r="AC1189" i="4"/>
  <c r="AA1189" i="4"/>
  <c r="Z1189" i="4"/>
  <c r="AD1153" i="4"/>
  <c r="AC1153" i="4"/>
  <c r="AA1153" i="4"/>
  <c r="Z1153" i="4"/>
  <c r="AD1117" i="4"/>
  <c r="AC1117" i="4"/>
  <c r="AA1117" i="4"/>
  <c r="Z1117" i="4"/>
  <c r="AD1081" i="4"/>
  <c r="AC1081" i="4"/>
  <c r="AA1081" i="4"/>
  <c r="Z1081" i="4"/>
  <c r="AD1045" i="4"/>
  <c r="AC1045" i="4"/>
  <c r="AA1045" i="4"/>
  <c r="Z1045" i="4"/>
  <c r="AD1009" i="4"/>
  <c r="AC1009" i="4"/>
  <c r="AA1009" i="4"/>
  <c r="Z1009" i="4"/>
  <c r="AD973" i="4"/>
  <c r="AC973" i="4"/>
  <c r="AA973" i="4"/>
  <c r="Z973" i="4"/>
  <c r="AD937" i="4"/>
  <c r="AC937" i="4"/>
  <c r="AA937" i="4"/>
  <c r="Z937" i="4"/>
  <c r="AD901" i="4"/>
  <c r="AC901" i="4"/>
  <c r="AA901" i="4"/>
  <c r="Z901" i="4"/>
  <c r="AD865" i="4"/>
  <c r="AC865" i="4"/>
  <c r="AA865" i="4"/>
  <c r="Z865" i="4"/>
  <c r="AD829" i="4"/>
  <c r="AC829" i="4"/>
  <c r="AA829" i="4"/>
  <c r="Z829" i="4"/>
  <c r="AD793" i="4"/>
  <c r="AC793" i="4"/>
  <c r="AA793" i="4"/>
  <c r="Z793" i="4"/>
  <c r="AD757" i="4"/>
  <c r="AC757" i="4"/>
  <c r="AA757" i="4"/>
  <c r="Z757" i="4"/>
  <c r="AD721" i="4"/>
  <c r="AC721" i="4"/>
  <c r="AA721" i="4"/>
  <c r="Z721" i="4"/>
  <c r="AD685" i="4"/>
  <c r="AC685" i="4"/>
  <c r="AA685" i="4"/>
  <c r="Z685" i="4"/>
  <c r="AD649" i="4"/>
  <c r="AC649" i="4"/>
  <c r="AA649" i="4"/>
  <c r="Z649" i="4"/>
  <c r="AD613" i="4"/>
  <c r="AC613" i="4"/>
  <c r="AA613" i="4"/>
  <c r="Z613" i="4"/>
  <c r="AD577" i="4"/>
  <c r="AC577" i="4"/>
  <c r="AA577" i="4"/>
  <c r="Z577" i="4"/>
  <c r="AD541" i="4"/>
  <c r="AC541" i="4"/>
  <c r="AA541" i="4"/>
  <c r="Z541" i="4"/>
  <c r="AD505" i="4"/>
  <c r="AC505" i="4"/>
  <c r="AA505" i="4"/>
  <c r="Z505" i="4"/>
  <c r="AD469" i="4"/>
  <c r="AC469" i="4"/>
  <c r="AA469" i="4"/>
  <c r="Z469" i="4"/>
  <c r="AD433" i="4"/>
  <c r="AC433" i="4"/>
  <c r="AA433" i="4"/>
  <c r="Z433" i="4"/>
  <c r="AD397" i="4"/>
  <c r="AC397" i="4"/>
  <c r="AA397" i="4"/>
  <c r="Z397" i="4"/>
  <c r="AD361" i="4"/>
  <c r="AC361" i="4"/>
  <c r="AA361" i="4"/>
  <c r="Z361" i="4"/>
  <c r="AD325" i="4"/>
  <c r="AC325" i="4"/>
  <c r="AA325" i="4"/>
  <c r="Z325" i="4"/>
  <c r="AD289" i="4"/>
  <c r="AC289" i="4"/>
  <c r="AA289" i="4"/>
  <c r="Z289" i="4"/>
  <c r="AD253" i="4"/>
  <c r="AC253" i="4"/>
  <c r="AA253" i="4"/>
  <c r="Z253" i="4"/>
  <c r="AD1272" i="4"/>
  <c r="AC1272" i="4"/>
  <c r="AA1272" i="4"/>
  <c r="Z1272" i="4"/>
  <c r="AD1146" i="4"/>
  <c r="AC1146" i="4"/>
  <c r="AA1146" i="4"/>
  <c r="Z1146" i="4"/>
  <c r="AD954" i="4"/>
  <c r="AC954" i="4"/>
  <c r="AA954" i="4"/>
  <c r="Z954" i="4"/>
  <c r="AD774" i="4"/>
  <c r="AC774" i="4"/>
  <c r="AA774" i="4"/>
  <c r="Z774" i="4"/>
  <c r="AD558" i="4"/>
  <c r="AC558" i="4"/>
  <c r="AA558" i="4"/>
  <c r="Z558" i="4"/>
  <c r="AD342" i="4"/>
  <c r="AC342" i="4"/>
  <c r="AA342" i="4"/>
  <c r="Z342" i="4"/>
  <c r="AD1415" i="4"/>
  <c r="AC1415" i="4"/>
  <c r="AA1415" i="4"/>
  <c r="Z1415" i="4"/>
  <c r="AD1199" i="4"/>
  <c r="AC1199" i="4"/>
  <c r="AA1199" i="4"/>
  <c r="Z1199" i="4"/>
  <c r="AD983" i="4"/>
  <c r="AC983" i="4"/>
  <c r="AA983" i="4"/>
  <c r="Z983" i="4"/>
  <c r="AD767" i="4"/>
  <c r="AC767" i="4"/>
  <c r="AA767" i="4"/>
  <c r="Z767" i="4"/>
  <c r="AD551" i="4"/>
  <c r="AC551" i="4"/>
  <c r="AA551" i="4"/>
  <c r="Z551" i="4"/>
  <c r="AD335" i="4"/>
  <c r="AC335" i="4"/>
  <c r="AA335" i="4"/>
  <c r="Z335" i="4"/>
  <c r="AD1438" i="4"/>
  <c r="AC1438" i="4"/>
  <c r="AA1438" i="4"/>
  <c r="Z1438" i="4"/>
  <c r="AD1222" i="4"/>
  <c r="AC1222" i="4"/>
  <c r="AA1222" i="4"/>
  <c r="Z1222" i="4"/>
  <c r="AD1006" i="4"/>
  <c r="AC1006" i="4"/>
  <c r="AA1006" i="4"/>
  <c r="Z1006" i="4"/>
  <c r="AD826" i="4"/>
  <c r="AC826" i="4"/>
  <c r="AA826" i="4"/>
  <c r="Z826" i="4"/>
  <c r="AD610" i="4"/>
  <c r="AC610" i="4"/>
  <c r="AA610" i="4"/>
  <c r="Z610" i="4"/>
  <c r="AD394" i="4"/>
  <c r="AC394" i="4"/>
  <c r="AA394" i="4"/>
  <c r="Z394" i="4"/>
  <c r="AD1455" i="4"/>
  <c r="AC1455" i="4"/>
  <c r="AA1455" i="4"/>
  <c r="Z1455" i="4"/>
  <c r="AD1239" i="4"/>
  <c r="AC1239" i="4"/>
  <c r="AA1239" i="4"/>
  <c r="Z1239" i="4"/>
  <c r="AD1023" i="4"/>
  <c r="AC1023" i="4"/>
  <c r="AA1023" i="4"/>
  <c r="Z1023" i="4"/>
  <c r="AD807" i="4"/>
  <c r="AC807" i="4"/>
  <c r="AA807" i="4"/>
  <c r="Z807" i="4"/>
  <c r="AD555" i="4"/>
  <c r="AC555" i="4"/>
  <c r="AA555" i="4"/>
  <c r="Z555" i="4"/>
  <c r="AD339" i="4"/>
  <c r="AC339" i="4"/>
  <c r="AA339" i="4"/>
  <c r="Z339" i="4"/>
  <c r="AD1400" i="4"/>
  <c r="AC1400" i="4"/>
  <c r="AA1400" i="4"/>
  <c r="Z1400" i="4"/>
  <c r="AD1184" i="4"/>
  <c r="AC1184" i="4"/>
  <c r="AA1184" i="4"/>
  <c r="Z1184" i="4"/>
  <c r="AD1076" i="4"/>
  <c r="AC1076" i="4"/>
  <c r="AA1076" i="4"/>
  <c r="Z1076" i="4"/>
  <c r="AD932" i="4"/>
  <c r="AC932" i="4"/>
  <c r="AA932" i="4"/>
  <c r="Z932" i="4"/>
  <c r="AD752" i="4"/>
  <c r="AC752" i="4"/>
  <c r="AA752" i="4"/>
  <c r="Z752" i="4"/>
  <c r="AD644" i="4"/>
  <c r="AC644" i="4"/>
  <c r="AA644" i="4"/>
  <c r="Z644" i="4"/>
  <c r="AD536" i="4"/>
  <c r="AC536" i="4"/>
  <c r="AA536" i="4"/>
  <c r="Z536" i="4"/>
  <c r="AD428" i="4"/>
  <c r="AC428" i="4"/>
  <c r="AA428" i="4"/>
  <c r="Z428" i="4"/>
  <c r="AD320" i="4"/>
  <c r="AC320" i="4"/>
  <c r="AA320" i="4"/>
  <c r="Z320" i="4"/>
  <c r="AD1489" i="4"/>
  <c r="AC1489" i="4"/>
  <c r="AA1489" i="4"/>
  <c r="Z1489" i="4"/>
  <c r="AD1381" i="4"/>
  <c r="AC1381" i="4"/>
  <c r="AA1381" i="4"/>
  <c r="Z1381" i="4"/>
  <c r="AD1237" i="4"/>
  <c r="AC1237" i="4"/>
  <c r="AA1237" i="4"/>
  <c r="Z1237" i="4"/>
  <c r="AD1057" i="4"/>
  <c r="AC1057" i="4"/>
  <c r="AA1057" i="4"/>
  <c r="Z1057" i="4"/>
  <c r="AD949" i="4"/>
  <c r="AC949" i="4"/>
  <c r="AA949" i="4"/>
  <c r="Z949" i="4"/>
  <c r="AD841" i="4"/>
  <c r="AC841" i="4"/>
  <c r="AA841" i="4"/>
  <c r="Z841" i="4"/>
  <c r="AD733" i="4"/>
  <c r="AC733" i="4"/>
  <c r="AA733" i="4"/>
  <c r="Z733" i="4"/>
  <c r="AD625" i="4"/>
  <c r="AC625" i="4"/>
  <c r="AA625" i="4"/>
  <c r="Z625" i="4"/>
  <c r="AD517" i="4"/>
  <c r="AC517" i="4"/>
  <c r="AA517" i="4"/>
  <c r="Z517" i="4"/>
  <c r="AD409" i="4"/>
  <c r="AC409" i="4"/>
  <c r="AA409" i="4"/>
  <c r="Z409" i="4"/>
  <c r="AD301" i="4"/>
  <c r="AC301" i="4"/>
  <c r="AA301" i="4"/>
  <c r="Z301" i="4"/>
  <c r="AD1386" i="4"/>
  <c r="AC1386" i="4"/>
  <c r="AA1386" i="4"/>
  <c r="Z1386" i="4"/>
  <c r="AD1170" i="4"/>
  <c r="AC1170" i="4"/>
  <c r="AA1170" i="4"/>
  <c r="Z1170" i="4"/>
  <c r="AD1380" i="4"/>
  <c r="AC1380" i="4"/>
  <c r="AA1380" i="4"/>
  <c r="Z1380" i="4"/>
  <c r="AD1164" i="4"/>
  <c r="AC1164" i="4"/>
  <c r="AA1164" i="4"/>
  <c r="Z1164" i="4"/>
  <c r="AD1338" i="4"/>
  <c r="AC1338" i="4"/>
  <c r="AA1338" i="4"/>
  <c r="Z1338" i="4"/>
  <c r="AD1122" i="4"/>
  <c r="AC1122" i="4"/>
  <c r="AA1122" i="4"/>
  <c r="Z1122" i="4"/>
  <c r="AD1296" i="4"/>
  <c r="AC1296" i="4"/>
  <c r="AA1296" i="4"/>
  <c r="Z1296" i="4"/>
  <c r="AD1470" i="4"/>
  <c r="AC1470" i="4"/>
  <c r="AA1470" i="4"/>
  <c r="Z1470" i="4"/>
  <c r="AD1254" i="4"/>
  <c r="AC1254" i="4"/>
  <c r="AA1254" i="4"/>
  <c r="Z1254" i="4"/>
  <c r="AD1428" i="4"/>
  <c r="AC1428" i="4"/>
  <c r="AA1428" i="4"/>
  <c r="Z1428" i="4"/>
  <c r="AD1212" i="4"/>
  <c r="AC1212" i="4"/>
  <c r="AA1212" i="4"/>
  <c r="Z1212" i="4"/>
  <c r="AD1080" i="4"/>
  <c r="AC1080" i="4"/>
  <c r="AA1080" i="4"/>
  <c r="Z1080" i="4"/>
  <c r="AD1044" i="4"/>
  <c r="AC1044" i="4"/>
  <c r="AA1044" i="4"/>
  <c r="Z1044" i="4"/>
  <c r="AD1008" i="4"/>
  <c r="AC1008" i="4"/>
  <c r="AA1008" i="4"/>
  <c r="Z1008" i="4"/>
  <c r="AD972" i="4"/>
  <c r="AC972" i="4"/>
  <c r="AA972" i="4"/>
  <c r="Z972" i="4"/>
  <c r="AD936" i="4"/>
  <c r="AC936" i="4"/>
  <c r="AA936" i="4"/>
  <c r="Z936" i="4"/>
  <c r="AD900" i="4"/>
  <c r="AC900" i="4"/>
  <c r="AA900" i="4"/>
  <c r="Z900" i="4"/>
  <c r="AD864" i="4"/>
  <c r="AC864" i="4"/>
  <c r="AA864" i="4"/>
  <c r="Z864" i="4"/>
  <c r="AD828" i="4"/>
  <c r="AC828" i="4"/>
  <c r="AA828" i="4"/>
  <c r="Z828" i="4"/>
  <c r="AD792" i="4"/>
  <c r="AC792" i="4"/>
  <c r="AA792" i="4"/>
  <c r="Z792" i="4"/>
  <c r="AD756" i="4"/>
  <c r="AC756" i="4"/>
  <c r="AA756" i="4"/>
  <c r="Z756" i="4"/>
  <c r="AD720" i="4"/>
  <c r="AC720" i="4"/>
  <c r="AA720" i="4"/>
  <c r="Z720" i="4"/>
  <c r="AD684" i="4"/>
  <c r="AC684" i="4"/>
  <c r="AA684" i="4"/>
  <c r="Z684" i="4"/>
  <c r="AD648" i="4"/>
  <c r="AC648" i="4"/>
  <c r="AA648" i="4"/>
  <c r="Z648" i="4"/>
  <c r="AD612" i="4"/>
  <c r="AC612" i="4"/>
  <c r="AA612" i="4"/>
  <c r="Z612" i="4"/>
  <c r="AD576" i="4"/>
  <c r="AC576" i="4"/>
  <c r="AA576" i="4"/>
  <c r="Z576" i="4"/>
  <c r="AD540" i="4"/>
  <c r="AC540" i="4"/>
  <c r="AA540" i="4"/>
  <c r="Z540" i="4"/>
  <c r="AD504" i="4"/>
  <c r="AC504" i="4"/>
  <c r="AA504" i="4"/>
  <c r="Z504" i="4"/>
  <c r="AD468" i="4"/>
  <c r="AC468" i="4"/>
  <c r="AA468" i="4"/>
  <c r="Z468" i="4"/>
  <c r="AD432" i="4"/>
  <c r="AC432" i="4"/>
  <c r="AA432" i="4"/>
  <c r="Z432" i="4"/>
  <c r="AD396" i="4"/>
  <c r="AC396" i="4"/>
  <c r="AA396" i="4"/>
  <c r="Z396" i="4"/>
  <c r="AD360" i="4"/>
  <c r="AC360" i="4"/>
  <c r="AA360" i="4"/>
  <c r="Z360" i="4"/>
  <c r="AD324" i="4"/>
  <c r="AC324" i="4"/>
  <c r="AA324" i="4"/>
  <c r="Z324" i="4"/>
  <c r="AD288" i="4"/>
  <c r="AC288" i="4"/>
  <c r="AA288" i="4"/>
  <c r="Z288" i="4"/>
  <c r="AD252" i="4"/>
  <c r="AC252" i="4"/>
  <c r="AA252" i="4"/>
  <c r="Z252" i="4"/>
  <c r="AD1469" i="4"/>
  <c r="AC1469" i="4"/>
  <c r="AA1469" i="4"/>
  <c r="Z1469" i="4"/>
  <c r="AD1433" i="4"/>
  <c r="AC1433" i="4"/>
  <c r="AA1433" i="4"/>
  <c r="Z1433" i="4"/>
  <c r="AD1397" i="4"/>
  <c r="AC1397" i="4"/>
  <c r="AA1397" i="4"/>
  <c r="Z1397" i="4"/>
  <c r="AD1361" i="4"/>
  <c r="AC1361" i="4"/>
  <c r="AA1361" i="4"/>
  <c r="Z1361" i="4"/>
  <c r="AD1325" i="4"/>
  <c r="AC1325" i="4"/>
  <c r="AA1325" i="4"/>
  <c r="Z1325" i="4"/>
  <c r="AD1289" i="4"/>
  <c r="AC1289" i="4"/>
  <c r="AA1289" i="4"/>
  <c r="Z1289" i="4"/>
  <c r="AD1253" i="4"/>
  <c r="AC1253" i="4"/>
  <c r="AA1253" i="4"/>
  <c r="Z1253" i="4"/>
  <c r="AD1217" i="4"/>
  <c r="AC1217" i="4"/>
  <c r="AA1217" i="4"/>
  <c r="Z1217" i="4"/>
  <c r="AD1181" i="4"/>
  <c r="AC1181" i="4"/>
  <c r="AA1181" i="4"/>
  <c r="Z1181" i="4"/>
  <c r="AD1145" i="4"/>
  <c r="AC1145" i="4"/>
  <c r="AA1145" i="4"/>
  <c r="Z1145" i="4"/>
  <c r="AD1109" i="4"/>
  <c r="AC1109" i="4"/>
  <c r="AA1109" i="4"/>
  <c r="Z1109" i="4"/>
  <c r="AD1073" i="4"/>
  <c r="AC1073" i="4"/>
  <c r="AA1073" i="4"/>
  <c r="Z1073" i="4"/>
  <c r="AD1037" i="4"/>
  <c r="AC1037" i="4"/>
  <c r="AA1037" i="4"/>
  <c r="Z1037" i="4"/>
  <c r="AD1001" i="4"/>
  <c r="AC1001" i="4"/>
  <c r="AA1001" i="4"/>
  <c r="Z1001" i="4"/>
  <c r="AD965" i="4"/>
  <c r="AC965" i="4"/>
  <c r="AA965" i="4"/>
  <c r="Z965" i="4"/>
  <c r="AD929" i="4"/>
  <c r="AC929" i="4"/>
  <c r="AA929" i="4"/>
  <c r="Z929" i="4"/>
  <c r="AC893" i="4"/>
  <c r="AD893" i="4"/>
  <c r="AA893" i="4"/>
  <c r="Z893" i="4"/>
  <c r="AD857" i="4"/>
  <c r="AC857" i="4"/>
  <c r="AA857" i="4"/>
  <c r="Z857" i="4"/>
  <c r="AD821" i="4"/>
  <c r="AC821" i="4"/>
  <c r="AA821" i="4"/>
  <c r="Z821" i="4"/>
  <c r="AD785" i="4"/>
  <c r="AC785" i="4"/>
  <c r="AA785" i="4"/>
  <c r="Z785" i="4"/>
  <c r="AD749" i="4"/>
  <c r="AC749" i="4"/>
  <c r="AA749" i="4"/>
  <c r="Z749" i="4"/>
  <c r="AD713" i="4"/>
  <c r="AC713" i="4"/>
  <c r="AA713" i="4"/>
  <c r="Z713" i="4"/>
  <c r="AD677" i="4"/>
  <c r="AC677" i="4"/>
  <c r="AA677" i="4"/>
  <c r="Z677" i="4"/>
  <c r="AD641" i="4"/>
  <c r="AC641" i="4"/>
  <c r="AA641" i="4"/>
  <c r="Z641" i="4"/>
  <c r="AD605" i="4"/>
  <c r="AC605" i="4"/>
  <c r="AA605" i="4"/>
  <c r="Z605" i="4"/>
  <c r="AD569" i="4"/>
  <c r="AC569" i="4"/>
  <c r="AA569" i="4"/>
  <c r="Z569" i="4"/>
  <c r="AD533" i="4"/>
  <c r="AC533" i="4"/>
  <c r="AA533" i="4"/>
  <c r="Z533" i="4"/>
  <c r="AD497" i="4"/>
  <c r="AC497" i="4"/>
  <c r="AA497" i="4"/>
  <c r="Z497" i="4"/>
  <c r="AD461" i="4"/>
  <c r="AC461" i="4"/>
  <c r="AA461" i="4"/>
  <c r="Z461" i="4"/>
  <c r="AD425" i="4"/>
  <c r="AC425" i="4"/>
  <c r="AA425" i="4"/>
  <c r="Z425" i="4"/>
  <c r="AD389" i="4"/>
  <c r="AC389" i="4"/>
  <c r="AA389" i="4"/>
  <c r="Z389" i="4"/>
  <c r="AD353" i="4"/>
  <c r="AC353" i="4"/>
  <c r="AA353" i="4"/>
  <c r="Z353" i="4"/>
  <c r="AD317" i="4"/>
  <c r="AC317" i="4"/>
  <c r="AA317" i="4"/>
  <c r="Z317" i="4"/>
  <c r="AD281" i="4"/>
  <c r="AC281" i="4"/>
  <c r="AA281" i="4"/>
  <c r="Z281" i="4"/>
  <c r="AD245" i="4"/>
  <c r="AC245" i="4"/>
  <c r="AA245" i="4"/>
  <c r="Z245" i="4"/>
  <c r="AD1492" i="4"/>
  <c r="AC1492" i="4"/>
  <c r="AA1492" i="4"/>
  <c r="Z1492" i="4"/>
  <c r="AD1456" i="4"/>
  <c r="AC1456" i="4"/>
  <c r="AA1456" i="4"/>
  <c r="Z1456" i="4"/>
  <c r="AD1420" i="4"/>
  <c r="AC1420" i="4"/>
  <c r="AA1420" i="4"/>
  <c r="Z1420" i="4"/>
  <c r="AD1384" i="4"/>
  <c r="AC1384" i="4"/>
  <c r="AA1384" i="4"/>
  <c r="Z1384" i="4"/>
  <c r="AD1348" i="4"/>
  <c r="AC1348" i="4"/>
  <c r="AA1348" i="4"/>
  <c r="Z1348" i="4"/>
  <c r="AD1312" i="4"/>
  <c r="AC1312" i="4"/>
  <c r="AA1312" i="4"/>
  <c r="Z1312" i="4"/>
  <c r="AD1276" i="4"/>
  <c r="AC1276" i="4"/>
  <c r="AA1276" i="4"/>
  <c r="Z1276" i="4"/>
  <c r="AD1240" i="4"/>
  <c r="AC1240" i="4"/>
  <c r="AA1240" i="4"/>
  <c r="Z1240" i="4"/>
  <c r="AD1204" i="4"/>
  <c r="AC1204" i="4"/>
  <c r="AA1204" i="4"/>
  <c r="Z1204" i="4"/>
  <c r="AD1168" i="4"/>
  <c r="AC1168" i="4"/>
  <c r="AA1168" i="4"/>
  <c r="Z1168" i="4"/>
  <c r="AD1132" i="4"/>
  <c r="AC1132" i="4"/>
  <c r="AA1132" i="4"/>
  <c r="Z1132" i="4"/>
  <c r="AD1096" i="4"/>
  <c r="AC1096" i="4"/>
  <c r="AA1096" i="4"/>
  <c r="Z1096" i="4"/>
  <c r="AD1060" i="4"/>
  <c r="AC1060" i="4"/>
  <c r="AA1060" i="4"/>
  <c r="Z1060" i="4"/>
  <c r="AD1024" i="4"/>
  <c r="AC1024" i="4"/>
  <c r="AA1024" i="4"/>
  <c r="Z1024" i="4"/>
  <c r="AD988" i="4"/>
  <c r="AC988" i="4"/>
  <c r="AA988" i="4"/>
  <c r="Z988" i="4"/>
  <c r="AD952" i="4"/>
  <c r="AC952" i="4"/>
  <c r="AA952" i="4"/>
  <c r="Z952" i="4"/>
  <c r="AD916" i="4"/>
  <c r="AC916" i="4"/>
  <c r="AA916" i="4"/>
  <c r="Z916" i="4"/>
  <c r="AD880" i="4"/>
  <c r="AC880" i="4"/>
  <c r="AA880" i="4"/>
  <c r="Z880" i="4"/>
  <c r="AD844" i="4"/>
  <c r="AC844" i="4"/>
  <c r="AA844" i="4"/>
  <c r="Z844" i="4"/>
  <c r="AD808" i="4"/>
  <c r="AC808" i="4"/>
  <c r="AA808" i="4"/>
  <c r="Z808" i="4"/>
  <c r="AD772" i="4"/>
  <c r="AC772" i="4"/>
  <c r="AA772" i="4"/>
  <c r="Z772" i="4"/>
  <c r="AD736" i="4"/>
  <c r="AC736" i="4"/>
  <c r="AA736" i="4"/>
  <c r="Z736" i="4"/>
  <c r="AD700" i="4"/>
  <c r="AC700" i="4"/>
  <c r="AA700" i="4"/>
  <c r="Z700" i="4"/>
  <c r="AD664" i="4"/>
  <c r="AC664" i="4"/>
  <c r="AA664" i="4"/>
  <c r="Z664" i="4"/>
  <c r="AD628" i="4"/>
  <c r="AC628" i="4"/>
  <c r="AA628" i="4"/>
  <c r="Z628" i="4"/>
  <c r="AD592" i="4"/>
  <c r="AC592" i="4"/>
  <c r="AA592" i="4"/>
  <c r="Z592" i="4"/>
  <c r="AD556" i="4"/>
  <c r="AC556" i="4"/>
  <c r="AA556" i="4"/>
  <c r="Z556" i="4"/>
  <c r="AD520" i="4"/>
  <c r="AC520" i="4"/>
  <c r="AA520" i="4"/>
  <c r="Z520" i="4"/>
  <c r="AD484" i="4"/>
  <c r="AC484" i="4"/>
  <c r="AA484" i="4"/>
  <c r="Z484" i="4"/>
  <c r="AD448" i="4"/>
  <c r="AC448" i="4"/>
  <c r="AA448" i="4"/>
  <c r="Z448" i="4"/>
  <c r="AD412" i="4"/>
  <c r="AC412" i="4"/>
  <c r="AA412" i="4"/>
  <c r="Z412" i="4"/>
  <c r="AD376" i="4"/>
  <c r="AC376" i="4"/>
  <c r="AA376" i="4"/>
  <c r="Z376" i="4"/>
  <c r="AD340" i="4"/>
  <c r="AC340" i="4"/>
  <c r="AA340" i="4"/>
  <c r="Z340" i="4"/>
  <c r="AD304" i="4"/>
  <c r="AC304" i="4"/>
  <c r="AA304" i="4"/>
  <c r="Z304" i="4"/>
  <c r="AD268" i="4"/>
  <c r="AC268" i="4"/>
  <c r="AA268" i="4"/>
  <c r="Z268" i="4"/>
  <c r="AD232" i="4"/>
  <c r="AC232" i="4"/>
  <c r="AA232" i="4"/>
  <c r="Z232" i="4"/>
  <c r="AD1473" i="4"/>
  <c r="AC1473" i="4"/>
  <c r="AA1473" i="4"/>
  <c r="Z1473" i="4"/>
  <c r="AD1437" i="4"/>
  <c r="AC1437" i="4"/>
  <c r="AA1437" i="4"/>
  <c r="Z1437" i="4"/>
  <c r="AD1401" i="4"/>
  <c r="AC1401" i="4"/>
  <c r="AA1401" i="4"/>
  <c r="Z1401" i="4"/>
  <c r="AD1365" i="4"/>
  <c r="AC1365" i="4"/>
  <c r="AA1365" i="4"/>
  <c r="Z1365" i="4"/>
  <c r="AD1329" i="4"/>
  <c r="AC1329" i="4"/>
  <c r="AA1329" i="4"/>
  <c r="Z1329" i="4"/>
  <c r="AD1293" i="4"/>
  <c r="AC1293" i="4"/>
  <c r="AA1293" i="4"/>
  <c r="Z1293" i="4"/>
  <c r="AD1257" i="4"/>
  <c r="AC1257" i="4"/>
  <c r="AA1257" i="4"/>
  <c r="Z1257" i="4"/>
  <c r="AD1221" i="4"/>
  <c r="AC1221" i="4"/>
  <c r="AA1221" i="4"/>
  <c r="Z1221" i="4"/>
  <c r="AD1185" i="4"/>
  <c r="AC1185" i="4"/>
  <c r="AA1185" i="4"/>
  <c r="Z1185" i="4"/>
  <c r="AD1149" i="4"/>
  <c r="AC1149" i="4"/>
  <c r="AA1149" i="4"/>
  <c r="Z1149" i="4"/>
  <c r="AD1113" i="4"/>
  <c r="AC1113" i="4"/>
  <c r="AA1113" i="4"/>
  <c r="Z1113" i="4"/>
  <c r="AD1077" i="4"/>
  <c r="AC1077" i="4"/>
  <c r="AA1077" i="4"/>
  <c r="Z1077" i="4"/>
  <c r="AD1041" i="4"/>
  <c r="AC1041" i="4"/>
  <c r="AA1041" i="4"/>
  <c r="Z1041" i="4"/>
  <c r="AD1005" i="4"/>
  <c r="AC1005" i="4"/>
  <c r="AA1005" i="4"/>
  <c r="Z1005" i="4"/>
  <c r="AD969" i="4"/>
  <c r="AC969" i="4"/>
  <c r="AA969" i="4"/>
  <c r="Z969" i="4"/>
  <c r="AD933" i="4"/>
  <c r="AC933" i="4"/>
  <c r="AA933" i="4"/>
  <c r="Z933" i="4"/>
  <c r="AD897" i="4"/>
  <c r="AC897" i="4"/>
  <c r="AA897" i="4"/>
  <c r="Z897" i="4"/>
  <c r="AD861" i="4"/>
  <c r="AC861" i="4"/>
  <c r="AA861" i="4"/>
  <c r="Z861" i="4"/>
  <c r="AD825" i="4"/>
  <c r="AC825" i="4"/>
  <c r="AA825" i="4"/>
  <c r="Z825" i="4"/>
  <c r="AD789" i="4"/>
  <c r="AC789" i="4"/>
  <c r="AA789" i="4"/>
  <c r="Z789" i="4"/>
  <c r="AD753" i="4"/>
  <c r="AC753" i="4"/>
  <c r="AA753" i="4"/>
  <c r="Z753" i="4"/>
  <c r="AD717" i="4"/>
  <c r="AC717" i="4"/>
  <c r="AA717" i="4"/>
  <c r="Z717" i="4"/>
  <c r="AD681" i="4"/>
  <c r="AC681" i="4"/>
  <c r="AA681" i="4"/>
  <c r="Z681" i="4"/>
  <c r="AD645" i="4"/>
  <c r="AC645" i="4"/>
  <c r="AA645" i="4"/>
  <c r="Z645" i="4"/>
  <c r="AD609" i="4"/>
  <c r="AC609" i="4"/>
  <c r="AA609" i="4"/>
  <c r="Z609" i="4"/>
  <c r="AD573" i="4"/>
  <c r="AC573" i="4"/>
  <c r="AA573" i="4"/>
  <c r="Z573" i="4"/>
  <c r="AD537" i="4"/>
  <c r="AC537" i="4"/>
  <c r="AA537" i="4"/>
  <c r="Z537" i="4"/>
  <c r="AD501" i="4"/>
  <c r="AC501" i="4"/>
  <c r="AA501" i="4"/>
  <c r="Z501" i="4"/>
  <c r="AD465" i="4"/>
  <c r="AC465" i="4"/>
  <c r="AA465" i="4"/>
  <c r="Z465" i="4"/>
  <c r="AD429" i="4"/>
  <c r="AC429" i="4"/>
  <c r="AA429" i="4"/>
  <c r="Z429" i="4"/>
  <c r="AD393" i="4"/>
  <c r="AC393" i="4"/>
  <c r="AA393" i="4"/>
  <c r="Z393" i="4"/>
  <c r="AD357" i="4"/>
  <c r="AC357" i="4"/>
  <c r="AA357" i="4"/>
  <c r="Z357" i="4"/>
  <c r="AD321" i="4"/>
  <c r="AC321" i="4"/>
  <c r="AA321" i="4"/>
  <c r="Z321" i="4"/>
  <c r="AD285" i="4"/>
  <c r="AC285" i="4"/>
  <c r="AA285" i="4"/>
  <c r="Z285" i="4"/>
  <c r="AD249" i="4"/>
  <c r="AC249" i="4"/>
  <c r="AA249" i="4"/>
  <c r="Z249" i="4"/>
  <c r="AD1490" i="4"/>
  <c r="AC1490" i="4"/>
  <c r="AA1490" i="4"/>
  <c r="Z1490" i="4"/>
  <c r="AD1454" i="4"/>
  <c r="AC1454" i="4"/>
  <c r="AA1454" i="4"/>
  <c r="Z1454" i="4"/>
  <c r="AD1418" i="4"/>
  <c r="AC1418" i="4"/>
  <c r="AA1418" i="4"/>
  <c r="Z1418" i="4"/>
  <c r="AD1382" i="4"/>
  <c r="AC1382" i="4"/>
  <c r="AA1382" i="4"/>
  <c r="Z1382" i="4"/>
  <c r="AD1346" i="4"/>
  <c r="AC1346" i="4"/>
  <c r="AA1346" i="4"/>
  <c r="Z1346" i="4"/>
  <c r="AD1310" i="4"/>
  <c r="AC1310" i="4"/>
  <c r="AA1310" i="4"/>
  <c r="Z1310" i="4"/>
  <c r="AD1274" i="4"/>
  <c r="AC1274" i="4"/>
  <c r="AA1274" i="4"/>
  <c r="Z1274" i="4"/>
  <c r="AD1238" i="4"/>
  <c r="AC1238" i="4"/>
  <c r="AA1238" i="4"/>
  <c r="Z1238" i="4"/>
  <c r="AD1202" i="4"/>
  <c r="AC1202" i="4"/>
  <c r="AA1202" i="4"/>
  <c r="Z1202" i="4"/>
  <c r="AD1166" i="4"/>
  <c r="AC1166" i="4"/>
  <c r="AA1166" i="4"/>
  <c r="Z1166" i="4"/>
  <c r="AD1130" i="4"/>
  <c r="AC1130" i="4"/>
  <c r="AA1130" i="4"/>
  <c r="Z1130" i="4"/>
  <c r="AD1094" i="4"/>
  <c r="AC1094" i="4"/>
  <c r="AA1094" i="4"/>
  <c r="Z1094" i="4"/>
  <c r="AD1058" i="4"/>
  <c r="AC1058" i="4"/>
  <c r="AA1058" i="4"/>
  <c r="Z1058" i="4"/>
  <c r="AD1022" i="4"/>
  <c r="AC1022" i="4"/>
  <c r="AA1022" i="4"/>
  <c r="Z1022" i="4"/>
  <c r="AD986" i="4"/>
  <c r="AC986" i="4"/>
  <c r="AA986" i="4"/>
  <c r="Z986" i="4"/>
  <c r="AD950" i="4"/>
  <c r="AC950" i="4"/>
  <c r="AA950" i="4"/>
  <c r="Z950" i="4"/>
  <c r="AD914" i="4"/>
  <c r="AC914" i="4"/>
  <c r="AA914" i="4"/>
  <c r="Z914" i="4"/>
  <c r="AD878" i="4"/>
  <c r="AC878" i="4"/>
  <c r="AA878" i="4"/>
  <c r="Z878" i="4"/>
  <c r="AD842" i="4"/>
  <c r="AC842" i="4"/>
  <c r="AA842" i="4"/>
  <c r="Z842" i="4"/>
  <c r="AD806" i="4"/>
  <c r="AC806" i="4"/>
  <c r="AA806" i="4"/>
  <c r="Z806" i="4"/>
  <c r="AD770" i="4"/>
  <c r="AC770" i="4"/>
  <c r="AA770" i="4"/>
  <c r="Z770" i="4"/>
  <c r="AD734" i="4"/>
  <c r="AC734" i="4"/>
  <c r="AA734" i="4"/>
  <c r="Z734" i="4"/>
  <c r="AD698" i="4"/>
  <c r="AC698" i="4"/>
  <c r="AA698" i="4"/>
  <c r="Z698" i="4"/>
  <c r="AD662" i="4"/>
  <c r="AC662" i="4"/>
  <c r="AA662" i="4"/>
  <c r="Z662" i="4"/>
  <c r="AD626" i="4"/>
  <c r="AC626" i="4"/>
  <c r="AA626" i="4"/>
  <c r="Z626" i="4"/>
  <c r="AD590" i="4"/>
  <c r="AC590" i="4"/>
  <c r="AA590" i="4"/>
  <c r="Z590" i="4"/>
  <c r="AD554" i="4"/>
  <c r="AC554" i="4"/>
  <c r="AA554" i="4"/>
  <c r="Z554" i="4"/>
  <c r="AD518" i="4"/>
  <c r="AC518" i="4"/>
  <c r="AA518" i="4"/>
  <c r="Z518" i="4"/>
  <c r="AD482" i="4"/>
  <c r="AC482" i="4"/>
  <c r="AA482" i="4"/>
  <c r="Z482" i="4"/>
  <c r="AD446" i="4"/>
  <c r="AC446" i="4"/>
  <c r="AA446" i="4"/>
  <c r="Z446" i="4"/>
  <c r="AD410" i="4"/>
  <c r="AC410" i="4"/>
  <c r="AA410" i="4"/>
  <c r="Z410" i="4"/>
  <c r="AD374" i="4"/>
  <c r="AC374" i="4"/>
  <c r="AA374" i="4"/>
  <c r="Z374" i="4"/>
  <c r="AD338" i="4"/>
  <c r="AC338" i="4"/>
  <c r="AA338" i="4"/>
  <c r="Z338" i="4"/>
  <c r="AD302" i="4"/>
  <c r="AC302" i="4"/>
  <c r="AA302" i="4"/>
  <c r="Z302" i="4"/>
  <c r="AD266" i="4"/>
  <c r="AC266" i="4"/>
  <c r="AA266" i="4"/>
  <c r="Z266" i="4"/>
  <c r="AD230" i="4"/>
  <c r="AC230" i="4"/>
  <c r="AA230" i="4"/>
  <c r="Z230" i="4"/>
  <c r="AD1471" i="4"/>
  <c r="AC1471" i="4"/>
  <c r="AA1471" i="4"/>
  <c r="Z1471" i="4"/>
  <c r="AD1435" i="4"/>
  <c r="AC1435" i="4"/>
  <c r="AA1435" i="4"/>
  <c r="Z1435" i="4"/>
  <c r="AD1399" i="4"/>
  <c r="AC1399" i="4"/>
  <c r="AA1399" i="4"/>
  <c r="Z1399" i="4"/>
  <c r="AD1363" i="4"/>
  <c r="AC1363" i="4"/>
  <c r="AA1363" i="4"/>
  <c r="Z1363" i="4"/>
  <c r="AD1327" i="4"/>
  <c r="AC1327" i="4"/>
  <c r="AA1327" i="4"/>
  <c r="Z1327" i="4"/>
  <c r="AD1291" i="4"/>
  <c r="AC1291" i="4"/>
  <c r="AA1291" i="4"/>
  <c r="Z1291" i="4"/>
  <c r="AD1255" i="4"/>
  <c r="AC1255" i="4"/>
  <c r="AA1255" i="4"/>
  <c r="Z1255" i="4"/>
  <c r="AD1219" i="4"/>
  <c r="AC1219" i="4"/>
  <c r="AA1219" i="4"/>
  <c r="Z1219" i="4"/>
  <c r="AD1183" i="4"/>
  <c r="AC1183" i="4"/>
  <c r="AA1183" i="4"/>
  <c r="Z1183" i="4"/>
  <c r="AD1147" i="4"/>
  <c r="AC1147" i="4"/>
  <c r="AA1147" i="4"/>
  <c r="Z1147" i="4"/>
  <c r="AD1111" i="4"/>
  <c r="AC1111" i="4"/>
  <c r="AA1111" i="4"/>
  <c r="Z1111" i="4"/>
  <c r="AD1075" i="4"/>
  <c r="AC1075" i="4"/>
  <c r="AA1075" i="4"/>
  <c r="Z1075" i="4"/>
  <c r="AD1039" i="4"/>
  <c r="AC1039" i="4"/>
  <c r="AA1039" i="4"/>
  <c r="Z1039" i="4"/>
  <c r="AD1003" i="4"/>
  <c r="AC1003" i="4"/>
  <c r="AA1003" i="4"/>
  <c r="Z1003" i="4"/>
  <c r="AD967" i="4"/>
  <c r="AC967" i="4"/>
  <c r="AA967" i="4"/>
  <c r="Z967" i="4"/>
  <c r="AD931" i="4"/>
  <c r="AC931" i="4"/>
  <c r="AA931" i="4"/>
  <c r="Z931" i="4"/>
  <c r="AD895" i="4"/>
  <c r="AC895" i="4"/>
  <c r="AA895" i="4"/>
  <c r="Z895" i="4"/>
  <c r="AD859" i="4"/>
  <c r="AC859" i="4"/>
  <c r="AA859" i="4"/>
  <c r="Z859" i="4"/>
  <c r="AD823" i="4"/>
  <c r="AC823" i="4"/>
  <c r="AA823" i="4"/>
  <c r="Z823" i="4"/>
  <c r="AD787" i="4"/>
  <c r="AC787" i="4"/>
  <c r="AA787" i="4"/>
  <c r="Z787" i="4"/>
  <c r="AD751" i="4"/>
  <c r="AC751" i="4"/>
  <c r="AA751" i="4"/>
  <c r="Z751" i="4"/>
  <c r="AD715" i="4"/>
  <c r="AC715" i="4"/>
  <c r="AA715" i="4"/>
  <c r="Z715" i="4"/>
  <c r="AD679" i="4"/>
  <c r="AC679" i="4"/>
  <c r="AA679" i="4"/>
  <c r="Z679" i="4"/>
  <c r="AD643" i="4"/>
  <c r="AC643" i="4"/>
  <c r="AA643" i="4"/>
  <c r="Z643" i="4"/>
  <c r="AD607" i="4"/>
  <c r="AC607" i="4"/>
  <c r="AA607" i="4"/>
  <c r="Z607" i="4"/>
  <c r="AD571" i="4"/>
  <c r="AC571" i="4"/>
  <c r="AA571" i="4"/>
  <c r="Z571" i="4"/>
  <c r="AD535" i="4"/>
  <c r="AC535" i="4"/>
  <c r="AA535" i="4"/>
  <c r="Z535" i="4"/>
  <c r="AD499" i="4"/>
  <c r="AC499" i="4"/>
  <c r="AA499" i="4"/>
  <c r="Z499" i="4"/>
  <c r="AD463" i="4"/>
  <c r="AC463" i="4"/>
  <c r="AA463" i="4"/>
  <c r="Z463" i="4"/>
  <c r="AD427" i="4"/>
  <c r="AC427" i="4"/>
  <c r="AA427" i="4"/>
  <c r="Z427" i="4"/>
  <c r="AD391" i="4"/>
  <c r="AC391" i="4"/>
  <c r="AA391" i="4"/>
  <c r="Z391" i="4"/>
  <c r="AD355" i="4"/>
  <c r="AC355" i="4"/>
  <c r="AA355" i="4"/>
  <c r="Z355" i="4"/>
  <c r="AD319" i="4"/>
  <c r="AC319" i="4"/>
  <c r="AA319" i="4"/>
  <c r="Z319" i="4"/>
  <c r="AD283" i="4"/>
  <c r="AC283" i="4"/>
  <c r="AA283" i="4"/>
  <c r="Z283" i="4"/>
  <c r="AD247" i="4"/>
  <c r="AC247" i="4"/>
  <c r="AA247" i="4"/>
  <c r="Z247" i="4"/>
  <c r="AD1494" i="4"/>
  <c r="AC1494" i="4"/>
  <c r="AA1494" i="4"/>
  <c r="Z1494" i="4"/>
  <c r="AD1404" i="4"/>
  <c r="AC1404" i="4"/>
  <c r="AA1404" i="4"/>
  <c r="Z1404" i="4"/>
  <c r="AD1062" i="4"/>
  <c r="AC1062" i="4"/>
  <c r="AA1062" i="4"/>
  <c r="Z1062" i="4"/>
  <c r="AD882" i="4"/>
  <c r="AC882" i="4"/>
  <c r="AA882" i="4"/>
  <c r="Z882" i="4"/>
  <c r="AD666" i="4"/>
  <c r="AC666" i="4"/>
  <c r="AA666" i="4"/>
  <c r="Z666" i="4"/>
  <c r="AD450" i="4"/>
  <c r="AC450" i="4"/>
  <c r="AA450" i="4"/>
  <c r="Z450" i="4"/>
  <c r="AD1487" i="4"/>
  <c r="AC1487" i="4"/>
  <c r="AA1487" i="4"/>
  <c r="Z1487" i="4"/>
  <c r="AD1271" i="4"/>
  <c r="AC1271" i="4"/>
  <c r="AA1271" i="4"/>
  <c r="Z1271" i="4"/>
  <c r="AD1091" i="4"/>
  <c r="AC1091" i="4"/>
  <c r="AA1091" i="4"/>
  <c r="Z1091" i="4"/>
  <c r="AD875" i="4"/>
  <c r="AC875" i="4"/>
  <c r="AA875" i="4"/>
  <c r="Z875" i="4"/>
  <c r="AD695" i="4"/>
  <c r="AC695" i="4"/>
  <c r="AA695" i="4"/>
  <c r="Z695" i="4"/>
  <c r="AD479" i="4"/>
  <c r="AC479" i="4"/>
  <c r="AA479" i="4"/>
  <c r="Z479" i="4"/>
  <c r="AD263" i="4"/>
  <c r="AC263" i="4"/>
  <c r="AA263" i="4"/>
  <c r="Z263" i="4"/>
  <c r="AD1294" i="4"/>
  <c r="AC1294" i="4"/>
  <c r="AA1294" i="4"/>
  <c r="Z1294" i="4"/>
  <c r="AD1078" i="4"/>
  <c r="AC1078" i="4"/>
  <c r="AA1078" i="4"/>
  <c r="Z1078" i="4"/>
  <c r="AD898" i="4"/>
  <c r="AC898" i="4"/>
  <c r="AA898" i="4"/>
  <c r="Z898" i="4"/>
  <c r="AD646" i="4"/>
  <c r="AC646" i="4"/>
  <c r="AA646" i="4"/>
  <c r="Z646" i="4"/>
  <c r="AD466" i="4"/>
  <c r="AC466" i="4"/>
  <c r="AA466" i="4"/>
  <c r="Z466" i="4"/>
  <c r="AD1491" i="4"/>
  <c r="AC1491" i="4"/>
  <c r="AA1491" i="4"/>
  <c r="Z1491" i="4"/>
  <c r="AD1275" i="4"/>
  <c r="AC1275" i="4"/>
  <c r="AA1275" i="4"/>
  <c r="Z1275" i="4"/>
  <c r="AD1059" i="4"/>
  <c r="AC1059" i="4"/>
  <c r="AA1059" i="4"/>
  <c r="Z1059" i="4"/>
  <c r="AD843" i="4"/>
  <c r="AC843" i="4"/>
  <c r="AA843" i="4"/>
  <c r="Z843" i="4"/>
  <c r="AD627" i="4"/>
  <c r="AC627" i="4"/>
  <c r="AA627" i="4"/>
  <c r="Z627" i="4"/>
  <c r="AD411" i="4"/>
  <c r="AC411" i="4"/>
  <c r="AA411" i="4"/>
  <c r="Z411" i="4"/>
  <c r="AD1472" i="4"/>
  <c r="AC1472" i="4"/>
  <c r="AA1472" i="4"/>
  <c r="Z1472" i="4"/>
  <c r="AD1220" i="4"/>
  <c r="AC1220" i="4"/>
  <c r="AA1220" i="4"/>
  <c r="Z1220" i="4"/>
  <c r="AD968" i="4"/>
  <c r="AC968" i="4"/>
  <c r="AA968" i="4"/>
  <c r="Z968" i="4"/>
  <c r="AD1309" i="4"/>
  <c r="AC1309" i="4"/>
  <c r="AA1309" i="4"/>
  <c r="Z1309" i="4"/>
  <c r="C143" i="24"/>
  <c r="AD1350" i="4"/>
  <c r="AC1350" i="4"/>
  <c r="AA1350" i="4"/>
  <c r="Z1350" i="4"/>
  <c r="AD1134" i="4"/>
  <c r="AC1134" i="4"/>
  <c r="AA1134" i="4"/>
  <c r="Z1134" i="4"/>
  <c r="AD1344" i="4"/>
  <c r="AC1344" i="4"/>
  <c r="AA1344" i="4"/>
  <c r="Z1344" i="4"/>
  <c r="AD1128" i="4"/>
  <c r="AC1128" i="4"/>
  <c r="AA1128" i="4"/>
  <c r="Z1128" i="4"/>
  <c r="AD1302" i="4"/>
  <c r="AC1302" i="4"/>
  <c r="AA1302" i="4"/>
  <c r="Z1302" i="4"/>
  <c r="AD1476" i="4"/>
  <c r="AC1476" i="4"/>
  <c r="AA1476" i="4"/>
  <c r="Z1476" i="4"/>
  <c r="AD1260" i="4"/>
  <c r="AC1260" i="4"/>
  <c r="AA1260" i="4"/>
  <c r="Z1260" i="4"/>
  <c r="AD1434" i="4"/>
  <c r="AC1434" i="4"/>
  <c r="AA1434" i="4"/>
  <c r="Z1434" i="4"/>
  <c r="AD1218" i="4"/>
  <c r="AC1218" i="4"/>
  <c r="AA1218" i="4"/>
  <c r="Z1218" i="4"/>
  <c r="AD1392" i="4"/>
  <c r="AC1392" i="4"/>
  <c r="AA1392" i="4"/>
  <c r="Z1392" i="4"/>
  <c r="AD1176" i="4"/>
  <c r="AC1176" i="4"/>
  <c r="AA1176" i="4"/>
  <c r="Z1176" i="4"/>
  <c r="AD1074" i="4"/>
  <c r="AC1074" i="4"/>
  <c r="AA1074" i="4"/>
  <c r="Z1074" i="4"/>
  <c r="AD1038" i="4"/>
  <c r="AC1038" i="4"/>
  <c r="AA1038" i="4"/>
  <c r="Z1038" i="4"/>
  <c r="AD1002" i="4"/>
  <c r="AC1002" i="4"/>
  <c r="AA1002" i="4"/>
  <c r="Z1002" i="4"/>
  <c r="AD966" i="4"/>
  <c r="AC966" i="4"/>
  <c r="AA966" i="4"/>
  <c r="Z966" i="4"/>
  <c r="AD930" i="4"/>
  <c r="AC930" i="4"/>
  <c r="AA930" i="4"/>
  <c r="Z930" i="4"/>
  <c r="AD894" i="4"/>
  <c r="AC894" i="4"/>
  <c r="AA894" i="4"/>
  <c r="Z894" i="4"/>
  <c r="AD858" i="4"/>
  <c r="AC858" i="4"/>
  <c r="AA858" i="4"/>
  <c r="Z858" i="4"/>
  <c r="AD822" i="4"/>
  <c r="AC822" i="4"/>
  <c r="AA822" i="4"/>
  <c r="Z822" i="4"/>
  <c r="AD786" i="4"/>
  <c r="AC786" i="4"/>
  <c r="AA786" i="4"/>
  <c r="Z786" i="4"/>
  <c r="AD750" i="4"/>
  <c r="AC750" i="4"/>
  <c r="AA750" i="4"/>
  <c r="Z750" i="4"/>
  <c r="AD714" i="4"/>
  <c r="AC714" i="4"/>
  <c r="AA714" i="4"/>
  <c r="Z714" i="4"/>
  <c r="AD678" i="4"/>
  <c r="AC678" i="4"/>
  <c r="AA678" i="4"/>
  <c r="Z678" i="4"/>
  <c r="AD642" i="4"/>
  <c r="AC642" i="4"/>
  <c r="AA642" i="4"/>
  <c r="Z642" i="4"/>
  <c r="AD606" i="4"/>
  <c r="AC606" i="4"/>
  <c r="AA606" i="4"/>
  <c r="Z606" i="4"/>
  <c r="AD570" i="4"/>
  <c r="AC570" i="4"/>
  <c r="AA570" i="4"/>
  <c r="Z570" i="4"/>
  <c r="AD534" i="4"/>
  <c r="AC534" i="4"/>
  <c r="AA534" i="4"/>
  <c r="Z534" i="4"/>
  <c r="AD498" i="4"/>
  <c r="AC498" i="4"/>
  <c r="AA498" i="4"/>
  <c r="Z498" i="4"/>
  <c r="AD462" i="4"/>
  <c r="AC462" i="4"/>
  <c r="AA462" i="4"/>
  <c r="Z462" i="4"/>
  <c r="AD426" i="4"/>
  <c r="AC426" i="4"/>
  <c r="AA426" i="4"/>
  <c r="Z426" i="4"/>
  <c r="AD390" i="4"/>
  <c r="AC390" i="4"/>
  <c r="AA390" i="4"/>
  <c r="Z390" i="4"/>
  <c r="AD354" i="4"/>
  <c r="AC354" i="4"/>
  <c r="AA354" i="4"/>
  <c r="Z354" i="4"/>
  <c r="AD318" i="4"/>
  <c r="AC318" i="4"/>
  <c r="AA318" i="4"/>
  <c r="Z318" i="4"/>
  <c r="AD282" i="4"/>
  <c r="AC282" i="4"/>
  <c r="AA282" i="4"/>
  <c r="Z282" i="4"/>
  <c r="AD246" i="4"/>
  <c r="AC246" i="4"/>
  <c r="AA246" i="4"/>
  <c r="Z246" i="4"/>
  <c r="AD1499" i="4"/>
  <c r="AC1499" i="4"/>
  <c r="AA1499" i="4"/>
  <c r="Z1499" i="4"/>
  <c r="AD1463" i="4"/>
  <c r="AC1463" i="4"/>
  <c r="AA1463" i="4"/>
  <c r="Z1463" i="4"/>
  <c r="AD1427" i="4"/>
  <c r="AC1427" i="4"/>
  <c r="AA1427" i="4"/>
  <c r="Z1427" i="4"/>
  <c r="AD1391" i="4"/>
  <c r="AC1391" i="4"/>
  <c r="AA1391" i="4"/>
  <c r="Z1391" i="4"/>
  <c r="AD1355" i="4"/>
  <c r="AC1355" i="4"/>
  <c r="AA1355" i="4"/>
  <c r="Z1355" i="4"/>
  <c r="AD1319" i="4"/>
  <c r="AC1319" i="4"/>
  <c r="AA1319" i="4"/>
  <c r="Z1319" i="4"/>
  <c r="AD1283" i="4"/>
  <c r="AC1283" i="4"/>
  <c r="AA1283" i="4"/>
  <c r="Z1283" i="4"/>
  <c r="AD1247" i="4"/>
  <c r="AC1247" i="4"/>
  <c r="AA1247" i="4"/>
  <c r="Z1247" i="4"/>
  <c r="AD1211" i="4"/>
  <c r="AC1211" i="4"/>
  <c r="AA1211" i="4"/>
  <c r="Z1211" i="4"/>
  <c r="AD1175" i="4"/>
  <c r="AC1175" i="4"/>
  <c r="AA1175" i="4"/>
  <c r="Z1175" i="4"/>
  <c r="AD1139" i="4"/>
  <c r="AC1139" i="4"/>
  <c r="AA1139" i="4"/>
  <c r="Z1139" i="4"/>
  <c r="AD1103" i="4"/>
  <c r="AC1103" i="4"/>
  <c r="AA1103" i="4"/>
  <c r="Z1103" i="4"/>
  <c r="AD1067" i="4"/>
  <c r="AC1067" i="4"/>
  <c r="AA1067" i="4"/>
  <c r="Z1067" i="4"/>
  <c r="AD1031" i="4"/>
  <c r="AC1031" i="4"/>
  <c r="AA1031" i="4"/>
  <c r="Z1031" i="4"/>
  <c r="AD995" i="4"/>
  <c r="AC995" i="4"/>
  <c r="AA995" i="4"/>
  <c r="Z995" i="4"/>
  <c r="AD959" i="4"/>
  <c r="AC959" i="4"/>
  <c r="AA959" i="4"/>
  <c r="Z959" i="4"/>
  <c r="AD923" i="4"/>
  <c r="AC923" i="4"/>
  <c r="AA923" i="4"/>
  <c r="Z923" i="4"/>
  <c r="AD887" i="4"/>
  <c r="AC887" i="4"/>
  <c r="AA887" i="4"/>
  <c r="Z887" i="4"/>
  <c r="AD851" i="4"/>
  <c r="AC851" i="4"/>
  <c r="AA851" i="4"/>
  <c r="Z851" i="4"/>
  <c r="AD815" i="4"/>
  <c r="AC815" i="4"/>
  <c r="AA815" i="4"/>
  <c r="Z815" i="4"/>
  <c r="AD779" i="4"/>
  <c r="AC779" i="4"/>
  <c r="AA779" i="4"/>
  <c r="Z779" i="4"/>
  <c r="AD743" i="4"/>
  <c r="AC743" i="4"/>
  <c r="AA743" i="4"/>
  <c r="Z743" i="4"/>
  <c r="AD707" i="4"/>
  <c r="AC707" i="4"/>
  <c r="AA707" i="4"/>
  <c r="Z707" i="4"/>
  <c r="AD671" i="4"/>
  <c r="AC671" i="4"/>
  <c r="AA671" i="4"/>
  <c r="Z671" i="4"/>
  <c r="AD635" i="4"/>
  <c r="AC635" i="4"/>
  <c r="AA635" i="4"/>
  <c r="Z635" i="4"/>
  <c r="AD599" i="4"/>
  <c r="AC599" i="4"/>
  <c r="AA599" i="4"/>
  <c r="Z599" i="4"/>
  <c r="AD563" i="4"/>
  <c r="AC563" i="4"/>
  <c r="AA563" i="4"/>
  <c r="Z563" i="4"/>
  <c r="AD527" i="4"/>
  <c r="AC527" i="4"/>
  <c r="AA527" i="4"/>
  <c r="Z527" i="4"/>
  <c r="AD491" i="4"/>
  <c r="AC491" i="4"/>
  <c r="AA491" i="4"/>
  <c r="Z491" i="4"/>
  <c r="AD455" i="4"/>
  <c r="AC455" i="4"/>
  <c r="AA455" i="4"/>
  <c r="Z455" i="4"/>
  <c r="AD419" i="4"/>
  <c r="AC419" i="4"/>
  <c r="AA419" i="4"/>
  <c r="Z419" i="4"/>
  <c r="AD383" i="4"/>
  <c r="AC383" i="4"/>
  <c r="AA383" i="4"/>
  <c r="Z383" i="4"/>
  <c r="AD347" i="4"/>
  <c r="AC347" i="4"/>
  <c r="AA347" i="4"/>
  <c r="Z347" i="4"/>
  <c r="AD311" i="4"/>
  <c r="AC311" i="4"/>
  <c r="AA311" i="4"/>
  <c r="Z311" i="4"/>
  <c r="AD275" i="4"/>
  <c r="AC275" i="4"/>
  <c r="AA275" i="4"/>
  <c r="Z275" i="4"/>
  <c r="AD239" i="4"/>
  <c r="AC239" i="4"/>
  <c r="AA239" i="4"/>
  <c r="Z239" i="4"/>
  <c r="AD1486" i="4"/>
  <c r="AC1486" i="4"/>
  <c r="AA1486" i="4"/>
  <c r="Z1486" i="4"/>
  <c r="AD1450" i="4"/>
  <c r="AC1450" i="4"/>
  <c r="AA1450" i="4"/>
  <c r="Z1450" i="4"/>
  <c r="AD1414" i="4"/>
  <c r="AC1414" i="4"/>
  <c r="AA1414" i="4"/>
  <c r="Z1414" i="4"/>
  <c r="AD1378" i="4"/>
  <c r="AC1378" i="4"/>
  <c r="AA1378" i="4"/>
  <c r="Z1378" i="4"/>
  <c r="AD1342" i="4"/>
  <c r="AC1342" i="4"/>
  <c r="AA1342" i="4"/>
  <c r="Z1342" i="4"/>
  <c r="AD1306" i="4"/>
  <c r="AC1306" i="4"/>
  <c r="AA1306" i="4"/>
  <c r="Z1306" i="4"/>
  <c r="AD1270" i="4"/>
  <c r="AC1270" i="4"/>
  <c r="AA1270" i="4"/>
  <c r="Z1270" i="4"/>
  <c r="AD1234" i="4"/>
  <c r="AC1234" i="4"/>
  <c r="AA1234" i="4"/>
  <c r="Z1234" i="4"/>
  <c r="AD1198" i="4"/>
  <c r="AC1198" i="4"/>
  <c r="AA1198" i="4"/>
  <c r="Z1198" i="4"/>
  <c r="AD1162" i="4"/>
  <c r="AC1162" i="4"/>
  <c r="AA1162" i="4"/>
  <c r="Z1162" i="4"/>
  <c r="AD1126" i="4"/>
  <c r="AC1126" i="4"/>
  <c r="AA1126" i="4"/>
  <c r="Z1126" i="4"/>
  <c r="AD1090" i="4"/>
  <c r="AC1090" i="4"/>
  <c r="AA1090" i="4"/>
  <c r="Z1090" i="4"/>
  <c r="AD1054" i="4"/>
  <c r="AC1054" i="4"/>
  <c r="AA1054" i="4"/>
  <c r="Z1054" i="4"/>
  <c r="AD1018" i="4"/>
  <c r="AC1018" i="4"/>
  <c r="AA1018" i="4"/>
  <c r="Z1018" i="4"/>
  <c r="AD982" i="4"/>
  <c r="AC982" i="4"/>
  <c r="AA982" i="4"/>
  <c r="Z982" i="4"/>
  <c r="AD946" i="4"/>
  <c r="AC946" i="4"/>
  <c r="AA946" i="4"/>
  <c r="Z946" i="4"/>
  <c r="AD910" i="4"/>
  <c r="AC910" i="4"/>
  <c r="AA910" i="4"/>
  <c r="Z910" i="4"/>
  <c r="AD874" i="4"/>
  <c r="AC874" i="4"/>
  <c r="AA874" i="4"/>
  <c r="Z874" i="4"/>
  <c r="AD838" i="4"/>
  <c r="AC838" i="4"/>
  <c r="AA838" i="4"/>
  <c r="Z838" i="4"/>
  <c r="AD802" i="4"/>
  <c r="AC802" i="4"/>
  <c r="AA802" i="4"/>
  <c r="Z802" i="4"/>
  <c r="AD766" i="4"/>
  <c r="AC766" i="4"/>
  <c r="AA766" i="4"/>
  <c r="Z766" i="4"/>
  <c r="AD730" i="4"/>
  <c r="AC730" i="4"/>
  <c r="AA730" i="4"/>
  <c r="Z730" i="4"/>
  <c r="AD694" i="4"/>
  <c r="AC694" i="4"/>
  <c r="AA694" i="4"/>
  <c r="Z694" i="4"/>
  <c r="AD658" i="4"/>
  <c r="AC658" i="4"/>
  <c r="AA658" i="4"/>
  <c r="Z658" i="4"/>
  <c r="AD622" i="4"/>
  <c r="AC622" i="4"/>
  <c r="AA622" i="4"/>
  <c r="Z622" i="4"/>
  <c r="AD586" i="4"/>
  <c r="AC586" i="4"/>
  <c r="AA586" i="4"/>
  <c r="Z586" i="4"/>
  <c r="AD550" i="4"/>
  <c r="AC550" i="4"/>
  <c r="AA550" i="4"/>
  <c r="Z550" i="4"/>
  <c r="AD514" i="4"/>
  <c r="AC514" i="4"/>
  <c r="AA514" i="4"/>
  <c r="Z514" i="4"/>
  <c r="AD478" i="4"/>
  <c r="AC478" i="4"/>
  <c r="AA478" i="4"/>
  <c r="Z478" i="4"/>
  <c r="AD442" i="4"/>
  <c r="AC442" i="4"/>
  <c r="AA442" i="4"/>
  <c r="Z442" i="4"/>
  <c r="AD406" i="4"/>
  <c r="AC406" i="4"/>
  <c r="AA406" i="4"/>
  <c r="Z406" i="4"/>
  <c r="AD370" i="4"/>
  <c r="AC370" i="4"/>
  <c r="AA370" i="4"/>
  <c r="Z370" i="4"/>
  <c r="AD334" i="4"/>
  <c r="AC334" i="4"/>
  <c r="AA334" i="4"/>
  <c r="Z334" i="4"/>
  <c r="AD298" i="4"/>
  <c r="AC298" i="4"/>
  <c r="AA298" i="4"/>
  <c r="Z298" i="4"/>
  <c r="AD262" i="4"/>
  <c r="AC262" i="4"/>
  <c r="AA262" i="4"/>
  <c r="Z262" i="4"/>
  <c r="AD226" i="4"/>
  <c r="AC226" i="4"/>
  <c r="AA226" i="4"/>
  <c r="Z226" i="4"/>
  <c r="AD1467" i="4"/>
  <c r="AC1467" i="4"/>
  <c r="AA1467" i="4"/>
  <c r="Z1467" i="4"/>
  <c r="AD1431" i="4"/>
  <c r="AC1431" i="4"/>
  <c r="AA1431" i="4"/>
  <c r="Z1431" i="4"/>
  <c r="AD1395" i="4"/>
  <c r="AC1395" i="4"/>
  <c r="AA1395" i="4"/>
  <c r="Z1395" i="4"/>
  <c r="AD1359" i="4"/>
  <c r="AC1359" i="4"/>
  <c r="AA1359" i="4"/>
  <c r="Z1359" i="4"/>
  <c r="AD1323" i="4"/>
  <c r="AC1323" i="4"/>
  <c r="AA1323" i="4"/>
  <c r="Z1323" i="4"/>
  <c r="AD1287" i="4"/>
  <c r="AC1287" i="4"/>
  <c r="AA1287" i="4"/>
  <c r="Z1287" i="4"/>
  <c r="AD1251" i="4"/>
  <c r="AC1251" i="4"/>
  <c r="AA1251" i="4"/>
  <c r="Z1251" i="4"/>
  <c r="AD1215" i="4"/>
  <c r="AC1215" i="4"/>
  <c r="AA1215" i="4"/>
  <c r="Z1215" i="4"/>
  <c r="AD1179" i="4"/>
  <c r="AC1179" i="4"/>
  <c r="AA1179" i="4"/>
  <c r="Z1179" i="4"/>
  <c r="AD1143" i="4"/>
  <c r="AC1143" i="4"/>
  <c r="AA1143" i="4"/>
  <c r="Z1143" i="4"/>
  <c r="AD1107" i="4"/>
  <c r="AC1107" i="4"/>
  <c r="AA1107" i="4"/>
  <c r="Z1107" i="4"/>
  <c r="AD1071" i="4"/>
  <c r="AC1071" i="4"/>
  <c r="AA1071" i="4"/>
  <c r="Z1071" i="4"/>
  <c r="AD1035" i="4"/>
  <c r="AC1035" i="4"/>
  <c r="AA1035" i="4"/>
  <c r="Z1035" i="4"/>
  <c r="AD999" i="4"/>
  <c r="AC999" i="4"/>
  <c r="AA999" i="4"/>
  <c r="Z999" i="4"/>
  <c r="AD963" i="4"/>
  <c r="AC963" i="4"/>
  <c r="AA963" i="4"/>
  <c r="Z963" i="4"/>
  <c r="AD927" i="4"/>
  <c r="AC927" i="4"/>
  <c r="AA927" i="4"/>
  <c r="Z927" i="4"/>
  <c r="AD891" i="4"/>
  <c r="AC891" i="4"/>
  <c r="AA891" i="4"/>
  <c r="Z891" i="4"/>
  <c r="AD855" i="4"/>
  <c r="AC855" i="4"/>
  <c r="AA855" i="4"/>
  <c r="Z855" i="4"/>
  <c r="AD819" i="4"/>
  <c r="AC819" i="4"/>
  <c r="AA819" i="4"/>
  <c r="Z819" i="4"/>
  <c r="AD783" i="4"/>
  <c r="AC783" i="4"/>
  <c r="AA783" i="4"/>
  <c r="Z783" i="4"/>
  <c r="AD747" i="4"/>
  <c r="AC747" i="4"/>
  <c r="AA747" i="4"/>
  <c r="Z747" i="4"/>
  <c r="AD711" i="4"/>
  <c r="AC711" i="4"/>
  <c r="AA711" i="4"/>
  <c r="Z711" i="4"/>
  <c r="AD675" i="4"/>
  <c r="AC675" i="4"/>
  <c r="AA675" i="4"/>
  <c r="Z675" i="4"/>
  <c r="AD639" i="4"/>
  <c r="AC639" i="4"/>
  <c r="AA639" i="4"/>
  <c r="Z639" i="4"/>
  <c r="AD603" i="4"/>
  <c r="AC603" i="4"/>
  <c r="AA603" i="4"/>
  <c r="Z603" i="4"/>
  <c r="AD567" i="4"/>
  <c r="AC567" i="4"/>
  <c r="AA567" i="4"/>
  <c r="Z567" i="4"/>
  <c r="AC531" i="4"/>
  <c r="AD531" i="4"/>
  <c r="AA531" i="4"/>
  <c r="Z531" i="4"/>
  <c r="AD495" i="4"/>
  <c r="AC495" i="4"/>
  <c r="AA495" i="4"/>
  <c r="Z495" i="4"/>
  <c r="AD459" i="4"/>
  <c r="AC459" i="4"/>
  <c r="AA459" i="4"/>
  <c r="Z459" i="4"/>
  <c r="AD423" i="4"/>
  <c r="AC423" i="4"/>
  <c r="AA423" i="4"/>
  <c r="Z423" i="4"/>
  <c r="AD387" i="4"/>
  <c r="AC387" i="4"/>
  <c r="AA387" i="4"/>
  <c r="Z387" i="4"/>
  <c r="AD351" i="4"/>
  <c r="AC351" i="4"/>
  <c r="AA351" i="4"/>
  <c r="Z351" i="4"/>
  <c r="AC315" i="4"/>
  <c r="AD315" i="4"/>
  <c r="AA315" i="4"/>
  <c r="Z315" i="4"/>
  <c r="AD279" i="4"/>
  <c r="AC279" i="4"/>
  <c r="AA279" i="4"/>
  <c r="Z279" i="4"/>
  <c r="AD243" i="4"/>
  <c r="AC243" i="4"/>
  <c r="AA243" i="4"/>
  <c r="Z243" i="4"/>
  <c r="AD1484" i="4"/>
  <c r="AC1484" i="4"/>
  <c r="AA1484" i="4"/>
  <c r="Z1484" i="4"/>
  <c r="AD1448" i="4"/>
  <c r="AC1448" i="4"/>
  <c r="AA1448" i="4"/>
  <c r="Z1448" i="4"/>
  <c r="AD1412" i="4"/>
  <c r="AC1412" i="4"/>
  <c r="AA1412" i="4"/>
  <c r="Z1412" i="4"/>
  <c r="AD1376" i="4"/>
  <c r="AC1376" i="4"/>
  <c r="AA1376" i="4"/>
  <c r="Z1376" i="4"/>
  <c r="AD1340" i="4"/>
  <c r="AC1340" i="4"/>
  <c r="AA1340" i="4"/>
  <c r="Z1340" i="4"/>
  <c r="AD1304" i="4"/>
  <c r="AC1304" i="4"/>
  <c r="AA1304" i="4"/>
  <c r="Z1304" i="4"/>
  <c r="AD1268" i="4"/>
  <c r="AC1268" i="4"/>
  <c r="AA1268" i="4"/>
  <c r="Z1268" i="4"/>
  <c r="AD1232" i="4"/>
  <c r="AC1232" i="4"/>
  <c r="AA1232" i="4"/>
  <c r="Z1232" i="4"/>
  <c r="AD1196" i="4"/>
  <c r="AC1196" i="4"/>
  <c r="AA1196" i="4"/>
  <c r="Z1196" i="4"/>
  <c r="AD1160" i="4"/>
  <c r="AC1160" i="4"/>
  <c r="AA1160" i="4"/>
  <c r="Z1160" i="4"/>
  <c r="AD1124" i="4"/>
  <c r="AC1124" i="4"/>
  <c r="AA1124" i="4"/>
  <c r="Z1124" i="4"/>
  <c r="AD1088" i="4"/>
  <c r="AC1088" i="4"/>
  <c r="AA1088" i="4"/>
  <c r="Z1088" i="4"/>
  <c r="AD1052" i="4"/>
  <c r="AC1052" i="4"/>
  <c r="AA1052" i="4"/>
  <c r="Z1052" i="4"/>
  <c r="AD1016" i="4"/>
  <c r="AC1016" i="4"/>
  <c r="AA1016" i="4"/>
  <c r="Z1016" i="4"/>
  <c r="AD980" i="4"/>
  <c r="AC980" i="4"/>
  <c r="AA980" i="4"/>
  <c r="Z980" i="4"/>
  <c r="AD944" i="4"/>
  <c r="AC944" i="4"/>
  <c r="AA944" i="4"/>
  <c r="Z944" i="4"/>
  <c r="AD908" i="4"/>
  <c r="AC908" i="4"/>
  <c r="AA908" i="4"/>
  <c r="Z908" i="4"/>
  <c r="AD872" i="4"/>
  <c r="AC872" i="4"/>
  <c r="AA872" i="4"/>
  <c r="Z872" i="4"/>
  <c r="AD836" i="4"/>
  <c r="AC836" i="4"/>
  <c r="AA836" i="4"/>
  <c r="Z836" i="4"/>
  <c r="AD800" i="4"/>
  <c r="AC800" i="4"/>
  <c r="AA800" i="4"/>
  <c r="Z800" i="4"/>
  <c r="AD764" i="4"/>
  <c r="AC764" i="4"/>
  <c r="AA764" i="4"/>
  <c r="Z764" i="4"/>
  <c r="AD728" i="4"/>
  <c r="AC728" i="4"/>
  <c r="AA728" i="4"/>
  <c r="Z728" i="4"/>
  <c r="AD692" i="4"/>
  <c r="AC692" i="4"/>
  <c r="AA692" i="4"/>
  <c r="Z692" i="4"/>
  <c r="AD656" i="4"/>
  <c r="AC656" i="4"/>
  <c r="AA656" i="4"/>
  <c r="Z656" i="4"/>
  <c r="AD620" i="4"/>
  <c r="AC620" i="4"/>
  <c r="AA620" i="4"/>
  <c r="Z620" i="4"/>
  <c r="AD584" i="4"/>
  <c r="AC584" i="4"/>
  <c r="AA584" i="4"/>
  <c r="Z584" i="4"/>
  <c r="AD548" i="4"/>
  <c r="AC548" i="4"/>
  <c r="AA548" i="4"/>
  <c r="Z548" i="4"/>
  <c r="AD512" i="4"/>
  <c r="AC512" i="4"/>
  <c r="AA512" i="4"/>
  <c r="Z512" i="4"/>
  <c r="AD476" i="4"/>
  <c r="AC476" i="4"/>
  <c r="AA476" i="4"/>
  <c r="Z476" i="4"/>
  <c r="AD440" i="4"/>
  <c r="AC440" i="4"/>
  <c r="AA440" i="4"/>
  <c r="Z440" i="4"/>
  <c r="AD404" i="4"/>
  <c r="AC404" i="4"/>
  <c r="AA404" i="4"/>
  <c r="Z404" i="4"/>
  <c r="AD368" i="4"/>
  <c r="AC368" i="4"/>
  <c r="AA368" i="4"/>
  <c r="Z368" i="4"/>
  <c r="AD332" i="4"/>
  <c r="AC332" i="4"/>
  <c r="AA332" i="4"/>
  <c r="Z332" i="4"/>
  <c r="AD296" i="4"/>
  <c r="AC296" i="4"/>
  <c r="AA296" i="4"/>
  <c r="Z296" i="4"/>
  <c r="AD260" i="4"/>
  <c r="AC260" i="4"/>
  <c r="AA260" i="4"/>
  <c r="Z260" i="4"/>
  <c r="AD1465" i="4"/>
  <c r="AC1465" i="4"/>
  <c r="AA1465" i="4"/>
  <c r="Z1465" i="4"/>
  <c r="AD1429" i="4"/>
  <c r="AC1429" i="4"/>
  <c r="AA1429" i="4"/>
  <c r="Z1429" i="4"/>
  <c r="AD1393" i="4"/>
  <c r="AC1393" i="4"/>
  <c r="AA1393" i="4"/>
  <c r="Z1393" i="4"/>
  <c r="AD1357" i="4"/>
  <c r="AC1357" i="4"/>
  <c r="AA1357" i="4"/>
  <c r="Z1357" i="4"/>
  <c r="AD1321" i="4"/>
  <c r="AC1321" i="4"/>
  <c r="AA1321" i="4"/>
  <c r="Z1321" i="4"/>
  <c r="AD1285" i="4"/>
  <c r="AC1285" i="4"/>
  <c r="AA1285" i="4"/>
  <c r="Z1285" i="4"/>
  <c r="AD1249" i="4"/>
  <c r="AC1249" i="4"/>
  <c r="AA1249" i="4"/>
  <c r="Z1249" i="4"/>
  <c r="AD1213" i="4"/>
  <c r="AC1213" i="4"/>
  <c r="AA1213" i="4"/>
  <c r="Z1213" i="4"/>
  <c r="AD1177" i="4"/>
  <c r="AC1177" i="4"/>
  <c r="AA1177" i="4"/>
  <c r="Z1177" i="4"/>
  <c r="AD1141" i="4"/>
  <c r="AC1141" i="4"/>
  <c r="AA1141" i="4"/>
  <c r="Z1141" i="4"/>
  <c r="AD1105" i="4"/>
  <c r="AC1105" i="4"/>
  <c r="AA1105" i="4"/>
  <c r="Z1105" i="4"/>
  <c r="AD1069" i="4"/>
  <c r="AC1069" i="4"/>
  <c r="AA1069" i="4"/>
  <c r="Z1069" i="4"/>
  <c r="AD1033" i="4"/>
  <c r="AC1033" i="4"/>
  <c r="AA1033" i="4"/>
  <c r="Z1033" i="4"/>
  <c r="AD997" i="4"/>
  <c r="AC997" i="4"/>
  <c r="AA997" i="4"/>
  <c r="Z997" i="4"/>
  <c r="AD961" i="4"/>
  <c r="AC961" i="4"/>
  <c r="AA961" i="4"/>
  <c r="Z961" i="4"/>
  <c r="AD925" i="4"/>
  <c r="AC925" i="4"/>
  <c r="AA925" i="4"/>
  <c r="Z925" i="4"/>
  <c r="AD889" i="4"/>
  <c r="AC889" i="4"/>
  <c r="AA889" i="4"/>
  <c r="Z889" i="4"/>
  <c r="AD853" i="4"/>
  <c r="AC853" i="4"/>
  <c r="AA853" i="4"/>
  <c r="Z853" i="4"/>
  <c r="AD817" i="4"/>
  <c r="AC817" i="4"/>
  <c r="AA817" i="4"/>
  <c r="Z817" i="4"/>
  <c r="AD781" i="4"/>
  <c r="AC781" i="4"/>
  <c r="AA781" i="4"/>
  <c r="Z781" i="4"/>
  <c r="AD745" i="4"/>
  <c r="AC745" i="4"/>
  <c r="AA745" i="4"/>
  <c r="Z745" i="4"/>
  <c r="AD709" i="4"/>
  <c r="AC709" i="4"/>
  <c r="AA709" i="4"/>
  <c r="Z709" i="4"/>
  <c r="AD673" i="4"/>
  <c r="AC673" i="4"/>
  <c r="AA673" i="4"/>
  <c r="Z673" i="4"/>
  <c r="AD637" i="4"/>
  <c r="AC637" i="4"/>
  <c r="AA637" i="4"/>
  <c r="Z637" i="4"/>
  <c r="AD601" i="4"/>
  <c r="AC601" i="4"/>
  <c r="AA601" i="4"/>
  <c r="Z601" i="4"/>
  <c r="AD565" i="4"/>
  <c r="AC565" i="4"/>
  <c r="AA565" i="4"/>
  <c r="Z565" i="4"/>
  <c r="AD529" i="4"/>
  <c r="AC529" i="4"/>
  <c r="AA529" i="4"/>
  <c r="Z529" i="4"/>
  <c r="AD493" i="4"/>
  <c r="AC493" i="4"/>
  <c r="AA493" i="4"/>
  <c r="Z493" i="4"/>
  <c r="AD457" i="4"/>
  <c r="AC457" i="4"/>
  <c r="AA457" i="4"/>
  <c r="Z457" i="4"/>
  <c r="AD421" i="4"/>
  <c r="AC421" i="4"/>
  <c r="AA421" i="4"/>
  <c r="Z421" i="4"/>
  <c r="AD385" i="4"/>
  <c r="AC385" i="4"/>
  <c r="AA385" i="4"/>
  <c r="Z385" i="4"/>
  <c r="AD349" i="4"/>
  <c r="AC349" i="4"/>
  <c r="AA349" i="4"/>
  <c r="Z349" i="4"/>
  <c r="AD313" i="4"/>
  <c r="AC313" i="4"/>
  <c r="AA313" i="4"/>
  <c r="Z313" i="4"/>
  <c r="AD277" i="4"/>
  <c r="AC277" i="4"/>
  <c r="AA277" i="4"/>
  <c r="Z277" i="4"/>
  <c r="AD241" i="4"/>
  <c r="AC241" i="4"/>
  <c r="AA241" i="4"/>
  <c r="Z241" i="4"/>
  <c r="AD1446" i="4"/>
  <c r="AC1446" i="4"/>
  <c r="AA1446" i="4"/>
  <c r="Z1446" i="4"/>
  <c r="AD1320" i="4"/>
  <c r="AC1320" i="4"/>
  <c r="AA1320" i="4"/>
  <c r="Z1320" i="4"/>
  <c r="AD918" i="4"/>
  <c r="AC918" i="4"/>
  <c r="AA918" i="4"/>
  <c r="Z918" i="4"/>
  <c r="AD702" i="4"/>
  <c r="AC702" i="4"/>
  <c r="AA702" i="4"/>
  <c r="Z702" i="4"/>
  <c r="AD486" i="4"/>
  <c r="AC486" i="4"/>
  <c r="AA486" i="4"/>
  <c r="Z486" i="4"/>
  <c r="AD270" i="4"/>
  <c r="AC270" i="4"/>
  <c r="AA270" i="4"/>
  <c r="Z270" i="4"/>
  <c r="AD1343" i="4"/>
  <c r="AC1343" i="4"/>
  <c r="AA1343" i="4"/>
  <c r="Z1343" i="4"/>
  <c r="AD1127" i="4"/>
  <c r="AC1127" i="4"/>
  <c r="AA1127" i="4"/>
  <c r="Z1127" i="4"/>
  <c r="AD911" i="4"/>
  <c r="AC911" i="4"/>
  <c r="AA911" i="4"/>
  <c r="Z911" i="4"/>
  <c r="AD659" i="4"/>
  <c r="AC659" i="4"/>
  <c r="AA659" i="4"/>
  <c r="Z659" i="4"/>
  <c r="AD407" i="4"/>
  <c r="AC407" i="4"/>
  <c r="AA407" i="4"/>
  <c r="Z407" i="4"/>
  <c r="AD227" i="4"/>
  <c r="AC227" i="4"/>
  <c r="AA227" i="4"/>
  <c r="Z227" i="4"/>
  <c r="AD1330" i="4"/>
  <c r="AC1330" i="4"/>
  <c r="AA1330" i="4"/>
  <c r="Z1330" i="4"/>
  <c r="AD1114" i="4"/>
  <c r="AC1114" i="4"/>
  <c r="AA1114" i="4"/>
  <c r="Z1114" i="4"/>
  <c r="AD934" i="4"/>
  <c r="AC934" i="4"/>
  <c r="AA934" i="4"/>
  <c r="Z934" i="4"/>
  <c r="AD718" i="4"/>
  <c r="AC718" i="4"/>
  <c r="AA718" i="4"/>
  <c r="Z718" i="4"/>
  <c r="AD430" i="4"/>
  <c r="AC430" i="4"/>
  <c r="AA430" i="4"/>
  <c r="Z430" i="4"/>
  <c r="AD250" i="4"/>
  <c r="AC250" i="4"/>
  <c r="AA250" i="4"/>
  <c r="Z250" i="4"/>
  <c r="AD1311" i="4"/>
  <c r="AC1311" i="4"/>
  <c r="AA1311" i="4"/>
  <c r="Z1311" i="4"/>
  <c r="AD1095" i="4"/>
  <c r="AC1095" i="4"/>
  <c r="AA1095" i="4"/>
  <c r="Z1095" i="4"/>
  <c r="AD879" i="4"/>
  <c r="AC879" i="4"/>
  <c r="AA879" i="4"/>
  <c r="Z879" i="4"/>
  <c r="AD663" i="4"/>
  <c r="AC663" i="4"/>
  <c r="AA663" i="4"/>
  <c r="Z663" i="4"/>
  <c r="AD447" i="4"/>
  <c r="AC447" i="4"/>
  <c r="AA447" i="4"/>
  <c r="Z447" i="4"/>
  <c r="AD231" i="4"/>
  <c r="AC231" i="4"/>
  <c r="AA231" i="4"/>
  <c r="Z231" i="4"/>
  <c r="AD1256" i="4"/>
  <c r="AC1256" i="4"/>
  <c r="AA1256" i="4"/>
  <c r="Z1256" i="4"/>
  <c r="AD896" i="4"/>
  <c r="AC896" i="4"/>
  <c r="AA896" i="4"/>
  <c r="Z896" i="4"/>
  <c r="AD1165" i="4"/>
  <c r="AC1165" i="4"/>
  <c r="AA1165" i="4"/>
  <c r="Z1165" i="4"/>
  <c r="C57" i="24"/>
  <c r="AD2" i="4"/>
  <c r="AC2" i="4"/>
  <c r="AA2" i="4"/>
  <c r="Z2" i="4"/>
  <c r="AD1314" i="4"/>
  <c r="AC1314" i="4"/>
  <c r="AA1314" i="4"/>
  <c r="Z1314" i="4"/>
  <c r="AD1098" i="4"/>
  <c r="AC1098" i="4"/>
  <c r="AA1098" i="4"/>
  <c r="Z1098" i="4"/>
  <c r="AD1308" i="4"/>
  <c r="AC1308" i="4"/>
  <c r="AA1308" i="4"/>
  <c r="Z1308" i="4"/>
  <c r="AD1482" i="4"/>
  <c r="AC1482" i="4"/>
  <c r="AA1482" i="4"/>
  <c r="Z1482" i="4"/>
  <c r="AD1266" i="4"/>
  <c r="AC1266" i="4"/>
  <c r="AA1266" i="4"/>
  <c r="Z1266" i="4"/>
  <c r="AD1440" i="4"/>
  <c r="AC1440" i="4"/>
  <c r="AA1440" i="4"/>
  <c r="Z1440" i="4"/>
  <c r="AD1224" i="4"/>
  <c r="AC1224" i="4"/>
  <c r="AA1224" i="4"/>
  <c r="Z1224" i="4"/>
  <c r="AD1398" i="4"/>
  <c r="AC1398" i="4"/>
  <c r="AA1398" i="4"/>
  <c r="Z1398" i="4"/>
  <c r="AD1182" i="4"/>
  <c r="AC1182" i="4"/>
  <c r="AA1182" i="4"/>
  <c r="Z1182" i="4"/>
  <c r="AD1356" i="4"/>
  <c r="AC1356" i="4"/>
  <c r="AA1356" i="4"/>
  <c r="Z1356" i="4"/>
  <c r="AD1140" i="4"/>
  <c r="AC1140" i="4"/>
  <c r="AA1140" i="4"/>
  <c r="Z1140" i="4"/>
  <c r="AD1068" i="4"/>
  <c r="AC1068" i="4"/>
  <c r="AA1068" i="4"/>
  <c r="Z1068" i="4"/>
  <c r="AD1032" i="4"/>
  <c r="AC1032" i="4"/>
  <c r="AA1032" i="4"/>
  <c r="Z1032" i="4"/>
  <c r="AD996" i="4"/>
  <c r="AC996" i="4"/>
  <c r="AA996" i="4"/>
  <c r="Z996" i="4"/>
  <c r="AD960" i="4"/>
  <c r="AC960" i="4"/>
  <c r="AA960" i="4"/>
  <c r="Z960" i="4"/>
  <c r="AD924" i="4"/>
  <c r="AC924" i="4"/>
  <c r="AA924" i="4"/>
  <c r="Z924" i="4"/>
  <c r="AD888" i="4"/>
  <c r="AC888" i="4"/>
  <c r="AA888" i="4"/>
  <c r="Z888" i="4"/>
  <c r="AD852" i="4"/>
  <c r="AC852" i="4"/>
  <c r="AA852" i="4"/>
  <c r="Z852" i="4"/>
  <c r="AD816" i="4"/>
  <c r="AC816" i="4"/>
  <c r="AA816" i="4"/>
  <c r="Z816" i="4"/>
  <c r="AD780" i="4"/>
  <c r="AC780" i="4"/>
  <c r="AA780" i="4"/>
  <c r="Z780" i="4"/>
  <c r="AD744" i="4"/>
  <c r="AC744" i="4"/>
  <c r="AA744" i="4"/>
  <c r="Z744" i="4"/>
  <c r="AD708" i="4"/>
  <c r="AC708" i="4"/>
  <c r="AA708" i="4"/>
  <c r="Z708" i="4"/>
  <c r="AD672" i="4"/>
  <c r="AC672" i="4"/>
  <c r="AA672" i="4"/>
  <c r="Z672" i="4"/>
  <c r="AD636" i="4"/>
  <c r="AC636" i="4"/>
  <c r="AA636" i="4"/>
  <c r="Z636" i="4"/>
  <c r="AD600" i="4"/>
  <c r="AC600" i="4"/>
  <c r="AA600" i="4"/>
  <c r="Z600" i="4"/>
  <c r="AD564" i="4"/>
  <c r="AC564" i="4"/>
  <c r="AA564" i="4"/>
  <c r="Z564" i="4"/>
  <c r="AD528" i="4"/>
  <c r="AC528" i="4"/>
  <c r="AA528" i="4"/>
  <c r="Z528" i="4"/>
  <c r="AD492" i="4"/>
  <c r="AC492" i="4"/>
  <c r="AA492" i="4"/>
  <c r="Z492" i="4"/>
  <c r="AD456" i="4"/>
  <c r="AC456" i="4"/>
  <c r="AA456" i="4"/>
  <c r="Z456" i="4"/>
  <c r="AD420" i="4"/>
  <c r="AC420" i="4"/>
  <c r="AA420" i="4"/>
  <c r="Z420" i="4"/>
  <c r="AD384" i="4"/>
  <c r="AC384" i="4"/>
  <c r="AA384" i="4"/>
  <c r="Z384" i="4"/>
  <c r="AD348" i="4"/>
  <c r="AC348" i="4"/>
  <c r="AA348" i="4"/>
  <c r="Z348" i="4"/>
  <c r="AD312" i="4"/>
  <c r="AC312" i="4"/>
  <c r="AA312" i="4"/>
  <c r="Z312" i="4"/>
  <c r="AD276" i="4"/>
  <c r="AC276" i="4"/>
  <c r="AA276" i="4"/>
  <c r="Z276" i="4"/>
  <c r="AD240" i="4"/>
  <c r="AC240" i="4"/>
  <c r="AA240" i="4"/>
  <c r="Z240" i="4"/>
  <c r="AD1493" i="4"/>
  <c r="AC1493" i="4"/>
  <c r="AA1493" i="4"/>
  <c r="Z1493" i="4"/>
  <c r="AD1457" i="4"/>
  <c r="AC1457" i="4"/>
  <c r="AA1457" i="4"/>
  <c r="Z1457" i="4"/>
  <c r="AD1421" i="4"/>
  <c r="AC1421" i="4"/>
  <c r="AA1421" i="4"/>
  <c r="Z1421" i="4"/>
  <c r="AD1385" i="4"/>
  <c r="AC1385" i="4"/>
  <c r="AA1385" i="4"/>
  <c r="Z1385" i="4"/>
  <c r="AD1349" i="4"/>
  <c r="AC1349" i="4"/>
  <c r="AA1349" i="4"/>
  <c r="Z1349" i="4"/>
  <c r="AD1313" i="4"/>
  <c r="AC1313" i="4"/>
  <c r="AA1313" i="4"/>
  <c r="Z1313" i="4"/>
  <c r="AD1277" i="4"/>
  <c r="AC1277" i="4"/>
  <c r="AA1277" i="4"/>
  <c r="Z1277" i="4"/>
  <c r="AD1241" i="4"/>
  <c r="AC1241" i="4"/>
  <c r="AA1241" i="4"/>
  <c r="Z1241" i="4"/>
  <c r="AD1205" i="4"/>
  <c r="AC1205" i="4"/>
  <c r="AA1205" i="4"/>
  <c r="Z1205" i="4"/>
  <c r="AD1169" i="4"/>
  <c r="AC1169" i="4"/>
  <c r="AA1169" i="4"/>
  <c r="Z1169" i="4"/>
  <c r="AD1133" i="4"/>
  <c r="AC1133" i="4"/>
  <c r="AA1133" i="4"/>
  <c r="Z1133" i="4"/>
  <c r="AD1097" i="4"/>
  <c r="AC1097" i="4"/>
  <c r="AA1097" i="4"/>
  <c r="Z1097" i="4"/>
  <c r="AD1061" i="4"/>
  <c r="AC1061" i="4"/>
  <c r="AA1061" i="4"/>
  <c r="Z1061" i="4"/>
  <c r="AD1025" i="4"/>
  <c r="AC1025" i="4"/>
  <c r="AA1025" i="4"/>
  <c r="Z1025" i="4"/>
  <c r="AD989" i="4"/>
  <c r="AC989" i="4"/>
  <c r="AA989" i="4"/>
  <c r="Z989" i="4"/>
  <c r="AD953" i="4"/>
  <c r="AC953" i="4"/>
  <c r="AA953" i="4"/>
  <c r="Z953" i="4"/>
  <c r="AD917" i="4"/>
  <c r="AC917" i="4"/>
  <c r="AA917" i="4"/>
  <c r="Z917" i="4"/>
  <c r="AD881" i="4"/>
  <c r="AC881" i="4"/>
  <c r="AA881" i="4"/>
  <c r="Z881" i="4"/>
  <c r="AD845" i="4"/>
  <c r="AC845" i="4"/>
  <c r="AA845" i="4"/>
  <c r="Z845" i="4"/>
  <c r="AD809" i="4"/>
  <c r="AC809" i="4"/>
  <c r="AA809" i="4"/>
  <c r="Z809" i="4"/>
  <c r="AD773" i="4"/>
  <c r="AC773" i="4"/>
  <c r="AA773" i="4"/>
  <c r="Z773" i="4"/>
  <c r="AD737" i="4"/>
  <c r="AC737" i="4"/>
  <c r="AA737" i="4"/>
  <c r="Z737" i="4"/>
  <c r="AD701" i="4"/>
  <c r="AC701" i="4"/>
  <c r="AA701" i="4"/>
  <c r="Z701" i="4"/>
  <c r="AD665" i="4"/>
  <c r="AC665" i="4"/>
  <c r="AA665" i="4"/>
  <c r="Z665" i="4"/>
  <c r="AD629" i="4"/>
  <c r="AC629" i="4"/>
  <c r="AA629" i="4"/>
  <c r="Z629" i="4"/>
  <c r="AD593" i="4"/>
  <c r="AC593" i="4"/>
  <c r="AA593" i="4"/>
  <c r="Z593" i="4"/>
  <c r="AD557" i="4"/>
  <c r="AC557" i="4"/>
  <c r="AA557" i="4"/>
  <c r="Z557" i="4"/>
  <c r="AD521" i="4"/>
  <c r="AC521" i="4"/>
  <c r="AA521" i="4"/>
  <c r="Z521" i="4"/>
  <c r="AD485" i="4"/>
  <c r="AC485" i="4"/>
  <c r="AA485" i="4"/>
  <c r="Z485" i="4"/>
  <c r="AD449" i="4"/>
  <c r="AC449" i="4"/>
  <c r="AA449" i="4"/>
  <c r="Z449" i="4"/>
  <c r="AD413" i="4"/>
  <c r="AC413" i="4"/>
  <c r="AA413" i="4"/>
  <c r="Z413" i="4"/>
  <c r="AD377" i="4"/>
  <c r="AC377" i="4"/>
  <c r="AA377" i="4"/>
  <c r="Z377" i="4"/>
  <c r="AD341" i="4"/>
  <c r="AC341" i="4"/>
  <c r="AA341" i="4"/>
  <c r="Z341" i="4"/>
  <c r="AD305" i="4"/>
  <c r="AC305" i="4"/>
  <c r="AA305" i="4"/>
  <c r="Z305" i="4"/>
  <c r="AD269" i="4"/>
  <c r="AC269" i="4"/>
  <c r="AA269" i="4"/>
  <c r="Z269" i="4"/>
  <c r="AD233" i="4"/>
  <c r="AC233" i="4"/>
  <c r="AA233" i="4"/>
  <c r="Z233" i="4"/>
  <c r="AD1480" i="4"/>
  <c r="AC1480" i="4"/>
  <c r="AA1480" i="4"/>
  <c r="Z1480" i="4"/>
  <c r="AD1444" i="4"/>
  <c r="AC1444" i="4"/>
  <c r="AA1444" i="4"/>
  <c r="Z1444" i="4"/>
  <c r="AD1408" i="4"/>
  <c r="AC1408" i="4"/>
  <c r="AA1408" i="4"/>
  <c r="Z1408" i="4"/>
  <c r="AD1372" i="4"/>
  <c r="AC1372" i="4"/>
  <c r="AA1372" i="4"/>
  <c r="Z1372" i="4"/>
  <c r="AD1336" i="4"/>
  <c r="AC1336" i="4"/>
  <c r="AA1336" i="4"/>
  <c r="Z1336" i="4"/>
  <c r="AD1300" i="4"/>
  <c r="AC1300" i="4"/>
  <c r="AA1300" i="4"/>
  <c r="Z1300" i="4"/>
  <c r="AD1264" i="4"/>
  <c r="AC1264" i="4"/>
  <c r="AA1264" i="4"/>
  <c r="Z1264" i="4"/>
  <c r="AD1228" i="4"/>
  <c r="AC1228" i="4"/>
  <c r="AA1228" i="4"/>
  <c r="Z1228" i="4"/>
  <c r="AD1192" i="4"/>
  <c r="AC1192" i="4"/>
  <c r="AA1192" i="4"/>
  <c r="Z1192" i="4"/>
  <c r="AD1156" i="4"/>
  <c r="AC1156" i="4"/>
  <c r="AA1156" i="4"/>
  <c r="Z1156" i="4"/>
  <c r="AD1120" i="4"/>
  <c r="AC1120" i="4"/>
  <c r="AA1120" i="4"/>
  <c r="Z1120" i="4"/>
  <c r="AD1084" i="4"/>
  <c r="AC1084" i="4"/>
  <c r="AA1084" i="4"/>
  <c r="Z1084" i="4"/>
  <c r="AD1048" i="4"/>
  <c r="AC1048" i="4"/>
  <c r="AA1048" i="4"/>
  <c r="Z1048" i="4"/>
  <c r="AD1012" i="4"/>
  <c r="AC1012" i="4"/>
  <c r="AA1012" i="4"/>
  <c r="Z1012" i="4"/>
  <c r="AD976" i="4"/>
  <c r="AC976" i="4"/>
  <c r="AA976" i="4"/>
  <c r="Z976" i="4"/>
  <c r="AD940" i="4"/>
  <c r="AC940" i="4"/>
  <c r="AA940" i="4"/>
  <c r="Z940" i="4"/>
  <c r="AD904" i="4"/>
  <c r="AC904" i="4"/>
  <c r="AA904" i="4"/>
  <c r="Z904" i="4"/>
  <c r="AD868" i="4"/>
  <c r="AC868" i="4"/>
  <c r="AA868" i="4"/>
  <c r="Z868" i="4"/>
  <c r="AD832" i="4"/>
  <c r="AC832" i="4"/>
  <c r="AA832" i="4"/>
  <c r="Z832" i="4"/>
  <c r="AD796" i="4"/>
  <c r="AC796" i="4"/>
  <c r="AA796" i="4"/>
  <c r="Z796" i="4"/>
  <c r="AD760" i="4"/>
  <c r="AC760" i="4"/>
  <c r="AA760" i="4"/>
  <c r="Z760" i="4"/>
  <c r="AD724" i="4"/>
  <c r="AC724" i="4"/>
  <c r="AA724" i="4"/>
  <c r="Z724" i="4"/>
  <c r="AD688" i="4"/>
  <c r="AC688" i="4"/>
  <c r="AA688" i="4"/>
  <c r="Z688" i="4"/>
  <c r="AD652" i="4"/>
  <c r="AC652" i="4"/>
  <c r="AA652" i="4"/>
  <c r="Z652" i="4"/>
  <c r="AD616" i="4"/>
  <c r="AC616" i="4"/>
  <c r="AA616" i="4"/>
  <c r="Z616" i="4"/>
  <c r="AD580" i="4"/>
  <c r="AC580" i="4"/>
  <c r="AA580" i="4"/>
  <c r="Z580" i="4"/>
  <c r="AD544" i="4"/>
  <c r="AC544" i="4"/>
  <c r="AA544" i="4"/>
  <c r="Z544" i="4"/>
  <c r="AD508" i="4"/>
  <c r="AC508" i="4"/>
  <c r="AA508" i="4"/>
  <c r="Z508" i="4"/>
  <c r="AD472" i="4"/>
  <c r="AC472" i="4"/>
  <c r="AA472" i="4"/>
  <c r="Z472" i="4"/>
  <c r="AD436" i="4"/>
  <c r="AC436" i="4"/>
  <c r="AA436" i="4"/>
  <c r="Z436" i="4"/>
  <c r="AD400" i="4"/>
  <c r="AC400" i="4"/>
  <c r="AA400" i="4"/>
  <c r="Z400" i="4"/>
  <c r="AD364" i="4"/>
  <c r="AC364" i="4"/>
  <c r="AA364" i="4"/>
  <c r="Z364" i="4"/>
  <c r="AD328" i="4"/>
  <c r="AC328" i="4"/>
  <c r="AA328" i="4"/>
  <c r="Z328" i="4"/>
  <c r="AD292" i="4"/>
  <c r="AC292" i="4"/>
  <c r="AA292" i="4"/>
  <c r="Z292" i="4"/>
  <c r="AD256" i="4"/>
  <c r="AC256" i="4"/>
  <c r="AA256" i="4"/>
  <c r="Z256" i="4"/>
  <c r="AD1497" i="4"/>
  <c r="AC1497" i="4"/>
  <c r="AA1497" i="4"/>
  <c r="Z1497" i="4"/>
  <c r="AD1461" i="4"/>
  <c r="AC1461" i="4"/>
  <c r="AA1461" i="4"/>
  <c r="Z1461" i="4"/>
  <c r="AD1425" i="4"/>
  <c r="AC1425" i="4"/>
  <c r="AA1425" i="4"/>
  <c r="Z1425" i="4"/>
  <c r="AD1389" i="4"/>
  <c r="AC1389" i="4"/>
  <c r="AA1389" i="4"/>
  <c r="Z1389" i="4"/>
  <c r="AD1353" i="4"/>
  <c r="AC1353" i="4"/>
  <c r="AA1353" i="4"/>
  <c r="Z1353" i="4"/>
  <c r="AD1317" i="4"/>
  <c r="AC1317" i="4"/>
  <c r="AA1317" i="4"/>
  <c r="Z1317" i="4"/>
  <c r="AD1281" i="4"/>
  <c r="AC1281" i="4"/>
  <c r="AA1281" i="4"/>
  <c r="Z1281" i="4"/>
  <c r="AD1245" i="4"/>
  <c r="AC1245" i="4"/>
  <c r="AA1245" i="4"/>
  <c r="Z1245" i="4"/>
  <c r="AD1209" i="4"/>
  <c r="AC1209" i="4"/>
  <c r="AA1209" i="4"/>
  <c r="Z1209" i="4"/>
  <c r="AD1173" i="4"/>
  <c r="AC1173" i="4"/>
  <c r="AA1173" i="4"/>
  <c r="Z1173" i="4"/>
  <c r="AD1137" i="4"/>
  <c r="AC1137" i="4"/>
  <c r="AA1137" i="4"/>
  <c r="Z1137" i="4"/>
  <c r="AD1101" i="4"/>
  <c r="AC1101" i="4"/>
  <c r="AA1101" i="4"/>
  <c r="Z1101" i="4"/>
  <c r="AD1065" i="4"/>
  <c r="AC1065" i="4"/>
  <c r="AA1065" i="4"/>
  <c r="Z1065" i="4"/>
  <c r="AD1029" i="4"/>
  <c r="AC1029" i="4"/>
  <c r="AA1029" i="4"/>
  <c r="Z1029" i="4"/>
  <c r="AD993" i="4"/>
  <c r="AC993" i="4"/>
  <c r="AA993" i="4"/>
  <c r="Z993" i="4"/>
  <c r="AD957" i="4"/>
  <c r="AC957" i="4"/>
  <c r="AA957" i="4"/>
  <c r="Z957" i="4"/>
  <c r="AD921" i="4"/>
  <c r="AC921" i="4"/>
  <c r="AA921" i="4"/>
  <c r="Z921" i="4"/>
  <c r="AD885" i="4"/>
  <c r="AC885" i="4"/>
  <c r="AA885" i="4"/>
  <c r="Z885" i="4"/>
  <c r="AD849" i="4"/>
  <c r="AC849" i="4"/>
  <c r="AA849" i="4"/>
  <c r="Z849" i="4"/>
  <c r="AD813" i="4"/>
  <c r="AC813" i="4"/>
  <c r="AA813" i="4"/>
  <c r="Z813" i="4"/>
  <c r="AD777" i="4"/>
  <c r="AC777" i="4"/>
  <c r="AA777" i="4"/>
  <c r="Z777" i="4"/>
  <c r="AD741" i="4"/>
  <c r="AC741" i="4"/>
  <c r="AA741" i="4"/>
  <c r="Z741" i="4"/>
  <c r="AD705" i="4"/>
  <c r="AC705" i="4"/>
  <c r="AA705" i="4"/>
  <c r="Z705" i="4"/>
  <c r="AD669" i="4"/>
  <c r="AC669" i="4"/>
  <c r="AA669" i="4"/>
  <c r="Z669" i="4"/>
  <c r="AD633" i="4"/>
  <c r="AC633" i="4"/>
  <c r="AA633" i="4"/>
  <c r="Z633" i="4"/>
  <c r="AD597" i="4"/>
  <c r="AC597" i="4"/>
  <c r="AA597" i="4"/>
  <c r="Z597" i="4"/>
  <c r="AD561" i="4"/>
  <c r="AC561" i="4"/>
  <c r="AA561" i="4"/>
  <c r="Z561" i="4"/>
  <c r="AD525" i="4"/>
  <c r="AC525" i="4"/>
  <c r="AA525" i="4"/>
  <c r="Z525" i="4"/>
  <c r="AD489" i="4"/>
  <c r="AC489" i="4"/>
  <c r="AA489" i="4"/>
  <c r="Z489" i="4"/>
  <c r="AD453" i="4"/>
  <c r="AC453" i="4"/>
  <c r="AA453" i="4"/>
  <c r="Z453" i="4"/>
  <c r="AD417" i="4"/>
  <c r="AC417" i="4"/>
  <c r="AA417" i="4"/>
  <c r="Z417" i="4"/>
  <c r="AD381" i="4"/>
  <c r="AC381" i="4"/>
  <c r="AA381" i="4"/>
  <c r="Z381" i="4"/>
  <c r="AD345" i="4"/>
  <c r="AC345" i="4"/>
  <c r="AA345" i="4"/>
  <c r="Z345" i="4"/>
  <c r="AD309" i="4"/>
  <c r="AC309" i="4"/>
  <c r="AA309" i="4"/>
  <c r="Z309" i="4"/>
  <c r="AD273" i="4"/>
  <c r="AC273" i="4"/>
  <c r="AA273" i="4"/>
  <c r="Z273" i="4"/>
  <c r="AD237" i="4"/>
  <c r="AC237" i="4"/>
  <c r="AA237" i="4"/>
  <c r="Z237" i="4"/>
  <c r="AD1478" i="4"/>
  <c r="AC1478" i="4"/>
  <c r="AA1478" i="4"/>
  <c r="Z1478" i="4"/>
  <c r="AD1442" i="4"/>
  <c r="AC1442" i="4"/>
  <c r="AA1442" i="4"/>
  <c r="Z1442" i="4"/>
  <c r="AD1406" i="4"/>
  <c r="AC1406" i="4"/>
  <c r="AA1406" i="4"/>
  <c r="Z1406" i="4"/>
  <c r="AD1370" i="4"/>
  <c r="AC1370" i="4"/>
  <c r="AA1370" i="4"/>
  <c r="Z1370" i="4"/>
  <c r="AD1334" i="4"/>
  <c r="AC1334" i="4"/>
  <c r="AA1334" i="4"/>
  <c r="Z1334" i="4"/>
  <c r="AD1298" i="4"/>
  <c r="AC1298" i="4"/>
  <c r="AA1298" i="4"/>
  <c r="Z1298" i="4"/>
  <c r="AD1262" i="4"/>
  <c r="AC1262" i="4"/>
  <c r="AA1262" i="4"/>
  <c r="Z1262" i="4"/>
  <c r="AD1226" i="4"/>
  <c r="AC1226" i="4"/>
  <c r="AA1226" i="4"/>
  <c r="Z1226" i="4"/>
  <c r="AD1190" i="4"/>
  <c r="AC1190" i="4"/>
  <c r="AA1190" i="4"/>
  <c r="Z1190" i="4"/>
  <c r="AD1154" i="4"/>
  <c r="AC1154" i="4"/>
  <c r="AA1154" i="4"/>
  <c r="Z1154" i="4"/>
  <c r="AD1118" i="4"/>
  <c r="AC1118" i="4"/>
  <c r="AA1118" i="4"/>
  <c r="Z1118" i="4"/>
  <c r="AD1082" i="4"/>
  <c r="AC1082" i="4"/>
  <c r="AA1082" i="4"/>
  <c r="Z1082" i="4"/>
  <c r="AD1046" i="4"/>
  <c r="AC1046" i="4"/>
  <c r="AA1046" i="4"/>
  <c r="Z1046" i="4"/>
  <c r="AD1010" i="4"/>
  <c r="AC1010" i="4"/>
  <c r="AA1010" i="4"/>
  <c r="Z1010" i="4"/>
  <c r="AD974" i="4"/>
  <c r="AC974" i="4"/>
  <c r="AA974" i="4"/>
  <c r="Z974" i="4"/>
  <c r="AD938" i="4"/>
  <c r="AC938" i="4"/>
  <c r="AA938" i="4"/>
  <c r="Z938" i="4"/>
  <c r="AD902" i="4"/>
  <c r="AC902" i="4"/>
  <c r="AA902" i="4"/>
  <c r="Z902" i="4"/>
  <c r="AD866" i="4"/>
  <c r="AC866" i="4"/>
  <c r="AA866" i="4"/>
  <c r="Z866" i="4"/>
  <c r="AD830" i="4"/>
  <c r="AC830" i="4"/>
  <c r="AA830" i="4"/>
  <c r="Z830" i="4"/>
  <c r="AD794" i="4"/>
  <c r="AC794" i="4"/>
  <c r="AA794" i="4"/>
  <c r="Z794" i="4"/>
  <c r="AD758" i="4"/>
  <c r="AC758" i="4"/>
  <c r="AA758" i="4"/>
  <c r="Z758" i="4"/>
  <c r="AD722" i="4"/>
  <c r="AC722" i="4"/>
  <c r="AA722" i="4"/>
  <c r="Z722" i="4"/>
  <c r="AD686" i="4"/>
  <c r="AC686" i="4"/>
  <c r="AA686" i="4"/>
  <c r="Z686" i="4"/>
  <c r="AD650" i="4"/>
  <c r="AC650" i="4"/>
  <c r="AA650" i="4"/>
  <c r="Z650" i="4"/>
  <c r="AD614" i="4"/>
  <c r="AC614" i="4"/>
  <c r="AA614" i="4"/>
  <c r="Z614" i="4"/>
  <c r="AD578" i="4"/>
  <c r="AC578" i="4"/>
  <c r="AA578" i="4"/>
  <c r="Z578" i="4"/>
  <c r="AD542" i="4"/>
  <c r="AC542" i="4"/>
  <c r="AA542" i="4"/>
  <c r="Z542" i="4"/>
  <c r="AD506" i="4"/>
  <c r="AC506" i="4"/>
  <c r="AA506" i="4"/>
  <c r="Z506" i="4"/>
  <c r="AD470" i="4"/>
  <c r="AC470" i="4"/>
  <c r="AA470" i="4"/>
  <c r="Z470" i="4"/>
  <c r="AD434" i="4"/>
  <c r="AC434" i="4"/>
  <c r="AA434" i="4"/>
  <c r="Z434" i="4"/>
  <c r="AD398" i="4"/>
  <c r="AC398" i="4"/>
  <c r="AA398" i="4"/>
  <c r="Z398" i="4"/>
  <c r="AD362" i="4"/>
  <c r="AC362" i="4"/>
  <c r="AA362" i="4"/>
  <c r="Z362" i="4"/>
  <c r="AD326" i="4"/>
  <c r="AC326" i="4"/>
  <c r="AA326" i="4"/>
  <c r="Z326" i="4"/>
  <c r="AD290" i="4"/>
  <c r="AC290" i="4"/>
  <c r="AA290" i="4"/>
  <c r="Z290" i="4"/>
  <c r="AD254" i="4"/>
  <c r="AC254" i="4"/>
  <c r="AA254" i="4"/>
  <c r="Z254" i="4"/>
  <c r="AD1495" i="4"/>
  <c r="AC1495" i="4"/>
  <c r="AA1495" i="4"/>
  <c r="Z1495" i="4"/>
  <c r="AD1459" i="4"/>
  <c r="AC1459" i="4"/>
  <c r="AA1459" i="4"/>
  <c r="Z1459" i="4"/>
  <c r="AD1423" i="4"/>
  <c r="AC1423" i="4"/>
  <c r="AA1423" i="4"/>
  <c r="Z1423" i="4"/>
  <c r="AD1387" i="4"/>
  <c r="AC1387" i="4"/>
  <c r="AA1387" i="4"/>
  <c r="Z1387" i="4"/>
  <c r="AD1351" i="4"/>
  <c r="AC1351" i="4"/>
  <c r="AA1351" i="4"/>
  <c r="Z1351" i="4"/>
  <c r="AD1315" i="4"/>
  <c r="AC1315" i="4"/>
  <c r="AA1315" i="4"/>
  <c r="Z1315" i="4"/>
  <c r="AD1279" i="4"/>
  <c r="AC1279" i="4"/>
  <c r="AA1279" i="4"/>
  <c r="Z1279" i="4"/>
  <c r="AD1243" i="4"/>
  <c r="AC1243" i="4"/>
  <c r="AA1243" i="4"/>
  <c r="Z1243" i="4"/>
  <c r="AD1207" i="4"/>
  <c r="AC1207" i="4"/>
  <c r="AA1207" i="4"/>
  <c r="Z1207" i="4"/>
  <c r="AD1171" i="4"/>
  <c r="AC1171" i="4"/>
  <c r="AA1171" i="4"/>
  <c r="Z1171" i="4"/>
  <c r="AD1135" i="4"/>
  <c r="AC1135" i="4"/>
  <c r="AA1135" i="4"/>
  <c r="Z1135" i="4"/>
  <c r="AD1099" i="4"/>
  <c r="AC1099" i="4"/>
  <c r="AA1099" i="4"/>
  <c r="Z1099" i="4"/>
  <c r="AD1063" i="4"/>
  <c r="AC1063" i="4"/>
  <c r="AA1063" i="4"/>
  <c r="Z1063" i="4"/>
  <c r="AD1027" i="4"/>
  <c r="AC1027" i="4"/>
  <c r="AA1027" i="4"/>
  <c r="Z1027" i="4"/>
  <c r="AD991" i="4"/>
  <c r="AC991" i="4"/>
  <c r="AA991" i="4"/>
  <c r="Z991" i="4"/>
  <c r="AD955" i="4"/>
  <c r="AC955" i="4"/>
  <c r="AA955" i="4"/>
  <c r="Z955" i="4"/>
  <c r="AD919" i="4"/>
  <c r="AC919" i="4"/>
  <c r="AA919" i="4"/>
  <c r="Z919" i="4"/>
  <c r="AD883" i="4"/>
  <c r="AC883" i="4"/>
  <c r="AA883" i="4"/>
  <c r="Z883" i="4"/>
  <c r="AD847" i="4"/>
  <c r="AC847" i="4"/>
  <c r="AA847" i="4"/>
  <c r="Z847" i="4"/>
  <c r="AD811" i="4"/>
  <c r="AC811" i="4"/>
  <c r="AA811" i="4"/>
  <c r="Z811" i="4"/>
  <c r="AD775" i="4"/>
  <c r="AC775" i="4"/>
  <c r="AA775" i="4"/>
  <c r="Z775" i="4"/>
  <c r="AD739" i="4"/>
  <c r="AC739" i="4"/>
  <c r="AA739" i="4"/>
  <c r="Z739" i="4"/>
  <c r="AD703" i="4"/>
  <c r="AC703" i="4"/>
  <c r="AA703" i="4"/>
  <c r="Z703" i="4"/>
  <c r="AD667" i="4"/>
  <c r="AC667" i="4"/>
  <c r="AA667" i="4"/>
  <c r="Z667" i="4"/>
  <c r="AD631" i="4"/>
  <c r="AC631" i="4"/>
  <c r="AA631" i="4"/>
  <c r="Z631" i="4"/>
  <c r="AD595" i="4"/>
  <c r="AC595" i="4"/>
  <c r="AA595" i="4"/>
  <c r="Z595" i="4"/>
  <c r="AD559" i="4"/>
  <c r="AC559" i="4"/>
  <c r="AA559" i="4"/>
  <c r="Z559" i="4"/>
  <c r="AD523" i="4"/>
  <c r="AC523" i="4"/>
  <c r="AA523" i="4"/>
  <c r="Z523" i="4"/>
  <c r="AD487" i="4"/>
  <c r="AC487" i="4"/>
  <c r="AA487" i="4"/>
  <c r="Z487" i="4"/>
  <c r="AD451" i="4"/>
  <c r="AC451" i="4"/>
  <c r="AA451" i="4"/>
  <c r="Z451" i="4"/>
  <c r="AD415" i="4"/>
  <c r="AC415" i="4"/>
  <c r="AA415" i="4"/>
  <c r="Z415" i="4"/>
  <c r="AD379" i="4"/>
  <c r="AC379" i="4"/>
  <c r="AA379" i="4"/>
  <c r="Z379" i="4"/>
  <c r="AD343" i="4"/>
  <c r="AC343" i="4"/>
  <c r="AA343" i="4"/>
  <c r="Z343" i="4"/>
  <c r="AD307" i="4"/>
  <c r="AC307" i="4"/>
  <c r="AA307" i="4"/>
  <c r="Z307" i="4"/>
  <c r="AD271" i="4"/>
  <c r="AC271" i="4"/>
  <c r="AA271" i="4"/>
  <c r="Z271" i="4"/>
  <c r="AD235" i="4"/>
  <c r="AC235" i="4"/>
  <c r="AA235" i="4"/>
  <c r="Z235" i="4"/>
  <c r="AC189" i="4"/>
  <c r="Z189" i="4"/>
  <c r="AD189" i="4"/>
  <c r="AA189" i="4"/>
  <c r="AC148" i="4"/>
  <c r="Z148" i="4"/>
  <c r="AA148" i="4"/>
  <c r="AD148" i="4"/>
  <c r="AD192" i="4"/>
  <c r="AA192" i="4"/>
  <c r="AC192" i="4"/>
  <c r="Z192" i="4"/>
  <c r="AC170" i="4"/>
  <c r="Z170" i="4"/>
  <c r="AD170" i="4"/>
  <c r="AA170" i="4"/>
  <c r="AC135" i="4"/>
  <c r="Z135" i="4"/>
  <c r="AD135" i="4"/>
  <c r="AA135" i="4"/>
  <c r="AD210" i="4"/>
  <c r="AA210" i="4"/>
  <c r="AC210" i="4"/>
  <c r="Z210" i="4"/>
  <c r="AD215" i="4"/>
  <c r="AA215" i="4"/>
  <c r="AC215" i="4"/>
  <c r="Z215" i="4"/>
  <c r="AC207" i="4"/>
  <c r="Z207" i="4"/>
  <c r="AD207" i="4"/>
  <c r="AA207" i="4"/>
  <c r="AC117" i="4"/>
  <c r="Z117" i="4"/>
  <c r="AD117" i="4"/>
  <c r="AA117" i="4"/>
  <c r="AC142" i="4"/>
  <c r="Z142" i="4"/>
  <c r="AA142" i="4"/>
  <c r="AD142" i="4"/>
  <c r="AD119" i="4"/>
  <c r="AA119" i="4"/>
  <c r="AC119" i="4"/>
  <c r="Z119" i="4"/>
  <c r="AD186" i="4"/>
  <c r="AA186" i="4"/>
  <c r="AC186" i="4"/>
  <c r="Z186" i="4"/>
  <c r="AD151" i="4"/>
  <c r="AA151" i="4"/>
  <c r="Z151" i="4"/>
  <c r="AC151" i="4"/>
  <c r="AC164" i="4"/>
  <c r="Z164" i="4"/>
  <c r="AD164" i="4"/>
  <c r="AA164" i="4"/>
  <c r="AC136" i="4"/>
  <c r="Z136" i="4"/>
  <c r="AA136" i="4"/>
  <c r="AD136" i="4"/>
  <c r="AD113" i="4"/>
  <c r="AA113" i="4"/>
  <c r="AC113" i="4"/>
  <c r="Z113" i="4"/>
  <c r="AD180" i="4"/>
  <c r="AA180" i="4"/>
  <c r="AC180" i="4"/>
  <c r="Z180" i="4"/>
  <c r="AD145" i="4"/>
  <c r="AA145" i="4"/>
  <c r="Z145" i="4"/>
  <c r="AC145" i="4"/>
  <c r="AC158" i="4"/>
  <c r="Z158" i="4"/>
  <c r="AD158" i="4"/>
  <c r="AA158" i="4"/>
  <c r="AC213" i="4"/>
  <c r="Z213" i="4"/>
  <c r="AD213" i="4"/>
  <c r="AA213" i="4"/>
  <c r="AD138" i="4"/>
  <c r="AA138" i="4"/>
  <c r="AC138" i="4"/>
  <c r="Z138" i="4"/>
  <c r="AC116" i="4"/>
  <c r="Z116" i="4"/>
  <c r="AD116" i="4"/>
  <c r="AA116" i="4"/>
  <c r="AD161" i="4"/>
  <c r="AA161" i="4"/>
  <c r="AC161" i="4"/>
  <c r="Z161" i="4"/>
  <c r="AD193" i="4"/>
  <c r="AA193" i="4"/>
  <c r="Z193" i="4"/>
  <c r="AC193" i="4"/>
  <c r="AC124" i="4"/>
  <c r="Z124" i="4"/>
  <c r="AD124" i="4"/>
  <c r="AA124" i="4"/>
  <c r="AD209" i="4"/>
  <c r="AA209" i="4"/>
  <c r="AC209" i="4"/>
  <c r="Z209" i="4"/>
  <c r="AD168" i="4"/>
  <c r="AA168" i="4"/>
  <c r="AC168" i="4"/>
  <c r="Z168" i="4"/>
  <c r="AD133" i="4"/>
  <c r="AA133" i="4"/>
  <c r="AC133" i="4"/>
  <c r="Z133" i="4"/>
  <c r="AC146" i="4"/>
  <c r="Z146" i="4"/>
  <c r="AD146" i="4"/>
  <c r="AA146" i="4"/>
  <c r="AC201" i="4"/>
  <c r="Z201" i="4"/>
  <c r="AD201" i="4"/>
  <c r="AA201" i="4"/>
  <c r="AC118" i="4"/>
  <c r="Z118" i="4"/>
  <c r="AD118" i="4"/>
  <c r="AA118" i="4"/>
  <c r="AD203" i="4"/>
  <c r="AA203" i="4"/>
  <c r="AC203" i="4"/>
  <c r="Z203" i="4"/>
  <c r="AD162" i="4"/>
  <c r="AA162" i="4"/>
  <c r="AC162" i="4"/>
  <c r="Z162" i="4"/>
  <c r="AD127" i="4"/>
  <c r="AA127" i="4"/>
  <c r="AC127" i="4"/>
  <c r="Z127" i="4"/>
  <c r="AC140" i="4"/>
  <c r="Z140" i="4"/>
  <c r="AD140" i="4"/>
  <c r="AA140" i="4"/>
  <c r="AC195" i="4"/>
  <c r="Z195" i="4"/>
  <c r="AD195" i="4"/>
  <c r="AA195" i="4"/>
  <c r="AC220" i="4"/>
  <c r="Z220" i="4"/>
  <c r="AA220" i="4"/>
  <c r="AD220" i="4"/>
  <c r="AD197" i="4"/>
  <c r="AA197" i="4"/>
  <c r="AC197" i="4"/>
  <c r="Z197" i="4"/>
  <c r="AC166" i="4"/>
  <c r="Z166" i="4"/>
  <c r="AA166" i="4"/>
  <c r="AD166" i="4"/>
  <c r="AD139" i="4"/>
  <c r="AA139" i="4"/>
  <c r="Z139" i="4"/>
  <c r="AC139" i="4"/>
  <c r="AC214" i="4"/>
  <c r="Z214" i="4"/>
  <c r="AA214" i="4"/>
  <c r="AD214" i="4"/>
  <c r="AD191" i="4"/>
  <c r="AA191" i="4"/>
  <c r="AC191" i="4"/>
  <c r="Z191" i="4"/>
  <c r="AD150" i="4"/>
  <c r="AA150" i="4"/>
  <c r="AC150" i="4"/>
  <c r="Z150" i="4"/>
  <c r="AD115" i="4"/>
  <c r="AA115" i="4"/>
  <c r="Z115" i="4"/>
  <c r="AC115" i="4"/>
  <c r="AC128" i="4"/>
  <c r="Z128" i="4"/>
  <c r="AD128" i="4"/>
  <c r="AA128" i="4"/>
  <c r="AC183" i="4"/>
  <c r="Z183" i="4"/>
  <c r="AD183" i="4"/>
  <c r="AA183" i="4"/>
  <c r="AC208" i="4"/>
  <c r="Z208" i="4"/>
  <c r="AA208" i="4"/>
  <c r="AD208" i="4"/>
  <c r="AD185" i="4"/>
  <c r="AA185" i="4"/>
  <c r="AC185" i="4"/>
  <c r="Z185" i="4"/>
  <c r="AD144" i="4"/>
  <c r="AA144" i="4"/>
  <c r="AC144" i="4"/>
  <c r="Z144" i="4"/>
  <c r="AD217" i="4"/>
  <c r="AA217" i="4"/>
  <c r="Z217" i="4"/>
  <c r="AC217" i="4"/>
  <c r="AC122" i="4"/>
  <c r="Z122" i="4"/>
  <c r="AD122" i="4"/>
  <c r="AA122" i="4"/>
  <c r="AC177" i="4"/>
  <c r="Z177" i="4"/>
  <c r="AD177" i="4"/>
  <c r="AA177" i="4"/>
  <c r="AC219" i="4"/>
  <c r="Z219" i="4"/>
  <c r="AD219" i="4"/>
  <c r="AA219" i="4"/>
  <c r="AD221" i="4"/>
  <c r="AA221" i="4"/>
  <c r="AC221" i="4"/>
  <c r="Z221" i="4"/>
  <c r="AD223" i="4"/>
  <c r="AA223" i="4"/>
  <c r="Z223" i="4"/>
  <c r="AC223" i="4"/>
  <c r="AD156" i="4"/>
  <c r="AA156" i="4"/>
  <c r="AC156" i="4"/>
  <c r="Z156" i="4"/>
  <c r="AD179" i="4"/>
  <c r="AA179" i="4"/>
  <c r="AC179" i="4"/>
  <c r="Z179" i="4"/>
  <c r="AD211" i="4"/>
  <c r="AA211" i="4"/>
  <c r="Z211" i="4"/>
  <c r="AC211" i="4"/>
  <c r="AC171" i="4"/>
  <c r="Z171" i="4"/>
  <c r="AD171" i="4"/>
  <c r="AA171" i="4"/>
  <c r="AD143" i="4"/>
  <c r="AA143" i="4"/>
  <c r="AC143" i="4"/>
  <c r="Z143" i="4"/>
  <c r="AC184" i="4"/>
  <c r="Z184" i="4"/>
  <c r="AA184" i="4"/>
  <c r="AD184" i="4"/>
  <c r="AC206" i="4"/>
  <c r="Z206" i="4"/>
  <c r="AD206" i="4"/>
  <c r="AA206" i="4"/>
  <c r="AC196" i="4"/>
  <c r="Z196" i="4"/>
  <c r="AD196" i="4"/>
  <c r="AA196" i="4"/>
  <c r="AD173" i="4"/>
  <c r="AA173" i="4"/>
  <c r="AC173" i="4"/>
  <c r="Z173" i="4"/>
  <c r="AD132" i="4"/>
  <c r="AA132" i="4"/>
  <c r="AC132" i="4"/>
  <c r="Z132" i="4"/>
  <c r="AD205" i="4"/>
  <c r="AA205" i="4"/>
  <c r="AC205" i="4"/>
  <c r="Z205" i="4"/>
  <c r="AC218" i="4"/>
  <c r="Z218" i="4"/>
  <c r="AD218" i="4"/>
  <c r="AA218" i="4"/>
  <c r="AC165" i="4"/>
  <c r="Z165" i="4"/>
  <c r="AD165" i="4"/>
  <c r="AA165" i="4"/>
  <c r="AC190" i="4"/>
  <c r="Z190" i="4"/>
  <c r="AD190" i="4"/>
  <c r="AA190" i="4"/>
  <c r="AD167" i="4"/>
  <c r="AA167" i="4"/>
  <c r="AC167" i="4"/>
  <c r="Z167" i="4"/>
  <c r="AD126" i="4"/>
  <c r="AA126" i="4"/>
  <c r="AC126" i="4"/>
  <c r="Z126" i="4"/>
  <c r="AD199" i="4"/>
  <c r="AA199" i="4"/>
  <c r="AC199" i="4"/>
  <c r="Z199" i="4"/>
  <c r="AC212" i="4"/>
  <c r="Z212" i="4"/>
  <c r="AD212" i="4"/>
  <c r="AA212" i="4"/>
  <c r="AC159" i="4"/>
  <c r="Z159" i="4"/>
  <c r="AD159" i="4"/>
  <c r="AA159" i="4"/>
  <c r="AD222" i="4"/>
  <c r="AA222" i="4"/>
  <c r="AC222" i="4"/>
  <c r="Z222" i="4"/>
  <c r="AD121" i="4"/>
  <c r="AA121" i="4"/>
  <c r="Z121" i="4"/>
  <c r="AC121" i="4"/>
  <c r="AD125" i="4"/>
  <c r="AA125" i="4"/>
  <c r="AC125" i="4"/>
  <c r="Z125" i="4"/>
  <c r="AD157" i="4"/>
  <c r="AA157" i="4"/>
  <c r="Z157" i="4"/>
  <c r="AC157" i="4"/>
  <c r="AC141" i="4"/>
  <c r="Z141" i="4"/>
  <c r="AD141" i="4"/>
  <c r="AA141" i="4"/>
  <c r="AC130" i="4"/>
  <c r="Z130" i="4"/>
  <c r="AA130" i="4"/>
  <c r="AD130" i="4"/>
  <c r="AD174" i="4"/>
  <c r="AA174" i="4"/>
  <c r="AC174" i="4"/>
  <c r="Z174" i="4"/>
  <c r="AC152" i="4"/>
  <c r="Z152" i="4"/>
  <c r="AD152" i="4"/>
  <c r="AA152" i="4"/>
  <c r="AC153" i="4"/>
  <c r="Z153" i="4"/>
  <c r="AD153" i="4"/>
  <c r="AA153" i="4"/>
  <c r="AC178" i="4"/>
  <c r="Z178" i="4"/>
  <c r="AA178" i="4"/>
  <c r="AD178" i="4"/>
  <c r="AD155" i="4"/>
  <c r="AA155" i="4"/>
  <c r="AC155" i="4"/>
  <c r="Z155" i="4"/>
  <c r="AD114" i="4"/>
  <c r="AA114" i="4"/>
  <c r="AC114" i="4"/>
  <c r="Z114" i="4"/>
  <c r="AD187" i="4"/>
  <c r="AA187" i="4"/>
  <c r="Z187" i="4"/>
  <c r="AC187" i="4"/>
  <c r="AC200" i="4"/>
  <c r="Z200" i="4"/>
  <c r="AD200" i="4"/>
  <c r="AA200" i="4"/>
  <c r="AC147" i="4"/>
  <c r="Z147" i="4"/>
  <c r="AD147" i="4"/>
  <c r="AA147" i="4"/>
  <c r="AC172" i="4"/>
  <c r="Z172" i="4"/>
  <c r="AA172" i="4"/>
  <c r="AD172" i="4"/>
  <c r="AD149" i="4"/>
  <c r="AA149" i="4"/>
  <c r="AC149" i="4"/>
  <c r="Z149" i="4"/>
  <c r="AD216" i="4"/>
  <c r="AA216" i="4"/>
  <c r="AC216" i="4"/>
  <c r="Z216" i="4"/>
  <c r="AD181" i="4"/>
  <c r="AA181" i="4"/>
  <c r="Z181" i="4"/>
  <c r="AC181" i="4"/>
  <c r="AC194" i="4"/>
  <c r="Z194" i="4"/>
  <c r="AD194" i="4"/>
  <c r="AA194" i="4"/>
  <c r="AC134" i="4"/>
  <c r="Z134" i="4"/>
  <c r="AD134" i="4"/>
  <c r="AA134" i="4"/>
  <c r="AD175" i="4"/>
  <c r="AA175" i="4"/>
  <c r="Z175" i="4"/>
  <c r="AC175" i="4"/>
  <c r="AC202" i="4"/>
  <c r="Z202" i="4"/>
  <c r="AA202" i="4"/>
  <c r="AD202" i="4"/>
  <c r="AC188" i="4"/>
  <c r="Z188" i="4"/>
  <c r="AD188" i="4"/>
  <c r="AA188" i="4"/>
  <c r="AC112" i="4"/>
  <c r="Z112" i="4"/>
  <c r="AA112" i="4"/>
  <c r="AD112" i="4"/>
  <c r="AD120" i="4"/>
  <c r="AA120" i="4"/>
  <c r="AC120" i="4"/>
  <c r="Z120" i="4"/>
  <c r="AC160" i="4"/>
  <c r="Z160" i="4"/>
  <c r="AD160" i="4"/>
  <c r="AA160" i="4"/>
  <c r="AD137" i="4"/>
  <c r="AA137" i="4"/>
  <c r="AC137" i="4"/>
  <c r="Z137" i="4"/>
  <c r="AD204" i="4"/>
  <c r="AA204" i="4"/>
  <c r="AC204" i="4"/>
  <c r="Z204" i="4"/>
  <c r="AD169" i="4"/>
  <c r="AA169" i="4"/>
  <c r="AC169" i="4"/>
  <c r="Z169" i="4"/>
  <c r="AC182" i="4"/>
  <c r="Z182" i="4"/>
  <c r="AD182" i="4"/>
  <c r="AA182" i="4"/>
  <c r="AC129" i="4"/>
  <c r="Z129" i="4"/>
  <c r="AD129" i="4"/>
  <c r="AA129" i="4"/>
  <c r="AC154" i="4"/>
  <c r="Z154" i="4"/>
  <c r="AD154" i="4"/>
  <c r="AA154" i="4"/>
  <c r="AD131" i="4"/>
  <c r="AA131" i="4"/>
  <c r="AC131" i="4"/>
  <c r="Z131" i="4"/>
  <c r="AD198" i="4"/>
  <c r="AA198" i="4"/>
  <c r="AC198" i="4"/>
  <c r="Z198" i="4"/>
  <c r="AD163" i="4"/>
  <c r="AA163" i="4"/>
  <c r="AC163" i="4"/>
  <c r="Z163" i="4"/>
  <c r="AC176" i="4"/>
  <c r="Z176" i="4"/>
  <c r="AD176" i="4"/>
  <c r="AA176" i="4"/>
  <c r="AC123" i="4"/>
  <c r="Z123" i="4"/>
  <c r="AD123" i="4"/>
  <c r="AA123" i="4"/>
  <c r="AC224" i="4"/>
  <c r="Z224" i="4"/>
  <c r="AD224" i="4"/>
  <c r="AA224" i="4"/>
  <c r="AA56" i="4"/>
  <c r="AC56" i="4"/>
  <c r="AD56" i="4"/>
  <c r="Z56" i="4"/>
  <c r="AD46" i="4"/>
  <c r="Z46" i="4"/>
  <c r="AA46" i="4"/>
  <c r="AC46" i="4"/>
  <c r="AC66" i="4"/>
  <c r="AD66" i="4"/>
  <c r="Z66" i="4"/>
  <c r="AA66" i="4"/>
  <c r="AC18" i="4"/>
  <c r="AD18" i="4"/>
  <c r="Z18" i="4"/>
  <c r="AA18" i="4"/>
  <c r="AC27" i="4"/>
  <c r="Z27" i="4"/>
  <c r="AD27" i="4"/>
  <c r="AA27" i="4"/>
  <c r="AD40" i="4"/>
  <c r="Z40" i="4"/>
  <c r="AA40" i="4"/>
  <c r="AC40" i="4"/>
  <c r="AD94" i="4"/>
  <c r="Z94" i="4"/>
  <c r="AA94" i="4"/>
  <c r="AC94" i="4"/>
  <c r="AC24" i="4"/>
  <c r="AD24" i="4"/>
  <c r="Z24" i="4"/>
  <c r="AA24" i="4"/>
  <c r="AD61" i="4"/>
  <c r="Z61" i="4"/>
  <c r="AC61" i="4"/>
  <c r="AA61" i="4"/>
  <c r="AC51" i="4"/>
  <c r="Z51" i="4"/>
  <c r="AA51" i="4"/>
  <c r="AD51" i="4"/>
  <c r="AC30" i="4"/>
  <c r="AD30" i="4"/>
  <c r="Z30" i="4"/>
  <c r="AA30" i="4"/>
  <c r="AD101" i="4"/>
  <c r="AC101" i="4"/>
  <c r="Z101" i="4"/>
  <c r="AA101" i="4"/>
  <c r="AC60" i="4"/>
  <c r="AD60" i="4"/>
  <c r="Z60" i="4"/>
  <c r="AA60" i="4"/>
  <c r="AC93" i="4"/>
  <c r="AA93" i="4"/>
  <c r="AD93" i="4"/>
  <c r="Z93" i="4"/>
  <c r="AC33" i="4"/>
  <c r="Z33" i="4"/>
  <c r="AD33" i="4"/>
  <c r="AA33" i="4"/>
  <c r="AC95" i="4"/>
  <c r="AA95" i="4"/>
  <c r="AD95" i="4"/>
  <c r="Z95" i="4"/>
  <c r="AC54" i="4"/>
  <c r="AD54" i="4"/>
  <c r="Z54" i="4"/>
  <c r="AA54" i="4"/>
  <c r="AC87" i="4"/>
  <c r="Z87" i="4"/>
  <c r="AA87" i="4"/>
  <c r="AD87" i="4"/>
  <c r="AD22" i="4"/>
  <c r="Z22" i="4"/>
  <c r="AA22" i="4"/>
  <c r="AC22" i="4"/>
  <c r="AA14" i="4"/>
  <c r="AC14" i="4"/>
  <c r="AD14" i="4"/>
  <c r="Z14" i="4"/>
  <c r="AD19" i="4"/>
  <c r="Z19" i="4"/>
  <c r="AC19" i="4"/>
  <c r="AA19" i="4"/>
  <c r="AC23" i="4"/>
  <c r="AA23" i="4"/>
  <c r="AD23" i="4"/>
  <c r="Z23" i="4"/>
  <c r="AC48" i="4"/>
  <c r="AD48" i="4"/>
  <c r="Z48" i="4"/>
  <c r="AA48" i="4"/>
  <c r="AA32" i="4"/>
  <c r="AC32" i="4"/>
  <c r="AD32" i="4"/>
  <c r="Z32" i="4"/>
  <c r="C215" i="24"/>
  <c r="C157" i="24"/>
  <c r="AC36" i="4"/>
  <c r="AD36" i="4"/>
  <c r="Z36" i="4"/>
  <c r="AA36" i="4"/>
  <c r="AD91" i="4"/>
  <c r="Z91" i="4"/>
  <c r="AC91" i="4"/>
  <c r="AA91" i="4"/>
  <c r="AC84" i="4"/>
  <c r="AD84" i="4"/>
  <c r="Z84" i="4"/>
  <c r="AA84" i="4"/>
  <c r="AA62" i="4"/>
  <c r="AC62" i="4"/>
  <c r="Z62" i="4"/>
  <c r="AD62" i="4"/>
  <c r="AA80" i="4"/>
  <c r="AC80" i="4"/>
  <c r="AD80" i="4"/>
  <c r="Z80" i="4"/>
  <c r="AC21" i="4"/>
  <c r="AA21" i="4"/>
  <c r="AD21" i="4"/>
  <c r="Z21" i="4"/>
  <c r="AC107" i="4"/>
  <c r="Z107" i="4"/>
  <c r="AD107" i="4"/>
  <c r="AA107" i="4"/>
  <c r="AC99" i="4"/>
  <c r="Z99" i="4"/>
  <c r="AD99" i="4"/>
  <c r="AA99" i="4"/>
  <c r="AA38" i="4"/>
  <c r="AC38" i="4"/>
  <c r="AD38" i="4"/>
  <c r="Z38" i="4"/>
  <c r="AC81" i="4"/>
  <c r="AD81" i="4"/>
  <c r="Z81" i="4"/>
  <c r="AA81" i="4"/>
  <c r="AD106" i="4"/>
  <c r="Z106" i="4"/>
  <c r="AA106" i="4"/>
  <c r="AC106" i="4"/>
  <c r="AC83" i="4"/>
  <c r="AD83" i="4"/>
  <c r="AA83" i="4"/>
  <c r="Z83" i="4"/>
  <c r="AD55" i="4"/>
  <c r="Z55" i="4"/>
  <c r="AC55" i="4"/>
  <c r="AA55" i="4"/>
  <c r="AD49" i="4"/>
  <c r="AA49" i="4"/>
  <c r="AC49" i="4"/>
  <c r="Z49" i="4"/>
  <c r="AC75" i="4"/>
  <c r="AA75" i="4"/>
  <c r="Z75" i="4"/>
  <c r="AD75" i="4"/>
  <c r="AD100" i="4"/>
  <c r="Z100" i="4"/>
  <c r="AA100" i="4"/>
  <c r="AC100" i="4"/>
  <c r="AD77" i="4"/>
  <c r="AA77" i="4"/>
  <c r="Z77" i="4"/>
  <c r="AC77" i="4"/>
  <c r="AD109" i="4"/>
  <c r="AC109" i="4"/>
  <c r="Z109" i="4"/>
  <c r="AA109" i="4"/>
  <c r="AD16" i="4"/>
  <c r="Z16" i="4"/>
  <c r="AA16" i="4"/>
  <c r="AC16" i="4"/>
  <c r="AC12" i="4"/>
  <c r="AD12" i="4"/>
  <c r="Z12" i="4"/>
  <c r="AA12" i="4"/>
  <c r="AD37" i="4"/>
  <c r="AC37" i="4"/>
  <c r="Z37" i="4"/>
  <c r="AA37" i="4"/>
  <c r="AD79" i="4"/>
  <c r="Z79" i="4"/>
  <c r="AA79" i="4"/>
  <c r="AC79" i="4"/>
  <c r="AA44" i="4"/>
  <c r="AC44" i="4"/>
  <c r="AD44" i="4"/>
  <c r="Z44" i="4"/>
  <c r="AD58" i="4"/>
  <c r="Z58" i="4"/>
  <c r="AA58" i="4"/>
  <c r="AC58" i="4"/>
  <c r="AD41" i="4"/>
  <c r="AA41" i="4"/>
  <c r="Z41" i="4"/>
  <c r="AC41" i="4"/>
  <c r="AD52" i="4"/>
  <c r="Z52" i="4"/>
  <c r="AA52" i="4"/>
  <c r="AC52" i="4"/>
  <c r="AD53" i="4"/>
  <c r="Z53" i="4"/>
  <c r="AA53" i="4"/>
  <c r="AC53" i="4"/>
  <c r="AD88" i="4"/>
  <c r="Z88" i="4"/>
  <c r="AA88" i="4"/>
  <c r="AC88" i="4"/>
  <c r="AD65" i="4"/>
  <c r="AC65" i="4"/>
  <c r="AA65" i="4"/>
  <c r="Z65" i="4"/>
  <c r="AA110" i="4"/>
  <c r="AC110" i="4"/>
  <c r="AD110" i="4"/>
  <c r="Z110" i="4"/>
  <c r="AC57" i="4"/>
  <c r="AA57" i="4"/>
  <c r="AD57" i="4"/>
  <c r="Z57" i="4"/>
  <c r="AD31" i="4"/>
  <c r="AA31" i="4"/>
  <c r="AC31" i="4"/>
  <c r="Z31" i="4"/>
  <c r="AD82" i="4"/>
  <c r="Z82" i="4"/>
  <c r="AA82" i="4"/>
  <c r="AC82" i="4"/>
  <c r="AC59" i="4"/>
  <c r="AA59" i="4"/>
  <c r="AD59" i="4"/>
  <c r="Z59" i="4"/>
  <c r="AA104" i="4"/>
  <c r="AC104" i="4"/>
  <c r="AD104" i="4"/>
  <c r="Z104" i="4"/>
  <c r="AD17" i="4"/>
  <c r="Z17" i="4"/>
  <c r="AA17" i="4"/>
  <c r="AC17" i="4"/>
  <c r="AC15" i="4"/>
  <c r="Z15" i="4"/>
  <c r="AA15" i="4"/>
  <c r="AD15" i="4"/>
  <c r="AC69" i="4"/>
  <c r="Z69" i="4"/>
  <c r="AD69" i="4"/>
  <c r="AA69" i="4"/>
  <c r="AD85" i="4"/>
  <c r="AA85" i="4"/>
  <c r="AC85" i="4"/>
  <c r="Z85" i="4"/>
  <c r="AC111" i="4"/>
  <c r="AA111" i="4"/>
  <c r="Z111" i="4"/>
  <c r="AD111" i="4"/>
  <c r="C159" i="24"/>
  <c r="AD89" i="4"/>
  <c r="Z89" i="4"/>
  <c r="AA89" i="4"/>
  <c r="AC89" i="4"/>
  <c r="AC39" i="4"/>
  <c r="AA39" i="4"/>
  <c r="Z39" i="4"/>
  <c r="AD39" i="4"/>
  <c r="AC102" i="4"/>
  <c r="AD102" i="4"/>
  <c r="Z102" i="4"/>
  <c r="AA102" i="4"/>
  <c r="AC42" i="4"/>
  <c r="AD42" i="4"/>
  <c r="Z42" i="4"/>
  <c r="AA42" i="4"/>
  <c r="AD34" i="4"/>
  <c r="Z34" i="4"/>
  <c r="AA34" i="4"/>
  <c r="AC34" i="4"/>
  <c r="AC47" i="4"/>
  <c r="AD47" i="4"/>
  <c r="Z47" i="4"/>
  <c r="AA47" i="4"/>
  <c r="AD70" i="4"/>
  <c r="Z70" i="4"/>
  <c r="AA70" i="4"/>
  <c r="AC70" i="4"/>
  <c r="AD73" i="4"/>
  <c r="AC73" i="4"/>
  <c r="Z73" i="4"/>
  <c r="AA73" i="4"/>
  <c r="AA92" i="4"/>
  <c r="AC92" i="4"/>
  <c r="AD92" i="4"/>
  <c r="Z92" i="4"/>
  <c r="AD29" i="4"/>
  <c r="AC29" i="4"/>
  <c r="Z29" i="4"/>
  <c r="AA29" i="4"/>
  <c r="AC45" i="4"/>
  <c r="AD45" i="4"/>
  <c r="Z45" i="4"/>
  <c r="AA45" i="4"/>
  <c r="AD64" i="4"/>
  <c r="Z64" i="4"/>
  <c r="AA64" i="4"/>
  <c r="AC64" i="4"/>
  <c r="AC108" i="4"/>
  <c r="AD108" i="4"/>
  <c r="Z108" i="4"/>
  <c r="AA108" i="4"/>
  <c r="AA86" i="4"/>
  <c r="AC86" i="4"/>
  <c r="AD86" i="4"/>
  <c r="Z86" i="4"/>
  <c r="AD28" i="4"/>
  <c r="Z28" i="4"/>
  <c r="AA28" i="4"/>
  <c r="AC28" i="4"/>
  <c r="AC78" i="4"/>
  <c r="AD78" i="4"/>
  <c r="Z78" i="4"/>
  <c r="AA78" i="4"/>
  <c r="AC72" i="4"/>
  <c r="AD72" i="4"/>
  <c r="Z72" i="4"/>
  <c r="AA72" i="4"/>
  <c r="AA20" i="4"/>
  <c r="AC20" i="4"/>
  <c r="AD20" i="4"/>
  <c r="Z20" i="4"/>
  <c r="C229" i="24"/>
  <c r="AA26" i="4"/>
  <c r="AC26" i="4"/>
  <c r="Z26" i="4"/>
  <c r="AD26" i="4"/>
  <c r="AC71" i="4"/>
  <c r="Z71" i="4"/>
  <c r="AD71" i="4"/>
  <c r="AA71" i="4"/>
  <c r="AD67" i="4"/>
  <c r="AA67" i="4"/>
  <c r="AC67" i="4"/>
  <c r="Z67" i="4"/>
  <c r="AC63" i="4"/>
  <c r="Z63" i="4"/>
  <c r="AA63" i="4"/>
  <c r="AD63" i="4"/>
  <c r="AD43" i="4"/>
  <c r="Z43" i="4"/>
  <c r="AA43" i="4"/>
  <c r="AC43" i="4"/>
  <c r="AC105" i="4"/>
  <c r="Z105" i="4"/>
  <c r="AD105" i="4"/>
  <c r="AA105" i="4"/>
  <c r="AC35" i="4"/>
  <c r="Z35" i="4"/>
  <c r="AD35" i="4"/>
  <c r="AA35" i="4"/>
  <c r="AD76" i="4"/>
  <c r="Z76" i="4"/>
  <c r="AA76" i="4"/>
  <c r="AC76" i="4"/>
  <c r="AA98" i="4"/>
  <c r="AC98" i="4"/>
  <c r="Z98" i="4"/>
  <c r="AD98" i="4"/>
  <c r="AD4" i="4"/>
  <c r="Z4" i="4"/>
  <c r="AA4" i="4"/>
  <c r="AC4" i="4"/>
  <c r="AD103" i="4"/>
  <c r="AA103" i="4"/>
  <c r="AC103" i="4"/>
  <c r="Z103" i="4"/>
  <c r="AC96" i="4"/>
  <c r="AD96" i="4"/>
  <c r="Z96" i="4"/>
  <c r="AA96" i="4"/>
  <c r="AA74" i="4"/>
  <c r="AC74" i="4"/>
  <c r="AD74" i="4"/>
  <c r="Z74" i="4"/>
  <c r="AA50" i="4"/>
  <c r="AC50" i="4"/>
  <c r="AD50" i="4"/>
  <c r="Z50" i="4"/>
  <c r="AD97" i="4"/>
  <c r="Z97" i="4"/>
  <c r="AC97" i="4"/>
  <c r="AA97" i="4"/>
  <c r="AC90" i="4"/>
  <c r="AD90" i="4"/>
  <c r="Z90" i="4"/>
  <c r="AA90" i="4"/>
  <c r="AA68" i="4"/>
  <c r="AC68" i="4"/>
  <c r="AD68" i="4"/>
  <c r="Z68" i="4"/>
  <c r="AD13" i="4"/>
  <c r="AA13" i="4"/>
  <c r="AC13" i="4"/>
  <c r="Z13" i="4"/>
  <c r="AD25" i="4"/>
  <c r="Z25" i="4"/>
  <c r="AC25" i="4"/>
  <c r="AA25" i="4"/>
  <c r="L13" i="4"/>
  <c r="C174" i="24"/>
  <c r="C190" i="24"/>
  <c r="C153" i="24"/>
  <c r="C165" i="24"/>
  <c r="C55" i="24"/>
  <c r="C53" i="24"/>
  <c r="C150" i="24"/>
  <c r="C90" i="24"/>
  <c r="C140" i="24"/>
  <c r="C172" i="24"/>
  <c r="C205" i="24"/>
  <c r="C139" i="24"/>
  <c r="C50" i="24"/>
  <c r="C248" i="24"/>
  <c r="C15" i="24"/>
  <c r="C163" i="24"/>
  <c r="C265" i="24"/>
  <c r="C255" i="24"/>
  <c r="C279" i="24"/>
  <c r="C234" i="24"/>
  <c r="L231" i="4"/>
  <c r="C281" i="24"/>
  <c r="C17" i="24"/>
  <c r="C256" i="24"/>
  <c r="C264" i="24"/>
  <c r="C146" i="24"/>
  <c r="C134" i="24"/>
  <c r="C243" i="24"/>
  <c r="C71" i="24"/>
  <c r="C28" i="24"/>
  <c r="C132" i="24"/>
  <c r="C67" i="24"/>
  <c r="C199" i="24"/>
  <c r="C250" i="24"/>
  <c r="C22" i="24"/>
  <c r="C138" i="24"/>
  <c r="C34" i="24"/>
  <c r="L27" i="4"/>
  <c r="C276" i="24"/>
  <c r="C176" i="24"/>
  <c r="C123" i="24"/>
  <c r="C142" i="24"/>
  <c r="C169" i="24"/>
  <c r="C154" i="24"/>
  <c r="C118" i="24"/>
  <c r="C285" i="24"/>
  <c r="C271" i="24"/>
  <c r="C260" i="24"/>
  <c r="C26" i="24"/>
  <c r="C10" i="24"/>
  <c r="C259" i="24"/>
  <c r="C24" i="24"/>
  <c r="C254" i="24"/>
  <c r="C7" i="24"/>
  <c r="C52" i="24"/>
  <c r="C253" i="24"/>
  <c r="C13" i="24"/>
  <c r="C247" i="24"/>
  <c r="C148" i="24"/>
  <c r="C58" i="24"/>
  <c r="C27" i="24"/>
  <c r="C31" i="24"/>
  <c r="C20" i="24"/>
  <c r="C35" i="24"/>
  <c r="C19" i="24"/>
  <c r="H2" i="4"/>
  <c r="C3" i="24" s="1"/>
  <c r="L487" i="4"/>
  <c r="L451" i="4"/>
  <c r="L415" i="4"/>
  <c r="L379" i="4"/>
  <c r="L343" i="4"/>
  <c r="L307" i="4"/>
  <c r="L271" i="4"/>
  <c r="L235" i="4"/>
  <c r="L446" i="4"/>
  <c r="L410" i="4"/>
  <c r="L374" i="4"/>
  <c r="L338" i="4"/>
  <c r="L302" i="4"/>
  <c r="L266" i="4"/>
  <c r="L230" i="4"/>
  <c r="L225" i="4"/>
  <c r="L493" i="4"/>
  <c r="L457" i="4"/>
  <c r="L421" i="4"/>
  <c r="L385" i="4"/>
  <c r="L349" i="4"/>
  <c r="L313" i="4"/>
  <c r="L277" i="4"/>
  <c r="L241" i="4"/>
  <c r="L416" i="4"/>
  <c r="L380" i="4"/>
  <c r="L344" i="4"/>
  <c r="L308" i="4"/>
  <c r="L272" i="4"/>
  <c r="L236" i="4"/>
  <c r="L481" i="4"/>
  <c r="L445" i="4"/>
  <c r="L409" i="4"/>
  <c r="L373" i="4"/>
  <c r="L337" i="4"/>
  <c r="L301" i="4"/>
  <c r="L265" i="4"/>
  <c r="L229" i="4"/>
  <c r="L440" i="4"/>
  <c r="L404" i="4"/>
  <c r="L368" i="4"/>
  <c r="L332" i="4"/>
  <c r="L296" i="4"/>
  <c r="L260" i="4"/>
  <c r="L224" i="4"/>
  <c r="L511" i="4"/>
  <c r="L475" i="4"/>
  <c r="L439" i="4"/>
  <c r="L403" i="4"/>
  <c r="L367" i="4"/>
  <c r="L331" i="4"/>
  <c r="L295" i="4"/>
  <c r="L259" i="4"/>
  <c r="L223" i="4"/>
  <c r="L434" i="4"/>
  <c r="L398" i="4"/>
  <c r="L362" i="4"/>
  <c r="L326" i="4"/>
  <c r="L290" i="4"/>
  <c r="L254" i="4"/>
  <c r="L822" i="4"/>
  <c r="L786" i="4"/>
  <c r="L1469" i="4"/>
  <c r="L1433" i="4"/>
  <c r="L1397" i="4"/>
  <c r="L1361" i="4"/>
  <c r="L1325" i="4"/>
  <c r="L1289" i="4"/>
  <c r="L1253" i="4"/>
  <c r="L1217" i="4"/>
  <c r="L1181" i="4"/>
  <c r="L1145" i="4"/>
  <c r="L1109" i="4"/>
  <c r="L601" i="4"/>
  <c r="L1012" i="4"/>
  <c r="L940" i="4"/>
  <c r="L868" i="4"/>
  <c r="L758" i="4"/>
  <c r="L1491" i="4"/>
  <c r="L1424" i="4"/>
  <c r="L1352" i="4"/>
  <c r="L1280" i="4"/>
  <c r="L1208" i="4"/>
  <c r="L727" i="4"/>
  <c r="L1339" i="4"/>
  <c r="L1267" i="4"/>
  <c r="L1195" i="4"/>
  <c r="L1051" i="4"/>
  <c r="L1015" i="4"/>
  <c r="L979" i="4"/>
  <c r="L943" i="4"/>
  <c r="L907" i="4"/>
  <c r="L871" i="4"/>
  <c r="L835" i="4"/>
  <c r="L799" i="4"/>
  <c r="L567" i="4"/>
  <c r="L423" i="4"/>
  <c r="L387" i="4"/>
  <c r="L351" i="4"/>
  <c r="L315" i="4"/>
  <c r="L279" i="4"/>
  <c r="L243" i="4"/>
  <c r="L722" i="4"/>
  <c r="L1493" i="4"/>
  <c r="L1061" i="4"/>
  <c r="L989" i="4"/>
  <c r="L917" i="4"/>
  <c r="L649" i="4"/>
  <c r="L743" i="4"/>
  <c r="L1335" i="4"/>
  <c r="L1263" i="4"/>
  <c r="L1191" i="4"/>
  <c r="L763" i="4"/>
  <c r="L689" i="4"/>
  <c r="L653" i="4"/>
  <c r="L617" i="4"/>
  <c r="L581" i="4"/>
  <c r="L545" i="4"/>
  <c r="L509" i="4"/>
  <c r="L473" i="4"/>
  <c r="L437" i="4"/>
  <c r="L401" i="4"/>
  <c r="L365" i="4"/>
  <c r="L329" i="4"/>
  <c r="L293" i="4"/>
  <c r="L257" i="4"/>
  <c r="L221" i="4"/>
  <c r="L627" i="4"/>
  <c r="L1487" i="4"/>
  <c r="L660" i="4"/>
  <c r="L1437" i="4"/>
  <c r="L1365" i="4"/>
  <c r="L1293" i="4"/>
  <c r="L1221" i="4"/>
  <c r="L750" i="4"/>
  <c r="L1334" i="4"/>
  <c r="L1262" i="4"/>
  <c r="L1190" i="4"/>
  <c r="L1046" i="4"/>
  <c r="L1010" i="4"/>
  <c r="L974" i="4"/>
  <c r="L938" i="4"/>
  <c r="L902" i="4"/>
  <c r="L866" i="4"/>
  <c r="L830" i="4"/>
  <c r="L794" i="4"/>
  <c r="L1393" i="4"/>
  <c r="L1321" i="4"/>
  <c r="L1249" i="4"/>
  <c r="L1177" i="4"/>
  <c r="L1141" i="4"/>
  <c r="L1105" i="4"/>
  <c r="L736" i="4"/>
  <c r="L700" i="4"/>
  <c r="L664" i="4"/>
  <c r="L628" i="4"/>
  <c r="L592" i="4"/>
  <c r="L556" i="4"/>
  <c r="L520" i="4"/>
  <c r="L484" i="4"/>
  <c r="L448" i="4"/>
  <c r="L412" i="4"/>
  <c r="L376" i="4"/>
  <c r="L340" i="4"/>
  <c r="L304" i="4"/>
  <c r="L268" i="4"/>
  <c r="L232" i="4"/>
  <c r="L585" i="4"/>
  <c r="L513" i="4"/>
  <c r="L1492" i="4"/>
  <c r="L1420" i="4"/>
  <c r="L1384" i="4"/>
  <c r="L1348" i="4"/>
  <c r="L1312" i="4"/>
  <c r="L1276" i="4"/>
  <c r="L1240" i="4"/>
  <c r="L1204" i="4"/>
  <c r="L1168" i="4"/>
  <c r="L1132" i="4"/>
  <c r="L1096" i="4"/>
  <c r="L844" i="4"/>
  <c r="L808" i="4"/>
  <c r="L772" i="4"/>
  <c r="L596" i="4"/>
  <c r="L471" i="4"/>
  <c r="L542" i="4"/>
  <c r="L1116" i="4"/>
  <c r="L1080" i="4"/>
  <c r="L614" i="4"/>
  <c r="L1043" i="4"/>
  <c r="L971" i="4"/>
  <c r="L899" i="4"/>
  <c r="L1486" i="4"/>
  <c r="L1054" i="4"/>
  <c r="L982" i="4"/>
  <c r="L910" i="4"/>
  <c r="L636" i="4"/>
  <c r="L1461" i="4"/>
  <c r="L1173" i="4"/>
  <c r="L1137" i="4"/>
  <c r="L1101" i="4"/>
  <c r="L1065" i="4"/>
  <c r="L1029" i="4"/>
  <c r="L993" i="4"/>
  <c r="L957" i="4"/>
  <c r="L921" i="4"/>
  <c r="L885" i="4"/>
  <c r="L849" i="4"/>
  <c r="L813" i="4"/>
  <c r="L777" i="4"/>
  <c r="L656" i="4"/>
  <c r="L1178" i="4"/>
  <c r="L1142" i="4"/>
  <c r="L1106" i="4"/>
  <c r="L1489" i="4"/>
  <c r="L714" i="4"/>
  <c r="L707" i="4"/>
  <c r="L681" i="4"/>
  <c r="L810" i="4"/>
  <c r="L774" i="4"/>
  <c r="L571" i="4"/>
  <c r="L1457" i="4"/>
  <c r="L1421" i="4"/>
  <c r="L1385" i="4"/>
  <c r="L1349" i="4"/>
  <c r="L1313" i="4"/>
  <c r="L1277" i="4"/>
  <c r="L1241" i="4"/>
  <c r="L1205" i="4"/>
  <c r="L1169" i="4"/>
  <c r="L1133" i="4"/>
  <c r="L1097" i="4"/>
  <c r="L672" i="4"/>
  <c r="L600" i="4"/>
  <c r="L692" i="4"/>
  <c r="L1052" i="4"/>
  <c r="L1016" i="4"/>
  <c r="L980" i="4"/>
  <c r="L944" i="4"/>
  <c r="L908" i="4"/>
  <c r="L872" i="4"/>
  <c r="L836" i="4"/>
  <c r="L800" i="4"/>
  <c r="L631" i="4"/>
  <c r="L1471" i="4"/>
  <c r="L1399" i="4"/>
  <c r="L1183" i="4"/>
  <c r="L1147" i="4"/>
  <c r="L1111" i="4"/>
  <c r="L1075" i="4"/>
  <c r="L1039" i="4"/>
  <c r="L1003" i="4"/>
  <c r="L967" i="4"/>
  <c r="L931" i="4"/>
  <c r="L895" i="4"/>
  <c r="L859" i="4"/>
  <c r="L823" i="4"/>
  <c r="L787" i="4"/>
  <c r="L746" i="4"/>
  <c r="L742" i="4"/>
  <c r="L706" i="4"/>
  <c r="L670" i="4"/>
  <c r="L634" i="4"/>
  <c r="L598" i="4"/>
  <c r="L562" i="4"/>
  <c r="L526" i="4"/>
  <c r="L490" i="4"/>
  <c r="L454" i="4"/>
  <c r="L418" i="4"/>
  <c r="L382" i="4"/>
  <c r="L346" i="4"/>
  <c r="L310" i="4"/>
  <c r="L274" i="4"/>
  <c r="L238" i="4"/>
  <c r="L663" i="4"/>
  <c r="L447" i="4"/>
  <c r="L411" i="4"/>
  <c r="L375" i="4"/>
  <c r="L339" i="4"/>
  <c r="L303" i="4"/>
  <c r="L267" i="4"/>
  <c r="L554" i="4"/>
  <c r="L518" i="4"/>
  <c r="L1055" i="4"/>
  <c r="L983" i="4"/>
  <c r="L637" i="4"/>
  <c r="L1498" i="4"/>
  <c r="L922" i="4"/>
  <c r="L850" i="4"/>
  <c r="L778" i="4"/>
  <c r="L756" i="4"/>
  <c r="L666" i="4"/>
  <c r="L541" i="4"/>
  <c r="L1066" i="4"/>
  <c r="L994" i="4"/>
  <c r="L814" i="4"/>
  <c r="L608" i="4"/>
  <c r="L691" i="4"/>
  <c r="L657" i="4"/>
  <c r="L697" i="4"/>
  <c r="L625" i="4"/>
  <c r="L1024" i="4"/>
  <c r="L952" i="4"/>
  <c r="L880" i="4"/>
  <c r="L720" i="4"/>
  <c r="L1179" i="4"/>
  <c r="L1143" i="4"/>
  <c r="L1107" i="4"/>
  <c r="L1071" i="4"/>
  <c r="L1035" i="4"/>
  <c r="L999" i="4"/>
  <c r="L963" i="4"/>
  <c r="L927" i="4"/>
  <c r="L891" i="4"/>
  <c r="L855" i="4"/>
  <c r="L819" i="4"/>
  <c r="L783" i="4"/>
  <c r="L668" i="4"/>
  <c r="L1436" i="4"/>
  <c r="L1364" i="4"/>
  <c r="L1292" i="4"/>
  <c r="L1220" i="4"/>
  <c r="L1184" i="4"/>
  <c r="L1148" i="4"/>
  <c r="L1112" i="4"/>
  <c r="L749" i="4"/>
  <c r="L679" i="4"/>
  <c r="L1495" i="4"/>
  <c r="L1387" i="4"/>
  <c r="L1351" i="4"/>
  <c r="L1279" i="4"/>
  <c r="L1207" i="4"/>
  <c r="L713" i="4"/>
  <c r="L579" i="4"/>
  <c r="L506" i="4"/>
  <c r="L911" i="4"/>
  <c r="L828" i="4"/>
  <c r="L792" i="4"/>
  <c r="L1439" i="4"/>
  <c r="L1403" i="4"/>
  <c r="L1367" i="4"/>
  <c r="L1331" i="4"/>
  <c r="L1295" i="4"/>
  <c r="L1259" i="4"/>
  <c r="L1223" i="4"/>
  <c r="L1187" i="4"/>
  <c r="L1151" i="4"/>
  <c r="L1115" i="4"/>
  <c r="L1079" i="4"/>
  <c r="L613" i="4"/>
  <c r="L1497" i="4"/>
  <c r="L728" i="4"/>
  <c r="L1057" i="4"/>
  <c r="L1021" i="4"/>
  <c r="L985" i="4"/>
  <c r="L949" i="4"/>
  <c r="L913" i="4"/>
  <c r="L877" i="4"/>
  <c r="L841" i="4"/>
  <c r="L805" i="4"/>
  <c r="L769" i="4"/>
  <c r="L465" i="4"/>
  <c r="L429" i="4"/>
  <c r="L393" i="4"/>
  <c r="L357" i="4"/>
  <c r="L321" i="4"/>
  <c r="L285" i="4"/>
  <c r="L249" i="4"/>
  <c r="L536" i="4"/>
  <c r="L1499" i="4"/>
  <c r="L733" i="4"/>
  <c r="L1449" i="4"/>
  <c r="L1377" i="4"/>
  <c r="L1305" i="4"/>
  <c r="L1233" i="4"/>
  <c r="L764" i="4"/>
  <c r="L1346" i="4"/>
  <c r="L1274" i="4"/>
  <c r="L1202" i="4"/>
  <c r="L1405" i="4"/>
  <c r="L1333" i="4"/>
  <c r="L1261" i="4"/>
  <c r="L1189" i="4"/>
  <c r="L618" i="4"/>
  <c r="L659" i="4"/>
  <c r="L623" i="4"/>
  <c r="L587" i="4"/>
  <c r="L551" i="4"/>
  <c r="L515" i="4"/>
  <c r="L479" i="4"/>
  <c r="L443" i="4"/>
  <c r="L407" i="4"/>
  <c r="L371" i="4"/>
  <c r="L335" i="4"/>
  <c r="L299" i="4"/>
  <c r="L263" i="4"/>
  <c r="L227" i="4"/>
  <c r="L597" i="4"/>
  <c r="L525" i="4"/>
  <c r="L489" i="4"/>
  <c r="L1494" i="4"/>
  <c r="L566" i="4"/>
  <c r="L1432" i="4"/>
  <c r="L1396" i="4"/>
  <c r="L1360" i="4"/>
  <c r="L1324" i="4"/>
  <c r="L1288" i="4"/>
  <c r="L1252" i="4"/>
  <c r="L1216" i="4"/>
  <c r="L1180" i="4"/>
  <c r="L1144" i="4"/>
  <c r="L1108" i="4"/>
  <c r="L1036" i="4"/>
  <c r="L964" i="4"/>
  <c r="L892" i="4"/>
  <c r="L820" i="4"/>
  <c r="L784" i="4"/>
  <c r="L1407" i="4"/>
  <c r="L620" i="4"/>
  <c r="L1448" i="4"/>
  <c r="L1376" i="4"/>
  <c r="L1304" i="4"/>
  <c r="L1232" i="4"/>
  <c r="L703" i="4"/>
  <c r="L1363" i="4"/>
  <c r="L1291" i="4"/>
  <c r="L1219" i="4"/>
  <c r="L678" i="4"/>
  <c r="L591" i="4"/>
  <c r="L519" i="4"/>
  <c r="L483" i="4"/>
  <c r="L1092" i="4"/>
  <c r="L583" i="4"/>
  <c r="L1149" i="4"/>
  <c r="L1113" i="4"/>
  <c r="L1077" i="4"/>
  <c r="L1041" i="4"/>
  <c r="L1005" i="4"/>
  <c r="L969" i="4"/>
  <c r="L933" i="4"/>
  <c r="L897" i="4"/>
  <c r="L861" i="4"/>
  <c r="L825" i="4"/>
  <c r="L789" i="4"/>
  <c r="L1478" i="4"/>
  <c r="L1406" i="4"/>
  <c r="L1154" i="4"/>
  <c r="L1118" i="4"/>
  <c r="L1082" i="4"/>
  <c r="L719" i="4"/>
  <c r="L548" i="4"/>
  <c r="L834" i="4"/>
  <c r="L798" i="4"/>
  <c r="L698" i="4"/>
  <c r="L1445" i="4"/>
  <c r="L1409" i="4"/>
  <c r="L1373" i="4"/>
  <c r="L1337" i="4"/>
  <c r="L1301" i="4"/>
  <c r="L1265" i="4"/>
  <c r="L1229" i="4"/>
  <c r="L1193" i="4"/>
  <c r="L1157" i="4"/>
  <c r="L1121" i="4"/>
  <c r="L1085" i="4"/>
  <c r="L1013" i="4"/>
  <c r="L941" i="4"/>
  <c r="L869" i="4"/>
  <c r="L1359" i="4"/>
  <c r="L1287" i="4"/>
  <c r="L1215" i="4"/>
  <c r="L1076" i="4"/>
  <c r="L1423" i="4"/>
  <c r="L1063" i="4"/>
  <c r="L1027" i="4"/>
  <c r="L991" i="4"/>
  <c r="L955" i="4"/>
  <c r="L919" i="4"/>
  <c r="L883" i="4"/>
  <c r="L847" i="4"/>
  <c r="L811" i="4"/>
  <c r="L775" i="4"/>
  <c r="L726" i="4"/>
  <c r="L654" i="4"/>
  <c r="L687" i="4"/>
  <c r="L507" i="4"/>
  <c r="L435" i="4"/>
  <c r="L399" i="4"/>
  <c r="L363" i="4"/>
  <c r="L327" i="4"/>
  <c r="L291" i="4"/>
  <c r="L255" i="4"/>
  <c r="L674" i="4"/>
  <c r="L624" i="4"/>
  <c r="L1419" i="4"/>
  <c r="L1460" i="4"/>
  <c r="L1411" i="4"/>
  <c r="L762" i="4"/>
  <c r="L665" i="4"/>
  <c r="L629" i="4"/>
  <c r="L593" i="4"/>
  <c r="L557" i="4"/>
  <c r="L521" i="4"/>
  <c r="L485" i="4"/>
  <c r="L449" i="4"/>
  <c r="L413" i="4"/>
  <c r="L377" i="4"/>
  <c r="L341" i="4"/>
  <c r="L305" i="4"/>
  <c r="L269" i="4"/>
  <c r="L233" i="4"/>
  <c r="L458" i="4"/>
  <c r="L734" i="4"/>
  <c r="L1067" i="4"/>
  <c r="L995" i="4"/>
  <c r="L923" i="4"/>
  <c r="L1006" i="4"/>
  <c r="L934" i="4"/>
  <c r="L862" i="4"/>
  <c r="L1418" i="4"/>
  <c r="L1058" i="4"/>
  <c r="L1022" i="4"/>
  <c r="L986" i="4"/>
  <c r="L950" i="4"/>
  <c r="L914" i="4"/>
  <c r="L878" i="4"/>
  <c r="L842" i="4"/>
  <c r="L806" i="4"/>
  <c r="L770" i="4"/>
  <c r="L1153" i="4"/>
  <c r="L1117" i="4"/>
  <c r="L1081" i="4"/>
  <c r="L755" i="4"/>
  <c r="L748" i="4"/>
  <c r="L712" i="4"/>
  <c r="L676" i="4"/>
  <c r="L640" i="4"/>
  <c r="L604" i="4"/>
  <c r="L568" i="4"/>
  <c r="L532" i="4"/>
  <c r="L496" i="4"/>
  <c r="L460" i="4"/>
  <c r="L424" i="4"/>
  <c r="L388" i="4"/>
  <c r="L352" i="4"/>
  <c r="L316" i="4"/>
  <c r="L280" i="4"/>
  <c r="L244" i="4"/>
  <c r="L633" i="4"/>
  <c r="L499" i="4"/>
  <c r="L463" i="4"/>
  <c r="L427" i="4"/>
  <c r="L391" i="4"/>
  <c r="L355" i="4"/>
  <c r="L319" i="4"/>
  <c r="L283" i="4"/>
  <c r="L247" i="4"/>
  <c r="L760" i="4"/>
  <c r="L1456" i="4"/>
  <c r="L1060" i="4"/>
  <c r="L988" i="4"/>
  <c r="L916" i="4"/>
  <c r="L1467" i="4"/>
  <c r="L1400" i="4"/>
  <c r="L1328" i="4"/>
  <c r="L1256" i="4"/>
  <c r="L607" i="4"/>
  <c r="L1315" i="4"/>
  <c r="L1243" i="4"/>
  <c r="L572" i="4"/>
  <c r="L677" i="4"/>
  <c r="L641" i="4"/>
  <c r="L605" i="4"/>
  <c r="L569" i="4"/>
  <c r="L533" i="4"/>
  <c r="L497" i="4"/>
  <c r="L461" i="4"/>
  <c r="L425" i="4"/>
  <c r="L389" i="4"/>
  <c r="L353" i="4"/>
  <c r="L317" i="4"/>
  <c r="L281" i="4"/>
  <c r="L245" i="4"/>
  <c r="L651" i="4"/>
  <c r="L615" i="4"/>
  <c r="L543" i="4"/>
  <c r="L1044" i="4"/>
  <c r="L685" i="4"/>
  <c r="L1466" i="4"/>
  <c r="L1070" i="4"/>
  <c r="L1034" i="4"/>
  <c r="L998" i="4"/>
  <c r="L962" i="4"/>
  <c r="L926" i="4"/>
  <c r="L890" i="4"/>
  <c r="L854" i="4"/>
  <c r="L818" i="4"/>
  <c r="L782" i="4"/>
  <c r="L1165" i="4"/>
  <c r="L1129" i="4"/>
  <c r="L1093" i="4"/>
  <c r="L642" i="4"/>
  <c r="L724" i="4"/>
  <c r="L688" i="4"/>
  <c r="L652" i="4"/>
  <c r="L616" i="4"/>
  <c r="L580" i="4"/>
  <c r="L544" i="4"/>
  <c r="L508" i="4"/>
  <c r="L472" i="4"/>
  <c r="L436" i="4"/>
  <c r="L400" i="4"/>
  <c r="L364" i="4"/>
  <c r="L328" i="4"/>
  <c r="L292" i="4"/>
  <c r="L256" i="4"/>
  <c r="L500" i="4"/>
  <c r="L1037" i="4"/>
  <c r="L965" i="4"/>
  <c r="L893" i="4"/>
  <c r="L1444" i="4"/>
  <c r="L1408" i="4"/>
  <c r="L1372" i="4"/>
  <c r="L1336" i="4"/>
  <c r="L1300" i="4"/>
  <c r="L1264" i="4"/>
  <c r="L1228" i="4"/>
  <c r="L1192" i="4"/>
  <c r="L1156" i="4"/>
  <c r="L1120" i="4"/>
  <c r="L1084" i="4"/>
  <c r="L832" i="4"/>
  <c r="L796" i="4"/>
  <c r="L1455" i="4"/>
  <c r="L1383" i="4"/>
  <c r="L1311" i="4"/>
  <c r="L1239" i="4"/>
  <c r="L577" i="4"/>
  <c r="L702" i="4"/>
  <c r="L535" i="4"/>
  <c r="L494" i="4"/>
  <c r="L422" i="4"/>
  <c r="L386" i="4"/>
  <c r="L350" i="4"/>
  <c r="L314" i="4"/>
  <c r="L278" i="4"/>
  <c r="L242" i="4"/>
  <c r="L751" i="4"/>
  <c r="L1413" i="4"/>
  <c r="L1341" i="4"/>
  <c r="L1269" i="4"/>
  <c r="L1197" i="4"/>
  <c r="L1161" i="4"/>
  <c r="L1125" i="4"/>
  <c r="L1089" i="4"/>
  <c r="L1053" i="4"/>
  <c r="L1017" i="4"/>
  <c r="L981" i="4"/>
  <c r="L945" i="4"/>
  <c r="L909" i="4"/>
  <c r="L873" i="4"/>
  <c r="L837" i="4"/>
  <c r="L801" i="4"/>
  <c r="L1490" i="4"/>
  <c r="L1454" i="4"/>
  <c r="L1382" i="4"/>
  <c r="L1310" i="4"/>
  <c r="L1238" i="4"/>
  <c r="L1166" i="4"/>
  <c r="L1130" i="4"/>
  <c r="L1094" i="4"/>
  <c r="L715" i="4"/>
  <c r="L1477" i="4"/>
  <c r="L1441" i="4"/>
  <c r="L1369" i="4"/>
  <c r="L1297" i="4"/>
  <c r="L1225" i="4"/>
  <c r="L731" i="4"/>
  <c r="L695" i="4"/>
  <c r="L561" i="4"/>
  <c r="L452" i="4"/>
  <c r="L220" i="4"/>
  <c r="L1025" i="4"/>
  <c r="L953" i="4"/>
  <c r="L881" i="4"/>
  <c r="L1468" i="4"/>
  <c r="L1443" i="4"/>
  <c r="L1371" i="4"/>
  <c r="L1299" i="4"/>
  <c r="L1227" i="4"/>
  <c r="L1155" i="4"/>
  <c r="L1119" i="4"/>
  <c r="L1083" i="4"/>
  <c r="L1047" i="4"/>
  <c r="L1011" i="4"/>
  <c r="L975" i="4"/>
  <c r="L939" i="4"/>
  <c r="L903" i="4"/>
  <c r="L867" i="4"/>
  <c r="L831" i="4"/>
  <c r="L795" i="4"/>
  <c r="L1484" i="4"/>
  <c r="L1160" i="4"/>
  <c r="L1124" i="4"/>
  <c r="L1088" i="4"/>
  <c r="L1435" i="4"/>
  <c r="L523" i="4"/>
  <c r="L725" i="4"/>
  <c r="L482" i="4"/>
  <c r="L840" i="4"/>
  <c r="L804" i="4"/>
  <c r="L768" i="4"/>
  <c r="L1451" i="4"/>
  <c r="L1415" i="4"/>
  <c r="L1379" i="4"/>
  <c r="L1343" i="4"/>
  <c r="L1307" i="4"/>
  <c r="L1271" i="4"/>
  <c r="L1235" i="4"/>
  <c r="L1199" i="4"/>
  <c r="L1163" i="4"/>
  <c r="L1127" i="4"/>
  <c r="L1091" i="4"/>
  <c r="L709" i="4"/>
  <c r="L732" i="4"/>
  <c r="L1401" i="4"/>
  <c r="L1329" i="4"/>
  <c r="L1257" i="4"/>
  <c r="L1185" i="4"/>
  <c r="L1442" i="4"/>
  <c r="L1370" i="4"/>
  <c r="L1298" i="4"/>
  <c r="L1226" i="4"/>
  <c r="L1429" i="4"/>
  <c r="L1357" i="4"/>
  <c r="L1285" i="4"/>
  <c r="L1213" i="4"/>
  <c r="L1069" i="4"/>
  <c r="L1033" i="4"/>
  <c r="L997" i="4"/>
  <c r="L961" i="4"/>
  <c r="L925" i="4"/>
  <c r="L889" i="4"/>
  <c r="L853" i="4"/>
  <c r="L817" i="4"/>
  <c r="L781" i="4"/>
  <c r="L621" i="4"/>
  <c r="L549" i="4"/>
  <c r="L441" i="4"/>
  <c r="L405" i="4"/>
  <c r="L369" i="4"/>
  <c r="L333" i="4"/>
  <c r="L297" i="4"/>
  <c r="L261" i="4"/>
  <c r="L476" i="4"/>
  <c r="L754" i="4"/>
  <c r="L686" i="4"/>
  <c r="L1007" i="4"/>
  <c r="L935" i="4"/>
  <c r="L863" i="4"/>
  <c r="L1018" i="4"/>
  <c r="L946" i="4"/>
  <c r="L874" i="4"/>
  <c r="L578" i="4"/>
  <c r="L1430" i="4"/>
  <c r="L595" i="4"/>
  <c r="L671" i="4"/>
  <c r="L635" i="4"/>
  <c r="L599" i="4"/>
  <c r="L563" i="4"/>
  <c r="L527" i="4"/>
  <c r="L491" i="4"/>
  <c r="L455" i="4"/>
  <c r="L419" i="4"/>
  <c r="L383" i="4"/>
  <c r="L347" i="4"/>
  <c r="L311" i="4"/>
  <c r="L275" i="4"/>
  <c r="L239" i="4"/>
  <c r="L501" i="4"/>
  <c r="L745" i="4"/>
  <c r="L1048" i="4"/>
  <c r="L976" i="4"/>
  <c r="L904" i="4"/>
  <c r="L696" i="4"/>
  <c r="L560" i="4"/>
  <c r="L1388" i="4"/>
  <c r="L1316" i="4"/>
  <c r="L1244" i="4"/>
  <c r="L1064" i="4"/>
  <c r="L1028" i="4"/>
  <c r="L992" i="4"/>
  <c r="L956" i="4"/>
  <c r="L920" i="4"/>
  <c r="L884" i="4"/>
  <c r="L848" i="4"/>
  <c r="L812" i="4"/>
  <c r="L776" i="4"/>
  <c r="L655" i="4"/>
  <c r="L1447" i="4"/>
  <c r="L1375" i="4"/>
  <c r="L1303" i="4"/>
  <c r="L1231" i="4"/>
  <c r="L1159" i="4"/>
  <c r="L1123" i="4"/>
  <c r="L1087" i="4"/>
  <c r="L630" i="4"/>
  <c r="L718" i="4"/>
  <c r="L682" i="4"/>
  <c r="L646" i="4"/>
  <c r="L610" i="4"/>
  <c r="L574" i="4"/>
  <c r="L538" i="4"/>
  <c r="L502" i="4"/>
  <c r="L466" i="4"/>
  <c r="L430" i="4"/>
  <c r="L394" i="4"/>
  <c r="L358" i="4"/>
  <c r="L322" i="4"/>
  <c r="L286" i="4"/>
  <c r="L250" i="4"/>
  <c r="L675" i="4"/>
  <c r="L603" i="4"/>
  <c r="L531" i="4"/>
  <c r="L459" i="4"/>
  <c r="L662" i="4"/>
  <c r="L1258" i="4"/>
  <c r="L1186" i="4"/>
  <c r="L1114" i="4"/>
  <c r="L826" i="4"/>
  <c r="L790" i="4"/>
  <c r="L684" i="4"/>
  <c r="L704" i="4"/>
  <c r="L632" i="4"/>
  <c r="L643" i="4"/>
  <c r="L1056" i="4"/>
  <c r="L547" i="4"/>
  <c r="L1473" i="4"/>
  <c r="L680" i="4"/>
  <c r="L619" i="4"/>
  <c r="L517" i="4"/>
  <c r="L683" i="4"/>
  <c r="L647" i="4"/>
  <c r="L611" i="4"/>
  <c r="L575" i="4"/>
  <c r="L539" i="4"/>
  <c r="L503" i="4"/>
  <c r="L467" i="4"/>
  <c r="L431" i="4"/>
  <c r="L395" i="4"/>
  <c r="L359" i="4"/>
  <c r="L323" i="4"/>
  <c r="L287" i="4"/>
  <c r="L251" i="4"/>
  <c r="L693" i="4"/>
  <c r="L512" i="4"/>
  <c r="L626" i="4"/>
  <c r="L1481" i="4"/>
  <c r="L1049" i="4"/>
  <c r="L977" i="4"/>
  <c r="L905" i="4"/>
  <c r="L648" i="4"/>
  <c r="L1395" i="4"/>
  <c r="L1323" i="4"/>
  <c r="L1251" i="4"/>
  <c r="L1472" i="4"/>
  <c r="L1040" i="4"/>
  <c r="L1004" i="4"/>
  <c r="L968" i="4"/>
  <c r="L932" i="4"/>
  <c r="L896" i="4"/>
  <c r="L860" i="4"/>
  <c r="L824" i="4"/>
  <c r="L788" i="4"/>
  <c r="L1171" i="4"/>
  <c r="L1135" i="4"/>
  <c r="L1099" i="4"/>
  <c r="L730" i="4"/>
  <c r="L694" i="4"/>
  <c r="L658" i="4"/>
  <c r="L622" i="4"/>
  <c r="L586" i="4"/>
  <c r="L550" i="4"/>
  <c r="L514" i="4"/>
  <c r="L478" i="4"/>
  <c r="L442" i="4"/>
  <c r="L406" i="4"/>
  <c r="L370" i="4"/>
  <c r="L334" i="4"/>
  <c r="L298" i="4"/>
  <c r="L262" i="4"/>
  <c r="L226" i="4"/>
  <c r="L470" i="4"/>
  <c r="L1475" i="4"/>
  <c r="L752" i="4"/>
  <c r="L1450" i="4"/>
  <c r="L1378" i="4"/>
  <c r="L1306" i="4"/>
  <c r="L1234" i="4"/>
  <c r="L1162" i="4"/>
  <c r="L1090" i="4"/>
  <c r="L838" i="4"/>
  <c r="L802" i="4"/>
  <c r="L766" i="4"/>
  <c r="L708" i="4"/>
  <c r="L1425" i="4"/>
  <c r="L1353" i="4"/>
  <c r="L1281" i="4"/>
  <c r="L1209" i="4"/>
  <c r="L1394" i="4"/>
  <c r="L1322" i="4"/>
  <c r="L1250" i="4"/>
  <c r="L1453" i="4"/>
  <c r="L1381" i="4"/>
  <c r="L1309" i="4"/>
  <c r="L1237" i="4"/>
  <c r="L505" i="4"/>
  <c r="L469" i="4"/>
  <c r="L433" i="4"/>
  <c r="L397" i="4"/>
  <c r="L361" i="4"/>
  <c r="L325" i="4"/>
  <c r="L289" i="4"/>
  <c r="L253" i="4"/>
  <c r="L573" i="4"/>
  <c r="L428" i="4"/>
  <c r="L392" i="4"/>
  <c r="L356" i="4"/>
  <c r="L320" i="4"/>
  <c r="L284" i="4"/>
  <c r="L248" i="4"/>
  <c r="L602" i="4"/>
  <c r="L744" i="4"/>
  <c r="L673" i="4"/>
  <c r="L1480" i="4"/>
  <c r="L1167" i="4"/>
  <c r="L1131" i="4"/>
  <c r="L1095" i="4"/>
  <c r="L1059" i="4"/>
  <c r="L1023" i="4"/>
  <c r="L987" i="4"/>
  <c r="L951" i="4"/>
  <c r="L915" i="4"/>
  <c r="L879" i="4"/>
  <c r="L843" i="4"/>
  <c r="L807" i="4"/>
  <c r="L771" i="4"/>
  <c r="L716" i="4"/>
  <c r="L1496" i="4"/>
  <c r="L1172" i="4"/>
  <c r="L1136" i="4"/>
  <c r="L1100" i="4"/>
  <c r="L1483" i="4"/>
  <c r="L737" i="4"/>
  <c r="L701" i="4"/>
  <c r="L639" i="4"/>
  <c r="L495" i="4"/>
  <c r="L530" i="4"/>
  <c r="L816" i="4"/>
  <c r="L780" i="4"/>
  <c r="L589" i="4"/>
  <c r="L1463" i="4"/>
  <c r="L1427" i="4"/>
  <c r="L1391" i="4"/>
  <c r="L1355" i="4"/>
  <c r="L1319" i="4"/>
  <c r="L1283" i="4"/>
  <c r="L1247" i="4"/>
  <c r="L1211" i="4"/>
  <c r="L1175" i="4"/>
  <c r="L1139" i="4"/>
  <c r="L1103" i="4"/>
  <c r="L1031" i="4"/>
  <c r="L959" i="4"/>
  <c r="L887" i="4"/>
  <c r="L661" i="4"/>
  <c r="L584" i="4"/>
  <c r="L1474" i="4"/>
  <c r="L1042" i="4"/>
  <c r="L970" i="4"/>
  <c r="L898" i="4"/>
  <c r="L1045" i="4"/>
  <c r="L1009" i="4"/>
  <c r="L973" i="4"/>
  <c r="L937" i="4"/>
  <c r="L901" i="4"/>
  <c r="L865" i="4"/>
  <c r="L829" i="4"/>
  <c r="L793" i="4"/>
  <c r="L453" i="4"/>
  <c r="L417" i="4"/>
  <c r="L381" i="4"/>
  <c r="L345" i="4"/>
  <c r="L309" i="4"/>
  <c r="L273" i="4"/>
  <c r="L237" i="4"/>
  <c r="T1472" i="4" a="1"/>
  <c r="T1472" i="4" s="1"/>
  <c r="U1472" i="4" a="1"/>
  <c r="U1472" i="4" s="1"/>
  <c r="V1472" i="4" a="1"/>
  <c r="V1472" i="4" s="1"/>
  <c r="W1472" i="4" a="1"/>
  <c r="W1472" i="4" s="1"/>
  <c r="T1423" i="4" a="1"/>
  <c r="T1423" i="4" s="1"/>
  <c r="U1423" i="4" a="1"/>
  <c r="U1423" i="4" s="1"/>
  <c r="V1423" i="4" a="1"/>
  <c r="V1423" i="4" s="1"/>
  <c r="W1423" i="4" a="1"/>
  <c r="W1423" i="4" s="1"/>
  <c r="T1351" i="4" a="1"/>
  <c r="T1351" i="4" s="1"/>
  <c r="U1351" i="4" a="1"/>
  <c r="U1351" i="4" s="1"/>
  <c r="V1351" i="4" a="1"/>
  <c r="V1351" i="4" s="1"/>
  <c r="W1351" i="4" a="1"/>
  <c r="W1351" i="4" s="1"/>
  <c r="T1417" i="4" a="1"/>
  <c r="T1417" i="4" s="1"/>
  <c r="U1417" i="4" a="1"/>
  <c r="U1417" i="4" s="1"/>
  <c r="V1417" i="4" a="1"/>
  <c r="V1417" i="4" s="1"/>
  <c r="W1417" i="4" a="1"/>
  <c r="W1417" i="4" s="1"/>
  <c r="T1201" i="4" a="1"/>
  <c r="T1201" i="4" s="1"/>
  <c r="U1201" i="4" a="1"/>
  <c r="U1201" i="4" s="1"/>
  <c r="V1201" i="4" a="1"/>
  <c r="V1201" i="4" s="1"/>
  <c r="W1201" i="4" a="1"/>
  <c r="W1201" i="4" s="1"/>
  <c r="T985" i="4" a="1"/>
  <c r="T985" i="4" s="1"/>
  <c r="U985" i="4" a="1"/>
  <c r="U985" i="4" s="1"/>
  <c r="V985" i="4" a="1"/>
  <c r="V985" i="4" s="1"/>
  <c r="W985" i="4" a="1"/>
  <c r="W985" i="4" s="1"/>
  <c r="T1411" i="4" a="1"/>
  <c r="T1411" i="4" s="1"/>
  <c r="U1411" i="4" a="1"/>
  <c r="U1411" i="4" s="1"/>
  <c r="V1411" i="4" a="1"/>
  <c r="V1411" i="4" s="1"/>
  <c r="W1411" i="4" a="1"/>
  <c r="W1411" i="4" s="1"/>
  <c r="T1195" i="4" a="1"/>
  <c r="T1195" i="4" s="1"/>
  <c r="U1195" i="4" a="1"/>
  <c r="U1195" i="4" s="1"/>
  <c r="W1195" i="4" a="1"/>
  <c r="W1195" i="4" s="1"/>
  <c r="V1195" i="4" a="1"/>
  <c r="V1195" i="4" s="1"/>
  <c r="T979" i="4" a="1"/>
  <c r="T979" i="4" s="1"/>
  <c r="U979" i="4" a="1"/>
  <c r="U979" i="4" s="1"/>
  <c r="W979" i="4" a="1"/>
  <c r="W979" i="4" s="1"/>
  <c r="V979" i="4" a="1"/>
  <c r="V979" i="4" s="1"/>
  <c r="T1405" i="4" a="1"/>
  <c r="T1405" i="4" s="1"/>
  <c r="U1405" i="4" a="1"/>
  <c r="U1405" i="4" s="1"/>
  <c r="W1405" i="4" a="1"/>
  <c r="W1405" i="4" s="1"/>
  <c r="V1405" i="4" a="1"/>
  <c r="V1405" i="4" s="1"/>
  <c r="V1189" i="4" a="1"/>
  <c r="V1189" i="4" s="1"/>
  <c r="T1189" i="4" a="1"/>
  <c r="T1189" i="4" s="1"/>
  <c r="U1189" i="4" a="1"/>
  <c r="U1189" i="4" s="1"/>
  <c r="W1189" i="4" a="1"/>
  <c r="W1189" i="4" s="1"/>
  <c r="T973" i="4" a="1"/>
  <c r="T973" i="4" s="1"/>
  <c r="V973" i="4" a="1"/>
  <c r="V973" i="4" s="1"/>
  <c r="W973" i="4" a="1"/>
  <c r="W973" i="4" s="1"/>
  <c r="U973" i="4" a="1"/>
  <c r="U973" i="4" s="1"/>
  <c r="T1435" i="4" a="1"/>
  <c r="T1435" i="4" s="1"/>
  <c r="U1435" i="4" a="1"/>
  <c r="U1435" i="4" s="1"/>
  <c r="W1435" i="4" a="1"/>
  <c r="W1435" i="4" s="1"/>
  <c r="V1435" i="4" a="1"/>
  <c r="V1435" i="4" s="1"/>
  <c r="T1219" i="4" a="1"/>
  <c r="T1219" i="4" s="1"/>
  <c r="U1219" i="4" a="1"/>
  <c r="U1219" i="4" s="1"/>
  <c r="V1219" i="4" a="1"/>
  <c r="V1219" i="4" s="1"/>
  <c r="W1219" i="4" a="1"/>
  <c r="W1219" i="4" s="1"/>
  <c r="U1003" i="4" a="1"/>
  <c r="U1003" i="4" s="1"/>
  <c r="T1003" i="4" a="1"/>
  <c r="T1003" i="4" s="1"/>
  <c r="V1003" i="4" a="1"/>
  <c r="V1003" i="4" s="1"/>
  <c r="W1003" i="4" a="1"/>
  <c r="W1003" i="4" s="1"/>
  <c r="T1459" i="4" a="1"/>
  <c r="T1459" i="4" s="1"/>
  <c r="U1459" i="4" a="1"/>
  <c r="U1459" i="4" s="1"/>
  <c r="V1459" i="4" a="1"/>
  <c r="V1459" i="4" s="1"/>
  <c r="W1459" i="4" a="1"/>
  <c r="W1459" i="4" s="1"/>
  <c r="T1249" i="4" a="1"/>
  <c r="T1249" i="4" s="1"/>
  <c r="U1249" i="4" a="1"/>
  <c r="U1249" i="4" s="1"/>
  <c r="W1249" i="4" a="1"/>
  <c r="W1249" i="4" s="1"/>
  <c r="V1249" i="4" a="1"/>
  <c r="V1249" i="4" s="1"/>
  <c r="U1033" i="4" a="1"/>
  <c r="U1033" i="4" s="1"/>
  <c r="T1033" i="4" a="1"/>
  <c r="T1033" i="4" s="1"/>
  <c r="W1033" i="4" a="1"/>
  <c r="W1033" i="4" s="1"/>
  <c r="V1033" i="4" a="1"/>
  <c r="V1033" i="4" s="1"/>
  <c r="T1442" i="4" a="1"/>
  <c r="T1442" i="4" s="1"/>
  <c r="V1442" i="4" a="1"/>
  <c r="V1442" i="4" s="1"/>
  <c r="U1442" i="4" a="1"/>
  <c r="U1442" i="4" s="1"/>
  <c r="W1442" i="4" a="1"/>
  <c r="W1442" i="4" s="1"/>
  <c r="T1406" i="4" a="1"/>
  <c r="T1406" i="4" s="1"/>
  <c r="V1406" i="4" a="1"/>
  <c r="V1406" i="4" s="1"/>
  <c r="U1406" i="4" a="1"/>
  <c r="U1406" i="4" s="1"/>
  <c r="W1406" i="4" a="1"/>
  <c r="W1406" i="4" s="1"/>
  <c r="T1370" i="4" a="1"/>
  <c r="T1370" i="4" s="1"/>
  <c r="V1370" i="4" a="1"/>
  <c r="V1370" i="4" s="1"/>
  <c r="U1370" i="4" a="1"/>
  <c r="U1370" i="4" s="1"/>
  <c r="W1370" i="4" a="1"/>
  <c r="W1370" i="4" s="1"/>
  <c r="T1334" i="4" a="1"/>
  <c r="T1334" i="4" s="1"/>
  <c r="V1334" i="4" a="1"/>
  <c r="V1334" i="4" s="1"/>
  <c r="W1334" i="4" a="1"/>
  <c r="W1334" i="4" s="1"/>
  <c r="U1334" i="4" a="1"/>
  <c r="U1334" i="4" s="1"/>
  <c r="T1298" i="4" a="1"/>
  <c r="T1298" i="4" s="1"/>
  <c r="V1298" i="4" a="1"/>
  <c r="V1298" i="4" s="1"/>
  <c r="U1298" i="4" a="1"/>
  <c r="U1298" i="4" s="1"/>
  <c r="W1298" i="4" a="1"/>
  <c r="W1298" i="4" s="1"/>
  <c r="T1262" i="4" a="1"/>
  <c r="T1262" i="4" s="1"/>
  <c r="V1262" i="4" a="1"/>
  <c r="V1262" i="4" s="1"/>
  <c r="W1262" i="4" a="1"/>
  <c r="W1262" i="4" s="1"/>
  <c r="U1262" i="4" a="1"/>
  <c r="U1262" i="4" s="1"/>
  <c r="T1226" i="4" a="1"/>
  <c r="T1226" i="4" s="1"/>
  <c r="V1226" i="4" a="1"/>
  <c r="V1226" i="4" s="1"/>
  <c r="U1226" i="4" a="1"/>
  <c r="U1226" i="4" s="1"/>
  <c r="W1226" i="4" a="1"/>
  <c r="W1226" i="4" s="1"/>
  <c r="T1190" i="4" a="1"/>
  <c r="T1190" i="4" s="1"/>
  <c r="V1190" i="4" a="1"/>
  <c r="V1190" i="4" s="1"/>
  <c r="U1190" i="4" a="1"/>
  <c r="U1190" i="4" s="1"/>
  <c r="W1190" i="4" a="1"/>
  <c r="W1190" i="4" s="1"/>
  <c r="T1154" i="4" a="1"/>
  <c r="T1154" i="4" s="1"/>
  <c r="V1154" i="4" a="1"/>
  <c r="V1154" i="4" s="1"/>
  <c r="W1154" i="4" a="1"/>
  <c r="W1154" i="4" s="1"/>
  <c r="U1154" i="4" a="1"/>
  <c r="U1154" i="4" s="1"/>
  <c r="T1118" i="4" a="1"/>
  <c r="T1118" i="4" s="1"/>
  <c r="V1118" i="4" a="1"/>
  <c r="V1118" i="4" s="1"/>
  <c r="U1118" i="4" a="1"/>
  <c r="U1118" i="4" s="1"/>
  <c r="W1118" i="4" a="1"/>
  <c r="W1118" i="4" s="1"/>
  <c r="T1082" i="4" a="1"/>
  <c r="T1082" i="4" s="1"/>
  <c r="V1082" i="4" a="1"/>
  <c r="V1082" i="4" s="1"/>
  <c r="U1082" i="4" a="1"/>
  <c r="U1082" i="4" s="1"/>
  <c r="W1082" i="4" a="1"/>
  <c r="W1082" i="4" s="1"/>
  <c r="T1046" i="4" a="1"/>
  <c r="T1046" i="4" s="1"/>
  <c r="V1046" i="4" a="1"/>
  <c r="V1046" i="4" s="1"/>
  <c r="W1046" i="4" a="1"/>
  <c r="W1046" i="4" s="1"/>
  <c r="U1046" i="4" a="1"/>
  <c r="U1046" i="4" s="1"/>
  <c r="T1010" i="4" a="1"/>
  <c r="T1010" i="4" s="1"/>
  <c r="U1010" i="4" a="1"/>
  <c r="U1010" i="4" s="1"/>
  <c r="V1010" i="4" a="1"/>
  <c r="V1010" i="4" s="1"/>
  <c r="W1010" i="4" a="1"/>
  <c r="W1010" i="4" s="1"/>
  <c r="T974" i="4" a="1"/>
  <c r="T974" i="4" s="1"/>
  <c r="U974" i="4" a="1"/>
  <c r="U974" i="4" s="1"/>
  <c r="V974" i="4" a="1"/>
  <c r="V974" i="4" s="1"/>
  <c r="W974" i="4" a="1"/>
  <c r="W974" i="4" s="1"/>
  <c r="T938" i="4" a="1"/>
  <c r="T938" i="4" s="1"/>
  <c r="U938" i="4" a="1"/>
  <c r="U938" i="4" s="1"/>
  <c r="V938" i="4" a="1"/>
  <c r="V938" i="4" s="1"/>
  <c r="W938" i="4" a="1"/>
  <c r="W938" i="4" s="1"/>
  <c r="T902" i="4" a="1"/>
  <c r="T902" i="4" s="1"/>
  <c r="U902" i="4" a="1"/>
  <c r="U902" i="4" s="1"/>
  <c r="V902" i="4" a="1"/>
  <c r="V902" i="4" s="1"/>
  <c r="W902" i="4" a="1"/>
  <c r="W902" i="4" s="1"/>
  <c r="T866" i="4" a="1"/>
  <c r="T866" i="4" s="1"/>
  <c r="U866" i="4" a="1"/>
  <c r="U866" i="4" s="1"/>
  <c r="V866" i="4" a="1"/>
  <c r="V866" i="4" s="1"/>
  <c r="W866" i="4" a="1"/>
  <c r="W866" i="4" s="1"/>
  <c r="T830" i="4" a="1"/>
  <c r="T830" i="4" s="1"/>
  <c r="V830" i="4" a="1"/>
  <c r="V830" i="4" s="1"/>
  <c r="U830" i="4" a="1"/>
  <c r="U830" i="4" s="1"/>
  <c r="W830" i="4" a="1"/>
  <c r="W830" i="4" s="1"/>
  <c r="T794" i="4" a="1"/>
  <c r="T794" i="4" s="1"/>
  <c r="V794" i="4" a="1"/>
  <c r="V794" i="4" s="1"/>
  <c r="U794" i="4" a="1"/>
  <c r="U794" i="4" s="1"/>
  <c r="W794" i="4" a="1"/>
  <c r="W794" i="4" s="1"/>
  <c r="T758" i="4" a="1"/>
  <c r="T758" i="4" s="1"/>
  <c r="U758" i="4" a="1"/>
  <c r="U758" i="4" s="1"/>
  <c r="V758" i="4" a="1"/>
  <c r="V758" i="4" s="1"/>
  <c r="W758" i="4" a="1"/>
  <c r="W758" i="4" s="1"/>
  <c r="T722" i="4" a="1"/>
  <c r="T722" i="4" s="1"/>
  <c r="U722" i="4" a="1"/>
  <c r="U722" i="4" s="1"/>
  <c r="V722" i="4" a="1"/>
  <c r="V722" i="4" s="1"/>
  <c r="W722" i="4" a="1"/>
  <c r="W722" i="4" s="1"/>
  <c r="T686" i="4" a="1"/>
  <c r="T686" i="4" s="1"/>
  <c r="U686" i="4" a="1"/>
  <c r="U686" i="4" s="1"/>
  <c r="V686" i="4" a="1"/>
  <c r="V686" i="4" s="1"/>
  <c r="W686" i="4" a="1"/>
  <c r="W686" i="4" s="1"/>
  <c r="T650" i="4" a="1"/>
  <c r="T650" i="4" s="1"/>
  <c r="U650" i="4" a="1"/>
  <c r="U650" i="4" s="1"/>
  <c r="V650" i="4" a="1"/>
  <c r="V650" i="4" s="1"/>
  <c r="W650" i="4" a="1"/>
  <c r="W650" i="4" s="1"/>
  <c r="T614" i="4" a="1"/>
  <c r="T614" i="4" s="1"/>
  <c r="U614" i="4" a="1"/>
  <c r="U614" i="4" s="1"/>
  <c r="V614" i="4" a="1"/>
  <c r="V614" i="4" s="1"/>
  <c r="W614" i="4" a="1"/>
  <c r="W614" i="4" s="1"/>
  <c r="T578" i="4" a="1"/>
  <c r="T578" i="4" s="1"/>
  <c r="U578" i="4" a="1"/>
  <c r="U578" i="4" s="1"/>
  <c r="V578" i="4" a="1"/>
  <c r="V578" i="4" s="1"/>
  <c r="W578" i="4" a="1"/>
  <c r="W578" i="4" s="1"/>
  <c r="T542" i="4" a="1"/>
  <c r="T542" i="4" s="1"/>
  <c r="U542" i="4" a="1"/>
  <c r="U542" i="4" s="1"/>
  <c r="V542" i="4" a="1"/>
  <c r="V542" i="4" s="1"/>
  <c r="W542" i="4" a="1"/>
  <c r="W542" i="4" s="1"/>
  <c r="U506" i="4" a="1"/>
  <c r="U506" i="4" s="1"/>
  <c r="V506" i="4" a="1"/>
  <c r="V506" i="4" s="1"/>
  <c r="W506" i="4" a="1"/>
  <c r="W506" i="4" s="1"/>
  <c r="T506" i="4" a="1"/>
  <c r="T506" i="4" s="1"/>
  <c r="T470" i="4" a="1"/>
  <c r="T470" i="4" s="1"/>
  <c r="U470" i="4" a="1"/>
  <c r="U470" i="4" s="1"/>
  <c r="V470" i="4" a="1"/>
  <c r="V470" i="4" s="1"/>
  <c r="W470" i="4" a="1"/>
  <c r="W470" i="4" s="1"/>
  <c r="T434" i="4" a="1"/>
  <c r="T434" i="4" s="1"/>
  <c r="U434" i="4" a="1"/>
  <c r="U434" i="4" s="1"/>
  <c r="V434" i="4" a="1"/>
  <c r="V434" i="4" s="1"/>
  <c r="W434" i="4" a="1"/>
  <c r="W434" i="4" s="1"/>
  <c r="T385" i="4" a="1"/>
  <c r="T385" i="4" s="1"/>
  <c r="U385" i="4" a="1"/>
  <c r="U385" i="4" s="1"/>
  <c r="V385" i="4" a="1"/>
  <c r="V385" i="4" s="1"/>
  <c r="W385" i="4" a="1"/>
  <c r="W385" i="4" s="1"/>
  <c r="T847" i="4" a="1"/>
  <c r="T847" i="4" s="1"/>
  <c r="V847" i="4" a="1"/>
  <c r="V847" i="4" s="1"/>
  <c r="U847" i="4" a="1"/>
  <c r="U847" i="4" s="1"/>
  <c r="W847" i="4" a="1"/>
  <c r="W847" i="4" s="1"/>
  <c r="T811" i="4" a="1"/>
  <c r="T811" i="4" s="1"/>
  <c r="V811" i="4" a="1"/>
  <c r="V811" i="4" s="1"/>
  <c r="W811" i="4" a="1"/>
  <c r="W811" i="4" s="1"/>
  <c r="U811" i="4" a="1"/>
  <c r="U811" i="4" s="1"/>
  <c r="T775" i="4" a="1"/>
  <c r="T775" i="4" s="1"/>
  <c r="U775" i="4" a="1"/>
  <c r="U775" i="4" s="1"/>
  <c r="V775" i="4" a="1"/>
  <c r="V775" i="4" s="1"/>
  <c r="W775" i="4" a="1"/>
  <c r="W775" i="4" s="1"/>
  <c r="T739" i="4" a="1"/>
  <c r="T739" i="4" s="1"/>
  <c r="U739" i="4" a="1"/>
  <c r="U739" i="4" s="1"/>
  <c r="V739" i="4" a="1"/>
  <c r="V739" i="4" s="1"/>
  <c r="W739" i="4" a="1"/>
  <c r="W739" i="4" s="1"/>
  <c r="T703" i="4" a="1"/>
  <c r="T703" i="4" s="1"/>
  <c r="U703" i="4" a="1"/>
  <c r="U703" i="4" s="1"/>
  <c r="V703" i="4" a="1"/>
  <c r="V703" i="4" s="1"/>
  <c r="W703" i="4" a="1"/>
  <c r="W703" i="4" s="1"/>
  <c r="T667" i="4" a="1"/>
  <c r="T667" i="4" s="1"/>
  <c r="U667" i="4" a="1"/>
  <c r="U667" i="4" s="1"/>
  <c r="V667" i="4" a="1"/>
  <c r="V667" i="4" s="1"/>
  <c r="W667" i="4" a="1"/>
  <c r="W667" i="4" s="1"/>
  <c r="T631" i="4" a="1"/>
  <c r="T631" i="4" s="1"/>
  <c r="U631" i="4" a="1"/>
  <c r="U631" i="4" s="1"/>
  <c r="V631" i="4" a="1"/>
  <c r="V631" i="4" s="1"/>
  <c r="W631" i="4" a="1"/>
  <c r="W631" i="4" s="1"/>
  <c r="T595" i="4" a="1"/>
  <c r="T595" i="4" s="1"/>
  <c r="U595" i="4" a="1"/>
  <c r="U595" i="4" s="1"/>
  <c r="V595" i="4" a="1"/>
  <c r="V595" i="4" s="1"/>
  <c r="W595" i="4" a="1"/>
  <c r="W595" i="4" s="1"/>
  <c r="T559" i="4" a="1"/>
  <c r="T559" i="4" s="1"/>
  <c r="U559" i="4" a="1"/>
  <c r="U559" i="4" s="1"/>
  <c r="V559" i="4" a="1"/>
  <c r="V559" i="4" s="1"/>
  <c r="W559" i="4" a="1"/>
  <c r="W559" i="4" s="1"/>
  <c r="T523" i="4" a="1"/>
  <c r="T523" i="4" s="1"/>
  <c r="U523" i="4" a="1"/>
  <c r="U523" i="4" s="1"/>
  <c r="V523" i="4" a="1"/>
  <c r="V523" i="4" s="1"/>
  <c r="W523" i="4" a="1"/>
  <c r="W523" i="4" s="1"/>
  <c r="T487" i="4" a="1"/>
  <c r="T487" i="4" s="1"/>
  <c r="U487" i="4" a="1"/>
  <c r="U487" i="4" s="1"/>
  <c r="V487" i="4" a="1"/>
  <c r="V487" i="4" s="1"/>
  <c r="W487" i="4" a="1"/>
  <c r="W487" i="4" s="1"/>
  <c r="T451" i="4" a="1"/>
  <c r="T451" i="4" s="1"/>
  <c r="U451" i="4" a="1"/>
  <c r="U451" i="4" s="1"/>
  <c r="V451" i="4" a="1"/>
  <c r="V451" i="4" s="1"/>
  <c r="W451" i="4" a="1"/>
  <c r="W451" i="4" s="1"/>
  <c r="T415" i="4" a="1"/>
  <c r="T415" i="4" s="1"/>
  <c r="U415" i="4" a="1"/>
  <c r="U415" i="4" s="1"/>
  <c r="V415" i="4" a="1"/>
  <c r="V415" i="4" s="1"/>
  <c r="W415" i="4" a="1"/>
  <c r="W415" i="4" s="1"/>
  <c r="T1476" i="4" a="1"/>
  <c r="T1476" i="4" s="1"/>
  <c r="U1476" i="4" a="1"/>
  <c r="U1476" i="4" s="1"/>
  <c r="W1476" i="4" a="1"/>
  <c r="W1476" i="4" s="1"/>
  <c r="V1476" i="4" a="1"/>
  <c r="V1476" i="4" s="1"/>
  <c r="T1440" i="4" a="1"/>
  <c r="T1440" i="4" s="1"/>
  <c r="U1440" i="4" a="1"/>
  <c r="U1440" i="4" s="1"/>
  <c r="V1440" i="4" a="1"/>
  <c r="V1440" i="4" s="1"/>
  <c r="W1440" i="4" a="1"/>
  <c r="W1440" i="4" s="1"/>
  <c r="T1404" i="4" a="1"/>
  <c r="T1404" i="4" s="1"/>
  <c r="U1404" i="4" a="1"/>
  <c r="U1404" i="4" s="1"/>
  <c r="V1404" i="4" a="1"/>
  <c r="V1404" i="4" s="1"/>
  <c r="W1404" i="4" a="1"/>
  <c r="W1404" i="4" s="1"/>
  <c r="T1368" i="4" a="1"/>
  <c r="T1368" i="4" s="1"/>
  <c r="U1368" i="4" a="1"/>
  <c r="U1368" i="4" s="1"/>
  <c r="V1368" i="4" a="1"/>
  <c r="V1368" i="4" s="1"/>
  <c r="W1368" i="4" a="1"/>
  <c r="W1368" i="4" s="1"/>
  <c r="T1332" i="4" a="1"/>
  <c r="T1332" i="4" s="1"/>
  <c r="V1332" i="4" a="1"/>
  <c r="V1332" i="4" s="1"/>
  <c r="U1332" i="4" a="1"/>
  <c r="U1332" i="4" s="1"/>
  <c r="W1332" i="4" a="1"/>
  <c r="W1332" i="4" s="1"/>
  <c r="T1296" i="4" a="1"/>
  <c r="T1296" i="4" s="1"/>
  <c r="U1296" i="4" a="1"/>
  <c r="U1296" i="4" s="1"/>
  <c r="W1296" i="4" a="1"/>
  <c r="W1296" i="4" s="1"/>
  <c r="V1296" i="4" a="1"/>
  <c r="V1296" i="4" s="1"/>
  <c r="T1260" i="4" a="1"/>
  <c r="T1260" i="4" s="1"/>
  <c r="U1260" i="4" a="1"/>
  <c r="U1260" i="4" s="1"/>
  <c r="W1260" i="4" a="1"/>
  <c r="W1260" i="4" s="1"/>
  <c r="V1260" i="4" a="1"/>
  <c r="V1260" i="4" s="1"/>
  <c r="T1224" i="4" a="1"/>
  <c r="T1224" i="4" s="1"/>
  <c r="U1224" i="4" a="1"/>
  <c r="U1224" i="4" s="1"/>
  <c r="W1224" i="4" a="1"/>
  <c r="W1224" i="4" s="1"/>
  <c r="V1224" i="4" a="1"/>
  <c r="V1224" i="4" s="1"/>
  <c r="T1188" i="4" a="1"/>
  <c r="T1188" i="4" s="1"/>
  <c r="U1188" i="4" a="1"/>
  <c r="U1188" i="4" s="1"/>
  <c r="W1188" i="4" a="1"/>
  <c r="W1188" i="4" s="1"/>
  <c r="V1188" i="4" a="1"/>
  <c r="V1188" i="4" s="1"/>
  <c r="T1152" i="4" a="1"/>
  <c r="T1152" i="4" s="1"/>
  <c r="U1152" i="4" a="1"/>
  <c r="U1152" i="4" s="1"/>
  <c r="W1152" i="4" a="1"/>
  <c r="W1152" i="4" s="1"/>
  <c r="V1152" i="4" a="1"/>
  <c r="V1152" i="4" s="1"/>
  <c r="T1116" i="4" a="1"/>
  <c r="T1116" i="4" s="1"/>
  <c r="U1116" i="4" a="1"/>
  <c r="U1116" i="4" s="1"/>
  <c r="W1116" i="4" a="1"/>
  <c r="W1116" i="4" s="1"/>
  <c r="V1116" i="4" a="1"/>
  <c r="V1116" i="4" s="1"/>
  <c r="T1080" i="4" a="1"/>
  <c r="T1080" i="4" s="1"/>
  <c r="U1080" i="4" a="1"/>
  <c r="U1080" i="4" s="1"/>
  <c r="W1080" i="4" a="1"/>
  <c r="W1080" i="4" s="1"/>
  <c r="V1080" i="4" a="1"/>
  <c r="V1080" i="4" s="1"/>
  <c r="T1044" i="4" a="1"/>
  <c r="T1044" i="4" s="1"/>
  <c r="U1044" i="4" a="1"/>
  <c r="U1044" i="4" s="1"/>
  <c r="W1044" i="4" a="1"/>
  <c r="W1044" i="4" s="1"/>
  <c r="V1044" i="4" a="1"/>
  <c r="V1044" i="4" s="1"/>
  <c r="T1008" i="4" a="1"/>
  <c r="T1008" i="4" s="1"/>
  <c r="U1008" i="4" a="1"/>
  <c r="U1008" i="4" s="1"/>
  <c r="W1008" i="4" a="1"/>
  <c r="W1008" i="4" s="1"/>
  <c r="V1008" i="4" a="1"/>
  <c r="V1008" i="4" s="1"/>
  <c r="T972" i="4" a="1"/>
  <c r="T972" i="4" s="1"/>
  <c r="U972" i="4" a="1"/>
  <c r="U972" i="4" s="1"/>
  <c r="W972" i="4" a="1"/>
  <c r="W972" i="4" s="1"/>
  <c r="V972" i="4" a="1"/>
  <c r="V972" i="4" s="1"/>
  <c r="T936" i="4" a="1"/>
  <c r="T936" i="4" s="1"/>
  <c r="U936" i="4" a="1"/>
  <c r="U936" i="4" s="1"/>
  <c r="W936" i="4" a="1"/>
  <c r="W936" i="4" s="1"/>
  <c r="V936" i="4" a="1"/>
  <c r="V936" i="4" s="1"/>
  <c r="T900" i="4" a="1"/>
  <c r="T900" i="4" s="1"/>
  <c r="U900" i="4" a="1"/>
  <c r="U900" i="4" s="1"/>
  <c r="W900" i="4" a="1"/>
  <c r="W900" i="4" s="1"/>
  <c r="V900" i="4" a="1"/>
  <c r="V900" i="4" s="1"/>
  <c r="T864" i="4" a="1"/>
  <c r="T864" i="4" s="1"/>
  <c r="U864" i="4" a="1"/>
  <c r="U864" i="4" s="1"/>
  <c r="W864" i="4" a="1"/>
  <c r="W864" i="4" s="1"/>
  <c r="V864" i="4" a="1"/>
  <c r="V864" i="4" s="1"/>
  <c r="T828" i="4" a="1"/>
  <c r="T828" i="4" s="1"/>
  <c r="U828" i="4" a="1"/>
  <c r="U828" i="4" s="1"/>
  <c r="W828" i="4" a="1"/>
  <c r="W828" i="4" s="1"/>
  <c r="V828" i="4" a="1"/>
  <c r="V828" i="4" s="1"/>
  <c r="T792" i="4" a="1"/>
  <c r="T792" i="4" s="1"/>
  <c r="U792" i="4" a="1"/>
  <c r="U792" i="4" s="1"/>
  <c r="W792" i="4" a="1"/>
  <c r="W792" i="4" s="1"/>
  <c r="V792" i="4" a="1"/>
  <c r="V792" i="4" s="1"/>
  <c r="T756" i="4" a="1"/>
  <c r="T756" i="4" s="1"/>
  <c r="W756" i="4" a="1"/>
  <c r="W756" i="4" s="1"/>
  <c r="U756" i="4" a="1"/>
  <c r="U756" i="4" s="1"/>
  <c r="V756" i="4" a="1"/>
  <c r="V756" i="4" s="1"/>
  <c r="T720" i="4" a="1"/>
  <c r="T720" i="4" s="1"/>
  <c r="W720" i="4" a="1"/>
  <c r="W720" i="4" s="1"/>
  <c r="V720" i="4" a="1"/>
  <c r="V720" i="4" s="1"/>
  <c r="U720" i="4" a="1"/>
  <c r="U720" i="4" s="1"/>
  <c r="T684" i="4" a="1"/>
  <c r="T684" i="4" s="1"/>
  <c r="U684" i="4" a="1"/>
  <c r="U684" i="4" s="1"/>
  <c r="W684" i="4" a="1"/>
  <c r="W684" i="4" s="1"/>
  <c r="V684" i="4" a="1"/>
  <c r="V684" i="4" s="1"/>
  <c r="T648" i="4" a="1"/>
  <c r="T648" i="4" s="1"/>
  <c r="W648" i="4" a="1"/>
  <c r="W648" i="4" s="1"/>
  <c r="U648" i="4" a="1"/>
  <c r="U648" i="4" s="1"/>
  <c r="V648" i="4" a="1"/>
  <c r="V648" i="4" s="1"/>
  <c r="T612" i="4" a="1"/>
  <c r="T612" i="4" s="1"/>
  <c r="W612" i="4" a="1"/>
  <c r="W612" i="4" s="1"/>
  <c r="V612" i="4" a="1"/>
  <c r="V612" i="4" s="1"/>
  <c r="U612" i="4" a="1"/>
  <c r="U612" i="4" s="1"/>
  <c r="T576" i="4" a="1"/>
  <c r="T576" i="4" s="1"/>
  <c r="U576" i="4" a="1"/>
  <c r="U576" i="4" s="1"/>
  <c r="W576" i="4" a="1"/>
  <c r="W576" i="4" s="1"/>
  <c r="V576" i="4" a="1"/>
  <c r="V576" i="4" s="1"/>
  <c r="T540" i="4" a="1"/>
  <c r="T540" i="4" s="1"/>
  <c r="W540" i="4" a="1"/>
  <c r="W540" i="4" s="1"/>
  <c r="U540" i="4" a="1"/>
  <c r="U540" i="4" s="1"/>
  <c r="V540" i="4" a="1"/>
  <c r="V540" i="4" s="1"/>
  <c r="T504" i="4" a="1"/>
  <c r="T504" i="4" s="1"/>
  <c r="W504" i="4" a="1"/>
  <c r="W504" i="4" s="1"/>
  <c r="V504" i="4" a="1"/>
  <c r="V504" i="4" s="1"/>
  <c r="U504" i="4" a="1"/>
  <c r="U504" i="4" s="1"/>
  <c r="T468" i="4" a="1"/>
  <c r="T468" i="4" s="1"/>
  <c r="U468" i="4" a="1"/>
  <c r="U468" i="4" s="1"/>
  <c r="W468" i="4" a="1"/>
  <c r="W468" i="4" s="1"/>
  <c r="V468" i="4" a="1"/>
  <c r="V468" i="4" s="1"/>
  <c r="T432" i="4" a="1"/>
  <c r="T432" i="4" s="1"/>
  <c r="W432" i="4" a="1"/>
  <c r="W432" i="4" s="1"/>
  <c r="U432" i="4" a="1"/>
  <c r="U432" i="4" s="1"/>
  <c r="V432" i="4" a="1"/>
  <c r="V432" i="4" s="1"/>
  <c r="T1499" i="4" a="1"/>
  <c r="T1499" i="4" s="1"/>
  <c r="U1499" i="4" a="1"/>
  <c r="U1499" i="4" s="1"/>
  <c r="V1499" i="4" a="1"/>
  <c r="V1499" i="4" s="1"/>
  <c r="W1499" i="4" a="1"/>
  <c r="W1499" i="4" s="1"/>
  <c r="T1463" i="4" a="1"/>
  <c r="T1463" i="4" s="1"/>
  <c r="V1463" i="4" a="1"/>
  <c r="V1463" i="4" s="1"/>
  <c r="U1463" i="4" a="1"/>
  <c r="U1463" i="4" s="1"/>
  <c r="W1463" i="4" a="1"/>
  <c r="W1463" i="4" s="1"/>
  <c r="T1427" i="4" a="1"/>
  <c r="T1427" i="4" s="1"/>
  <c r="U1427" i="4" a="1"/>
  <c r="U1427" i="4" s="1"/>
  <c r="V1427" i="4" a="1"/>
  <c r="V1427" i="4" s="1"/>
  <c r="W1427" i="4" a="1"/>
  <c r="W1427" i="4" s="1"/>
  <c r="T1391" i="4" a="1"/>
  <c r="T1391" i="4" s="1"/>
  <c r="U1391" i="4" a="1"/>
  <c r="U1391" i="4" s="1"/>
  <c r="V1391" i="4" a="1"/>
  <c r="V1391" i="4" s="1"/>
  <c r="W1391" i="4" a="1"/>
  <c r="W1391" i="4" s="1"/>
  <c r="T1355" i="4" a="1"/>
  <c r="T1355" i="4" s="1"/>
  <c r="U1355" i="4" a="1"/>
  <c r="U1355" i="4" s="1"/>
  <c r="W1355" i="4" a="1"/>
  <c r="W1355" i="4" s="1"/>
  <c r="V1355" i="4" a="1"/>
  <c r="V1355" i="4" s="1"/>
  <c r="T1319" i="4" a="1"/>
  <c r="T1319" i="4" s="1"/>
  <c r="U1319" i="4" a="1"/>
  <c r="U1319" i="4" s="1"/>
  <c r="V1319" i="4" a="1"/>
  <c r="V1319" i="4" s="1"/>
  <c r="W1319" i="4" a="1"/>
  <c r="W1319" i="4" s="1"/>
  <c r="T1283" i="4" a="1"/>
  <c r="T1283" i="4" s="1"/>
  <c r="V1283" i="4" a="1"/>
  <c r="V1283" i="4" s="1"/>
  <c r="U1283" i="4" a="1"/>
  <c r="U1283" i="4" s="1"/>
  <c r="W1283" i="4" a="1"/>
  <c r="W1283" i="4" s="1"/>
  <c r="T1247" i="4" a="1"/>
  <c r="T1247" i="4" s="1"/>
  <c r="V1247" i="4" a="1"/>
  <c r="V1247" i="4" s="1"/>
  <c r="U1247" i="4" a="1"/>
  <c r="U1247" i="4" s="1"/>
  <c r="W1247" i="4" a="1"/>
  <c r="W1247" i="4" s="1"/>
  <c r="T1211" i="4" a="1"/>
  <c r="T1211" i="4" s="1"/>
  <c r="V1211" i="4" a="1"/>
  <c r="V1211" i="4" s="1"/>
  <c r="U1211" i="4" a="1"/>
  <c r="U1211" i="4" s="1"/>
  <c r="W1211" i="4" a="1"/>
  <c r="W1211" i="4" s="1"/>
  <c r="T1175" i="4" a="1"/>
  <c r="T1175" i="4" s="1"/>
  <c r="V1175" i="4" a="1"/>
  <c r="V1175" i="4" s="1"/>
  <c r="U1175" i="4" a="1"/>
  <c r="U1175" i="4" s="1"/>
  <c r="W1175" i="4" a="1"/>
  <c r="W1175" i="4" s="1"/>
  <c r="T1139" i="4" a="1"/>
  <c r="T1139" i="4" s="1"/>
  <c r="V1139" i="4" a="1"/>
  <c r="V1139" i="4" s="1"/>
  <c r="U1139" i="4" a="1"/>
  <c r="U1139" i="4" s="1"/>
  <c r="W1139" i="4" a="1"/>
  <c r="W1139" i="4" s="1"/>
  <c r="T1103" i="4" a="1"/>
  <c r="T1103" i="4" s="1"/>
  <c r="V1103" i="4" a="1"/>
  <c r="V1103" i="4" s="1"/>
  <c r="U1103" i="4" a="1"/>
  <c r="U1103" i="4" s="1"/>
  <c r="W1103" i="4" a="1"/>
  <c r="W1103" i="4" s="1"/>
  <c r="T1067" i="4" a="1"/>
  <c r="T1067" i="4" s="1"/>
  <c r="V1067" i="4" a="1"/>
  <c r="V1067" i="4" s="1"/>
  <c r="U1067" i="4" a="1"/>
  <c r="U1067" i="4" s="1"/>
  <c r="W1067" i="4" a="1"/>
  <c r="W1067" i="4" s="1"/>
  <c r="T1031" i="4" a="1"/>
  <c r="T1031" i="4" s="1"/>
  <c r="V1031" i="4" a="1"/>
  <c r="V1031" i="4" s="1"/>
  <c r="U1031" i="4" a="1"/>
  <c r="U1031" i="4" s="1"/>
  <c r="W1031" i="4" a="1"/>
  <c r="W1031" i="4" s="1"/>
  <c r="T995" i="4" a="1"/>
  <c r="T995" i="4" s="1"/>
  <c r="U995" i="4" a="1"/>
  <c r="U995" i="4" s="1"/>
  <c r="V995" i="4" a="1"/>
  <c r="V995" i="4" s="1"/>
  <c r="W995" i="4" a="1"/>
  <c r="W995" i="4" s="1"/>
  <c r="T959" i="4" a="1"/>
  <c r="T959" i="4" s="1"/>
  <c r="V959" i="4" a="1"/>
  <c r="V959" i="4" s="1"/>
  <c r="U959" i="4" a="1"/>
  <c r="U959" i="4" s="1"/>
  <c r="W959" i="4" a="1"/>
  <c r="W959" i="4" s="1"/>
  <c r="T923" i="4" a="1"/>
  <c r="T923" i="4" s="1"/>
  <c r="V923" i="4" a="1"/>
  <c r="V923" i="4" s="1"/>
  <c r="U923" i="4" a="1"/>
  <c r="U923" i="4" s="1"/>
  <c r="W923" i="4" a="1"/>
  <c r="W923" i="4" s="1"/>
  <c r="T887" i="4" a="1"/>
  <c r="T887" i="4" s="1"/>
  <c r="U887" i="4" a="1"/>
  <c r="U887" i="4" s="1"/>
  <c r="V887" i="4" a="1"/>
  <c r="V887" i="4" s="1"/>
  <c r="W887" i="4" a="1"/>
  <c r="W887" i="4" s="1"/>
  <c r="T851" i="4" a="1"/>
  <c r="T851" i="4" s="1"/>
  <c r="V851" i="4" a="1"/>
  <c r="V851" i="4" s="1"/>
  <c r="U851" i="4" a="1"/>
  <c r="U851" i="4" s="1"/>
  <c r="W851" i="4" a="1"/>
  <c r="W851" i="4" s="1"/>
  <c r="T815" i="4" a="1"/>
  <c r="T815" i="4" s="1"/>
  <c r="U815" i="4" a="1"/>
  <c r="U815" i="4" s="1"/>
  <c r="V815" i="4" a="1"/>
  <c r="V815" i="4" s="1"/>
  <c r="W815" i="4" a="1"/>
  <c r="W815" i="4" s="1"/>
  <c r="T779" i="4" a="1"/>
  <c r="T779" i="4" s="1"/>
  <c r="U779" i="4" a="1"/>
  <c r="U779" i="4" s="1"/>
  <c r="V779" i="4" a="1"/>
  <c r="V779" i="4" s="1"/>
  <c r="W779" i="4" a="1"/>
  <c r="W779" i="4" s="1"/>
  <c r="T743" i="4" a="1"/>
  <c r="T743" i="4" s="1"/>
  <c r="U743" i="4" a="1"/>
  <c r="U743" i="4" s="1"/>
  <c r="V743" i="4" a="1"/>
  <c r="V743" i="4" s="1"/>
  <c r="W743" i="4" a="1"/>
  <c r="W743" i="4" s="1"/>
  <c r="T707" i="4" a="1"/>
  <c r="T707" i="4" s="1"/>
  <c r="U707" i="4" a="1"/>
  <c r="U707" i="4" s="1"/>
  <c r="V707" i="4" a="1"/>
  <c r="V707" i="4" s="1"/>
  <c r="W707" i="4" a="1"/>
  <c r="W707" i="4" s="1"/>
  <c r="T671" i="4" a="1"/>
  <c r="T671" i="4" s="1"/>
  <c r="U671" i="4" a="1"/>
  <c r="U671" i="4" s="1"/>
  <c r="V671" i="4" a="1"/>
  <c r="V671" i="4" s="1"/>
  <c r="W671" i="4" a="1"/>
  <c r="W671" i="4" s="1"/>
  <c r="T635" i="4" a="1"/>
  <c r="T635" i="4" s="1"/>
  <c r="U635" i="4" a="1"/>
  <c r="U635" i="4" s="1"/>
  <c r="V635" i="4" a="1"/>
  <c r="V635" i="4" s="1"/>
  <c r="W635" i="4" a="1"/>
  <c r="W635" i="4" s="1"/>
  <c r="T599" i="4" a="1"/>
  <c r="T599" i="4" s="1"/>
  <c r="U599" i="4" a="1"/>
  <c r="U599" i="4" s="1"/>
  <c r="V599" i="4" a="1"/>
  <c r="V599" i="4" s="1"/>
  <c r="W599" i="4" a="1"/>
  <c r="W599" i="4" s="1"/>
  <c r="T563" i="4" a="1"/>
  <c r="T563" i="4" s="1"/>
  <c r="U563" i="4" a="1"/>
  <c r="U563" i="4" s="1"/>
  <c r="V563" i="4" a="1"/>
  <c r="V563" i="4" s="1"/>
  <c r="W563" i="4" a="1"/>
  <c r="W563" i="4" s="1"/>
  <c r="T527" i="4" a="1"/>
  <c r="T527" i="4" s="1"/>
  <c r="U527" i="4" a="1"/>
  <c r="U527" i="4" s="1"/>
  <c r="V527" i="4" a="1"/>
  <c r="V527" i="4" s="1"/>
  <c r="W527" i="4" a="1"/>
  <c r="W527" i="4" s="1"/>
  <c r="T491" i="4" a="1"/>
  <c r="T491" i="4" s="1"/>
  <c r="U491" i="4" a="1"/>
  <c r="U491" i="4" s="1"/>
  <c r="V491" i="4" a="1"/>
  <c r="V491" i="4" s="1"/>
  <c r="W491" i="4" a="1"/>
  <c r="W491" i="4" s="1"/>
  <c r="T455" i="4" a="1"/>
  <c r="T455" i="4" s="1"/>
  <c r="U455" i="4" a="1"/>
  <c r="U455" i="4" s="1"/>
  <c r="V455" i="4" a="1"/>
  <c r="V455" i="4" s="1"/>
  <c r="W455" i="4" a="1"/>
  <c r="W455" i="4" s="1"/>
  <c r="T419" i="4" a="1"/>
  <c r="T419" i="4" s="1"/>
  <c r="U419" i="4" a="1"/>
  <c r="U419" i="4" s="1"/>
  <c r="V419" i="4" a="1"/>
  <c r="V419" i="4" s="1"/>
  <c r="W419" i="4" a="1"/>
  <c r="W419" i="4" s="1"/>
  <c r="T1486" i="4" a="1"/>
  <c r="T1486" i="4" s="1"/>
  <c r="V1486" i="4" a="1"/>
  <c r="V1486" i="4" s="1"/>
  <c r="U1486" i="4" a="1"/>
  <c r="U1486" i="4" s="1"/>
  <c r="W1486" i="4" a="1"/>
  <c r="W1486" i="4" s="1"/>
  <c r="U1450" i="4" a="1"/>
  <c r="U1450" i="4" s="1"/>
  <c r="V1450" i="4" a="1"/>
  <c r="V1450" i="4" s="1"/>
  <c r="T1450" i="4" a="1"/>
  <c r="T1450" i="4" s="1"/>
  <c r="W1450" i="4" a="1"/>
  <c r="W1450" i="4" s="1"/>
  <c r="T1414" i="4" a="1"/>
  <c r="T1414" i="4" s="1"/>
  <c r="U1414" i="4" a="1"/>
  <c r="U1414" i="4" s="1"/>
  <c r="W1414" i="4" a="1"/>
  <c r="W1414" i="4" s="1"/>
  <c r="V1414" i="4" a="1"/>
  <c r="V1414" i="4" s="1"/>
  <c r="T1378" i="4" a="1"/>
  <c r="T1378" i="4" s="1"/>
  <c r="U1378" i="4" a="1"/>
  <c r="U1378" i="4" s="1"/>
  <c r="W1378" i="4" a="1"/>
  <c r="W1378" i="4" s="1"/>
  <c r="V1378" i="4" a="1"/>
  <c r="V1378" i="4" s="1"/>
  <c r="U1342" i="4" a="1"/>
  <c r="U1342" i="4" s="1"/>
  <c r="T1342" i="4" a="1"/>
  <c r="T1342" i="4" s="1"/>
  <c r="W1342" i="4" a="1"/>
  <c r="W1342" i="4" s="1"/>
  <c r="V1342" i="4" a="1"/>
  <c r="V1342" i="4" s="1"/>
  <c r="T1306" i="4" a="1"/>
  <c r="T1306" i="4" s="1"/>
  <c r="U1306" i="4" a="1"/>
  <c r="U1306" i="4" s="1"/>
  <c r="V1306" i="4" a="1"/>
  <c r="V1306" i="4" s="1"/>
  <c r="W1306" i="4" a="1"/>
  <c r="W1306" i="4" s="1"/>
  <c r="T1270" i="4" a="1"/>
  <c r="T1270" i="4" s="1"/>
  <c r="U1270" i="4" a="1"/>
  <c r="U1270" i="4" s="1"/>
  <c r="V1270" i="4" a="1"/>
  <c r="V1270" i="4" s="1"/>
  <c r="W1270" i="4" a="1"/>
  <c r="W1270" i="4" s="1"/>
  <c r="U1234" i="4" a="1"/>
  <c r="U1234" i="4" s="1"/>
  <c r="T1234" i="4" a="1"/>
  <c r="T1234" i="4" s="1"/>
  <c r="V1234" i="4" a="1"/>
  <c r="V1234" i="4" s="1"/>
  <c r="W1234" i="4" a="1"/>
  <c r="W1234" i="4" s="1"/>
  <c r="T1198" i="4" a="1"/>
  <c r="T1198" i="4" s="1"/>
  <c r="U1198" i="4" a="1"/>
  <c r="U1198" i="4" s="1"/>
  <c r="W1198" i="4" a="1"/>
  <c r="W1198" i="4" s="1"/>
  <c r="V1198" i="4" a="1"/>
  <c r="V1198" i="4" s="1"/>
  <c r="T1162" i="4" a="1"/>
  <c r="T1162" i="4" s="1"/>
  <c r="U1162" i="4" a="1"/>
  <c r="U1162" i="4" s="1"/>
  <c r="V1162" i="4" a="1"/>
  <c r="V1162" i="4" s="1"/>
  <c r="W1162" i="4" a="1"/>
  <c r="W1162" i="4" s="1"/>
  <c r="T1126" i="4" a="1"/>
  <c r="T1126" i="4" s="1"/>
  <c r="U1126" i="4" a="1"/>
  <c r="U1126" i="4" s="1"/>
  <c r="V1126" i="4" a="1"/>
  <c r="V1126" i="4" s="1"/>
  <c r="W1126" i="4" a="1"/>
  <c r="W1126" i="4" s="1"/>
  <c r="U1090" i="4" a="1"/>
  <c r="U1090" i="4" s="1"/>
  <c r="T1090" i="4" a="1"/>
  <c r="T1090" i="4" s="1"/>
  <c r="W1090" i="4" a="1"/>
  <c r="W1090" i="4" s="1"/>
  <c r="V1090" i="4" a="1"/>
  <c r="V1090" i="4" s="1"/>
  <c r="T1054" i="4" a="1"/>
  <c r="T1054" i="4" s="1"/>
  <c r="U1054" i="4" a="1"/>
  <c r="U1054" i="4" s="1"/>
  <c r="V1054" i="4" a="1"/>
  <c r="V1054" i="4" s="1"/>
  <c r="W1054" i="4" a="1"/>
  <c r="W1054" i="4" s="1"/>
  <c r="T1018" i="4" a="1"/>
  <c r="T1018" i="4" s="1"/>
  <c r="U1018" i="4" a="1"/>
  <c r="U1018" i="4" s="1"/>
  <c r="V1018" i="4" a="1"/>
  <c r="V1018" i="4" s="1"/>
  <c r="W1018" i="4" a="1"/>
  <c r="W1018" i="4" s="1"/>
  <c r="T982" i="4" a="1"/>
  <c r="T982" i="4" s="1"/>
  <c r="U982" i="4" a="1"/>
  <c r="U982" i="4" s="1"/>
  <c r="W982" i="4" a="1"/>
  <c r="W982" i="4" s="1"/>
  <c r="V982" i="4" a="1"/>
  <c r="V982" i="4" s="1"/>
  <c r="T946" i="4" a="1"/>
  <c r="T946" i="4" s="1"/>
  <c r="U946" i="4" a="1"/>
  <c r="U946" i="4" s="1"/>
  <c r="V946" i="4" a="1"/>
  <c r="V946" i="4" s="1"/>
  <c r="W946" i="4" a="1"/>
  <c r="W946" i="4" s="1"/>
  <c r="T910" i="4" a="1"/>
  <c r="T910" i="4" s="1"/>
  <c r="U910" i="4" a="1"/>
  <c r="U910" i="4" s="1"/>
  <c r="V910" i="4" a="1"/>
  <c r="V910" i="4" s="1"/>
  <c r="W910" i="4" a="1"/>
  <c r="W910" i="4" s="1"/>
  <c r="T874" i="4" a="1"/>
  <c r="T874" i="4" s="1"/>
  <c r="U874" i="4" a="1"/>
  <c r="U874" i="4" s="1"/>
  <c r="W874" i="4" a="1"/>
  <c r="W874" i="4" s="1"/>
  <c r="V874" i="4" a="1"/>
  <c r="V874" i="4" s="1"/>
  <c r="T838" i="4" a="1"/>
  <c r="T838" i="4" s="1"/>
  <c r="V838" i="4" a="1"/>
  <c r="V838" i="4" s="1"/>
  <c r="U838" i="4" a="1"/>
  <c r="U838" i="4" s="1"/>
  <c r="W838" i="4" a="1"/>
  <c r="W838" i="4" s="1"/>
  <c r="T802" i="4" a="1"/>
  <c r="T802" i="4" s="1"/>
  <c r="U802" i="4" a="1"/>
  <c r="U802" i="4" s="1"/>
  <c r="V802" i="4" a="1"/>
  <c r="V802" i="4" s="1"/>
  <c r="W802" i="4" a="1"/>
  <c r="W802" i="4" s="1"/>
  <c r="T766" i="4" a="1"/>
  <c r="T766" i="4" s="1"/>
  <c r="V766" i="4" a="1"/>
  <c r="V766" i="4" s="1"/>
  <c r="U766" i="4" a="1"/>
  <c r="U766" i="4" s="1"/>
  <c r="W766" i="4" a="1"/>
  <c r="W766" i="4" s="1"/>
  <c r="T730" i="4" a="1"/>
  <c r="T730" i="4" s="1"/>
  <c r="V730" i="4" a="1"/>
  <c r="V730" i="4" s="1"/>
  <c r="U730" i="4" a="1"/>
  <c r="U730" i="4" s="1"/>
  <c r="W730" i="4" a="1"/>
  <c r="W730" i="4" s="1"/>
  <c r="T694" i="4" a="1"/>
  <c r="T694" i="4" s="1"/>
  <c r="V694" i="4" a="1"/>
  <c r="V694" i="4" s="1"/>
  <c r="U694" i="4" a="1"/>
  <c r="U694" i="4" s="1"/>
  <c r="W694" i="4" a="1"/>
  <c r="W694" i="4" s="1"/>
  <c r="T658" i="4" a="1"/>
  <c r="T658" i="4" s="1"/>
  <c r="V658" i="4" a="1"/>
  <c r="V658" i="4" s="1"/>
  <c r="U658" i="4" a="1"/>
  <c r="U658" i="4" s="1"/>
  <c r="W658" i="4" a="1"/>
  <c r="W658" i="4" s="1"/>
  <c r="T622" i="4" a="1"/>
  <c r="T622" i="4" s="1"/>
  <c r="V622" i="4" a="1"/>
  <c r="V622" i="4" s="1"/>
  <c r="U622" i="4" a="1"/>
  <c r="U622" i="4" s="1"/>
  <c r="W622" i="4" a="1"/>
  <c r="W622" i="4" s="1"/>
  <c r="T586" i="4" a="1"/>
  <c r="T586" i="4" s="1"/>
  <c r="V586" i="4" a="1"/>
  <c r="V586" i="4" s="1"/>
  <c r="U586" i="4" a="1"/>
  <c r="U586" i="4" s="1"/>
  <c r="W586" i="4" a="1"/>
  <c r="W586" i="4" s="1"/>
  <c r="T550" i="4" a="1"/>
  <c r="T550" i="4" s="1"/>
  <c r="V550" i="4" a="1"/>
  <c r="V550" i="4" s="1"/>
  <c r="U550" i="4" a="1"/>
  <c r="U550" i="4" s="1"/>
  <c r="W550" i="4" a="1"/>
  <c r="W550" i="4" s="1"/>
  <c r="T514" i="4" a="1"/>
  <c r="T514" i="4" s="1"/>
  <c r="V514" i="4" a="1"/>
  <c r="V514" i="4" s="1"/>
  <c r="U514" i="4" a="1"/>
  <c r="U514" i="4" s="1"/>
  <c r="W514" i="4" a="1"/>
  <c r="W514" i="4" s="1"/>
  <c r="T478" i="4" a="1"/>
  <c r="T478" i="4" s="1"/>
  <c r="V478" i="4" a="1"/>
  <c r="V478" i="4" s="1"/>
  <c r="U478" i="4" a="1"/>
  <c r="U478" i="4" s="1"/>
  <c r="W478" i="4" a="1"/>
  <c r="W478" i="4" s="1"/>
  <c r="T442" i="4" a="1"/>
  <c r="T442" i="4" s="1"/>
  <c r="V442" i="4" a="1"/>
  <c r="V442" i="4" s="1"/>
  <c r="U442" i="4" a="1"/>
  <c r="U442" i="4" s="1"/>
  <c r="W442" i="4" a="1"/>
  <c r="W442" i="4" s="1"/>
  <c r="T404" i="4" a="1"/>
  <c r="T404" i="4" s="1"/>
  <c r="V404" i="4" a="1"/>
  <c r="V404" i="4" s="1"/>
  <c r="U404" i="4" a="1"/>
  <c r="U404" i="4" s="1"/>
  <c r="W404" i="4" a="1"/>
  <c r="W404" i="4" s="1"/>
  <c r="T1473" i="4" a="1"/>
  <c r="T1473" i="4" s="1"/>
  <c r="U1473" i="4" a="1"/>
  <c r="U1473" i="4" s="1"/>
  <c r="V1473" i="4" a="1"/>
  <c r="V1473" i="4" s="1"/>
  <c r="W1473" i="4" a="1"/>
  <c r="W1473" i="4" s="1"/>
  <c r="T1437" i="4" a="1"/>
  <c r="T1437" i="4" s="1"/>
  <c r="U1437" i="4" a="1"/>
  <c r="U1437" i="4" s="1"/>
  <c r="W1437" i="4" a="1"/>
  <c r="W1437" i="4" s="1"/>
  <c r="V1437" i="4" a="1"/>
  <c r="V1437" i="4" s="1"/>
  <c r="T1401" i="4" a="1"/>
  <c r="T1401" i="4" s="1"/>
  <c r="V1401" i="4" a="1"/>
  <c r="V1401" i="4" s="1"/>
  <c r="U1401" i="4" a="1"/>
  <c r="U1401" i="4" s="1"/>
  <c r="W1401" i="4" a="1"/>
  <c r="W1401" i="4" s="1"/>
  <c r="T1365" i="4" a="1"/>
  <c r="T1365" i="4" s="1"/>
  <c r="U1365" i="4" a="1"/>
  <c r="U1365" i="4" s="1"/>
  <c r="V1365" i="4" a="1"/>
  <c r="V1365" i="4" s="1"/>
  <c r="W1365" i="4" a="1"/>
  <c r="W1365" i="4" s="1"/>
  <c r="T1329" i="4" a="1"/>
  <c r="T1329" i="4" s="1"/>
  <c r="V1329" i="4" a="1"/>
  <c r="V1329" i="4" s="1"/>
  <c r="U1329" i="4" a="1"/>
  <c r="U1329" i="4" s="1"/>
  <c r="W1329" i="4" a="1"/>
  <c r="W1329" i="4" s="1"/>
  <c r="T1293" i="4" a="1"/>
  <c r="T1293" i="4" s="1"/>
  <c r="U1293" i="4" a="1"/>
  <c r="U1293" i="4" s="1"/>
  <c r="V1293" i="4" a="1"/>
  <c r="V1293" i="4" s="1"/>
  <c r="W1293" i="4" a="1"/>
  <c r="W1293" i="4" s="1"/>
  <c r="T1257" i="4" a="1"/>
  <c r="T1257" i="4" s="1"/>
  <c r="U1257" i="4" a="1"/>
  <c r="U1257" i="4" s="1"/>
  <c r="V1257" i="4" a="1"/>
  <c r="V1257" i="4" s="1"/>
  <c r="W1257" i="4" a="1"/>
  <c r="W1257" i="4" s="1"/>
  <c r="T1221" i="4" a="1"/>
  <c r="T1221" i="4" s="1"/>
  <c r="U1221" i="4" a="1"/>
  <c r="U1221" i="4" s="1"/>
  <c r="V1221" i="4" a="1"/>
  <c r="V1221" i="4" s="1"/>
  <c r="W1221" i="4" a="1"/>
  <c r="W1221" i="4" s="1"/>
  <c r="T1185" i="4" a="1"/>
  <c r="T1185" i="4" s="1"/>
  <c r="U1185" i="4" a="1"/>
  <c r="U1185" i="4" s="1"/>
  <c r="V1185" i="4" a="1"/>
  <c r="V1185" i="4" s="1"/>
  <c r="W1185" i="4" a="1"/>
  <c r="W1185" i="4" s="1"/>
  <c r="T1149" i="4" a="1"/>
  <c r="T1149" i="4" s="1"/>
  <c r="U1149" i="4" a="1"/>
  <c r="U1149" i="4" s="1"/>
  <c r="V1149" i="4" a="1"/>
  <c r="V1149" i="4" s="1"/>
  <c r="W1149" i="4" a="1"/>
  <c r="W1149" i="4" s="1"/>
  <c r="T1113" i="4" a="1"/>
  <c r="T1113" i="4" s="1"/>
  <c r="U1113" i="4" a="1"/>
  <c r="U1113" i="4" s="1"/>
  <c r="V1113" i="4" a="1"/>
  <c r="V1113" i="4" s="1"/>
  <c r="W1113" i="4" a="1"/>
  <c r="W1113" i="4" s="1"/>
  <c r="T1077" i="4" a="1"/>
  <c r="T1077" i="4" s="1"/>
  <c r="U1077" i="4" a="1"/>
  <c r="U1077" i="4" s="1"/>
  <c r="V1077" i="4" a="1"/>
  <c r="V1077" i="4" s="1"/>
  <c r="W1077" i="4" a="1"/>
  <c r="W1077" i="4" s="1"/>
  <c r="T1041" i="4" a="1"/>
  <c r="T1041" i="4" s="1"/>
  <c r="U1041" i="4" a="1"/>
  <c r="U1041" i="4" s="1"/>
  <c r="V1041" i="4" a="1"/>
  <c r="V1041" i="4" s="1"/>
  <c r="W1041" i="4" a="1"/>
  <c r="W1041" i="4" s="1"/>
  <c r="T1005" i="4" a="1"/>
  <c r="T1005" i="4" s="1"/>
  <c r="U1005" i="4" a="1"/>
  <c r="U1005" i="4" s="1"/>
  <c r="V1005" i="4" a="1"/>
  <c r="V1005" i="4" s="1"/>
  <c r="W1005" i="4" a="1"/>
  <c r="W1005" i="4" s="1"/>
  <c r="T969" i="4" a="1"/>
  <c r="T969" i="4" s="1"/>
  <c r="U969" i="4" a="1"/>
  <c r="U969" i="4" s="1"/>
  <c r="V969" i="4" a="1"/>
  <c r="V969" i="4" s="1"/>
  <c r="W969" i="4" a="1"/>
  <c r="W969" i="4" s="1"/>
  <c r="T933" i="4" a="1"/>
  <c r="T933" i="4" s="1"/>
  <c r="V933" i="4" a="1"/>
  <c r="V933" i="4" s="1"/>
  <c r="U933" i="4" a="1"/>
  <c r="U933" i="4" s="1"/>
  <c r="W933" i="4" a="1"/>
  <c r="W933" i="4" s="1"/>
  <c r="T897" i="4" a="1"/>
  <c r="T897" i="4" s="1"/>
  <c r="U897" i="4" a="1"/>
  <c r="U897" i="4" s="1"/>
  <c r="V897" i="4" a="1"/>
  <c r="V897" i="4" s="1"/>
  <c r="W897" i="4" a="1"/>
  <c r="W897" i="4" s="1"/>
  <c r="T861" i="4" a="1"/>
  <c r="T861" i="4" s="1"/>
  <c r="U861" i="4" a="1"/>
  <c r="U861" i="4" s="1"/>
  <c r="V861" i="4" a="1"/>
  <c r="V861" i="4" s="1"/>
  <c r="W861" i="4" a="1"/>
  <c r="W861" i="4" s="1"/>
  <c r="T825" i="4" a="1"/>
  <c r="T825" i="4" s="1"/>
  <c r="V825" i="4" a="1"/>
  <c r="V825" i="4" s="1"/>
  <c r="U825" i="4" a="1"/>
  <c r="U825" i="4" s="1"/>
  <c r="W825" i="4" a="1"/>
  <c r="W825" i="4" s="1"/>
  <c r="T789" i="4" a="1"/>
  <c r="T789" i="4" s="1"/>
  <c r="V789" i="4" a="1"/>
  <c r="V789" i="4" s="1"/>
  <c r="U789" i="4" a="1"/>
  <c r="U789" i="4" s="1"/>
  <c r="W789" i="4" a="1"/>
  <c r="W789" i="4" s="1"/>
  <c r="T753" i="4" a="1"/>
  <c r="T753" i="4" s="1"/>
  <c r="V753" i="4" a="1"/>
  <c r="V753" i="4" s="1"/>
  <c r="U753" i="4" a="1"/>
  <c r="U753" i="4" s="1"/>
  <c r="W753" i="4" a="1"/>
  <c r="W753" i="4" s="1"/>
  <c r="T717" i="4" a="1"/>
  <c r="T717" i="4" s="1"/>
  <c r="V717" i="4" a="1"/>
  <c r="V717" i="4" s="1"/>
  <c r="U717" i="4" a="1"/>
  <c r="U717" i="4" s="1"/>
  <c r="W717" i="4" a="1"/>
  <c r="W717" i="4" s="1"/>
  <c r="T681" i="4" a="1"/>
  <c r="T681" i="4" s="1"/>
  <c r="V681" i="4" a="1"/>
  <c r="V681" i="4" s="1"/>
  <c r="U681" i="4" a="1"/>
  <c r="U681" i="4" s="1"/>
  <c r="W681" i="4" a="1"/>
  <c r="W681" i="4" s="1"/>
  <c r="T645" i="4" a="1"/>
  <c r="T645" i="4" s="1"/>
  <c r="V645" i="4" a="1"/>
  <c r="V645" i="4" s="1"/>
  <c r="U645" i="4" a="1"/>
  <c r="U645" i="4" s="1"/>
  <c r="W645" i="4" a="1"/>
  <c r="W645" i="4" s="1"/>
  <c r="T609" i="4" a="1"/>
  <c r="T609" i="4" s="1"/>
  <c r="V609" i="4" a="1"/>
  <c r="V609" i="4" s="1"/>
  <c r="U609" i="4" a="1"/>
  <c r="U609" i="4" s="1"/>
  <c r="W609" i="4" a="1"/>
  <c r="W609" i="4" s="1"/>
  <c r="T573" i="4" a="1"/>
  <c r="T573" i="4" s="1"/>
  <c r="V573" i="4" a="1"/>
  <c r="V573" i="4" s="1"/>
  <c r="U573" i="4" a="1"/>
  <c r="U573" i="4" s="1"/>
  <c r="W573" i="4" a="1"/>
  <c r="W573" i="4" s="1"/>
  <c r="T537" i="4" a="1"/>
  <c r="T537" i="4" s="1"/>
  <c r="V537" i="4" a="1"/>
  <c r="V537" i="4" s="1"/>
  <c r="U537" i="4" a="1"/>
  <c r="U537" i="4" s="1"/>
  <c r="W537" i="4" a="1"/>
  <c r="W537" i="4" s="1"/>
  <c r="T501" i="4" a="1"/>
  <c r="T501" i="4" s="1"/>
  <c r="V501" i="4" a="1"/>
  <c r="V501" i="4" s="1"/>
  <c r="U501" i="4" a="1"/>
  <c r="U501" i="4" s="1"/>
  <c r="W501" i="4" a="1"/>
  <c r="W501" i="4" s="1"/>
  <c r="T465" i="4" a="1"/>
  <c r="T465" i="4" s="1"/>
  <c r="V465" i="4" a="1"/>
  <c r="V465" i="4" s="1"/>
  <c r="U465" i="4" a="1"/>
  <c r="U465" i="4" s="1"/>
  <c r="W465" i="4" a="1"/>
  <c r="W465" i="4" s="1"/>
  <c r="T429" i="4" a="1"/>
  <c r="T429" i="4" s="1"/>
  <c r="V429" i="4" a="1"/>
  <c r="V429" i="4" s="1"/>
  <c r="U429" i="4" a="1"/>
  <c r="U429" i="4" s="1"/>
  <c r="W429" i="4" a="1"/>
  <c r="W429" i="4" s="1"/>
  <c r="T398" i="4" a="1"/>
  <c r="T398" i="4" s="1"/>
  <c r="U398" i="4" a="1"/>
  <c r="U398" i="4" s="1"/>
  <c r="V398" i="4" a="1"/>
  <c r="V398" i="4" s="1"/>
  <c r="W398" i="4" a="1"/>
  <c r="W398" i="4" s="1"/>
  <c r="T362" i="4" a="1"/>
  <c r="T362" i="4" s="1"/>
  <c r="U362" i="4" a="1"/>
  <c r="U362" i="4" s="1"/>
  <c r="W362" i="4" a="1"/>
  <c r="W362" i="4" s="1"/>
  <c r="V362" i="4" a="1"/>
  <c r="V362" i="4" s="1"/>
  <c r="T326" i="4" a="1"/>
  <c r="T326" i="4" s="1"/>
  <c r="U326" i="4" a="1"/>
  <c r="U326" i="4" s="1"/>
  <c r="W326" i="4" a="1"/>
  <c r="W326" i="4" s="1"/>
  <c r="V326" i="4" a="1"/>
  <c r="V326" i="4" s="1"/>
  <c r="T290" i="4" a="1"/>
  <c r="T290" i="4" s="1"/>
  <c r="U290" i="4" a="1"/>
  <c r="U290" i="4" s="1"/>
  <c r="W290" i="4" a="1"/>
  <c r="W290" i="4" s="1"/>
  <c r="V290" i="4" a="1"/>
  <c r="V290" i="4" s="1"/>
  <c r="T254" i="4" a="1"/>
  <c r="T254" i="4" s="1"/>
  <c r="U254" i="4" a="1"/>
  <c r="U254" i="4" s="1"/>
  <c r="V254" i="4" a="1"/>
  <c r="V254" i="4" s="1"/>
  <c r="W254" i="4" a="1"/>
  <c r="W254" i="4" s="1"/>
  <c r="U355" i="4" a="1"/>
  <c r="U355" i="4" s="1"/>
  <c r="T355" i="4" a="1"/>
  <c r="T355" i="4" s="1"/>
  <c r="V355" i="4" a="1"/>
  <c r="V355" i="4" s="1"/>
  <c r="W355" i="4" a="1"/>
  <c r="W355" i="4" s="1"/>
  <c r="T319" i="4" a="1"/>
  <c r="T319" i="4" s="1"/>
  <c r="U319" i="4" a="1"/>
  <c r="U319" i="4" s="1"/>
  <c r="V319" i="4" a="1"/>
  <c r="V319" i="4" s="1"/>
  <c r="W319" i="4" a="1"/>
  <c r="W319" i="4" s="1"/>
  <c r="T283" i="4" a="1"/>
  <c r="T283" i="4" s="1"/>
  <c r="U283" i="4" a="1"/>
  <c r="U283" i="4" s="1"/>
  <c r="V283" i="4" a="1"/>
  <c r="V283" i="4" s="1"/>
  <c r="W283" i="4" a="1"/>
  <c r="W283" i="4" s="1"/>
  <c r="T247" i="4" a="1"/>
  <c r="T247" i="4" s="1"/>
  <c r="U247" i="4" a="1"/>
  <c r="U247" i="4" s="1"/>
  <c r="V247" i="4" a="1"/>
  <c r="V247" i="4" s="1"/>
  <c r="W247" i="4" a="1"/>
  <c r="W247" i="4" s="1"/>
  <c r="T366" i="4" a="1"/>
  <c r="T366" i="4" s="1"/>
  <c r="U366" i="4" a="1"/>
  <c r="U366" i="4" s="1"/>
  <c r="W366" i="4" a="1"/>
  <c r="W366" i="4" s="1"/>
  <c r="V366" i="4" a="1"/>
  <c r="V366" i="4" s="1"/>
  <c r="T330" i="4" a="1"/>
  <c r="T330" i="4" s="1"/>
  <c r="U330" i="4" a="1"/>
  <c r="U330" i="4" s="1"/>
  <c r="W330" i="4" a="1"/>
  <c r="W330" i="4" s="1"/>
  <c r="V330" i="4" a="1"/>
  <c r="V330" i="4" s="1"/>
  <c r="T294" i="4" a="1"/>
  <c r="T294" i="4" s="1"/>
  <c r="U294" i="4" a="1"/>
  <c r="U294" i="4" s="1"/>
  <c r="V294" i="4" a="1"/>
  <c r="V294" i="4" s="1"/>
  <c r="W294" i="4" a="1"/>
  <c r="W294" i="4" s="1"/>
  <c r="T258" i="4" a="1"/>
  <c r="T258" i="4" s="1"/>
  <c r="V258" i="4" a="1"/>
  <c r="V258" i="4" s="1"/>
  <c r="U258" i="4" a="1"/>
  <c r="U258" i="4" s="1"/>
  <c r="W258" i="4" a="1"/>
  <c r="W258" i="4" s="1"/>
  <c r="T222" i="4" a="1"/>
  <c r="T222" i="4" s="1"/>
  <c r="V222" i="4" a="1"/>
  <c r="V222" i="4" s="1"/>
  <c r="U222" i="4" a="1"/>
  <c r="U222" i="4" s="1"/>
  <c r="W222" i="4" a="1"/>
  <c r="W222" i="4" s="1"/>
  <c r="U377" i="4" a="1"/>
  <c r="U377" i="4" s="1"/>
  <c r="V377" i="4" a="1"/>
  <c r="V377" i="4" s="1"/>
  <c r="T377" i="4" a="1"/>
  <c r="T377" i="4" s="1"/>
  <c r="W377" i="4" a="1"/>
  <c r="W377" i="4" s="1"/>
  <c r="T341" i="4" a="1"/>
  <c r="T341" i="4" s="1"/>
  <c r="V341" i="4" a="1"/>
  <c r="V341" i="4" s="1"/>
  <c r="U341" i="4" a="1"/>
  <c r="U341" i="4" s="1"/>
  <c r="W341" i="4" a="1"/>
  <c r="W341" i="4" s="1"/>
  <c r="T305" i="4" a="1"/>
  <c r="T305" i="4" s="1"/>
  <c r="V305" i="4" a="1"/>
  <c r="V305" i="4" s="1"/>
  <c r="W305" i="4" a="1"/>
  <c r="W305" i="4" s="1"/>
  <c r="U305" i="4" a="1"/>
  <c r="U305" i="4" s="1"/>
  <c r="T269" i="4" a="1"/>
  <c r="T269" i="4" s="1"/>
  <c r="W269" i="4" a="1"/>
  <c r="W269" i="4" s="1"/>
  <c r="U269" i="4" a="1"/>
  <c r="U269" i="4" s="1"/>
  <c r="V269" i="4" a="1"/>
  <c r="V269" i="4" s="1"/>
  <c r="T233" i="4" a="1"/>
  <c r="T233" i="4" s="1"/>
  <c r="V233" i="4" a="1"/>
  <c r="V233" i="4" s="1"/>
  <c r="W233" i="4" a="1"/>
  <c r="W233" i="4" s="1"/>
  <c r="U233" i="4" a="1"/>
  <c r="U233" i="4" s="1"/>
  <c r="T388" i="4" a="1"/>
  <c r="T388" i="4" s="1"/>
  <c r="V388" i="4" a="1"/>
  <c r="V388" i="4" s="1"/>
  <c r="U388" i="4" a="1"/>
  <c r="U388" i="4" s="1"/>
  <c r="W388" i="4" a="1"/>
  <c r="W388" i="4" s="1"/>
  <c r="T352" i="4" a="1"/>
  <c r="T352" i="4" s="1"/>
  <c r="U352" i="4" a="1"/>
  <c r="U352" i="4" s="1"/>
  <c r="V352" i="4" a="1"/>
  <c r="V352" i="4" s="1"/>
  <c r="W352" i="4" a="1"/>
  <c r="W352" i="4" s="1"/>
  <c r="T316" i="4" a="1"/>
  <c r="T316" i="4" s="1"/>
  <c r="U316" i="4" a="1"/>
  <c r="U316" i="4" s="1"/>
  <c r="V316" i="4" a="1"/>
  <c r="V316" i="4" s="1"/>
  <c r="W316" i="4" a="1"/>
  <c r="W316" i="4" s="1"/>
  <c r="T280" i="4" a="1"/>
  <c r="T280" i="4" s="1"/>
  <c r="V280" i="4" a="1"/>
  <c r="V280" i="4" s="1"/>
  <c r="W280" i="4" a="1"/>
  <c r="W280" i="4" s="1"/>
  <c r="U280" i="4" a="1"/>
  <c r="U280" i="4" s="1"/>
  <c r="T244" i="4" a="1"/>
  <c r="T244" i="4" s="1"/>
  <c r="V244" i="4" a="1"/>
  <c r="V244" i="4" s="1"/>
  <c r="U244" i="4" a="1"/>
  <c r="U244" i="4" s="1"/>
  <c r="W244" i="4" a="1"/>
  <c r="W244" i="4" s="1"/>
  <c r="T411" i="4" a="1"/>
  <c r="T411" i="4" s="1"/>
  <c r="V411" i="4" a="1"/>
  <c r="V411" i="4" s="1"/>
  <c r="U411" i="4" a="1"/>
  <c r="U411" i="4" s="1"/>
  <c r="W411" i="4" a="1"/>
  <c r="W411" i="4" s="1"/>
  <c r="T375" i="4" a="1"/>
  <c r="T375" i="4" s="1"/>
  <c r="U375" i="4" a="1"/>
  <c r="U375" i="4" s="1"/>
  <c r="W375" i="4" a="1"/>
  <c r="W375" i="4" s="1"/>
  <c r="V375" i="4" a="1"/>
  <c r="V375" i="4" s="1"/>
  <c r="T339" i="4" a="1"/>
  <c r="T339" i="4" s="1"/>
  <c r="U339" i="4" a="1"/>
  <c r="U339" i="4" s="1"/>
  <c r="W339" i="4" a="1"/>
  <c r="W339" i="4" s="1"/>
  <c r="V339" i="4" a="1"/>
  <c r="V339" i="4" s="1"/>
  <c r="T303" i="4" a="1"/>
  <c r="T303" i="4" s="1"/>
  <c r="U303" i="4" a="1"/>
  <c r="U303" i="4" s="1"/>
  <c r="V303" i="4" a="1"/>
  <c r="V303" i="4" s="1"/>
  <c r="W303" i="4" a="1"/>
  <c r="W303" i="4" s="1"/>
  <c r="T267" i="4" a="1"/>
  <c r="T267" i="4" s="1"/>
  <c r="U267" i="4" a="1"/>
  <c r="U267" i="4" s="1"/>
  <c r="V267" i="4" a="1"/>
  <c r="V267" i="4" s="1"/>
  <c r="W267" i="4" a="1"/>
  <c r="W267" i="4" s="1"/>
  <c r="T231" i="4" a="1"/>
  <c r="T231" i="4" s="1"/>
  <c r="V231" i="4" a="1"/>
  <c r="V231" i="4" s="1"/>
  <c r="U231" i="4" a="1"/>
  <c r="U231" i="4" s="1"/>
  <c r="W231" i="4" a="1"/>
  <c r="W231" i="4" s="1"/>
  <c r="L984" i="4"/>
  <c r="L912" i="4"/>
  <c r="L1414" i="4"/>
  <c r="L1342" i="4"/>
  <c r="L1270" i="4"/>
  <c r="L1198" i="4"/>
  <c r="L1126" i="4"/>
  <c r="L1050" i="4"/>
  <c r="L978" i="4"/>
  <c r="L906" i="4"/>
  <c r="L1470" i="4"/>
  <c r="L1434" i="4"/>
  <c r="L1398" i="4"/>
  <c r="L1362" i="4"/>
  <c r="L1326" i="4"/>
  <c r="L1290" i="4"/>
  <c r="L1254" i="4"/>
  <c r="L1218" i="4"/>
  <c r="L1182" i="4"/>
  <c r="L1146" i="4"/>
  <c r="L1110" i="4"/>
  <c r="V1279" i="4" a="1"/>
  <c r="V1279" i="4" s="1"/>
  <c r="T1279" i="4" a="1"/>
  <c r="T1279" i="4" s="1"/>
  <c r="U1279" i="4" a="1"/>
  <c r="U1279" i="4" s="1"/>
  <c r="W1279" i="4" a="1"/>
  <c r="W1279" i="4" s="1"/>
  <c r="V1207" i="4" a="1"/>
  <c r="V1207" i="4" s="1"/>
  <c r="U1207" i="4" a="1"/>
  <c r="U1207" i="4" s="1"/>
  <c r="W1207" i="4" a="1"/>
  <c r="W1207" i="4" s="1"/>
  <c r="T1207" i="4" a="1"/>
  <c r="T1207" i="4" s="1"/>
  <c r="V1135" i="4" a="1"/>
  <c r="V1135" i="4" s="1"/>
  <c r="T1135" i="4" a="1"/>
  <c r="T1135" i="4" s="1"/>
  <c r="U1135" i="4" a="1"/>
  <c r="U1135" i="4" s="1"/>
  <c r="W1135" i="4" a="1"/>
  <c r="W1135" i="4" s="1"/>
  <c r="T1381" i="4" a="1"/>
  <c r="T1381" i="4" s="1"/>
  <c r="U1381" i="4" a="1"/>
  <c r="U1381" i="4" s="1"/>
  <c r="V1381" i="4" a="1"/>
  <c r="V1381" i="4" s="1"/>
  <c r="W1381" i="4" a="1"/>
  <c r="W1381" i="4" s="1"/>
  <c r="T1165" i="4" a="1"/>
  <c r="T1165" i="4" s="1"/>
  <c r="U1165" i="4" a="1"/>
  <c r="U1165" i="4" s="1"/>
  <c r="V1165" i="4" a="1"/>
  <c r="V1165" i="4" s="1"/>
  <c r="W1165" i="4" a="1"/>
  <c r="W1165" i="4" s="1"/>
  <c r="U949" i="4" a="1"/>
  <c r="U949" i="4" s="1"/>
  <c r="T949" i="4" a="1"/>
  <c r="T949" i="4" s="1"/>
  <c r="V949" i="4" a="1"/>
  <c r="V949" i="4" s="1"/>
  <c r="W949" i="4" a="1"/>
  <c r="W949" i="4" s="1"/>
  <c r="T1375" i="4" a="1"/>
  <c r="T1375" i="4" s="1"/>
  <c r="U1375" i="4" a="1"/>
  <c r="U1375" i="4" s="1"/>
  <c r="V1375" i="4" a="1"/>
  <c r="V1375" i="4" s="1"/>
  <c r="W1375" i="4" a="1"/>
  <c r="W1375" i="4" s="1"/>
  <c r="T1159" i="4" a="1"/>
  <c r="T1159" i="4" s="1"/>
  <c r="U1159" i="4" a="1"/>
  <c r="U1159" i="4" s="1"/>
  <c r="W1159" i="4" a="1"/>
  <c r="W1159" i="4" s="1"/>
  <c r="V1159" i="4" a="1"/>
  <c r="V1159" i="4" s="1"/>
  <c r="T943" i="4" a="1"/>
  <c r="T943" i="4" s="1"/>
  <c r="U943" i="4" a="1"/>
  <c r="U943" i="4" s="1"/>
  <c r="W943" i="4" a="1"/>
  <c r="W943" i="4" s="1"/>
  <c r="V943" i="4" a="1"/>
  <c r="V943" i="4" s="1"/>
  <c r="T1369" i="4" a="1"/>
  <c r="T1369" i="4" s="1"/>
  <c r="U1369" i="4" a="1"/>
  <c r="U1369" i="4" s="1"/>
  <c r="V1369" i="4" a="1"/>
  <c r="V1369" i="4" s="1"/>
  <c r="W1369" i="4" a="1"/>
  <c r="W1369" i="4" s="1"/>
  <c r="T1153" i="4" a="1"/>
  <c r="T1153" i="4" s="1"/>
  <c r="V1153" i="4" a="1"/>
  <c r="V1153" i="4" s="1"/>
  <c r="U1153" i="4" a="1"/>
  <c r="U1153" i="4" s="1"/>
  <c r="W1153" i="4" a="1"/>
  <c r="W1153" i="4" s="1"/>
  <c r="T937" i="4" a="1"/>
  <c r="T937" i="4" s="1"/>
  <c r="V937" i="4" a="1"/>
  <c r="V937" i="4" s="1"/>
  <c r="U937" i="4" a="1"/>
  <c r="U937" i="4" s="1"/>
  <c r="W937" i="4" a="1"/>
  <c r="W937" i="4" s="1"/>
  <c r="T1399" i="4" a="1"/>
  <c r="T1399" i="4" s="1"/>
  <c r="U1399" i="4" a="1"/>
  <c r="U1399" i="4" s="1"/>
  <c r="V1399" i="4" a="1"/>
  <c r="V1399" i="4" s="1"/>
  <c r="W1399" i="4" a="1"/>
  <c r="W1399" i="4" s="1"/>
  <c r="T1183" i="4" a="1"/>
  <c r="T1183" i="4" s="1"/>
  <c r="U1183" i="4" a="1"/>
  <c r="U1183" i="4" s="1"/>
  <c r="V1183" i="4" a="1"/>
  <c r="V1183" i="4" s="1"/>
  <c r="W1183" i="4" a="1"/>
  <c r="W1183" i="4" s="1"/>
  <c r="T967" i="4" a="1"/>
  <c r="T967" i="4" s="1"/>
  <c r="U967" i="4" a="1"/>
  <c r="U967" i="4" s="1"/>
  <c r="V967" i="4" a="1"/>
  <c r="V967" i="4" s="1"/>
  <c r="W967" i="4" a="1"/>
  <c r="W967" i="4" s="1"/>
  <c r="T1429" i="4" a="1"/>
  <c r="T1429" i="4" s="1"/>
  <c r="U1429" i="4" a="1"/>
  <c r="U1429" i="4" s="1"/>
  <c r="V1429" i="4" a="1"/>
  <c r="V1429" i="4" s="1"/>
  <c r="W1429" i="4" a="1"/>
  <c r="W1429" i="4" s="1"/>
  <c r="T1213" i="4" a="1"/>
  <c r="T1213" i="4" s="1"/>
  <c r="U1213" i="4" a="1"/>
  <c r="U1213" i="4" s="1"/>
  <c r="W1213" i="4" a="1"/>
  <c r="W1213" i="4" s="1"/>
  <c r="V1213" i="4" a="1"/>
  <c r="V1213" i="4" s="1"/>
  <c r="T997" i="4" a="1"/>
  <c r="T997" i="4" s="1"/>
  <c r="U997" i="4" a="1"/>
  <c r="U997" i="4" s="1"/>
  <c r="W997" i="4" a="1"/>
  <c r="W997" i="4" s="1"/>
  <c r="V997" i="4" a="1"/>
  <c r="V997" i="4" s="1"/>
  <c r="V1436" i="4" a="1"/>
  <c r="V1436" i="4" s="1"/>
  <c r="T1436" i="4" a="1"/>
  <c r="T1436" i="4" s="1"/>
  <c r="U1436" i="4" a="1"/>
  <c r="U1436" i="4" s="1"/>
  <c r="W1436" i="4" a="1"/>
  <c r="W1436" i="4" s="1"/>
  <c r="T1400" i="4" a="1"/>
  <c r="T1400" i="4" s="1"/>
  <c r="U1400" i="4" a="1"/>
  <c r="U1400" i="4" s="1"/>
  <c r="V1400" i="4" a="1"/>
  <c r="V1400" i="4" s="1"/>
  <c r="W1400" i="4" a="1"/>
  <c r="W1400" i="4" s="1"/>
  <c r="T1364" i="4" a="1"/>
  <c r="T1364" i="4" s="1"/>
  <c r="U1364" i="4" a="1"/>
  <c r="U1364" i="4" s="1"/>
  <c r="V1364" i="4" a="1"/>
  <c r="V1364" i="4" s="1"/>
  <c r="W1364" i="4" a="1"/>
  <c r="W1364" i="4" s="1"/>
  <c r="T1328" i="4" a="1"/>
  <c r="T1328" i="4" s="1"/>
  <c r="U1328" i="4" a="1"/>
  <c r="U1328" i="4" s="1"/>
  <c r="V1328" i="4" a="1"/>
  <c r="V1328" i="4" s="1"/>
  <c r="W1328" i="4" a="1"/>
  <c r="W1328" i="4" s="1"/>
  <c r="T1292" i="4" a="1"/>
  <c r="T1292" i="4" s="1"/>
  <c r="V1292" i="4" a="1"/>
  <c r="V1292" i="4" s="1"/>
  <c r="U1292" i="4" a="1"/>
  <c r="U1292" i="4" s="1"/>
  <c r="W1292" i="4" a="1"/>
  <c r="W1292" i="4" s="1"/>
  <c r="T1256" i="4" a="1"/>
  <c r="T1256" i="4" s="1"/>
  <c r="V1256" i="4" a="1"/>
  <c r="V1256" i="4" s="1"/>
  <c r="U1256" i="4" a="1"/>
  <c r="U1256" i="4" s="1"/>
  <c r="W1256" i="4" a="1"/>
  <c r="W1256" i="4" s="1"/>
  <c r="T1220" i="4" a="1"/>
  <c r="T1220" i="4" s="1"/>
  <c r="V1220" i="4" a="1"/>
  <c r="V1220" i="4" s="1"/>
  <c r="U1220" i="4" a="1"/>
  <c r="U1220" i="4" s="1"/>
  <c r="W1220" i="4" a="1"/>
  <c r="W1220" i="4" s="1"/>
  <c r="T1184" i="4" a="1"/>
  <c r="T1184" i="4" s="1"/>
  <c r="V1184" i="4" a="1"/>
  <c r="V1184" i="4" s="1"/>
  <c r="U1184" i="4" a="1"/>
  <c r="U1184" i="4" s="1"/>
  <c r="W1184" i="4" a="1"/>
  <c r="W1184" i="4" s="1"/>
  <c r="T1148" i="4" a="1"/>
  <c r="T1148" i="4" s="1"/>
  <c r="V1148" i="4" a="1"/>
  <c r="V1148" i="4" s="1"/>
  <c r="U1148" i="4" a="1"/>
  <c r="U1148" i="4" s="1"/>
  <c r="W1148" i="4" a="1"/>
  <c r="W1148" i="4" s="1"/>
  <c r="T1112" i="4" a="1"/>
  <c r="T1112" i="4" s="1"/>
  <c r="V1112" i="4" a="1"/>
  <c r="V1112" i="4" s="1"/>
  <c r="U1112" i="4" a="1"/>
  <c r="U1112" i="4" s="1"/>
  <c r="W1112" i="4" a="1"/>
  <c r="W1112" i="4" s="1"/>
  <c r="T1076" i="4" a="1"/>
  <c r="T1076" i="4" s="1"/>
  <c r="V1076" i="4" a="1"/>
  <c r="V1076" i="4" s="1"/>
  <c r="U1076" i="4" a="1"/>
  <c r="U1076" i="4" s="1"/>
  <c r="W1076" i="4" a="1"/>
  <c r="W1076" i="4" s="1"/>
  <c r="T1040" i="4" a="1"/>
  <c r="T1040" i="4" s="1"/>
  <c r="V1040" i="4" a="1"/>
  <c r="V1040" i="4" s="1"/>
  <c r="U1040" i="4" a="1"/>
  <c r="U1040" i="4" s="1"/>
  <c r="W1040" i="4" a="1"/>
  <c r="W1040" i="4" s="1"/>
  <c r="T1004" i="4" a="1"/>
  <c r="T1004" i="4" s="1"/>
  <c r="V1004" i="4" a="1"/>
  <c r="V1004" i="4" s="1"/>
  <c r="U1004" i="4" a="1"/>
  <c r="U1004" i="4" s="1"/>
  <c r="W1004" i="4" a="1"/>
  <c r="W1004" i="4" s="1"/>
  <c r="T968" i="4" a="1"/>
  <c r="T968" i="4" s="1"/>
  <c r="U968" i="4" a="1"/>
  <c r="U968" i="4" s="1"/>
  <c r="V968" i="4" a="1"/>
  <c r="V968" i="4" s="1"/>
  <c r="W968" i="4" a="1"/>
  <c r="W968" i="4" s="1"/>
  <c r="T932" i="4" a="1"/>
  <c r="T932" i="4" s="1"/>
  <c r="V932" i="4" a="1"/>
  <c r="V932" i="4" s="1"/>
  <c r="U932" i="4" a="1"/>
  <c r="U932" i="4" s="1"/>
  <c r="W932" i="4" a="1"/>
  <c r="W932" i="4" s="1"/>
  <c r="T896" i="4" a="1"/>
  <c r="T896" i="4" s="1"/>
  <c r="V896" i="4" a="1"/>
  <c r="V896" i="4" s="1"/>
  <c r="U896" i="4" a="1"/>
  <c r="U896" i="4" s="1"/>
  <c r="W896" i="4" a="1"/>
  <c r="W896" i="4" s="1"/>
  <c r="T860" i="4" a="1"/>
  <c r="T860" i="4" s="1"/>
  <c r="U860" i="4" a="1"/>
  <c r="U860" i="4" s="1"/>
  <c r="V860" i="4" a="1"/>
  <c r="V860" i="4" s="1"/>
  <c r="W860" i="4" a="1"/>
  <c r="W860" i="4" s="1"/>
  <c r="T824" i="4" a="1"/>
  <c r="T824" i="4" s="1"/>
  <c r="V824" i="4" a="1"/>
  <c r="V824" i="4" s="1"/>
  <c r="U824" i="4" a="1"/>
  <c r="U824" i="4" s="1"/>
  <c r="W824" i="4" a="1"/>
  <c r="W824" i="4" s="1"/>
  <c r="T788" i="4" a="1"/>
  <c r="T788" i="4" s="1"/>
  <c r="V788" i="4" a="1"/>
  <c r="V788" i="4" s="1"/>
  <c r="U788" i="4" a="1"/>
  <c r="U788" i="4" s="1"/>
  <c r="W788" i="4" a="1"/>
  <c r="W788" i="4" s="1"/>
  <c r="T752" i="4" a="1"/>
  <c r="T752" i="4" s="1"/>
  <c r="V752" i="4" a="1"/>
  <c r="V752" i="4" s="1"/>
  <c r="U752" i="4" a="1"/>
  <c r="U752" i="4" s="1"/>
  <c r="W752" i="4" a="1"/>
  <c r="W752" i="4" s="1"/>
  <c r="T716" i="4" a="1"/>
  <c r="T716" i="4" s="1"/>
  <c r="V716" i="4" a="1"/>
  <c r="V716" i="4" s="1"/>
  <c r="U716" i="4" a="1"/>
  <c r="U716" i="4" s="1"/>
  <c r="W716" i="4" a="1"/>
  <c r="W716" i="4" s="1"/>
  <c r="T680" i="4" a="1"/>
  <c r="T680" i="4" s="1"/>
  <c r="V680" i="4" a="1"/>
  <c r="V680" i="4" s="1"/>
  <c r="U680" i="4" a="1"/>
  <c r="U680" i="4" s="1"/>
  <c r="W680" i="4" a="1"/>
  <c r="W680" i="4" s="1"/>
  <c r="T644" i="4" a="1"/>
  <c r="T644" i="4" s="1"/>
  <c r="V644" i="4" a="1"/>
  <c r="V644" i="4" s="1"/>
  <c r="U644" i="4" a="1"/>
  <c r="U644" i="4" s="1"/>
  <c r="W644" i="4" a="1"/>
  <c r="W644" i="4" s="1"/>
  <c r="T608" i="4" a="1"/>
  <c r="T608" i="4" s="1"/>
  <c r="V608" i="4" a="1"/>
  <c r="V608" i="4" s="1"/>
  <c r="U608" i="4" a="1"/>
  <c r="U608" i="4" s="1"/>
  <c r="W608" i="4" a="1"/>
  <c r="W608" i="4" s="1"/>
  <c r="T572" i="4" a="1"/>
  <c r="T572" i="4" s="1"/>
  <c r="V572" i="4" a="1"/>
  <c r="V572" i="4" s="1"/>
  <c r="U572" i="4" a="1"/>
  <c r="U572" i="4" s="1"/>
  <c r="W572" i="4" a="1"/>
  <c r="W572" i="4" s="1"/>
  <c r="T536" i="4" a="1"/>
  <c r="T536" i="4" s="1"/>
  <c r="V536" i="4" a="1"/>
  <c r="V536" i="4" s="1"/>
  <c r="U536" i="4" a="1"/>
  <c r="U536" i="4" s="1"/>
  <c r="W536" i="4" a="1"/>
  <c r="W536" i="4" s="1"/>
  <c r="T500" i="4" a="1"/>
  <c r="T500" i="4" s="1"/>
  <c r="V500" i="4" a="1"/>
  <c r="V500" i="4" s="1"/>
  <c r="U500" i="4" a="1"/>
  <c r="U500" i="4" s="1"/>
  <c r="W500" i="4" a="1"/>
  <c r="W500" i="4" s="1"/>
  <c r="T464" i="4" a="1"/>
  <c r="T464" i="4" s="1"/>
  <c r="V464" i="4" a="1"/>
  <c r="V464" i="4" s="1"/>
  <c r="U464" i="4" a="1"/>
  <c r="U464" i="4" s="1"/>
  <c r="W464" i="4" a="1"/>
  <c r="W464" i="4" s="1"/>
  <c r="T428" i="4" a="1"/>
  <c r="T428" i="4" s="1"/>
  <c r="V428" i="4" a="1"/>
  <c r="V428" i="4" s="1"/>
  <c r="U428" i="4" a="1"/>
  <c r="U428" i="4" s="1"/>
  <c r="W428" i="4" a="1"/>
  <c r="W428" i="4" s="1"/>
  <c r="T877" i="4" a="1"/>
  <c r="T877" i="4" s="1"/>
  <c r="U877" i="4" a="1"/>
  <c r="U877" i="4" s="1"/>
  <c r="V877" i="4" a="1"/>
  <c r="V877" i="4" s="1"/>
  <c r="W877" i="4" a="1"/>
  <c r="W877" i="4" s="1"/>
  <c r="U841" i="4" a="1"/>
  <c r="U841" i="4" s="1"/>
  <c r="T841" i="4" a="1"/>
  <c r="T841" i="4" s="1"/>
  <c r="V841" i="4" a="1"/>
  <c r="V841" i="4" s="1"/>
  <c r="W841" i="4" a="1"/>
  <c r="W841" i="4" s="1"/>
  <c r="T805" i="4" a="1"/>
  <c r="T805" i="4" s="1"/>
  <c r="U805" i="4" a="1"/>
  <c r="U805" i="4" s="1"/>
  <c r="V805" i="4" a="1"/>
  <c r="V805" i="4" s="1"/>
  <c r="W805" i="4" a="1"/>
  <c r="W805" i="4" s="1"/>
  <c r="T769" i="4" a="1"/>
  <c r="T769" i="4" s="1"/>
  <c r="U769" i="4" a="1"/>
  <c r="U769" i="4" s="1"/>
  <c r="V769" i="4" a="1"/>
  <c r="V769" i="4" s="1"/>
  <c r="W769" i="4" a="1"/>
  <c r="W769" i="4" s="1"/>
  <c r="U733" i="4" a="1"/>
  <c r="U733" i="4" s="1"/>
  <c r="V733" i="4" a="1"/>
  <c r="V733" i="4" s="1"/>
  <c r="T733" i="4" a="1"/>
  <c r="T733" i="4" s="1"/>
  <c r="W733" i="4" a="1"/>
  <c r="W733" i="4" s="1"/>
  <c r="T697" i="4" a="1"/>
  <c r="T697" i="4" s="1"/>
  <c r="U697" i="4" a="1"/>
  <c r="U697" i="4" s="1"/>
  <c r="V697" i="4" a="1"/>
  <c r="V697" i="4" s="1"/>
  <c r="W697" i="4" a="1"/>
  <c r="W697" i="4" s="1"/>
  <c r="T661" i="4" a="1"/>
  <c r="T661" i="4" s="1"/>
  <c r="U661" i="4" a="1"/>
  <c r="U661" i="4" s="1"/>
  <c r="V661" i="4" a="1"/>
  <c r="V661" i="4" s="1"/>
  <c r="W661" i="4" a="1"/>
  <c r="W661" i="4" s="1"/>
  <c r="U625" i="4" a="1"/>
  <c r="U625" i="4" s="1"/>
  <c r="T625" i="4" a="1"/>
  <c r="T625" i="4" s="1"/>
  <c r="V625" i="4" a="1"/>
  <c r="V625" i="4" s="1"/>
  <c r="W625" i="4" a="1"/>
  <c r="W625" i="4" s="1"/>
  <c r="T589" i="4" a="1"/>
  <c r="T589" i="4" s="1"/>
  <c r="U589" i="4" a="1"/>
  <c r="U589" i="4" s="1"/>
  <c r="V589" i="4" a="1"/>
  <c r="V589" i="4" s="1"/>
  <c r="W589" i="4" a="1"/>
  <c r="W589" i="4" s="1"/>
  <c r="T553" i="4" a="1"/>
  <c r="T553" i="4" s="1"/>
  <c r="U553" i="4" a="1"/>
  <c r="U553" i="4" s="1"/>
  <c r="V553" i="4" a="1"/>
  <c r="V553" i="4" s="1"/>
  <c r="W553" i="4" a="1"/>
  <c r="W553" i="4" s="1"/>
  <c r="U517" i="4" a="1"/>
  <c r="U517" i="4" s="1"/>
  <c r="T517" i="4" a="1"/>
  <c r="T517" i="4" s="1"/>
  <c r="V517" i="4" a="1"/>
  <c r="V517" i="4" s="1"/>
  <c r="W517" i="4" a="1"/>
  <c r="W517" i="4" s="1"/>
  <c r="T481" i="4" a="1"/>
  <c r="T481" i="4" s="1"/>
  <c r="U481" i="4" a="1"/>
  <c r="U481" i="4" s="1"/>
  <c r="V481" i="4" a="1"/>
  <c r="V481" i="4" s="1"/>
  <c r="W481" i="4" a="1"/>
  <c r="W481" i="4" s="1"/>
  <c r="T445" i="4" a="1"/>
  <c r="T445" i="4" s="1"/>
  <c r="U445" i="4" a="1"/>
  <c r="U445" i="4" s="1"/>
  <c r="V445" i="4" a="1"/>
  <c r="V445" i="4" s="1"/>
  <c r="W445" i="4" a="1"/>
  <c r="W445" i="4" s="1"/>
  <c r="T408" i="4" a="1"/>
  <c r="T408" i="4" s="1"/>
  <c r="U408" i="4" a="1"/>
  <c r="U408" i="4" s="1"/>
  <c r="W408" i="4" a="1"/>
  <c r="W408" i="4" s="1"/>
  <c r="V408" i="4" a="1"/>
  <c r="V408" i="4" s="1"/>
  <c r="U1470" i="4" a="1"/>
  <c r="U1470" i="4" s="1"/>
  <c r="V1470" i="4" a="1"/>
  <c r="V1470" i="4" s="1"/>
  <c r="T1470" i="4" a="1"/>
  <c r="T1470" i="4" s="1"/>
  <c r="W1470" i="4" a="1"/>
  <c r="W1470" i="4" s="1"/>
  <c r="T1434" i="4" a="1"/>
  <c r="T1434" i="4" s="1"/>
  <c r="U1434" i="4" a="1"/>
  <c r="U1434" i="4" s="1"/>
  <c r="V1434" i="4" a="1"/>
  <c r="V1434" i="4" s="1"/>
  <c r="W1434" i="4" a="1"/>
  <c r="W1434" i="4" s="1"/>
  <c r="T1398" i="4" a="1"/>
  <c r="T1398" i="4" s="1"/>
  <c r="U1398" i="4" a="1"/>
  <c r="U1398" i="4" s="1"/>
  <c r="V1398" i="4" a="1"/>
  <c r="V1398" i="4" s="1"/>
  <c r="W1398" i="4" a="1"/>
  <c r="W1398" i="4" s="1"/>
  <c r="T1362" i="4" a="1"/>
  <c r="T1362" i="4" s="1"/>
  <c r="U1362" i="4" a="1"/>
  <c r="U1362" i="4" s="1"/>
  <c r="W1362" i="4" a="1"/>
  <c r="W1362" i="4" s="1"/>
  <c r="V1362" i="4" a="1"/>
  <c r="V1362" i="4" s="1"/>
  <c r="T1326" i="4" a="1"/>
  <c r="T1326" i="4" s="1"/>
  <c r="V1326" i="4" a="1"/>
  <c r="V1326" i="4" s="1"/>
  <c r="U1326" i="4" a="1"/>
  <c r="U1326" i="4" s="1"/>
  <c r="W1326" i="4" a="1"/>
  <c r="W1326" i="4" s="1"/>
  <c r="T1290" i="4" a="1"/>
  <c r="T1290" i="4" s="1"/>
  <c r="U1290" i="4" a="1"/>
  <c r="U1290" i="4" s="1"/>
  <c r="V1290" i="4" a="1"/>
  <c r="V1290" i="4" s="1"/>
  <c r="W1290" i="4" a="1"/>
  <c r="W1290" i="4" s="1"/>
  <c r="T1254" i="4" a="1"/>
  <c r="T1254" i="4" s="1"/>
  <c r="U1254" i="4" a="1"/>
  <c r="U1254" i="4" s="1"/>
  <c r="V1254" i="4" a="1"/>
  <c r="V1254" i="4" s="1"/>
  <c r="W1254" i="4" a="1"/>
  <c r="W1254" i="4" s="1"/>
  <c r="T1218" i="4" a="1"/>
  <c r="T1218" i="4" s="1"/>
  <c r="U1218" i="4" a="1"/>
  <c r="U1218" i="4" s="1"/>
  <c r="V1218" i="4" a="1"/>
  <c r="V1218" i="4" s="1"/>
  <c r="W1218" i="4" a="1"/>
  <c r="W1218" i="4" s="1"/>
  <c r="T1182" i="4" a="1"/>
  <c r="T1182" i="4" s="1"/>
  <c r="U1182" i="4" a="1"/>
  <c r="U1182" i="4" s="1"/>
  <c r="V1182" i="4" a="1"/>
  <c r="V1182" i="4" s="1"/>
  <c r="W1182" i="4" a="1"/>
  <c r="W1182" i="4" s="1"/>
  <c r="U1146" i="4" a="1"/>
  <c r="U1146" i="4" s="1"/>
  <c r="V1146" i="4" a="1"/>
  <c r="V1146" i="4" s="1"/>
  <c r="T1146" i="4" a="1"/>
  <c r="T1146" i="4" s="1"/>
  <c r="W1146" i="4" a="1"/>
  <c r="W1146" i="4" s="1"/>
  <c r="U1110" i="4" a="1"/>
  <c r="U1110" i="4" s="1"/>
  <c r="T1110" i="4" a="1"/>
  <c r="T1110" i="4" s="1"/>
  <c r="V1110" i="4" a="1"/>
  <c r="V1110" i="4" s="1"/>
  <c r="W1110" i="4" a="1"/>
  <c r="W1110" i="4" s="1"/>
  <c r="T1074" i="4" a="1"/>
  <c r="T1074" i="4" s="1"/>
  <c r="U1074" i="4" a="1"/>
  <c r="U1074" i="4" s="1"/>
  <c r="V1074" i="4" a="1"/>
  <c r="V1074" i="4" s="1"/>
  <c r="W1074" i="4" a="1"/>
  <c r="W1074" i="4" s="1"/>
  <c r="T1038" i="4" a="1"/>
  <c r="T1038" i="4" s="1"/>
  <c r="U1038" i="4" a="1"/>
  <c r="U1038" i="4" s="1"/>
  <c r="V1038" i="4" a="1"/>
  <c r="V1038" i="4" s="1"/>
  <c r="W1038" i="4" a="1"/>
  <c r="W1038" i="4" s="1"/>
  <c r="T1002" i="4" a="1"/>
  <c r="T1002" i="4" s="1"/>
  <c r="U1002" i="4" a="1"/>
  <c r="U1002" i="4" s="1"/>
  <c r="V1002" i="4" a="1"/>
  <c r="V1002" i="4" s="1"/>
  <c r="W1002" i="4" a="1"/>
  <c r="W1002" i="4" s="1"/>
  <c r="T966" i="4" a="1"/>
  <c r="T966" i="4" s="1"/>
  <c r="V966" i="4" a="1"/>
  <c r="V966" i="4" s="1"/>
  <c r="W966" i="4" a="1"/>
  <c r="W966" i="4" s="1"/>
  <c r="U966" i="4" a="1"/>
  <c r="U966" i="4" s="1"/>
  <c r="T930" i="4" a="1"/>
  <c r="T930" i="4" s="1"/>
  <c r="U930" i="4" a="1"/>
  <c r="U930" i="4" s="1"/>
  <c r="V930" i="4" a="1"/>
  <c r="V930" i="4" s="1"/>
  <c r="W930" i="4" a="1"/>
  <c r="W930" i="4" s="1"/>
  <c r="T894" i="4" a="1"/>
  <c r="T894" i="4" s="1"/>
  <c r="U894" i="4" a="1"/>
  <c r="U894" i="4" s="1"/>
  <c r="V894" i="4" a="1"/>
  <c r="V894" i="4" s="1"/>
  <c r="W894" i="4" a="1"/>
  <c r="W894" i="4" s="1"/>
  <c r="T858" i="4" a="1"/>
  <c r="T858" i="4" s="1"/>
  <c r="V858" i="4" a="1"/>
  <c r="V858" i="4" s="1"/>
  <c r="W858" i="4" a="1"/>
  <c r="W858" i="4" s="1"/>
  <c r="U858" i="4" a="1"/>
  <c r="U858" i="4" s="1"/>
  <c r="T822" i="4" a="1"/>
  <c r="T822" i="4" s="1"/>
  <c r="U822" i="4" a="1"/>
  <c r="U822" i="4" s="1"/>
  <c r="W822" i="4" a="1"/>
  <c r="W822" i="4" s="1"/>
  <c r="V822" i="4" a="1"/>
  <c r="V822" i="4" s="1"/>
  <c r="T786" i="4" a="1"/>
  <c r="T786" i="4" s="1"/>
  <c r="U786" i="4" a="1"/>
  <c r="U786" i="4" s="1"/>
  <c r="W786" i="4" a="1"/>
  <c r="W786" i="4" s="1"/>
  <c r="V786" i="4" a="1"/>
  <c r="V786" i="4" s="1"/>
  <c r="T750" i="4" a="1"/>
  <c r="T750" i="4" s="1"/>
  <c r="U750" i="4" a="1"/>
  <c r="U750" i="4" s="1"/>
  <c r="W750" i="4" a="1"/>
  <c r="W750" i="4" s="1"/>
  <c r="V750" i="4" a="1"/>
  <c r="V750" i="4" s="1"/>
  <c r="T714" i="4" a="1"/>
  <c r="T714" i="4" s="1"/>
  <c r="U714" i="4" a="1"/>
  <c r="U714" i="4" s="1"/>
  <c r="W714" i="4" a="1"/>
  <c r="W714" i="4" s="1"/>
  <c r="V714" i="4" a="1"/>
  <c r="V714" i="4" s="1"/>
  <c r="T678" i="4" a="1"/>
  <c r="T678" i="4" s="1"/>
  <c r="U678" i="4" a="1"/>
  <c r="U678" i="4" s="1"/>
  <c r="W678" i="4" a="1"/>
  <c r="W678" i="4" s="1"/>
  <c r="V678" i="4" a="1"/>
  <c r="V678" i="4" s="1"/>
  <c r="T642" i="4" a="1"/>
  <c r="T642" i="4" s="1"/>
  <c r="U642" i="4" a="1"/>
  <c r="U642" i="4" s="1"/>
  <c r="W642" i="4" a="1"/>
  <c r="W642" i="4" s="1"/>
  <c r="V642" i="4" a="1"/>
  <c r="V642" i="4" s="1"/>
  <c r="T606" i="4" a="1"/>
  <c r="T606" i="4" s="1"/>
  <c r="U606" i="4" a="1"/>
  <c r="U606" i="4" s="1"/>
  <c r="W606" i="4" a="1"/>
  <c r="W606" i="4" s="1"/>
  <c r="V606" i="4" a="1"/>
  <c r="V606" i="4" s="1"/>
  <c r="T570" i="4" a="1"/>
  <c r="T570" i="4" s="1"/>
  <c r="U570" i="4" a="1"/>
  <c r="U570" i="4" s="1"/>
  <c r="W570" i="4" a="1"/>
  <c r="W570" i="4" s="1"/>
  <c r="V570" i="4" a="1"/>
  <c r="V570" i="4" s="1"/>
  <c r="T534" i="4" a="1"/>
  <c r="T534" i="4" s="1"/>
  <c r="U534" i="4" a="1"/>
  <c r="U534" i="4" s="1"/>
  <c r="W534" i="4" a="1"/>
  <c r="W534" i="4" s="1"/>
  <c r="V534" i="4" a="1"/>
  <c r="V534" i="4" s="1"/>
  <c r="T498" i="4" a="1"/>
  <c r="T498" i="4" s="1"/>
  <c r="U498" i="4" a="1"/>
  <c r="U498" i="4" s="1"/>
  <c r="W498" i="4" a="1"/>
  <c r="W498" i="4" s="1"/>
  <c r="V498" i="4" a="1"/>
  <c r="V498" i="4" s="1"/>
  <c r="T462" i="4" a="1"/>
  <c r="T462" i="4" s="1"/>
  <c r="U462" i="4" a="1"/>
  <c r="U462" i="4" s="1"/>
  <c r="W462" i="4" a="1"/>
  <c r="W462" i="4" s="1"/>
  <c r="V462" i="4" a="1"/>
  <c r="V462" i="4" s="1"/>
  <c r="T426" i="4" a="1"/>
  <c r="T426" i="4" s="1"/>
  <c r="U426" i="4" a="1"/>
  <c r="U426" i="4" s="1"/>
  <c r="W426" i="4" a="1"/>
  <c r="W426" i="4" s="1"/>
  <c r="V426" i="4" a="1"/>
  <c r="V426" i="4" s="1"/>
  <c r="U1493" i="4" a="1"/>
  <c r="U1493" i="4" s="1"/>
  <c r="T1493" i="4" a="1"/>
  <c r="T1493" i="4" s="1"/>
  <c r="W1493" i="4" a="1"/>
  <c r="W1493" i="4" s="1"/>
  <c r="V1493" i="4" a="1"/>
  <c r="V1493" i="4" s="1"/>
  <c r="T1457" i="4" a="1"/>
  <c r="T1457" i="4" s="1"/>
  <c r="U1457" i="4" a="1"/>
  <c r="U1457" i="4" s="1"/>
  <c r="W1457" i="4" a="1"/>
  <c r="W1457" i="4" s="1"/>
  <c r="V1457" i="4" a="1"/>
  <c r="V1457" i="4" s="1"/>
  <c r="T1421" i="4" a="1"/>
  <c r="T1421" i="4" s="1"/>
  <c r="U1421" i="4" a="1"/>
  <c r="U1421" i="4" s="1"/>
  <c r="W1421" i="4" a="1"/>
  <c r="W1421" i="4" s="1"/>
  <c r="V1421" i="4" a="1"/>
  <c r="V1421" i="4" s="1"/>
  <c r="T1385" i="4" a="1"/>
  <c r="T1385" i="4" s="1"/>
  <c r="U1385" i="4" a="1"/>
  <c r="U1385" i="4" s="1"/>
  <c r="W1385" i="4" a="1"/>
  <c r="W1385" i="4" s="1"/>
  <c r="V1385" i="4" a="1"/>
  <c r="V1385" i="4" s="1"/>
  <c r="T1349" i="4" a="1"/>
  <c r="T1349" i="4" s="1"/>
  <c r="U1349" i="4" a="1"/>
  <c r="U1349" i="4" s="1"/>
  <c r="W1349" i="4" a="1"/>
  <c r="W1349" i="4" s="1"/>
  <c r="V1349" i="4" a="1"/>
  <c r="V1349" i="4" s="1"/>
  <c r="T1313" i="4" a="1"/>
  <c r="T1313" i="4" s="1"/>
  <c r="U1313" i="4" a="1"/>
  <c r="U1313" i="4" s="1"/>
  <c r="V1313" i="4" a="1"/>
  <c r="V1313" i="4" s="1"/>
  <c r="W1313" i="4" a="1"/>
  <c r="W1313" i="4" s="1"/>
  <c r="T1277" i="4" a="1"/>
  <c r="T1277" i="4" s="1"/>
  <c r="U1277" i="4" a="1"/>
  <c r="U1277" i="4" s="1"/>
  <c r="V1277" i="4" a="1"/>
  <c r="V1277" i="4" s="1"/>
  <c r="W1277" i="4" a="1"/>
  <c r="W1277" i="4" s="1"/>
  <c r="T1241" i="4" a="1"/>
  <c r="T1241" i="4" s="1"/>
  <c r="U1241" i="4" a="1"/>
  <c r="U1241" i="4" s="1"/>
  <c r="V1241" i="4" a="1"/>
  <c r="V1241" i="4" s="1"/>
  <c r="W1241" i="4" a="1"/>
  <c r="W1241" i="4" s="1"/>
  <c r="T1205" i="4" a="1"/>
  <c r="T1205" i="4" s="1"/>
  <c r="U1205" i="4" a="1"/>
  <c r="U1205" i="4" s="1"/>
  <c r="V1205" i="4" a="1"/>
  <c r="V1205" i="4" s="1"/>
  <c r="W1205" i="4" a="1"/>
  <c r="W1205" i="4" s="1"/>
  <c r="T1169" i="4" a="1"/>
  <c r="T1169" i="4" s="1"/>
  <c r="U1169" i="4" a="1"/>
  <c r="U1169" i="4" s="1"/>
  <c r="V1169" i="4" a="1"/>
  <c r="V1169" i="4" s="1"/>
  <c r="W1169" i="4" a="1"/>
  <c r="W1169" i="4" s="1"/>
  <c r="T1133" i="4" a="1"/>
  <c r="T1133" i="4" s="1"/>
  <c r="U1133" i="4" a="1"/>
  <c r="U1133" i="4" s="1"/>
  <c r="V1133" i="4" a="1"/>
  <c r="V1133" i="4" s="1"/>
  <c r="W1133" i="4" a="1"/>
  <c r="W1133" i="4" s="1"/>
  <c r="T1097" i="4" a="1"/>
  <c r="T1097" i="4" s="1"/>
  <c r="U1097" i="4" a="1"/>
  <c r="U1097" i="4" s="1"/>
  <c r="V1097" i="4" a="1"/>
  <c r="V1097" i="4" s="1"/>
  <c r="W1097" i="4" a="1"/>
  <c r="W1097" i="4" s="1"/>
  <c r="T1061" i="4" a="1"/>
  <c r="T1061" i="4" s="1"/>
  <c r="U1061" i="4" a="1"/>
  <c r="U1061" i="4" s="1"/>
  <c r="V1061" i="4" a="1"/>
  <c r="V1061" i="4" s="1"/>
  <c r="W1061" i="4" a="1"/>
  <c r="W1061" i="4" s="1"/>
  <c r="U1025" i="4" a="1"/>
  <c r="U1025" i="4" s="1"/>
  <c r="T1025" i="4" a="1"/>
  <c r="T1025" i="4" s="1"/>
  <c r="V1025" i="4" a="1"/>
  <c r="V1025" i="4" s="1"/>
  <c r="W1025" i="4" a="1"/>
  <c r="W1025" i="4" s="1"/>
  <c r="T989" i="4" a="1"/>
  <c r="T989" i="4" s="1"/>
  <c r="U989" i="4" a="1"/>
  <c r="U989" i="4" s="1"/>
  <c r="V989" i="4" a="1"/>
  <c r="V989" i="4" s="1"/>
  <c r="W989" i="4" a="1"/>
  <c r="W989" i="4" s="1"/>
  <c r="T953" i="4" a="1"/>
  <c r="T953" i="4" s="1"/>
  <c r="V953" i="4" a="1"/>
  <c r="V953" i="4" s="1"/>
  <c r="W953" i="4" a="1"/>
  <c r="W953" i="4" s="1"/>
  <c r="U953" i="4" a="1"/>
  <c r="U953" i="4" s="1"/>
  <c r="T917" i="4" a="1"/>
  <c r="T917" i="4" s="1"/>
  <c r="U917" i="4" a="1"/>
  <c r="U917" i="4" s="1"/>
  <c r="V917" i="4" a="1"/>
  <c r="V917" i="4" s="1"/>
  <c r="W917" i="4" a="1"/>
  <c r="W917" i="4" s="1"/>
  <c r="T881" i="4" a="1"/>
  <c r="T881" i="4" s="1"/>
  <c r="U881" i="4" a="1"/>
  <c r="U881" i="4" s="1"/>
  <c r="V881" i="4" a="1"/>
  <c r="V881" i="4" s="1"/>
  <c r="W881" i="4" a="1"/>
  <c r="W881" i="4" s="1"/>
  <c r="T845" i="4" a="1"/>
  <c r="T845" i="4" s="1"/>
  <c r="V845" i="4" a="1"/>
  <c r="V845" i="4" s="1"/>
  <c r="W845" i="4" a="1"/>
  <c r="W845" i="4" s="1"/>
  <c r="U845" i="4" a="1"/>
  <c r="U845" i="4" s="1"/>
  <c r="T809" i="4" a="1"/>
  <c r="T809" i="4" s="1"/>
  <c r="U809" i="4" a="1"/>
  <c r="U809" i="4" s="1"/>
  <c r="V809" i="4" a="1"/>
  <c r="V809" i="4" s="1"/>
  <c r="W809" i="4" a="1"/>
  <c r="W809" i="4" s="1"/>
  <c r="T773" i="4" a="1"/>
  <c r="T773" i="4" s="1"/>
  <c r="U773" i="4" a="1"/>
  <c r="U773" i="4" s="1"/>
  <c r="V773" i="4" a="1"/>
  <c r="V773" i="4" s="1"/>
  <c r="W773" i="4" a="1"/>
  <c r="W773" i="4" s="1"/>
  <c r="T737" i="4" a="1"/>
  <c r="T737" i="4" s="1"/>
  <c r="U737" i="4" a="1"/>
  <c r="U737" i="4" s="1"/>
  <c r="V737" i="4" a="1"/>
  <c r="V737" i="4" s="1"/>
  <c r="W737" i="4" a="1"/>
  <c r="W737" i="4" s="1"/>
  <c r="U701" i="4" a="1"/>
  <c r="U701" i="4" s="1"/>
  <c r="V701" i="4" a="1"/>
  <c r="V701" i="4" s="1"/>
  <c r="W701" i="4" a="1"/>
  <c r="W701" i="4" s="1"/>
  <c r="T701" i="4" a="1"/>
  <c r="T701" i="4" s="1"/>
  <c r="T665" i="4" a="1"/>
  <c r="T665" i="4" s="1"/>
  <c r="U665" i="4" a="1"/>
  <c r="U665" i="4" s="1"/>
  <c r="V665" i="4" a="1"/>
  <c r="V665" i="4" s="1"/>
  <c r="W665" i="4" a="1"/>
  <c r="W665" i="4" s="1"/>
  <c r="T629" i="4" a="1"/>
  <c r="T629" i="4" s="1"/>
  <c r="U629" i="4" a="1"/>
  <c r="U629" i="4" s="1"/>
  <c r="V629" i="4" a="1"/>
  <c r="V629" i="4" s="1"/>
  <c r="W629" i="4" a="1"/>
  <c r="W629" i="4" s="1"/>
  <c r="T593" i="4" a="1"/>
  <c r="T593" i="4" s="1"/>
  <c r="U593" i="4" a="1"/>
  <c r="U593" i="4" s="1"/>
  <c r="V593" i="4" a="1"/>
  <c r="V593" i="4" s="1"/>
  <c r="W593" i="4" a="1"/>
  <c r="W593" i="4" s="1"/>
  <c r="T557" i="4" a="1"/>
  <c r="T557" i="4" s="1"/>
  <c r="U557" i="4" a="1"/>
  <c r="U557" i="4" s="1"/>
  <c r="V557" i="4" a="1"/>
  <c r="V557" i="4" s="1"/>
  <c r="W557" i="4" a="1"/>
  <c r="W557" i="4" s="1"/>
  <c r="T521" i="4" a="1"/>
  <c r="T521" i="4" s="1"/>
  <c r="U521" i="4" a="1"/>
  <c r="U521" i="4" s="1"/>
  <c r="V521" i="4" a="1"/>
  <c r="V521" i="4" s="1"/>
  <c r="W521" i="4" a="1"/>
  <c r="W521" i="4" s="1"/>
  <c r="T485" i="4" a="1"/>
  <c r="T485" i="4" s="1"/>
  <c r="U485" i="4" a="1"/>
  <c r="U485" i="4" s="1"/>
  <c r="V485" i="4" a="1"/>
  <c r="V485" i="4" s="1"/>
  <c r="W485" i="4" a="1"/>
  <c r="W485" i="4" s="1"/>
  <c r="T449" i="4" a="1"/>
  <c r="T449" i="4" s="1"/>
  <c r="U449" i="4" a="1"/>
  <c r="U449" i="4" s="1"/>
  <c r="V449" i="4" a="1"/>
  <c r="V449" i="4" s="1"/>
  <c r="W449" i="4" a="1"/>
  <c r="W449" i="4" s="1"/>
  <c r="T413" i="4" a="1"/>
  <c r="T413" i="4" s="1"/>
  <c r="U413" i="4" a="1"/>
  <c r="U413" i="4" s="1"/>
  <c r="V413" i="4" a="1"/>
  <c r="V413" i="4" s="1"/>
  <c r="W413" i="4" a="1"/>
  <c r="W413" i="4" s="1"/>
  <c r="T1480" i="4" a="1"/>
  <c r="T1480" i="4" s="1"/>
  <c r="V1480" i="4" a="1"/>
  <c r="V1480" i="4" s="1"/>
  <c r="U1480" i="4" a="1"/>
  <c r="U1480" i="4" s="1"/>
  <c r="W1480" i="4" a="1"/>
  <c r="W1480" i="4" s="1"/>
  <c r="T1444" i="4" a="1"/>
  <c r="T1444" i="4" s="1"/>
  <c r="U1444" i="4" a="1"/>
  <c r="U1444" i="4" s="1"/>
  <c r="V1444" i="4" a="1"/>
  <c r="V1444" i="4" s="1"/>
  <c r="W1444" i="4" a="1"/>
  <c r="W1444" i="4" s="1"/>
  <c r="T1408" i="4" a="1"/>
  <c r="T1408" i="4" s="1"/>
  <c r="U1408" i="4" a="1"/>
  <c r="U1408" i="4" s="1"/>
  <c r="V1408" i="4" a="1"/>
  <c r="V1408" i="4" s="1"/>
  <c r="W1408" i="4" a="1"/>
  <c r="W1408" i="4" s="1"/>
  <c r="T1372" i="4" a="1"/>
  <c r="T1372" i="4" s="1"/>
  <c r="U1372" i="4" a="1"/>
  <c r="U1372" i="4" s="1"/>
  <c r="V1372" i="4" a="1"/>
  <c r="V1372" i="4" s="1"/>
  <c r="W1372" i="4" a="1"/>
  <c r="W1372" i="4" s="1"/>
  <c r="T1336" i="4" a="1"/>
  <c r="T1336" i="4" s="1"/>
  <c r="U1336" i="4" a="1"/>
  <c r="U1336" i="4" s="1"/>
  <c r="V1336" i="4" a="1"/>
  <c r="V1336" i="4" s="1"/>
  <c r="W1336" i="4" a="1"/>
  <c r="W1336" i="4" s="1"/>
  <c r="T1300" i="4" a="1"/>
  <c r="T1300" i="4" s="1"/>
  <c r="U1300" i="4" a="1"/>
  <c r="U1300" i="4" s="1"/>
  <c r="W1300" i="4" a="1"/>
  <c r="W1300" i="4" s="1"/>
  <c r="V1300" i="4" a="1"/>
  <c r="V1300" i="4" s="1"/>
  <c r="T1264" i="4" a="1"/>
  <c r="T1264" i="4" s="1"/>
  <c r="U1264" i="4" a="1"/>
  <c r="U1264" i="4" s="1"/>
  <c r="V1264" i="4" a="1"/>
  <c r="V1264" i="4" s="1"/>
  <c r="W1264" i="4" a="1"/>
  <c r="W1264" i="4" s="1"/>
  <c r="T1228" i="4" a="1"/>
  <c r="T1228" i="4" s="1"/>
  <c r="U1228" i="4" a="1"/>
  <c r="U1228" i="4" s="1"/>
  <c r="V1228" i="4" a="1"/>
  <c r="V1228" i="4" s="1"/>
  <c r="W1228" i="4" a="1"/>
  <c r="W1228" i="4" s="1"/>
  <c r="T1192" i="4" a="1"/>
  <c r="T1192" i="4" s="1"/>
  <c r="U1192" i="4" a="1"/>
  <c r="U1192" i="4" s="1"/>
  <c r="V1192" i="4" a="1"/>
  <c r="V1192" i="4" s="1"/>
  <c r="W1192" i="4" a="1"/>
  <c r="W1192" i="4" s="1"/>
  <c r="T1156" i="4" a="1"/>
  <c r="T1156" i="4" s="1"/>
  <c r="U1156" i="4" a="1"/>
  <c r="U1156" i="4" s="1"/>
  <c r="V1156" i="4" a="1"/>
  <c r="V1156" i="4" s="1"/>
  <c r="W1156" i="4" a="1"/>
  <c r="W1156" i="4" s="1"/>
  <c r="U1120" i="4" a="1"/>
  <c r="U1120" i="4" s="1"/>
  <c r="T1120" i="4" a="1"/>
  <c r="T1120" i="4" s="1"/>
  <c r="V1120" i="4" a="1"/>
  <c r="V1120" i="4" s="1"/>
  <c r="W1120" i="4" a="1"/>
  <c r="W1120" i="4" s="1"/>
  <c r="U1084" i="4" a="1"/>
  <c r="U1084" i="4" s="1"/>
  <c r="T1084" i="4" a="1"/>
  <c r="T1084" i="4" s="1"/>
  <c r="V1084" i="4" a="1"/>
  <c r="V1084" i="4" s="1"/>
  <c r="W1084" i="4" a="1"/>
  <c r="W1084" i="4" s="1"/>
  <c r="T1048" i="4" a="1"/>
  <c r="T1048" i="4" s="1"/>
  <c r="U1048" i="4" a="1"/>
  <c r="U1048" i="4" s="1"/>
  <c r="V1048" i="4" a="1"/>
  <c r="V1048" i="4" s="1"/>
  <c r="W1048" i="4" a="1"/>
  <c r="W1048" i="4" s="1"/>
  <c r="T1012" i="4" a="1"/>
  <c r="T1012" i="4" s="1"/>
  <c r="U1012" i="4" a="1"/>
  <c r="U1012" i="4" s="1"/>
  <c r="V1012" i="4" a="1"/>
  <c r="V1012" i="4" s="1"/>
  <c r="W1012" i="4" a="1"/>
  <c r="W1012" i="4" s="1"/>
  <c r="U976" i="4" a="1"/>
  <c r="U976" i="4" s="1"/>
  <c r="T976" i="4" a="1"/>
  <c r="T976" i="4" s="1"/>
  <c r="V976" i="4" a="1"/>
  <c r="V976" i="4" s="1"/>
  <c r="W976" i="4" a="1"/>
  <c r="W976" i="4" s="1"/>
  <c r="T940" i="4" a="1"/>
  <c r="T940" i="4" s="1"/>
  <c r="V940" i="4" a="1"/>
  <c r="V940" i="4" s="1"/>
  <c r="W940" i="4" a="1"/>
  <c r="W940" i="4" s="1"/>
  <c r="U940" i="4" a="1"/>
  <c r="U940" i="4" s="1"/>
  <c r="T904" i="4" a="1"/>
  <c r="T904" i="4" s="1"/>
  <c r="U904" i="4" a="1"/>
  <c r="U904" i="4" s="1"/>
  <c r="V904" i="4" a="1"/>
  <c r="V904" i="4" s="1"/>
  <c r="W904" i="4" a="1"/>
  <c r="W904" i="4" s="1"/>
  <c r="T868" i="4" a="1"/>
  <c r="T868" i="4" s="1"/>
  <c r="U868" i="4" a="1"/>
  <c r="U868" i="4" s="1"/>
  <c r="V868" i="4" a="1"/>
  <c r="V868" i="4" s="1"/>
  <c r="W868" i="4" a="1"/>
  <c r="W868" i="4" s="1"/>
  <c r="T832" i="4" a="1"/>
  <c r="T832" i="4" s="1"/>
  <c r="U832" i="4" a="1"/>
  <c r="U832" i="4" s="1"/>
  <c r="V832" i="4" a="1"/>
  <c r="V832" i="4" s="1"/>
  <c r="W832" i="4" a="1"/>
  <c r="W832" i="4" s="1"/>
  <c r="T796" i="4" a="1"/>
  <c r="T796" i="4" s="1"/>
  <c r="U796" i="4" a="1"/>
  <c r="U796" i="4" s="1"/>
  <c r="V796" i="4" a="1"/>
  <c r="V796" i="4" s="1"/>
  <c r="W796" i="4" a="1"/>
  <c r="W796" i="4" s="1"/>
  <c r="T760" i="4" a="1"/>
  <c r="T760" i="4" s="1"/>
  <c r="U760" i="4" a="1"/>
  <c r="U760" i="4" s="1"/>
  <c r="V760" i="4" a="1"/>
  <c r="V760" i="4" s="1"/>
  <c r="W760" i="4" a="1"/>
  <c r="W760" i="4" s="1"/>
  <c r="T724" i="4" a="1"/>
  <c r="T724" i="4" s="1"/>
  <c r="U724" i="4" a="1"/>
  <c r="U724" i="4" s="1"/>
  <c r="V724" i="4" a="1"/>
  <c r="V724" i="4" s="1"/>
  <c r="W724" i="4" a="1"/>
  <c r="W724" i="4" s="1"/>
  <c r="T688" i="4" a="1"/>
  <c r="T688" i="4" s="1"/>
  <c r="U688" i="4" a="1"/>
  <c r="U688" i="4" s="1"/>
  <c r="V688" i="4" a="1"/>
  <c r="V688" i="4" s="1"/>
  <c r="W688" i="4" a="1"/>
  <c r="W688" i="4" s="1"/>
  <c r="U652" i="4" a="1"/>
  <c r="U652" i="4" s="1"/>
  <c r="T652" i="4" a="1"/>
  <c r="T652" i="4" s="1"/>
  <c r="V652" i="4" a="1"/>
  <c r="V652" i="4" s="1"/>
  <c r="W652" i="4" a="1"/>
  <c r="W652" i="4" s="1"/>
  <c r="T616" i="4" a="1"/>
  <c r="T616" i="4" s="1"/>
  <c r="U616" i="4" a="1"/>
  <c r="U616" i="4" s="1"/>
  <c r="V616" i="4" a="1"/>
  <c r="V616" i="4" s="1"/>
  <c r="W616" i="4" a="1"/>
  <c r="W616" i="4" s="1"/>
  <c r="T580" i="4" a="1"/>
  <c r="T580" i="4" s="1"/>
  <c r="U580" i="4" a="1"/>
  <c r="U580" i="4" s="1"/>
  <c r="V580" i="4" a="1"/>
  <c r="V580" i="4" s="1"/>
  <c r="W580" i="4" a="1"/>
  <c r="W580" i="4" s="1"/>
  <c r="T544" i="4" a="1"/>
  <c r="T544" i="4" s="1"/>
  <c r="U544" i="4" a="1"/>
  <c r="U544" i="4" s="1"/>
  <c r="V544" i="4" a="1"/>
  <c r="V544" i="4" s="1"/>
  <c r="W544" i="4" a="1"/>
  <c r="W544" i="4" s="1"/>
  <c r="T508" i="4" a="1"/>
  <c r="T508" i="4" s="1"/>
  <c r="U508" i="4" a="1"/>
  <c r="U508" i="4" s="1"/>
  <c r="V508" i="4" a="1"/>
  <c r="V508" i="4" s="1"/>
  <c r="W508" i="4" a="1"/>
  <c r="W508" i="4" s="1"/>
  <c r="T472" i="4" a="1"/>
  <c r="T472" i="4" s="1"/>
  <c r="U472" i="4" a="1"/>
  <c r="U472" i="4" s="1"/>
  <c r="V472" i="4" a="1"/>
  <c r="V472" i="4" s="1"/>
  <c r="W472" i="4" a="1"/>
  <c r="W472" i="4" s="1"/>
  <c r="T436" i="4" a="1"/>
  <c r="T436" i="4" s="1"/>
  <c r="U436" i="4" a="1"/>
  <c r="U436" i="4" s="1"/>
  <c r="V436" i="4" a="1"/>
  <c r="V436" i="4" s="1"/>
  <c r="W436" i="4" a="1"/>
  <c r="W436" i="4" s="1"/>
  <c r="T396" i="4" a="1"/>
  <c r="T396" i="4" s="1"/>
  <c r="W396" i="4" a="1"/>
  <c r="W396" i="4" s="1"/>
  <c r="V396" i="4" a="1"/>
  <c r="V396" i="4" s="1"/>
  <c r="U396" i="4" a="1"/>
  <c r="U396" i="4" s="1"/>
  <c r="T1467" i="4" a="1"/>
  <c r="T1467" i="4" s="1"/>
  <c r="U1467" i="4" a="1"/>
  <c r="U1467" i="4" s="1"/>
  <c r="W1467" i="4" a="1"/>
  <c r="W1467" i="4" s="1"/>
  <c r="V1467" i="4" a="1"/>
  <c r="V1467" i="4" s="1"/>
  <c r="T1431" i="4" a="1"/>
  <c r="T1431" i="4" s="1"/>
  <c r="U1431" i="4" a="1"/>
  <c r="U1431" i="4" s="1"/>
  <c r="W1431" i="4" a="1"/>
  <c r="W1431" i="4" s="1"/>
  <c r="V1431" i="4" a="1"/>
  <c r="V1431" i="4" s="1"/>
  <c r="T1395" i="4" a="1"/>
  <c r="T1395" i="4" s="1"/>
  <c r="U1395" i="4" a="1"/>
  <c r="U1395" i="4" s="1"/>
  <c r="V1395" i="4" a="1"/>
  <c r="V1395" i="4" s="1"/>
  <c r="W1395" i="4" a="1"/>
  <c r="W1395" i="4" s="1"/>
  <c r="T1359" i="4" a="1"/>
  <c r="T1359" i="4" s="1"/>
  <c r="V1359" i="4" a="1"/>
  <c r="V1359" i="4" s="1"/>
  <c r="U1359" i="4" a="1"/>
  <c r="U1359" i="4" s="1"/>
  <c r="W1359" i="4" a="1"/>
  <c r="W1359" i="4" s="1"/>
  <c r="T1323" i="4" a="1"/>
  <c r="T1323" i="4" s="1"/>
  <c r="V1323" i="4" a="1"/>
  <c r="V1323" i="4" s="1"/>
  <c r="U1323" i="4" a="1"/>
  <c r="U1323" i="4" s="1"/>
  <c r="W1323" i="4" a="1"/>
  <c r="W1323" i="4" s="1"/>
  <c r="T1287" i="4" a="1"/>
  <c r="T1287" i="4" s="1"/>
  <c r="V1287" i="4" a="1"/>
  <c r="V1287" i="4" s="1"/>
  <c r="U1287" i="4" a="1"/>
  <c r="U1287" i="4" s="1"/>
  <c r="W1287" i="4" a="1"/>
  <c r="W1287" i="4" s="1"/>
  <c r="T1251" i="4" a="1"/>
  <c r="T1251" i="4" s="1"/>
  <c r="V1251" i="4" a="1"/>
  <c r="V1251" i="4" s="1"/>
  <c r="U1251" i="4" a="1"/>
  <c r="U1251" i="4" s="1"/>
  <c r="W1251" i="4" a="1"/>
  <c r="W1251" i="4" s="1"/>
  <c r="T1215" i="4" a="1"/>
  <c r="T1215" i="4" s="1"/>
  <c r="V1215" i="4" a="1"/>
  <c r="V1215" i="4" s="1"/>
  <c r="U1215" i="4" a="1"/>
  <c r="U1215" i="4" s="1"/>
  <c r="W1215" i="4" a="1"/>
  <c r="W1215" i="4" s="1"/>
  <c r="T1179" i="4" a="1"/>
  <c r="T1179" i="4" s="1"/>
  <c r="V1179" i="4" a="1"/>
  <c r="V1179" i="4" s="1"/>
  <c r="U1179" i="4" a="1"/>
  <c r="U1179" i="4" s="1"/>
  <c r="W1179" i="4" a="1"/>
  <c r="W1179" i="4" s="1"/>
  <c r="T1143" i="4" a="1"/>
  <c r="T1143" i="4" s="1"/>
  <c r="V1143" i="4" a="1"/>
  <c r="V1143" i="4" s="1"/>
  <c r="U1143" i="4" a="1"/>
  <c r="U1143" i="4" s="1"/>
  <c r="W1143" i="4" a="1"/>
  <c r="W1143" i="4" s="1"/>
  <c r="T1107" i="4" a="1"/>
  <c r="T1107" i="4" s="1"/>
  <c r="V1107" i="4" a="1"/>
  <c r="V1107" i="4" s="1"/>
  <c r="U1107" i="4" a="1"/>
  <c r="U1107" i="4" s="1"/>
  <c r="W1107" i="4" a="1"/>
  <c r="W1107" i="4" s="1"/>
  <c r="T1071" i="4" a="1"/>
  <c r="T1071" i="4" s="1"/>
  <c r="V1071" i="4" a="1"/>
  <c r="V1071" i="4" s="1"/>
  <c r="U1071" i="4" a="1"/>
  <c r="U1071" i="4" s="1"/>
  <c r="W1071" i="4" a="1"/>
  <c r="W1071" i="4" s="1"/>
  <c r="T1035" i="4" a="1"/>
  <c r="T1035" i="4" s="1"/>
  <c r="V1035" i="4" a="1"/>
  <c r="V1035" i="4" s="1"/>
  <c r="U1035" i="4" a="1"/>
  <c r="U1035" i="4" s="1"/>
  <c r="W1035" i="4" a="1"/>
  <c r="W1035" i="4" s="1"/>
  <c r="T999" i="4" a="1"/>
  <c r="T999" i="4" s="1"/>
  <c r="U999" i="4" a="1"/>
  <c r="U999" i="4" s="1"/>
  <c r="V999" i="4" a="1"/>
  <c r="V999" i="4" s="1"/>
  <c r="W999" i="4" a="1"/>
  <c r="W999" i="4" s="1"/>
  <c r="T963" i="4" a="1"/>
  <c r="T963" i="4" s="1"/>
  <c r="U963" i="4" a="1"/>
  <c r="U963" i="4" s="1"/>
  <c r="V963" i="4" a="1"/>
  <c r="V963" i="4" s="1"/>
  <c r="W963" i="4" a="1"/>
  <c r="W963" i="4" s="1"/>
  <c r="U927" i="4" a="1"/>
  <c r="U927" i="4" s="1"/>
  <c r="T927" i="4" a="1"/>
  <c r="T927" i="4" s="1"/>
  <c r="V927" i="4" a="1"/>
  <c r="V927" i="4" s="1"/>
  <c r="W927" i="4" a="1"/>
  <c r="W927" i="4" s="1"/>
  <c r="T891" i="4" a="1"/>
  <c r="T891" i="4" s="1"/>
  <c r="U891" i="4" a="1"/>
  <c r="U891" i="4" s="1"/>
  <c r="V891" i="4" a="1"/>
  <c r="V891" i="4" s="1"/>
  <c r="W891" i="4" a="1"/>
  <c r="W891" i="4" s="1"/>
  <c r="T855" i="4" a="1"/>
  <c r="T855" i="4" s="1"/>
  <c r="U855" i="4" a="1"/>
  <c r="U855" i="4" s="1"/>
  <c r="V855" i="4" a="1"/>
  <c r="V855" i="4" s="1"/>
  <c r="W855" i="4" a="1"/>
  <c r="W855" i="4" s="1"/>
  <c r="T819" i="4" a="1"/>
  <c r="T819" i="4" s="1"/>
  <c r="U819" i="4" a="1"/>
  <c r="U819" i="4" s="1"/>
  <c r="V819" i="4" a="1"/>
  <c r="V819" i="4" s="1"/>
  <c r="W819" i="4" a="1"/>
  <c r="W819" i="4" s="1"/>
  <c r="T783" i="4" a="1"/>
  <c r="T783" i="4" s="1"/>
  <c r="U783" i="4" a="1"/>
  <c r="U783" i="4" s="1"/>
  <c r="V783" i="4" a="1"/>
  <c r="V783" i="4" s="1"/>
  <c r="W783" i="4" a="1"/>
  <c r="W783" i="4" s="1"/>
  <c r="T747" i="4" a="1"/>
  <c r="T747" i="4" s="1"/>
  <c r="U747" i="4" a="1"/>
  <c r="U747" i="4" s="1"/>
  <c r="V747" i="4" a="1"/>
  <c r="V747" i="4" s="1"/>
  <c r="W747" i="4" a="1"/>
  <c r="W747" i="4" s="1"/>
  <c r="U711" i="4" a="1"/>
  <c r="U711" i="4" s="1"/>
  <c r="T711" i="4" a="1"/>
  <c r="T711" i="4" s="1"/>
  <c r="V711" i="4" a="1"/>
  <c r="V711" i="4" s="1"/>
  <c r="W711" i="4" a="1"/>
  <c r="W711" i="4" s="1"/>
  <c r="T675" i="4" a="1"/>
  <c r="T675" i="4" s="1"/>
  <c r="U675" i="4" a="1"/>
  <c r="U675" i="4" s="1"/>
  <c r="V675" i="4" a="1"/>
  <c r="V675" i="4" s="1"/>
  <c r="W675" i="4" a="1"/>
  <c r="W675" i="4" s="1"/>
  <c r="T639" i="4" a="1"/>
  <c r="T639" i="4" s="1"/>
  <c r="U639" i="4" a="1"/>
  <c r="U639" i="4" s="1"/>
  <c r="V639" i="4" a="1"/>
  <c r="V639" i="4" s="1"/>
  <c r="W639" i="4" a="1"/>
  <c r="W639" i="4" s="1"/>
  <c r="U603" i="4" a="1"/>
  <c r="U603" i="4" s="1"/>
  <c r="T603" i="4" a="1"/>
  <c r="T603" i="4" s="1"/>
  <c r="V603" i="4" a="1"/>
  <c r="V603" i="4" s="1"/>
  <c r="W603" i="4" a="1"/>
  <c r="W603" i="4" s="1"/>
  <c r="T567" i="4" a="1"/>
  <c r="T567" i="4" s="1"/>
  <c r="U567" i="4" a="1"/>
  <c r="U567" i="4" s="1"/>
  <c r="V567" i="4" a="1"/>
  <c r="V567" i="4" s="1"/>
  <c r="W567" i="4" a="1"/>
  <c r="W567" i="4" s="1"/>
  <c r="T531" i="4" a="1"/>
  <c r="T531" i="4" s="1"/>
  <c r="U531" i="4" a="1"/>
  <c r="U531" i="4" s="1"/>
  <c r="V531" i="4" a="1"/>
  <c r="V531" i="4" s="1"/>
  <c r="W531" i="4" a="1"/>
  <c r="W531" i="4" s="1"/>
  <c r="T495" i="4" a="1"/>
  <c r="T495" i="4" s="1"/>
  <c r="U495" i="4" a="1"/>
  <c r="U495" i="4" s="1"/>
  <c r="V495" i="4" a="1"/>
  <c r="V495" i="4" s="1"/>
  <c r="W495" i="4" a="1"/>
  <c r="W495" i="4" s="1"/>
  <c r="T459" i="4" a="1"/>
  <c r="T459" i="4" s="1"/>
  <c r="U459" i="4" a="1"/>
  <c r="U459" i="4" s="1"/>
  <c r="V459" i="4" a="1"/>
  <c r="V459" i="4" s="1"/>
  <c r="W459" i="4" a="1"/>
  <c r="W459" i="4" s="1"/>
  <c r="T423" i="4" a="1"/>
  <c r="T423" i="4" s="1"/>
  <c r="U423" i="4" a="1"/>
  <c r="U423" i="4" s="1"/>
  <c r="V423" i="4" a="1"/>
  <c r="V423" i="4" s="1"/>
  <c r="W423" i="4" a="1"/>
  <c r="W423" i="4" s="1"/>
  <c r="T392" i="4" a="1"/>
  <c r="T392" i="4" s="1"/>
  <c r="V392" i="4" a="1"/>
  <c r="V392" i="4" s="1"/>
  <c r="U392" i="4" a="1"/>
  <c r="U392" i="4" s="1"/>
  <c r="W392" i="4" a="1"/>
  <c r="W392" i="4" s="1"/>
  <c r="T356" i="4" a="1"/>
  <c r="T356" i="4" s="1"/>
  <c r="U356" i="4" a="1"/>
  <c r="U356" i="4" s="1"/>
  <c r="W356" i="4" a="1"/>
  <c r="W356" i="4" s="1"/>
  <c r="V356" i="4" a="1"/>
  <c r="V356" i="4" s="1"/>
  <c r="T320" i="4" a="1"/>
  <c r="T320" i="4" s="1"/>
  <c r="U320" i="4" a="1"/>
  <c r="U320" i="4" s="1"/>
  <c r="W320" i="4" a="1"/>
  <c r="W320" i="4" s="1"/>
  <c r="V320" i="4" a="1"/>
  <c r="V320" i="4" s="1"/>
  <c r="T284" i="4" a="1"/>
  <c r="T284" i="4" s="1"/>
  <c r="U284" i="4" a="1"/>
  <c r="U284" i="4" s="1"/>
  <c r="W284" i="4" a="1"/>
  <c r="W284" i="4" s="1"/>
  <c r="V284" i="4" a="1"/>
  <c r="V284" i="4" s="1"/>
  <c r="T248" i="4" a="1"/>
  <c r="T248" i="4" s="1"/>
  <c r="U248" i="4" a="1"/>
  <c r="U248" i="4" s="1"/>
  <c r="W248" i="4" a="1"/>
  <c r="W248" i="4" s="1"/>
  <c r="V248" i="4" a="1"/>
  <c r="V248" i="4" s="1"/>
  <c r="T349" i="4" a="1"/>
  <c r="T349" i="4" s="1"/>
  <c r="U349" i="4" a="1"/>
  <c r="U349" i="4" s="1"/>
  <c r="V349" i="4" a="1"/>
  <c r="V349" i="4" s="1"/>
  <c r="W349" i="4" a="1"/>
  <c r="W349" i="4" s="1"/>
  <c r="T313" i="4" a="1"/>
  <c r="T313" i="4" s="1"/>
  <c r="U313" i="4" a="1"/>
  <c r="U313" i="4" s="1"/>
  <c r="V313" i="4" a="1"/>
  <c r="V313" i="4" s="1"/>
  <c r="W313" i="4" a="1"/>
  <c r="W313" i="4" s="1"/>
  <c r="T277" i="4" a="1"/>
  <c r="T277" i="4" s="1"/>
  <c r="U277" i="4" a="1"/>
  <c r="U277" i="4" s="1"/>
  <c r="V277" i="4" a="1"/>
  <c r="V277" i="4" s="1"/>
  <c r="W277" i="4" a="1"/>
  <c r="W277" i="4" s="1"/>
  <c r="T241" i="4" a="1"/>
  <c r="T241" i="4" s="1"/>
  <c r="U241" i="4" a="1"/>
  <c r="U241" i="4" s="1"/>
  <c r="V241" i="4" a="1"/>
  <c r="V241" i="4" s="1"/>
  <c r="W241" i="4" a="1"/>
  <c r="W241" i="4" s="1"/>
  <c r="U360" i="4" a="1"/>
  <c r="U360" i="4" s="1"/>
  <c r="T360" i="4" a="1"/>
  <c r="T360" i="4" s="1"/>
  <c r="V360" i="4" a="1"/>
  <c r="V360" i="4" s="1"/>
  <c r="W360" i="4" a="1"/>
  <c r="W360" i="4" s="1"/>
  <c r="T324" i="4" a="1"/>
  <c r="T324" i="4" s="1"/>
  <c r="U324" i="4" a="1"/>
  <c r="U324" i="4" s="1"/>
  <c r="V324" i="4" a="1"/>
  <c r="V324" i="4" s="1"/>
  <c r="W324" i="4" a="1"/>
  <c r="W324" i="4" s="1"/>
  <c r="T288" i="4" a="1"/>
  <c r="T288" i="4" s="1"/>
  <c r="U288" i="4" a="1"/>
  <c r="U288" i="4" s="1"/>
  <c r="V288" i="4" a="1"/>
  <c r="V288" i="4" s="1"/>
  <c r="W288" i="4" a="1"/>
  <c r="W288" i="4" s="1"/>
  <c r="T252" i="4" a="1"/>
  <c r="T252" i="4" s="1"/>
  <c r="U252" i="4" a="1"/>
  <c r="U252" i="4" s="1"/>
  <c r="V252" i="4" a="1"/>
  <c r="V252" i="4" s="1"/>
  <c r="W252" i="4" a="1"/>
  <c r="W252" i="4" s="1"/>
  <c r="T371" i="4" a="1"/>
  <c r="T371" i="4" s="1"/>
  <c r="U371" i="4" a="1"/>
  <c r="U371" i="4" s="1"/>
  <c r="W371" i="4" a="1"/>
  <c r="W371" i="4" s="1"/>
  <c r="V371" i="4" a="1"/>
  <c r="V371" i="4" s="1"/>
  <c r="T335" i="4" a="1"/>
  <c r="T335" i="4" s="1"/>
  <c r="U335" i="4" a="1"/>
  <c r="U335" i="4" s="1"/>
  <c r="W335" i="4" a="1"/>
  <c r="W335" i="4" s="1"/>
  <c r="V335" i="4" a="1"/>
  <c r="V335" i="4" s="1"/>
  <c r="T299" i="4" a="1"/>
  <c r="T299" i="4" s="1"/>
  <c r="U299" i="4" a="1"/>
  <c r="U299" i="4" s="1"/>
  <c r="V299" i="4" a="1"/>
  <c r="V299" i="4" s="1"/>
  <c r="W299" i="4" a="1"/>
  <c r="W299" i="4" s="1"/>
  <c r="T263" i="4" a="1"/>
  <c r="T263" i="4" s="1"/>
  <c r="U263" i="4" a="1"/>
  <c r="U263" i="4" s="1"/>
  <c r="V263" i="4" a="1"/>
  <c r="V263" i="4" s="1"/>
  <c r="W263" i="4" a="1"/>
  <c r="W263" i="4" s="1"/>
  <c r="U227" i="4" a="1"/>
  <c r="U227" i="4" s="1"/>
  <c r="T227" i="4" a="1"/>
  <c r="T227" i="4" s="1"/>
  <c r="V227" i="4" a="1"/>
  <c r="V227" i="4" s="1"/>
  <c r="W227" i="4" a="1"/>
  <c r="W227" i="4" s="1"/>
  <c r="T382" i="4" a="1"/>
  <c r="T382" i="4" s="1"/>
  <c r="U382" i="4" a="1"/>
  <c r="U382" i="4" s="1"/>
  <c r="V382" i="4" a="1"/>
  <c r="V382" i="4" s="1"/>
  <c r="W382" i="4" a="1"/>
  <c r="W382" i="4" s="1"/>
  <c r="T346" i="4" a="1"/>
  <c r="T346" i="4" s="1"/>
  <c r="V346" i="4" a="1"/>
  <c r="V346" i="4" s="1"/>
  <c r="U346" i="4" a="1"/>
  <c r="U346" i="4" s="1"/>
  <c r="W346" i="4" a="1"/>
  <c r="W346" i="4" s="1"/>
  <c r="T310" i="4" a="1"/>
  <c r="T310" i="4" s="1"/>
  <c r="U310" i="4" a="1"/>
  <c r="U310" i="4" s="1"/>
  <c r="V310" i="4" a="1"/>
  <c r="V310" i="4" s="1"/>
  <c r="W310" i="4" a="1"/>
  <c r="W310" i="4" s="1"/>
  <c r="T274" i="4" a="1"/>
  <c r="T274" i="4" s="1"/>
  <c r="U274" i="4" a="1"/>
  <c r="U274" i="4" s="1"/>
  <c r="V274" i="4" a="1"/>
  <c r="V274" i="4" s="1"/>
  <c r="W274" i="4" a="1"/>
  <c r="W274" i="4" s="1"/>
  <c r="T238" i="4" a="1"/>
  <c r="T238" i="4" s="1"/>
  <c r="U238" i="4" a="1"/>
  <c r="U238" i="4" s="1"/>
  <c r="W238" i="4" a="1"/>
  <c r="W238" i="4" s="1"/>
  <c r="V238" i="4" a="1"/>
  <c r="V238" i="4" s="1"/>
  <c r="T405" i="4" a="1"/>
  <c r="T405" i="4" s="1"/>
  <c r="U405" i="4" a="1"/>
  <c r="U405" i="4" s="1"/>
  <c r="V405" i="4" a="1"/>
  <c r="V405" i="4" s="1"/>
  <c r="W405" i="4" a="1"/>
  <c r="W405" i="4" s="1"/>
  <c r="T369" i="4" a="1"/>
  <c r="T369" i="4" s="1"/>
  <c r="U369" i="4" a="1"/>
  <c r="U369" i="4" s="1"/>
  <c r="V369" i="4" a="1"/>
  <c r="V369" i="4" s="1"/>
  <c r="W369" i="4" a="1"/>
  <c r="W369" i="4" s="1"/>
  <c r="T333" i="4" a="1"/>
  <c r="T333" i="4" s="1"/>
  <c r="U333" i="4" a="1"/>
  <c r="U333" i="4" s="1"/>
  <c r="V333" i="4" a="1"/>
  <c r="V333" i="4" s="1"/>
  <c r="W333" i="4" a="1"/>
  <c r="W333" i="4" s="1"/>
  <c r="T297" i="4" a="1"/>
  <c r="T297" i="4" s="1"/>
  <c r="U297" i="4" a="1"/>
  <c r="U297" i="4" s="1"/>
  <c r="V297" i="4" a="1"/>
  <c r="V297" i="4" s="1"/>
  <c r="W297" i="4" a="1"/>
  <c r="W297" i="4" s="1"/>
  <c r="T261" i="4" a="1"/>
  <c r="T261" i="4" s="1"/>
  <c r="U261" i="4" a="1"/>
  <c r="U261" i="4" s="1"/>
  <c r="V261" i="4" a="1"/>
  <c r="V261" i="4" s="1"/>
  <c r="W261" i="4" a="1"/>
  <c r="W261" i="4" s="1"/>
  <c r="T225" i="4" a="1"/>
  <c r="T225" i="4" s="1"/>
  <c r="U225" i="4" a="1"/>
  <c r="U225" i="4" s="1"/>
  <c r="V225" i="4" a="1"/>
  <c r="V225" i="4" s="1"/>
  <c r="W225" i="4" a="1"/>
  <c r="W225" i="4" s="1"/>
  <c r="L972" i="4"/>
  <c r="L900" i="4"/>
  <c r="L1038" i="4"/>
  <c r="L966" i="4"/>
  <c r="L894" i="4"/>
  <c r="L1464" i="4"/>
  <c r="L1428" i="4"/>
  <c r="L1392" i="4"/>
  <c r="L1356" i="4"/>
  <c r="L1320" i="4"/>
  <c r="L1284" i="4"/>
  <c r="L1248" i="4"/>
  <c r="L1212" i="4"/>
  <c r="L1176" i="4"/>
  <c r="L1140" i="4"/>
  <c r="L1104" i="4"/>
  <c r="T1063" i="4" a="1"/>
  <c r="T1063" i="4" s="1"/>
  <c r="V1063" i="4" a="1"/>
  <c r="V1063" i="4" s="1"/>
  <c r="U1063" i="4" a="1"/>
  <c r="U1063" i="4" s="1"/>
  <c r="W1063" i="4" a="1"/>
  <c r="W1063" i="4" s="1"/>
  <c r="T991" i="4" a="1"/>
  <c r="T991" i="4" s="1"/>
  <c r="V991" i="4" a="1"/>
  <c r="V991" i="4" s="1"/>
  <c r="U991" i="4" a="1"/>
  <c r="U991" i="4" s="1"/>
  <c r="W991" i="4" a="1"/>
  <c r="W991" i="4" s="1"/>
  <c r="T919" i="4" a="1"/>
  <c r="T919" i="4" s="1"/>
  <c r="V919" i="4" a="1"/>
  <c r="V919" i="4" s="1"/>
  <c r="U919" i="4" a="1"/>
  <c r="U919" i="4" s="1"/>
  <c r="W919" i="4" a="1"/>
  <c r="W919" i="4" s="1"/>
  <c r="T1345" i="4" a="1"/>
  <c r="T1345" i="4" s="1"/>
  <c r="V1345" i="4" a="1"/>
  <c r="V1345" i="4" s="1"/>
  <c r="U1345" i="4" a="1"/>
  <c r="U1345" i="4" s="1"/>
  <c r="W1345" i="4" a="1"/>
  <c r="W1345" i="4" s="1"/>
  <c r="T1129" i="4" a="1"/>
  <c r="T1129" i="4" s="1"/>
  <c r="U1129" i="4" a="1"/>
  <c r="U1129" i="4" s="1"/>
  <c r="V1129" i="4" a="1"/>
  <c r="V1129" i="4" s="1"/>
  <c r="W1129" i="4" a="1"/>
  <c r="W1129" i="4" s="1"/>
  <c r="T913" i="4" a="1"/>
  <c r="T913" i="4" s="1"/>
  <c r="U913" i="4" a="1"/>
  <c r="U913" i="4" s="1"/>
  <c r="V913" i="4" a="1"/>
  <c r="V913" i="4" s="1"/>
  <c r="W913" i="4" a="1"/>
  <c r="W913" i="4" s="1"/>
  <c r="T1339" i="4" a="1"/>
  <c r="T1339" i="4" s="1"/>
  <c r="U1339" i="4" a="1"/>
  <c r="U1339" i="4" s="1"/>
  <c r="W1339" i="4" a="1"/>
  <c r="W1339" i="4" s="1"/>
  <c r="V1339" i="4" a="1"/>
  <c r="V1339" i="4" s="1"/>
  <c r="T1123" i="4" a="1"/>
  <c r="T1123" i="4" s="1"/>
  <c r="U1123" i="4" a="1"/>
  <c r="U1123" i="4" s="1"/>
  <c r="W1123" i="4" a="1"/>
  <c r="W1123" i="4" s="1"/>
  <c r="V1123" i="4" a="1"/>
  <c r="V1123" i="4" s="1"/>
  <c r="T907" i="4" a="1"/>
  <c r="T907" i="4" s="1"/>
  <c r="U907" i="4" a="1"/>
  <c r="U907" i="4" s="1"/>
  <c r="W907" i="4" a="1"/>
  <c r="W907" i="4" s="1"/>
  <c r="V907" i="4" a="1"/>
  <c r="V907" i="4" s="1"/>
  <c r="T1333" i="4" a="1"/>
  <c r="T1333" i="4" s="1"/>
  <c r="U1333" i="4" a="1"/>
  <c r="U1333" i="4" s="1"/>
  <c r="W1333" i="4" a="1"/>
  <c r="W1333" i="4" s="1"/>
  <c r="V1333" i="4" a="1"/>
  <c r="V1333" i="4" s="1"/>
  <c r="T1117" i="4" a="1"/>
  <c r="T1117" i="4" s="1"/>
  <c r="V1117" i="4" a="1"/>
  <c r="V1117" i="4" s="1"/>
  <c r="U1117" i="4" a="1"/>
  <c r="U1117" i="4" s="1"/>
  <c r="W1117" i="4" a="1"/>
  <c r="W1117" i="4" s="1"/>
  <c r="T901" i="4" a="1"/>
  <c r="T901" i="4" s="1"/>
  <c r="V901" i="4" a="1"/>
  <c r="V901" i="4" s="1"/>
  <c r="U901" i="4" a="1"/>
  <c r="U901" i="4" s="1"/>
  <c r="W901" i="4" a="1"/>
  <c r="W901" i="4" s="1"/>
  <c r="T1363" i="4" a="1"/>
  <c r="T1363" i="4" s="1"/>
  <c r="V1363" i="4" a="1"/>
  <c r="V1363" i="4" s="1"/>
  <c r="U1363" i="4" a="1"/>
  <c r="U1363" i="4" s="1"/>
  <c r="W1363" i="4" a="1"/>
  <c r="W1363" i="4" s="1"/>
  <c r="T1147" i="4" a="1"/>
  <c r="T1147" i="4" s="1"/>
  <c r="U1147" i="4" a="1"/>
  <c r="U1147" i="4" s="1"/>
  <c r="V1147" i="4" a="1"/>
  <c r="V1147" i="4" s="1"/>
  <c r="W1147" i="4" a="1"/>
  <c r="W1147" i="4" s="1"/>
  <c r="T931" i="4" a="1"/>
  <c r="T931" i="4" s="1"/>
  <c r="U931" i="4" a="1"/>
  <c r="U931" i="4" s="1"/>
  <c r="V931" i="4" a="1"/>
  <c r="V931" i="4" s="1"/>
  <c r="W931" i="4" a="1"/>
  <c r="W931" i="4" s="1"/>
  <c r="T1393" i="4" a="1"/>
  <c r="T1393" i="4" s="1"/>
  <c r="U1393" i="4" a="1"/>
  <c r="U1393" i="4" s="1"/>
  <c r="V1393" i="4" a="1"/>
  <c r="V1393" i="4" s="1"/>
  <c r="W1393" i="4" a="1"/>
  <c r="W1393" i="4" s="1"/>
  <c r="T1177" i="4" a="1"/>
  <c r="T1177" i="4" s="1"/>
  <c r="U1177" i="4" a="1"/>
  <c r="U1177" i="4" s="1"/>
  <c r="W1177" i="4" a="1"/>
  <c r="W1177" i="4" s="1"/>
  <c r="V1177" i="4" a="1"/>
  <c r="V1177" i="4" s="1"/>
  <c r="T961" i="4" a="1"/>
  <c r="T961" i="4" s="1"/>
  <c r="U961" i="4" a="1"/>
  <c r="U961" i="4" s="1"/>
  <c r="W961" i="4" a="1"/>
  <c r="W961" i="4" s="1"/>
  <c r="V961" i="4" a="1"/>
  <c r="V961" i="4" s="1"/>
  <c r="T1430" i="4" a="1"/>
  <c r="T1430" i="4" s="1"/>
  <c r="U1430" i="4" a="1"/>
  <c r="U1430" i="4" s="1"/>
  <c r="W1430" i="4" a="1"/>
  <c r="W1430" i="4" s="1"/>
  <c r="V1430" i="4" a="1"/>
  <c r="V1430" i="4" s="1"/>
  <c r="T1394" i="4" a="1"/>
  <c r="T1394" i="4" s="1"/>
  <c r="U1394" i="4" a="1"/>
  <c r="U1394" i="4" s="1"/>
  <c r="W1394" i="4" a="1"/>
  <c r="W1394" i="4" s="1"/>
  <c r="V1394" i="4" a="1"/>
  <c r="V1394" i="4" s="1"/>
  <c r="T1358" i="4" a="1"/>
  <c r="T1358" i="4" s="1"/>
  <c r="U1358" i="4" a="1"/>
  <c r="U1358" i="4" s="1"/>
  <c r="V1358" i="4" a="1"/>
  <c r="V1358" i="4" s="1"/>
  <c r="W1358" i="4" a="1"/>
  <c r="W1358" i="4" s="1"/>
  <c r="T1322" i="4" a="1"/>
  <c r="T1322" i="4" s="1"/>
  <c r="U1322" i="4" a="1"/>
  <c r="U1322" i="4" s="1"/>
  <c r="V1322" i="4" a="1"/>
  <c r="V1322" i="4" s="1"/>
  <c r="W1322" i="4" a="1"/>
  <c r="W1322" i="4" s="1"/>
  <c r="T1286" i="4" a="1"/>
  <c r="T1286" i="4" s="1"/>
  <c r="U1286" i="4" a="1"/>
  <c r="U1286" i="4" s="1"/>
  <c r="V1286" i="4" a="1"/>
  <c r="V1286" i="4" s="1"/>
  <c r="W1286" i="4" a="1"/>
  <c r="W1286" i="4" s="1"/>
  <c r="T1250" i="4" a="1"/>
  <c r="T1250" i="4" s="1"/>
  <c r="U1250" i="4" a="1"/>
  <c r="U1250" i="4" s="1"/>
  <c r="V1250" i="4" a="1"/>
  <c r="V1250" i="4" s="1"/>
  <c r="W1250" i="4" a="1"/>
  <c r="W1250" i="4" s="1"/>
  <c r="T1214" i="4" a="1"/>
  <c r="T1214" i="4" s="1"/>
  <c r="U1214" i="4" a="1"/>
  <c r="U1214" i="4" s="1"/>
  <c r="V1214" i="4" a="1"/>
  <c r="V1214" i="4" s="1"/>
  <c r="W1214" i="4" a="1"/>
  <c r="W1214" i="4" s="1"/>
  <c r="T1178" i="4" a="1"/>
  <c r="T1178" i="4" s="1"/>
  <c r="U1178" i="4" a="1"/>
  <c r="U1178" i="4" s="1"/>
  <c r="V1178" i="4" a="1"/>
  <c r="V1178" i="4" s="1"/>
  <c r="W1178" i="4" a="1"/>
  <c r="W1178" i="4" s="1"/>
  <c r="T1142" i="4" a="1"/>
  <c r="T1142" i="4" s="1"/>
  <c r="U1142" i="4" a="1"/>
  <c r="U1142" i="4" s="1"/>
  <c r="V1142" i="4" a="1"/>
  <c r="V1142" i="4" s="1"/>
  <c r="W1142" i="4" a="1"/>
  <c r="W1142" i="4" s="1"/>
  <c r="T1106" i="4" a="1"/>
  <c r="T1106" i="4" s="1"/>
  <c r="U1106" i="4" a="1"/>
  <c r="U1106" i="4" s="1"/>
  <c r="V1106" i="4" a="1"/>
  <c r="V1106" i="4" s="1"/>
  <c r="W1106" i="4" a="1"/>
  <c r="W1106" i="4" s="1"/>
  <c r="T1070" i="4" a="1"/>
  <c r="T1070" i="4" s="1"/>
  <c r="U1070" i="4" a="1"/>
  <c r="U1070" i="4" s="1"/>
  <c r="V1070" i="4" a="1"/>
  <c r="V1070" i="4" s="1"/>
  <c r="W1070" i="4" a="1"/>
  <c r="W1070" i="4" s="1"/>
  <c r="T1034" i="4" a="1"/>
  <c r="T1034" i="4" s="1"/>
  <c r="U1034" i="4" a="1"/>
  <c r="U1034" i="4" s="1"/>
  <c r="V1034" i="4" a="1"/>
  <c r="V1034" i="4" s="1"/>
  <c r="W1034" i="4" a="1"/>
  <c r="W1034" i="4" s="1"/>
  <c r="T998" i="4" a="1"/>
  <c r="T998" i="4" s="1"/>
  <c r="U998" i="4" a="1"/>
  <c r="U998" i="4" s="1"/>
  <c r="V998" i="4" a="1"/>
  <c r="V998" i="4" s="1"/>
  <c r="W998" i="4" a="1"/>
  <c r="W998" i="4" s="1"/>
  <c r="T962" i="4" a="1"/>
  <c r="T962" i="4" s="1"/>
  <c r="U962" i="4" a="1"/>
  <c r="U962" i="4" s="1"/>
  <c r="V962" i="4" a="1"/>
  <c r="V962" i="4" s="1"/>
  <c r="W962" i="4" a="1"/>
  <c r="W962" i="4" s="1"/>
  <c r="T926" i="4" a="1"/>
  <c r="T926" i="4" s="1"/>
  <c r="V926" i="4" a="1"/>
  <c r="V926" i="4" s="1"/>
  <c r="U926" i="4" a="1"/>
  <c r="U926" i="4" s="1"/>
  <c r="W926" i="4" a="1"/>
  <c r="W926" i="4" s="1"/>
  <c r="T890" i="4" a="1"/>
  <c r="T890" i="4" s="1"/>
  <c r="U890" i="4" a="1"/>
  <c r="U890" i="4" s="1"/>
  <c r="V890" i="4" a="1"/>
  <c r="V890" i="4" s="1"/>
  <c r="W890" i="4" a="1"/>
  <c r="W890" i="4" s="1"/>
  <c r="T854" i="4" a="1"/>
  <c r="T854" i="4" s="1"/>
  <c r="U854" i="4" a="1"/>
  <c r="U854" i="4" s="1"/>
  <c r="V854" i="4" a="1"/>
  <c r="V854" i="4" s="1"/>
  <c r="W854" i="4" a="1"/>
  <c r="W854" i="4" s="1"/>
  <c r="T818" i="4" a="1"/>
  <c r="T818" i="4" s="1"/>
  <c r="V818" i="4" a="1"/>
  <c r="V818" i="4" s="1"/>
  <c r="W818" i="4" a="1"/>
  <c r="W818" i="4" s="1"/>
  <c r="U818" i="4" a="1"/>
  <c r="U818" i="4" s="1"/>
  <c r="V782" i="4" a="1"/>
  <c r="V782" i="4" s="1"/>
  <c r="T782" i="4" a="1"/>
  <c r="T782" i="4" s="1"/>
  <c r="U782" i="4" a="1"/>
  <c r="U782" i="4" s="1"/>
  <c r="W782" i="4" a="1"/>
  <c r="W782" i="4" s="1"/>
  <c r="T746" i="4" a="1"/>
  <c r="T746" i="4" s="1"/>
  <c r="V746" i="4" a="1"/>
  <c r="V746" i="4" s="1"/>
  <c r="U746" i="4" a="1"/>
  <c r="U746" i="4" s="1"/>
  <c r="W746" i="4" a="1"/>
  <c r="W746" i="4" s="1"/>
  <c r="T710" i="4" a="1"/>
  <c r="T710" i="4" s="1"/>
  <c r="V710" i="4" a="1"/>
  <c r="V710" i="4" s="1"/>
  <c r="U710" i="4" a="1"/>
  <c r="U710" i="4" s="1"/>
  <c r="W710" i="4" a="1"/>
  <c r="W710" i="4" s="1"/>
  <c r="T674" i="4" a="1"/>
  <c r="T674" i="4" s="1"/>
  <c r="V674" i="4" a="1"/>
  <c r="V674" i="4" s="1"/>
  <c r="U674" i="4" a="1"/>
  <c r="U674" i="4" s="1"/>
  <c r="W674" i="4" a="1"/>
  <c r="W674" i="4" s="1"/>
  <c r="T638" i="4" a="1"/>
  <c r="T638" i="4" s="1"/>
  <c r="V638" i="4" a="1"/>
  <c r="V638" i="4" s="1"/>
  <c r="U638" i="4" a="1"/>
  <c r="U638" i="4" s="1"/>
  <c r="W638" i="4" a="1"/>
  <c r="W638" i="4" s="1"/>
  <c r="T602" i="4" a="1"/>
  <c r="T602" i="4" s="1"/>
  <c r="V602" i="4" a="1"/>
  <c r="V602" i="4" s="1"/>
  <c r="U602" i="4" a="1"/>
  <c r="U602" i="4" s="1"/>
  <c r="W602" i="4" a="1"/>
  <c r="W602" i="4" s="1"/>
  <c r="T566" i="4" a="1"/>
  <c r="T566" i="4" s="1"/>
  <c r="V566" i="4" a="1"/>
  <c r="V566" i="4" s="1"/>
  <c r="U566" i="4" a="1"/>
  <c r="U566" i="4" s="1"/>
  <c r="W566" i="4" a="1"/>
  <c r="W566" i="4" s="1"/>
  <c r="T530" i="4" a="1"/>
  <c r="T530" i="4" s="1"/>
  <c r="V530" i="4" a="1"/>
  <c r="V530" i="4" s="1"/>
  <c r="U530" i="4" a="1"/>
  <c r="U530" i="4" s="1"/>
  <c r="W530" i="4" a="1"/>
  <c r="W530" i="4" s="1"/>
  <c r="T494" i="4" a="1"/>
  <c r="T494" i="4" s="1"/>
  <c r="V494" i="4" a="1"/>
  <c r="V494" i="4" s="1"/>
  <c r="U494" i="4" a="1"/>
  <c r="U494" i="4" s="1"/>
  <c r="W494" i="4" a="1"/>
  <c r="W494" i="4" s="1"/>
  <c r="V458" i="4" a="1"/>
  <c r="V458" i="4" s="1"/>
  <c r="T458" i="4" a="1"/>
  <c r="T458" i="4" s="1"/>
  <c r="U458" i="4" a="1"/>
  <c r="U458" i="4" s="1"/>
  <c r="W458" i="4" a="1"/>
  <c r="W458" i="4" s="1"/>
  <c r="T422" i="4" a="1"/>
  <c r="T422" i="4" s="1"/>
  <c r="V422" i="4" a="1"/>
  <c r="V422" i="4" s="1"/>
  <c r="U422" i="4" a="1"/>
  <c r="U422" i="4" s="1"/>
  <c r="W422" i="4" a="1"/>
  <c r="W422" i="4" s="1"/>
  <c r="T871" i="4" a="1"/>
  <c r="T871" i="4" s="1"/>
  <c r="U871" i="4" a="1"/>
  <c r="U871" i="4" s="1"/>
  <c r="W871" i="4" a="1"/>
  <c r="W871" i="4" s="1"/>
  <c r="V871" i="4" a="1"/>
  <c r="V871" i="4" s="1"/>
  <c r="T835" i="4" a="1"/>
  <c r="T835" i="4" s="1"/>
  <c r="U835" i="4" a="1"/>
  <c r="U835" i="4" s="1"/>
  <c r="V835" i="4" a="1"/>
  <c r="V835" i="4" s="1"/>
  <c r="W835" i="4" a="1"/>
  <c r="W835" i="4" s="1"/>
  <c r="T799" i="4" a="1"/>
  <c r="T799" i="4" s="1"/>
  <c r="U799" i="4" a="1"/>
  <c r="U799" i="4" s="1"/>
  <c r="V799" i="4" a="1"/>
  <c r="V799" i="4" s="1"/>
  <c r="W799" i="4" a="1"/>
  <c r="W799" i="4" s="1"/>
  <c r="T763" i="4" a="1"/>
  <c r="T763" i="4" s="1"/>
  <c r="U763" i="4" a="1"/>
  <c r="U763" i="4" s="1"/>
  <c r="V763" i="4" a="1"/>
  <c r="V763" i="4" s="1"/>
  <c r="W763" i="4" a="1"/>
  <c r="W763" i="4" s="1"/>
  <c r="T727" i="4" a="1"/>
  <c r="T727" i="4" s="1"/>
  <c r="U727" i="4" a="1"/>
  <c r="U727" i="4" s="1"/>
  <c r="V727" i="4" a="1"/>
  <c r="V727" i="4" s="1"/>
  <c r="W727" i="4" a="1"/>
  <c r="W727" i="4" s="1"/>
  <c r="T691" i="4" a="1"/>
  <c r="T691" i="4" s="1"/>
  <c r="U691" i="4" a="1"/>
  <c r="U691" i="4" s="1"/>
  <c r="V691" i="4" a="1"/>
  <c r="V691" i="4" s="1"/>
  <c r="W691" i="4" a="1"/>
  <c r="W691" i="4" s="1"/>
  <c r="T655" i="4" a="1"/>
  <c r="T655" i="4" s="1"/>
  <c r="U655" i="4" a="1"/>
  <c r="U655" i="4" s="1"/>
  <c r="V655" i="4" a="1"/>
  <c r="V655" i="4" s="1"/>
  <c r="W655" i="4" a="1"/>
  <c r="W655" i="4" s="1"/>
  <c r="T619" i="4" a="1"/>
  <c r="T619" i="4" s="1"/>
  <c r="U619" i="4" a="1"/>
  <c r="U619" i="4" s="1"/>
  <c r="V619" i="4" a="1"/>
  <c r="V619" i="4" s="1"/>
  <c r="W619" i="4" a="1"/>
  <c r="W619" i="4" s="1"/>
  <c r="T583" i="4" a="1"/>
  <c r="T583" i="4" s="1"/>
  <c r="U583" i="4" a="1"/>
  <c r="U583" i="4" s="1"/>
  <c r="V583" i="4" a="1"/>
  <c r="V583" i="4" s="1"/>
  <c r="W583" i="4" a="1"/>
  <c r="W583" i="4" s="1"/>
  <c r="T547" i="4" a="1"/>
  <c r="T547" i="4" s="1"/>
  <c r="U547" i="4" a="1"/>
  <c r="U547" i="4" s="1"/>
  <c r="V547" i="4" a="1"/>
  <c r="V547" i="4" s="1"/>
  <c r="W547" i="4" a="1"/>
  <c r="W547" i="4" s="1"/>
  <c r="T511" i="4" a="1"/>
  <c r="T511" i="4" s="1"/>
  <c r="U511" i="4" a="1"/>
  <c r="U511" i="4" s="1"/>
  <c r="V511" i="4" a="1"/>
  <c r="V511" i="4" s="1"/>
  <c r="W511" i="4" a="1"/>
  <c r="W511" i="4" s="1"/>
  <c r="T475" i="4" a="1"/>
  <c r="T475" i="4" s="1"/>
  <c r="U475" i="4" a="1"/>
  <c r="U475" i="4" s="1"/>
  <c r="V475" i="4" a="1"/>
  <c r="V475" i="4" s="1"/>
  <c r="W475" i="4" a="1"/>
  <c r="W475" i="4" s="1"/>
  <c r="T439" i="4" a="1"/>
  <c r="T439" i="4" s="1"/>
  <c r="U439" i="4" a="1"/>
  <c r="U439" i="4" s="1"/>
  <c r="V439" i="4" a="1"/>
  <c r="V439" i="4" s="1"/>
  <c r="W439" i="4" a="1"/>
  <c r="W439" i="4" s="1"/>
  <c r="T401" i="4" a="1"/>
  <c r="T401" i="4" s="1"/>
  <c r="U401" i="4" a="1"/>
  <c r="U401" i="4" s="1"/>
  <c r="V401" i="4" a="1"/>
  <c r="V401" i="4" s="1"/>
  <c r="W401" i="4" a="1"/>
  <c r="W401" i="4" s="1"/>
  <c r="T1464" i="4" a="1"/>
  <c r="T1464" i="4" s="1"/>
  <c r="U1464" i="4" a="1"/>
  <c r="U1464" i="4" s="1"/>
  <c r="V1464" i="4" a="1"/>
  <c r="V1464" i="4" s="1"/>
  <c r="W1464" i="4" a="1"/>
  <c r="W1464" i="4" s="1"/>
  <c r="T1428" i="4" a="1"/>
  <c r="T1428" i="4" s="1"/>
  <c r="V1428" i="4" a="1"/>
  <c r="V1428" i="4" s="1"/>
  <c r="U1428" i="4" a="1"/>
  <c r="U1428" i="4" s="1"/>
  <c r="W1428" i="4" a="1"/>
  <c r="W1428" i="4" s="1"/>
  <c r="T1392" i="4" a="1"/>
  <c r="T1392" i="4" s="1"/>
  <c r="V1392" i="4" a="1"/>
  <c r="V1392" i="4" s="1"/>
  <c r="U1392" i="4" a="1"/>
  <c r="U1392" i="4" s="1"/>
  <c r="W1392" i="4" a="1"/>
  <c r="W1392" i="4" s="1"/>
  <c r="T1356" i="4" a="1"/>
  <c r="T1356" i="4" s="1"/>
  <c r="U1356" i="4" a="1"/>
  <c r="U1356" i="4" s="1"/>
  <c r="W1356" i="4" a="1"/>
  <c r="W1356" i="4" s="1"/>
  <c r="V1356" i="4" a="1"/>
  <c r="V1356" i="4" s="1"/>
  <c r="T1320" i="4" a="1"/>
  <c r="T1320" i="4" s="1"/>
  <c r="V1320" i="4" a="1"/>
  <c r="V1320" i="4" s="1"/>
  <c r="U1320" i="4" a="1"/>
  <c r="U1320" i="4" s="1"/>
  <c r="W1320" i="4" a="1"/>
  <c r="W1320" i="4" s="1"/>
  <c r="T1284" i="4" a="1"/>
  <c r="T1284" i="4" s="1"/>
  <c r="W1284" i="4" a="1"/>
  <c r="W1284" i="4" s="1"/>
  <c r="V1284" i="4" a="1"/>
  <c r="V1284" i="4" s="1"/>
  <c r="U1284" i="4" a="1"/>
  <c r="U1284" i="4" s="1"/>
  <c r="T1248" i="4" a="1"/>
  <c r="T1248" i="4" s="1"/>
  <c r="W1248" i="4" a="1"/>
  <c r="W1248" i="4" s="1"/>
  <c r="U1248" i="4" a="1"/>
  <c r="U1248" i="4" s="1"/>
  <c r="V1248" i="4" a="1"/>
  <c r="V1248" i="4" s="1"/>
  <c r="T1212" i="4" a="1"/>
  <c r="T1212" i="4" s="1"/>
  <c r="U1212" i="4" a="1"/>
  <c r="U1212" i="4" s="1"/>
  <c r="W1212" i="4" a="1"/>
  <c r="W1212" i="4" s="1"/>
  <c r="V1212" i="4" a="1"/>
  <c r="V1212" i="4" s="1"/>
  <c r="T1176" i="4" a="1"/>
  <c r="T1176" i="4" s="1"/>
  <c r="W1176" i="4" a="1"/>
  <c r="W1176" i="4" s="1"/>
  <c r="V1176" i="4" a="1"/>
  <c r="V1176" i="4" s="1"/>
  <c r="U1176" i="4" a="1"/>
  <c r="U1176" i="4" s="1"/>
  <c r="T1140" i="4" a="1"/>
  <c r="T1140" i="4" s="1"/>
  <c r="W1140" i="4" a="1"/>
  <c r="W1140" i="4" s="1"/>
  <c r="U1140" i="4" a="1"/>
  <c r="U1140" i="4" s="1"/>
  <c r="V1140" i="4" a="1"/>
  <c r="V1140" i="4" s="1"/>
  <c r="T1104" i="4" a="1"/>
  <c r="T1104" i="4" s="1"/>
  <c r="U1104" i="4" a="1"/>
  <c r="U1104" i="4" s="1"/>
  <c r="W1104" i="4" a="1"/>
  <c r="W1104" i="4" s="1"/>
  <c r="V1104" i="4" a="1"/>
  <c r="V1104" i="4" s="1"/>
  <c r="T1068" i="4" a="1"/>
  <c r="T1068" i="4" s="1"/>
  <c r="W1068" i="4" a="1"/>
  <c r="W1068" i="4" s="1"/>
  <c r="V1068" i="4" a="1"/>
  <c r="V1068" i="4" s="1"/>
  <c r="U1068" i="4" a="1"/>
  <c r="U1068" i="4" s="1"/>
  <c r="T1032" i="4" a="1"/>
  <c r="T1032" i="4" s="1"/>
  <c r="W1032" i="4" a="1"/>
  <c r="W1032" i="4" s="1"/>
  <c r="U1032" i="4" a="1"/>
  <c r="U1032" i="4" s="1"/>
  <c r="V1032" i="4" a="1"/>
  <c r="V1032" i="4" s="1"/>
  <c r="T996" i="4" a="1"/>
  <c r="T996" i="4" s="1"/>
  <c r="U996" i="4" a="1"/>
  <c r="U996" i="4" s="1"/>
  <c r="W996" i="4" a="1"/>
  <c r="W996" i="4" s="1"/>
  <c r="V996" i="4" a="1"/>
  <c r="V996" i="4" s="1"/>
  <c r="U960" i="4" a="1"/>
  <c r="U960" i="4" s="1"/>
  <c r="T960" i="4" a="1"/>
  <c r="T960" i="4" s="1"/>
  <c r="W960" i="4" a="1"/>
  <c r="W960" i="4" s="1"/>
  <c r="V960" i="4" a="1"/>
  <c r="V960" i="4" s="1"/>
  <c r="T924" i="4" a="1"/>
  <c r="T924" i="4" s="1"/>
  <c r="U924" i="4" a="1"/>
  <c r="U924" i="4" s="1"/>
  <c r="W924" i="4" a="1"/>
  <c r="W924" i="4" s="1"/>
  <c r="V924" i="4" a="1"/>
  <c r="V924" i="4" s="1"/>
  <c r="T888" i="4" a="1"/>
  <c r="T888" i="4" s="1"/>
  <c r="U888" i="4" a="1"/>
  <c r="U888" i="4" s="1"/>
  <c r="W888" i="4" a="1"/>
  <c r="W888" i="4" s="1"/>
  <c r="V888" i="4" a="1"/>
  <c r="V888" i="4" s="1"/>
  <c r="T852" i="4" a="1"/>
  <c r="T852" i="4" s="1"/>
  <c r="U852" i="4" a="1"/>
  <c r="U852" i="4" s="1"/>
  <c r="W852" i="4" a="1"/>
  <c r="W852" i="4" s="1"/>
  <c r="V852" i="4" a="1"/>
  <c r="V852" i="4" s="1"/>
  <c r="T816" i="4" a="1"/>
  <c r="T816" i="4" s="1"/>
  <c r="U816" i="4" a="1"/>
  <c r="U816" i="4" s="1"/>
  <c r="V816" i="4" a="1"/>
  <c r="V816" i="4" s="1"/>
  <c r="W816" i="4" a="1"/>
  <c r="W816" i="4" s="1"/>
  <c r="T780" i="4" a="1"/>
  <c r="T780" i="4" s="1"/>
  <c r="U780" i="4" a="1"/>
  <c r="U780" i="4" s="1"/>
  <c r="V780" i="4" a="1"/>
  <c r="V780" i="4" s="1"/>
  <c r="W780" i="4" a="1"/>
  <c r="W780" i="4" s="1"/>
  <c r="T744" i="4" a="1"/>
  <c r="T744" i="4" s="1"/>
  <c r="U744" i="4" a="1"/>
  <c r="U744" i="4" s="1"/>
  <c r="V744" i="4" a="1"/>
  <c r="V744" i="4" s="1"/>
  <c r="W744" i="4" a="1"/>
  <c r="W744" i="4" s="1"/>
  <c r="T708" i="4" a="1"/>
  <c r="T708" i="4" s="1"/>
  <c r="U708" i="4" a="1"/>
  <c r="U708" i="4" s="1"/>
  <c r="V708" i="4" a="1"/>
  <c r="V708" i="4" s="1"/>
  <c r="W708" i="4" a="1"/>
  <c r="W708" i="4" s="1"/>
  <c r="T672" i="4" a="1"/>
  <c r="T672" i="4" s="1"/>
  <c r="U672" i="4" a="1"/>
  <c r="U672" i="4" s="1"/>
  <c r="V672" i="4" a="1"/>
  <c r="V672" i="4" s="1"/>
  <c r="W672" i="4" a="1"/>
  <c r="W672" i="4" s="1"/>
  <c r="U636" i="4" a="1"/>
  <c r="U636" i="4" s="1"/>
  <c r="T636" i="4" a="1"/>
  <c r="T636" i="4" s="1"/>
  <c r="V636" i="4" a="1"/>
  <c r="V636" i="4" s="1"/>
  <c r="W636" i="4" a="1"/>
  <c r="W636" i="4" s="1"/>
  <c r="T600" i="4" a="1"/>
  <c r="T600" i="4" s="1"/>
  <c r="U600" i="4" a="1"/>
  <c r="U600" i="4" s="1"/>
  <c r="V600" i="4" a="1"/>
  <c r="V600" i="4" s="1"/>
  <c r="W600" i="4" a="1"/>
  <c r="W600" i="4" s="1"/>
  <c r="T564" i="4" a="1"/>
  <c r="T564" i="4" s="1"/>
  <c r="U564" i="4" a="1"/>
  <c r="U564" i="4" s="1"/>
  <c r="V564" i="4" a="1"/>
  <c r="V564" i="4" s="1"/>
  <c r="W564" i="4" a="1"/>
  <c r="W564" i="4" s="1"/>
  <c r="T528" i="4" a="1"/>
  <c r="T528" i="4" s="1"/>
  <c r="U528" i="4" a="1"/>
  <c r="U528" i="4" s="1"/>
  <c r="V528" i="4" a="1"/>
  <c r="V528" i="4" s="1"/>
  <c r="W528" i="4" a="1"/>
  <c r="W528" i="4" s="1"/>
  <c r="T492" i="4" a="1"/>
  <c r="T492" i="4" s="1"/>
  <c r="U492" i="4" a="1"/>
  <c r="U492" i="4" s="1"/>
  <c r="V492" i="4" a="1"/>
  <c r="V492" i="4" s="1"/>
  <c r="W492" i="4" a="1"/>
  <c r="W492" i="4" s="1"/>
  <c r="T456" i="4" a="1"/>
  <c r="T456" i="4" s="1"/>
  <c r="U456" i="4" a="1"/>
  <c r="U456" i="4" s="1"/>
  <c r="V456" i="4" a="1"/>
  <c r="V456" i="4" s="1"/>
  <c r="W456" i="4" a="1"/>
  <c r="W456" i="4" s="1"/>
  <c r="T420" i="4" a="1"/>
  <c r="T420" i="4" s="1"/>
  <c r="U420" i="4" a="1"/>
  <c r="U420" i="4" s="1"/>
  <c r="V420" i="4" a="1"/>
  <c r="V420" i="4" s="1"/>
  <c r="W420" i="4" a="1"/>
  <c r="W420" i="4" s="1"/>
  <c r="T1487" i="4" a="1"/>
  <c r="T1487" i="4" s="1"/>
  <c r="U1487" i="4" a="1"/>
  <c r="U1487" i="4" s="1"/>
  <c r="V1487" i="4" a="1"/>
  <c r="V1487" i="4" s="1"/>
  <c r="W1487" i="4" a="1"/>
  <c r="W1487" i="4" s="1"/>
  <c r="T1451" i="4" a="1"/>
  <c r="T1451" i="4" s="1"/>
  <c r="V1451" i="4" a="1"/>
  <c r="V1451" i="4" s="1"/>
  <c r="W1451" i="4" a="1"/>
  <c r="W1451" i="4" s="1"/>
  <c r="U1451" i="4" a="1"/>
  <c r="U1451" i="4" s="1"/>
  <c r="T1415" i="4" a="1"/>
  <c r="T1415" i="4" s="1"/>
  <c r="V1415" i="4" a="1"/>
  <c r="V1415" i="4" s="1"/>
  <c r="U1415" i="4" a="1"/>
  <c r="U1415" i="4" s="1"/>
  <c r="W1415" i="4" a="1"/>
  <c r="W1415" i="4" s="1"/>
  <c r="T1379" i="4" a="1"/>
  <c r="T1379" i="4" s="1"/>
  <c r="V1379" i="4" a="1"/>
  <c r="V1379" i="4" s="1"/>
  <c r="U1379" i="4" a="1"/>
  <c r="U1379" i="4" s="1"/>
  <c r="W1379" i="4" a="1"/>
  <c r="W1379" i="4" s="1"/>
  <c r="T1343" i="4" a="1"/>
  <c r="T1343" i="4" s="1"/>
  <c r="V1343" i="4" a="1"/>
  <c r="V1343" i="4" s="1"/>
  <c r="U1343" i="4" a="1"/>
  <c r="U1343" i="4" s="1"/>
  <c r="W1343" i="4" a="1"/>
  <c r="W1343" i="4" s="1"/>
  <c r="T1307" i="4" a="1"/>
  <c r="T1307" i="4" s="1"/>
  <c r="V1307" i="4" a="1"/>
  <c r="V1307" i="4" s="1"/>
  <c r="W1307" i="4" a="1"/>
  <c r="W1307" i="4" s="1"/>
  <c r="U1307" i="4" a="1"/>
  <c r="U1307" i="4" s="1"/>
  <c r="T1271" i="4" a="1"/>
  <c r="T1271" i="4" s="1"/>
  <c r="V1271" i="4" a="1"/>
  <c r="V1271" i="4" s="1"/>
  <c r="W1271" i="4" a="1"/>
  <c r="W1271" i="4" s="1"/>
  <c r="U1271" i="4" a="1"/>
  <c r="U1271" i="4" s="1"/>
  <c r="T1235" i="4" a="1"/>
  <c r="T1235" i="4" s="1"/>
  <c r="V1235" i="4" a="1"/>
  <c r="V1235" i="4" s="1"/>
  <c r="W1235" i="4" a="1"/>
  <c r="W1235" i="4" s="1"/>
  <c r="U1235" i="4" a="1"/>
  <c r="U1235" i="4" s="1"/>
  <c r="T1199" i="4" a="1"/>
  <c r="T1199" i="4" s="1"/>
  <c r="V1199" i="4" a="1"/>
  <c r="V1199" i="4" s="1"/>
  <c r="W1199" i="4" a="1"/>
  <c r="W1199" i="4" s="1"/>
  <c r="U1199" i="4" a="1"/>
  <c r="U1199" i="4" s="1"/>
  <c r="T1163" i="4" a="1"/>
  <c r="T1163" i="4" s="1"/>
  <c r="V1163" i="4" a="1"/>
  <c r="V1163" i="4" s="1"/>
  <c r="W1163" i="4" a="1"/>
  <c r="W1163" i="4" s="1"/>
  <c r="U1163" i="4" a="1"/>
  <c r="U1163" i="4" s="1"/>
  <c r="T1127" i="4" a="1"/>
  <c r="T1127" i="4" s="1"/>
  <c r="V1127" i="4" a="1"/>
  <c r="V1127" i="4" s="1"/>
  <c r="W1127" i="4" a="1"/>
  <c r="W1127" i="4" s="1"/>
  <c r="U1127" i="4" a="1"/>
  <c r="U1127" i="4" s="1"/>
  <c r="T1091" i="4" a="1"/>
  <c r="T1091" i="4" s="1"/>
  <c r="V1091" i="4" a="1"/>
  <c r="V1091" i="4" s="1"/>
  <c r="W1091" i="4" a="1"/>
  <c r="W1091" i="4" s="1"/>
  <c r="U1091" i="4" a="1"/>
  <c r="U1091" i="4" s="1"/>
  <c r="T1055" i="4" a="1"/>
  <c r="T1055" i="4" s="1"/>
  <c r="V1055" i="4" a="1"/>
  <c r="V1055" i="4" s="1"/>
  <c r="W1055" i="4" a="1"/>
  <c r="W1055" i="4" s="1"/>
  <c r="U1055" i="4" a="1"/>
  <c r="U1055" i="4" s="1"/>
  <c r="T1019" i="4" a="1"/>
  <c r="T1019" i="4" s="1"/>
  <c r="V1019" i="4" a="1"/>
  <c r="V1019" i="4" s="1"/>
  <c r="W1019" i="4" a="1"/>
  <c r="W1019" i="4" s="1"/>
  <c r="U1019" i="4" a="1"/>
  <c r="U1019" i="4" s="1"/>
  <c r="T983" i="4" a="1"/>
  <c r="T983" i="4" s="1"/>
  <c r="U983" i="4" a="1"/>
  <c r="U983" i="4" s="1"/>
  <c r="V983" i="4" a="1"/>
  <c r="V983" i="4" s="1"/>
  <c r="W983" i="4" a="1"/>
  <c r="W983" i="4" s="1"/>
  <c r="T947" i="4" a="1"/>
  <c r="T947" i="4" s="1"/>
  <c r="U947" i="4" a="1"/>
  <c r="U947" i="4" s="1"/>
  <c r="V947" i="4" a="1"/>
  <c r="V947" i="4" s="1"/>
  <c r="W947" i="4" a="1"/>
  <c r="W947" i="4" s="1"/>
  <c r="T911" i="4" a="1"/>
  <c r="T911" i="4" s="1"/>
  <c r="U911" i="4" a="1"/>
  <c r="U911" i="4" s="1"/>
  <c r="V911" i="4" a="1"/>
  <c r="V911" i="4" s="1"/>
  <c r="W911" i="4" a="1"/>
  <c r="W911" i="4" s="1"/>
  <c r="T875" i="4" a="1"/>
  <c r="T875" i="4" s="1"/>
  <c r="U875" i="4" a="1"/>
  <c r="U875" i="4" s="1"/>
  <c r="V875" i="4" a="1"/>
  <c r="V875" i="4" s="1"/>
  <c r="W875" i="4" a="1"/>
  <c r="W875" i="4" s="1"/>
  <c r="T839" i="4" a="1"/>
  <c r="T839" i="4" s="1"/>
  <c r="U839" i="4" a="1"/>
  <c r="U839" i="4" s="1"/>
  <c r="V839" i="4" a="1"/>
  <c r="V839" i="4" s="1"/>
  <c r="W839" i="4" a="1"/>
  <c r="W839" i="4" s="1"/>
  <c r="T803" i="4" a="1"/>
  <c r="T803" i="4" s="1"/>
  <c r="U803" i="4" a="1"/>
  <c r="U803" i="4" s="1"/>
  <c r="V803" i="4" a="1"/>
  <c r="V803" i="4" s="1"/>
  <c r="W803" i="4" a="1"/>
  <c r="W803" i="4" s="1"/>
  <c r="T767" i="4" a="1"/>
  <c r="T767" i="4" s="1"/>
  <c r="U767" i="4" a="1"/>
  <c r="U767" i="4" s="1"/>
  <c r="V767" i="4" a="1"/>
  <c r="V767" i="4" s="1"/>
  <c r="W767" i="4" a="1"/>
  <c r="W767" i="4" s="1"/>
  <c r="T731" i="4" a="1"/>
  <c r="T731" i="4" s="1"/>
  <c r="U731" i="4" a="1"/>
  <c r="U731" i="4" s="1"/>
  <c r="V731" i="4" a="1"/>
  <c r="V731" i="4" s="1"/>
  <c r="W731" i="4" a="1"/>
  <c r="W731" i="4" s="1"/>
  <c r="T695" i="4" a="1"/>
  <c r="T695" i="4" s="1"/>
  <c r="U695" i="4" a="1"/>
  <c r="U695" i="4" s="1"/>
  <c r="V695" i="4" a="1"/>
  <c r="V695" i="4" s="1"/>
  <c r="W695" i="4" a="1"/>
  <c r="W695" i="4" s="1"/>
  <c r="T659" i="4" a="1"/>
  <c r="T659" i="4" s="1"/>
  <c r="U659" i="4" a="1"/>
  <c r="U659" i="4" s="1"/>
  <c r="V659" i="4" a="1"/>
  <c r="V659" i="4" s="1"/>
  <c r="W659" i="4" a="1"/>
  <c r="W659" i="4" s="1"/>
  <c r="T623" i="4" a="1"/>
  <c r="T623" i="4" s="1"/>
  <c r="U623" i="4" a="1"/>
  <c r="U623" i="4" s="1"/>
  <c r="V623" i="4" a="1"/>
  <c r="V623" i="4" s="1"/>
  <c r="W623" i="4" a="1"/>
  <c r="W623" i="4" s="1"/>
  <c r="U587" i="4" a="1"/>
  <c r="U587" i="4" s="1"/>
  <c r="T587" i="4" a="1"/>
  <c r="T587" i="4" s="1"/>
  <c r="V587" i="4" a="1"/>
  <c r="V587" i="4" s="1"/>
  <c r="W587" i="4" a="1"/>
  <c r="W587" i="4" s="1"/>
  <c r="T551" i="4" a="1"/>
  <c r="T551" i="4" s="1"/>
  <c r="U551" i="4" a="1"/>
  <c r="U551" i="4" s="1"/>
  <c r="V551" i="4" a="1"/>
  <c r="V551" i="4" s="1"/>
  <c r="W551" i="4" a="1"/>
  <c r="W551" i="4" s="1"/>
  <c r="T515" i="4" a="1"/>
  <c r="T515" i="4" s="1"/>
  <c r="U515" i="4" a="1"/>
  <c r="U515" i="4" s="1"/>
  <c r="V515" i="4" a="1"/>
  <c r="V515" i="4" s="1"/>
  <c r="W515" i="4" a="1"/>
  <c r="W515" i="4" s="1"/>
  <c r="T479" i="4" a="1"/>
  <c r="T479" i="4" s="1"/>
  <c r="U479" i="4" a="1"/>
  <c r="U479" i="4" s="1"/>
  <c r="V479" i="4" a="1"/>
  <c r="V479" i="4" s="1"/>
  <c r="W479" i="4" a="1"/>
  <c r="W479" i="4" s="1"/>
  <c r="T443" i="4" a="1"/>
  <c r="T443" i="4" s="1"/>
  <c r="U443" i="4" a="1"/>
  <c r="U443" i="4" s="1"/>
  <c r="V443" i="4" a="1"/>
  <c r="V443" i="4" s="1"/>
  <c r="W443" i="4" a="1"/>
  <c r="W443" i="4" s="1"/>
  <c r="T406" i="4" a="1"/>
  <c r="T406" i="4" s="1"/>
  <c r="V406" i="4" a="1"/>
  <c r="V406" i="4" s="1"/>
  <c r="U406" i="4" a="1"/>
  <c r="U406" i="4" s="1"/>
  <c r="W406" i="4" a="1"/>
  <c r="W406" i="4" s="1"/>
  <c r="T1474" i="4" a="1"/>
  <c r="T1474" i="4" s="1"/>
  <c r="V1474" i="4" a="1"/>
  <c r="V1474" i="4" s="1"/>
  <c r="U1474" i="4" a="1"/>
  <c r="U1474" i="4" s="1"/>
  <c r="W1474" i="4" a="1"/>
  <c r="W1474" i="4" s="1"/>
  <c r="T1438" i="4" a="1"/>
  <c r="T1438" i="4" s="1"/>
  <c r="V1438" i="4" a="1"/>
  <c r="V1438" i="4" s="1"/>
  <c r="U1438" i="4" a="1"/>
  <c r="U1438" i="4" s="1"/>
  <c r="W1438" i="4" a="1"/>
  <c r="W1438" i="4" s="1"/>
  <c r="T1402" i="4" a="1"/>
  <c r="T1402" i="4" s="1"/>
  <c r="U1402" i="4" a="1"/>
  <c r="U1402" i="4" s="1"/>
  <c r="V1402" i="4" a="1"/>
  <c r="V1402" i="4" s="1"/>
  <c r="W1402" i="4" a="1"/>
  <c r="W1402" i="4" s="1"/>
  <c r="T1366" i="4" a="1"/>
  <c r="T1366" i="4" s="1"/>
  <c r="V1366" i="4" a="1"/>
  <c r="V1366" i="4" s="1"/>
  <c r="W1366" i="4" a="1"/>
  <c r="W1366" i="4" s="1"/>
  <c r="U1366" i="4" a="1"/>
  <c r="U1366" i="4" s="1"/>
  <c r="T1330" i="4" a="1"/>
  <c r="T1330" i="4" s="1"/>
  <c r="V1330" i="4" a="1"/>
  <c r="V1330" i="4" s="1"/>
  <c r="U1330" i="4" a="1"/>
  <c r="U1330" i="4" s="1"/>
  <c r="W1330" i="4" a="1"/>
  <c r="W1330" i="4" s="1"/>
  <c r="T1294" i="4" a="1"/>
  <c r="T1294" i="4" s="1"/>
  <c r="V1294" i="4" a="1"/>
  <c r="V1294" i="4" s="1"/>
  <c r="U1294" i="4" a="1"/>
  <c r="U1294" i="4" s="1"/>
  <c r="W1294" i="4" a="1"/>
  <c r="W1294" i="4" s="1"/>
  <c r="T1258" i="4" a="1"/>
  <c r="T1258" i="4" s="1"/>
  <c r="V1258" i="4" a="1"/>
  <c r="V1258" i="4" s="1"/>
  <c r="U1258" i="4" a="1"/>
  <c r="U1258" i="4" s="1"/>
  <c r="W1258" i="4" a="1"/>
  <c r="W1258" i="4" s="1"/>
  <c r="T1222" i="4" a="1"/>
  <c r="T1222" i="4" s="1"/>
  <c r="V1222" i="4" a="1"/>
  <c r="V1222" i="4" s="1"/>
  <c r="U1222" i="4" a="1"/>
  <c r="U1222" i="4" s="1"/>
  <c r="W1222" i="4" a="1"/>
  <c r="W1222" i="4" s="1"/>
  <c r="T1186" i="4" a="1"/>
  <c r="T1186" i="4" s="1"/>
  <c r="V1186" i="4" a="1"/>
  <c r="V1186" i="4" s="1"/>
  <c r="U1186" i="4" a="1"/>
  <c r="U1186" i="4" s="1"/>
  <c r="W1186" i="4" a="1"/>
  <c r="W1186" i="4" s="1"/>
  <c r="T1150" i="4" a="1"/>
  <c r="T1150" i="4" s="1"/>
  <c r="V1150" i="4" a="1"/>
  <c r="V1150" i="4" s="1"/>
  <c r="U1150" i="4" a="1"/>
  <c r="U1150" i="4" s="1"/>
  <c r="W1150" i="4" a="1"/>
  <c r="W1150" i="4" s="1"/>
  <c r="T1114" i="4" a="1"/>
  <c r="T1114" i="4" s="1"/>
  <c r="V1114" i="4" a="1"/>
  <c r="V1114" i="4" s="1"/>
  <c r="U1114" i="4" a="1"/>
  <c r="U1114" i="4" s="1"/>
  <c r="W1114" i="4" a="1"/>
  <c r="W1114" i="4" s="1"/>
  <c r="T1078" i="4" a="1"/>
  <c r="T1078" i="4" s="1"/>
  <c r="V1078" i="4" a="1"/>
  <c r="V1078" i="4" s="1"/>
  <c r="U1078" i="4" a="1"/>
  <c r="U1078" i="4" s="1"/>
  <c r="W1078" i="4" a="1"/>
  <c r="W1078" i="4" s="1"/>
  <c r="T1042" i="4" a="1"/>
  <c r="T1042" i="4" s="1"/>
  <c r="V1042" i="4" a="1"/>
  <c r="V1042" i="4" s="1"/>
  <c r="U1042" i="4" a="1"/>
  <c r="U1042" i="4" s="1"/>
  <c r="W1042" i="4" a="1"/>
  <c r="W1042" i="4" s="1"/>
  <c r="T1006" i="4" a="1"/>
  <c r="T1006" i="4" s="1"/>
  <c r="V1006" i="4" a="1"/>
  <c r="V1006" i="4" s="1"/>
  <c r="U1006" i="4" a="1"/>
  <c r="U1006" i="4" s="1"/>
  <c r="W1006" i="4" a="1"/>
  <c r="W1006" i="4" s="1"/>
  <c r="T970" i="4" a="1"/>
  <c r="T970" i="4" s="1"/>
  <c r="U970" i="4" a="1"/>
  <c r="U970" i="4" s="1"/>
  <c r="V970" i="4" a="1"/>
  <c r="V970" i="4" s="1"/>
  <c r="W970" i="4" a="1"/>
  <c r="W970" i="4" s="1"/>
  <c r="T934" i="4" a="1"/>
  <c r="T934" i="4" s="1"/>
  <c r="U934" i="4" a="1"/>
  <c r="U934" i="4" s="1"/>
  <c r="V934" i="4" a="1"/>
  <c r="V934" i="4" s="1"/>
  <c r="W934" i="4" a="1"/>
  <c r="W934" i="4" s="1"/>
  <c r="T898" i="4" a="1"/>
  <c r="T898" i="4" s="1"/>
  <c r="V898" i="4" a="1"/>
  <c r="V898" i="4" s="1"/>
  <c r="U898" i="4" a="1"/>
  <c r="U898" i="4" s="1"/>
  <c r="W898" i="4" a="1"/>
  <c r="W898" i="4" s="1"/>
  <c r="T862" i="4" a="1"/>
  <c r="T862" i="4" s="1"/>
  <c r="U862" i="4" a="1"/>
  <c r="U862" i="4" s="1"/>
  <c r="V862" i="4" a="1"/>
  <c r="V862" i="4" s="1"/>
  <c r="W862" i="4" a="1"/>
  <c r="W862" i="4" s="1"/>
  <c r="T826" i="4" a="1"/>
  <c r="T826" i="4" s="1"/>
  <c r="U826" i="4" a="1"/>
  <c r="U826" i="4" s="1"/>
  <c r="V826" i="4" a="1"/>
  <c r="V826" i="4" s="1"/>
  <c r="W826" i="4" a="1"/>
  <c r="W826" i="4" s="1"/>
  <c r="T790" i="4" a="1"/>
  <c r="T790" i="4" s="1"/>
  <c r="V790" i="4" a="1"/>
  <c r="V790" i="4" s="1"/>
  <c r="U790" i="4" a="1"/>
  <c r="U790" i="4" s="1"/>
  <c r="W790" i="4" a="1"/>
  <c r="W790" i="4" s="1"/>
  <c r="T754" i="4" a="1"/>
  <c r="T754" i="4" s="1"/>
  <c r="U754" i="4" a="1"/>
  <c r="U754" i="4" s="1"/>
  <c r="V754" i="4" a="1"/>
  <c r="V754" i="4" s="1"/>
  <c r="W754" i="4" a="1"/>
  <c r="W754" i="4" s="1"/>
  <c r="T718" i="4" a="1"/>
  <c r="T718" i="4" s="1"/>
  <c r="U718" i="4" a="1"/>
  <c r="U718" i="4" s="1"/>
  <c r="V718" i="4" a="1"/>
  <c r="V718" i="4" s="1"/>
  <c r="W718" i="4" a="1"/>
  <c r="W718" i="4" s="1"/>
  <c r="T682" i="4" a="1"/>
  <c r="T682" i="4" s="1"/>
  <c r="U682" i="4" a="1"/>
  <c r="U682" i="4" s="1"/>
  <c r="V682" i="4" a="1"/>
  <c r="V682" i="4" s="1"/>
  <c r="W682" i="4" a="1"/>
  <c r="W682" i="4" s="1"/>
  <c r="T646" i="4" a="1"/>
  <c r="T646" i="4" s="1"/>
  <c r="U646" i="4" a="1"/>
  <c r="U646" i="4" s="1"/>
  <c r="V646" i="4" a="1"/>
  <c r="V646" i="4" s="1"/>
  <c r="W646" i="4" a="1"/>
  <c r="W646" i="4" s="1"/>
  <c r="T610" i="4" a="1"/>
  <c r="T610" i="4" s="1"/>
  <c r="U610" i="4" a="1"/>
  <c r="U610" i="4" s="1"/>
  <c r="V610" i="4" a="1"/>
  <c r="V610" i="4" s="1"/>
  <c r="W610" i="4" a="1"/>
  <c r="W610" i="4" s="1"/>
  <c r="T574" i="4" a="1"/>
  <c r="T574" i="4" s="1"/>
  <c r="U574" i="4" a="1"/>
  <c r="U574" i="4" s="1"/>
  <c r="V574" i="4" a="1"/>
  <c r="V574" i="4" s="1"/>
  <c r="W574" i="4" a="1"/>
  <c r="W574" i="4" s="1"/>
  <c r="U538" i="4" a="1"/>
  <c r="U538" i="4" s="1"/>
  <c r="T538" i="4" a="1"/>
  <c r="T538" i="4" s="1"/>
  <c r="V538" i="4" a="1"/>
  <c r="V538" i="4" s="1"/>
  <c r="W538" i="4" a="1"/>
  <c r="W538" i="4" s="1"/>
  <c r="T502" i="4" a="1"/>
  <c r="T502" i="4" s="1"/>
  <c r="U502" i="4" a="1"/>
  <c r="U502" i="4" s="1"/>
  <c r="V502" i="4" a="1"/>
  <c r="V502" i="4" s="1"/>
  <c r="W502" i="4" a="1"/>
  <c r="W502" i="4" s="1"/>
  <c r="T466" i="4" a="1"/>
  <c r="T466" i="4" s="1"/>
  <c r="U466" i="4" a="1"/>
  <c r="U466" i="4" s="1"/>
  <c r="V466" i="4" a="1"/>
  <c r="V466" i="4" s="1"/>
  <c r="W466" i="4" a="1"/>
  <c r="W466" i="4" s="1"/>
  <c r="T430" i="4" a="1"/>
  <c r="T430" i="4" s="1"/>
  <c r="U430" i="4" a="1"/>
  <c r="U430" i="4" s="1"/>
  <c r="V430" i="4" a="1"/>
  <c r="V430" i="4" s="1"/>
  <c r="W430" i="4" a="1"/>
  <c r="W430" i="4" s="1"/>
  <c r="U1497" i="4" a="1"/>
  <c r="U1497" i="4" s="1"/>
  <c r="V1497" i="4" a="1"/>
  <c r="V1497" i="4" s="1"/>
  <c r="T1497" i="4" a="1"/>
  <c r="T1497" i="4" s="1"/>
  <c r="W1497" i="4" a="1"/>
  <c r="W1497" i="4" s="1"/>
  <c r="T1461" i="4" a="1"/>
  <c r="T1461" i="4" s="1"/>
  <c r="U1461" i="4" a="1"/>
  <c r="U1461" i="4" s="1"/>
  <c r="V1461" i="4" a="1"/>
  <c r="V1461" i="4" s="1"/>
  <c r="W1461" i="4" a="1"/>
  <c r="W1461" i="4" s="1"/>
  <c r="T1425" i="4" a="1"/>
  <c r="T1425" i="4" s="1"/>
  <c r="U1425" i="4" a="1"/>
  <c r="U1425" i="4" s="1"/>
  <c r="V1425" i="4" a="1"/>
  <c r="V1425" i="4" s="1"/>
  <c r="W1425" i="4" a="1"/>
  <c r="W1425" i="4" s="1"/>
  <c r="T1389" i="4" a="1"/>
  <c r="T1389" i="4" s="1"/>
  <c r="U1389" i="4" a="1"/>
  <c r="U1389" i="4" s="1"/>
  <c r="V1389" i="4" a="1"/>
  <c r="V1389" i="4" s="1"/>
  <c r="W1389" i="4" a="1"/>
  <c r="W1389" i="4" s="1"/>
  <c r="T1353" i="4" a="1"/>
  <c r="T1353" i="4" s="1"/>
  <c r="U1353" i="4" a="1"/>
  <c r="U1353" i="4" s="1"/>
  <c r="V1353" i="4" a="1"/>
  <c r="V1353" i="4" s="1"/>
  <c r="W1353" i="4" a="1"/>
  <c r="W1353" i="4" s="1"/>
  <c r="T1317" i="4" a="1"/>
  <c r="T1317" i="4" s="1"/>
  <c r="U1317" i="4" a="1"/>
  <c r="U1317" i="4" s="1"/>
  <c r="V1317" i="4" a="1"/>
  <c r="V1317" i="4" s="1"/>
  <c r="W1317" i="4" a="1"/>
  <c r="W1317" i="4" s="1"/>
  <c r="T1281" i="4" a="1"/>
  <c r="T1281" i="4" s="1"/>
  <c r="U1281" i="4" a="1"/>
  <c r="U1281" i="4" s="1"/>
  <c r="V1281" i="4" a="1"/>
  <c r="V1281" i="4" s="1"/>
  <c r="W1281" i="4" a="1"/>
  <c r="W1281" i="4" s="1"/>
  <c r="T1245" i="4" a="1"/>
  <c r="T1245" i="4" s="1"/>
  <c r="U1245" i="4" a="1"/>
  <c r="U1245" i="4" s="1"/>
  <c r="V1245" i="4" a="1"/>
  <c r="V1245" i="4" s="1"/>
  <c r="W1245" i="4" a="1"/>
  <c r="W1245" i="4" s="1"/>
  <c r="T1209" i="4" a="1"/>
  <c r="T1209" i="4" s="1"/>
  <c r="U1209" i="4" a="1"/>
  <c r="U1209" i="4" s="1"/>
  <c r="V1209" i="4" a="1"/>
  <c r="V1209" i="4" s="1"/>
  <c r="W1209" i="4" a="1"/>
  <c r="W1209" i="4" s="1"/>
  <c r="T1173" i="4" a="1"/>
  <c r="T1173" i="4" s="1"/>
  <c r="U1173" i="4" a="1"/>
  <c r="U1173" i="4" s="1"/>
  <c r="V1173" i="4" a="1"/>
  <c r="V1173" i="4" s="1"/>
  <c r="W1173" i="4" a="1"/>
  <c r="W1173" i="4" s="1"/>
  <c r="T1137" i="4" a="1"/>
  <c r="T1137" i="4" s="1"/>
  <c r="U1137" i="4" a="1"/>
  <c r="U1137" i="4" s="1"/>
  <c r="V1137" i="4" a="1"/>
  <c r="V1137" i="4" s="1"/>
  <c r="W1137" i="4" a="1"/>
  <c r="W1137" i="4" s="1"/>
  <c r="T1101" i="4" a="1"/>
  <c r="T1101" i="4" s="1"/>
  <c r="U1101" i="4" a="1"/>
  <c r="U1101" i="4" s="1"/>
  <c r="V1101" i="4" a="1"/>
  <c r="V1101" i="4" s="1"/>
  <c r="W1101" i="4" a="1"/>
  <c r="W1101" i="4" s="1"/>
  <c r="U1065" i="4" a="1"/>
  <c r="U1065" i="4" s="1"/>
  <c r="T1065" i="4" a="1"/>
  <c r="T1065" i="4" s="1"/>
  <c r="V1065" i="4" a="1"/>
  <c r="V1065" i="4" s="1"/>
  <c r="W1065" i="4" a="1"/>
  <c r="W1065" i="4" s="1"/>
  <c r="T1029" i="4" a="1"/>
  <c r="T1029" i="4" s="1"/>
  <c r="U1029" i="4" a="1"/>
  <c r="U1029" i="4" s="1"/>
  <c r="V1029" i="4" a="1"/>
  <c r="V1029" i="4" s="1"/>
  <c r="W1029" i="4" a="1"/>
  <c r="W1029" i="4" s="1"/>
  <c r="T993" i="4" a="1"/>
  <c r="T993" i="4" s="1"/>
  <c r="U993" i="4" a="1"/>
  <c r="U993" i="4" s="1"/>
  <c r="V993" i="4" a="1"/>
  <c r="V993" i="4" s="1"/>
  <c r="W993" i="4" a="1"/>
  <c r="W993" i="4" s="1"/>
  <c r="T957" i="4" a="1"/>
  <c r="T957" i="4" s="1"/>
  <c r="U957" i="4" a="1"/>
  <c r="U957" i="4" s="1"/>
  <c r="V957" i="4" a="1"/>
  <c r="V957" i="4" s="1"/>
  <c r="W957" i="4" a="1"/>
  <c r="W957" i="4" s="1"/>
  <c r="T921" i="4" a="1"/>
  <c r="T921" i="4" s="1"/>
  <c r="U921" i="4" a="1"/>
  <c r="U921" i="4" s="1"/>
  <c r="V921" i="4" a="1"/>
  <c r="V921" i="4" s="1"/>
  <c r="W921" i="4" a="1"/>
  <c r="W921" i="4" s="1"/>
  <c r="T885" i="4" a="1"/>
  <c r="T885" i="4" s="1"/>
  <c r="U885" i="4" a="1"/>
  <c r="U885" i="4" s="1"/>
  <c r="V885" i="4" a="1"/>
  <c r="V885" i="4" s="1"/>
  <c r="W885" i="4" a="1"/>
  <c r="W885" i="4" s="1"/>
  <c r="T849" i="4" a="1"/>
  <c r="T849" i="4" s="1"/>
  <c r="U849" i="4" a="1"/>
  <c r="U849" i="4" s="1"/>
  <c r="V849" i="4" a="1"/>
  <c r="V849" i="4" s="1"/>
  <c r="W849" i="4" a="1"/>
  <c r="W849" i="4" s="1"/>
  <c r="T813" i="4" a="1"/>
  <c r="T813" i="4" s="1"/>
  <c r="U813" i="4" a="1"/>
  <c r="U813" i="4" s="1"/>
  <c r="V813" i="4" a="1"/>
  <c r="V813" i="4" s="1"/>
  <c r="W813" i="4" a="1"/>
  <c r="W813" i="4" s="1"/>
  <c r="T777" i="4" a="1"/>
  <c r="T777" i="4" s="1"/>
  <c r="U777" i="4" a="1"/>
  <c r="U777" i="4" s="1"/>
  <c r="V777" i="4" a="1"/>
  <c r="V777" i="4" s="1"/>
  <c r="W777" i="4" a="1"/>
  <c r="W777" i="4" s="1"/>
  <c r="T741" i="4" a="1"/>
  <c r="T741" i="4" s="1"/>
  <c r="U741" i="4" a="1"/>
  <c r="U741" i="4" s="1"/>
  <c r="V741" i="4" a="1"/>
  <c r="V741" i="4" s="1"/>
  <c r="W741" i="4" a="1"/>
  <c r="W741" i="4" s="1"/>
  <c r="T705" i="4" a="1"/>
  <c r="T705" i="4" s="1"/>
  <c r="U705" i="4" a="1"/>
  <c r="U705" i="4" s="1"/>
  <c r="V705" i="4" a="1"/>
  <c r="V705" i="4" s="1"/>
  <c r="W705" i="4" a="1"/>
  <c r="W705" i="4" s="1"/>
  <c r="T669" i="4" a="1"/>
  <c r="T669" i="4" s="1"/>
  <c r="U669" i="4" a="1"/>
  <c r="U669" i="4" s="1"/>
  <c r="V669" i="4" a="1"/>
  <c r="V669" i="4" s="1"/>
  <c r="W669" i="4" a="1"/>
  <c r="W669" i="4" s="1"/>
  <c r="T633" i="4" a="1"/>
  <c r="T633" i="4" s="1"/>
  <c r="U633" i="4" a="1"/>
  <c r="U633" i="4" s="1"/>
  <c r="V633" i="4" a="1"/>
  <c r="V633" i="4" s="1"/>
  <c r="W633" i="4" a="1"/>
  <c r="W633" i="4" s="1"/>
  <c r="T597" i="4" a="1"/>
  <c r="T597" i="4" s="1"/>
  <c r="U597" i="4" a="1"/>
  <c r="U597" i="4" s="1"/>
  <c r="V597" i="4" a="1"/>
  <c r="V597" i="4" s="1"/>
  <c r="W597" i="4" a="1"/>
  <c r="W597" i="4" s="1"/>
  <c r="T561" i="4" a="1"/>
  <c r="T561" i="4" s="1"/>
  <c r="U561" i="4" a="1"/>
  <c r="U561" i="4" s="1"/>
  <c r="V561" i="4" a="1"/>
  <c r="V561" i="4" s="1"/>
  <c r="W561" i="4" a="1"/>
  <c r="W561" i="4" s="1"/>
  <c r="T525" i="4" a="1"/>
  <c r="T525" i="4" s="1"/>
  <c r="U525" i="4" a="1"/>
  <c r="U525" i="4" s="1"/>
  <c r="V525" i="4" a="1"/>
  <c r="V525" i="4" s="1"/>
  <c r="W525" i="4" a="1"/>
  <c r="W525" i="4" s="1"/>
  <c r="T489" i="4" a="1"/>
  <c r="T489" i="4" s="1"/>
  <c r="U489" i="4" a="1"/>
  <c r="U489" i="4" s="1"/>
  <c r="V489" i="4" a="1"/>
  <c r="V489" i="4" s="1"/>
  <c r="W489" i="4" a="1"/>
  <c r="W489" i="4" s="1"/>
  <c r="T453" i="4" a="1"/>
  <c r="T453" i="4" s="1"/>
  <c r="U453" i="4" a="1"/>
  <c r="U453" i="4" s="1"/>
  <c r="V453" i="4" a="1"/>
  <c r="V453" i="4" s="1"/>
  <c r="W453" i="4" a="1"/>
  <c r="W453" i="4" s="1"/>
  <c r="T417" i="4" a="1"/>
  <c r="T417" i="4" s="1"/>
  <c r="U417" i="4" a="1"/>
  <c r="U417" i="4" s="1"/>
  <c r="V417" i="4" a="1"/>
  <c r="V417" i="4" s="1"/>
  <c r="W417" i="4" a="1"/>
  <c r="W417" i="4" s="1"/>
  <c r="T386" i="4" a="1"/>
  <c r="T386" i="4" s="1"/>
  <c r="V386" i="4" a="1"/>
  <c r="V386" i="4" s="1"/>
  <c r="U386" i="4" a="1"/>
  <c r="U386" i="4" s="1"/>
  <c r="W386" i="4" a="1"/>
  <c r="W386" i="4" s="1"/>
  <c r="T350" i="4" a="1"/>
  <c r="T350" i="4" s="1"/>
  <c r="U350" i="4" a="1"/>
  <c r="U350" i="4" s="1"/>
  <c r="W350" i="4" a="1"/>
  <c r="W350" i="4" s="1"/>
  <c r="V350" i="4" a="1"/>
  <c r="V350" i="4" s="1"/>
  <c r="T314" i="4" a="1"/>
  <c r="T314" i="4" s="1"/>
  <c r="W314" i="4" a="1"/>
  <c r="W314" i="4" s="1"/>
  <c r="V314" i="4" a="1"/>
  <c r="V314" i="4" s="1"/>
  <c r="U314" i="4" a="1"/>
  <c r="U314" i="4" s="1"/>
  <c r="U278" i="4" a="1"/>
  <c r="U278" i="4" s="1"/>
  <c r="T278" i="4" a="1"/>
  <c r="T278" i="4" s="1"/>
  <c r="V278" i="4" a="1"/>
  <c r="V278" i="4" s="1"/>
  <c r="W278" i="4" a="1"/>
  <c r="W278" i="4" s="1"/>
  <c r="T242" i="4" a="1"/>
  <c r="T242" i="4" s="1"/>
  <c r="U242" i="4" a="1"/>
  <c r="U242" i="4" s="1"/>
  <c r="V242" i="4" a="1"/>
  <c r="V242" i="4" s="1"/>
  <c r="W242" i="4" a="1"/>
  <c r="W242" i="4" s="1"/>
  <c r="T379" i="4" a="1"/>
  <c r="T379" i="4" s="1"/>
  <c r="U379" i="4" a="1"/>
  <c r="U379" i="4" s="1"/>
  <c r="V379" i="4" a="1"/>
  <c r="V379" i="4" s="1"/>
  <c r="W379" i="4" a="1"/>
  <c r="W379" i="4" s="1"/>
  <c r="T343" i="4" a="1"/>
  <c r="T343" i="4" s="1"/>
  <c r="U343" i="4" a="1"/>
  <c r="U343" i="4" s="1"/>
  <c r="V343" i="4" a="1"/>
  <c r="V343" i="4" s="1"/>
  <c r="W343" i="4" a="1"/>
  <c r="W343" i="4" s="1"/>
  <c r="T307" i="4" a="1"/>
  <c r="T307" i="4" s="1"/>
  <c r="V307" i="4" a="1"/>
  <c r="V307" i="4" s="1"/>
  <c r="U307" i="4" a="1"/>
  <c r="U307" i="4" s="1"/>
  <c r="W307" i="4" a="1"/>
  <c r="W307" i="4" s="1"/>
  <c r="T271" i="4" a="1"/>
  <c r="T271" i="4" s="1"/>
  <c r="U271" i="4" a="1"/>
  <c r="U271" i="4" s="1"/>
  <c r="V271" i="4" a="1"/>
  <c r="V271" i="4" s="1"/>
  <c r="W271" i="4" a="1"/>
  <c r="W271" i="4" s="1"/>
  <c r="T235" i="4" a="1"/>
  <c r="T235" i="4" s="1"/>
  <c r="U235" i="4" a="1"/>
  <c r="U235" i="4" s="1"/>
  <c r="V235" i="4" a="1"/>
  <c r="V235" i="4" s="1"/>
  <c r="W235" i="4" a="1"/>
  <c r="W235" i="4" s="1"/>
  <c r="T390" i="4" a="1"/>
  <c r="T390" i="4" s="1"/>
  <c r="U390" i="4" a="1"/>
  <c r="U390" i="4" s="1"/>
  <c r="W390" i="4" a="1"/>
  <c r="W390" i="4" s="1"/>
  <c r="V390" i="4" a="1"/>
  <c r="V390" i="4" s="1"/>
  <c r="T354" i="4" a="1"/>
  <c r="T354" i="4" s="1"/>
  <c r="V354" i="4" a="1"/>
  <c r="V354" i="4" s="1"/>
  <c r="U354" i="4" a="1"/>
  <c r="U354" i="4" s="1"/>
  <c r="W354" i="4" a="1"/>
  <c r="W354" i="4" s="1"/>
  <c r="T318" i="4" a="1"/>
  <c r="T318" i="4" s="1"/>
  <c r="V318" i="4" a="1"/>
  <c r="V318" i="4" s="1"/>
  <c r="U318" i="4" a="1"/>
  <c r="U318" i="4" s="1"/>
  <c r="W318" i="4" a="1"/>
  <c r="W318" i="4" s="1"/>
  <c r="T282" i="4" a="1"/>
  <c r="T282" i="4" s="1"/>
  <c r="U282" i="4" a="1"/>
  <c r="U282" i="4" s="1"/>
  <c r="V282" i="4" a="1"/>
  <c r="V282" i="4" s="1"/>
  <c r="W282" i="4" a="1"/>
  <c r="W282" i="4" s="1"/>
  <c r="T246" i="4" a="1"/>
  <c r="T246" i="4" s="1"/>
  <c r="U246" i="4" a="1"/>
  <c r="U246" i="4" s="1"/>
  <c r="V246" i="4" a="1"/>
  <c r="V246" i="4" s="1"/>
  <c r="W246" i="4" a="1"/>
  <c r="W246" i="4" s="1"/>
  <c r="T365" i="4" a="1"/>
  <c r="T365" i="4" s="1"/>
  <c r="U365" i="4" a="1"/>
  <c r="U365" i="4" s="1"/>
  <c r="V365" i="4" a="1"/>
  <c r="V365" i="4" s="1"/>
  <c r="W365" i="4" a="1"/>
  <c r="W365" i="4" s="1"/>
  <c r="T329" i="4" a="1"/>
  <c r="T329" i="4" s="1"/>
  <c r="U329" i="4" a="1"/>
  <c r="U329" i="4" s="1"/>
  <c r="V329" i="4" a="1"/>
  <c r="V329" i="4" s="1"/>
  <c r="W329" i="4" a="1"/>
  <c r="W329" i="4" s="1"/>
  <c r="T293" i="4" a="1"/>
  <c r="T293" i="4" s="1"/>
  <c r="U293" i="4" a="1"/>
  <c r="U293" i="4" s="1"/>
  <c r="W293" i="4" a="1"/>
  <c r="W293" i="4" s="1"/>
  <c r="V293" i="4" a="1"/>
  <c r="V293" i="4" s="1"/>
  <c r="T257" i="4" a="1"/>
  <c r="T257" i="4" s="1"/>
  <c r="U257" i="4" a="1"/>
  <c r="U257" i="4" s="1"/>
  <c r="V257" i="4" a="1"/>
  <c r="V257" i="4" s="1"/>
  <c r="W257" i="4" a="1"/>
  <c r="W257" i="4" s="1"/>
  <c r="T221" i="4" a="1"/>
  <c r="T221" i="4" s="1"/>
  <c r="U221" i="4" a="1"/>
  <c r="U221" i="4" s="1"/>
  <c r="W221" i="4" a="1"/>
  <c r="W221" i="4" s="1"/>
  <c r="V221" i="4" a="1"/>
  <c r="V221" i="4" s="1"/>
  <c r="U376" i="4" a="1"/>
  <c r="U376" i="4" s="1"/>
  <c r="T376" i="4" a="1"/>
  <c r="T376" i="4" s="1"/>
  <c r="V376" i="4" a="1"/>
  <c r="V376" i="4" s="1"/>
  <c r="W376" i="4" a="1"/>
  <c r="W376" i="4" s="1"/>
  <c r="T340" i="4" a="1"/>
  <c r="T340" i="4" s="1"/>
  <c r="U340" i="4" a="1"/>
  <c r="U340" i="4" s="1"/>
  <c r="V340" i="4" a="1"/>
  <c r="V340" i="4" s="1"/>
  <c r="W340" i="4" a="1"/>
  <c r="W340" i="4" s="1"/>
  <c r="T304" i="4" a="1"/>
  <c r="T304" i="4" s="1"/>
  <c r="U304" i="4" a="1"/>
  <c r="U304" i="4" s="1"/>
  <c r="V304" i="4" a="1"/>
  <c r="V304" i="4" s="1"/>
  <c r="W304" i="4" a="1"/>
  <c r="W304" i="4" s="1"/>
  <c r="U268" i="4" a="1"/>
  <c r="U268" i="4" s="1"/>
  <c r="T268" i="4" a="1"/>
  <c r="T268" i="4" s="1"/>
  <c r="V268" i="4" a="1"/>
  <c r="V268" i="4" s="1"/>
  <c r="W268" i="4" a="1"/>
  <c r="W268" i="4" s="1"/>
  <c r="T232" i="4" a="1"/>
  <c r="T232" i="4" s="1"/>
  <c r="U232" i="4" a="1"/>
  <c r="U232" i="4" s="1"/>
  <c r="V232" i="4" a="1"/>
  <c r="V232" i="4" s="1"/>
  <c r="W232" i="4" a="1"/>
  <c r="W232" i="4" s="1"/>
  <c r="T399" i="4" a="1"/>
  <c r="T399" i="4" s="1"/>
  <c r="U399" i="4" a="1"/>
  <c r="U399" i="4" s="1"/>
  <c r="V399" i="4" a="1"/>
  <c r="V399" i="4" s="1"/>
  <c r="W399" i="4" a="1"/>
  <c r="W399" i="4" s="1"/>
  <c r="T363" i="4" a="1"/>
  <c r="T363" i="4" s="1"/>
  <c r="U363" i="4" a="1"/>
  <c r="U363" i="4" s="1"/>
  <c r="V363" i="4" a="1"/>
  <c r="V363" i="4" s="1"/>
  <c r="W363" i="4" a="1"/>
  <c r="W363" i="4" s="1"/>
  <c r="T327" i="4" a="1"/>
  <c r="T327" i="4" s="1"/>
  <c r="U327" i="4" a="1"/>
  <c r="U327" i="4" s="1"/>
  <c r="V327" i="4" a="1"/>
  <c r="V327" i="4" s="1"/>
  <c r="W327" i="4" a="1"/>
  <c r="W327" i="4" s="1"/>
  <c r="T291" i="4" a="1"/>
  <c r="T291" i="4" s="1"/>
  <c r="U291" i="4" a="1"/>
  <c r="U291" i="4" s="1"/>
  <c r="V291" i="4" a="1"/>
  <c r="V291" i="4" s="1"/>
  <c r="W291" i="4" a="1"/>
  <c r="W291" i="4" s="1"/>
  <c r="T255" i="4" a="1"/>
  <c r="T255" i="4" s="1"/>
  <c r="U255" i="4" a="1"/>
  <c r="U255" i="4" s="1"/>
  <c r="W255" i="4" a="1"/>
  <c r="W255" i="4" s="1"/>
  <c r="V255" i="4" a="1"/>
  <c r="V255" i="4" s="1"/>
  <c r="L1032" i="4"/>
  <c r="L960" i="4"/>
  <c r="L888" i="4"/>
  <c r="L1438" i="4"/>
  <c r="L1402" i="4"/>
  <c r="L1366" i="4"/>
  <c r="L1330" i="4"/>
  <c r="L1294" i="4"/>
  <c r="L1222" i="4"/>
  <c r="L1150" i="4"/>
  <c r="L1078" i="4"/>
  <c r="L1026" i="4"/>
  <c r="L954" i="4"/>
  <c r="L882" i="4"/>
  <c r="L1458" i="4"/>
  <c r="L1422" i="4"/>
  <c r="L1386" i="4"/>
  <c r="L1350" i="4"/>
  <c r="L1314" i="4"/>
  <c r="L1278" i="4"/>
  <c r="L1242" i="4"/>
  <c r="L1206" i="4"/>
  <c r="L1170" i="4"/>
  <c r="L1134" i="4"/>
  <c r="L1098" i="4"/>
  <c r="T219" i="4" a="1"/>
  <c r="T219" i="4" s="1"/>
  <c r="W219" i="4" a="1"/>
  <c r="W219" i="4" s="1"/>
  <c r="U219" i="4" a="1"/>
  <c r="U219" i="4" s="1"/>
  <c r="V219" i="4" a="1"/>
  <c r="V219" i="4" s="1"/>
  <c r="T1490" i="4" a="1"/>
  <c r="T1490" i="4" s="1"/>
  <c r="U1490" i="4" a="1"/>
  <c r="U1490" i="4" s="1"/>
  <c r="V1490" i="4" a="1"/>
  <c r="V1490" i="4" s="1"/>
  <c r="W1490" i="4" a="1"/>
  <c r="W1490" i="4" s="1"/>
  <c r="T1454" i="4" a="1"/>
  <c r="T1454" i="4" s="1"/>
  <c r="U1454" i="4" a="1"/>
  <c r="U1454" i="4" s="1"/>
  <c r="W1454" i="4" a="1"/>
  <c r="W1454" i="4" s="1"/>
  <c r="V1454" i="4" a="1"/>
  <c r="V1454" i="4" s="1"/>
  <c r="T1387" i="4" a="1"/>
  <c r="T1387" i="4" s="1"/>
  <c r="U1387" i="4" a="1"/>
  <c r="U1387" i="4" s="1"/>
  <c r="W1387" i="4" a="1"/>
  <c r="W1387" i="4" s="1"/>
  <c r="V1387" i="4" a="1"/>
  <c r="V1387" i="4" s="1"/>
  <c r="T1489" i="4" a="1"/>
  <c r="T1489" i="4" s="1"/>
  <c r="U1489" i="4" a="1"/>
  <c r="U1489" i="4" s="1"/>
  <c r="V1489" i="4" a="1"/>
  <c r="V1489" i="4" s="1"/>
  <c r="W1489" i="4" a="1"/>
  <c r="W1489" i="4" s="1"/>
  <c r="T1309" i="4" a="1"/>
  <c r="T1309" i="4" s="1"/>
  <c r="U1309" i="4" a="1"/>
  <c r="U1309" i="4" s="1"/>
  <c r="V1309" i="4" a="1"/>
  <c r="V1309" i="4" s="1"/>
  <c r="W1309" i="4" a="1"/>
  <c r="W1309" i="4" s="1"/>
  <c r="T1093" i="4" a="1"/>
  <c r="T1093" i="4" s="1"/>
  <c r="U1093" i="4" a="1"/>
  <c r="U1093" i="4" s="1"/>
  <c r="V1093" i="4" a="1"/>
  <c r="V1093" i="4" s="1"/>
  <c r="W1093" i="4" a="1"/>
  <c r="W1093" i="4" s="1"/>
  <c r="T1484" i="4" a="1"/>
  <c r="T1484" i="4" s="1"/>
  <c r="U1484" i="4" a="1"/>
  <c r="U1484" i="4" s="1"/>
  <c r="V1484" i="4" a="1"/>
  <c r="V1484" i="4" s="1"/>
  <c r="W1484" i="4" a="1"/>
  <c r="W1484" i="4" s="1"/>
  <c r="T1303" i="4" a="1"/>
  <c r="T1303" i="4" s="1"/>
  <c r="U1303" i="4" a="1"/>
  <c r="U1303" i="4" s="1"/>
  <c r="V1303" i="4" a="1"/>
  <c r="V1303" i="4" s="1"/>
  <c r="W1303" i="4" a="1"/>
  <c r="W1303" i="4" s="1"/>
  <c r="T1087" i="4" a="1"/>
  <c r="T1087" i="4" s="1"/>
  <c r="U1087" i="4" a="1"/>
  <c r="U1087" i="4" s="1"/>
  <c r="W1087" i="4" a="1"/>
  <c r="W1087" i="4" s="1"/>
  <c r="V1087" i="4" a="1"/>
  <c r="V1087" i="4" s="1"/>
  <c r="U1483" i="4" a="1"/>
  <c r="U1483" i="4" s="1"/>
  <c r="V1483" i="4" a="1"/>
  <c r="V1483" i="4" s="1"/>
  <c r="T1483" i="4" a="1"/>
  <c r="T1483" i="4" s="1"/>
  <c r="W1483" i="4" a="1"/>
  <c r="W1483" i="4" s="1"/>
  <c r="V1297" i="4" a="1"/>
  <c r="V1297" i="4" s="1"/>
  <c r="T1297" i="4" a="1"/>
  <c r="T1297" i="4" s="1"/>
  <c r="U1297" i="4" a="1"/>
  <c r="U1297" i="4" s="1"/>
  <c r="W1297" i="4" a="1"/>
  <c r="W1297" i="4" s="1"/>
  <c r="T1081" i="4" a="1"/>
  <c r="T1081" i="4" s="1"/>
  <c r="V1081" i="4" a="1"/>
  <c r="V1081" i="4" s="1"/>
  <c r="U1081" i="4" a="1"/>
  <c r="U1081" i="4" s="1"/>
  <c r="W1081" i="4" a="1"/>
  <c r="W1081" i="4" s="1"/>
  <c r="T1496" i="4" a="1"/>
  <c r="T1496" i="4" s="1"/>
  <c r="U1496" i="4" a="1"/>
  <c r="U1496" i="4" s="1"/>
  <c r="V1496" i="4" a="1"/>
  <c r="V1496" i="4" s="1"/>
  <c r="W1496" i="4" a="1"/>
  <c r="W1496" i="4" s="1"/>
  <c r="T1327" i="4" a="1"/>
  <c r="T1327" i="4" s="1"/>
  <c r="U1327" i="4" a="1"/>
  <c r="U1327" i="4" s="1"/>
  <c r="W1327" i="4" a="1"/>
  <c r="W1327" i="4" s="1"/>
  <c r="V1327" i="4" a="1"/>
  <c r="V1327" i="4" s="1"/>
  <c r="T1111" i="4" a="1"/>
  <c r="T1111" i="4" s="1"/>
  <c r="U1111" i="4" a="1"/>
  <c r="U1111" i="4" s="1"/>
  <c r="V1111" i="4" a="1"/>
  <c r="V1111" i="4" s="1"/>
  <c r="W1111" i="4" a="1"/>
  <c r="W1111" i="4" s="1"/>
  <c r="U895" i="4" a="1"/>
  <c r="U895" i="4" s="1"/>
  <c r="V895" i="4" a="1"/>
  <c r="V895" i="4" s="1"/>
  <c r="W895" i="4" a="1"/>
  <c r="W895" i="4" s="1"/>
  <c r="T895" i="4" a="1"/>
  <c r="T895" i="4" s="1"/>
  <c r="T1357" i="4" a="1"/>
  <c r="T1357" i="4" s="1"/>
  <c r="U1357" i="4" a="1"/>
  <c r="U1357" i="4" s="1"/>
  <c r="V1357" i="4" a="1"/>
  <c r="V1357" i="4" s="1"/>
  <c r="W1357" i="4" a="1"/>
  <c r="W1357" i="4" s="1"/>
  <c r="U1141" i="4" a="1"/>
  <c r="U1141" i="4" s="1"/>
  <c r="T1141" i="4" a="1"/>
  <c r="T1141" i="4" s="1"/>
  <c r="W1141" i="4" a="1"/>
  <c r="W1141" i="4" s="1"/>
  <c r="V1141" i="4" a="1"/>
  <c r="V1141" i="4" s="1"/>
  <c r="T925" i="4" a="1"/>
  <c r="T925" i="4" s="1"/>
  <c r="U925" i="4" a="1"/>
  <c r="U925" i="4" s="1"/>
  <c r="W925" i="4" a="1"/>
  <c r="W925" i="4" s="1"/>
  <c r="V925" i="4" a="1"/>
  <c r="V925" i="4" s="1"/>
  <c r="T1424" i="4" a="1"/>
  <c r="T1424" i="4" s="1"/>
  <c r="V1424" i="4" a="1"/>
  <c r="V1424" i="4" s="1"/>
  <c r="W1424" i="4" a="1"/>
  <c r="W1424" i="4" s="1"/>
  <c r="U1424" i="4" a="1"/>
  <c r="U1424" i="4" s="1"/>
  <c r="T1388" i="4" a="1"/>
  <c r="T1388" i="4" s="1"/>
  <c r="V1388" i="4" a="1"/>
  <c r="V1388" i="4" s="1"/>
  <c r="U1388" i="4" a="1"/>
  <c r="U1388" i="4" s="1"/>
  <c r="W1388" i="4" a="1"/>
  <c r="W1388" i="4" s="1"/>
  <c r="T1352" i="4" a="1"/>
  <c r="T1352" i="4" s="1"/>
  <c r="V1352" i="4" a="1"/>
  <c r="V1352" i="4" s="1"/>
  <c r="U1352" i="4" a="1"/>
  <c r="U1352" i="4" s="1"/>
  <c r="W1352" i="4" a="1"/>
  <c r="W1352" i="4" s="1"/>
  <c r="T1316" i="4" a="1"/>
  <c r="T1316" i="4" s="1"/>
  <c r="V1316" i="4" a="1"/>
  <c r="V1316" i="4" s="1"/>
  <c r="U1316" i="4" a="1"/>
  <c r="U1316" i="4" s="1"/>
  <c r="W1316" i="4" a="1"/>
  <c r="W1316" i="4" s="1"/>
  <c r="T1280" i="4" a="1"/>
  <c r="T1280" i="4" s="1"/>
  <c r="V1280" i="4" a="1"/>
  <c r="V1280" i="4" s="1"/>
  <c r="U1280" i="4" a="1"/>
  <c r="U1280" i="4" s="1"/>
  <c r="W1280" i="4" a="1"/>
  <c r="W1280" i="4" s="1"/>
  <c r="T1244" i="4" a="1"/>
  <c r="T1244" i="4" s="1"/>
  <c r="V1244" i="4" a="1"/>
  <c r="V1244" i="4" s="1"/>
  <c r="U1244" i="4" a="1"/>
  <c r="U1244" i="4" s="1"/>
  <c r="W1244" i="4" a="1"/>
  <c r="W1244" i="4" s="1"/>
  <c r="T1208" i="4" a="1"/>
  <c r="T1208" i="4" s="1"/>
  <c r="V1208" i="4" a="1"/>
  <c r="V1208" i="4" s="1"/>
  <c r="W1208" i="4" a="1"/>
  <c r="W1208" i="4" s="1"/>
  <c r="U1208" i="4" a="1"/>
  <c r="U1208" i="4" s="1"/>
  <c r="T1172" i="4" a="1"/>
  <c r="T1172" i="4" s="1"/>
  <c r="V1172" i="4" a="1"/>
  <c r="V1172" i="4" s="1"/>
  <c r="U1172" i="4" a="1"/>
  <c r="U1172" i="4" s="1"/>
  <c r="W1172" i="4" a="1"/>
  <c r="W1172" i="4" s="1"/>
  <c r="T1136" i="4" a="1"/>
  <c r="T1136" i="4" s="1"/>
  <c r="V1136" i="4" a="1"/>
  <c r="V1136" i="4" s="1"/>
  <c r="U1136" i="4" a="1"/>
  <c r="U1136" i="4" s="1"/>
  <c r="W1136" i="4" a="1"/>
  <c r="W1136" i="4" s="1"/>
  <c r="T1100" i="4" a="1"/>
  <c r="T1100" i="4" s="1"/>
  <c r="V1100" i="4" a="1"/>
  <c r="V1100" i="4" s="1"/>
  <c r="W1100" i="4" a="1"/>
  <c r="W1100" i="4" s="1"/>
  <c r="U1100" i="4" a="1"/>
  <c r="U1100" i="4" s="1"/>
  <c r="T1064" i="4" a="1"/>
  <c r="T1064" i="4" s="1"/>
  <c r="V1064" i="4" a="1"/>
  <c r="V1064" i="4" s="1"/>
  <c r="U1064" i="4" a="1"/>
  <c r="U1064" i="4" s="1"/>
  <c r="W1064" i="4" a="1"/>
  <c r="W1064" i="4" s="1"/>
  <c r="T1028" i="4" a="1"/>
  <c r="T1028" i="4" s="1"/>
  <c r="V1028" i="4" a="1"/>
  <c r="V1028" i="4" s="1"/>
  <c r="U1028" i="4" a="1"/>
  <c r="U1028" i="4" s="1"/>
  <c r="W1028" i="4" a="1"/>
  <c r="W1028" i="4" s="1"/>
  <c r="U992" i="4" a="1"/>
  <c r="U992" i="4" s="1"/>
  <c r="V992" i="4" a="1"/>
  <c r="V992" i="4" s="1"/>
  <c r="W992" i="4" a="1"/>
  <c r="W992" i="4" s="1"/>
  <c r="T992" i="4" a="1"/>
  <c r="T992" i="4" s="1"/>
  <c r="T956" i="4" a="1"/>
  <c r="T956" i="4" s="1"/>
  <c r="U956" i="4" a="1"/>
  <c r="U956" i="4" s="1"/>
  <c r="V956" i="4" a="1"/>
  <c r="V956" i="4" s="1"/>
  <c r="W956" i="4" a="1"/>
  <c r="W956" i="4" s="1"/>
  <c r="T920" i="4" a="1"/>
  <c r="T920" i="4" s="1"/>
  <c r="U920" i="4" a="1"/>
  <c r="U920" i="4" s="1"/>
  <c r="V920" i="4" a="1"/>
  <c r="V920" i="4" s="1"/>
  <c r="W920" i="4" a="1"/>
  <c r="W920" i="4" s="1"/>
  <c r="T884" i="4" a="1"/>
  <c r="T884" i="4" s="1"/>
  <c r="U884" i="4" a="1"/>
  <c r="U884" i="4" s="1"/>
  <c r="V884" i="4" a="1"/>
  <c r="V884" i="4" s="1"/>
  <c r="W884" i="4" a="1"/>
  <c r="W884" i="4" s="1"/>
  <c r="T848" i="4" a="1"/>
  <c r="T848" i="4" s="1"/>
  <c r="U848" i="4" a="1"/>
  <c r="U848" i="4" s="1"/>
  <c r="V848" i="4" a="1"/>
  <c r="V848" i="4" s="1"/>
  <c r="W848" i="4" a="1"/>
  <c r="W848" i="4" s="1"/>
  <c r="T812" i="4" a="1"/>
  <c r="T812" i="4" s="1"/>
  <c r="U812" i="4" a="1"/>
  <c r="U812" i="4" s="1"/>
  <c r="V812" i="4" a="1"/>
  <c r="V812" i="4" s="1"/>
  <c r="W812" i="4" a="1"/>
  <c r="W812" i="4" s="1"/>
  <c r="T776" i="4" a="1"/>
  <c r="T776" i="4" s="1"/>
  <c r="U776" i="4" a="1"/>
  <c r="U776" i="4" s="1"/>
  <c r="V776" i="4" a="1"/>
  <c r="V776" i="4" s="1"/>
  <c r="W776" i="4" a="1"/>
  <c r="W776" i="4" s="1"/>
  <c r="T740" i="4" a="1"/>
  <c r="T740" i="4" s="1"/>
  <c r="U740" i="4" a="1"/>
  <c r="U740" i="4" s="1"/>
  <c r="V740" i="4" a="1"/>
  <c r="V740" i="4" s="1"/>
  <c r="W740" i="4" a="1"/>
  <c r="W740" i="4" s="1"/>
  <c r="T704" i="4" a="1"/>
  <c r="T704" i="4" s="1"/>
  <c r="U704" i="4" a="1"/>
  <c r="U704" i="4" s="1"/>
  <c r="V704" i="4" a="1"/>
  <c r="V704" i="4" s="1"/>
  <c r="W704" i="4" a="1"/>
  <c r="W704" i="4" s="1"/>
  <c r="U668" i="4" a="1"/>
  <c r="U668" i="4" s="1"/>
  <c r="V668" i="4" a="1"/>
  <c r="V668" i="4" s="1"/>
  <c r="T668" i="4" a="1"/>
  <c r="T668" i="4" s="1"/>
  <c r="W668" i="4" a="1"/>
  <c r="W668" i="4" s="1"/>
  <c r="T632" i="4" a="1"/>
  <c r="T632" i="4" s="1"/>
  <c r="U632" i="4" a="1"/>
  <c r="U632" i="4" s="1"/>
  <c r="V632" i="4" a="1"/>
  <c r="V632" i="4" s="1"/>
  <c r="W632" i="4" a="1"/>
  <c r="W632" i="4" s="1"/>
  <c r="T596" i="4" a="1"/>
  <c r="T596" i="4" s="1"/>
  <c r="U596" i="4" a="1"/>
  <c r="U596" i="4" s="1"/>
  <c r="V596" i="4" a="1"/>
  <c r="V596" i="4" s="1"/>
  <c r="W596" i="4" a="1"/>
  <c r="W596" i="4" s="1"/>
  <c r="T560" i="4" a="1"/>
  <c r="T560" i="4" s="1"/>
  <c r="U560" i="4" a="1"/>
  <c r="U560" i="4" s="1"/>
  <c r="V560" i="4" a="1"/>
  <c r="V560" i="4" s="1"/>
  <c r="W560" i="4" a="1"/>
  <c r="W560" i="4" s="1"/>
  <c r="T524" i="4" a="1"/>
  <c r="T524" i="4" s="1"/>
  <c r="U524" i="4" a="1"/>
  <c r="U524" i="4" s="1"/>
  <c r="V524" i="4" a="1"/>
  <c r="V524" i="4" s="1"/>
  <c r="W524" i="4" a="1"/>
  <c r="W524" i="4" s="1"/>
  <c r="T488" i="4" a="1"/>
  <c r="T488" i="4" s="1"/>
  <c r="U488" i="4" a="1"/>
  <c r="U488" i="4" s="1"/>
  <c r="V488" i="4" a="1"/>
  <c r="V488" i="4" s="1"/>
  <c r="W488" i="4" a="1"/>
  <c r="W488" i="4" s="1"/>
  <c r="T452" i="4" a="1"/>
  <c r="T452" i="4" s="1"/>
  <c r="U452" i="4" a="1"/>
  <c r="U452" i="4" s="1"/>
  <c r="V452" i="4" a="1"/>
  <c r="V452" i="4" s="1"/>
  <c r="W452" i="4" a="1"/>
  <c r="W452" i="4" s="1"/>
  <c r="T416" i="4" a="1"/>
  <c r="T416" i="4" s="1"/>
  <c r="U416" i="4" a="1"/>
  <c r="U416" i="4" s="1"/>
  <c r="V416" i="4" a="1"/>
  <c r="V416" i="4" s="1"/>
  <c r="W416" i="4" a="1"/>
  <c r="W416" i="4" s="1"/>
  <c r="T865" i="4" a="1"/>
  <c r="T865" i="4" s="1"/>
  <c r="V865" i="4" a="1"/>
  <c r="V865" i="4" s="1"/>
  <c r="U865" i="4" a="1"/>
  <c r="U865" i="4" s="1"/>
  <c r="W865" i="4" a="1"/>
  <c r="W865" i="4" s="1"/>
  <c r="T829" i="4" a="1"/>
  <c r="T829" i="4" s="1"/>
  <c r="V829" i="4" a="1"/>
  <c r="V829" i="4" s="1"/>
  <c r="U829" i="4" a="1"/>
  <c r="U829" i="4" s="1"/>
  <c r="W829" i="4" a="1"/>
  <c r="W829" i="4" s="1"/>
  <c r="T793" i="4" a="1"/>
  <c r="T793" i="4" s="1"/>
  <c r="V793" i="4" a="1"/>
  <c r="V793" i="4" s="1"/>
  <c r="U793" i="4" a="1"/>
  <c r="U793" i="4" s="1"/>
  <c r="W793" i="4" a="1"/>
  <c r="W793" i="4" s="1"/>
  <c r="T757" i="4" a="1"/>
  <c r="T757" i="4" s="1"/>
  <c r="U757" i="4" a="1"/>
  <c r="U757" i="4" s="1"/>
  <c r="V757" i="4" a="1"/>
  <c r="V757" i="4" s="1"/>
  <c r="W757" i="4" a="1"/>
  <c r="W757" i="4" s="1"/>
  <c r="T721" i="4" a="1"/>
  <c r="T721" i="4" s="1"/>
  <c r="U721" i="4" a="1"/>
  <c r="U721" i="4" s="1"/>
  <c r="V721" i="4" a="1"/>
  <c r="V721" i="4" s="1"/>
  <c r="W721" i="4" a="1"/>
  <c r="W721" i="4" s="1"/>
  <c r="T685" i="4" a="1"/>
  <c r="T685" i="4" s="1"/>
  <c r="U685" i="4" a="1"/>
  <c r="U685" i="4" s="1"/>
  <c r="V685" i="4" a="1"/>
  <c r="V685" i="4" s="1"/>
  <c r="W685" i="4" a="1"/>
  <c r="W685" i="4" s="1"/>
  <c r="T649" i="4" a="1"/>
  <c r="T649" i="4" s="1"/>
  <c r="U649" i="4" a="1"/>
  <c r="U649" i="4" s="1"/>
  <c r="V649" i="4" a="1"/>
  <c r="V649" i="4" s="1"/>
  <c r="W649" i="4" a="1"/>
  <c r="W649" i="4" s="1"/>
  <c r="T613" i="4" a="1"/>
  <c r="T613" i="4" s="1"/>
  <c r="U613" i="4" a="1"/>
  <c r="U613" i="4" s="1"/>
  <c r="V613" i="4" a="1"/>
  <c r="V613" i="4" s="1"/>
  <c r="W613" i="4" a="1"/>
  <c r="W613" i="4" s="1"/>
  <c r="T577" i="4" a="1"/>
  <c r="T577" i="4" s="1"/>
  <c r="U577" i="4" a="1"/>
  <c r="U577" i="4" s="1"/>
  <c r="V577" i="4" a="1"/>
  <c r="V577" i="4" s="1"/>
  <c r="W577" i="4" a="1"/>
  <c r="W577" i="4" s="1"/>
  <c r="T541" i="4" a="1"/>
  <c r="T541" i="4" s="1"/>
  <c r="U541" i="4" a="1"/>
  <c r="U541" i="4" s="1"/>
  <c r="V541" i="4" a="1"/>
  <c r="V541" i="4" s="1"/>
  <c r="W541" i="4" a="1"/>
  <c r="W541" i="4" s="1"/>
  <c r="T505" i="4" a="1"/>
  <c r="T505" i="4" s="1"/>
  <c r="U505" i="4" a="1"/>
  <c r="U505" i="4" s="1"/>
  <c r="V505" i="4" a="1"/>
  <c r="V505" i="4" s="1"/>
  <c r="W505" i="4" a="1"/>
  <c r="W505" i="4" s="1"/>
  <c r="T469" i="4" a="1"/>
  <c r="T469" i="4" s="1"/>
  <c r="U469" i="4" a="1"/>
  <c r="U469" i="4" s="1"/>
  <c r="V469" i="4" a="1"/>
  <c r="V469" i="4" s="1"/>
  <c r="W469" i="4" a="1"/>
  <c r="W469" i="4" s="1"/>
  <c r="T433" i="4" a="1"/>
  <c r="T433" i="4" s="1"/>
  <c r="U433" i="4" a="1"/>
  <c r="U433" i="4" s="1"/>
  <c r="V433" i="4" a="1"/>
  <c r="V433" i="4" s="1"/>
  <c r="W433" i="4" a="1"/>
  <c r="W433" i="4" s="1"/>
  <c r="T1494" i="4" a="1"/>
  <c r="T1494" i="4" s="1"/>
  <c r="U1494" i="4" a="1"/>
  <c r="U1494" i="4" s="1"/>
  <c r="V1494" i="4" a="1"/>
  <c r="V1494" i="4" s="1"/>
  <c r="W1494" i="4" a="1"/>
  <c r="W1494" i="4" s="1"/>
  <c r="T1458" i="4" a="1"/>
  <c r="T1458" i="4" s="1"/>
  <c r="U1458" i="4" a="1"/>
  <c r="U1458" i="4" s="1"/>
  <c r="W1458" i="4" a="1"/>
  <c r="W1458" i="4" s="1"/>
  <c r="V1458" i="4" a="1"/>
  <c r="V1458" i="4" s="1"/>
  <c r="T1422" i="4" a="1"/>
  <c r="T1422" i="4" s="1"/>
  <c r="U1422" i="4" a="1"/>
  <c r="U1422" i="4" s="1"/>
  <c r="V1422" i="4" a="1"/>
  <c r="V1422" i="4" s="1"/>
  <c r="W1422" i="4" a="1"/>
  <c r="W1422" i="4" s="1"/>
  <c r="T1386" i="4" a="1"/>
  <c r="T1386" i="4" s="1"/>
  <c r="U1386" i="4" a="1"/>
  <c r="U1386" i="4" s="1"/>
  <c r="V1386" i="4" a="1"/>
  <c r="V1386" i="4" s="1"/>
  <c r="W1386" i="4" a="1"/>
  <c r="W1386" i="4" s="1"/>
  <c r="T1350" i="4" a="1"/>
  <c r="T1350" i="4" s="1"/>
  <c r="U1350" i="4" a="1"/>
  <c r="U1350" i="4" s="1"/>
  <c r="V1350" i="4" a="1"/>
  <c r="V1350" i="4" s="1"/>
  <c r="W1350" i="4" a="1"/>
  <c r="W1350" i="4" s="1"/>
  <c r="T1314" i="4" a="1"/>
  <c r="T1314" i="4" s="1"/>
  <c r="V1314" i="4" a="1"/>
  <c r="V1314" i="4" s="1"/>
  <c r="U1314" i="4" a="1"/>
  <c r="U1314" i="4" s="1"/>
  <c r="W1314" i="4" a="1"/>
  <c r="W1314" i="4" s="1"/>
  <c r="T1278" i="4" a="1"/>
  <c r="T1278" i="4" s="1"/>
  <c r="U1278" i="4" a="1"/>
  <c r="U1278" i="4" s="1"/>
  <c r="W1278" i="4" a="1"/>
  <c r="W1278" i="4" s="1"/>
  <c r="V1278" i="4" a="1"/>
  <c r="V1278" i="4" s="1"/>
  <c r="T1242" i="4" a="1"/>
  <c r="T1242" i="4" s="1"/>
  <c r="U1242" i="4" a="1"/>
  <c r="U1242" i="4" s="1"/>
  <c r="W1242" i="4" a="1"/>
  <c r="W1242" i="4" s="1"/>
  <c r="V1242" i="4" a="1"/>
  <c r="V1242" i="4" s="1"/>
  <c r="T1206" i="4" a="1"/>
  <c r="T1206" i="4" s="1"/>
  <c r="U1206" i="4" a="1"/>
  <c r="U1206" i="4" s="1"/>
  <c r="W1206" i="4" a="1"/>
  <c r="W1206" i="4" s="1"/>
  <c r="V1206" i="4" a="1"/>
  <c r="V1206" i="4" s="1"/>
  <c r="T1170" i="4" a="1"/>
  <c r="T1170" i="4" s="1"/>
  <c r="U1170" i="4" a="1"/>
  <c r="U1170" i="4" s="1"/>
  <c r="W1170" i="4" a="1"/>
  <c r="W1170" i="4" s="1"/>
  <c r="V1170" i="4" a="1"/>
  <c r="V1170" i="4" s="1"/>
  <c r="T1134" i="4" a="1"/>
  <c r="T1134" i="4" s="1"/>
  <c r="U1134" i="4" a="1"/>
  <c r="U1134" i="4" s="1"/>
  <c r="W1134" i="4" a="1"/>
  <c r="W1134" i="4" s="1"/>
  <c r="V1134" i="4" a="1"/>
  <c r="V1134" i="4" s="1"/>
  <c r="T1098" i="4" a="1"/>
  <c r="T1098" i="4" s="1"/>
  <c r="U1098" i="4" a="1"/>
  <c r="U1098" i="4" s="1"/>
  <c r="W1098" i="4" a="1"/>
  <c r="W1098" i="4" s="1"/>
  <c r="V1098" i="4" a="1"/>
  <c r="V1098" i="4" s="1"/>
  <c r="T1062" i="4" a="1"/>
  <c r="T1062" i="4" s="1"/>
  <c r="U1062" i="4" a="1"/>
  <c r="U1062" i="4" s="1"/>
  <c r="W1062" i="4" a="1"/>
  <c r="W1062" i="4" s="1"/>
  <c r="V1062" i="4" a="1"/>
  <c r="V1062" i="4" s="1"/>
  <c r="T1026" i="4" a="1"/>
  <c r="T1026" i="4" s="1"/>
  <c r="U1026" i="4" a="1"/>
  <c r="U1026" i="4" s="1"/>
  <c r="W1026" i="4" a="1"/>
  <c r="W1026" i="4" s="1"/>
  <c r="V1026" i="4" a="1"/>
  <c r="V1026" i="4" s="1"/>
  <c r="T990" i="4" a="1"/>
  <c r="T990" i="4" s="1"/>
  <c r="U990" i="4" a="1"/>
  <c r="U990" i="4" s="1"/>
  <c r="W990" i="4" a="1"/>
  <c r="W990" i="4" s="1"/>
  <c r="V990" i="4" a="1"/>
  <c r="V990" i="4" s="1"/>
  <c r="T954" i="4" a="1"/>
  <c r="T954" i="4" s="1"/>
  <c r="U954" i="4" a="1"/>
  <c r="U954" i="4" s="1"/>
  <c r="W954" i="4" a="1"/>
  <c r="W954" i="4" s="1"/>
  <c r="V954" i="4" a="1"/>
  <c r="V954" i="4" s="1"/>
  <c r="T918" i="4" a="1"/>
  <c r="T918" i="4" s="1"/>
  <c r="U918" i="4" a="1"/>
  <c r="U918" i="4" s="1"/>
  <c r="W918" i="4" a="1"/>
  <c r="W918" i="4" s="1"/>
  <c r="V918" i="4" a="1"/>
  <c r="V918" i="4" s="1"/>
  <c r="T882" i="4" a="1"/>
  <c r="T882" i="4" s="1"/>
  <c r="U882" i="4" a="1"/>
  <c r="U882" i="4" s="1"/>
  <c r="W882" i="4" a="1"/>
  <c r="W882" i="4" s="1"/>
  <c r="V882" i="4" a="1"/>
  <c r="V882" i="4" s="1"/>
  <c r="U846" i="4" a="1"/>
  <c r="U846" i="4" s="1"/>
  <c r="T846" i="4" a="1"/>
  <c r="T846" i="4" s="1"/>
  <c r="V846" i="4" a="1"/>
  <c r="V846" i="4" s="1"/>
  <c r="W846" i="4" a="1"/>
  <c r="W846" i="4" s="1"/>
  <c r="T810" i="4" a="1"/>
  <c r="T810" i="4" s="1"/>
  <c r="U810" i="4" a="1"/>
  <c r="U810" i="4" s="1"/>
  <c r="V810" i="4" a="1"/>
  <c r="V810" i="4" s="1"/>
  <c r="W810" i="4" a="1"/>
  <c r="W810" i="4" s="1"/>
  <c r="T774" i="4" a="1"/>
  <c r="T774" i="4" s="1"/>
  <c r="V774" i="4" a="1"/>
  <c r="V774" i="4" s="1"/>
  <c r="W774" i="4" a="1"/>
  <c r="W774" i="4" s="1"/>
  <c r="U774" i="4" a="1"/>
  <c r="U774" i="4" s="1"/>
  <c r="T738" i="4" a="1"/>
  <c r="T738" i="4" s="1"/>
  <c r="V738" i="4" a="1"/>
  <c r="V738" i="4" s="1"/>
  <c r="U738" i="4" a="1"/>
  <c r="U738" i="4" s="1"/>
  <c r="W738" i="4" a="1"/>
  <c r="W738" i="4" s="1"/>
  <c r="T702" i="4" a="1"/>
  <c r="T702" i="4" s="1"/>
  <c r="V702" i="4" a="1"/>
  <c r="V702" i="4" s="1"/>
  <c r="W702" i="4" a="1"/>
  <c r="W702" i="4" s="1"/>
  <c r="U702" i="4" a="1"/>
  <c r="U702" i="4" s="1"/>
  <c r="T666" i="4" a="1"/>
  <c r="T666" i="4" s="1"/>
  <c r="V666" i="4" a="1"/>
  <c r="V666" i="4" s="1"/>
  <c r="W666" i="4" a="1"/>
  <c r="W666" i="4" s="1"/>
  <c r="U666" i="4" a="1"/>
  <c r="U666" i="4" s="1"/>
  <c r="T630" i="4" a="1"/>
  <c r="T630" i="4" s="1"/>
  <c r="V630" i="4" a="1"/>
  <c r="V630" i="4" s="1"/>
  <c r="U630" i="4" a="1"/>
  <c r="U630" i="4" s="1"/>
  <c r="W630" i="4" a="1"/>
  <c r="W630" i="4" s="1"/>
  <c r="T594" i="4" a="1"/>
  <c r="T594" i="4" s="1"/>
  <c r="V594" i="4" a="1"/>
  <c r="V594" i="4" s="1"/>
  <c r="W594" i="4" a="1"/>
  <c r="W594" i="4" s="1"/>
  <c r="U594" i="4" a="1"/>
  <c r="U594" i="4" s="1"/>
  <c r="T558" i="4" a="1"/>
  <c r="T558" i="4" s="1"/>
  <c r="V558" i="4" a="1"/>
  <c r="V558" i="4" s="1"/>
  <c r="W558" i="4" a="1"/>
  <c r="W558" i="4" s="1"/>
  <c r="U558" i="4" a="1"/>
  <c r="U558" i="4" s="1"/>
  <c r="T522" i="4" a="1"/>
  <c r="T522" i="4" s="1"/>
  <c r="V522" i="4" a="1"/>
  <c r="V522" i="4" s="1"/>
  <c r="U522" i="4" a="1"/>
  <c r="U522" i="4" s="1"/>
  <c r="W522" i="4" a="1"/>
  <c r="W522" i="4" s="1"/>
  <c r="T486" i="4" a="1"/>
  <c r="T486" i="4" s="1"/>
  <c r="V486" i="4" a="1"/>
  <c r="V486" i="4" s="1"/>
  <c r="W486" i="4" a="1"/>
  <c r="W486" i="4" s="1"/>
  <c r="U486" i="4" a="1"/>
  <c r="U486" i="4" s="1"/>
  <c r="T450" i="4" a="1"/>
  <c r="T450" i="4" s="1"/>
  <c r="V450" i="4" a="1"/>
  <c r="V450" i="4" s="1"/>
  <c r="W450" i="4" a="1"/>
  <c r="W450" i="4" s="1"/>
  <c r="U450" i="4" a="1"/>
  <c r="U450" i="4" s="1"/>
  <c r="T414" i="4" a="1"/>
  <c r="T414" i="4" s="1"/>
  <c r="V414" i="4" a="1"/>
  <c r="V414" i="4" s="1"/>
  <c r="U414" i="4" a="1"/>
  <c r="U414" i="4" s="1"/>
  <c r="W414" i="4" a="1"/>
  <c r="W414" i="4" s="1"/>
  <c r="T1481" i="4" a="1"/>
  <c r="T1481" i="4" s="1"/>
  <c r="U1481" i="4" a="1"/>
  <c r="U1481" i="4" s="1"/>
  <c r="W1481" i="4" a="1"/>
  <c r="W1481" i="4" s="1"/>
  <c r="V1481" i="4" a="1"/>
  <c r="V1481" i="4" s="1"/>
  <c r="T1445" i="4" a="1"/>
  <c r="T1445" i="4" s="1"/>
  <c r="U1445" i="4" a="1"/>
  <c r="U1445" i="4" s="1"/>
  <c r="V1445" i="4" a="1"/>
  <c r="V1445" i="4" s="1"/>
  <c r="W1445" i="4" a="1"/>
  <c r="W1445" i="4" s="1"/>
  <c r="T1409" i="4" a="1"/>
  <c r="T1409" i="4" s="1"/>
  <c r="U1409" i="4" a="1"/>
  <c r="U1409" i="4" s="1"/>
  <c r="V1409" i="4" a="1"/>
  <c r="V1409" i="4" s="1"/>
  <c r="W1409" i="4" a="1"/>
  <c r="W1409" i="4" s="1"/>
  <c r="T1373" i="4" a="1"/>
  <c r="T1373" i="4" s="1"/>
  <c r="U1373" i="4" a="1"/>
  <c r="U1373" i="4" s="1"/>
  <c r="V1373" i="4" a="1"/>
  <c r="V1373" i="4" s="1"/>
  <c r="W1373" i="4" a="1"/>
  <c r="W1373" i="4" s="1"/>
  <c r="T1337" i="4" a="1"/>
  <c r="T1337" i="4" s="1"/>
  <c r="U1337" i="4" a="1"/>
  <c r="U1337" i="4" s="1"/>
  <c r="V1337" i="4" a="1"/>
  <c r="V1337" i="4" s="1"/>
  <c r="W1337" i="4" a="1"/>
  <c r="W1337" i="4" s="1"/>
  <c r="T1301" i="4" a="1"/>
  <c r="T1301" i="4" s="1"/>
  <c r="V1301" i="4" a="1"/>
  <c r="V1301" i="4" s="1"/>
  <c r="U1301" i="4" a="1"/>
  <c r="U1301" i="4" s="1"/>
  <c r="W1301" i="4" a="1"/>
  <c r="W1301" i="4" s="1"/>
  <c r="T1265" i="4" a="1"/>
  <c r="T1265" i="4" s="1"/>
  <c r="V1265" i="4" a="1"/>
  <c r="V1265" i="4" s="1"/>
  <c r="U1265" i="4" a="1"/>
  <c r="U1265" i="4" s="1"/>
  <c r="W1265" i="4" a="1"/>
  <c r="W1265" i="4" s="1"/>
  <c r="T1229" i="4" a="1"/>
  <c r="T1229" i="4" s="1"/>
  <c r="V1229" i="4" a="1"/>
  <c r="V1229" i="4" s="1"/>
  <c r="U1229" i="4" a="1"/>
  <c r="U1229" i="4" s="1"/>
  <c r="W1229" i="4" a="1"/>
  <c r="W1229" i="4" s="1"/>
  <c r="T1193" i="4" a="1"/>
  <c r="T1193" i="4" s="1"/>
  <c r="V1193" i="4" a="1"/>
  <c r="V1193" i="4" s="1"/>
  <c r="U1193" i="4" a="1"/>
  <c r="U1193" i="4" s="1"/>
  <c r="W1193" i="4" a="1"/>
  <c r="W1193" i="4" s="1"/>
  <c r="T1157" i="4" a="1"/>
  <c r="T1157" i="4" s="1"/>
  <c r="V1157" i="4" a="1"/>
  <c r="V1157" i="4" s="1"/>
  <c r="U1157" i="4" a="1"/>
  <c r="U1157" i="4" s="1"/>
  <c r="W1157" i="4" a="1"/>
  <c r="W1157" i="4" s="1"/>
  <c r="T1121" i="4" a="1"/>
  <c r="T1121" i="4" s="1"/>
  <c r="V1121" i="4" a="1"/>
  <c r="V1121" i="4" s="1"/>
  <c r="U1121" i="4" a="1"/>
  <c r="U1121" i="4" s="1"/>
  <c r="W1121" i="4" a="1"/>
  <c r="W1121" i="4" s="1"/>
  <c r="T1085" i="4" a="1"/>
  <c r="T1085" i="4" s="1"/>
  <c r="V1085" i="4" a="1"/>
  <c r="V1085" i="4" s="1"/>
  <c r="U1085" i="4" a="1"/>
  <c r="U1085" i="4" s="1"/>
  <c r="W1085" i="4" a="1"/>
  <c r="W1085" i="4" s="1"/>
  <c r="V1049" i="4" a="1"/>
  <c r="V1049" i="4" s="1"/>
  <c r="U1049" i="4" a="1"/>
  <c r="U1049" i="4" s="1"/>
  <c r="W1049" i="4" a="1"/>
  <c r="W1049" i="4" s="1"/>
  <c r="T1049" i="4" a="1"/>
  <c r="T1049" i="4" s="1"/>
  <c r="T1013" i="4" a="1"/>
  <c r="T1013" i="4" s="1"/>
  <c r="V1013" i="4" a="1"/>
  <c r="V1013" i="4" s="1"/>
  <c r="U1013" i="4" a="1"/>
  <c r="U1013" i="4" s="1"/>
  <c r="W1013" i="4" a="1"/>
  <c r="W1013" i="4" s="1"/>
  <c r="T977" i="4" a="1"/>
  <c r="T977" i="4" s="1"/>
  <c r="V977" i="4" a="1"/>
  <c r="V977" i="4" s="1"/>
  <c r="U977" i="4" a="1"/>
  <c r="U977" i="4" s="1"/>
  <c r="W977" i="4" a="1"/>
  <c r="W977" i="4" s="1"/>
  <c r="T941" i="4" a="1"/>
  <c r="T941" i="4" s="1"/>
  <c r="U941" i="4" a="1"/>
  <c r="U941" i="4" s="1"/>
  <c r="V941" i="4" a="1"/>
  <c r="V941" i="4" s="1"/>
  <c r="W941" i="4" a="1"/>
  <c r="W941" i="4" s="1"/>
  <c r="T905" i="4" a="1"/>
  <c r="T905" i="4" s="1"/>
  <c r="V905" i="4" a="1"/>
  <c r="V905" i="4" s="1"/>
  <c r="U905" i="4" a="1"/>
  <c r="U905" i="4" s="1"/>
  <c r="W905" i="4" a="1"/>
  <c r="W905" i="4" s="1"/>
  <c r="T869" i="4" a="1"/>
  <c r="T869" i="4" s="1"/>
  <c r="V869" i="4" a="1"/>
  <c r="V869" i="4" s="1"/>
  <c r="U869" i="4" a="1"/>
  <c r="U869" i="4" s="1"/>
  <c r="W869" i="4" a="1"/>
  <c r="W869" i="4" s="1"/>
  <c r="T833" i="4" a="1"/>
  <c r="T833" i="4" s="1"/>
  <c r="U833" i="4" a="1"/>
  <c r="U833" i="4" s="1"/>
  <c r="V833" i="4" a="1"/>
  <c r="V833" i="4" s="1"/>
  <c r="W833" i="4" a="1"/>
  <c r="W833" i="4" s="1"/>
  <c r="T797" i="4" a="1"/>
  <c r="T797" i="4" s="1"/>
  <c r="U797" i="4" a="1"/>
  <c r="U797" i="4" s="1"/>
  <c r="V797" i="4" a="1"/>
  <c r="V797" i="4" s="1"/>
  <c r="W797" i="4" a="1"/>
  <c r="W797" i="4" s="1"/>
  <c r="T761" i="4" a="1"/>
  <c r="T761" i="4" s="1"/>
  <c r="U761" i="4" a="1"/>
  <c r="U761" i="4" s="1"/>
  <c r="V761" i="4" a="1"/>
  <c r="V761" i="4" s="1"/>
  <c r="W761" i="4" a="1"/>
  <c r="W761" i="4" s="1"/>
  <c r="T725" i="4" a="1"/>
  <c r="T725" i="4" s="1"/>
  <c r="U725" i="4" a="1"/>
  <c r="U725" i="4" s="1"/>
  <c r="V725" i="4" a="1"/>
  <c r="V725" i="4" s="1"/>
  <c r="W725" i="4" a="1"/>
  <c r="W725" i="4" s="1"/>
  <c r="T689" i="4" a="1"/>
  <c r="T689" i="4" s="1"/>
  <c r="U689" i="4" a="1"/>
  <c r="U689" i="4" s="1"/>
  <c r="V689" i="4" a="1"/>
  <c r="V689" i="4" s="1"/>
  <c r="W689" i="4" a="1"/>
  <c r="W689" i="4" s="1"/>
  <c r="T653" i="4" a="1"/>
  <c r="T653" i="4" s="1"/>
  <c r="U653" i="4" a="1"/>
  <c r="U653" i="4" s="1"/>
  <c r="V653" i="4" a="1"/>
  <c r="V653" i="4" s="1"/>
  <c r="W653" i="4" a="1"/>
  <c r="W653" i="4" s="1"/>
  <c r="T617" i="4" a="1"/>
  <c r="T617" i="4" s="1"/>
  <c r="U617" i="4" a="1"/>
  <c r="U617" i="4" s="1"/>
  <c r="V617" i="4" a="1"/>
  <c r="V617" i="4" s="1"/>
  <c r="W617" i="4" a="1"/>
  <c r="W617" i="4" s="1"/>
  <c r="T581" i="4" a="1"/>
  <c r="T581" i="4" s="1"/>
  <c r="U581" i="4" a="1"/>
  <c r="U581" i="4" s="1"/>
  <c r="V581" i="4" a="1"/>
  <c r="V581" i="4" s="1"/>
  <c r="W581" i="4" a="1"/>
  <c r="W581" i="4" s="1"/>
  <c r="T545" i="4" a="1"/>
  <c r="T545" i="4" s="1"/>
  <c r="U545" i="4" a="1"/>
  <c r="U545" i="4" s="1"/>
  <c r="V545" i="4" a="1"/>
  <c r="V545" i="4" s="1"/>
  <c r="W545" i="4" a="1"/>
  <c r="W545" i="4" s="1"/>
  <c r="T509" i="4" a="1"/>
  <c r="T509" i="4" s="1"/>
  <c r="U509" i="4" a="1"/>
  <c r="U509" i="4" s="1"/>
  <c r="V509" i="4" a="1"/>
  <c r="V509" i="4" s="1"/>
  <c r="W509" i="4" a="1"/>
  <c r="W509" i="4" s="1"/>
  <c r="T473" i="4" a="1"/>
  <c r="T473" i="4" s="1"/>
  <c r="U473" i="4" a="1"/>
  <c r="U473" i="4" s="1"/>
  <c r="V473" i="4" a="1"/>
  <c r="V473" i="4" s="1"/>
  <c r="W473" i="4" a="1"/>
  <c r="W473" i="4" s="1"/>
  <c r="T437" i="4" a="1"/>
  <c r="T437" i="4" s="1"/>
  <c r="U437" i="4" a="1"/>
  <c r="U437" i="4" s="1"/>
  <c r="V437" i="4" a="1"/>
  <c r="V437" i="4" s="1"/>
  <c r="W437" i="4" a="1"/>
  <c r="W437" i="4" s="1"/>
  <c r="T397" i="4" a="1"/>
  <c r="T397" i="4" s="1"/>
  <c r="U397" i="4" a="1"/>
  <c r="U397" i="4" s="1"/>
  <c r="V397" i="4" a="1"/>
  <c r="V397" i="4" s="1"/>
  <c r="W397" i="4" a="1"/>
  <c r="W397" i="4" s="1"/>
  <c r="V1468" i="4" a="1"/>
  <c r="V1468" i="4" s="1"/>
  <c r="U1468" i="4" a="1"/>
  <c r="U1468" i="4" s="1"/>
  <c r="T1468" i="4" a="1"/>
  <c r="T1468" i="4" s="1"/>
  <c r="W1468" i="4" a="1"/>
  <c r="W1468" i="4" s="1"/>
  <c r="T1432" i="4" a="1"/>
  <c r="T1432" i="4" s="1"/>
  <c r="U1432" i="4" a="1"/>
  <c r="U1432" i="4" s="1"/>
  <c r="W1432" i="4" a="1"/>
  <c r="W1432" i="4" s="1"/>
  <c r="V1432" i="4" a="1"/>
  <c r="V1432" i="4" s="1"/>
  <c r="U1396" i="4" a="1"/>
  <c r="U1396" i="4" s="1"/>
  <c r="W1396" i="4" a="1"/>
  <c r="W1396" i="4" s="1"/>
  <c r="V1396" i="4" a="1"/>
  <c r="V1396" i="4" s="1"/>
  <c r="T1396" i="4" a="1"/>
  <c r="T1396" i="4" s="1"/>
  <c r="T1360" i="4" a="1"/>
  <c r="T1360" i="4" s="1"/>
  <c r="U1360" i="4" a="1"/>
  <c r="U1360" i="4" s="1"/>
  <c r="W1360" i="4" a="1"/>
  <c r="W1360" i="4" s="1"/>
  <c r="V1360" i="4" a="1"/>
  <c r="V1360" i="4" s="1"/>
  <c r="T1324" i="4" a="1"/>
  <c r="T1324" i="4" s="1"/>
  <c r="U1324" i="4" a="1"/>
  <c r="U1324" i="4" s="1"/>
  <c r="V1324" i="4" a="1"/>
  <c r="V1324" i="4" s="1"/>
  <c r="W1324" i="4" a="1"/>
  <c r="W1324" i="4" s="1"/>
  <c r="U1288" i="4" a="1"/>
  <c r="U1288" i="4" s="1"/>
  <c r="T1288" i="4" a="1"/>
  <c r="T1288" i="4" s="1"/>
  <c r="V1288" i="4" a="1"/>
  <c r="V1288" i="4" s="1"/>
  <c r="W1288" i="4" a="1"/>
  <c r="W1288" i="4" s="1"/>
  <c r="T1252" i="4" a="1"/>
  <c r="T1252" i="4" s="1"/>
  <c r="U1252" i="4" a="1"/>
  <c r="U1252" i="4" s="1"/>
  <c r="V1252" i="4" a="1"/>
  <c r="V1252" i="4" s="1"/>
  <c r="W1252" i="4" a="1"/>
  <c r="W1252" i="4" s="1"/>
  <c r="T1216" i="4" a="1"/>
  <c r="T1216" i="4" s="1"/>
  <c r="U1216" i="4" a="1"/>
  <c r="U1216" i="4" s="1"/>
  <c r="V1216" i="4" a="1"/>
  <c r="V1216" i="4" s="1"/>
  <c r="W1216" i="4" a="1"/>
  <c r="W1216" i="4" s="1"/>
  <c r="U1180" i="4" a="1"/>
  <c r="U1180" i="4" s="1"/>
  <c r="T1180" i="4" a="1"/>
  <c r="T1180" i="4" s="1"/>
  <c r="V1180" i="4" a="1"/>
  <c r="V1180" i="4" s="1"/>
  <c r="W1180" i="4" a="1"/>
  <c r="W1180" i="4" s="1"/>
  <c r="T1144" i="4" a="1"/>
  <c r="T1144" i="4" s="1"/>
  <c r="U1144" i="4" a="1"/>
  <c r="U1144" i="4" s="1"/>
  <c r="V1144" i="4" a="1"/>
  <c r="V1144" i="4" s="1"/>
  <c r="W1144" i="4" a="1"/>
  <c r="W1144" i="4" s="1"/>
  <c r="T1108" i="4" a="1"/>
  <c r="T1108" i="4" s="1"/>
  <c r="U1108" i="4" a="1"/>
  <c r="U1108" i="4" s="1"/>
  <c r="V1108" i="4" a="1"/>
  <c r="V1108" i="4" s="1"/>
  <c r="W1108" i="4" a="1"/>
  <c r="W1108" i="4" s="1"/>
  <c r="T1072" i="4" a="1"/>
  <c r="T1072" i="4" s="1"/>
  <c r="U1072" i="4" a="1"/>
  <c r="U1072" i="4" s="1"/>
  <c r="V1072" i="4" a="1"/>
  <c r="V1072" i="4" s="1"/>
  <c r="W1072" i="4" a="1"/>
  <c r="W1072" i="4" s="1"/>
  <c r="T1036" i="4" a="1"/>
  <c r="T1036" i="4" s="1"/>
  <c r="U1036" i="4" a="1"/>
  <c r="U1036" i="4" s="1"/>
  <c r="V1036" i="4" a="1"/>
  <c r="V1036" i="4" s="1"/>
  <c r="W1036" i="4" a="1"/>
  <c r="W1036" i="4" s="1"/>
  <c r="T1000" i="4" a="1"/>
  <c r="T1000" i="4" s="1"/>
  <c r="U1000" i="4" a="1"/>
  <c r="U1000" i="4" s="1"/>
  <c r="V1000" i="4" a="1"/>
  <c r="V1000" i="4" s="1"/>
  <c r="W1000" i="4" a="1"/>
  <c r="W1000" i="4" s="1"/>
  <c r="T964" i="4" a="1"/>
  <c r="T964" i="4" s="1"/>
  <c r="U964" i="4" a="1"/>
  <c r="U964" i="4" s="1"/>
  <c r="V964" i="4" a="1"/>
  <c r="V964" i="4" s="1"/>
  <c r="W964" i="4" a="1"/>
  <c r="W964" i="4" s="1"/>
  <c r="U928" i="4" a="1"/>
  <c r="U928" i="4" s="1"/>
  <c r="T928" i="4" a="1"/>
  <c r="T928" i="4" s="1"/>
  <c r="V928" i="4" a="1"/>
  <c r="V928" i="4" s="1"/>
  <c r="W928" i="4" a="1"/>
  <c r="W928" i="4" s="1"/>
  <c r="T892" i="4" a="1"/>
  <c r="T892" i="4" s="1"/>
  <c r="U892" i="4" a="1"/>
  <c r="U892" i="4" s="1"/>
  <c r="V892" i="4" a="1"/>
  <c r="V892" i="4" s="1"/>
  <c r="W892" i="4" a="1"/>
  <c r="W892" i="4" s="1"/>
  <c r="T856" i="4" a="1"/>
  <c r="T856" i="4" s="1"/>
  <c r="U856" i="4" a="1"/>
  <c r="U856" i="4" s="1"/>
  <c r="V856" i="4" a="1"/>
  <c r="V856" i="4" s="1"/>
  <c r="W856" i="4" a="1"/>
  <c r="W856" i="4" s="1"/>
  <c r="T820" i="4" a="1"/>
  <c r="T820" i="4" s="1"/>
  <c r="U820" i="4" a="1"/>
  <c r="U820" i="4" s="1"/>
  <c r="V820" i="4" a="1"/>
  <c r="V820" i="4" s="1"/>
  <c r="W820" i="4" a="1"/>
  <c r="W820" i="4" s="1"/>
  <c r="T784" i="4" a="1"/>
  <c r="T784" i="4" s="1"/>
  <c r="V784" i="4" a="1"/>
  <c r="V784" i="4" s="1"/>
  <c r="U784" i="4" a="1"/>
  <c r="U784" i="4" s="1"/>
  <c r="W784" i="4" a="1"/>
  <c r="W784" i="4" s="1"/>
  <c r="T748" i="4" a="1"/>
  <c r="T748" i="4" s="1"/>
  <c r="V748" i="4" a="1"/>
  <c r="V748" i="4" s="1"/>
  <c r="U748" i="4" a="1"/>
  <c r="U748" i="4" s="1"/>
  <c r="W748" i="4" a="1"/>
  <c r="W748" i="4" s="1"/>
  <c r="T712" i="4" a="1"/>
  <c r="T712" i="4" s="1"/>
  <c r="V712" i="4" a="1"/>
  <c r="V712" i="4" s="1"/>
  <c r="U712" i="4" a="1"/>
  <c r="U712" i="4" s="1"/>
  <c r="W712" i="4" a="1"/>
  <c r="W712" i="4" s="1"/>
  <c r="T676" i="4" a="1"/>
  <c r="T676" i="4" s="1"/>
  <c r="V676" i="4" a="1"/>
  <c r="V676" i="4" s="1"/>
  <c r="U676" i="4" a="1"/>
  <c r="U676" i="4" s="1"/>
  <c r="W676" i="4" a="1"/>
  <c r="W676" i="4" s="1"/>
  <c r="T640" i="4" a="1"/>
  <c r="T640" i="4" s="1"/>
  <c r="V640" i="4" a="1"/>
  <c r="V640" i="4" s="1"/>
  <c r="U640" i="4" a="1"/>
  <c r="U640" i="4" s="1"/>
  <c r="W640" i="4" a="1"/>
  <c r="W640" i="4" s="1"/>
  <c r="V604" i="4" a="1"/>
  <c r="V604" i="4" s="1"/>
  <c r="T604" i="4" a="1"/>
  <c r="T604" i="4" s="1"/>
  <c r="U604" i="4" a="1"/>
  <c r="U604" i="4" s="1"/>
  <c r="W604" i="4" a="1"/>
  <c r="W604" i="4" s="1"/>
  <c r="T568" i="4" a="1"/>
  <c r="T568" i="4" s="1"/>
  <c r="V568" i="4" a="1"/>
  <c r="V568" i="4" s="1"/>
  <c r="U568" i="4" a="1"/>
  <c r="U568" i="4" s="1"/>
  <c r="W568" i="4" a="1"/>
  <c r="W568" i="4" s="1"/>
  <c r="T532" i="4" a="1"/>
  <c r="T532" i="4" s="1"/>
  <c r="V532" i="4" a="1"/>
  <c r="V532" i="4" s="1"/>
  <c r="U532" i="4" a="1"/>
  <c r="U532" i="4" s="1"/>
  <c r="W532" i="4" a="1"/>
  <c r="W532" i="4" s="1"/>
  <c r="T496" i="4" a="1"/>
  <c r="T496" i="4" s="1"/>
  <c r="V496" i="4" a="1"/>
  <c r="V496" i="4" s="1"/>
  <c r="U496" i="4" a="1"/>
  <c r="U496" i="4" s="1"/>
  <c r="W496" i="4" a="1"/>
  <c r="W496" i="4" s="1"/>
  <c r="T460" i="4" a="1"/>
  <c r="T460" i="4" s="1"/>
  <c r="V460" i="4" a="1"/>
  <c r="V460" i="4" s="1"/>
  <c r="U460" i="4" a="1"/>
  <c r="U460" i="4" s="1"/>
  <c r="W460" i="4" a="1"/>
  <c r="W460" i="4" s="1"/>
  <c r="T424" i="4" a="1"/>
  <c r="T424" i="4" s="1"/>
  <c r="V424" i="4" a="1"/>
  <c r="V424" i="4" s="1"/>
  <c r="U424" i="4" a="1"/>
  <c r="U424" i="4" s="1"/>
  <c r="W424" i="4" a="1"/>
  <c r="W424" i="4" s="1"/>
  <c r="T1491" i="4" a="1"/>
  <c r="T1491" i="4" s="1"/>
  <c r="U1491" i="4" a="1"/>
  <c r="U1491" i="4" s="1"/>
  <c r="V1491" i="4" a="1"/>
  <c r="V1491" i="4" s="1"/>
  <c r="W1491" i="4" a="1"/>
  <c r="W1491" i="4" s="1"/>
  <c r="T1455" i="4" a="1"/>
  <c r="T1455" i="4" s="1"/>
  <c r="V1455" i="4" a="1"/>
  <c r="V1455" i="4" s="1"/>
  <c r="U1455" i="4" a="1"/>
  <c r="U1455" i="4" s="1"/>
  <c r="W1455" i="4" a="1"/>
  <c r="W1455" i="4" s="1"/>
  <c r="T1419" i="4" a="1"/>
  <c r="T1419" i="4" s="1"/>
  <c r="U1419" i="4" a="1"/>
  <c r="U1419" i="4" s="1"/>
  <c r="V1419" i="4" a="1"/>
  <c r="V1419" i="4" s="1"/>
  <c r="W1419" i="4" a="1"/>
  <c r="W1419" i="4" s="1"/>
  <c r="T1383" i="4" a="1"/>
  <c r="T1383" i="4" s="1"/>
  <c r="V1383" i="4" a="1"/>
  <c r="V1383" i="4" s="1"/>
  <c r="U1383" i="4" a="1"/>
  <c r="U1383" i="4" s="1"/>
  <c r="W1383" i="4" a="1"/>
  <c r="W1383" i="4" s="1"/>
  <c r="T1347" i="4" a="1"/>
  <c r="T1347" i="4" s="1"/>
  <c r="U1347" i="4" a="1"/>
  <c r="U1347" i="4" s="1"/>
  <c r="V1347" i="4" a="1"/>
  <c r="V1347" i="4" s="1"/>
  <c r="W1347" i="4" a="1"/>
  <c r="W1347" i="4" s="1"/>
  <c r="T1311" i="4" a="1"/>
  <c r="T1311" i="4" s="1"/>
  <c r="V1311" i="4" a="1"/>
  <c r="V1311" i="4" s="1"/>
  <c r="U1311" i="4" a="1"/>
  <c r="U1311" i="4" s="1"/>
  <c r="W1311" i="4" a="1"/>
  <c r="W1311" i="4" s="1"/>
  <c r="T1275" i="4" a="1"/>
  <c r="T1275" i="4" s="1"/>
  <c r="U1275" i="4" a="1"/>
  <c r="U1275" i="4" s="1"/>
  <c r="V1275" i="4" a="1"/>
  <c r="V1275" i="4" s="1"/>
  <c r="W1275" i="4" a="1"/>
  <c r="W1275" i="4" s="1"/>
  <c r="T1239" i="4" a="1"/>
  <c r="T1239" i="4" s="1"/>
  <c r="U1239" i="4" a="1"/>
  <c r="U1239" i="4" s="1"/>
  <c r="V1239" i="4" a="1"/>
  <c r="V1239" i="4" s="1"/>
  <c r="W1239" i="4" a="1"/>
  <c r="W1239" i="4" s="1"/>
  <c r="T1203" i="4" a="1"/>
  <c r="T1203" i="4" s="1"/>
  <c r="U1203" i="4" a="1"/>
  <c r="U1203" i="4" s="1"/>
  <c r="V1203" i="4" a="1"/>
  <c r="V1203" i="4" s="1"/>
  <c r="W1203" i="4" a="1"/>
  <c r="W1203" i="4" s="1"/>
  <c r="T1167" i="4" a="1"/>
  <c r="T1167" i="4" s="1"/>
  <c r="U1167" i="4" a="1"/>
  <c r="U1167" i="4" s="1"/>
  <c r="V1167" i="4" a="1"/>
  <c r="V1167" i="4" s="1"/>
  <c r="W1167" i="4" a="1"/>
  <c r="W1167" i="4" s="1"/>
  <c r="T1131" i="4" a="1"/>
  <c r="T1131" i="4" s="1"/>
  <c r="U1131" i="4" a="1"/>
  <c r="U1131" i="4" s="1"/>
  <c r="V1131" i="4" a="1"/>
  <c r="V1131" i="4" s="1"/>
  <c r="W1131" i="4" a="1"/>
  <c r="W1131" i="4" s="1"/>
  <c r="T1095" i="4" a="1"/>
  <c r="T1095" i="4" s="1"/>
  <c r="U1095" i="4" a="1"/>
  <c r="U1095" i="4" s="1"/>
  <c r="V1095" i="4" a="1"/>
  <c r="V1095" i="4" s="1"/>
  <c r="W1095" i="4" a="1"/>
  <c r="W1095" i="4" s="1"/>
  <c r="T1059" i="4" a="1"/>
  <c r="T1059" i="4" s="1"/>
  <c r="U1059" i="4" a="1"/>
  <c r="U1059" i="4" s="1"/>
  <c r="V1059" i="4" a="1"/>
  <c r="V1059" i="4" s="1"/>
  <c r="W1059" i="4" a="1"/>
  <c r="W1059" i="4" s="1"/>
  <c r="T1023" i="4" a="1"/>
  <c r="T1023" i="4" s="1"/>
  <c r="U1023" i="4" a="1"/>
  <c r="U1023" i="4" s="1"/>
  <c r="V1023" i="4" a="1"/>
  <c r="V1023" i="4" s="1"/>
  <c r="W1023" i="4" a="1"/>
  <c r="W1023" i="4" s="1"/>
  <c r="T987" i="4" a="1"/>
  <c r="T987" i="4" s="1"/>
  <c r="U987" i="4" a="1"/>
  <c r="U987" i="4" s="1"/>
  <c r="V987" i="4" a="1"/>
  <c r="V987" i="4" s="1"/>
  <c r="W987" i="4" a="1"/>
  <c r="W987" i="4" s="1"/>
  <c r="T951" i="4" a="1"/>
  <c r="T951" i="4" s="1"/>
  <c r="U951" i="4" a="1"/>
  <c r="U951" i="4" s="1"/>
  <c r="V951" i="4" a="1"/>
  <c r="V951" i="4" s="1"/>
  <c r="W951" i="4" a="1"/>
  <c r="W951" i="4" s="1"/>
  <c r="T915" i="4" a="1"/>
  <c r="T915" i="4" s="1"/>
  <c r="U915" i="4" a="1"/>
  <c r="U915" i="4" s="1"/>
  <c r="V915" i="4" a="1"/>
  <c r="V915" i="4" s="1"/>
  <c r="W915" i="4" a="1"/>
  <c r="W915" i="4" s="1"/>
  <c r="T879" i="4" a="1"/>
  <c r="T879" i="4" s="1"/>
  <c r="U879" i="4" a="1"/>
  <c r="U879" i="4" s="1"/>
  <c r="V879" i="4" a="1"/>
  <c r="V879" i="4" s="1"/>
  <c r="W879" i="4" a="1"/>
  <c r="W879" i="4" s="1"/>
  <c r="T843" i="4" a="1"/>
  <c r="T843" i="4" s="1"/>
  <c r="V843" i="4" a="1"/>
  <c r="V843" i="4" s="1"/>
  <c r="U843" i="4" a="1"/>
  <c r="U843" i="4" s="1"/>
  <c r="W843" i="4" a="1"/>
  <c r="W843" i="4" s="1"/>
  <c r="T807" i="4" a="1"/>
  <c r="T807" i="4" s="1"/>
  <c r="U807" i="4" a="1"/>
  <c r="U807" i="4" s="1"/>
  <c r="V807" i="4" a="1"/>
  <c r="V807" i="4" s="1"/>
  <c r="W807" i="4" a="1"/>
  <c r="W807" i="4" s="1"/>
  <c r="T771" i="4" a="1"/>
  <c r="T771" i="4" s="1"/>
  <c r="V771" i="4" a="1"/>
  <c r="V771" i="4" s="1"/>
  <c r="U771" i="4" a="1"/>
  <c r="U771" i="4" s="1"/>
  <c r="W771" i="4" a="1"/>
  <c r="W771" i="4" s="1"/>
  <c r="T735" i="4" a="1"/>
  <c r="T735" i="4" s="1"/>
  <c r="V735" i="4" a="1"/>
  <c r="V735" i="4" s="1"/>
  <c r="U735" i="4" a="1"/>
  <c r="U735" i="4" s="1"/>
  <c r="W735" i="4" a="1"/>
  <c r="W735" i="4" s="1"/>
  <c r="T699" i="4" a="1"/>
  <c r="T699" i="4" s="1"/>
  <c r="V699" i="4" a="1"/>
  <c r="V699" i="4" s="1"/>
  <c r="U699" i="4" a="1"/>
  <c r="U699" i="4" s="1"/>
  <c r="W699" i="4" a="1"/>
  <c r="W699" i="4" s="1"/>
  <c r="T663" i="4" a="1"/>
  <c r="T663" i="4" s="1"/>
  <c r="V663" i="4" a="1"/>
  <c r="V663" i="4" s="1"/>
  <c r="U663" i="4" a="1"/>
  <c r="U663" i="4" s="1"/>
  <c r="W663" i="4" a="1"/>
  <c r="W663" i="4" s="1"/>
  <c r="T627" i="4" a="1"/>
  <c r="T627" i="4" s="1"/>
  <c r="V627" i="4" a="1"/>
  <c r="V627" i="4" s="1"/>
  <c r="U627" i="4" a="1"/>
  <c r="U627" i="4" s="1"/>
  <c r="W627" i="4" a="1"/>
  <c r="W627" i="4" s="1"/>
  <c r="T591" i="4" a="1"/>
  <c r="T591" i="4" s="1"/>
  <c r="V591" i="4" a="1"/>
  <c r="V591" i="4" s="1"/>
  <c r="U591" i="4" a="1"/>
  <c r="U591" i="4" s="1"/>
  <c r="W591" i="4" a="1"/>
  <c r="W591" i="4" s="1"/>
  <c r="T555" i="4" a="1"/>
  <c r="T555" i="4" s="1"/>
  <c r="V555" i="4" a="1"/>
  <c r="V555" i="4" s="1"/>
  <c r="U555" i="4" a="1"/>
  <c r="U555" i="4" s="1"/>
  <c r="W555" i="4" a="1"/>
  <c r="W555" i="4" s="1"/>
  <c r="T519" i="4" a="1"/>
  <c r="T519" i="4" s="1"/>
  <c r="V519" i="4" a="1"/>
  <c r="V519" i="4" s="1"/>
  <c r="U519" i="4" a="1"/>
  <c r="U519" i="4" s="1"/>
  <c r="W519" i="4" a="1"/>
  <c r="W519" i="4" s="1"/>
  <c r="T483" i="4" a="1"/>
  <c r="T483" i="4" s="1"/>
  <c r="V483" i="4" a="1"/>
  <c r="V483" i="4" s="1"/>
  <c r="U483" i="4" a="1"/>
  <c r="U483" i="4" s="1"/>
  <c r="W483" i="4" a="1"/>
  <c r="W483" i="4" s="1"/>
  <c r="T447" i="4" a="1"/>
  <c r="T447" i="4" s="1"/>
  <c r="V447" i="4" a="1"/>
  <c r="V447" i="4" s="1"/>
  <c r="U447" i="4" a="1"/>
  <c r="U447" i="4" s="1"/>
  <c r="W447" i="4" a="1"/>
  <c r="W447" i="4" s="1"/>
  <c r="T410" i="4" a="1"/>
  <c r="T410" i="4" s="1"/>
  <c r="V410" i="4" a="1"/>
  <c r="V410" i="4" s="1"/>
  <c r="U410" i="4" a="1"/>
  <c r="U410" i="4" s="1"/>
  <c r="W410" i="4" a="1"/>
  <c r="W410" i="4" s="1"/>
  <c r="T380" i="4" a="1"/>
  <c r="T380" i="4" s="1"/>
  <c r="U380" i="4" a="1"/>
  <c r="U380" i="4" s="1"/>
  <c r="V380" i="4" a="1"/>
  <c r="V380" i="4" s="1"/>
  <c r="W380" i="4" a="1"/>
  <c r="W380" i="4" s="1"/>
  <c r="U344" i="4" a="1"/>
  <c r="U344" i="4" s="1"/>
  <c r="W344" i="4" a="1"/>
  <c r="W344" i="4" s="1"/>
  <c r="T344" i="4" a="1"/>
  <c r="T344" i="4" s="1"/>
  <c r="V344" i="4" a="1"/>
  <c r="V344" i="4" s="1"/>
  <c r="T308" i="4" a="1"/>
  <c r="T308" i="4" s="1"/>
  <c r="U308" i="4" a="1"/>
  <c r="U308" i="4" s="1"/>
  <c r="W308" i="4" a="1"/>
  <c r="W308" i="4" s="1"/>
  <c r="V308" i="4" a="1"/>
  <c r="V308" i="4" s="1"/>
  <c r="T272" i="4" a="1"/>
  <c r="T272" i="4" s="1"/>
  <c r="U272" i="4" a="1"/>
  <c r="U272" i="4" s="1"/>
  <c r="V272" i="4" a="1"/>
  <c r="V272" i="4" s="1"/>
  <c r="W272" i="4" a="1"/>
  <c r="W272" i="4" s="1"/>
  <c r="T236" i="4" a="1"/>
  <c r="T236" i="4" s="1"/>
  <c r="U236" i="4" a="1"/>
  <c r="U236" i="4" s="1"/>
  <c r="V236" i="4" a="1"/>
  <c r="V236" i="4" s="1"/>
  <c r="W236" i="4" a="1"/>
  <c r="W236" i="4" s="1"/>
  <c r="T373" i="4" a="1"/>
  <c r="T373" i="4" s="1"/>
  <c r="U373" i="4" a="1"/>
  <c r="U373" i="4" s="1"/>
  <c r="V373" i="4" a="1"/>
  <c r="V373" i="4" s="1"/>
  <c r="W373" i="4" a="1"/>
  <c r="W373" i="4" s="1"/>
  <c r="T337" i="4" a="1"/>
  <c r="T337" i="4" s="1"/>
  <c r="U337" i="4" a="1"/>
  <c r="U337" i="4" s="1"/>
  <c r="V337" i="4" a="1"/>
  <c r="V337" i="4" s="1"/>
  <c r="W337" i="4" a="1"/>
  <c r="W337" i="4" s="1"/>
  <c r="U301" i="4" a="1"/>
  <c r="U301" i="4" s="1"/>
  <c r="T301" i="4" a="1"/>
  <c r="T301" i="4" s="1"/>
  <c r="V301" i="4" a="1"/>
  <c r="V301" i="4" s="1"/>
  <c r="W301" i="4" a="1"/>
  <c r="W301" i="4" s="1"/>
  <c r="W265" i="4" a="1"/>
  <c r="W265" i="4" s="1"/>
  <c r="T265" i="4" a="1"/>
  <c r="T265" i="4" s="1"/>
  <c r="U265" i="4" a="1"/>
  <c r="U265" i="4" s="1"/>
  <c r="V265" i="4" a="1"/>
  <c r="V265" i="4" s="1"/>
  <c r="T229" i="4" a="1"/>
  <c r="T229" i="4" s="1"/>
  <c r="U229" i="4" a="1"/>
  <c r="U229" i="4" s="1"/>
  <c r="V229" i="4" a="1"/>
  <c r="V229" i="4" s="1"/>
  <c r="W229" i="4" a="1"/>
  <c r="W229" i="4" s="1"/>
  <c r="T384" i="4" a="1"/>
  <c r="T384" i="4" s="1"/>
  <c r="U384" i="4" a="1"/>
  <c r="U384" i="4" s="1"/>
  <c r="V384" i="4" a="1"/>
  <c r="V384" i="4" s="1"/>
  <c r="W384" i="4" a="1"/>
  <c r="W384" i="4" s="1"/>
  <c r="T348" i="4" a="1"/>
  <c r="T348" i="4" s="1"/>
  <c r="U348" i="4" a="1"/>
  <c r="U348" i="4" s="1"/>
  <c r="W348" i="4" a="1"/>
  <c r="W348" i="4" s="1"/>
  <c r="V348" i="4" a="1"/>
  <c r="V348" i="4" s="1"/>
  <c r="U312" i="4" a="1"/>
  <c r="U312" i="4" s="1"/>
  <c r="W312" i="4" a="1"/>
  <c r="W312" i="4" s="1"/>
  <c r="T312" i="4" a="1"/>
  <c r="T312" i="4" s="1"/>
  <c r="V312" i="4" a="1"/>
  <c r="V312" i="4" s="1"/>
  <c r="T276" i="4" a="1"/>
  <c r="T276" i="4" s="1"/>
  <c r="W276" i="4" a="1"/>
  <c r="W276" i="4" s="1"/>
  <c r="V276" i="4" a="1"/>
  <c r="V276" i="4" s="1"/>
  <c r="U276" i="4" a="1"/>
  <c r="U276" i="4" s="1"/>
  <c r="T240" i="4" a="1"/>
  <c r="T240" i="4" s="1"/>
  <c r="W240" i="4" a="1"/>
  <c r="W240" i="4" s="1"/>
  <c r="U240" i="4" a="1"/>
  <c r="U240" i="4" s="1"/>
  <c r="V240" i="4" a="1"/>
  <c r="V240" i="4" s="1"/>
  <c r="T395" i="4" a="1"/>
  <c r="T395" i="4" s="1"/>
  <c r="U395" i="4" a="1"/>
  <c r="U395" i="4" s="1"/>
  <c r="V395" i="4" a="1"/>
  <c r="V395" i="4" s="1"/>
  <c r="W395" i="4" a="1"/>
  <c r="W395" i="4" s="1"/>
  <c r="T359" i="4" a="1"/>
  <c r="T359" i="4" s="1"/>
  <c r="V359" i="4" a="1"/>
  <c r="V359" i="4" s="1"/>
  <c r="W359" i="4" a="1"/>
  <c r="W359" i="4" s="1"/>
  <c r="U359" i="4" a="1"/>
  <c r="U359" i="4" s="1"/>
  <c r="T323" i="4" a="1"/>
  <c r="T323" i="4" s="1"/>
  <c r="U323" i="4" a="1"/>
  <c r="U323" i="4" s="1"/>
  <c r="V323" i="4" a="1"/>
  <c r="V323" i="4" s="1"/>
  <c r="W323" i="4" a="1"/>
  <c r="W323" i="4" s="1"/>
  <c r="T287" i="4" a="1"/>
  <c r="T287" i="4" s="1"/>
  <c r="U287" i="4" a="1"/>
  <c r="U287" i="4" s="1"/>
  <c r="V287" i="4" a="1"/>
  <c r="V287" i="4" s="1"/>
  <c r="W287" i="4" a="1"/>
  <c r="W287" i="4" s="1"/>
  <c r="T251" i="4" a="1"/>
  <c r="T251" i="4" s="1"/>
  <c r="U251" i="4" a="1"/>
  <c r="U251" i="4" s="1"/>
  <c r="V251" i="4" a="1"/>
  <c r="V251" i="4" s="1"/>
  <c r="W251" i="4" a="1"/>
  <c r="W251" i="4" s="1"/>
  <c r="T370" i="4" a="1"/>
  <c r="T370" i="4" s="1"/>
  <c r="U370" i="4" a="1"/>
  <c r="U370" i="4" s="1"/>
  <c r="V370" i="4" a="1"/>
  <c r="V370" i="4" s="1"/>
  <c r="W370" i="4" a="1"/>
  <c r="W370" i="4" s="1"/>
  <c r="T334" i="4" a="1"/>
  <c r="T334" i="4" s="1"/>
  <c r="U334" i="4" a="1"/>
  <c r="U334" i="4" s="1"/>
  <c r="V334" i="4" a="1"/>
  <c r="V334" i="4" s="1"/>
  <c r="W334" i="4" a="1"/>
  <c r="W334" i="4" s="1"/>
  <c r="T298" i="4" a="1"/>
  <c r="T298" i="4" s="1"/>
  <c r="U298" i="4" a="1"/>
  <c r="U298" i="4" s="1"/>
  <c r="V298" i="4" a="1"/>
  <c r="V298" i="4" s="1"/>
  <c r="W298" i="4" a="1"/>
  <c r="W298" i="4" s="1"/>
  <c r="V262" i="4" a="1"/>
  <c r="V262" i="4" s="1"/>
  <c r="W262" i="4" a="1"/>
  <c r="W262" i="4" s="1"/>
  <c r="T262" i="4" a="1"/>
  <c r="T262" i="4" s="1"/>
  <c r="U262" i="4" a="1"/>
  <c r="U262" i="4" s="1"/>
  <c r="T226" i="4" a="1"/>
  <c r="T226" i="4" s="1"/>
  <c r="W226" i="4" a="1"/>
  <c r="W226" i="4" s="1"/>
  <c r="U226" i="4" a="1"/>
  <c r="U226" i="4" s="1"/>
  <c r="V226" i="4" a="1"/>
  <c r="V226" i="4" s="1"/>
  <c r="V393" i="4" a="1"/>
  <c r="V393" i="4" s="1"/>
  <c r="U393" i="4" a="1"/>
  <c r="U393" i="4" s="1"/>
  <c r="T393" i="4" a="1"/>
  <c r="T393" i="4" s="1"/>
  <c r="W393" i="4" a="1"/>
  <c r="W393" i="4" s="1"/>
  <c r="T357" i="4" a="1"/>
  <c r="T357" i="4" s="1"/>
  <c r="U357" i="4" a="1"/>
  <c r="U357" i="4" s="1"/>
  <c r="V357" i="4" a="1"/>
  <c r="V357" i="4" s="1"/>
  <c r="W357" i="4" a="1"/>
  <c r="W357" i="4" s="1"/>
  <c r="T321" i="4" a="1"/>
  <c r="T321" i="4" s="1"/>
  <c r="V321" i="4" a="1"/>
  <c r="V321" i="4" s="1"/>
  <c r="W321" i="4" a="1"/>
  <c r="W321" i="4" s="1"/>
  <c r="U321" i="4" a="1"/>
  <c r="U321" i="4" s="1"/>
  <c r="T285" i="4" a="1"/>
  <c r="T285" i="4" s="1"/>
  <c r="V285" i="4" a="1"/>
  <c r="V285" i="4" s="1"/>
  <c r="U285" i="4" a="1"/>
  <c r="U285" i="4" s="1"/>
  <c r="W285" i="4" a="1"/>
  <c r="W285" i="4" s="1"/>
  <c r="T249" i="4" a="1"/>
  <c r="T249" i="4" s="1"/>
  <c r="U249" i="4" a="1"/>
  <c r="U249" i="4" s="1"/>
  <c r="W249" i="4" a="1"/>
  <c r="W249" i="4" s="1"/>
  <c r="V249" i="4" a="1"/>
  <c r="V249" i="4" s="1"/>
  <c r="L1020" i="4"/>
  <c r="L948" i="4"/>
  <c r="L876" i="4"/>
  <c r="L846" i="4"/>
  <c r="L1014" i="4"/>
  <c r="L942" i="4"/>
  <c r="L870" i="4"/>
  <c r="L1452" i="4"/>
  <c r="L1416" i="4"/>
  <c r="L1380" i="4"/>
  <c r="L1344" i="4"/>
  <c r="L1308" i="4"/>
  <c r="L1272" i="4"/>
  <c r="L1236" i="4"/>
  <c r="L1200" i="4"/>
  <c r="L1164" i="4"/>
  <c r="L1128" i="4"/>
  <c r="T220" i="4" a="1"/>
  <c r="T220" i="4" s="1"/>
  <c r="U220" i="4" a="1"/>
  <c r="U220" i="4" s="1"/>
  <c r="V220" i="4" a="1"/>
  <c r="V220" i="4" s="1"/>
  <c r="W220" i="4" a="1"/>
  <c r="W220" i="4" s="1"/>
  <c r="T883" i="4" a="1"/>
  <c r="T883" i="4" s="1"/>
  <c r="V883" i="4" a="1"/>
  <c r="V883" i="4" s="1"/>
  <c r="U883" i="4" a="1"/>
  <c r="U883" i="4" s="1"/>
  <c r="W883" i="4" a="1"/>
  <c r="W883" i="4" s="1"/>
  <c r="U1315" i="4" a="1"/>
  <c r="U1315" i="4" s="1"/>
  <c r="T1315" i="4" a="1"/>
  <c r="T1315" i="4" s="1"/>
  <c r="V1315" i="4" a="1"/>
  <c r="V1315" i="4" s="1"/>
  <c r="W1315" i="4" a="1"/>
  <c r="W1315" i="4" s="1"/>
  <c r="V1243" i="4" a="1"/>
  <c r="V1243" i="4" s="1"/>
  <c r="T1243" i="4" a="1"/>
  <c r="T1243" i="4" s="1"/>
  <c r="U1243" i="4" a="1"/>
  <c r="U1243" i="4" s="1"/>
  <c r="W1243" i="4" a="1"/>
  <c r="W1243" i="4" s="1"/>
  <c r="V1171" i="4" a="1"/>
  <c r="V1171" i="4" s="1"/>
  <c r="T1171" i="4" a="1"/>
  <c r="T1171" i="4" s="1"/>
  <c r="U1171" i="4" a="1"/>
  <c r="U1171" i="4" s="1"/>
  <c r="W1171" i="4" a="1"/>
  <c r="W1171" i="4" s="1"/>
  <c r="T1471" i="4" a="1"/>
  <c r="T1471" i="4" s="1"/>
  <c r="U1471" i="4" a="1"/>
  <c r="U1471" i="4" s="1"/>
  <c r="V1471" i="4" a="1"/>
  <c r="V1471" i="4" s="1"/>
  <c r="W1471" i="4" a="1"/>
  <c r="W1471" i="4" s="1"/>
  <c r="T1273" i="4" a="1"/>
  <c r="T1273" i="4" s="1"/>
  <c r="U1273" i="4" a="1"/>
  <c r="U1273" i="4" s="1"/>
  <c r="V1273" i="4" a="1"/>
  <c r="V1273" i="4" s="1"/>
  <c r="W1273" i="4" a="1"/>
  <c r="W1273" i="4" s="1"/>
  <c r="T1057" i="4" a="1"/>
  <c r="T1057" i="4" s="1"/>
  <c r="U1057" i="4" a="1"/>
  <c r="U1057" i="4" s="1"/>
  <c r="V1057" i="4" a="1"/>
  <c r="V1057" i="4" s="1"/>
  <c r="W1057" i="4" a="1"/>
  <c r="W1057" i="4" s="1"/>
  <c r="T1466" i="4" a="1"/>
  <c r="T1466" i="4" s="1"/>
  <c r="U1466" i="4" a="1"/>
  <c r="U1466" i="4" s="1"/>
  <c r="V1466" i="4" a="1"/>
  <c r="V1466" i="4" s="1"/>
  <c r="W1466" i="4" a="1"/>
  <c r="W1466" i="4" s="1"/>
  <c r="T1267" i="4" a="1"/>
  <c r="T1267" i="4" s="1"/>
  <c r="U1267" i="4" a="1"/>
  <c r="U1267" i="4" s="1"/>
  <c r="W1267" i="4" a="1"/>
  <c r="W1267" i="4" s="1"/>
  <c r="V1267" i="4" a="1"/>
  <c r="V1267" i="4" s="1"/>
  <c r="T1051" i="4" a="1"/>
  <c r="T1051" i="4" s="1"/>
  <c r="U1051" i="4" a="1"/>
  <c r="U1051" i="4" s="1"/>
  <c r="W1051" i="4" a="1"/>
  <c r="W1051" i="4" s="1"/>
  <c r="V1051" i="4" a="1"/>
  <c r="V1051" i="4" s="1"/>
  <c r="U1465" i="4" a="1"/>
  <c r="U1465" i="4" s="1"/>
  <c r="T1465" i="4" a="1"/>
  <c r="T1465" i="4" s="1"/>
  <c r="V1465" i="4" a="1"/>
  <c r="V1465" i="4" s="1"/>
  <c r="W1465" i="4" a="1"/>
  <c r="W1465" i="4" s="1"/>
  <c r="V1261" i="4" a="1"/>
  <c r="V1261" i="4" s="1"/>
  <c r="U1261" i="4" a="1"/>
  <c r="U1261" i="4" s="1"/>
  <c r="T1261" i="4" a="1"/>
  <c r="T1261" i="4" s="1"/>
  <c r="W1261" i="4" a="1"/>
  <c r="W1261" i="4" s="1"/>
  <c r="T1045" i="4" a="1"/>
  <c r="T1045" i="4" s="1"/>
  <c r="V1045" i="4" a="1"/>
  <c r="V1045" i="4" s="1"/>
  <c r="U1045" i="4" a="1"/>
  <c r="U1045" i="4" s="1"/>
  <c r="W1045" i="4" a="1"/>
  <c r="W1045" i="4" s="1"/>
  <c r="T1478" i="4" a="1"/>
  <c r="T1478" i="4" s="1"/>
  <c r="V1478" i="4" a="1"/>
  <c r="V1478" i="4" s="1"/>
  <c r="W1478" i="4" a="1"/>
  <c r="W1478" i="4" s="1"/>
  <c r="U1478" i="4" a="1"/>
  <c r="U1478" i="4" s="1"/>
  <c r="T1291" i="4" a="1"/>
  <c r="T1291" i="4" s="1"/>
  <c r="U1291" i="4" a="1"/>
  <c r="U1291" i="4" s="1"/>
  <c r="V1291" i="4" a="1"/>
  <c r="V1291" i="4" s="1"/>
  <c r="W1291" i="4" a="1"/>
  <c r="W1291" i="4" s="1"/>
  <c r="T1075" i="4" a="1"/>
  <c r="T1075" i="4" s="1"/>
  <c r="U1075" i="4" a="1"/>
  <c r="U1075" i="4" s="1"/>
  <c r="V1075" i="4" a="1"/>
  <c r="V1075" i="4" s="1"/>
  <c r="W1075" i="4" a="1"/>
  <c r="W1075" i="4" s="1"/>
  <c r="T1495" i="4" a="1"/>
  <c r="T1495" i="4" s="1"/>
  <c r="V1495" i="4" a="1"/>
  <c r="V1495" i="4" s="1"/>
  <c r="U1495" i="4" a="1"/>
  <c r="U1495" i="4" s="1"/>
  <c r="W1495" i="4" a="1"/>
  <c r="W1495" i="4" s="1"/>
  <c r="T1321" i="4" a="1"/>
  <c r="T1321" i="4" s="1"/>
  <c r="U1321" i="4" a="1"/>
  <c r="U1321" i="4" s="1"/>
  <c r="V1321" i="4" a="1"/>
  <c r="V1321" i="4" s="1"/>
  <c r="W1321" i="4" a="1"/>
  <c r="W1321" i="4" s="1"/>
  <c r="U1105" i="4" a="1"/>
  <c r="U1105" i="4" s="1"/>
  <c r="T1105" i="4" a="1"/>
  <c r="T1105" i="4" s="1"/>
  <c r="W1105" i="4" a="1"/>
  <c r="W1105" i="4" s="1"/>
  <c r="V1105" i="4" a="1"/>
  <c r="V1105" i="4" s="1"/>
  <c r="T889" i="4" a="1"/>
  <c r="T889" i="4" s="1"/>
  <c r="U889" i="4" a="1"/>
  <c r="U889" i="4" s="1"/>
  <c r="W889" i="4" a="1"/>
  <c r="W889" i="4" s="1"/>
  <c r="V889" i="4" a="1"/>
  <c r="V889" i="4" s="1"/>
  <c r="U1418" i="4" a="1"/>
  <c r="U1418" i="4" s="1"/>
  <c r="V1418" i="4" a="1"/>
  <c r="V1418" i="4" s="1"/>
  <c r="T1418" i="4" a="1"/>
  <c r="T1418" i="4" s="1"/>
  <c r="W1418" i="4" a="1"/>
  <c r="W1418" i="4" s="1"/>
  <c r="T1382" i="4" a="1"/>
  <c r="T1382" i="4" s="1"/>
  <c r="U1382" i="4" a="1"/>
  <c r="U1382" i="4" s="1"/>
  <c r="V1382" i="4" a="1"/>
  <c r="V1382" i="4" s="1"/>
  <c r="W1382" i="4" a="1"/>
  <c r="W1382" i="4" s="1"/>
  <c r="T1346" i="4" a="1"/>
  <c r="T1346" i="4" s="1"/>
  <c r="U1346" i="4" a="1"/>
  <c r="U1346" i="4" s="1"/>
  <c r="V1346" i="4" a="1"/>
  <c r="V1346" i="4" s="1"/>
  <c r="W1346" i="4" a="1"/>
  <c r="W1346" i="4" s="1"/>
  <c r="T1310" i="4" a="1"/>
  <c r="T1310" i="4" s="1"/>
  <c r="U1310" i="4" a="1"/>
  <c r="U1310" i="4" s="1"/>
  <c r="V1310" i="4" a="1"/>
  <c r="V1310" i="4" s="1"/>
  <c r="W1310" i="4" a="1"/>
  <c r="W1310" i="4" s="1"/>
  <c r="T1274" i="4" a="1"/>
  <c r="T1274" i="4" s="1"/>
  <c r="V1274" i="4" a="1"/>
  <c r="V1274" i="4" s="1"/>
  <c r="U1274" i="4" a="1"/>
  <c r="U1274" i="4" s="1"/>
  <c r="W1274" i="4" a="1"/>
  <c r="W1274" i="4" s="1"/>
  <c r="T1238" i="4" a="1"/>
  <c r="T1238" i="4" s="1"/>
  <c r="V1238" i="4" a="1"/>
  <c r="V1238" i="4" s="1"/>
  <c r="U1238" i="4" a="1"/>
  <c r="U1238" i="4" s="1"/>
  <c r="W1238" i="4" a="1"/>
  <c r="W1238" i="4" s="1"/>
  <c r="T1202" i="4" a="1"/>
  <c r="T1202" i="4" s="1"/>
  <c r="V1202" i="4" a="1"/>
  <c r="V1202" i="4" s="1"/>
  <c r="U1202" i="4" a="1"/>
  <c r="U1202" i="4" s="1"/>
  <c r="W1202" i="4" a="1"/>
  <c r="W1202" i="4" s="1"/>
  <c r="T1166" i="4" a="1"/>
  <c r="T1166" i="4" s="1"/>
  <c r="V1166" i="4" a="1"/>
  <c r="V1166" i="4" s="1"/>
  <c r="U1166" i="4" a="1"/>
  <c r="U1166" i="4" s="1"/>
  <c r="W1166" i="4" a="1"/>
  <c r="W1166" i="4" s="1"/>
  <c r="T1130" i="4" a="1"/>
  <c r="T1130" i="4" s="1"/>
  <c r="V1130" i="4" a="1"/>
  <c r="V1130" i="4" s="1"/>
  <c r="U1130" i="4" a="1"/>
  <c r="U1130" i="4" s="1"/>
  <c r="W1130" i="4" a="1"/>
  <c r="W1130" i="4" s="1"/>
  <c r="T1094" i="4" a="1"/>
  <c r="T1094" i="4" s="1"/>
  <c r="V1094" i="4" a="1"/>
  <c r="V1094" i="4" s="1"/>
  <c r="U1094" i="4" a="1"/>
  <c r="U1094" i="4" s="1"/>
  <c r="W1094" i="4" a="1"/>
  <c r="W1094" i="4" s="1"/>
  <c r="T1058" i="4" a="1"/>
  <c r="T1058" i="4" s="1"/>
  <c r="V1058" i="4" a="1"/>
  <c r="V1058" i="4" s="1"/>
  <c r="U1058" i="4" a="1"/>
  <c r="U1058" i="4" s="1"/>
  <c r="W1058" i="4" a="1"/>
  <c r="W1058" i="4" s="1"/>
  <c r="T1022" i="4" a="1"/>
  <c r="T1022" i="4" s="1"/>
  <c r="V1022" i="4" a="1"/>
  <c r="V1022" i="4" s="1"/>
  <c r="U1022" i="4" a="1"/>
  <c r="U1022" i="4" s="1"/>
  <c r="W1022" i="4" a="1"/>
  <c r="W1022" i="4" s="1"/>
  <c r="T986" i="4" a="1"/>
  <c r="T986" i="4" s="1"/>
  <c r="V986" i="4" a="1"/>
  <c r="V986" i="4" s="1"/>
  <c r="U986" i="4" a="1"/>
  <c r="U986" i="4" s="1"/>
  <c r="W986" i="4" a="1"/>
  <c r="W986" i="4" s="1"/>
  <c r="T950" i="4" a="1"/>
  <c r="T950" i="4" s="1"/>
  <c r="V950" i="4" a="1"/>
  <c r="V950" i="4" s="1"/>
  <c r="U950" i="4" a="1"/>
  <c r="U950" i="4" s="1"/>
  <c r="W950" i="4" a="1"/>
  <c r="W950" i="4" s="1"/>
  <c r="T914" i="4" a="1"/>
  <c r="T914" i="4" s="1"/>
  <c r="U914" i="4" a="1"/>
  <c r="U914" i="4" s="1"/>
  <c r="V914" i="4" a="1"/>
  <c r="V914" i="4" s="1"/>
  <c r="W914" i="4" a="1"/>
  <c r="W914" i="4" s="1"/>
  <c r="T878" i="4" a="1"/>
  <c r="T878" i="4" s="1"/>
  <c r="V878" i="4" a="1"/>
  <c r="V878" i="4" s="1"/>
  <c r="U878" i="4" a="1"/>
  <c r="U878" i="4" s="1"/>
  <c r="W878" i="4" a="1"/>
  <c r="W878" i="4" s="1"/>
  <c r="T842" i="4" a="1"/>
  <c r="T842" i="4" s="1"/>
  <c r="V842" i="4" a="1"/>
  <c r="V842" i="4" s="1"/>
  <c r="U842" i="4" a="1"/>
  <c r="U842" i="4" s="1"/>
  <c r="W842" i="4" a="1"/>
  <c r="W842" i="4" s="1"/>
  <c r="T806" i="4" a="1"/>
  <c r="T806" i="4" s="1"/>
  <c r="U806" i="4" a="1"/>
  <c r="U806" i="4" s="1"/>
  <c r="V806" i="4" a="1"/>
  <c r="V806" i="4" s="1"/>
  <c r="W806" i="4" a="1"/>
  <c r="W806" i="4" s="1"/>
  <c r="T770" i="4" a="1"/>
  <c r="T770" i="4" s="1"/>
  <c r="V770" i="4" a="1"/>
  <c r="V770" i="4" s="1"/>
  <c r="U770" i="4" a="1"/>
  <c r="U770" i="4" s="1"/>
  <c r="W770" i="4" a="1"/>
  <c r="W770" i="4" s="1"/>
  <c r="T734" i="4" a="1"/>
  <c r="T734" i="4" s="1"/>
  <c r="V734" i="4" a="1"/>
  <c r="V734" i="4" s="1"/>
  <c r="U734" i="4" a="1"/>
  <c r="U734" i="4" s="1"/>
  <c r="W734" i="4" a="1"/>
  <c r="W734" i="4" s="1"/>
  <c r="T698" i="4" a="1"/>
  <c r="T698" i="4" s="1"/>
  <c r="V698" i="4" a="1"/>
  <c r="V698" i="4" s="1"/>
  <c r="U698" i="4" a="1"/>
  <c r="U698" i="4" s="1"/>
  <c r="W698" i="4" a="1"/>
  <c r="W698" i="4" s="1"/>
  <c r="T662" i="4" a="1"/>
  <c r="T662" i="4" s="1"/>
  <c r="V662" i="4" a="1"/>
  <c r="V662" i="4" s="1"/>
  <c r="U662" i="4" a="1"/>
  <c r="U662" i="4" s="1"/>
  <c r="W662" i="4" a="1"/>
  <c r="W662" i="4" s="1"/>
  <c r="T626" i="4" a="1"/>
  <c r="T626" i="4" s="1"/>
  <c r="V626" i="4" a="1"/>
  <c r="V626" i="4" s="1"/>
  <c r="U626" i="4" a="1"/>
  <c r="U626" i="4" s="1"/>
  <c r="W626" i="4" a="1"/>
  <c r="W626" i="4" s="1"/>
  <c r="T590" i="4" a="1"/>
  <c r="T590" i="4" s="1"/>
  <c r="V590" i="4" a="1"/>
  <c r="V590" i="4" s="1"/>
  <c r="U590" i="4" a="1"/>
  <c r="U590" i="4" s="1"/>
  <c r="W590" i="4" a="1"/>
  <c r="W590" i="4" s="1"/>
  <c r="T554" i="4" a="1"/>
  <c r="T554" i="4" s="1"/>
  <c r="V554" i="4" a="1"/>
  <c r="V554" i="4" s="1"/>
  <c r="U554" i="4" a="1"/>
  <c r="U554" i="4" s="1"/>
  <c r="W554" i="4" a="1"/>
  <c r="W554" i="4" s="1"/>
  <c r="T518" i="4" a="1"/>
  <c r="T518" i="4" s="1"/>
  <c r="V518" i="4" a="1"/>
  <c r="V518" i="4" s="1"/>
  <c r="U518" i="4" a="1"/>
  <c r="U518" i="4" s="1"/>
  <c r="W518" i="4" a="1"/>
  <c r="W518" i="4" s="1"/>
  <c r="T482" i="4" a="1"/>
  <c r="T482" i="4" s="1"/>
  <c r="V482" i="4" a="1"/>
  <c r="V482" i="4" s="1"/>
  <c r="U482" i="4" a="1"/>
  <c r="U482" i="4" s="1"/>
  <c r="W482" i="4" a="1"/>
  <c r="W482" i="4" s="1"/>
  <c r="T446" i="4" a="1"/>
  <c r="T446" i="4" s="1"/>
  <c r="V446" i="4" a="1"/>
  <c r="V446" i="4" s="1"/>
  <c r="U446" i="4" a="1"/>
  <c r="U446" i="4" s="1"/>
  <c r="W446" i="4" a="1"/>
  <c r="W446" i="4" s="1"/>
  <c r="U409" i="4" a="1"/>
  <c r="U409" i="4" s="1"/>
  <c r="V409" i="4" a="1"/>
  <c r="V409" i="4" s="1"/>
  <c r="W409" i="4" a="1"/>
  <c r="W409" i="4" s="1"/>
  <c r="T409" i="4" a="1"/>
  <c r="T409" i="4" s="1"/>
  <c r="T859" i="4" a="1"/>
  <c r="T859" i="4" s="1"/>
  <c r="U859" i="4" a="1"/>
  <c r="U859" i="4" s="1"/>
  <c r="V859" i="4" a="1"/>
  <c r="V859" i="4" s="1"/>
  <c r="W859" i="4" a="1"/>
  <c r="W859" i="4" s="1"/>
  <c r="T823" i="4" a="1"/>
  <c r="T823" i="4" s="1"/>
  <c r="U823" i="4" a="1"/>
  <c r="U823" i="4" s="1"/>
  <c r="V823" i="4" a="1"/>
  <c r="V823" i="4" s="1"/>
  <c r="W823" i="4" a="1"/>
  <c r="W823" i="4" s="1"/>
  <c r="U787" i="4" a="1"/>
  <c r="U787" i="4" s="1"/>
  <c r="T787" i="4" a="1"/>
  <c r="T787" i="4" s="1"/>
  <c r="V787" i="4" a="1"/>
  <c r="V787" i="4" s="1"/>
  <c r="W787" i="4" a="1"/>
  <c r="W787" i="4" s="1"/>
  <c r="T751" i="4" a="1"/>
  <c r="T751" i="4" s="1"/>
  <c r="U751" i="4" a="1"/>
  <c r="U751" i="4" s="1"/>
  <c r="V751" i="4" a="1"/>
  <c r="V751" i="4" s="1"/>
  <c r="W751" i="4" a="1"/>
  <c r="W751" i="4" s="1"/>
  <c r="T715" i="4" a="1"/>
  <c r="T715" i="4" s="1"/>
  <c r="U715" i="4" a="1"/>
  <c r="U715" i="4" s="1"/>
  <c r="V715" i="4" a="1"/>
  <c r="V715" i="4" s="1"/>
  <c r="W715" i="4" a="1"/>
  <c r="W715" i="4" s="1"/>
  <c r="U679" i="4" a="1"/>
  <c r="U679" i="4" s="1"/>
  <c r="T679" i="4" a="1"/>
  <c r="T679" i="4" s="1"/>
  <c r="V679" i="4" a="1"/>
  <c r="V679" i="4" s="1"/>
  <c r="W679" i="4" a="1"/>
  <c r="W679" i="4" s="1"/>
  <c r="T643" i="4" a="1"/>
  <c r="T643" i="4" s="1"/>
  <c r="U643" i="4" a="1"/>
  <c r="U643" i="4" s="1"/>
  <c r="V643" i="4" a="1"/>
  <c r="V643" i="4" s="1"/>
  <c r="W643" i="4" a="1"/>
  <c r="W643" i="4" s="1"/>
  <c r="T607" i="4" a="1"/>
  <c r="T607" i="4" s="1"/>
  <c r="U607" i="4" a="1"/>
  <c r="U607" i="4" s="1"/>
  <c r="V607" i="4" a="1"/>
  <c r="V607" i="4" s="1"/>
  <c r="W607" i="4" a="1"/>
  <c r="W607" i="4" s="1"/>
  <c r="U571" i="4" a="1"/>
  <c r="U571" i="4" s="1"/>
  <c r="V571" i="4" a="1"/>
  <c r="V571" i="4" s="1"/>
  <c r="T571" i="4" a="1"/>
  <c r="T571" i="4" s="1"/>
  <c r="W571" i="4" a="1"/>
  <c r="W571" i="4" s="1"/>
  <c r="T535" i="4" a="1"/>
  <c r="T535" i="4" s="1"/>
  <c r="U535" i="4" a="1"/>
  <c r="U535" i="4" s="1"/>
  <c r="V535" i="4" a="1"/>
  <c r="V535" i="4" s="1"/>
  <c r="W535" i="4" a="1"/>
  <c r="W535" i="4" s="1"/>
  <c r="T499" i="4" a="1"/>
  <c r="T499" i="4" s="1"/>
  <c r="U499" i="4" a="1"/>
  <c r="U499" i="4" s="1"/>
  <c r="V499" i="4" a="1"/>
  <c r="V499" i="4" s="1"/>
  <c r="W499" i="4" a="1"/>
  <c r="W499" i="4" s="1"/>
  <c r="U463" i="4" a="1"/>
  <c r="U463" i="4" s="1"/>
  <c r="T463" i="4" a="1"/>
  <c r="T463" i="4" s="1"/>
  <c r="V463" i="4" a="1"/>
  <c r="V463" i="4" s="1"/>
  <c r="W463" i="4" a="1"/>
  <c r="W463" i="4" s="1"/>
  <c r="T427" i="4" a="1"/>
  <c r="T427" i="4" s="1"/>
  <c r="U427" i="4" a="1"/>
  <c r="U427" i="4" s="1"/>
  <c r="V427" i="4" a="1"/>
  <c r="V427" i="4" s="1"/>
  <c r="W427" i="4" a="1"/>
  <c r="W427" i="4" s="1"/>
  <c r="T1488" i="4" a="1"/>
  <c r="T1488" i="4" s="1"/>
  <c r="U1488" i="4" a="1"/>
  <c r="U1488" i="4" s="1"/>
  <c r="V1488" i="4" a="1"/>
  <c r="V1488" i="4" s="1"/>
  <c r="W1488" i="4" a="1"/>
  <c r="W1488" i="4" s="1"/>
  <c r="T1452" i="4" a="1"/>
  <c r="T1452" i="4" s="1"/>
  <c r="V1452" i="4" a="1"/>
  <c r="V1452" i="4" s="1"/>
  <c r="U1452" i="4" a="1"/>
  <c r="U1452" i="4" s="1"/>
  <c r="W1452" i="4" a="1"/>
  <c r="W1452" i="4" s="1"/>
  <c r="T1416" i="4" a="1"/>
  <c r="T1416" i="4" s="1"/>
  <c r="U1416" i="4" a="1"/>
  <c r="U1416" i="4" s="1"/>
  <c r="W1416" i="4" a="1"/>
  <c r="W1416" i="4" s="1"/>
  <c r="V1416" i="4" a="1"/>
  <c r="V1416" i="4" s="1"/>
  <c r="T1380" i="4" a="1"/>
  <c r="T1380" i="4" s="1"/>
  <c r="U1380" i="4" a="1"/>
  <c r="U1380" i="4" s="1"/>
  <c r="V1380" i="4" a="1"/>
  <c r="V1380" i="4" s="1"/>
  <c r="W1380" i="4" a="1"/>
  <c r="W1380" i="4" s="1"/>
  <c r="T1344" i="4" a="1"/>
  <c r="T1344" i="4" s="1"/>
  <c r="U1344" i="4" a="1"/>
  <c r="U1344" i="4" s="1"/>
  <c r="V1344" i="4" a="1"/>
  <c r="V1344" i="4" s="1"/>
  <c r="W1344" i="4" a="1"/>
  <c r="W1344" i="4" s="1"/>
  <c r="T1308" i="4" a="1"/>
  <c r="T1308" i="4" s="1"/>
  <c r="V1308" i="4" a="1"/>
  <c r="V1308" i="4" s="1"/>
  <c r="U1308" i="4" a="1"/>
  <c r="U1308" i="4" s="1"/>
  <c r="W1308" i="4" a="1"/>
  <c r="W1308" i="4" s="1"/>
  <c r="T1272" i="4" a="1"/>
  <c r="T1272" i="4" s="1"/>
  <c r="U1272" i="4" a="1"/>
  <c r="U1272" i="4" s="1"/>
  <c r="V1272" i="4" a="1"/>
  <c r="V1272" i="4" s="1"/>
  <c r="W1272" i="4" a="1"/>
  <c r="W1272" i="4" s="1"/>
  <c r="T1236" i="4" a="1"/>
  <c r="T1236" i="4" s="1"/>
  <c r="U1236" i="4" a="1"/>
  <c r="U1236" i="4" s="1"/>
  <c r="V1236" i="4" a="1"/>
  <c r="V1236" i="4" s="1"/>
  <c r="W1236" i="4" a="1"/>
  <c r="W1236" i="4" s="1"/>
  <c r="T1200" i="4" a="1"/>
  <c r="T1200" i="4" s="1"/>
  <c r="U1200" i="4" a="1"/>
  <c r="U1200" i="4" s="1"/>
  <c r="V1200" i="4" a="1"/>
  <c r="V1200" i="4" s="1"/>
  <c r="W1200" i="4" a="1"/>
  <c r="W1200" i="4" s="1"/>
  <c r="T1164" i="4" a="1"/>
  <c r="T1164" i="4" s="1"/>
  <c r="U1164" i="4" a="1"/>
  <c r="U1164" i="4" s="1"/>
  <c r="V1164" i="4" a="1"/>
  <c r="V1164" i="4" s="1"/>
  <c r="W1164" i="4" a="1"/>
  <c r="W1164" i="4" s="1"/>
  <c r="T1128" i="4" a="1"/>
  <c r="T1128" i="4" s="1"/>
  <c r="U1128" i="4" a="1"/>
  <c r="U1128" i="4" s="1"/>
  <c r="V1128" i="4" a="1"/>
  <c r="V1128" i="4" s="1"/>
  <c r="W1128" i="4" a="1"/>
  <c r="W1128" i="4" s="1"/>
  <c r="T1092" i="4" a="1"/>
  <c r="T1092" i="4" s="1"/>
  <c r="U1092" i="4" a="1"/>
  <c r="U1092" i="4" s="1"/>
  <c r="V1092" i="4" a="1"/>
  <c r="V1092" i="4" s="1"/>
  <c r="W1092" i="4" a="1"/>
  <c r="W1092" i="4" s="1"/>
  <c r="T1056" i="4" a="1"/>
  <c r="T1056" i="4" s="1"/>
  <c r="U1056" i="4" a="1"/>
  <c r="U1056" i="4" s="1"/>
  <c r="V1056" i="4" a="1"/>
  <c r="V1056" i="4" s="1"/>
  <c r="W1056" i="4" a="1"/>
  <c r="W1056" i="4" s="1"/>
  <c r="T1020" i="4" a="1"/>
  <c r="T1020" i="4" s="1"/>
  <c r="U1020" i="4" a="1"/>
  <c r="U1020" i="4" s="1"/>
  <c r="V1020" i="4" a="1"/>
  <c r="V1020" i="4" s="1"/>
  <c r="W1020" i="4" a="1"/>
  <c r="W1020" i="4" s="1"/>
  <c r="T984" i="4" a="1"/>
  <c r="T984" i="4" s="1"/>
  <c r="U984" i="4" a="1"/>
  <c r="U984" i="4" s="1"/>
  <c r="V984" i="4" a="1"/>
  <c r="V984" i="4" s="1"/>
  <c r="W984" i="4" a="1"/>
  <c r="W984" i="4" s="1"/>
  <c r="T948" i="4" a="1"/>
  <c r="T948" i="4" s="1"/>
  <c r="U948" i="4" a="1"/>
  <c r="U948" i="4" s="1"/>
  <c r="V948" i="4" a="1"/>
  <c r="V948" i="4" s="1"/>
  <c r="W948" i="4" a="1"/>
  <c r="W948" i="4" s="1"/>
  <c r="T912" i="4" a="1"/>
  <c r="T912" i="4" s="1"/>
  <c r="V912" i="4" a="1"/>
  <c r="V912" i="4" s="1"/>
  <c r="U912" i="4" a="1"/>
  <c r="U912" i="4" s="1"/>
  <c r="W912" i="4" a="1"/>
  <c r="W912" i="4" s="1"/>
  <c r="T876" i="4" a="1"/>
  <c r="T876" i="4" s="1"/>
  <c r="U876" i="4" a="1"/>
  <c r="U876" i="4" s="1"/>
  <c r="V876" i="4" a="1"/>
  <c r="V876" i="4" s="1"/>
  <c r="W876" i="4" a="1"/>
  <c r="W876" i="4" s="1"/>
  <c r="T840" i="4" a="1"/>
  <c r="T840" i="4" s="1"/>
  <c r="U840" i="4" a="1"/>
  <c r="U840" i="4" s="1"/>
  <c r="V840" i="4" a="1"/>
  <c r="V840" i="4" s="1"/>
  <c r="W840" i="4" a="1"/>
  <c r="W840" i="4" s="1"/>
  <c r="T804" i="4" a="1"/>
  <c r="T804" i="4" s="1"/>
  <c r="W804" i="4" a="1"/>
  <c r="W804" i="4" s="1"/>
  <c r="U804" i="4" a="1"/>
  <c r="U804" i="4" s="1"/>
  <c r="V804" i="4" a="1"/>
  <c r="V804" i="4" s="1"/>
  <c r="T768" i="4" a="1"/>
  <c r="T768" i="4" s="1"/>
  <c r="U768" i="4" a="1"/>
  <c r="U768" i="4" s="1"/>
  <c r="W768" i="4" a="1"/>
  <c r="W768" i="4" s="1"/>
  <c r="V768" i="4" a="1"/>
  <c r="V768" i="4" s="1"/>
  <c r="T732" i="4" a="1"/>
  <c r="T732" i="4" s="1"/>
  <c r="U732" i="4" a="1"/>
  <c r="U732" i="4" s="1"/>
  <c r="W732" i="4" a="1"/>
  <c r="W732" i="4" s="1"/>
  <c r="V732" i="4" a="1"/>
  <c r="V732" i="4" s="1"/>
  <c r="T696" i="4" a="1"/>
  <c r="T696" i="4" s="1"/>
  <c r="U696" i="4" a="1"/>
  <c r="U696" i="4" s="1"/>
  <c r="W696" i="4" a="1"/>
  <c r="W696" i="4" s="1"/>
  <c r="V696" i="4" a="1"/>
  <c r="V696" i="4" s="1"/>
  <c r="T660" i="4" a="1"/>
  <c r="T660" i="4" s="1"/>
  <c r="U660" i="4" a="1"/>
  <c r="U660" i="4" s="1"/>
  <c r="W660" i="4" a="1"/>
  <c r="W660" i="4" s="1"/>
  <c r="V660" i="4" a="1"/>
  <c r="V660" i="4" s="1"/>
  <c r="T624" i="4" a="1"/>
  <c r="T624" i="4" s="1"/>
  <c r="U624" i="4" a="1"/>
  <c r="U624" i="4" s="1"/>
  <c r="W624" i="4" a="1"/>
  <c r="W624" i="4" s="1"/>
  <c r="V624" i="4" a="1"/>
  <c r="V624" i="4" s="1"/>
  <c r="T588" i="4" a="1"/>
  <c r="T588" i="4" s="1"/>
  <c r="U588" i="4" a="1"/>
  <c r="U588" i="4" s="1"/>
  <c r="W588" i="4" a="1"/>
  <c r="W588" i="4" s="1"/>
  <c r="V588" i="4" a="1"/>
  <c r="V588" i="4" s="1"/>
  <c r="T552" i="4" a="1"/>
  <c r="T552" i="4" s="1"/>
  <c r="U552" i="4" a="1"/>
  <c r="U552" i="4" s="1"/>
  <c r="W552" i="4" a="1"/>
  <c r="W552" i="4" s="1"/>
  <c r="V552" i="4" a="1"/>
  <c r="V552" i="4" s="1"/>
  <c r="T516" i="4" a="1"/>
  <c r="T516" i="4" s="1"/>
  <c r="U516" i="4" a="1"/>
  <c r="U516" i="4" s="1"/>
  <c r="W516" i="4" a="1"/>
  <c r="W516" i="4" s="1"/>
  <c r="V516" i="4" a="1"/>
  <c r="V516" i="4" s="1"/>
  <c r="T480" i="4" a="1"/>
  <c r="T480" i="4" s="1"/>
  <c r="U480" i="4" a="1"/>
  <c r="U480" i="4" s="1"/>
  <c r="W480" i="4" a="1"/>
  <c r="W480" i="4" s="1"/>
  <c r="V480" i="4" a="1"/>
  <c r="V480" i="4" s="1"/>
  <c r="T444" i="4" a="1"/>
  <c r="T444" i="4" s="1"/>
  <c r="U444" i="4" a="1"/>
  <c r="U444" i="4" s="1"/>
  <c r="W444" i="4" a="1"/>
  <c r="W444" i="4" s="1"/>
  <c r="V444" i="4" a="1"/>
  <c r="V444" i="4" s="1"/>
  <c r="T407" i="4" a="1"/>
  <c r="T407" i="4" s="1"/>
  <c r="U407" i="4" a="1"/>
  <c r="U407" i="4" s="1"/>
  <c r="V407" i="4" a="1"/>
  <c r="V407" i="4" s="1"/>
  <c r="W407" i="4" a="1"/>
  <c r="W407" i="4" s="1"/>
  <c r="T1475" i="4" a="1"/>
  <c r="T1475" i="4" s="1"/>
  <c r="U1475" i="4" a="1"/>
  <c r="U1475" i="4" s="1"/>
  <c r="W1475" i="4" a="1"/>
  <c r="W1475" i="4" s="1"/>
  <c r="V1475" i="4" a="1"/>
  <c r="V1475" i="4" s="1"/>
  <c r="T1439" i="4" a="1"/>
  <c r="T1439" i="4" s="1"/>
  <c r="U1439" i="4" a="1"/>
  <c r="U1439" i="4" s="1"/>
  <c r="V1439" i="4" a="1"/>
  <c r="V1439" i="4" s="1"/>
  <c r="W1439" i="4" a="1"/>
  <c r="W1439" i="4" s="1"/>
  <c r="T1403" i="4" a="1"/>
  <c r="T1403" i="4" s="1"/>
  <c r="U1403" i="4" a="1"/>
  <c r="U1403" i="4" s="1"/>
  <c r="W1403" i="4" a="1"/>
  <c r="W1403" i="4" s="1"/>
  <c r="V1403" i="4" a="1"/>
  <c r="V1403" i="4" s="1"/>
  <c r="T1367" i="4" a="1"/>
  <c r="T1367" i="4" s="1"/>
  <c r="U1367" i="4" a="1"/>
  <c r="U1367" i="4" s="1"/>
  <c r="V1367" i="4" a="1"/>
  <c r="V1367" i="4" s="1"/>
  <c r="W1367" i="4" a="1"/>
  <c r="W1367" i="4" s="1"/>
  <c r="T1331" i="4" a="1"/>
  <c r="T1331" i="4" s="1"/>
  <c r="U1331" i="4" a="1"/>
  <c r="U1331" i="4" s="1"/>
  <c r="V1331" i="4" a="1"/>
  <c r="V1331" i="4" s="1"/>
  <c r="W1331" i="4" a="1"/>
  <c r="W1331" i="4" s="1"/>
  <c r="T1295" i="4" a="1"/>
  <c r="T1295" i="4" s="1"/>
  <c r="U1295" i="4" a="1"/>
  <c r="U1295" i="4" s="1"/>
  <c r="V1295" i="4" a="1"/>
  <c r="V1295" i="4" s="1"/>
  <c r="W1295" i="4" a="1"/>
  <c r="W1295" i="4" s="1"/>
  <c r="T1259" i="4" a="1"/>
  <c r="T1259" i="4" s="1"/>
  <c r="U1259" i="4" a="1"/>
  <c r="U1259" i="4" s="1"/>
  <c r="V1259" i="4" a="1"/>
  <c r="V1259" i="4" s="1"/>
  <c r="W1259" i="4" a="1"/>
  <c r="W1259" i="4" s="1"/>
  <c r="T1223" i="4" a="1"/>
  <c r="T1223" i="4" s="1"/>
  <c r="U1223" i="4" a="1"/>
  <c r="U1223" i="4" s="1"/>
  <c r="V1223" i="4" a="1"/>
  <c r="V1223" i="4" s="1"/>
  <c r="W1223" i="4" a="1"/>
  <c r="W1223" i="4" s="1"/>
  <c r="T1187" i="4" a="1"/>
  <c r="T1187" i="4" s="1"/>
  <c r="U1187" i="4" a="1"/>
  <c r="U1187" i="4" s="1"/>
  <c r="V1187" i="4" a="1"/>
  <c r="V1187" i="4" s="1"/>
  <c r="W1187" i="4" a="1"/>
  <c r="W1187" i="4" s="1"/>
  <c r="U1151" i="4" a="1"/>
  <c r="U1151" i="4" s="1"/>
  <c r="V1151" i="4" a="1"/>
  <c r="V1151" i="4" s="1"/>
  <c r="W1151" i="4" a="1"/>
  <c r="W1151" i="4" s="1"/>
  <c r="T1151" i="4" a="1"/>
  <c r="T1151" i="4" s="1"/>
  <c r="U1115" i="4" a="1"/>
  <c r="U1115" i="4" s="1"/>
  <c r="T1115" i="4" a="1"/>
  <c r="T1115" i="4" s="1"/>
  <c r="V1115" i="4" a="1"/>
  <c r="V1115" i="4" s="1"/>
  <c r="W1115" i="4" a="1"/>
  <c r="W1115" i="4" s="1"/>
  <c r="U1079" i="4" a="1"/>
  <c r="U1079" i="4" s="1"/>
  <c r="T1079" i="4" a="1"/>
  <c r="T1079" i="4" s="1"/>
  <c r="V1079" i="4" a="1"/>
  <c r="V1079" i="4" s="1"/>
  <c r="W1079" i="4" a="1"/>
  <c r="W1079" i="4" s="1"/>
  <c r="T1043" i="4" a="1"/>
  <c r="T1043" i="4" s="1"/>
  <c r="U1043" i="4" a="1"/>
  <c r="U1043" i="4" s="1"/>
  <c r="V1043" i="4" a="1"/>
  <c r="V1043" i="4" s="1"/>
  <c r="W1043" i="4" a="1"/>
  <c r="W1043" i="4" s="1"/>
  <c r="T1007" i="4" a="1"/>
  <c r="T1007" i="4" s="1"/>
  <c r="V1007" i="4" a="1"/>
  <c r="V1007" i="4" s="1"/>
  <c r="W1007" i="4" a="1"/>
  <c r="W1007" i="4" s="1"/>
  <c r="U1007" i="4" a="1"/>
  <c r="U1007" i="4" s="1"/>
  <c r="T971" i="4" a="1"/>
  <c r="T971" i="4" s="1"/>
  <c r="U971" i="4" a="1"/>
  <c r="U971" i="4" s="1"/>
  <c r="V971" i="4" a="1"/>
  <c r="V971" i="4" s="1"/>
  <c r="W971" i="4" a="1"/>
  <c r="W971" i="4" s="1"/>
  <c r="T935" i="4" a="1"/>
  <c r="T935" i="4" s="1"/>
  <c r="U935" i="4" a="1"/>
  <c r="U935" i="4" s="1"/>
  <c r="V935" i="4" a="1"/>
  <c r="V935" i="4" s="1"/>
  <c r="W935" i="4" a="1"/>
  <c r="W935" i="4" s="1"/>
  <c r="T899" i="4" a="1"/>
  <c r="T899" i="4" s="1"/>
  <c r="V899" i="4" a="1"/>
  <c r="V899" i="4" s="1"/>
  <c r="W899" i="4" a="1"/>
  <c r="W899" i="4" s="1"/>
  <c r="U899" i="4" a="1"/>
  <c r="U899" i="4" s="1"/>
  <c r="T863" i="4" a="1"/>
  <c r="T863" i="4" s="1"/>
  <c r="U863" i="4" a="1"/>
  <c r="U863" i="4" s="1"/>
  <c r="V863" i="4" a="1"/>
  <c r="V863" i="4" s="1"/>
  <c r="W863" i="4" a="1"/>
  <c r="W863" i="4" s="1"/>
  <c r="T827" i="4" a="1"/>
  <c r="T827" i="4" s="1"/>
  <c r="U827" i="4" a="1"/>
  <c r="U827" i="4" s="1"/>
  <c r="V827" i="4" a="1"/>
  <c r="V827" i="4" s="1"/>
  <c r="W827" i="4" a="1"/>
  <c r="W827" i="4" s="1"/>
  <c r="T791" i="4" a="1"/>
  <c r="T791" i="4" s="1"/>
  <c r="V791" i="4" a="1"/>
  <c r="V791" i="4" s="1"/>
  <c r="W791" i="4" a="1"/>
  <c r="W791" i="4" s="1"/>
  <c r="U791" i="4" a="1"/>
  <c r="U791" i="4" s="1"/>
  <c r="T755" i="4" a="1"/>
  <c r="T755" i="4" s="1"/>
  <c r="U755" i="4" a="1"/>
  <c r="U755" i="4" s="1"/>
  <c r="V755" i="4" a="1"/>
  <c r="V755" i="4" s="1"/>
  <c r="W755" i="4" a="1"/>
  <c r="W755" i="4" s="1"/>
  <c r="T719" i="4" a="1"/>
  <c r="T719" i="4" s="1"/>
  <c r="U719" i="4" a="1"/>
  <c r="U719" i="4" s="1"/>
  <c r="V719" i="4" a="1"/>
  <c r="V719" i="4" s="1"/>
  <c r="W719" i="4" a="1"/>
  <c r="W719" i="4" s="1"/>
  <c r="T683" i="4" a="1"/>
  <c r="T683" i="4" s="1"/>
  <c r="U683" i="4" a="1"/>
  <c r="U683" i="4" s="1"/>
  <c r="V683" i="4" a="1"/>
  <c r="V683" i="4" s="1"/>
  <c r="W683" i="4" a="1"/>
  <c r="W683" i="4" s="1"/>
  <c r="T647" i="4" a="1"/>
  <c r="T647" i="4" s="1"/>
  <c r="U647" i="4" a="1"/>
  <c r="U647" i="4" s="1"/>
  <c r="V647" i="4" a="1"/>
  <c r="V647" i="4" s="1"/>
  <c r="W647" i="4" a="1"/>
  <c r="W647" i="4" s="1"/>
  <c r="T611" i="4" a="1"/>
  <c r="T611" i="4" s="1"/>
  <c r="U611" i="4" a="1"/>
  <c r="U611" i="4" s="1"/>
  <c r="V611" i="4" a="1"/>
  <c r="V611" i="4" s="1"/>
  <c r="W611" i="4" a="1"/>
  <c r="W611" i="4" s="1"/>
  <c r="T575" i="4" a="1"/>
  <c r="T575" i="4" s="1"/>
  <c r="U575" i="4" a="1"/>
  <c r="U575" i="4" s="1"/>
  <c r="V575" i="4" a="1"/>
  <c r="V575" i="4" s="1"/>
  <c r="W575" i="4" a="1"/>
  <c r="W575" i="4" s="1"/>
  <c r="T539" i="4" a="1"/>
  <c r="T539" i="4" s="1"/>
  <c r="U539" i="4" a="1"/>
  <c r="U539" i="4" s="1"/>
  <c r="V539" i="4" a="1"/>
  <c r="V539" i="4" s="1"/>
  <c r="W539" i="4" a="1"/>
  <c r="W539" i="4" s="1"/>
  <c r="T503" i="4" a="1"/>
  <c r="T503" i="4" s="1"/>
  <c r="U503" i="4" a="1"/>
  <c r="U503" i="4" s="1"/>
  <c r="V503" i="4" a="1"/>
  <c r="V503" i="4" s="1"/>
  <c r="W503" i="4" a="1"/>
  <c r="W503" i="4" s="1"/>
  <c r="T467" i="4" a="1"/>
  <c r="T467" i="4" s="1"/>
  <c r="U467" i="4" a="1"/>
  <c r="U467" i="4" s="1"/>
  <c r="V467" i="4" a="1"/>
  <c r="V467" i="4" s="1"/>
  <c r="W467" i="4" a="1"/>
  <c r="W467" i="4" s="1"/>
  <c r="T431" i="4" a="1"/>
  <c r="T431" i="4" s="1"/>
  <c r="U431" i="4" a="1"/>
  <c r="U431" i="4" s="1"/>
  <c r="V431" i="4" a="1"/>
  <c r="V431" i="4" s="1"/>
  <c r="W431" i="4" a="1"/>
  <c r="W431" i="4" s="1"/>
  <c r="T1498" i="4" a="1"/>
  <c r="T1498" i="4" s="1"/>
  <c r="V1498" i="4" a="1"/>
  <c r="V1498" i="4" s="1"/>
  <c r="U1498" i="4" a="1"/>
  <c r="U1498" i="4" s="1"/>
  <c r="W1498" i="4" a="1"/>
  <c r="W1498" i="4" s="1"/>
  <c r="T1462" i="4" a="1"/>
  <c r="T1462" i="4" s="1"/>
  <c r="U1462" i="4" a="1"/>
  <c r="U1462" i="4" s="1"/>
  <c r="V1462" i="4" a="1"/>
  <c r="V1462" i="4" s="1"/>
  <c r="W1462" i="4" a="1"/>
  <c r="W1462" i="4" s="1"/>
  <c r="T1426" i="4" a="1"/>
  <c r="T1426" i="4" s="1"/>
  <c r="U1426" i="4" a="1"/>
  <c r="U1426" i="4" s="1"/>
  <c r="W1426" i="4" a="1"/>
  <c r="W1426" i="4" s="1"/>
  <c r="V1426" i="4" a="1"/>
  <c r="V1426" i="4" s="1"/>
  <c r="T1390" i="4" a="1"/>
  <c r="T1390" i="4" s="1"/>
  <c r="U1390" i="4" a="1"/>
  <c r="U1390" i="4" s="1"/>
  <c r="V1390" i="4" a="1"/>
  <c r="V1390" i="4" s="1"/>
  <c r="W1390" i="4" a="1"/>
  <c r="W1390" i="4" s="1"/>
  <c r="T1354" i="4" a="1"/>
  <c r="T1354" i="4" s="1"/>
  <c r="U1354" i="4" a="1"/>
  <c r="U1354" i="4" s="1"/>
  <c r="V1354" i="4" a="1"/>
  <c r="V1354" i="4" s="1"/>
  <c r="W1354" i="4" a="1"/>
  <c r="W1354" i="4" s="1"/>
  <c r="T1318" i="4" a="1"/>
  <c r="T1318" i="4" s="1"/>
  <c r="U1318" i="4" a="1"/>
  <c r="U1318" i="4" s="1"/>
  <c r="V1318" i="4" a="1"/>
  <c r="V1318" i="4" s="1"/>
  <c r="W1318" i="4" a="1"/>
  <c r="W1318" i="4" s="1"/>
  <c r="T1282" i="4" a="1"/>
  <c r="T1282" i="4" s="1"/>
  <c r="U1282" i="4" a="1"/>
  <c r="U1282" i="4" s="1"/>
  <c r="V1282" i="4" a="1"/>
  <c r="V1282" i="4" s="1"/>
  <c r="W1282" i="4" a="1"/>
  <c r="W1282" i="4" s="1"/>
  <c r="T1246" i="4" a="1"/>
  <c r="T1246" i="4" s="1"/>
  <c r="U1246" i="4" a="1"/>
  <c r="U1246" i="4" s="1"/>
  <c r="V1246" i="4" a="1"/>
  <c r="V1246" i="4" s="1"/>
  <c r="W1246" i="4" a="1"/>
  <c r="W1246" i="4" s="1"/>
  <c r="T1210" i="4" a="1"/>
  <c r="T1210" i="4" s="1"/>
  <c r="U1210" i="4" a="1"/>
  <c r="U1210" i="4" s="1"/>
  <c r="V1210" i="4" a="1"/>
  <c r="V1210" i="4" s="1"/>
  <c r="W1210" i="4" a="1"/>
  <c r="W1210" i="4" s="1"/>
  <c r="T1174" i="4" a="1"/>
  <c r="T1174" i="4" s="1"/>
  <c r="U1174" i="4" a="1"/>
  <c r="U1174" i="4" s="1"/>
  <c r="V1174" i="4" a="1"/>
  <c r="V1174" i="4" s="1"/>
  <c r="W1174" i="4" a="1"/>
  <c r="W1174" i="4" s="1"/>
  <c r="T1138" i="4" a="1"/>
  <c r="T1138" i="4" s="1"/>
  <c r="U1138" i="4" a="1"/>
  <c r="U1138" i="4" s="1"/>
  <c r="V1138" i="4" a="1"/>
  <c r="V1138" i="4" s="1"/>
  <c r="W1138" i="4" a="1"/>
  <c r="W1138" i="4" s="1"/>
  <c r="T1102" i="4" a="1"/>
  <c r="T1102" i="4" s="1"/>
  <c r="U1102" i="4" a="1"/>
  <c r="U1102" i="4" s="1"/>
  <c r="V1102" i="4" a="1"/>
  <c r="V1102" i="4" s="1"/>
  <c r="W1102" i="4" a="1"/>
  <c r="W1102" i="4" s="1"/>
  <c r="T1066" i="4" a="1"/>
  <c r="T1066" i="4" s="1"/>
  <c r="U1066" i="4" a="1"/>
  <c r="U1066" i="4" s="1"/>
  <c r="V1066" i="4" a="1"/>
  <c r="V1066" i="4" s="1"/>
  <c r="W1066" i="4" a="1"/>
  <c r="W1066" i="4" s="1"/>
  <c r="T1030" i="4" a="1"/>
  <c r="T1030" i="4" s="1"/>
  <c r="U1030" i="4" a="1"/>
  <c r="U1030" i="4" s="1"/>
  <c r="V1030" i="4" a="1"/>
  <c r="V1030" i="4" s="1"/>
  <c r="W1030" i="4" a="1"/>
  <c r="W1030" i="4" s="1"/>
  <c r="T994" i="4" a="1"/>
  <c r="T994" i="4" s="1"/>
  <c r="U994" i="4" a="1"/>
  <c r="U994" i="4" s="1"/>
  <c r="V994" i="4" a="1"/>
  <c r="V994" i="4" s="1"/>
  <c r="W994" i="4" a="1"/>
  <c r="W994" i="4" s="1"/>
  <c r="T958" i="4" a="1"/>
  <c r="T958" i="4" s="1"/>
  <c r="U958" i="4" a="1"/>
  <c r="U958" i="4" s="1"/>
  <c r="V958" i="4" a="1"/>
  <c r="V958" i="4" s="1"/>
  <c r="W958" i="4" a="1"/>
  <c r="W958" i="4" s="1"/>
  <c r="T922" i="4" a="1"/>
  <c r="T922" i="4" s="1"/>
  <c r="U922" i="4" a="1"/>
  <c r="U922" i="4" s="1"/>
  <c r="V922" i="4" a="1"/>
  <c r="V922" i="4" s="1"/>
  <c r="W922" i="4" a="1"/>
  <c r="W922" i="4" s="1"/>
  <c r="T886" i="4" a="1"/>
  <c r="T886" i="4" s="1"/>
  <c r="V886" i="4" a="1"/>
  <c r="V886" i="4" s="1"/>
  <c r="U886" i="4" a="1"/>
  <c r="U886" i="4" s="1"/>
  <c r="W886" i="4" a="1"/>
  <c r="W886" i="4" s="1"/>
  <c r="T850" i="4" a="1"/>
  <c r="T850" i="4" s="1"/>
  <c r="U850" i="4" a="1"/>
  <c r="U850" i="4" s="1"/>
  <c r="V850" i="4" a="1"/>
  <c r="V850" i="4" s="1"/>
  <c r="W850" i="4" a="1"/>
  <c r="W850" i="4" s="1"/>
  <c r="T814" i="4" a="1"/>
  <c r="T814" i="4" s="1"/>
  <c r="U814" i="4" a="1"/>
  <c r="U814" i="4" s="1"/>
  <c r="V814" i="4" a="1"/>
  <c r="V814" i="4" s="1"/>
  <c r="W814" i="4" a="1"/>
  <c r="W814" i="4" s="1"/>
  <c r="T778" i="4" a="1"/>
  <c r="T778" i="4" s="1"/>
  <c r="U778" i="4" a="1"/>
  <c r="U778" i="4" s="1"/>
  <c r="V778" i="4" a="1"/>
  <c r="V778" i="4" s="1"/>
  <c r="W778" i="4" a="1"/>
  <c r="W778" i="4" s="1"/>
  <c r="T742" i="4" a="1"/>
  <c r="T742" i="4" s="1"/>
  <c r="U742" i="4" a="1"/>
  <c r="U742" i="4" s="1"/>
  <c r="V742" i="4" a="1"/>
  <c r="V742" i="4" s="1"/>
  <c r="W742" i="4" a="1"/>
  <c r="W742" i="4" s="1"/>
  <c r="T706" i="4" a="1"/>
  <c r="T706" i="4" s="1"/>
  <c r="U706" i="4" a="1"/>
  <c r="U706" i="4" s="1"/>
  <c r="V706" i="4" a="1"/>
  <c r="V706" i="4" s="1"/>
  <c r="W706" i="4" a="1"/>
  <c r="W706" i="4" s="1"/>
  <c r="T670" i="4" a="1"/>
  <c r="T670" i="4" s="1"/>
  <c r="U670" i="4" a="1"/>
  <c r="U670" i="4" s="1"/>
  <c r="V670" i="4" a="1"/>
  <c r="V670" i="4" s="1"/>
  <c r="W670" i="4" a="1"/>
  <c r="W670" i="4" s="1"/>
  <c r="T634" i="4" a="1"/>
  <c r="T634" i="4" s="1"/>
  <c r="U634" i="4" a="1"/>
  <c r="U634" i="4" s="1"/>
  <c r="V634" i="4" a="1"/>
  <c r="V634" i="4" s="1"/>
  <c r="W634" i="4" a="1"/>
  <c r="W634" i="4" s="1"/>
  <c r="T598" i="4" a="1"/>
  <c r="T598" i="4" s="1"/>
  <c r="U598" i="4" a="1"/>
  <c r="U598" i="4" s="1"/>
  <c r="V598" i="4" a="1"/>
  <c r="V598" i="4" s="1"/>
  <c r="W598" i="4" a="1"/>
  <c r="W598" i="4" s="1"/>
  <c r="T562" i="4" a="1"/>
  <c r="T562" i="4" s="1"/>
  <c r="U562" i="4" a="1"/>
  <c r="U562" i="4" s="1"/>
  <c r="V562" i="4" a="1"/>
  <c r="V562" i="4" s="1"/>
  <c r="W562" i="4" a="1"/>
  <c r="W562" i="4" s="1"/>
  <c r="T526" i="4" a="1"/>
  <c r="T526" i="4" s="1"/>
  <c r="U526" i="4" a="1"/>
  <c r="U526" i="4" s="1"/>
  <c r="V526" i="4" a="1"/>
  <c r="V526" i="4" s="1"/>
  <c r="W526" i="4" a="1"/>
  <c r="W526" i="4" s="1"/>
  <c r="U490" i="4" a="1"/>
  <c r="U490" i="4" s="1"/>
  <c r="V490" i="4" a="1"/>
  <c r="V490" i="4" s="1"/>
  <c r="T490" i="4" a="1"/>
  <c r="T490" i="4" s="1"/>
  <c r="W490" i="4" a="1"/>
  <c r="W490" i="4" s="1"/>
  <c r="T454" i="4" a="1"/>
  <c r="T454" i="4" s="1"/>
  <c r="U454" i="4" a="1"/>
  <c r="U454" i="4" s="1"/>
  <c r="V454" i="4" a="1"/>
  <c r="V454" i="4" s="1"/>
  <c r="W454" i="4" a="1"/>
  <c r="W454" i="4" s="1"/>
  <c r="T418" i="4" a="1"/>
  <c r="T418" i="4" s="1"/>
  <c r="U418" i="4" a="1"/>
  <c r="U418" i="4" s="1"/>
  <c r="V418" i="4" a="1"/>
  <c r="V418" i="4" s="1"/>
  <c r="W418" i="4" a="1"/>
  <c r="W418" i="4" s="1"/>
  <c r="T1485" i="4" a="1"/>
  <c r="T1485" i="4" s="1"/>
  <c r="U1485" i="4" a="1"/>
  <c r="U1485" i="4" s="1"/>
  <c r="V1485" i="4" a="1"/>
  <c r="V1485" i="4" s="1"/>
  <c r="W1485" i="4" a="1"/>
  <c r="W1485" i="4" s="1"/>
  <c r="T1449" i="4" a="1"/>
  <c r="T1449" i="4" s="1"/>
  <c r="U1449" i="4" a="1"/>
  <c r="U1449" i="4" s="1"/>
  <c r="V1449" i="4" a="1"/>
  <c r="V1449" i="4" s="1"/>
  <c r="W1449" i="4" a="1"/>
  <c r="W1449" i="4" s="1"/>
  <c r="T1413" i="4" a="1"/>
  <c r="T1413" i="4" s="1"/>
  <c r="U1413" i="4" a="1"/>
  <c r="U1413" i="4" s="1"/>
  <c r="V1413" i="4" a="1"/>
  <c r="V1413" i="4" s="1"/>
  <c r="W1413" i="4" a="1"/>
  <c r="W1413" i="4" s="1"/>
  <c r="T1377" i="4" a="1"/>
  <c r="T1377" i="4" s="1"/>
  <c r="U1377" i="4" a="1"/>
  <c r="U1377" i="4" s="1"/>
  <c r="V1377" i="4" a="1"/>
  <c r="V1377" i="4" s="1"/>
  <c r="W1377" i="4" a="1"/>
  <c r="W1377" i="4" s="1"/>
  <c r="T1341" i="4" a="1"/>
  <c r="T1341" i="4" s="1"/>
  <c r="V1341" i="4" a="1"/>
  <c r="V1341" i="4" s="1"/>
  <c r="U1341" i="4" a="1"/>
  <c r="U1341" i="4" s="1"/>
  <c r="W1341" i="4" a="1"/>
  <c r="W1341" i="4" s="1"/>
  <c r="T1305" i="4" a="1"/>
  <c r="T1305" i="4" s="1"/>
  <c r="V1305" i="4" a="1"/>
  <c r="V1305" i="4" s="1"/>
  <c r="U1305" i="4" a="1"/>
  <c r="U1305" i="4" s="1"/>
  <c r="W1305" i="4" a="1"/>
  <c r="W1305" i="4" s="1"/>
  <c r="T1269" i="4" a="1"/>
  <c r="T1269" i="4" s="1"/>
  <c r="V1269" i="4" a="1"/>
  <c r="V1269" i="4" s="1"/>
  <c r="U1269" i="4" a="1"/>
  <c r="U1269" i="4" s="1"/>
  <c r="W1269" i="4" a="1"/>
  <c r="W1269" i="4" s="1"/>
  <c r="T1233" i="4" a="1"/>
  <c r="T1233" i="4" s="1"/>
  <c r="V1233" i="4" a="1"/>
  <c r="V1233" i="4" s="1"/>
  <c r="U1233" i="4" a="1"/>
  <c r="U1233" i="4" s="1"/>
  <c r="W1233" i="4" a="1"/>
  <c r="W1233" i="4" s="1"/>
  <c r="T1197" i="4" a="1"/>
  <c r="T1197" i="4" s="1"/>
  <c r="V1197" i="4" a="1"/>
  <c r="V1197" i="4" s="1"/>
  <c r="U1197" i="4" a="1"/>
  <c r="U1197" i="4" s="1"/>
  <c r="W1197" i="4" a="1"/>
  <c r="W1197" i="4" s="1"/>
  <c r="T1161" i="4" a="1"/>
  <c r="T1161" i="4" s="1"/>
  <c r="V1161" i="4" a="1"/>
  <c r="V1161" i="4" s="1"/>
  <c r="U1161" i="4" a="1"/>
  <c r="U1161" i="4" s="1"/>
  <c r="W1161" i="4" a="1"/>
  <c r="W1161" i="4" s="1"/>
  <c r="T1125" i="4" a="1"/>
  <c r="T1125" i="4" s="1"/>
  <c r="V1125" i="4" a="1"/>
  <c r="V1125" i="4" s="1"/>
  <c r="U1125" i="4" a="1"/>
  <c r="U1125" i="4" s="1"/>
  <c r="W1125" i="4" a="1"/>
  <c r="W1125" i="4" s="1"/>
  <c r="T1089" i="4" a="1"/>
  <c r="T1089" i="4" s="1"/>
  <c r="V1089" i="4" a="1"/>
  <c r="V1089" i="4" s="1"/>
  <c r="U1089" i="4" a="1"/>
  <c r="U1089" i="4" s="1"/>
  <c r="W1089" i="4" a="1"/>
  <c r="W1089" i="4" s="1"/>
  <c r="T1053" i="4" a="1"/>
  <c r="T1053" i="4" s="1"/>
  <c r="V1053" i="4" a="1"/>
  <c r="V1053" i="4" s="1"/>
  <c r="U1053" i="4" a="1"/>
  <c r="U1053" i="4" s="1"/>
  <c r="W1053" i="4" a="1"/>
  <c r="W1053" i="4" s="1"/>
  <c r="U1017" i="4" a="1"/>
  <c r="U1017" i="4" s="1"/>
  <c r="V1017" i="4" a="1"/>
  <c r="V1017" i="4" s="1"/>
  <c r="T1017" i="4" a="1"/>
  <c r="T1017" i="4" s="1"/>
  <c r="W1017" i="4" a="1"/>
  <c r="W1017" i="4" s="1"/>
  <c r="T981" i="4" a="1"/>
  <c r="T981" i="4" s="1"/>
  <c r="U981" i="4" a="1"/>
  <c r="U981" i="4" s="1"/>
  <c r="V981" i="4" a="1"/>
  <c r="V981" i="4" s="1"/>
  <c r="W981" i="4" a="1"/>
  <c r="W981" i="4" s="1"/>
  <c r="T945" i="4" a="1"/>
  <c r="T945" i="4" s="1"/>
  <c r="U945" i="4" a="1"/>
  <c r="U945" i="4" s="1"/>
  <c r="V945" i="4" a="1"/>
  <c r="V945" i="4" s="1"/>
  <c r="W945" i="4" a="1"/>
  <c r="W945" i="4" s="1"/>
  <c r="T909" i="4" a="1"/>
  <c r="T909" i="4" s="1"/>
  <c r="U909" i="4" a="1"/>
  <c r="U909" i="4" s="1"/>
  <c r="V909" i="4" a="1"/>
  <c r="V909" i="4" s="1"/>
  <c r="W909" i="4" a="1"/>
  <c r="W909" i="4" s="1"/>
  <c r="U873" i="4" a="1"/>
  <c r="U873" i="4" s="1"/>
  <c r="T873" i="4" a="1"/>
  <c r="T873" i="4" s="1"/>
  <c r="V873" i="4" a="1"/>
  <c r="V873" i="4" s="1"/>
  <c r="W873" i="4" a="1"/>
  <c r="W873" i="4" s="1"/>
  <c r="T837" i="4" a="1"/>
  <c r="T837" i="4" s="1"/>
  <c r="U837" i="4" a="1"/>
  <c r="U837" i="4" s="1"/>
  <c r="V837" i="4" a="1"/>
  <c r="V837" i="4" s="1"/>
  <c r="W837" i="4" a="1"/>
  <c r="W837" i="4" s="1"/>
  <c r="T801" i="4" a="1"/>
  <c r="T801" i="4" s="1"/>
  <c r="U801" i="4" a="1"/>
  <c r="U801" i="4" s="1"/>
  <c r="V801" i="4" a="1"/>
  <c r="V801" i="4" s="1"/>
  <c r="W801" i="4" a="1"/>
  <c r="W801" i="4" s="1"/>
  <c r="U765" i="4" a="1"/>
  <c r="U765" i="4" s="1"/>
  <c r="T765" i="4" a="1"/>
  <c r="T765" i="4" s="1"/>
  <c r="V765" i="4" a="1"/>
  <c r="V765" i="4" s="1"/>
  <c r="W765" i="4" a="1"/>
  <c r="W765" i="4" s="1"/>
  <c r="T729" i="4" a="1"/>
  <c r="T729" i="4" s="1"/>
  <c r="U729" i="4" a="1"/>
  <c r="U729" i="4" s="1"/>
  <c r="V729" i="4" a="1"/>
  <c r="V729" i="4" s="1"/>
  <c r="W729" i="4" a="1"/>
  <c r="W729" i="4" s="1"/>
  <c r="T693" i="4" a="1"/>
  <c r="T693" i="4" s="1"/>
  <c r="U693" i="4" a="1"/>
  <c r="U693" i="4" s="1"/>
  <c r="V693" i="4" a="1"/>
  <c r="V693" i="4" s="1"/>
  <c r="W693" i="4" a="1"/>
  <c r="W693" i="4" s="1"/>
  <c r="T657" i="4" a="1"/>
  <c r="T657" i="4" s="1"/>
  <c r="U657" i="4" a="1"/>
  <c r="U657" i="4" s="1"/>
  <c r="V657" i="4" a="1"/>
  <c r="V657" i="4" s="1"/>
  <c r="W657" i="4" a="1"/>
  <c r="W657" i="4" s="1"/>
  <c r="T621" i="4" a="1"/>
  <c r="T621" i="4" s="1"/>
  <c r="U621" i="4" a="1"/>
  <c r="U621" i="4" s="1"/>
  <c r="V621" i="4" a="1"/>
  <c r="V621" i="4" s="1"/>
  <c r="W621" i="4" a="1"/>
  <c r="W621" i="4" s="1"/>
  <c r="T585" i="4" a="1"/>
  <c r="T585" i="4" s="1"/>
  <c r="U585" i="4" a="1"/>
  <c r="U585" i="4" s="1"/>
  <c r="V585" i="4" a="1"/>
  <c r="V585" i="4" s="1"/>
  <c r="W585" i="4" a="1"/>
  <c r="W585" i="4" s="1"/>
  <c r="U549" i="4" a="1"/>
  <c r="U549" i="4" s="1"/>
  <c r="T549" i="4" a="1"/>
  <c r="T549" i="4" s="1"/>
  <c r="V549" i="4" a="1"/>
  <c r="V549" i="4" s="1"/>
  <c r="W549" i="4" a="1"/>
  <c r="W549" i="4" s="1"/>
  <c r="T513" i="4" a="1"/>
  <c r="T513" i="4" s="1"/>
  <c r="U513" i="4" a="1"/>
  <c r="U513" i="4" s="1"/>
  <c r="V513" i="4" a="1"/>
  <c r="V513" i="4" s="1"/>
  <c r="W513" i="4" a="1"/>
  <c r="W513" i="4" s="1"/>
  <c r="T477" i="4" a="1"/>
  <c r="T477" i="4" s="1"/>
  <c r="U477" i="4" a="1"/>
  <c r="U477" i="4" s="1"/>
  <c r="V477" i="4" a="1"/>
  <c r="V477" i="4" s="1"/>
  <c r="W477" i="4" a="1"/>
  <c r="W477" i="4" s="1"/>
  <c r="U441" i="4" a="1"/>
  <c r="U441" i="4" s="1"/>
  <c r="T441" i="4" a="1"/>
  <c r="T441" i="4" s="1"/>
  <c r="V441" i="4" a="1"/>
  <c r="V441" i="4" s="1"/>
  <c r="W441" i="4" a="1"/>
  <c r="W441" i="4" s="1"/>
  <c r="T403" i="4" a="1"/>
  <c r="T403" i="4" s="1"/>
  <c r="U403" i="4" a="1"/>
  <c r="U403" i="4" s="1"/>
  <c r="V403" i="4" a="1"/>
  <c r="V403" i="4" s="1"/>
  <c r="W403" i="4" a="1"/>
  <c r="W403" i="4" s="1"/>
  <c r="T374" i="4" a="1"/>
  <c r="T374" i="4" s="1"/>
  <c r="U374" i="4" a="1"/>
  <c r="U374" i="4" s="1"/>
  <c r="V374" i="4" a="1"/>
  <c r="V374" i="4" s="1"/>
  <c r="W374" i="4" a="1"/>
  <c r="W374" i="4" s="1"/>
  <c r="U338" i="4" a="1"/>
  <c r="U338" i="4" s="1"/>
  <c r="T338" i="4" a="1"/>
  <c r="T338" i="4" s="1"/>
  <c r="W338" i="4" a="1"/>
  <c r="W338" i="4" s="1"/>
  <c r="V338" i="4" a="1"/>
  <c r="V338" i="4" s="1"/>
  <c r="T302" i="4" a="1"/>
  <c r="T302" i="4" s="1"/>
  <c r="U302" i="4" a="1"/>
  <c r="U302" i="4" s="1"/>
  <c r="W302" i="4" a="1"/>
  <c r="W302" i="4" s="1"/>
  <c r="V302" i="4" a="1"/>
  <c r="V302" i="4" s="1"/>
  <c r="T266" i="4" a="1"/>
  <c r="T266" i="4" s="1"/>
  <c r="U266" i="4" a="1"/>
  <c r="U266" i="4" s="1"/>
  <c r="V266" i="4" a="1"/>
  <c r="V266" i="4" s="1"/>
  <c r="W266" i="4" a="1"/>
  <c r="W266" i="4" s="1"/>
  <c r="T230" i="4" a="1"/>
  <c r="T230" i="4" s="1"/>
  <c r="U230" i="4" a="1"/>
  <c r="U230" i="4" s="1"/>
  <c r="V230" i="4" a="1"/>
  <c r="V230" i="4" s="1"/>
  <c r="W230" i="4" a="1"/>
  <c r="W230" i="4" s="1"/>
  <c r="T367" i="4" a="1"/>
  <c r="T367" i="4" s="1"/>
  <c r="U367" i="4" a="1"/>
  <c r="U367" i="4" s="1"/>
  <c r="V367" i="4" a="1"/>
  <c r="V367" i="4" s="1"/>
  <c r="W367" i="4" a="1"/>
  <c r="W367" i="4" s="1"/>
  <c r="T331" i="4" a="1"/>
  <c r="T331" i="4" s="1"/>
  <c r="U331" i="4" a="1"/>
  <c r="U331" i="4" s="1"/>
  <c r="V331" i="4" a="1"/>
  <c r="V331" i="4" s="1"/>
  <c r="W331" i="4" a="1"/>
  <c r="W331" i="4" s="1"/>
  <c r="T295" i="4" a="1"/>
  <c r="T295" i="4" s="1"/>
  <c r="U295" i="4" a="1"/>
  <c r="U295" i="4" s="1"/>
  <c r="V295" i="4" a="1"/>
  <c r="V295" i="4" s="1"/>
  <c r="W295" i="4" a="1"/>
  <c r="W295" i="4" s="1"/>
  <c r="T259" i="4" a="1"/>
  <c r="T259" i="4" s="1"/>
  <c r="U259" i="4" a="1"/>
  <c r="U259" i="4" s="1"/>
  <c r="V259" i="4" a="1"/>
  <c r="V259" i="4" s="1"/>
  <c r="W259" i="4" a="1"/>
  <c r="W259" i="4" s="1"/>
  <c r="T223" i="4" a="1"/>
  <c r="T223" i="4" s="1"/>
  <c r="U223" i="4" a="1"/>
  <c r="U223" i="4" s="1"/>
  <c r="V223" i="4" a="1"/>
  <c r="V223" i="4" s="1"/>
  <c r="W223" i="4" a="1"/>
  <c r="W223" i="4" s="1"/>
  <c r="T378" i="4" a="1"/>
  <c r="T378" i="4" s="1"/>
  <c r="U378" i="4" a="1"/>
  <c r="U378" i="4" s="1"/>
  <c r="V378" i="4" a="1"/>
  <c r="V378" i="4" s="1"/>
  <c r="W378" i="4" a="1"/>
  <c r="W378" i="4" s="1"/>
  <c r="T342" i="4" a="1"/>
  <c r="T342" i="4" s="1"/>
  <c r="U342" i="4" a="1"/>
  <c r="U342" i="4" s="1"/>
  <c r="V342" i="4" a="1"/>
  <c r="V342" i="4" s="1"/>
  <c r="W342" i="4" a="1"/>
  <c r="W342" i="4" s="1"/>
  <c r="U306" i="4" a="1"/>
  <c r="U306" i="4" s="1"/>
  <c r="T306" i="4" a="1"/>
  <c r="T306" i="4" s="1"/>
  <c r="V306" i="4" a="1"/>
  <c r="V306" i="4" s="1"/>
  <c r="W306" i="4" a="1"/>
  <c r="W306" i="4" s="1"/>
  <c r="T270" i="4" a="1"/>
  <c r="T270" i="4" s="1"/>
  <c r="U270" i="4" a="1"/>
  <c r="U270" i="4" s="1"/>
  <c r="V270" i="4" a="1"/>
  <c r="V270" i="4" s="1"/>
  <c r="W270" i="4" a="1"/>
  <c r="W270" i="4" s="1"/>
  <c r="T234" i="4" a="1"/>
  <c r="T234" i="4" s="1"/>
  <c r="U234" i="4" a="1"/>
  <c r="U234" i="4" s="1"/>
  <c r="V234" i="4" a="1"/>
  <c r="V234" i="4" s="1"/>
  <c r="W234" i="4" a="1"/>
  <c r="W234" i="4" s="1"/>
  <c r="T389" i="4" a="1"/>
  <c r="T389" i="4" s="1"/>
  <c r="U389" i="4" a="1"/>
  <c r="U389" i="4" s="1"/>
  <c r="V389" i="4" a="1"/>
  <c r="V389" i="4" s="1"/>
  <c r="W389" i="4" a="1"/>
  <c r="W389" i="4" s="1"/>
  <c r="T353" i="4" a="1"/>
  <c r="T353" i="4" s="1"/>
  <c r="U353" i="4" a="1"/>
  <c r="U353" i="4" s="1"/>
  <c r="W353" i="4" a="1"/>
  <c r="W353" i="4" s="1"/>
  <c r="V353" i="4" a="1"/>
  <c r="V353" i="4" s="1"/>
  <c r="T317" i="4" a="1"/>
  <c r="T317" i="4" s="1"/>
  <c r="U317" i="4" a="1"/>
  <c r="U317" i="4" s="1"/>
  <c r="W317" i="4" a="1"/>
  <c r="W317" i="4" s="1"/>
  <c r="V317" i="4" a="1"/>
  <c r="V317" i="4" s="1"/>
  <c r="T281" i="4" a="1"/>
  <c r="T281" i="4" s="1"/>
  <c r="U281" i="4" a="1"/>
  <c r="U281" i="4" s="1"/>
  <c r="V281" i="4" a="1"/>
  <c r="V281" i="4" s="1"/>
  <c r="W281" i="4" a="1"/>
  <c r="W281" i="4" s="1"/>
  <c r="U245" i="4" a="1"/>
  <c r="U245" i="4" s="1"/>
  <c r="T245" i="4" a="1"/>
  <c r="T245" i="4" s="1"/>
  <c r="V245" i="4" a="1"/>
  <c r="V245" i="4" s="1"/>
  <c r="W245" i="4" a="1"/>
  <c r="W245" i="4" s="1"/>
  <c r="T364" i="4" a="1"/>
  <c r="T364" i="4" s="1"/>
  <c r="U364" i="4" a="1"/>
  <c r="U364" i="4" s="1"/>
  <c r="V364" i="4" a="1"/>
  <c r="V364" i="4" s="1"/>
  <c r="W364" i="4" a="1"/>
  <c r="W364" i="4" s="1"/>
  <c r="T328" i="4" a="1"/>
  <c r="T328" i="4" s="1"/>
  <c r="U328" i="4" a="1"/>
  <c r="U328" i="4" s="1"/>
  <c r="V328" i="4" a="1"/>
  <c r="V328" i="4" s="1"/>
  <c r="W328" i="4" a="1"/>
  <c r="W328" i="4" s="1"/>
  <c r="T292" i="4" a="1"/>
  <c r="T292" i="4" s="1"/>
  <c r="V292" i="4" a="1"/>
  <c r="V292" i="4" s="1"/>
  <c r="U292" i="4" a="1"/>
  <c r="U292" i="4" s="1"/>
  <c r="W292" i="4" a="1"/>
  <c r="W292" i="4" s="1"/>
  <c r="T256" i="4" a="1"/>
  <c r="T256" i="4" s="1"/>
  <c r="U256" i="4" a="1"/>
  <c r="U256" i="4" s="1"/>
  <c r="V256" i="4" a="1"/>
  <c r="V256" i="4" s="1"/>
  <c r="W256" i="4" a="1"/>
  <c r="W256" i="4" s="1"/>
  <c r="U387" i="4" a="1"/>
  <c r="U387" i="4" s="1"/>
  <c r="T387" i="4" a="1"/>
  <c r="T387" i="4" s="1"/>
  <c r="V387" i="4" a="1"/>
  <c r="V387" i="4" s="1"/>
  <c r="W387" i="4" a="1"/>
  <c r="W387" i="4" s="1"/>
  <c r="T351" i="4" a="1"/>
  <c r="T351" i="4" s="1"/>
  <c r="U351" i="4" a="1"/>
  <c r="U351" i="4" s="1"/>
  <c r="V351" i="4" a="1"/>
  <c r="V351" i="4" s="1"/>
  <c r="W351" i="4" a="1"/>
  <c r="W351" i="4" s="1"/>
  <c r="T315" i="4" a="1"/>
  <c r="T315" i="4" s="1"/>
  <c r="U315" i="4" a="1"/>
  <c r="U315" i="4" s="1"/>
  <c r="V315" i="4" a="1"/>
  <c r="V315" i="4" s="1"/>
  <c r="W315" i="4" a="1"/>
  <c r="W315" i="4" s="1"/>
  <c r="U279" i="4" a="1"/>
  <c r="U279" i="4" s="1"/>
  <c r="T279" i="4" a="1"/>
  <c r="T279" i="4" s="1"/>
  <c r="V279" i="4" a="1"/>
  <c r="V279" i="4" s="1"/>
  <c r="W279" i="4" a="1"/>
  <c r="W279" i="4" s="1"/>
  <c r="T243" i="4" a="1"/>
  <c r="T243" i="4" s="1"/>
  <c r="U243" i="4" a="1"/>
  <c r="U243" i="4" s="1"/>
  <c r="W243" i="4" a="1"/>
  <c r="W243" i="4" s="1"/>
  <c r="V243" i="4" a="1"/>
  <c r="V243" i="4" s="1"/>
  <c r="L1488" i="4"/>
  <c r="L1008" i="4"/>
  <c r="L936" i="4"/>
  <c r="L864" i="4"/>
  <c r="L1426" i="4"/>
  <c r="L1390" i="4"/>
  <c r="L1354" i="4"/>
  <c r="L1318" i="4"/>
  <c r="L1282" i="4"/>
  <c r="L1246" i="4"/>
  <c r="L1210" i="4"/>
  <c r="L1174" i="4"/>
  <c r="L1138" i="4"/>
  <c r="L1102" i="4"/>
  <c r="L1074" i="4"/>
  <c r="L1002" i="4"/>
  <c r="L930" i="4"/>
  <c r="L858" i="4"/>
  <c r="L1446" i="4"/>
  <c r="L1410" i="4"/>
  <c r="L1374" i="4"/>
  <c r="L1338" i="4"/>
  <c r="L1302" i="4"/>
  <c r="L1266" i="4"/>
  <c r="L1230" i="4"/>
  <c r="L1194" i="4"/>
  <c r="L1158" i="4"/>
  <c r="L1122" i="4"/>
  <c r="L1086" i="4"/>
  <c r="L219" i="4"/>
  <c r="V1099" i="4" a="1"/>
  <c r="V1099" i="4" s="1"/>
  <c r="T1099" i="4" a="1"/>
  <c r="T1099" i="4" s="1"/>
  <c r="U1099" i="4" a="1"/>
  <c r="U1099" i="4" s="1"/>
  <c r="W1099" i="4" a="1"/>
  <c r="W1099" i="4" s="1"/>
  <c r="T1027" i="4" a="1"/>
  <c r="T1027" i="4" s="1"/>
  <c r="V1027" i="4" a="1"/>
  <c r="V1027" i="4" s="1"/>
  <c r="U1027" i="4" a="1"/>
  <c r="U1027" i="4" s="1"/>
  <c r="W1027" i="4" a="1"/>
  <c r="W1027" i="4" s="1"/>
  <c r="T955" i="4" a="1"/>
  <c r="T955" i="4" s="1"/>
  <c r="V955" i="4" a="1"/>
  <c r="V955" i="4" s="1"/>
  <c r="U955" i="4" a="1"/>
  <c r="U955" i="4" s="1"/>
  <c r="W955" i="4" a="1"/>
  <c r="W955" i="4" s="1"/>
  <c r="T1453" i="4" a="1"/>
  <c r="T1453" i="4" s="1"/>
  <c r="U1453" i="4" a="1"/>
  <c r="U1453" i="4" s="1"/>
  <c r="W1453" i="4" a="1"/>
  <c r="W1453" i="4" s="1"/>
  <c r="V1453" i="4" a="1"/>
  <c r="V1453" i="4" s="1"/>
  <c r="T1237" i="4" a="1"/>
  <c r="T1237" i="4" s="1"/>
  <c r="U1237" i="4" a="1"/>
  <c r="U1237" i="4" s="1"/>
  <c r="V1237" i="4" a="1"/>
  <c r="V1237" i="4" s="1"/>
  <c r="W1237" i="4" a="1"/>
  <c r="W1237" i="4" s="1"/>
  <c r="T1021" i="4" a="1"/>
  <c r="T1021" i="4" s="1"/>
  <c r="U1021" i="4" a="1"/>
  <c r="U1021" i="4" s="1"/>
  <c r="V1021" i="4" a="1"/>
  <c r="V1021" i="4" s="1"/>
  <c r="W1021" i="4" a="1"/>
  <c r="W1021" i="4" s="1"/>
  <c r="T1447" i="4" a="1"/>
  <c r="T1447" i="4" s="1"/>
  <c r="U1447" i="4" a="1"/>
  <c r="U1447" i="4" s="1"/>
  <c r="V1447" i="4" a="1"/>
  <c r="V1447" i="4" s="1"/>
  <c r="W1447" i="4" a="1"/>
  <c r="W1447" i="4" s="1"/>
  <c r="T1231" i="4" a="1"/>
  <c r="T1231" i="4" s="1"/>
  <c r="U1231" i="4" a="1"/>
  <c r="U1231" i="4" s="1"/>
  <c r="W1231" i="4" a="1"/>
  <c r="W1231" i="4" s="1"/>
  <c r="V1231" i="4" a="1"/>
  <c r="V1231" i="4" s="1"/>
  <c r="T1015" i="4" a="1"/>
  <c r="T1015" i="4" s="1"/>
  <c r="U1015" i="4" a="1"/>
  <c r="U1015" i="4" s="1"/>
  <c r="W1015" i="4" a="1"/>
  <c r="W1015" i="4" s="1"/>
  <c r="V1015" i="4" a="1"/>
  <c r="V1015" i="4" s="1"/>
  <c r="T1441" i="4" a="1"/>
  <c r="T1441" i="4" s="1"/>
  <c r="V1441" i="4" a="1"/>
  <c r="V1441" i="4" s="1"/>
  <c r="U1441" i="4" a="1"/>
  <c r="U1441" i="4" s="1"/>
  <c r="W1441" i="4" a="1"/>
  <c r="W1441" i="4" s="1"/>
  <c r="V1225" i="4" a="1"/>
  <c r="V1225" i="4" s="1"/>
  <c r="T1225" i="4" a="1"/>
  <c r="T1225" i="4" s="1"/>
  <c r="U1225" i="4" a="1"/>
  <c r="U1225" i="4" s="1"/>
  <c r="W1225" i="4" a="1"/>
  <c r="W1225" i="4" s="1"/>
  <c r="T1009" i="4" a="1"/>
  <c r="T1009" i="4" s="1"/>
  <c r="V1009" i="4" a="1"/>
  <c r="V1009" i="4" s="1"/>
  <c r="U1009" i="4" a="1"/>
  <c r="U1009" i="4" s="1"/>
  <c r="W1009" i="4" a="1"/>
  <c r="W1009" i="4" s="1"/>
  <c r="T1460" i="4" a="1"/>
  <c r="T1460" i="4" s="1"/>
  <c r="V1460" i="4" a="1"/>
  <c r="V1460" i="4" s="1"/>
  <c r="U1460" i="4" a="1"/>
  <c r="U1460" i="4" s="1"/>
  <c r="W1460" i="4" a="1"/>
  <c r="W1460" i="4" s="1"/>
  <c r="T1255" i="4" a="1"/>
  <c r="T1255" i="4" s="1"/>
  <c r="U1255" i="4" a="1"/>
  <c r="U1255" i="4" s="1"/>
  <c r="V1255" i="4" a="1"/>
  <c r="V1255" i="4" s="1"/>
  <c r="W1255" i="4" a="1"/>
  <c r="W1255" i="4" s="1"/>
  <c r="T1039" i="4" a="1"/>
  <c r="T1039" i="4" s="1"/>
  <c r="U1039" i="4" a="1"/>
  <c r="U1039" i="4" s="1"/>
  <c r="V1039" i="4" a="1"/>
  <c r="V1039" i="4" s="1"/>
  <c r="W1039" i="4" a="1"/>
  <c r="W1039" i="4" s="1"/>
  <c r="T1477" i="4" a="1"/>
  <c r="T1477" i="4" s="1"/>
  <c r="V1477" i="4" a="1"/>
  <c r="V1477" i="4" s="1"/>
  <c r="U1477" i="4" a="1"/>
  <c r="U1477" i="4" s="1"/>
  <c r="W1477" i="4" a="1"/>
  <c r="W1477" i="4" s="1"/>
  <c r="T1285" i="4" a="1"/>
  <c r="T1285" i="4" s="1"/>
  <c r="U1285" i="4" a="1"/>
  <c r="U1285" i="4" s="1"/>
  <c r="W1285" i="4" a="1"/>
  <c r="W1285" i="4" s="1"/>
  <c r="V1285" i="4" a="1"/>
  <c r="V1285" i="4" s="1"/>
  <c r="T1069" i="4" a="1"/>
  <c r="T1069" i="4" s="1"/>
  <c r="U1069" i="4" a="1"/>
  <c r="U1069" i="4" s="1"/>
  <c r="W1069" i="4" a="1"/>
  <c r="W1069" i="4" s="1"/>
  <c r="V1069" i="4" a="1"/>
  <c r="V1069" i="4" s="1"/>
  <c r="T1448" i="4" a="1"/>
  <c r="T1448" i="4" s="1"/>
  <c r="U1448" i="4" a="1"/>
  <c r="U1448" i="4" s="1"/>
  <c r="W1448" i="4" a="1"/>
  <c r="W1448" i="4" s="1"/>
  <c r="V1448" i="4" a="1"/>
  <c r="V1448" i="4" s="1"/>
  <c r="T1412" i="4" a="1"/>
  <c r="T1412" i="4" s="1"/>
  <c r="U1412" i="4" a="1"/>
  <c r="U1412" i="4" s="1"/>
  <c r="W1412" i="4" a="1"/>
  <c r="W1412" i="4" s="1"/>
  <c r="V1412" i="4" a="1"/>
  <c r="V1412" i="4" s="1"/>
  <c r="T1376" i="4" a="1"/>
  <c r="T1376" i="4" s="1"/>
  <c r="U1376" i="4" a="1"/>
  <c r="U1376" i="4" s="1"/>
  <c r="W1376" i="4" a="1"/>
  <c r="W1376" i="4" s="1"/>
  <c r="V1376" i="4" a="1"/>
  <c r="V1376" i="4" s="1"/>
  <c r="T1340" i="4" a="1"/>
  <c r="T1340" i="4" s="1"/>
  <c r="U1340" i="4" a="1"/>
  <c r="U1340" i="4" s="1"/>
  <c r="V1340" i="4" a="1"/>
  <c r="V1340" i="4" s="1"/>
  <c r="W1340" i="4" a="1"/>
  <c r="W1340" i="4" s="1"/>
  <c r="T1304" i="4" a="1"/>
  <c r="T1304" i="4" s="1"/>
  <c r="U1304" i="4" a="1"/>
  <c r="U1304" i="4" s="1"/>
  <c r="V1304" i="4" a="1"/>
  <c r="V1304" i="4" s="1"/>
  <c r="W1304" i="4" a="1"/>
  <c r="W1304" i="4" s="1"/>
  <c r="T1268" i="4" a="1"/>
  <c r="T1268" i="4" s="1"/>
  <c r="U1268" i="4" a="1"/>
  <c r="U1268" i="4" s="1"/>
  <c r="V1268" i="4" a="1"/>
  <c r="V1268" i="4" s="1"/>
  <c r="W1268" i="4" a="1"/>
  <c r="W1268" i="4" s="1"/>
  <c r="T1232" i="4" a="1"/>
  <c r="T1232" i="4" s="1"/>
  <c r="U1232" i="4" a="1"/>
  <c r="U1232" i="4" s="1"/>
  <c r="V1232" i="4" a="1"/>
  <c r="V1232" i="4" s="1"/>
  <c r="W1232" i="4" a="1"/>
  <c r="W1232" i="4" s="1"/>
  <c r="T1196" i="4" a="1"/>
  <c r="T1196" i="4" s="1"/>
  <c r="U1196" i="4" a="1"/>
  <c r="U1196" i="4" s="1"/>
  <c r="V1196" i="4" a="1"/>
  <c r="V1196" i="4" s="1"/>
  <c r="W1196" i="4" a="1"/>
  <c r="W1196" i="4" s="1"/>
  <c r="T1160" i="4" a="1"/>
  <c r="T1160" i="4" s="1"/>
  <c r="U1160" i="4" a="1"/>
  <c r="U1160" i="4" s="1"/>
  <c r="V1160" i="4" a="1"/>
  <c r="V1160" i="4" s="1"/>
  <c r="W1160" i="4" a="1"/>
  <c r="W1160" i="4" s="1"/>
  <c r="T1124" i="4" a="1"/>
  <c r="T1124" i="4" s="1"/>
  <c r="U1124" i="4" a="1"/>
  <c r="U1124" i="4" s="1"/>
  <c r="V1124" i="4" a="1"/>
  <c r="V1124" i="4" s="1"/>
  <c r="W1124" i="4" a="1"/>
  <c r="W1124" i="4" s="1"/>
  <c r="T1088" i="4" a="1"/>
  <c r="T1088" i="4" s="1"/>
  <c r="U1088" i="4" a="1"/>
  <c r="U1088" i="4" s="1"/>
  <c r="V1088" i="4" a="1"/>
  <c r="V1088" i="4" s="1"/>
  <c r="W1088" i="4" a="1"/>
  <c r="W1088" i="4" s="1"/>
  <c r="T1052" i="4" a="1"/>
  <c r="T1052" i="4" s="1"/>
  <c r="U1052" i="4" a="1"/>
  <c r="U1052" i="4" s="1"/>
  <c r="V1052" i="4" a="1"/>
  <c r="V1052" i="4" s="1"/>
  <c r="W1052" i="4" a="1"/>
  <c r="W1052" i="4" s="1"/>
  <c r="T1016" i="4" a="1"/>
  <c r="T1016" i="4" s="1"/>
  <c r="U1016" i="4" a="1"/>
  <c r="U1016" i="4" s="1"/>
  <c r="V1016" i="4" a="1"/>
  <c r="V1016" i="4" s="1"/>
  <c r="W1016" i="4" a="1"/>
  <c r="W1016" i="4" s="1"/>
  <c r="T980" i="4" a="1"/>
  <c r="T980" i="4" s="1"/>
  <c r="V980" i="4" a="1"/>
  <c r="V980" i="4" s="1"/>
  <c r="W980" i="4" a="1"/>
  <c r="W980" i="4" s="1"/>
  <c r="U980" i="4" a="1"/>
  <c r="U980" i="4" s="1"/>
  <c r="T944" i="4" a="1"/>
  <c r="T944" i="4" s="1"/>
  <c r="U944" i="4" a="1"/>
  <c r="U944" i="4" s="1"/>
  <c r="V944" i="4" a="1"/>
  <c r="V944" i="4" s="1"/>
  <c r="W944" i="4" a="1"/>
  <c r="W944" i="4" s="1"/>
  <c r="T908" i="4" a="1"/>
  <c r="T908" i="4" s="1"/>
  <c r="U908" i="4" a="1"/>
  <c r="U908" i="4" s="1"/>
  <c r="V908" i="4" a="1"/>
  <c r="V908" i="4" s="1"/>
  <c r="W908" i="4" a="1"/>
  <c r="W908" i="4" s="1"/>
  <c r="T872" i="4" a="1"/>
  <c r="T872" i="4" s="1"/>
  <c r="V872" i="4" a="1"/>
  <c r="V872" i="4" s="1"/>
  <c r="U872" i="4" a="1"/>
  <c r="U872" i="4" s="1"/>
  <c r="W872" i="4" a="1"/>
  <c r="W872" i="4" s="1"/>
  <c r="T836" i="4" a="1"/>
  <c r="T836" i="4" s="1"/>
  <c r="U836" i="4" a="1"/>
  <c r="U836" i="4" s="1"/>
  <c r="V836" i="4" a="1"/>
  <c r="V836" i="4" s="1"/>
  <c r="W836" i="4" a="1"/>
  <c r="W836" i="4" s="1"/>
  <c r="T800" i="4" a="1"/>
  <c r="T800" i="4" s="1"/>
  <c r="U800" i="4" a="1"/>
  <c r="U800" i="4" s="1"/>
  <c r="V800" i="4" a="1"/>
  <c r="V800" i="4" s="1"/>
  <c r="W800" i="4" a="1"/>
  <c r="W800" i="4" s="1"/>
  <c r="T764" i="4" a="1"/>
  <c r="T764" i="4" s="1"/>
  <c r="V764" i="4" a="1"/>
  <c r="V764" i="4" s="1"/>
  <c r="U764" i="4" a="1"/>
  <c r="U764" i="4" s="1"/>
  <c r="W764" i="4" a="1"/>
  <c r="W764" i="4" s="1"/>
  <c r="T728" i="4" a="1"/>
  <c r="T728" i="4" s="1"/>
  <c r="V728" i="4" a="1"/>
  <c r="V728" i="4" s="1"/>
  <c r="U728" i="4" a="1"/>
  <c r="U728" i="4" s="1"/>
  <c r="W728" i="4" a="1"/>
  <c r="W728" i="4" s="1"/>
  <c r="T692" i="4" a="1"/>
  <c r="T692" i="4" s="1"/>
  <c r="V692" i="4" a="1"/>
  <c r="V692" i="4" s="1"/>
  <c r="U692" i="4" a="1"/>
  <c r="U692" i="4" s="1"/>
  <c r="W692" i="4" a="1"/>
  <c r="W692" i="4" s="1"/>
  <c r="T656" i="4" a="1"/>
  <c r="T656" i="4" s="1"/>
  <c r="V656" i="4" a="1"/>
  <c r="V656" i="4" s="1"/>
  <c r="U656" i="4" a="1"/>
  <c r="U656" i="4" s="1"/>
  <c r="W656" i="4" a="1"/>
  <c r="W656" i="4" s="1"/>
  <c r="T620" i="4" a="1"/>
  <c r="T620" i="4" s="1"/>
  <c r="V620" i="4" a="1"/>
  <c r="V620" i="4" s="1"/>
  <c r="U620" i="4" a="1"/>
  <c r="U620" i="4" s="1"/>
  <c r="W620" i="4" a="1"/>
  <c r="W620" i="4" s="1"/>
  <c r="T584" i="4" a="1"/>
  <c r="T584" i="4" s="1"/>
  <c r="V584" i="4" a="1"/>
  <c r="V584" i="4" s="1"/>
  <c r="U584" i="4" a="1"/>
  <c r="U584" i="4" s="1"/>
  <c r="W584" i="4" a="1"/>
  <c r="W584" i="4" s="1"/>
  <c r="T548" i="4" a="1"/>
  <c r="T548" i="4" s="1"/>
  <c r="V548" i="4" a="1"/>
  <c r="V548" i="4" s="1"/>
  <c r="U548" i="4" a="1"/>
  <c r="U548" i="4" s="1"/>
  <c r="W548" i="4" a="1"/>
  <c r="W548" i="4" s="1"/>
  <c r="T512" i="4" a="1"/>
  <c r="T512" i="4" s="1"/>
  <c r="V512" i="4" a="1"/>
  <c r="V512" i="4" s="1"/>
  <c r="U512" i="4" a="1"/>
  <c r="U512" i="4" s="1"/>
  <c r="W512" i="4" a="1"/>
  <c r="W512" i="4" s="1"/>
  <c r="T476" i="4" a="1"/>
  <c r="T476" i="4" s="1"/>
  <c r="V476" i="4" a="1"/>
  <c r="V476" i="4" s="1"/>
  <c r="U476" i="4" a="1"/>
  <c r="U476" i="4" s="1"/>
  <c r="W476" i="4" a="1"/>
  <c r="W476" i="4" s="1"/>
  <c r="T440" i="4" a="1"/>
  <c r="T440" i="4" s="1"/>
  <c r="V440" i="4" a="1"/>
  <c r="V440" i="4" s="1"/>
  <c r="U440" i="4" a="1"/>
  <c r="U440" i="4" s="1"/>
  <c r="W440" i="4" a="1"/>
  <c r="W440" i="4" s="1"/>
  <c r="T402" i="4" a="1"/>
  <c r="T402" i="4" s="1"/>
  <c r="U402" i="4" a="1"/>
  <c r="U402" i="4" s="1"/>
  <c r="W402" i="4" a="1"/>
  <c r="W402" i="4" s="1"/>
  <c r="V402" i="4" a="1"/>
  <c r="V402" i="4" s="1"/>
  <c r="T853" i="4" a="1"/>
  <c r="T853" i="4" s="1"/>
  <c r="U853" i="4" a="1"/>
  <c r="U853" i="4" s="1"/>
  <c r="V853" i="4" a="1"/>
  <c r="V853" i="4" s="1"/>
  <c r="W853" i="4" a="1"/>
  <c r="W853" i="4" s="1"/>
  <c r="T817" i="4" a="1"/>
  <c r="T817" i="4" s="1"/>
  <c r="U817" i="4" a="1"/>
  <c r="U817" i="4" s="1"/>
  <c r="V817" i="4" a="1"/>
  <c r="V817" i="4" s="1"/>
  <c r="W817" i="4" a="1"/>
  <c r="W817" i="4" s="1"/>
  <c r="T781" i="4" a="1"/>
  <c r="T781" i="4" s="1"/>
  <c r="U781" i="4" a="1"/>
  <c r="U781" i="4" s="1"/>
  <c r="V781" i="4" a="1"/>
  <c r="V781" i="4" s="1"/>
  <c r="W781" i="4" a="1"/>
  <c r="W781" i="4" s="1"/>
  <c r="T745" i="4" a="1"/>
  <c r="T745" i="4" s="1"/>
  <c r="U745" i="4" a="1"/>
  <c r="U745" i="4" s="1"/>
  <c r="V745" i="4" a="1"/>
  <c r="V745" i="4" s="1"/>
  <c r="W745" i="4" a="1"/>
  <c r="W745" i="4" s="1"/>
  <c r="T709" i="4" a="1"/>
  <c r="T709" i="4" s="1"/>
  <c r="U709" i="4" a="1"/>
  <c r="U709" i="4" s="1"/>
  <c r="V709" i="4" a="1"/>
  <c r="V709" i="4" s="1"/>
  <c r="W709" i="4" a="1"/>
  <c r="W709" i="4" s="1"/>
  <c r="T673" i="4" a="1"/>
  <c r="T673" i="4" s="1"/>
  <c r="U673" i="4" a="1"/>
  <c r="U673" i="4" s="1"/>
  <c r="V673" i="4" a="1"/>
  <c r="V673" i="4" s="1"/>
  <c r="W673" i="4" a="1"/>
  <c r="W673" i="4" s="1"/>
  <c r="T637" i="4" a="1"/>
  <c r="T637" i="4" s="1"/>
  <c r="U637" i="4" a="1"/>
  <c r="U637" i="4" s="1"/>
  <c r="V637" i="4" a="1"/>
  <c r="V637" i="4" s="1"/>
  <c r="W637" i="4" a="1"/>
  <c r="W637" i="4" s="1"/>
  <c r="T601" i="4" a="1"/>
  <c r="T601" i="4" s="1"/>
  <c r="U601" i="4" a="1"/>
  <c r="U601" i="4" s="1"/>
  <c r="V601" i="4" a="1"/>
  <c r="V601" i="4" s="1"/>
  <c r="W601" i="4" a="1"/>
  <c r="W601" i="4" s="1"/>
  <c r="T565" i="4" a="1"/>
  <c r="T565" i="4" s="1"/>
  <c r="U565" i="4" a="1"/>
  <c r="U565" i="4" s="1"/>
  <c r="V565" i="4" a="1"/>
  <c r="V565" i="4" s="1"/>
  <c r="W565" i="4" a="1"/>
  <c r="W565" i="4" s="1"/>
  <c r="T529" i="4" a="1"/>
  <c r="T529" i="4" s="1"/>
  <c r="U529" i="4" a="1"/>
  <c r="U529" i="4" s="1"/>
  <c r="V529" i="4" a="1"/>
  <c r="V529" i="4" s="1"/>
  <c r="W529" i="4" a="1"/>
  <c r="W529" i="4" s="1"/>
  <c r="T493" i="4" a="1"/>
  <c r="T493" i="4" s="1"/>
  <c r="U493" i="4" a="1"/>
  <c r="U493" i="4" s="1"/>
  <c r="V493" i="4" a="1"/>
  <c r="V493" i="4" s="1"/>
  <c r="W493" i="4" a="1"/>
  <c r="W493" i="4" s="1"/>
  <c r="T457" i="4" a="1"/>
  <c r="T457" i="4" s="1"/>
  <c r="U457" i="4" a="1"/>
  <c r="U457" i="4" s="1"/>
  <c r="V457" i="4" a="1"/>
  <c r="V457" i="4" s="1"/>
  <c r="W457" i="4" a="1"/>
  <c r="W457" i="4" s="1"/>
  <c r="T421" i="4" a="1"/>
  <c r="T421" i="4" s="1"/>
  <c r="U421" i="4" a="1"/>
  <c r="U421" i="4" s="1"/>
  <c r="V421" i="4" a="1"/>
  <c r="V421" i="4" s="1"/>
  <c r="W421" i="4" a="1"/>
  <c r="W421" i="4" s="1"/>
  <c r="T1482" i="4" a="1"/>
  <c r="T1482" i="4" s="1"/>
  <c r="U1482" i="4" a="1"/>
  <c r="U1482" i="4" s="1"/>
  <c r="V1482" i="4" a="1"/>
  <c r="V1482" i="4" s="1"/>
  <c r="W1482" i="4" a="1"/>
  <c r="W1482" i="4" s="1"/>
  <c r="T1446" i="4" a="1"/>
  <c r="T1446" i="4" s="1"/>
  <c r="U1446" i="4" a="1"/>
  <c r="U1446" i="4" s="1"/>
  <c r="V1446" i="4" a="1"/>
  <c r="V1446" i="4" s="1"/>
  <c r="W1446" i="4" a="1"/>
  <c r="W1446" i="4" s="1"/>
  <c r="T1410" i="4" a="1"/>
  <c r="T1410" i="4" s="1"/>
  <c r="V1410" i="4" a="1"/>
  <c r="V1410" i="4" s="1"/>
  <c r="U1410" i="4" a="1"/>
  <c r="U1410" i="4" s="1"/>
  <c r="W1410" i="4" a="1"/>
  <c r="W1410" i="4" s="1"/>
  <c r="T1374" i="4" a="1"/>
  <c r="T1374" i="4" s="1"/>
  <c r="V1374" i="4" a="1"/>
  <c r="V1374" i="4" s="1"/>
  <c r="U1374" i="4" a="1"/>
  <c r="U1374" i="4" s="1"/>
  <c r="W1374" i="4" a="1"/>
  <c r="W1374" i="4" s="1"/>
  <c r="T1338" i="4" a="1"/>
  <c r="T1338" i="4" s="1"/>
  <c r="V1338" i="4" a="1"/>
  <c r="V1338" i="4" s="1"/>
  <c r="W1338" i="4" a="1"/>
  <c r="W1338" i="4" s="1"/>
  <c r="U1338" i="4" a="1"/>
  <c r="U1338" i="4" s="1"/>
  <c r="T1302" i="4" a="1"/>
  <c r="T1302" i="4" s="1"/>
  <c r="U1302" i="4" a="1"/>
  <c r="U1302" i="4" s="1"/>
  <c r="V1302" i="4" a="1"/>
  <c r="V1302" i="4" s="1"/>
  <c r="W1302" i="4" a="1"/>
  <c r="W1302" i="4" s="1"/>
  <c r="T1266" i="4" a="1"/>
  <c r="T1266" i="4" s="1"/>
  <c r="U1266" i="4" a="1"/>
  <c r="U1266" i="4" s="1"/>
  <c r="W1266" i="4" a="1"/>
  <c r="W1266" i="4" s="1"/>
  <c r="V1266" i="4" a="1"/>
  <c r="V1266" i="4" s="1"/>
  <c r="T1230" i="4" a="1"/>
  <c r="T1230" i="4" s="1"/>
  <c r="W1230" i="4" a="1"/>
  <c r="W1230" i="4" s="1"/>
  <c r="V1230" i="4" a="1"/>
  <c r="V1230" i="4" s="1"/>
  <c r="U1230" i="4" a="1"/>
  <c r="U1230" i="4" s="1"/>
  <c r="T1194" i="4" a="1"/>
  <c r="T1194" i="4" s="1"/>
  <c r="W1194" i="4" a="1"/>
  <c r="W1194" i="4" s="1"/>
  <c r="U1194" i="4" a="1"/>
  <c r="U1194" i="4" s="1"/>
  <c r="V1194" i="4" a="1"/>
  <c r="V1194" i="4" s="1"/>
  <c r="T1158" i="4" a="1"/>
  <c r="T1158" i="4" s="1"/>
  <c r="U1158" i="4" a="1"/>
  <c r="U1158" i="4" s="1"/>
  <c r="W1158" i="4" a="1"/>
  <c r="W1158" i="4" s="1"/>
  <c r="V1158" i="4" a="1"/>
  <c r="V1158" i="4" s="1"/>
  <c r="T1122" i="4" a="1"/>
  <c r="T1122" i="4" s="1"/>
  <c r="W1122" i="4" a="1"/>
  <c r="W1122" i="4" s="1"/>
  <c r="V1122" i="4" a="1"/>
  <c r="V1122" i="4" s="1"/>
  <c r="U1122" i="4" a="1"/>
  <c r="U1122" i="4" s="1"/>
  <c r="T1086" i="4" a="1"/>
  <c r="T1086" i="4" s="1"/>
  <c r="W1086" i="4" a="1"/>
  <c r="W1086" i="4" s="1"/>
  <c r="U1086" i="4" a="1"/>
  <c r="U1086" i="4" s="1"/>
  <c r="V1086" i="4" a="1"/>
  <c r="V1086" i="4" s="1"/>
  <c r="T1050" i="4" a="1"/>
  <c r="T1050" i="4" s="1"/>
  <c r="U1050" i="4" a="1"/>
  <c r="U1050" i="4" s="1"/>
  <c r="W1050" i="4" a="1"/>
  <c r="W1050" i="4" s="1"/>
  <c r="V1050" i="4" a="1"/>
  <c r="V1050" i="4" s="1"/>
  <c r="T1014" i="4" a="1"/>
  <c r="T1014" i="4" s="1"/>
  <c r="U1014" i="4" a="1"/>
  <c r="U1014" i="4" s="1"/>
  <c r="W1014" i="4" a="1"/>
  <c r="W1014" i="4" s="1"/>
  <c r="V1014" i="4" a="1"/>
  <c r="V1014" i="4" s="1"/>
  <c r="T978" i="4" a="1"/>
  <c r="T978" i="4" s="1"/>
  <c r="U978" i="4" a="1"/>
  <c r="U978" i="4" s="1"/>
  <c r="W978" i="4" a="1"/>
  <c r="W978" i="4" s="1"/>
  <c r="V978" i="4" a="1"/>
  <c r="V978" i="4" s="1"/>
  <c r="T942" i="4" a="1"/>
  <c r="T942" i="4" s="1"/>
  <c r="U942" i="4" a="1"/>
  <c r="U942" i="4" s="1"/>
  <c r="W942" i="4" a="1"/>
  <c r="W942" i="4" s="1"/>
  <c r="V942" i="4" a="1"/>
  <c r="V942" i="4" s="1"/>
  <c r="T906" i="4" a="1"/>
  <c r="T906" i="4" s="1"/>
  <c r="U906" i="4" a="1"/>
  <c r="U906" i="4" s="1"/>
  <c r="W906" i="4" a="1"/>
  <c r="W906" i="4" s="1"/>
  <c r="V906" i="4" a="1"/>
  <c r="V906" i="4" s="1"/>
  <c r="T870" i="4" a="1"/>
  <c r="T870" i="4" s="1"/>
  <c r="U870" i="4" a="1"/>
  <c r="U870" i="4" s="1"/>
  <c r="W870" i="4" a="1"/>
  <c r="W870" i="4" s="1"/>
  <c r="V870" i="4" a="1"/>
  <c r="V870" i="4" s="1"/>
  <c r="T834" i="4" a="1"/>
  <c r="T834" i="4" s="1"/>
  <c r="V834" i="4" a="1"/>
  <c r="V834" i="4" s="1"/>
  <c r="U834" i="4" a="1"/>
  <c r="U834" i="4" s="1"/>
  <c r="W834" i="4" a="1"/>
  <c r="W834" i="4" s="1"/>
  <c r="U798" i="4" a="1"/>
  <c r="U798" i="4" s="1"/>
  <c r="W798" i="4" a="1"/>
  <c r="W798" i="4" s="1"/>
  <c r="T798" i="4" a="1"/>
  <c r="T798" i="4" s="1"/>
  <c r="V798" i="4" a="1"/>
  <c r="V798" i="4" s="1"/>
  <c r="T762" i="4" a="1"/>
  <c r="T762" i="4" s="1"/>
  <c r="U762" i="4" a="1"/>
  <c r="U762" i="4" s="1"/>
  <c r="W762" i="4" a="1"/>
  <c r="W762" i="4" s="1"/>
  <c r="V762" i="4" a="1"/>
  <c r="V762" i="4" s="1"/>
  <c r="T726" i="4" a="1"/>
  <c r="T726" i="4" s="1"/>
  <c r="U726" i="4" a="1"/>
  <c r="U726" i="4" s="1"/>
  <c r="W726" i="4" a="1"/>
  <c r="W726" i="4" s="1"/>
  <c r="V726" i="4" a="1"/>
  <c r="V726" i="4" s="1"/>
  <c r="T690" i="4" a="1"/>
  <c r="T690" i="4" s="1"/>
  <c r="U690" i="4" a="1"/>
  <c r="U690" i="4" s="1"/>
  <c r="W690" i="4" a="1"/>
  <c r="W690" i="4" s="1"/>
  <c r="V690" i="4" a="1"/>
  <c r="V690" i="4" s="1"/>
  <c r="T654" i="4" a="1"/>
  <c r="T654" i="4" s="1"/>
  <c r="U654" i="4" a="1"/>
  <c r="U654" i="4" s="1"/>
  <c r="W654" i="4" a="1"/>
  <c r="W654" i="4" s="1"/>
  <c r="V654" i="4" a="1"/>
  <c r="V654" i="4" s="1"/>
  <c r="T618" i="4" a="1"/>
  <c r="T618" i="4" s="1"/>
  <c r="U618" i="4" a="1"/>
  <c r="U618" i="4" s="1"/>
  <c r="W618" i="4" a="1"/>
  <c r="W618" i="4" s="1"/>
  <c r="V618" i="4" a="1"/>
  <c r="V618" i="4" s="1"/>
  <c r="T582" i="4" a="1"/>
  <c r="T582" i="4" s="1"/>
  <c r="U582" i="4" a="1"/>
  <c r="U582" i="4" s="1"/>
  <c r="W582" i="4" a="1"/>
  <c r="W582" i="4" s="1"/>
  <c r="V582" i="4" a="1"/>
  <c r="V582" i="4" s="1"/>
  <c r="T546" i="4" a="1"/>
  <c r="T546" i="4" s="1"/>
  <c r="U546" i="4" a="1"/>
  <c r="U546" i="4" s="1"/>
  <c r="W546" i="4" a="1"/>
  <c r="W546" i="4" s="1"/>
  <c r="V546" i="4" a="1"/>
  <c r="V546" i="4" s="1"/>
  <c r="T510" i="4" a="1"/>
  <c r="T510" i="4" s="1"/>
  <c r="U510" i="4" a="1"/>
  <c r="U510" i="4" s="1"/>
  <c r="W510" i="4" a="1"/>
  <c r="W510" i="4" s="1"/>
  <c r="V510" i="4" a="1"/>
  <c r="V510" i="4" s="1"/>
  <c r="U474" i="4" a="1"/>
  <c r="U474" i="4" s="1"/>
  <c r="T474" i="4" a="1"/>
  <c r="T474" i="4" s="1"/>
  <c r="W474" i="4" a="1"/>
  <c r="W474" i="4" s="1"/>
  <c r="V474" i="4" a="1"/>
  <c r="V474" i="4" s="1"/>
  <c r="T438" i="4" a="1"/>
  <c r="T438" i="4" s="1"/>
  <c r="U438" i="4" a="1"/>
  <c r="U438" i="4" s="1"/>
  <c r="W438" i="4" a="1"/>
  <c r="W438" i="4" s="1"/>
  <c r="V438" i="4" a="1"/>
  <c r="V438" i="4" s="1"/>
  <c r="T400" i="4" a="1"/>
  <c r="T400" i="4" s="1"/>
  <c r="U400" i="4" a="1"/>
  <c r="U400" i="4" s="1"/>
  <c r="V400" i="4" a="1"/>
  <c r="V400" i="4" s="1"/>
  <c r="W400" i="4" a="1"/>
  <c r="W400" i="4" s="1"/>
  <c r="T1469" i="4" a="1"/>
  <c r="T1469" i="4" s="1"/>
  <c r="U1469" i="4" a="1"/>
  <c r="U1469" i="4" s="1"/>
  <c r="W1469" i="4" a="1"/>
  <c r="W1469" i="4" s="1"/>
  <c r="V1469" i="4" a="1"/>
  <c r="V1469" i="4" s="1"/>
  <c r="T1433" i="4" a="1"/>
  <c r="T1433" i="4" s="1"/>
  <c r="V1433" i="4" a="1"/>
  <c r="V1433" i="4" s="1"/>
  <c r="U1433" i="4" a="1"/>
  <c r="U1433" i="4" s="1"/>
  <c r="W1433" i="4" a="1"/>
  <c r="W1433" i="4" s="1"/>
  <c r="T1397" i="4" a="1"/>
  <c r="T1397" i="4" s="1"/>
  <c r="V1397" i="4" a="1"/>
  <c r="V1397" i="4" s="1"/>
  <c r="W1397" i="4" a="1"/>
  <c r="W1397" i="4" s="1"/>
  <c r="U1397" i="4" a="1"/>
  <c r="U1397" i="4" s="1"/>
  <c r="T1361" i="4" a="1"/>
  <c r="T1361" i="4" s="1"/>
  <c r="V1361" i="4" a="1"/>
  <c r="V1361" i="4" s="1"/>
  <c r="W1361" i="4" a="1"/>
  <c r="W1361" i="4" s="1"/>
  <c r="U1361" i="4" a="1"/>
  <c r="U1361" i="4" s="1"/>
  <c r="T1325" i="4" a="1"/>
  <c r="T1325" i="4" s="1"/>
  <c r="V1325" i="4" a="1"/>
  <c r="V1325" i="4" s="1"/>
  <c r="U1325" i="4" a="1"/>
  <c r="U1325" i="4" s="1"/>
  <c r="W1325" i="4" a="1"/>
  <c r="W1325" i="4" s="1"/>
  <c r="T1289" i="4" a="1"/>
  <c r="T1289" i="4" s="1"/>
  <c r="V1289" i="4" a="1"/>
  <c r="V1289" i="4" s="1"/>
  <c r="W1289" i="4" a="1"/>
  <c r="W1289" i="4" s="1"/>
  <c r="U1289" i="4" a="1"/>
  <c r="U1289" i="4" s="1"/>
  <c r="T1253" i="4" a="1"/>
  <c r="T1253" i="4" s="1"/>
  <c r="V1253" i="4" a="1"/>
  <c r="V1253" i="4" s="1"/>
  <c r="W1253" i="4" a="1"/>
  <c r="W1253" i="4" s="1"/>
  <c r="U1253" i="4" a="1"/>
  <c r="U1253" i="4" s="1"/>
  <c r="T1217" i="4" a="1"/>
  <c r="T1217" i="4" s="1"/>
  <c r="V1217" i="4" a="1"/>
  <c r="V1217" i="4" s="1"/>
  <c r="W1217" i="4" a="1"/>
  <c r="W1217" i="4" s="1"/>
  <c r="U1217" i="4" a="1"/>
  <c r="U1217" i="4" s="1"/>
  <c r="T1181" i="4" a="1"/>
  <c r="T1181" i="4" s="1"/>
  <c r="V1181" i="4" a="1"/>
  <c r="V1181" i="4" s="1"/>
  <c r="W1181" i="4" a="1"/>
  <c r="W1181" i="4" s="1"/>
  <c r="U1181" i="4" a="1"/>
  <c r="U1181" i="4" s="1"/>
  <c r="T1145" i="4" a="1"/>
  <c r="T1145" i="4" s="1"/>
  <c r="V1145" i="4" a="1"/>
  <c r="V1145" i="4" s="1"/>
  <c r="W1145" i="4" a="1"/>
  <c r="W1145" i="4" s="1"/>
  <c r="U1145" i="4" a="1"/>
  <c r="U1145" i="4" s="1"/>
  <c r="T1109" i="4" a="1"/>
  <c r="T1109" i="4" s="1"/>
  <c r="V1109" i="4" a="1"/>
  <c r="V1109" i="4" s="1"/>
  <c r="W1109" i="4" a="1"/>
  <c r="W1109" i="4" s="1"/>
  <c r="U1109" i="4" a="1"/>
  <c r="U1109" i="4" s="1"/>
  <c r="T1073" i="4" a="1"/>
  <c r="T1073" i="4" s="1"/>
  <c r="V1073" i="4" a="1"/>
  <c r="V1073" i="4" s="1"/>
  <c r="W1073" i="4" a="1"/>
  <c r="W1073" i="4" s="1"/>
  <c r="U1073" i="4" a="1"/>
  <c r="U1073" i="4" s="1"/>
  <c r="T1037" i="4" a="1"/>
  <c r="T1037" i="4" s="1"/>
  <c r="V1037" i="4" a="1"/>
  <c r="V1037" i="4" s="1"/>
  <c r="W1037" i="4" a="1"/>
  <c r="W1037" i="4" s="1"/>
  <c r="U1037" i="4" a="1"/>
  <c r="U1037" i="4" s="1"/>
  <c r="T1001" i="4" a="1"/>
  <c r="T1001" i="4" s="1"/>
  <c r="U1001" i="4" a="1"/>
  <c r="U1001" i="4" s="1"/>
  <c r="V1001" i="4" a="1"/>
  <c r="V1001" i="4" s="1"/>
  <c r="W1001" i="4" a="1"/>
  <c r="W1001" i="4" s="1"/>
  <c r="T965" i="4" a="1"/>
  <c r="T965" i="4" s="1"/>
  <c r="U965" i="4" a="1"/>
  <c r="U965" i="4" s="1"/>
  <c r="V965" i="4" a="1"/>
  <c r="V965" i="4" s="1"/>
  <c r="W965" i="4" a="1"/>
  <c r="W965" i="4" s="1"/>
  <c r="T929" i="4" a="1"/>
  <c r="T929" i="4" s="1"/>
  <c r="U929" i="4" a="1"/>
  <c r="U929" i="4" s="1"/>
  <c r="V929" i="4" a="1"/>
  <c r="V929" i="4" s="1"/>
  <c r="W929" i="4" a="1"/>
  <c r="W929" i="4" s="1"/>
  <c r="T893" i="4" a="1"/>
  <c r="T893" i="4" s="1"/>
  <c r="U893" i="4" a="1"/>
  <c r="U893" i="4" s="1"/>
  <c r="V893" i="4" a="1"/>
  <c r="V893" i="4" s="1"/>
  <c r="W893" i="4" a="1"/>
  <c r="W893" i="4" s="1"/>
  <c r="T857" i="4" a="1"/>
  <c r="T857" i="4" s="1"/>
  <c r="V857" i="4" a="1"/>
  <c r="V857" i="4" s="1"/>
  <c r="U857" i="4" a="1"/>
  <c r="U857" i="4" s="1"/>
  <c r="W857" i="4" a="1"/>
  <c r="W857" i="4" s="1"/>
  <c r="T821" i="4" a="1"/>
  <c r="T821" i="4" s="1"/>
  <c r="U821" i="4" a="1"/>
  <c r="U821" i="4" s="1"/>
  <c r="V821" i="4" a="1"/>
  <c r="V821" i="4" s="1"/>
  <c r="W821" i="4" a="1"/>
  <c r="W821" i="4" s="1"/>
  <c r="T785" i="4" a="1"/>
  <c r="T785" i="4" s="1"/>
  <c r="U785" i="4" a="1"/>
  <c r="U785" i="4" s="1"/>
  <c r="V785" i="4" a="1"/>
  <c r="V785" i="4" s="1"/>
  <c r="W785" i="4" a="1"/>
  <c r="W785" i="4" s="1"/>
  <c r="U749" i="4" a="1"/>
  <c r="U749" i="4" s="1"/>
  <c r="T749" i="4" a="1"/>
  <c r="T749" i="4" s="1"/>
  <c r="V749" i="4" a="1"/>
  <c r="V749" i="4" s="1"/>
  <c r="W749" i="4" a="1"/>
  <c r="W749" i="4" s="1"/>
  <c r="T713" i="4" a="1"/>
  <c r="T713" i="4" s="1"/>
  <c r="U713" i="4" a="1"/>
  <c r="U713" i="4" s="1"/>
  <c r="V713" i="4" a="1"/>
  <c r="V713" i="4" s="1"/>
  <c r="W713" i="4" a="1"/>
  <c r="W713" i="4" s="1"/>
  <c r="T677" i="4" a="1"/>
  <c r="T677" i="4" s="1"/>
  <c r="U677" i="4" a="1"/>
  <c r="U677" i="4" s="1"/>
  <c r="V677" i="4" a="1"/>
  <c r="V677" i="4" s="1"/>
  <c r="W677" i="4" a="1"/>
  <c r="W677" i="4" s="1"/>
  <c r="T641" i="4" a="1"/>
  <c r="T641" i="4" s="1"/>
  <c r="U641" i="4" a="1"/>
  <c r="U641" i="4" s="1"/>
  <c r="V641" i="4" a="1"/>
  <c r="V641" i="4" s="1"/>
  <c r="W641" i="4" a="1"/>
  <c r="W641" i="4" s="1"/>
  <c r="T605" i="4" a="1"/>
  <c r="T605" i="4" s="1"/>
  <c r="U605" i="4" a="1"/>
  <c r="U605" i="4" s="1"/>
  <c r="V605" i="4" a="1"/>
  <c r="V605" i="4" s="1"/>
  <c r="W605" i="4" a="1"/>
  <c r="W605" i="4" s="1"/>
  <c r="T569" i="4" a="1"/>
  <c r="T569" i="4" s="1"/>
  <c r="U569" i="4" a="1"/>
  <c r="U569" i="4" s="1"/>
  <c r="V569" i="4" a="1"/>
  <c r="V569" i="4" s="1"/>
  <c r="W569" i="4" a="1"/>
  <c r="W569" i="4" s="1"/>
  <c r="T533" i="4" a="1"/>
  <c r="T533" i="4" s="1"/>
  <c r="U533" i="4" a="1"/>
  <c r="U533" i="4" s="1"/>
  <c r="V533" i="4" a="1"/>
  <c r="V533" i="4" s="1"/>
  <c r="W533" i="4" a="1"/>
  <c r="W533" i="4" s="1"/>
  <c r="T497" i="4" a="1"/>
  <c r="T497" i="4" s="1"/>
  <c r="U497" i="4" a="1"/>
  <c r="U497" i="4" s="1"/>
  <c r="V497" i="4" a="1"/>
  <c r="V497" i="4" s="1"/>
  <c r="W497" i="4" a="1"/>
  <c r="W497" i="4" s="1"/>
  <c r="T461" i="4" a="1"/>
  <c r="T461" i="4" s="1"/>
  <c r="U461" i="4" a="1"/>
  <c r="U461" i="4" s="1"/>
  <c r="V461" i="4" a="1"/>
  <c r="V461" i="4" s="1"/>
  <c r="W461" i="4" a="1"/>
  <c r="W461" i="4" s="1"/>
  <c r="U425" i="4" a="1"/>
  <c r="U425" i="4" s="1"/>
  <c r="T425" i="4" a="1"/>
  <c r="T425" i="4" s="1"/>
  <c r="V425" i="4" a="1"/>
  <c r="V425" i="4" s="1"/>
  <c r="W425" i="4" a="1"/>
  <c r="W425" i="4" s="1"/>
  <c r="T1492" i="4" a="1"/>
  <c r="T1492" i="4" s="1"/>
  <c r="U1492" i="4" a="1"/>
  <c r="U1492" i="4" s="1"/>
  <c r="V1492" i="4" a="1"/>
  <c r="V1492" i="4" s="1"/>
  <c r="W1492" i="4" a="1"/>
  <c r="W1492" i="4" s="1"/>
  <c r="T1456" i="4" a="1"/>
  <c r="T1456" i="4" s="1"/>
  <c r="V1456" i="4" a="1"/>
  <c r="V1456" i="4" s="1"/>
  <c r="U1456" i="4" a="1"/>
  <c r="U1456" i="4" s="1"/>
  <c r="W1456" i="4" a="1"/>
  <c r="W1456" i="4" s="1"/>
  <c r="T1420" i="4" a="1"/>
  <c r="T1420" i="4" s="1"/>
  <c r="V1420" i="4" a="1"/>
  <c r="V1420" i="4" s="1"/>
  <c r="U1420" i="4" a="1"/>
  <c r="U1420" i="4" s="1"/>
  <c r="W1420" i="4" a="1"/>
  <c r="W1420" i="4" s="1"/>
  <c r="T1384" i="4" a="1"/>
  <c r="T1384" i="4" s="1"/>
  <c r="U1384" i="4" a="1"/>
  <c r="U1384" i="4" s="1"/>
  <c r="V1384" i="4" a="1"/>
  <c r="V1384" i="4" s="1"/>
  <c r="W1384" i="4" a="1"/>
  <c r="W1384" i="4" s="1"/>
  <c r="T1348" i="4" a="1"/>
  <c r="T1348" i="4" s="1"/>
  <c r="U1348" i="4" a="1"/>
  <c r="U1348" i="4" s="1"/>
  <c r="V1348" i="4" a="1"/>
  <c r="V1348" i="4" s="1"/>
  <c r="W1348" i="4" a="1"/>
  <c r="W1348" i="4" s="1"/>
  <c r="T1312" i="4" a="1"/>
  <c r="T1312" i="4" s="1"/>
  <c r="V1312" i="4" a="1"/>
  <c r="V1312" i="4" s="1"/>
  <c r="W1312" i="4" a="1"/>
  <c r="W1312" i="4" s="1"/>
  <c r="U1312" i="4" a="1"/>
  <c r="U1312" i="4" s="1"/>
  <c r="T1276" i="4" a="1"/>
  <c r="T1276" i="4" s="1"/>
  <c r="V1276" i="4" a="1"/>
  <c r="V1276" i="4" s="1"/>
  <c r="U1276" i="4" a="1"/>
  <c r="U1276" i="4" s="1"/>
  <c r="W1276" i="4" a="1"/>
  <c r="W1276" i="4" s="1"/>
  <c r="T1240" i="4" a="1"/>
  <c r="T1240" i="4" s="1"/>
  <c r="V1240" i="4" a="1"/>
  <c r="V1240" i="4" s="1"/>
  <c r="U1240" i="4" a="1"/>
  <c r="U1240" i="4" s="1"/>
  <c r="W1240" i="4" a="1"/>
  <c r="W1240" i="4" s="1"/>
  <c r="T1204" i="4" a="1"/>
  <c r="T1204" i="4" s="1"/>
  <c r="V1204" i="4" a="1"/>
  <c r="V1204" i="4" s="1"/>
  <c r="U1204" i="4" a="1"/>
  <c r="U1204" i="4" s="1"/>
  <c r="W1204" i="4" a="1"/>
  <c r="W1204" i="4" s="1"/>
  <c r="T1168" i="4" a="1"/>
  <c r="T1168" i="4" s="1"/>
  <c r="V1168" i="4" a="1"/>
  <c r="V1168" i="4" s="1"/>
  <c r="U1168" i="4" a="1"/>
  <c r="U1168" i="4" s="1"/>
  <c r="W1168" i="4" a="1"/>
  <c r="W1168" i="4" s="1"/>
  <c r="T1132" i="4" a="1"/>
  <c r="T1132" i="4" s="1"/>
  <c r="V1132" i="4" a="1"/>
  <c r="V1132" i="4" s="1"/>
  <c r="U1132" i="4" a="1"/>
  <c r="U1132" i="4" s="1"/>
  <c r="W1132" i="4" a="1"/>
  <c r="W1132" i="4" s="1"/>
  <c r="T1096" i="4" a="1"/>
  <c r="T1096" i="4" s="1"/>
  <c r="V1096" i="4" a="1"/>
  <c r="V1096" i="4" s="1"/>
  <c r="U1096" i="4" a="1"/>
  <c r="U1096" i="4" s="1"/>
  <c r="W1096" i="4" a="1"/>
  <c r="W1096" i="4" s="1"/>
  <c r="T1060" i="4" a="1"/>
  <c r="T1060" i="4" s="1"/>
  <c r="V1060" i="4" a="1"/>
  <c r="V1060" i="4" s="1"/>
  <c r="U1060" i="4" a="1"/>
  <c r="U1060" i="4" s="1"/>
  <c r="W1060" i="4" a="1"/>
  <c r="W1060" i="4" s="1"/>
  <c r="T1024" i="4" a="1"/>
  <c r="T1024" i="4" s="1"/>
  <c r="V1024" i="4" a="1"/>
  <c r="V1024" i="4" s="1"/>
  <c r="U1024" i="4" a="1"/>
  <c r="U1024" i="4" s="1"/>
  <c r="W1024" i="4" a="1"/>
  <c r="W1024" i="4" s="1"/>
  <c r="T988" i="4" a="1"/>
  <c r="T988" i="4" s="1"/>
  <c r="U988" i="4" a="1"/>
  <c r="U988" i="4" s="1"/>
  <c r="V988" i="4" a="1"/>
  <c r="V988" i="4" s="1"/>
  <c r="W988" i="4" a="1"/>
  <c r="W988" i="4" s="1"/>
  <c r="T952" i="4" a="1"/>
  <c r="T952" i="4" s="1"/>
  <c r="V952" i="4" a="1"/>
  <c r="V952" i="4" s="1"/>
  <c r="U952" i="4" a="1"/>
  <c r="U952" i="4" s="1"/>
  <c r="W952" i="4" a="1"/>
  <c r="W952" i="4" s="1"/>
  <c r="T916" i="4" a="1"/>
  <c r="T916" i="4" s="1"/>
  <c r="U916" i="4" a="1"/>
  <c r="U916" i="4" s="1"/>
  <c r="V916" i="4" a="1"/>
  <c r="V916" i="4" s="1"/>
  <c r="W916" i="4" a="1"/>
  <c r="W916" i="4" s="1"/>
  <c r="T880" i="4" a="1"/>
  <c r="T880" i="4" s="1"/>
  <c r="U880" i="4" a="1"/>
  <c r="U880" i="4" s="1"/>
  <c r="V880" i="4" a="1"/>
  <c r="V880" i="4" s="1"/>
  <c r="W880" i="4" a="1"/>
  <c r="W880" i="4" s="1"/>
  <c r="T844" i="4" a="1"/>
  <c r="T844" i="4" s="1"/>
  <c r="V844" i="4" a="1"/>
  <c r="V844" i="4" s="1"/>
  <c r="U844" i="4" a="1"/>
  <c r="U844" i="4" s="1"/>
  <c r="W844" i="4" a="1"/>
  <c r="W844" i="4" s="1"/>
  <c r="T808" i="4" a="1"/>
  <c r="T808" i="4" s="1"/>
  <c r="U808" i="4" a="1"/>
  <c r="U808" i="4" s="1"/>
  <c r="V808" i="4" a="1"/>
  <c r="V808" i="4" s="1"/>
  <c r="W808" i="4" a="1"/>
  <c r="W808" i="4" s="1"/>
  <c r="T772" i="4" a="1"/>
  <c r="T772" i="4" s="1"/>
  <c r="U772" i="4" a="1"/>
  <c r="U772" i="4" s="1"/>
  <c r="V772" i="4" a="1"/>
  <c r="V772" i="4" s="1"/>
  <c r="W772" i="4" a="1"/>
  <c r="W772" i="4" s="1"/>
  <c r="T736" i="4" a="1"/>
  <c r="T736" i="4" s="1"/>
  <c r="U736" i="4" a="1"/>
  <c r="U736" i="4" s="1"/>
  <c r="V736" i="4" a="1"/>
  <c r="V736" i="4" s="1"/>
  <c r="W736" i="4" a="1"/>
  <c r="W736" i="4" s="1"/>
  <c r="U700" i="4" a="1"/>
  <c r="U700" i="4" s="1"/>
  <c r="T700" i="4" a="1"/>
  <c r="T700" i="4" s="1"/>
  <c r="V700" i="4" a="1"/>
  <c r="V700" i="4" s="1"/>
  <c r="W700" i="4" a="1"/>
  <c r="W700" i="4" s="1"/>
  <c r="T664" i="4" a="1"/>
  <c r="T664" i="4" s="1"/>
  <c r="U664" i="4" a="1"/>
  <c r="U664" i="4" s="1"/>
  <c r="V664" i="4" a="1"/>
  <c r="V664" i="4" s="1"/>
  <c r="W664" i="4" a="1"/>
  <c r="W664" i="4" s="1"/>
  <c r="T628" i="4" a="1"/>
  <c r="T628" i="4" s="1"/>
  <c r="U628" i="4" a="1"/>
  <c r="U628" i="4" s="1"/>
  <c r="V628" i="4" a="1"/>
  <c r="V628" i="4" s="1"/>
  <c r="W628" i="4" a="1"/>
  <c r="W628" i="4" s="1"/>
  <c r="T592" i="4" a="1"/>
  <c r="T592" i="4" s="1"/>
  <c r="U592" i="4" a="1"/>
  <c r="U592" i="4" s="1"/>
  <c r="V592" i="4" a="1"/>
  <c r="V592" i="4" s="1"/>
  <c r="W592" i="4" a="1"/>
  <c r="W592" i="4" s="1"/>
  <c r="T556" i="4" a="1"/>
  <c r="T556" i="4" s="1"/>
  <c r="U556" i="4" a="1"/>
  <c r="U556" i="4" s="1"/>
  <c r="V556" i="4" a="1"/>
  <c r="V556" i="4" s="1"/>
  <c r="W556" i="4" a="1"/>
  <c r="W556" i="4" s="1"/>
  <c r="T520" i="4" a="1"/>
  <c r="T520" i="4" s="1"/>
  <c r="U520" i="4" a="1"/>
  <c r="U520" i="4" s="1"/>
  <c r="V520" i="4" a="1"/>
  <c r="V520" i="4" s="1"/>
  <c r="W520" i="4" a="1"/>
  <c r="W520" i="4" s="1"/>
  <c r="T484" i="4" a="1"/>
  <c r="T484" i="4" s="1"/>
  <c r="U484" i="4" a="1"/>
  <c r="U484" i="4" s="1"/>
  <c r="V484" i="4" a="1"/>
  <c r="V484" i="4" s="1"/>
  <c r="W484" i="4" a="1"/>
  <c r="W484" i="4" s="1"/>
  <c r="T448" i="4" a="1"/>
  <c r="T448" i="4" s="1"/>
  <c r="U448" i="4" a="1"/>
  <c r="U448" i="4" s="1"/>
  <c r="V448" i="4" a="1"/>
  <c r="V448" i="4" s="1"/>
  <c r="W448" i="4" a="1"/>
  <c r="W448" i="4" s="1"/>
  <c r="T412" i="4" a="1"/>
  <c r="T412" i="4" s="1"/>
  <c r="U412" i="4" a="1"/>
  <c r="U412" i="4" s="1"/>
  <c r="V412" i="4" a="1"/>
  <c r="V412" i="4" s="1"/>
  <c r="W412" i="4" a="1"/>
  <c r="W412" i="4" s="1"/>
  <c r="U1479" i="4" a="1"/>
  <c r="U1479" i="4" s="1"/>
  <c r="T1479" i="4" a="1"/>
  <c r="T1479" i="4" s="1"/>
  <c r="V1479" i="4" a="1"/>
  <c r="V1479" i="4" s="1"/>
  <c r="W1479" i="4" a="1"/>
  <c r="W1479" i="4" s="1"/>
  <c r="T1443" i="4" a="1"/>
  <c r="T1443" i="4" s="1"/>
  <c r="U1443" i="4" a="1"/>
  <c r="U1443" i="4" s="1"/>
  <c r="V1443" i="4" a="1"/>
  <c r="V1443" i="4" s="1"/>
  <c r="W1443" i="4" a="1"/>
  <c r="W1443" i="4" s="1"/>
  <c r="T1407" i="4" a="1"/>
  <c r="T1407" i="4" s="1"/>
  <c r="U1407" i="4" a="1"/>
  <c r="U1407" i="4" s="1"/>
  <c r="V1407" i="4" a="1"/>
  <c r="V1407" i="4" s="1"/>
  <c r="W1407" i="4" a="1"/>
  <c r="W1407" i="4" s="1"/>
  <c r="T1371" i="4" a="1"/>
  <c r="T1371" i="4" s="1"/>
  <c r="U1371" i="4" a="1"/>
  <c r="U1371" i="4" s="1"/>
  <c r="V1371" i="4" a="1"/>
  <c r="V1371" i="4" s="1"/>
  <c r="W1371" i="4" a="1"/>
  <c r="W1371" i="4" s="1"/>
  <c r="T1335" i="4" a="1"/>
  <c r="T1335" i="4" s="1"/>
  <c r="U1335" i="4" a="1"/>
  <c r="U1335" i="4" s="1"/>
  <c r="V1335" i="4" a="1"/>
  <c r="V1335" i="4" s="1"/>
  <c r="W1335" i="4" a="1"/>
  <c r="W1335" i="4" s="1"/>
  <c r="T1299" i="4" a="1"/>
  <c r="T1299" i="4" s="1"/>
  <c r="U1299" i="4" a="1"/>
  <c r="U1299" i="4" s="1"/>
  <c r="V1299" i="4" a="1"/>
  <c r="V1299" i="4" s="1"/>
  <c r="W1299" i="4" a="1"/>
  <c r="W1299" i="4" s="1"/>
  <c r="T1263" i="4" a="1"/>
  <c r="T1263" i="4" s="1"/>
  <c r="U1263" i="4" a="1"/>
  <c r="U1263" i="4" s="1"/>
  <c r="V1263" i="4" a="1"/>
  <c r="V1263" i="4" s="1"/>
  <c r="W1263" i="4" a="1"/>
  <c r="W1263" i="4" s="1"/>
  <c r="T1227" i="4" a="1"/>
  <c r="T1227" i="4" s="1"/>
  <c r="U1227" i="4" a="1"/>
  <c r="U1227" i="4" s="1"/>
  <c r="V1227" i="4" a="1"/>
  <c r="V1227" i="4" s="1"/>
  <c r="W1227" i="4" a="1"/>
  <c r="W1227" i="4" s="1"/>
  <c r="T1191" i="4" a="1"/>
  <c r="T1191" i="4" s="1"/>
  <c r="U1191" i="4" a="1"/>
  <c r="U1191" i="4" s="1"/>
  <c r="V1191" i="4" a="1"/>
  <c r="V1191" i="4" s="1"/>
  <c r="W1191" i="4" a="1"/>
  <c r="W1191" i="4" s="1"/>
  <c r="T1155" i="4" a="1"/>
  <c r="T1155" i="4" s="1"/>
  <c r="U1155" i="4" a="1"/>
  <c r="U1155" i="4" s="1"/>
  <c r="V1155" i="4" a="1"/>
  <c r="V1155" i="4" s="1"/>
  <c r="W1155" i="4" a="1"/>
  <c r="W1155" i="4" s="1"/>
  <c r="T1119" i="4" a="1"/>
  <c r="T1119" i="4" s="1"/>
  <c r="U1119" i="4" a="1"/>
  <c r="U1119" i="4" s="1"/>
  <c r="V1119" i="4" a="1"/>
  <c r="V1119" i="4" s="1"/>
  <c r="W1119" i="4" a="1"/>
  <c r="W1119" i="4" s="1"/>
  <c r="T1083" i="4" a="1"/>
  <c r="T1083" i="4" s="1"/>
  <c r="U1083" i="4" a="1"/>
  <c r="U1083" i="4" s="1"/>
  <c r="V1083" i="4" a="1"/>
  <c r="V1083" i="4" s="1"/>
  <c r="W1083" i="4" a="1"/>
  <c r="W1083" i="4" s="1"/>
  <c r="T1047" i="4" a="1"/>
  <c r="T1047" i="4" s="1"/>
  <c r="U1047" i="4" a="1"/>
  <c r="U1047" i="4" s="1"/>
  <c r="V1047" i="4" a="1"/>
  <c r="V1047" i="4" s="1"/>
  <c r="W1047" i="4" a="1"/>
  <c r="W1047" i="4" s="1"/>
  <c r="T1011" i="4" a="1"/>
  <c r="T1011" i="4" s="1"/>
  <c r="U1011" i="4" a="1"/>
  <c r="U1011" i="4" s="1"/>
  <c r="V1011" i="4" a="1"/>
  <c r="V1011" i="4" s="1"/>
  <c r="W1011" i="4" a="1"/>
  <c r="W1011" i="4" s="1"/>
  <c r="T975" i="4" a="1"/>
  <c r="T975" i="4" s="1"/>
  <c r="U975" i="4" a="1"/>
  <c r="U975" i="4" s="1"/>
  <c r="V975" i="4" a="1"/>
  <c r="V975" i="4" s="1"/>
  <c r="W975" i="4" a="1"/>
  <c r="W975" i="4" s="1"/>
  <c r="T939" i="4" a="1"/>
  <c r="T939" i="4" s="1"/>
  <c r="U939" i="4" a="1"/>
  <c r="U939" i="4" s="1"/>
  <c r="V939" i="4" a="1"/>
  <c r="V939" i="4" s="1"/>
  <c r="W939" i="4" a="1"/>
  <c r="W939" i="4" s="1"/>
  <c r="T903" i="4" a="1"/>
  <c r="T903" i="4" s="1"/>
  <c r="U903" i="4" a="1"/>
  <c r="U903" i="4" s="1"/>
  <c r="V903" i="4" a="1"/>
  <c r="V903" i="4" s="1"/>
  <c r="W903" i="4" a="1"/>
  <c r="W903" i="4" s="1"/>
  <c r="T867" i="4" a="1"/>
  <c r="T867" i="4" s="1"/>
  <c r="U867" i="4" a="1"/>
  <c r="U867" i="4" s="1"/>
  <c r="V867" i="4" a="1"/>
  <c r="V867" i="4" s="1"/>
  <c r="W867" i="4" a="1"/>
  <c r="W867" i="4" s="1"/>
  <c r="T831" i="4" a="1"/>
  <c r="T831" i="4" s="1"/>
  <c r="U831" i="4" a="1"/>
  <c r="U831" i="4" s="1"/>
  <c r="V831" i="4" a="1"/>
  <c r="V831" i="4" s="1"/>
  <c r="W831" i="4" a="1"/>
  <c r="W831" i="4" s="1"/>
  <c r="T795" i="4" a="1"/>
  <c r="T795" i="4" s="1"/>
  <c r="U795" i="4" a="1"/>
  <c r="U795" i="4" s="1"/>
  <c r="V795" i="4" a="1"/>
  <c r="V795" i="4" s="1"/>
  <c r="W795" i="4" a="1"/>
  <c r="W795" i="4" s="1"/>
  <c r="T759" i="4" a="1"/>
  <c r="T759" i="4" s="1"/>
  <c r="U759" i="4" a="1"/>
  <c r="U759" i="4" s="1"/>
  <c r="V759" i="4" a="1"/>
  <c r="V759" i="4" s="1"/>
  <c r="W759" i="4" a="1"/>
  <c r="W759" i="4" s="1"/>
  <c r="T723" i="4" a="1"/>
  <c r="T723" i="4" s="1"/>
  <c r="U723" i="4" a="1"/>
  <c r="U723" i="4" s="1"/>
  <c r="V723" i="4" a="1"/>
  <c r="V723" i="4" s="1"/>
  <c r="W723" i="4" a="1"/>
  <c r="W723" i="4" s="1"/>
  <c r="T687" i="4" a="1"/>
  <c r="T687" i="4" s="1"/>
  <c r="U687" i="4" a="1"/>
  <c r="U687" i="4" s="1"/>
  <c r="V687" i="4" a="1"/>
  <c r="V687" i="4" s="1"/>
  <c r="W687" i="4" a="1"/>
  <c r="W687" i="4" s="1"/>
  <c r="T651" i="4" a="1"/>
  <c r="T651" i="4" s="1"/>
  <c r="U651" i="4" a="1"/>
  <c r="U651" i="4" s="1"/>
  <c r="V651" i="4" a="1"/>
  <c r="V651" i="4" s="1"/>
  <c r="W651" i="4" a="1"/>
  <c r="W651" i="4" s="1"/>
  <c r="T615" i="4" a="1"/>
  <c r="T615" i="4" s="1"/>
  <c r="U615" i="4" a="1"/>
  <c r="U615" i="4" s="1"/>
  <c r="V615" i="4" a="1"/>
  <c r="V615" i="4" s="1"/>
  <c r="W615" i="4" a="1"/>
  <c r="W615" i="4" s="1"/>
  <c r="T579" i="4" a="1"/>
  <c r="T579" i="4" s="1"/>
  <c r="U579" i="4" a="1"/>
  <c r="U579" i="4" s="1"/>
  <c r="V579" i="4" a="1"/>
  <c r="V579" i="4" s="1"/>
  <c r="W579" i="4" a="1"/>
  <c r="W579" i="4" s="1"/>
  <c r="T543" i="4" a="1"/>
  <c r="T543" i="4" s="1"/>
  <c r="U543" i="4" a="1"/>
  <c r="U543" i="4" s="1"/>
  <c r="V543" i="4" a="1"/>
  <c r="V543" i="4" s="1"/>
  <c r="W543" i="4" a="1"/>
  <c r="W543" i="4" s="1"/>
  <c r="T507" i="4" a="1"/>
  <c r="T507" i="4" s="1"/>
  <c r="U507" i="4" a="1"/>
  <c r="U507" i="4" s="1"/>
  <c r="V507" i="4" a="1"/>
  <c r="V507" i="4" s="1"/>
  <c r="W507" i="4" a="1"/>
  <c r="W507" i="4" s="1"/>
  <c r="T471" i="4" a="1"/>
  <c r="T471" i="4" s="1"/>
  <c r="U471" i="4" a="1"/>
  <c r="U471" i="4" s="1"/>
  <c r="V471" i="4" a="1"/>
  <c r="V471" i="4" s="1"/>
  <c r="W471" i="4" a="1"/>
  <c r="W471" i="4" s="1"/>
  <c r="T435" i="4" a="1"/>
  <c r="T435" i="4" s="1"/>
  <c r="U435" i="4" a="1"/>
  <c r="U435" i="4" s="1"/>
  <c r="V435" i="4" a="1"/>
  <c r="V435" i="4" s="1"/>
  <c r="W435" i="4" a="1"/>
  <c r="W435" i="4" s="1"/>
  <c r="T391" i="4" a="1"/>
  <c r="T391" i="4" s="1"/>
  <c r="U391" i="4" a="1"/>
  <c r="U391" i="4" s="1"/>
  <c r="V391" i="4" a="1"/>
  <c r="V391" i="4" s="1"/>
  <c r="W391" i="4" a="1"/>
  <c r="W391" i="4" s="1"/>
  <c r="T368" i="4" a="1"/>
  <c r="T368" i="4" s="1"/>
  <c r="W368" i="4" a="1"/>
  <c r="W368" i="4" s="1"/>
  <c r="V368" i="4" a="1"/>
  <c r="V368" i="4" s="1"/>
  <c r="U368" i="4" a="1"/>
  <c r="U368" i="4" s="1"/>
  <c r="T332" i="4" a="1"/>
  <c r="T332" i="4" s="1"/>
  <c r="W332" i="4" a="1"/>
  <c r="W332" i="4" s="1"/>
  <c r="V332" i="4" a="1"/>
  <c r="V332" i="4" s="1"/>
  <c r="U332" i="4" a="1"/>
  <c r="U332" i="4" s="1"/>
  <c r="U296" i="4" a="1"/>
  <c r="U296" i="4" s="1"/>
  <c r="W296" i="4" a="1"/>
  <c r="W296" i="4" s="1"/>
  <c r="V296" i="4" a="1"/>
  <c r="V296" i="4" s="1"/>
  <c r="T296" i="4" a="1"/>
  <c r="T296" i="4" s="1"/>
  <c r="T260" i="4" a="1"/>
  <c r="T260" i="4" s="1"/>
  <c r="U260" i="4" a="1"/>
  <c r="U260" i="4" s="1"/>
  <c r="V260" i="4" a="1"/>
  <c r="V260" i="4" s="1"/>
  <c r="W260" i="4" a="1"/>
  <c r="W260" i="4" s="1"/>
  <c r="T224" i="4" a="1"/>
  <c r="T224" i="4" s="1"/>
  <c r="U224" i="4" a="1"/>
  <c r="U224" i="4" s="1"/>
  <c r="V224" i="4" a="1"/>
  <c r="V224" i="4" s="1"/>
  <c r="W224" i="4" a="1"/>
  <c r="W224" i="4" s="1"/>
  <c r="T361" i="4" a="1"/>
  <c r="T361" i="4" s="1"/>
  <c r="V361" i="4" a="1"/>
  <c r="V361" i="4" s="1"/>
  <c r="W361" i="4" a="1"/>
  <c r="W361" i="4" s="1"/>
  <c r="U361" i="4" a="1"/>
  <c r="U361" i="4" s="1"/>
  <c r="T325" i="4" a="1"/>
  <c r="T325" i="4" s="1"/>
  <c r="U325" i="4" a="1"/>
  <c r="U325" i="4" s="1"/>
  <c r="V325" i="4" a="1"/>
  <c r="V325" i="4" s="1"/>
  <c r="W325" i="4" a="1"/>
  <c r="W325" i="4" s="1"/>
  <c r="T289" i="4" a="1"/>
  <c r="T289" i="4" s="1"/>
  <c r="V289" i="4" a="1"/>
  <c r="V289" i="4" s="1"/>
  <c r="U289" i="4" a="1"/>
  <c r="U289" i="4" s="1"/>
  <c r="W289" i="4" a="1"/>
  <c r="W289" i="4" s="1"/>
  <c r="T253" i="4" a="1"/>
  <c r="T253" i="4" s="1"/>
  <c r="U253" i="4" a="1"/>
  <c r="U253" i="4" s="1"/>
  <c r="V253" i="4" a="1"/>
  <c r="V253" i="4" s="1"/>
  <c r="W253" i="4" a="1"/>
  <c r="W253" i="4" s="1"/>
  <c r="T372" i="4" a="1"/>
  <c r="T372" i="4" s="1"/>
  <c r="V372" i="4" a="1"/>
  <c r="V372" i="4" s="1"/>
  <c r="U372" i="4" a="1"/>
  <c r="U372" i="4" s="1"/>
  <c r="W372" i="4" a="1"/>
  <c r="W372" i="4" s="1"/>
  <c r="T336" i="4" a="1"/>
  <c r="T336" i="4" s="1"/>
  <c r="U336" i="4" a="1"/>
  <c r="U336" i="4" s="1"/>
  <c r="V336" i="4" a="1"/>
  <c r="V336" i="4" s="1"/>
  <c r="W336" i="4" a="1"/>
  <c r="W336" i="4" s="1"/>
  <c r="T300" i="4" a="1"/>
  <c r="T300" i="4" s="1"/>
  <c r="U300" i="4" a="1"/>
  <c r="U300" i="4" s="1"/>
  <c r="V300" i="4" a="1"/>
  <c r="V300" i="4" s="1"/>
  <c r="W300" i="4" a="1"/>
  <c r="W300" i="4" s="1"/>
  <c r="T264" i="4" a="1"/>
  <c r="T264" i="4" s="1"/>
  <c r="U264" i="4" a="1"/>
  <c r="U264" i="4" s="1"/>
  <c r="V264" i="4" a="1"/>
  <c r="V264" i="4" s="1"/>
  <c r="W264" i="4" a="1"/>
  <c r="W264" i="4" s="1"/>
  <c r="U228" i="4" a="1"/>
  <c r="U228" i="4" s="1"/>
  <c r="T228" i="4" a="1"/>
  <c r="T228" i="4" s="1"/>
  <c r="V228" i="4" a="1"/>
  <c r="V228" i="4" s="1"/>
  <c r="W228" i="4" a="1"/>
  <c r="W228" i="4" s="1"/>
  <c r="T383" i="4" a="1"/>
  <c r="T383" i="4" s="1"/>
  <c r="U383" i="4" a="1"/>
  <c r="U383" i="4" s="1"/>
  <c r="V383" i="4" a="1"/>
  <c r="V383" i="4" s="1"/>
  <c r="W383" i="4" a="1"/>
  <c r="W383" i="4" s="1"/>
  <c r="T347" i="4" a="1"/>
  <c r="T347" i="4" s="1"/>
  <c r="U347" i="4" a="1"/>
  <c r="U347" i="4" s="1"/>
  <c r="V347" i="4" a="1"/>
  <c r="V347" i="4" s="1"/>
  <c r="W347" i="4" a="1"/>
  <c r="W347" i="4" s="1"/>
  <c r="U311" i="4" a="1"/>
  <c r="U311" i="4" s="1"/>
  <c r="T311" i="4" a="1"/>
  <c r="T311" i="4" s="1"/>
  <c r="V311" i="4" a="1"/>
  <c r="V311" i="4" s="1"/>
  <c r="W311" i="4" a="1"/>
  <c r="W311" i="4" s="1"/>
  <c r="T275" i="4" a="1"/>
  <c r="T275" i="4" s="1"/>
  <c r="U275" i="4" a="1"/>
  <c r="U275" i="4" s="1"/>
  <c r="V275" i="4" a="1"/>
  <c r="V275" i="4" s="1"/>
  <c r="W275" i="4" a="1"/>
  <c r="W275" i="4" s="1"/>
  <c r="T239" i="4" a="1"/>
  <c r="T239" i="4" s="1"/>
  <c r="U239" i="4" a="1"/>
  <c r="U239" i="4" s="1"/>
  <c r="V239" i="4" a="1"/>
  <c r="V239" i="4" s="1"/>
  <c r="W239" i="4" a="1"/>
  <c r="W239" i="4" s="1"/>
  <c r="T394" i="4" a="1"/>
  <c r="T394" i="4" s="1"/>
  <c r="U394" i="4" a="1"/>
  <c r="U394" i="4" s="1"/>
  <c r="V394" i="4" a="1"/>
  <c r="V394" i="4" s="1"/>
  <c r="W394" i="4" a="1"/>
  <c r="W394" i="4" s="1"/>
  <c r="T358" i="4" a="1"/>
  <c r="T358" i="4" s="1"/>
  <c r="U358" i="4" a="1"/>
  <c r="U358" i="4" s="1"/>
  <c r="V358" i="4" a="1"/>
  <c r="V358" i="4" s="1"/>
  <c r="W358" i="4" a="1"/>
  <c r="W358" i="4" s="1"/>
  <c r="T322" i="4" a="1"/>
  <c r="T322" i="4" s="1"/>
  <c r="U322" i="4" a="1"/>
  <c r="U322" i="4" s="1"/>
  <c r="V322" i="4" a="1"/>
  <c r="V322" i="4" s="1"/>
  <c r="W322" i="4" a="1"/>
  <c r="W322" i="4" s="1"/>
  <c r="T286" i="4" a="1"/>
  <c r="T286" i="4" s="1"/>
  <c r="U286" i="4" a="1"/>
  <c r="U286" i="4" s="1"/>
  <c r="V286" i="4" a="1"/>
  <c r="V286" i="4" s="1"/>
  <c r="W286" i="4" a="1"/>
  <c r="W286" i="4" s="1"/>
  <c r="T250" i="4" a="1"/>
  <c r="T250" i="4" s="1"/>
  <c r="U250" i="4" a="1"/>
  <c r="U250" i="4" s="1"/>
  <c r="V250" i="4" a="1"/>
  <c r="V250" i="4" s="1"/>
  <c r="W250" i="4" a="1"/>
  <c r="W250" i="4" s="1"/>
  <c r="T381" i="4" a="1"/>
  <c r="T381" i="4" s="1"/>
  <c r="U381" i="4" a="1"/>
  <c r="U381" i="4" s="1"/>
  <c r="V381" i="4" a="1"/>
  <c r="V381" i="4" s="1"/>
  <c r="W381" i="4" a="1"/>
  <c r="W381" i="4" s="1"/>
  <c r="T345" i="4" a="1"/>
  <c r="T345" i="4" s="1"/>
  <c r="U345" i="4" a="1"/>
  <c r="U345" i="4" s="1"/>
  <c r="V345" i="4" a="1"/>
  <c r="V345" i="4" s="1"/>
  <c r="W345" i="4" a="1"/>
  <c r="W345" i="4" s="1"/>
  <c r="T309" i="4" a="1"/>
  <c r="T309" i="4" s="1"/>
  <c r="U309" i="4" a="1"/>
  <c r="U309" i="4" s="1"/>
  <c r="V309" i="4" a="1"/>
  <c r="V309" i="4" s="1"/>
  <c r="W309" i="4" a="1"/>
  <c r="W309" i="4" s="1"/>
  <c r="U273" i="4" a="1"/>
  <c r="U273" i="4" s="1"/>
  <c r="T273" i="4" a="1"/>
  <c r="T273" i="4" s="1"/>
  <c r="W273" i="4" a="1"/>
  <c r="W273" i="4" s="1"/>
  <c r="V273" i="4" a="1"/>
  <c r="V273" i="4" s="1"/>
  <c r="T237" i="4" a="1"/>
  <c r="T237" i="4" s="1"/>
  <c r="U237" i="4" a="1"/>
  <c r="U237" i="4" s="1"/>
  <c r="W237" i="4" a="1"/>
  <c r="W237" i="4" s="1"/>
  <c r="V237" i="4" a="1"/>
  <c r="V237" i="4" s="1"/>
  <c r="L1482" i="4"/>
  <c r="L1068" i="4"/>
  <c r="L996" i="4"/>
  <c r="L924" i="4"/>
  <c r="L852" i="4"/>
  <c r="L1062" i="4"/>
  <c r="L990" i="4"/>
  <c r="L918" i="4"/>
  <c r="L1476" i="4"/>
  <c r="L1440" i="4"/>
  <c r="L1404" i="4"/>
  <c r="L1368" i="4"/>
  <c r="L1332" i="4"/>
  <c r="L1296" i="4"/>
  <c r="L1260" i="4"/>
  <c r="L1224" i="4"/>
  <c r="L1188" i="4"/>
  <c r="L1152" i="4"/>
  <c r="V2" i="4" a="1"/>
  <c r="V2" i="4" s="1"/>
  <c r="U2" i="4" a="1"/>
  <c r="U2" i="4" s="1"/>
  <c r="W2" i="4" a="1"/>
  <c r="W2" i="4" s="1"/>
  <c r="T2" i="4" a="1"/>
  <c r="T2" i="4" s="1"/>
  <c r="L157" i="4"/>
  <c r="L189" i="4"/>
  <c r="L103" i="4"/>
  <c r="L175" i="4"/>
  <c r="L80" i="4"/>
  <c r="L181" i="4"/>
  <c r="L73" i="4"/>
  <c r="L151" i="4"/>
  <c r="L43" i="4"/>
  <c r="L182" i="4"/>
  <c r="L206" i="4"/>
  <c r="L205" i="4"/>
  <c r="L133" i="4"/>
  <c r="L25" i="4"/>
  <c r="L50" i="4"/>
  <c r="L71" i="4"/>
  <c r="L198" i="4"/>
  <c r="L188" i="4"/>
  <c r="L165" i="4"/>
  <c r="L196" i="4"/>
  <c r="L156" i="4"/>
  <c r="L141" i="4"/>
  <c r="L172" i="4"/>
  <c r="L209" i="4"/>
  <c r="L163" i="4"/>
  <c r="L115" i="4"/>
  <c r="L152" i="4"/>
  <c r="L194" i="4"/>
  <c r="L140" i="4"/>
  <c r="L158" i="4"/>
  <c r="L187" i="4"/>
  <c r="L218" i="4"/>
  <c r="L199" i="4"/>
  <c r="L91" i="4"/>
  <c r="L184" i="4"/>
  <c r="L144" i="4"/>
  <c r="L170" i="4"/>
  <c r="L164" i="4"/>
  <c r="L154" i="4"/>
  <c r="L191" i="4"/>
  <c r="L207" i="4"/>
  <c r="L146" i="4"/>
  <c r="L213" i="4"/>
  <c r="L204" i="4"/>
  <c r="L185" i="4"/>
  <c r="L216" i="4"/>
  <c r="L173" i="4"/>
  <c r="L155" i="4"/>
  <c r="L75" i="4"/>
  <c r="L35" i="4"/>
  <c r="L117" i="4"/>
  <c r="L56" i="4"/>
  <c r="L47" i="4"/>
  <c r="L123" i="4"/>
  <c r="L15" i="4"/>
  <c r="L46" i="4"/>
  <c r="L114" i="4"/>
  <c r="L72" i="4"/>
  <c r="L122" i="4"/>
  <c r="L139" i="4"/>
  <c r="L147" i="4"/>
  <c r="L178" i="4"/>
  <c r="L215" i="4"/>
  <c r="L166" i="4"/>
  <c r="L180" i="4"/>
  <c r="L176" i="4"/>
  <c r="L148" i="4"/>
  <c r="L160" i="4"/>
  <c r="L197" i="4"/>
  <c r="L145" i="4"/>
  <c r="L37" i="4"/>
  <c r="L202" i="4"/>
  <c r="L193" i="4"/>
  <c r="L203" i="4"/>
  <c r="L212" i="4"/>
  <c r="L153" i="4"/>
  <c r="L142" i="4"/>
  <c r="L210" i="4"/>
  <c r="L161" i="4"/>
  <c r="L195" i="4"/>
  <c r="L186" i="4"/>
  <c r="L143" i="4"/>
  <c r="L179" i="4"/>
  <c r="L201" i="4"/>
  <c r="L65" i="4"/>
  <c r="L124" i="4"/>
  <c r="L16" i="4"/>
  <c r="L192" i="4"/>
  <c r="L84" i="4"/>
  <c r="L137" i="4"/>
  <c r="L217" i="4"/>
  <c r="L109" i="4"/>
  <c r="L149" i="4"/>
  <c r="L177" i="4"/>
  <c r="L208" i="4"/>
  <c r="L168" i="4"/>
  <c r="L211" i="4"/>
  <c r="L162" i="4"/>
  <c r="L171" i="4"/>
  <c r="L104" i="4"/>
  <c r="L45" i="4"/>
  <c r="L31" i="4"/>
  <c r="L167" i="4"/>
  <c r="L169" i="4"/>
  <c r="L61" i="4"/>
  <c r="L98" i="4"/>
  <c r="L183" i="4"/>
  <c r="L214" i="4"/>
  <c r="L174" i="4"/>
  <c r="L200" i="4"/>
  <c r="L159" i="4"/>
  <c r="L190" i="4"/>
  <c r="L150" i="4"/>
  <c r="L135" i="4"/>
  <c r="L23" i="4"/>
  <c r="L63" i="4"/>
  <c r="L54" i="4"/>
  <c r="L55" i="4"/>
  <c r="L49" i="4"/>
  <c r="L85" i="4"/>
  <c r="L79" i="4"/>
  <c r="L36" i="4"/>
  <c r="L125" i="4"/>
  <c r="L57" i="4"/>
  <c r="L88" i="4"/>
  <c r="L29" i="4"/>
  <c r="L48" i="4"/>
  <c r="L18" i="4"/>
  <c r="L74" i="4"/>
  <c r="L101" i="4"/>
  <c r="L33" i="4"/>
  <c r="L64" i="4"/>
  <c r="L132" i="4"/>
  <c r="L24" i="4"/>
  <c r="L58" i="4"/>
  <c r="L67" i="4"/>
  <c r="L113" i="4"/>
  <c r="L62" i="4"/>
  <c r="L107" i="4"/>
  <c r="L39" i="4"/>
  <c r="L70" i="4"/>
  <c r="L138" i="4"/>
  <c r="L30" i="4"/>
  <c r="L4" i="4"/>
  <c r="L112" i="4"/>
  <c r="L130" i="4"/>
  <c r="L90" i="4"/>
  <c r="L44" i="4"/>
  <c r="L59" i="4"/>
  <c r="L129" i="4"/>
  <c r="L21" i="4"/>
  <c r="L52" i="4"/>
  <c r="L120" i="4"/>
  <c r="L12" i="4"/>
  <c r="L38" i="4"/>
  <c r="L105" i="4"/>
  <c r="L83" i="4"/>
  <c r="L136" i="4"/>
  <c r="L28" i="4"/>
  <c r="L96" i="4"/>
  <c r="L126" i="4"/>
  <c r="L94" i="4"/>
  <c r="L86" i="4"/>
  <c r="L68" i="4"/>
  <c r="L40" i="4"/>
  <c r="L76" i="4"/>
  <c r="L97" i="4"/>
  <c r="L134" i="4"/>
  <c r="L26" i="4"/>
  <c r="L17" i="4"/>
  <c r="L111" i="4"/>
  <c r="L34" i="4"/>
  <c r="L102" i="4"/>
  <c r="L127" i="4"/>
  <c r="L19" i="4"/>
  <c r="L128" i="4"/>
  <c r="L20" i="4"/>
  <c r="L87" i="4"/>
  <c r="L53" i="4"/>
  <c r="L118" i="4"/>
  <c r="L78" i="4"/>
  <c r="L131" i="4"/>
  <c r="L41" i="4"/>
  <c r="L95" i="4"/>
  <c r="L99" i="4"/>
  <c r="L22" i="4"/>
  <c r="L116" i="4"/>
  <c r="L93" i="4"/>
  <c r="L110" i="4"/>
  <c r="L69" i="4"/>
  <c r="L100" i="4"/>
  <c r="L77" i="4"/>
  <c r="L60" i="4"/>
  <c r="L32" i="4"/>
  <c r="L14" i="4"/>
  <c r="L81" i="4"/>
  <c r="L108" i="4"/>
  <c r="L106" i="4"/>
  <c r="L89" i="4"/>
  <c r="L66" i="4"/>
  <c r="L92" i="4"/>
  <c r="L119" i="4"/>
  <c r="L51" i="4"/>
  <c r="L82" i="4"/>
  <c r="L42" i="4"/>
  <c r="W198" i="4" a="1"/>
  <c r="W198" i="4" s="1"/>
  <c r="W30" i="4" a="1"/>
  <c r="W30" i="4" s="1"/>
  <c r="W168" i="4" a="1"/>
  <c r="W168" i="4" s="1"/>
  <c r="W155" i="4" a="1"/>
  <c r="W155" i="4" s="1"/>
  <c r="W83" i="4" a="1"/>
  <c r="W83" i="4" s="1"/>
  <c r="W213" i="4" a="1"/>
  <c r="W213" i="4" s="1"/>
  <c r="W141" i="4" a="1"/>
  <c r="W141" i="4" s="1"/>
  <c r="W33" i="4" a="1"/>
  <c r="W33" i="4" s="1"/>
  <c r="W58" i="4" a="1"/>
  <c r="W58" i="4" s="1"/>
  <c r="W164" i="4" a="1"/>
  <c r="W164" i="4" s="1"/>
  <c r="W20" i="4" a="1"/>
  <c r="W20" i="4" s="1"/>
  <c r="W217" i="4" a="1"/>
  <c r="W217" i="4" s="1"/>
  <c r="W145" i="4" a="1"/>
  <c r="W145" i="4" s="1"/>
  <c r="W37" i="4" a="1"/>
  <c r="W37" i="4" s="1"/>
  <c r="W186" i="4" a="1"/>
  <c r="W186" i="4" s="1"/>
  <c r="W24" i="4" a="1"/>
  <c r="W24" i="4" s="1"/>
  <c r="W149" i="4" a="1"/>
  <c r="W149" i="4" s="1"/>
  <c r="W82" i="4" a="1"/>
  <c r="W82" i="4" s="1"/>
  <c r="W99" i="4" a="1"/>
  <c r="W99" i="4" s="1"/>
  <c r="W154" i="4" a="1"/>
  <c r="W154" i="4" s="1"/>
  <c r="W122" i="4" a="1"/>
  <c r="W122" i="4" s="1"/>
  <c r="W88" i="4" a="1"/>
  <c r="W88" i="4" s="1"/>
  <c r="W175" i="4" a="1"/>
  <c r="W175" i="4" s="1"/>
  <c r="W139" i="4" a="1"/>
  <c r="W139" i="4" s="1"/>
  <c r="W202" i="4" a="1"/>
  <c r="W202" i="4" s="1"/>
  <c r="W174" i="4" a="1"/>
  <c r="W174" i="4" s="1"/>
  <c r="W126" i="4" a="1"/>
  <c r="W126" i="4" s="1"/>
  <c r="W90" i="4" a="1"/>
  <c r="W90" i="4" s="1"/>
  <c r="W54" i="4" a="1"/>
  <c r="W54" i="4" s="1"/>
  <c r="W18" i="4" a="1"/>
  <c r="W18" i="4" s="1"/>
  <c r="W216" i="4" a="1"/>
  <c r="W216" i="4" s="1"/>
  <c r="W215" i="4" a="1"/>
  <c r="W215" i="4" s="1"/>
  <c r="W179" i="4" a="1"/>
  <c r="W179" i="4" s="1"/>
  <c r="W143" i="4" a="1"/>
  <c r="W143" i="4" s="1"/>
  <c r="W107" i="4" a="1"/>
  <c r="W107" i="4" s="1"/>
  <c r="W71" i="4" a="1"/>
  <c r="W71" i="4" s="1"/>
  <c r="W35" i="4" a="1"/>
  <c r="W35" i="4" s="1"/>
  <c r="W196" i="4" a="1"/>
  <c r="W196" i="4" s="1"/>
  <c r="W64" i="4" a="1"/>
  <c r="W64" i="4" s="1"/>
  <c r="W201" i="4" a="1"/>
  <c r="W201" i="4" s="1"/>
  <c r="W165" i="4" a="1"/>
  <c r="W165" i="4" s="1"/>
  <c r="W129" i="4" a="1"/>
  <c r="W129" i="4" s="1"/>
  <c r="W93" i="4" a="1"/>
  <c r="W93" i="4" s="1"/>
  <c r="W57" i="4" a="1"/>
  <c r="W57" i="4" s="1"/>
  <c r="W21" i="4" a="1"/>
  <c r="W21" i="4" s="1"/>
  <c r="W124" i="4" a="1"/>
  <c r="W124" i="4" s="1"/>
  <c r="W22" i="4" a="1"/>
  <c r="W22" i="4" s="1"/>
  <c r="W188" i="4" a="1"/>
  <c r="W188" i="4" s="1"/>
  <c r="W152" i="4" a="1"/>
  <c r="W152" i="4" s="1"/>
  <c r="W116" i="4" a="1"/>
  <c r="W116" i="4" s="1"/>
  <c r="W80" i="4" a="1"/>
  <c r="W80" i="4" s="1"/>
  <c r="W44" i="4" a="1"/>
  <c r="W44" i="4" s="1"/>
  <c r="W70" i="4" a="1"/>
  <c r="W70" i="4" s="1"/>
  <c r="W205" i="4" a="1"/>
  <c r="W205" i="4" s="1"/>
  <c r="W169" i="4" a="1"/>
  <c r="W169" i="4" s="1"/>
  <c r="W133" i="4" a="1"/>
  <c r="W133" i="4" s="1"/>
  <c r="W97" i="4" a="1"/>
  <c r="W97" i="4" s="1"/>
  <c r="W61" i="4" a="1"/>
  <c r="W61" i="4" s="1"/>
  <c r="W25" i="4" a="1"/>
  <c r="W25" i="4" s="1"/>
  <c r="W138" i="4" a="1"/>
  <c r="W138" i="4" s="1"/>
  <c r="W66" i="4" a="1"/>
  <c r="W66" i="4" s="1"/>
  <c r="W178" i="4" a="1"/>
  <c r="W178" i="4" s="1"/>
  <c r="W191" i="4" a="1"/>
  <c r="W191" i="4" s="1"/>
  <c r="W119" i="4" a="1"/>
  <c r="W119" i="4" s="1"/>
  <c r="W47" i="4" a="1"/>
  <c r="W47" i="4" s="1"/>
  <c r="W100" i="4" a="1"/>
  <c r="W100" i="4" s="1"/>
  <c r="W177" i="4" a="1"/>
  <c r="W177" i="4" s="1"/>
  <c r="W105" i="4" a="1"/>
  <c r="W105" i="4" s="1"/>
  <c r="W69" i="4" a="1"/>
  <c r="W69" i="4" s="1"/>
  <c r="W184" i="4" a="1"/>
  <c r="W184" i="4" s="1"/>
  <c r="W200" i="4" a="1"/>
  <c r="W200" i="4" s="1"/>
  <c r="W128" i="4" a="1"/>
  <c r="W128" i="4" s="1"/>
  <c r="W56" i="4" a="1"/>
  <c r="W56" i="4" s="1"/>
  <c r="W112" i="4" a="1"/>
  <c r="W112" i="4" s="1"/>
  <c r="W181" i="4" a="1"/>
  <c r="W181" i="4" s="1"/>
  <c r="W109" i="4" a="1"/>
  <c r="W109" i="4" s="1"/>
  <c r="W73" i="4" a="1"/>
  <c r="W73" i="4" s="1"/>
  <c r="W96" i="4" a="1"/>
  <c r="W96" i="4" s="1"/>
  <c r="W156" i="4" a="1"/>
  <c r="W156" i="4" s="1"/>
  <c r="W41" i="4" a="1"/>
  <c r="W41" i="4" s="1"/>
  <c r="W135" i="4" a="1"/>
  <c r="W135" i="4" s="1"/>
  <c r="W40" i="4" a="1"/>
  <c r="W40" i="4" s="1"/>
  <c r="W86" i="4" a="1"/>
  <c r="W86" i="4" s="1"/>
  <c r="W211" i="4" a="1"/>
  <c r="W211" i="4" s="1"/>
  <c r="W103" i="4" a="1"/>
  <c r="W103" i="4" s="1"/>
  <c r="W172" i="4" a="1"/>
  <c r="W172" i="4" s="1"/>
  <c r="W162" i="4" a="1"/>
  <c r="W162" i="4" s="1"/>
  <c r="W120" i="4" a="1"/>
  <c r="W120" i="4" s="1"/>
  <c r="W84" i="4" a="1"/>
  <c r="W84" i="4" s="1"/>
  <c r="W48" i="4" a="1"/>
  <c r="W48" i="4" s="1"/>
  <c r="W12" i="4" a="1"/>
  <c r="W12" i="4" s="1"/>
  <c r="W204" i="4" a="1"/>
  <c r="W204" i="4" s="1"/>
  <c r="W209" i="4" a="1"/>
  <c r="W209" i="4" s="1"/>
  <c r="W173" i="4" a="1"/>
  <c r="W173" i="4" s="1"/>
  <c r="W137" i="4" a="1"/>
  <c r="W137" i="4" s="1"/>
  <c r="W101" i="4" a="1"/>
  <c r="W101" i="4" s="1"/>
  <c r="W65" i="4" a="1"/>
  <c r="W65" i="4" s="1"/>
  <c r="W29" i="4" a="1"/>
  <c r="W29" i="4" s="1"/>
  <c r="W166" i="4" a="1"/>
  <c r="W166" i="4" s="1"/>
  <c r="W46" i="4" a="1"/>
  <c r="W46" i="4" s="1"/>
  <c r="W195" i="4" a="1"/>
  <c r="W195" i="4" s="1"/>
  <c r="W159" i="4" a="1"/>
  <c r="W159" i="4" s="1"/>
  <c r="W123" i="4" a="1"/>
  <c r="W123" i="4" s="1"/>
  <c r="W87" i="4" a="1"/>
  <c r="W87" i="4" s="1"/>
  <c r="W51" i="4" a="1"/>
  <c r="W51" i="4" s="1"/>
  <c r="W15" i="4" a="1"/>
  <c r="W15" i="4" s="1"/>
  <c r="W106" i="4" a="1"/>
  <c r="W106" i="4" s="1"/>
  <c r="W218" i="4" a="1"/>
  <c r="W218" i="4" s="1"/>
  <c r="W182" i="4" a="1"/>
  <c r="W182" i="4" s="1"/>
  <c r="W146" i="4" a="1"/>
  <c r="W146" i="4" s="1"/>
  <c r="W110" i="4" a="1"/>
  <c r="W110" i="4" s="1"/>
  <c r="W74" i="4" a="1"/>
  <c r="W74" i="4" s="1"/>
  <c r="W38" i="4" a="1"/>
  <c r="W38" i="4" s="1"/>
  <c r="W190" i="4" a="1"/>
  <c r="W190" i="4" s="1"/>
  <c r="W52" i="4" a="1"/>
  <c r="W52" i="4" s="1"/>
  <c r="W199" i="4" a="1"/>
  <c r="W199" i="4" s="1"/>
  <c r="W163" i="4" a="1"/>
  <c r="W163" i="4" s="1"/>
  <c r="W127" i="4" a="1"/>
  <c r="W127" i="4" s="1"/>
  <c r="W91" i="4" a="1"/>
  <c r="W91" i="4" s="1"/>
  <c r="W55" i="4" a="1"/>
  <c r="W55" i="4" s="1"/>
  <c r="W19" i="4" a="1"/>
  <c r="W19" i="4" s="1"/>
  <c r="W4" i="4" a="1"/>
  <c r="W4" i="4" s="1"/>
  <c r="W60" i="4" a="1"/>
  <c r="W60" i="4" s="1"/>
  <c r="W185" i="4" a="1"/>
  <c r="W185" i="4" s="1"/>
  <c r="W77" i="4" a="1"/>
  <c r="W77" i="4" s="1"/>
  <c r="W207" i="4" a="1"/>
  <c r="W207" i="4" s="1"/>
  <c r="W63" i="4" a="1"/>
  <c r="W63" i="4" s="1"/>
  <c r="W194" i="4" a="1"/>
  <c r="W194" i="4" s="1"/>
  <c r="W50" i="4" a="1"/>
  <c r="W50" i="4" s="1"/>
  <c r="W31" i="4" a="1"/>
  <c r="W31" i="4" s="1"/>
  <c r="W142" i="4" a="1"/>
  <c r="W142" i="4" s="1"/>
  <c r="W150" i="4" a="1"/>
  <c r="W150" i="4" s="1"/>
  <c r="W114" i="4" a="1"/>
  <c r="W114" i="4" s="1"/>
  <c r="W78" i="4" a="1"/>
  <c r="W78" i="4" s="1"/>
  <c r="W42" i="4" a="1"/>
  <c r="W42" i="4" s="1"/>
  <c r="W192" i="4" a="1"/>
  <c r="W192" i="4" s="1"/>
  <c r="W203" i="4" a="1"/>
  <c r="W203" i="4" s="1"/>
  <c r="W167" i="4" a="1"/>
  <c r="W167" i="4" s="1"/>
  <c r="W131" i="4" a="1"/>
  <c r="W131" i="4" s="1"/>
  <c r="W95" i="4" a="1"/>
  <c r="W95" i="4" s="1"/>
  <c r="W59" i="4" a="1"/>
  <c r="W59" i="4" s="1"/>
  <c r="W23" i="4" a="1"/>
  <c r="W23" i="4" s="1"/>
  <c r="W136" i="4" a="1"/>
  <c r="W136" i="4" s="1"/>
  <c r="W28" i="4" a="1"/>
  <c r="W28" i="4" s="1"/>
  <c r="W189" i="4" a="1"/>
  <c r="W189" i="4" s="1"/>
  <c r="W153" i="4" a="1"/>
  <c r="W153" i="4" s="1"/>
  <c r="W117" i="4" a="1"/>
  <c r="W117" i="4" s="1"/>
  <c r="W81" i="4" a="1"/>
  <c r="W81" i="4" s="1"/>
  <c r="W45" i="4" a="1"/>
  <c r="W45" i="4" s="1"/>
  <c r="W94" i="4" a="1"/>
  <c r="W94" i="4" s="1"/>
  <c r="W212" i="4" a="1"/>
  <c r="W212" i="4" s="1"/>
  <c r="W176" i="4" a="1"/>
  <c r="W176" i="4" s="1"/>
  <c r="W140" i="4" a="1"/>
  <c r="W140" i="4" s="1"/>
  <c r="W104" i="4" a="1"/>
  <c r="W104" i="4" s="1"/>
  <c r="W68" i="4" a="1"/>
  <c r="W68" i="4" s="1"/>
  <c r="W32" i="4" a="1"/>
  <c r="W32" i="4" s="1"/>
  <c r="W160" i="4" a="1"/>
  <c r="W160" i="4" s="1"/>
  <c r="W34" i="4" a="1"/>
  <c r="W34" i="4" s="1"/>
  <c r="W193" i="4" a="1"/>
  <c r="W193" i="4" s="1"/>
  <c r="W157" i="4" a="1"/>
  <c r="W157" i="4" s="1"/>
  <c r="W121" i="4" a="1"/>
  <c r="W121" i="4" s="1"/>
  <c r="W85" i="4" a="1"/>
  <c r="W85" i="4" s="1"/>
  <c r="W49" i="4" a="1"/>
  <c r="W49" i="4" s="1"/>
  <c r="W13" i="4" a="1"/>
  <c r="W13" i="4" s="1"/>
  <c r="W102" i="4" a="1"/>
  <c r="W102" i="4" s="1"/>
  <c r="W92" i="4" a="1"/>
  <c r="W92" i="4" s="1"/>
  <c r="W132" i="4" a="1"/>
  <c r="W132" i="4" s="1"/>
  <c r="W148" i="4" a="1"/>
  <c r="W148" i="4" s="1"/>
  <c r="W113" i="4" a="1"/>
  <c r="W113" i="4" s="1"/>
  <c r="W171" i="4" a="1"/>
  <c r="W171" i="4" s="1"/>
  <c r="W27" i="4" a="1"/>
  <c r="W27" i="4" s="1"/>
  <c r="W158" i="4" a="1"/>
  <c r="W158" i="4" s="1"/>
  <c r="W14" i="4" a="1"/>
  <c r="W14" i="4" s="1"/>
  <c r="W67" i="4" a="1"/>
  <c r="W67" i="4" s="1"/>
  <c r="W210" i="4" a="1"/>
  <c r="W210" i="4" s="1"/>
  <c r="W144" i="4" a="1"/>
  <c r="W144" i="4" s="1"/>
  <c r="W108" i="4" a="1"/>
  <c r="W108" i="4" s="1"/>
  <c r="W72" i="4" a="1"/>
  <c r="W72" i="4" s="1"/>
  <c r="W36" i="4" a="1"/>
  <c r="W36" i="4" s="1"/>
  <c r="W208" i="4" a="1"/>
  <c r="W208" i="4" s="1"/>
  <c r="W180" i="4" a="1"/>
  <c r="W180" i="4" s="1"/>
  <c r="W197" i="4" a="1"/>
  <c r="W197" i="4" s="1"/>
  <c r="W161" i="4" a="1"/>
  <c r="W161" i="4" s="1"/>
  <c r="W125" i="4" a="1"/>
  <c r="W125" i="4" s="1"/>
  <c r="W89" i="4" a="1"/>
  <c r="W89" i="4" s="1"/>
  <c r="W53" i="4" a="1"/>
  <c r="W53" i="4" s="1"/>
  <c r="W17" i="4" a="1"/>
  <c r="W17" i="4" s="1"/>
  <c r="W118" i="4" a="1"/>
  <c r="W118" i="4" s="1"/>
  <c r="W183" i="4" a="1"/>
  <c r="W183" i="4" s="1"/>
  <c r="W147" i="4" a="1"/>
  <c r="W147" i="4" s="1"/>
  <c r="W111" i="4" a="1"/>
  <c r="W111" i="4" s="1"/>
  <c r="W75" i="4" a="1"/>
  <c r="W75" i="4" s="1"/>
  <c r="W39" i="4" a="1"/>
  <c r="W39" i="4" s="1"/>
  <c r="W214" i="4" a="1"/>
  <c r="W214" i="4" s="1"/>
  <c r="W76" i="4" a="1"/>
  <c r="W76" i="4" s="1"/>
  <c r="W206" i="4" a="1"/>
  <c r="W206" i="4" s="1"/>
  <c r="W170" i="4" a="1"/>
  <c r="W170" i="4" s="1"/>
  <c r="W134" i="4" a="1"/>
  <c r="W134" i="4" s="1"/>
  <c r="W98" i="4" a="1"/>
  <c r="W98" i="4" s="1"/>
  <c r="W62" i="4" a="1"/>
  <c r="W62" i="4" s="1"/>
  <c r="W26" i="4" a="1"/>
  <c r="W26" i="4" s="1"/>
  <c r="W130" i="4" a="1"/>
  <c r="W130" i="4" s="1"/>
  <c r="W16" i="4" a="1"/>
  <c r="W16" i="4" s="1"/>
  <c r="W187" i="4" a="1"/>
  <c r="W187" i="4" s="1"/>
  <c r="W151" i="4" a="1"/>
  <c r="W151" i="4" s="1"/>
  <c r="W115" i="4" a="1"/>
  <c r="W115" i="4" s="1"/>
  <c r="W79" i="4" a="1"/>
  <c r="W79" i="4" s="1"/>
  <c r="W43" i="4" a="1"/>
  <c r="W43" i="4" s="1"/>
  <c r="E6" i="4"/>
  <c r="F6" i="4" s="1"/>
  <c r="E9" i="4"/>
  <c r="F9" i="4" s="1"/>
  <c r="E10" i="4"/>
  <c r="E3" i="4"/>
  <c r="E11" i="4"/>
  <c r="E8" i="4"/>
  <c r="E5" i="4"/>
  <c r="E7" i="4"/>
  <c r="F7" i="4" s="1"/>
  <c r="B18" i="13"/>
  <c r="B19" i="13" s="1"/>
  <c r="B21" i="24" l="1"/>
  <c r="B66" i="24"/>
  <c r="B36" i="24"/>
  <c r="B161" i="24"/>
  <c r="AB1439" i="4"/>
  <c r="AB732" i="4"/>
  <c r="AE1194" i="4"/>
  <c r="AB454" i="4"/>
  <c r="AD7" i="4"/>
  <c r="B85" i="24"/>
  <c r="AC6" i="4"/>
  <c r="B113" i="24"/>
  <c r="AE763" i="4"/>
  <c r="AE1125" i="4"/>
  <c r="AB864" i="4"/>
  <c r="AE973" i="4"/>
  <c r="AB1369" i="4"/>
  <c r="AB524" i="4"/>
  <c r="AB759" i="4"/>
  <c r="AE762" i="4"/>
  <c r="AE1158" i="4"/>
  <c r="AE1435" i="4"/>
  <c r="AB554" i="4"/>
  <c r="AE914" i="4"/>
  <c r="AB1221" i="4"/>
  <c r="AE304" i="4"/>
  <c r="AB700" i="4"/>
  <c r="AB713" i="4"/>
  <c r="AB1037" i="4"/>
  <c r="AB1361" i="4"/>
  <c r="AB540" i="4"/>
  <c r="AB1191" i="4"/>
  <c r="AE496" i="4"/>
  <c r="AE883" i="4"/>
  <c r="AB843" i="4"/>
  <c r="AE247" i="4"/>
  <c r="AB319" i="4"/>
  <c r="AE355" i="4"/>
  <c r="AE463" i="4"/>
  <c r="AB535" i="4"/>
  <c r="AE571" i="4"/>
  <c r="AB643" i="4"/>
  <c r="AE679" i="4"/>
  <c r="AE787" i="4"/>
  <c r="AB859" i="4"/>
  <c r="AE895" i="4"/>
  <c r="AB967" i="4"/>
  <c r="AE1003" i="4"/>
  <c r="AE1111" i="4"/>
  <c r="AB1183" i="4"/>
  <c r="AE1219" i="4"/>
  <c r="AB1291" i="4"/>
  <c r="AB1399" i="4"/>
  <c r="AB230" i="4"/>
  <c r="AE266" i="4"/>
  <c r="AB338" i="4"/>
  <c r="AB446" i="4"/>
  <c r="AE482" i="4"/>
  <c r="AE590" i="4"/>
  <c r="AB662" i="4"/>
  <c r="AB770" i="4"/>
  <c r="AE806" i="4"/>
  <c r="AB878" i="4"/>
  <c r="AB986" i="4"/>
  <c r="AB1094" i="4"/>
  <c r="AE1130" i="4"/>
  <c r="AB1202" i="4"/>
  <c r="AE1238" i="4"/>
  <c r="AB1310" i="4"/>
  <c r="AB1418" i="4"/>
  <c r="AE1454" i="4"/>
  <c r="AB249" i="4"/>
  <c r="AE285" i="4"/>
  <c r="AB357" i="4"/>
  <c r="AB465" i="4"/>
  <c r="AE501" i="4"/>
  <c r="AB573" i="4"/>
  <c r="AE609" i="4"/>
  <c r="AE717" i="4"/>
  <c r="AB789" i="4"/>
  <c r="AE825" i="4"/>
  <c r="AB897" i="4"/>
  <c r="AE933" i="4"/>
  <c r="AE1041" i="4"/>
  <c r="AB1113" i="4"/>
  <c r="AE1149" i="4"/>
  <c r="AE1257" i="4"/>
  <c r="AE1365" i="4"/>
  <c r="AB1437" i="4"/>
  <c r="AE1473" i="4"/>
  <c r="AB268" i="4"/>
  <c r="AE412" i="4"/>
  <c r="AB484" i="4"/>
  <c r="AE520" i="4"/>
  <c r="AB592" i="4"/>
  <c r="AE628" i="4"/>
  <c r="AE736" i="4"/>
  <c r="AB808" i="4"/>
  <c r="AE844" i="4"/>
  <c r="AB916" i="4"/>
  <c r="AE952" i="4"/>
  <c r="AB1024" i="4"/>
  <c r="AE1060" i="4"/>
  <c r="AB1132" i="4"/>
  <c r="AE1168" i="4"/>
  <c r="AB1240" i="4"/>
  <c r="AE1276" i="4"/>
  <c r="AB1348" i="4"/>
  <c r="AE1384" i="4"/>
  <c r="AB1456" i="4"/>
  <c r="AE1492" i="4"/>
  <c r="AB281" i="4"/>
  <c r="AE317" i="4"/>
  <c r="AB389" i="4"/>
  <c r="AE425" i="4"/>
  <c r="AB497" i="4"/>
  <c r="AE533" i="4"/>
  <c r="AB605" i="4"/>
  <c r="AE641" i="4"/>
  <c r="AE749" i="4"/>
  <c r="AB821" i="4"/>
  <c r="AE857" i="4"/>
  <c r="AB929" i="4"/>
  <c r="AE965" i="4"/>
  <c r="AE1073" i="4"/>
  <c r="AB1145" i="4"/>
  <c r="AE1181" i="4"/>
  <c r="AB1253" i="4"/>
  <c r="AE1289" i="4"/>
  <c r="AE1397" i="4"/>
  <c r="AB1469" i="4"/>
  <c r="AE252" i="4"/>
  <c r="AB324" i="4"/>
  <c r="AE360" i="4"/>
  <c r="AB432" i="4"/>
  <c r="AE468" i="4"/>
  <c r="AE576" i="4"/>
  <c r="AB648" i="4"/>
  <c r="AE684" i="4"/>
  <c r="AB756" i="4"/>
  <c r="AE792" i="4"/>
  <c r="AE900" i="4"/>
  <c r="AB972" i="4"/>
  <c r="AE1008" i="4"/>
  <c r="AB1080" i="4"/>
  <c r="AE1212" i="4"/>
  <c r="AB1254" i="4"/>
  <c r="AE1470" i="4"/>
  <c r="AB1122" i="4"/>
  <c r="AE1338" i="4"/>
  <c r="AB1380" i="4"/>
  <c r="AE1170" i="4"/>
  <c r="AE1455" i="4"/>
  <c r="AE767" i="4"/>
  <c r="AE1272" i="4"/>
  <c r="AB289" i="4"/>
  <c r="AE325" i="4"/>
  <c r="AB397" i="4"/>
  <c r="AB505" i="4"/>
  <c r="AE541" i="4"/>
  <c r="AB613" i="4"/>
  <c r="AE649" i="4"/>
  <c r="AB721" i="4"/>
  <c r="AB829" i="4"/>
  <c r="AE865" i="4"/>
  <c r="AB937" i="4"/>
  <c r="AB1045" i="4"/>
  <c r="AB1153" i="4"/>
  <c r="AE1189" i="4"/>
  <c r="AB1261" i="4"/>
  <c r="AE1297" i="4"/>
  <c r="AB1477" i="4"/>
  <c r="AE236" i="4"/>
  <c r="AB308" i="4"/>
  <c r="AE344" i="4"/>
  <c r="AB416" i="4"/>
  <c r="AE560" i="4"/>
  <c r="AB632" i="4"/>
  <c r="AE668" i="4"/>
  <c r="AB740" i="4"/>
  <c r="AB848" i="4"/>
  <c r="AE884" i="4"/>
  <c r="AB956" i="4"/>
  <c r="AE992" i="4"/>
  <c r="AB1064" i="4"/>
  <c r="AB1172" i="4"/>
  <c r="AE1208" i="4"/>
  <c r="AB1280" i="4"/>
  <c r="AE1316" i="4"/>
  <c r="AB1388" i="4"/>
  <c r="AB1496" i="4"/>
  <c r="AE255" i="4"/>
  <c r="AB327" i="4"/>
  <c r="AE363" i="4"/>
  <c r="AB435" i="4"/>
  <c r="AB543" i="4"/>
  <c r="AE579" i="4"/>
  <c r="AB651" i="4"/>
  <c r="AE687" i="4"/>
  <c r="AB867" i="4"/>
  <c r="AE903" i="4"/>
  <c r="AB975" i="4"/>
  <c r="AE1011" i="4"/>
  <c r="AB1083" i="4"/>
  <c r="AE1227" i="4"/>
  <c r="AB1299" i="4"/>
  <c r="AB1407" i="4"/>
  <c r="AE1443" i="4"/>
  <c r="AE274" i="4"/>
  <c r="AE490" i="4"/>
  <c r="AB562" i="4"/>
  <c r="AE598" i="4"/>
  <c r="AE814" i="4"/>
  <c r="AB886" i="4"/>
  <c r="AE922" i="4"/>
  <c r="AB1102" i="4"/>
  <c r="AE1138" i="4"/>
  <c r="AE1246" i="4"/>
  <c r="AB1426" i="4"/>
  <c r="AE1462" i="4"/>
  <c r="AB251" i="4"/>
  <c r="AE287" i="4"/>
  <c r="AE503" i="4"/>
  <c r="AB575" i="4"/>
  <c r="AE611" i="4"/>
  <c r="AE719" i="4"/>
  <c r="AB791" i="4"/>
  <c r="AE935" i="4"/>
  <c r="AE1043" i="4"/>
  <c r="AB1115" i="4"/>
  <c r="AB1223" i="4"/>
  <c r="AE1259" i="4"/>
  <c r="AB294" i="4"/>
  <c r="AE330" i="4"/>
  <c r="AE438" i="4"/>
  <c r="AB510" i="4"/>
  <c r="AE654" i="4"/>
  <c r="AB834" i="4"/>
  <c r="AB942" i="4"/>
  <c r="AE978" i="4"/>
  <c r="AB1464" i="4"/>
  <c r="AB1332" i="4"/>
  <c r="AE1416" i="4"/>
  <c r="AB1422" i="4"/>
  <c r="AE735" i="4"/>
  <c r="AB502" i="4"/>
  <c r="AE623" i="4"/>
  <c r="AE1307" i="4"/>
  <c r="AE1230" i="4"/>
  <c r="AB403" i="4"/>
  <c r="AB511" i="4"/>
  <c r="AE547" i="4"/>
  <c r="AB727" i="4"/>
  <c r="AE871" i="4"/>
  <c r="AB1051" i="4"/>
  <c r="AE1087" i="4"/>
  <c r="AB1159" i="4"/>
  <c r="AE1195" i="4"/>
  <c r="AE1411" i="4"/>
  <c r="AB1268" i="4"/>
  <c r="AB239" i="4"/>
  <c r="AB1381" i="4"/>
  <c r="AE1162" i="4"/>
  <c r="AE534" i="4"/>
  <c r="AE1465" i="4"/>
  <c r="AE783" i="4"/>
  <c r="AE1107" i="4"/>
  <c r="AB1319" i="4"/>
  <c r="AE822" i="4"/>
  <c r="AE1392" i="4"/>
  <c r="AE1105" i="4"/>
  <c r="AB1232" i="4"/>
  <c r="AE1268" i="4"/>
  <c r="AB1340" i="4"/>
  <c r="AE1376" i="4"/>
  <c r="AB1448" i="4"/>
  <c r="AE1484" i="4"/>
  <c r="AB279" i="4"/>
  <c r="AE315" i="4"/>
  <c r="AB387" i="4"/>
  <c r="AE423" i="4"/>
  <c r="AB495" i="4"/>
  <c r="AE531" i="4"/>
  <c r="AB603" i="4"/>
  <c r="AE639" i="4"/>
  <c r="AB711" i="4"/>
  <c r="AE747" i="4"/>
  <c r="AB819" i="4"/>
  <c r="AE855" i="4"/>
  <c r="AB927" i="4"/>
  <c r="AE963" i="4"/>
  <c r="AB1035" i="4"/>
  <c r="AE1071" i="4"/>
  <c r="AB1143" i="4"/>
  <c r="AB1483" i="4"/>
  <c r="AE242" i="4"/>
  <c r="AB422" i="4"/>
  <c r="AE458" i="4"/>
  <c r="AE566" i="4"/>
  <c r="AB746" i="4"/>
  <c r="AE782" i="4"/>
  <c r="AB854" i="4"/>
  <c r="AE890" i="4"/>
  <c r="AE1106" i="4"/>
  <c r="AB1178" i="4"/>
  <c r="AE1214" i="4"/>
  <c r="AB1394" i="4"/>
  <c r="AE1430" i="4"/>
  <c r="AE261" i="4"/>
  <c r="AB441" i="4"/>
  <c r="AE477" i="4"/>
  <c r="AB549" i="4"/>
  <c r="AE585" i="4"/>
  <c r="AE801" i="4"/>
  <c r="AB873" i="4"/>
  <c r="AE909" i="4"/>
  <c r="AB1089" i="4"/>
  <c r="AE1233" i="4"/>
  <c r="AB1413" i="4"/>
  <c r="AE1449" i="4"/>
  <c r="AB244" i="4"/>
  <c r="AE280" i="4"/>
  <c r="AB568" i="4"/>
  <c r="AE604" i="4"/>
  <c r="AB784" i="4"/>
  <c r="AE820" i="4"/>
  <c r="AB892" i="4"/>
  <c r="AE928" i="4"/>
  <c r="AB1108" i="4"/>
  <c r="AE1144" i="4"/>
  <c r="AB1216" i="4"/>
  <c r="AB1432" i="4"/>
  <c r="AE1468" i="4"/>
  <c r="AB293" i="4"/>
  <c r="AE329" i="4"/>
  <c r="AB401" i="4"/>
  <c r="AB617" i="4"/>
  <c r="AE653" i="4"/>
  <c r="AB725" i="4"/>
  <c r="AE761" i="4"/>
  <c r="AB941" i="4"/>
  <c r="AB1049" i="4"/>
  <c r="AE1085" i="4"/>
  <c r="AB1265" i="4"/>
  <c r="AE1301" i="4"/>
  <c r="AB1373" i="4"/>
  <c r="AB300" i="4"/>
  <c r="AE336" i="4"/>
  <c r="AB408" i="4"/>
  <c r="AE444" i="4"/>
  <c r="AB624" i="4"/>
  <c r="AE768" i="4"/>
  <c r="AB948" i="4"/>
  <c r="AE984" i="4"/>
  <c r="AB1056" i="4"/>
  <c r="AB1368" i="4"/>
  <c r="AB1236" i="4"/>
  <c r="AE1452" i="4"/>
  <c r="AE589" i="4"/>
  <c r="AE913" i="4"/>
  <c r="AB284" i="4"/>
  <c r="AE1112" i="4"/>
  <c r="AB1436" i="4"/>
  <c r="AE375" i="4"/>
  <c r="AB947" i="4"/>
  <c r="AB229" i="4"/>
  <c r="AB553" i="4"/>
  <c r="AB877" i="4"/>
  <c r="AE1417" i="4"/>
  <c r="AE464" i="4"/>
  <c r="AB716" i="4"/>
  <c r="AB1328" i="4"/>
  <c r="AB699" i="4"/>
  <c r="AE915" i="4"/>
  <c r="AB1383" i="4"/>
  <c r="AE322" i="4"/>
  <c r="AB803" i="4"/>
  <c r="AB1451" i="4"/>
  <c r="AE378" i="4"/>
  <c r="AB1488" i="4"/>
  <c r="AE1029" i="4"/>
  <c r="AE1385" i="4"/>
  <c r="AE1179" i="4"/>
  <c r="AB1251" i="4"/>
  <c r="AE1287" i="4"/>
  <c r="AB1359" i="4"/>
  <c r="AE1395" i="4"/>
  <c r="AB1467" i="4"/>
  <c r="AE226" i="4"/>
  <c r="AB298" i="4"/>
  <c r="AE334" i="4"/>
  <c r="AB406" i="4"/>
  <c r="AE442" i="4"/>
  <c r="AB514" i="4"/>
  <c r="AE550" i="4"/>
  <c r="AB622" i="4"/>
  <c r="AE658" i="4"/>
  <c r="AB730" i="4"/>
  <c r="AE766" i="4"/>
  <c r="AB838" i="4"/>
  <c r="AE874" i="4"/>
  <c r="AB946" i="4"/>
  <c r="AE982" i="4"/>
  <c r="AB1054" i="4"/>
  <c r="AE1090" i="4"/>
  <c r="AB1162" i="4"/>
  <c r="AE1198" i="4"/>
  <c r="AB1270" i="4"/>
  <c r="AE1306" i="4"/>
  <c r="AB1378" i="4"/>
  <c r="AE1414" i="4"/>
  <c r="AB1486" i="4"/>
  <c r="AE239" i="4"/>
  <c r="AB311" i="4"/>
  <c r="AE347" i="4"/>
  <c r="AB419" i="4"/>
  <c r="AE455" i="4"/>
  <c r="AB527" i="4"/>
  <c r="AE563" i="4"/>
  <c r="AB635" i="4"/>
  <c r="AE671" i="4"/>
  <c r="AB743" i="4"/>
  <c r="AE779" i="4"/>
  <c r="AB851" i="4"/>
  <c r="AE887" i="4"/>
  <c r="AB959" i="4"/>
  <c r="AE995" i="4"/>
  <c r="AB1067" i="4"/>
  <c r="AE1103" i="4"/>
  <c r="AB1175" i="4"/>
  <c r="AE1211" i="4"/>
  <c r="AB1283" i="4"/>
  <c r="AE1319" i="4"/>
  <c r="AB1391" i="4"/>
  <c r="AE1427" i="4"/>
  <c r="AB1499" i="4"/>
  <c r="AE246" i="4"/>
  <c r="AB318" i="4"/>
  <c r="AE354" i="4"/>
  <c r="AB426" i="4"/>
  <c r="AE462" i="4"/>
  <c r="AB534" i="4"/>
  <c r="AE570" i="4"/>
  <c r="AB642" i="4"/>
  <c r="AE678" i="4"/>
  <c r="AB750" i="4"/>
  <c r="AE786" i="4"/>
  <c r="AB858" i="4"/>
  <c r="AE894" i="4"/>
  <c r="AB966" i="4"/>
  <c r="AE1002" i="4"/>
  <c r="AB1074" i="4"/>
  <c r="AE1176" i="4"/>
  <c r="AB1218" i="4"/>
  <c r="AE1434" i="4"/>
  <c r="AB1476" i="4"/>
  <c r="AE1302" i="4"/>
  <c r="AB1344" i="4"/>
  <c r="AE1134" i="4"/>
  <c r="AE1424" i="4"/>
  <c r="AE795" i="4"/>
  <c r="AE1119" i="4"/>
  <c r="AB238" i="4"/>
  <c r="AB778" i="4"/>
  <c r="AB1210" i="4"/>
  <c r="AB467" i="4"/>
  <c r="AE1367" i="4"/>
  <c r="AB618" i="4"/>
  <c r="AE1086" i="4"/>
  <c r="AB519" i="4"/>
  <c r="AB1042" i="4"/>
  <c r="AB414" i="4"/>
  <c r="AB1104" i="4"/>
  <c r="AE439" i="4"/>
  <c r="AB835" i="4"/>
  <c r="AB1375" i="4"/>
  <c r="AB530" i="4"/>
  <c r="AB1070" i="4"/>
  <c r="AB225" i="4"/>
  <c r="AB765" i="4"/>
  <c r="AB1197" i="4"/>
  <c r="AB460" i="4"/>
  <c r="AE1252" i="4"/>
  <c r="AE437" i="4"/>
  <c r="AE977" i="4"/>
  <c r="AE1409" i="4"/>
  <c r="AE660" i="4"/>
  <c r="AE1092" i="4"/>
  <c r="AE265" i="4"/>
  <c r="AB1201" i="4"/>
  <c r="AB608" i="4"/>
  <c r="AB1419" i="4"/>
  <c r="AB299" i="4"/>
  <c r="AE1163" i="4"/>
  <c r="AB1402" i="4"/>
  <c r="AE343" i="4"/>
  <c r="AE559" i="4"/>
  <c r="AE667" i="4"/>
  <c r="AE991" i="4"/>
  <c r="AE1207" i="4"/>
  <c r="AE1315" i="4"/>
  <c r="AE254" i="4"/>
  <c r="AE362" i="4"/>
  <c r="AE578" i="4"/>
  <c r="AE686" i="4"/>
  <c r="AE902" i="4"/>
  <c r="AE1010" i="4"/>
  <c r="AE1226" i="4"/>
  <c r="AE273" i="4"/>
  <c r="AE381" i="4"/>
  <c r="AE597" i="4"/>
  <c r="AE705" i="4"/>
  <c r="AE921" i="4"/>
  <c r="AE1245" i="4"/>
  <c r="AE1353" i="4"/>
  <c r="AE292" i="4"/>
  <c r="AE400" i="4"/>
  <c r="AE616" i="4"/>
  <c r="AE724" i="4"/>
  <c r="AE940" i="4"/>
  <c r="AE1048" i="4"/>
  <c r="AE1264" i="4"/>
  <c r="AE305" i="4"/>
  <c r="AE413" i="4"/>
  <c r="AE629" i="4"/>
  <c r="AE737" i="4"/>
  <c r="AE953" i="4"/>
  <c r="AE1061" i="4"/>
  <c r="AE1277" i="4"/>
  <c r="AE312" i="4"/>
  <c r="AE420" i="4"/>
  <c r="AE636" i="4"/>
  <c r="AE744" i="4"/>
  <c r="AE960" i="4"/>
  <c r="AE1068" i="4"/>
  <c r="AE1440" i="4"/>
  <c r="AE1308" i="4"/>
  <c r="AE479" i="4"/>
  <c r="AB1487" i="4"/>
  <c r="AE1062" i="4"/>
  <c r="AB427" i="4"/>
  <c r="AB751" i="4"/>
  <c r="AB1075" i="4"/>
  <c r="AE1327" i="4"/>
  <c r="AE374" i="4"/>
  <c r="AE698" i="4"/>
  <c r="AE1022" i="4"/>
  <c r="AE1346" i="4"/>
  <c r="AE393" i="4"/>
  <c r="AB681" i="4"/>
  <c r="AB1005" i="4"/>
  <c r="AE409" i="4"/>
  <c r="AE1057" i="4"/>
  <c r="AB428" i="4"/>
  <c r="AB1222" i="4"/>
  <c r="AE433" i="4"/>
  <c r="AE757" i="4"/>
  <c r="AE1081" i="4"/>
  <c r="AE1405" i="4"/>
  <c r="AE452" i="4"/>
  <c r="AE776" i="4"/>
  <c r="AE1100" i="4"/>
  <c r="AE471" i="4"/>
  <c r="AE1019" i="4"/>
  <c r="AB1118" i="4"/>
  <c r="AB1219" i="4"/>
  <c r="AE645" i="4"/>
  <c r="AB576" i="4"/>
  <c r="AE1386" i="4"/>
  <c r="AE799" i="4"/>
  <c r="AE856" i="4"/>
  <c r="AB235" i="4"/>
  <c r="AE271" i="4"/>
  <c r="AB343" i="4"/>
  <c r="AE379" i="4"/>
  <c r="AB451" i="4"/>
  <c r="AE487" i="4"/>
  <c r="AB559" i="4"/>
  <c r="AE595" i="4"/>
  <c r="AB667" i="4"/>
  <c r="AE703" i="4"/>
  <c r="AB775" i="4"/>
  <c r="AE811" i="4"/>
  <c r="AB883" i="4"/>
  <c r="AE919" i="4"/>
  <c r="AB991" i="4"/>
  <c r="AE1027" i="4"/>
  <c r="AB1099" i="4"/>
  <c r="AE1135" i="4"/>
  <c r="AB1207" i="4"/>
  <c r="AE1243" i="4"/>
  <c r="AB1315" i="4"/>
  <c r="AE1351" i="4"/>
  <c r="AB1423" i="4"/>
  <c r="AE1459" i="4"/>
  <c r="AB254" i="4"/>
  <c r="AE290" i="4"/>
  <c r="AB362" i="4"/>
  <c r="AE398" i="4"/>
  <c r="AB470" i="4"/>
  <c r="AE506" i="4"/>
  <c r="AB578" i="4"/>
  <c r="AE614" i="4"/>
  <c r="AB686" i="4"/>
  <c r="AE722" i="4"/>
  <c r="AB794" i="4"/>
  <c r="AE830" i="4"/>
  <c r="AB902" i="4"/>
  <c r="AE938" i="4"/>
  <c r="AB1010" i="4"/>
  <c r="AE1046" i="4"/>
  <c r="AE1154" i="4"/>
  <c r="AB1226" i="4"/>
  <c r="AE1262" i="4"/>
  <c r="AB1334" i="4"/>
  <c r="AE1370" i="4"/>
  <c r="AB1442" i="4"/>
  <c r="AE1478" i="4"/>
  <c r="AB273" i="4"/>
  <c r="AE309" i="4"/>
  <c r="AB381" i="4"/>
  <c r="AE417" i="4"/>
  <c r="AB489" i="4"/>
  <c r="AE525" i="4"/>
  <c r="AB597" i="4"/>
  <c r="AE633" i="4"/>
  <c r="AB705" i="4"/>
  <c r="AE741" i="4"/>
  <c r="AB813" i="4"/>
  <c r="AE849" i="4"/>
  <c r="AB921" i="4"/>
  <c r="AE957" i="4"/>
  <c r="AB1029" i="4"/>
  <c r="AE1065" i="4"/>
  <c r="AB1137" i="4"/>
  <c r="AE1173" i="4"/>
  <c r="AB1245" i="4"/>
  <c r="AE1281" i="4"/>
  <c r="AB1353" i="4"/>
  <c r="AE1389" i="4"/>
  <c r="AB1461" i="4"/>
  <c r="AE1497" i="4"/>
  <c r="AB292" i="4"/>
  <c r="AE328" i="4"/>
  <c r="AB400" i="4"/>
  <c r="AE436" i="4"/>
  <c r="AB508" i="4"/>
  <c r="AE544" i="4"/>
  <c r="AB616" i="4"/>
  <c r="AE652" i="4"/>
  <c r="AB724" i="4"/>
  <c r="AE760" i="4"/>
  <c r="AB832" i="4"/>
  <c r="AE868" i="4"/>
  <c r="AB940" i="4"/>
  <c r="AE976" i="4"/>
  <c r="AB1048" i="4"/>
  <c r="AE1084" i="4"/>
  <c r="AB1156" i="4"/>
  <c r="AE1192" i="4"/>
  <c r="AB1264" i="4"/>
  <c r="AE1300" i="4"/>
  <c r="AB1372" i="4"/>
  <c r="AE1408" i="4"/>
  <c r="AB1480" i="4"/>
  <c r="AE233" i="4"/>
  <c r="AB305" i="4"/>
  <c r="AE341" i="4"/>
  <c r="AB413" i="4"/>
  <c r="AE449" i="4"/>
  <c r="AB521" i="4"/>
  <c r="AE557" i="4"/>
  <c r="AB629" i="4"/>
  <c r="AE665" i="4"/>
  <c r="AB737" i="4"/>
  <c r="AE773" i="4"/>
  <c r="AB845" i="4"/>
  <c r="AE881" i="4"/>
  <c r="AB953" i="4"/>
  <c r="AE989" i="4"/>
  <c r="AB1061" i="4"/>
  <c r="AE1097" i="4"/>
  <c r="AB1169" i="4"/>
  <c r="AE1205" i="4"/>
  <c r="AB1277" i="4"/>
  <c r="AE1313" i="4"/>
  <c r="AB1385" i="4"/>
  <c r="AE1421" i="4"/>
  <c r="AB1493" i="4"/>
  <c r="AE240" i="4"/>
  <c r="AB312" i="4"/>
  <c r="AE348" i="4"/>
  <c r="AB420" i="4"/>
  <c r="AE456" i="4"/>
  <c r="AB528" i="4"/>
  <c r="AE564" i="4"/>
  <c r="AB636" i="4"/>
  <c r="AE672" i="4"/>
  <c r="AB744" i="4"/>
  <c r="AE780" i="4"/>
  <c r="AB852" i="4"/>
  <c r="AE888" i="4"/>
  <c r="AB960" i="4"/>
  <c r="AE996" i="4"/>
  <c r="AB1068" i="4"/>
  <c r="AE1140" i="4"/>
  <c r="AB1182" i="4"/>
  <c r="AE1398" i="4"/>
  <c r="AB1440" i="4"/>
  <c r="AE1266" i="4"/>
  <c r="AB1308" i="4"/>
  <c r="AE1098" i="4"/>
  <c r="AB968" i="4"/>
  <c r="AE1220" i="4"/>
  <c r="AB411" i="4"/>
  <c r="AE627" i="4"/>
  <c r="AB1059" i="4"/>
  <c r="AE1275" i="4"/>
  <c r="AB466" i="4"/>
  <c r="AE646" i="4"/>
  <c r="AB1078" i="4"/>
  <c r="AE1294" i="4"/>
  <c r="AB479" i="4"/>
  <c r="AE695" i="4"/>
  <c r="AB1091" i="4"/>
  <c r="AE1271" i="4"/>
  <c r="AB450" i="4"/>
  <c r="AE666" i="4"/>
  <c r="AB1062" i="4"/>
  <c r="AE1404" i="4"/>
  <c r="AB247" i="4"/>
  <c r="AE283" i="4"/>
  <c r="AB355" i="4"/>
  <c r="AE391" i="4"/>
  <c r="AB463" i="4"/>
  <c r="AE499" i="4"/>
  <c r="AB571" i="4"/>
  <c r="AE607" i="4"/>
  <c r="AB679" i="4"/>
  <c r="AE715" i="4"/>
  <c r="AB787" i="4"/>
  <c r="AE823" i="4"/>
  <c r="AB895" i="4"/>
  <c r="AE931" i="4"/>
  <c r="AB1003" i="4"/>
  <c r="AE1039" i="4"/>
  <c r="AB1111" i="4"/>
  <c r="AE1147" i="4"/>
  <c r="AE1255" i="4"/>
  <c r="AB1327" i="4"/>
  <c r="AE1363" i="4"/>
  <c r="AB1435" i="4"/>
  <c r="AE1471" i="4"/>
  <c r="AB266" i="4"/>
  <c r="AE302" i="4"/>
  <c r="AB374" i="4"/>
  <c r="AE410" i="4"/>
  <c r="AB482" i="4"/>
  <c r="AE518" i="4"/>
  <c r="AB590" i="4"/>
  <c r="AE626" i="4"/>
  <c r="AB698" i="4"/>
  <c r="AE734" i="4"/>
  <c r="AB806" i="4"/>
  <c r="AE842" i="4"/>
  <c r="AB914" i="4"/>
  <c r="AE950" i="4"/>
  <c r="AB1022" i="4"/>
  <c r="AE1058" i="4"/>
  <c r="AB1130" i="4"/>
  <c r="AE1166" i="4"/>
  <c r="AB1238" i="4"/>
  <c r="AE1274" i="4"/>
  <c r="AB1346" i="4"/>
  <c r="AE1382" i="4"/>
  <c r="AB1454" i="4"/>
  <c r="AE1490" i="4"/>
  <c r="AB285" i="4"/>
  <c r="AE321" i="4"/>
  <c r="AB393" i="4"/>
  <c r="AE429" i="4"/>
  <c r="AB501" i="4"/>
  <c r="AE537" i="4"/>
  <c r="AB609" i="4"/>
  <c r="AB717" i="4"/>
  <c r="AE753" i="4"/>
  <c r="AB825" i="4"/>
  <c r="AE861" i="4"/>
  <c r="AB933" i="4"/>
  <c r="AE969" i="4"/>
  <c r="AB1041" i="4"/>
  <c r="AE1077" i="4"/>
  <c r="AB1149" i="4"/>
  <c r="AE1185" i="4"/>
  <c r="AB1257" i="4"/>
  <c r="AE1293" i="4"/>
  <c r="AB1365" i="4"/>
  <c r="AE1401" i="4"/>
  <c r="AB1473" i="4"/>
  <c r="AE232" i="4"/>
  <c r="AB304" i="4"/>
  <c r="AE340" i="4"/>
  <c r="AB412" i="4"/>
  <c r="AE448" i="4"/>
  <c r="AB520" i="4"/>
  <c r="AE556" i="4"/>
  <c r="AB628" i="4"/>
  <c r="AE664" i="4"/>
  <c r="AB736" i="4"/>
  <c r="AE772" i="4"/>
  <c r="AB844" i="4"/>
  <c r="AE880" i="4"/>
  <c r="AB952" i="4"/>
  <c r="AE988" i="4"/>
  <c r="AB1060" i="4"/>
  <c r="AE1096" i="4"/>
  <c r="AB1168" i="4"/>
  <c r="AE1204" i="4"/>
  <c r="AB1276" i="4"/>
  <c r="AE1312" i="4"/>
  <c r="AB1384" i="4"/>
  <c r="AE1420" i="4"/>
  <c r="AB1492" i="4"/>
  <c r="AE245" i="4"/>
  <c r="AB317" i="4"/>
  <c r="AE353" i="4"/>
  <c r="AB425" i="4"/>
  <c r="AE461" i="4"/>
  <c r="AB533" i="4"/>
  <c r="AE569" i="4"/>
  <c r="AB641" i="4"/>
  <c r="AE677" i="4"/>
  <c r="AB749" i="4"/>
  <c r="AE785" i="4"/>
  <c r="AB857" i="4"/>
  <c r="AE893" i="4"/>
  <c r="AB965" i="4"/>
  <c r="AE1001" i="4"/>
  <c r="AB1073" i="4"/>
  <c r="AE1109" i="4"/>
  <c r="AB1181" i="4"/>
  <c r="AE1217" i="4"/>
  <c r="AB1289" i="4"/>
  <c r="AE1325" i="4"/>
  <c r="AB1397" i="4"/>
  <c r="AE1433" i="4"/>
  <c r="AB252" i="4"/>
  <c r="AE288" i="4"/>
  <c r="AB360" i="4"/>
  <c r="AE396" i="4"/>
  <c r="AB468" i="4"/>
  <c r="AE504" i="4"/>
  <c r="AE612" i="4"/>
  <c r="AB684" i="4"/>
  <c r="AE1334" i="4"/>
  <c r="AE1372" i="4"/>
  <c r="AB1329" i="4"/>
  <c r="AB376" i="4"/>
  <c r="AB1165" i="4"/>
  <c r="AE896" i="4"/>
  <c r="AB231" i="4"/>
  <c r="AE447" i="4"/>
  <c r="AB879" i="4"/>
  <c r="AE1095" i="4"/>
  <c r="AB250" i="4"/>
  <c r="AE430" i="4"/>
  <c r="AB934" i="4"/>
  <c r="AE1114" i="4"/>
  <c r="AB227" i="4"/>
  <c r="AE407" i="4"/>
  <c r="AE720" i="4"/>
  <c r="AB792" i="4"/>
  <c r="AE828" i="4"/>
  <c r="AB900" i="4"/>
  <c r="AE936" i="4"/>
  <c r="AB1008" i="4"/>
  <c r="AE1044" i="4"/>
  <c r="AB1212" i="4"/>
  <c r="AE1428" i="4"/>
  <c r="AB1470" i="4"/>
  <c r="AE1296" i="4"/>
  <c r="AB1338" i="4"/>
  <c r="AE1164" i="4"/>
  <c r="AB1170" i="4"/>
  <c r="AB409" i="4"/>
  <c r="AE517" i="4"/>
  <c r="AB733" i="4"/>
  <c r="AE841" i="4"/>
  <c r="AB1057" i="4"/>
  <c r="AE1237" i="4"/>
  <c r="AB1489" i="4"/>
  <c r="AE320" i="4"/>
  <c r="AB536" i="4"/>
  <c r="AE644" i="4"/>
  <c r="AB932" i="4"/>
  <c r="AE1076" i="4"/>
  <c r="AB1400" i="4"/>
  <c r="AE339" i="4"/>
  <c r="AB807" i="4"/>
  <c r="AE1023" i="4"/>
  <c r="AB1455" i="4"/>
  <c r="AE394" i="4"/>
  <c r="AB826" i="4"/>
  <c r="AE1006" i="4"/>
  <c r="AB1438" i="4"/>
  <c r="AE335" i="4"/>
  <c r="AB767" i="4"/>
  <c r="AE983" i="4"/>
  <c r="AB1415" i="4"/>
  <c r="AE342" i="4"/>
  <c r="AB774" i="4"/>
  <c r="AE954" i="4"/>
  <c r="AB1272" i="4"/>
  <c r="AE253" i="4"/>
  <c r="AB325" i="4"/>
  <c r="AE361" i="4"/>
  <c r="AB433" i="4"/>
  <c r="AE469" i="4"/>
  <c r="AB541" i="4"/>
  <c r="AE577" i="4"/>
  <c r="AB649" i="4"/>
  <c r="AE685" i="4"/>
  <c r="AB757" i="4"/>
  <c r="AE793" i="4"/>
  <c r="AB865" i="4"/>
  <c r="AE901" i="4"/>
  <c r="AB973" i="4"/>
  <c r="AE1009" i="4"/>
  <c r="AB1081" i="4"/>
  <c r="AE1117" i="4"/>
  <c r="AB1189" i="4"/>
  <c r="AE1225" i="4"/>
  <c r="AB1297" i="4"/>
  <c r="AE1333" i="4"/>
  <c r="AB1405" i="4"/>
  <c r="AE1441" i="4"/>
  <c r="AB236" i="4"/>
  <c r="AE272" i="4"/>
  <c r="AB344" i="4"/>
  <c r="AE380" i="4"/>
  <c r="AB452" i="4"/>
  <c r="AE488" i="4"/>
  <c r="AB560" i="4"/>
  <c r="AE596" i="4"/>
  <c r="AB668" i="4"/>
  <c r="AE704" i="4"/>
  <c r="AB776" i="4"/>
  <c r="AE812" i="4"/>
  <c r="AB884" i="4"/>
  <c r="AE920" i="4"/>
  <c r="AB992" i="4"/>
  <c r="AE1028" i="4"/>
  <c r="AB1100" i="4"/>
  <c r="AE1136" i="4"/>
  <c r="AB1208" i="4"/>
  <c r="AE1244" i="4"/>
  <c r="AB1316" i="4"/>
  <c r="AB579" i="4"/>
  <c r="AE615" i="4"/>
  <c r="AB687" i="4"/>
  <c r="AE723" i="4"/>
  <c r="AB795" i="4"/>
  <c r="AE831" i="4"/>
  <c r="AB903" i="4"/>
  <c r="AE939" i="4"/>
  <c r="AB1011" i="4"/>
  <c r="AE1047" i="4"/>
  <c r="AB1119" i="4"/>
  <c r="AE1155" i="4"/>
  <c r="AB1227" i="4"/>
  <c r="AE1263" i="4"/>
  <c r="AB1335" i="4"/>
  <c r="AE1371" i="4"/>
  <c r="AB1443" i="4"/>
  <c r="AE1479" i="4"/>
  <c r="AB274" i="4"/>
  <c r="AE310" i="4"/>
  <c r="AB382" i="4"/>
  <c r="AE418" i="4"/>
  <c r="AB490" i="4"/>
  <c r="AE526" i="4"/>
  <c r="AB598" i="4"/>
  <c r="AE634" i="4"/>
  <c r="AB706" i="4"/>
  <c r="AE742" i="4"/>
  <c r="AB814" i="4"/>
  <c r="AE850" i="4"/>
  <c r="AB922" i="4"/>
  <c r="AE958" i="4"/>
  <c r="AB1030" i="4"/>
  <c r="AE1066" i="4"/>
  <c r="AB1138" i="4"/>
  <c r="AE1174" i="4"/>
  <c r="AB1246" i="4"/>
  <c r="AE1282" i="4"/>
  <c r="AB1354" i="4"/>
  <c r="AE1390" i="4"/>
  <c r="AB1462" i="4"/>
  <c r="AE1498" i="4"/>
  <c r="AB287" i="4"/>
  <c r="AE323" i="4"/>
  <c r="AB395" i="4"/>
  <c r="AE431" i="4"/>
  <c r="AB503" i="4"/>
  <c r="AE539" i="4"/>
  <c r="AB611" i="4"/>
  <c r="AE647" i="4"/>
  <c r="AB719" i="4"/>
  <c r="AE755" i="4"/>
  <c r="AB827" i="4"/>
  <c r="AE863" i="4"/>
  <c r="AB935" i="4"/>
  <c r="AE971" i="4"/>
  <c r="AB1043" i="4"/>
  <c r="AE1079" i="4"/>
  <c r="AB1151" i="4"/>
  <c r="AE1187" i="4"/>
  <c r="AB1259" i="4"/>
  <c r="AE1295" i="4"/>
  <c r="AB1367" i="4"/>
  <c r="AE1403" i="4"/>
  <c r="AB1475" i="4"/>
  <c r="AE258" i="4"/>
  <c r="AB330" i="4"/>
  <c r="AE366" i="4"/>
  <c r="AB438" i="4"/>
  <c r="AE474" i="4"/>
  <c r="AB546" i="4"/>
  <c r="AE582" i="4"/>
  <c r="AB654" i="4"/>
  <c r="AE690" i="4"/>
  <c r="AB762" i="4"/>
  <c r="AE798" i="4"/>
  <c r="AB870" i="4"/>
  <c r="AE906" i="4"/>
  <c r="AB978" i="4"/>
  <c r="AE1014" i="4"/>
  <c r="AB1086" i="4"/>
  <c r="AE1248" i="4"/>
  <c r="AB1290" i="4"/>
  <c r="AB899" i="4"/>
  <c r="AB539" i="4"/>
  <c r="AE1116" i="4"/>
  <c r="AB1158" i="4"/>
  <c r="AE1374" i="4"/>
  <c r="AB1416" i="4"/>
  <c r="AE1206" i="4"/>
  <c r="AB1129" i="4"/>
  <c r="AE860" i="4"/>
  <c r="AB1364" i="4"/>
  <c r="AE303" i="4"/>
  <c r="AB735" i="4"/>
  <c r="AE951" i="4"/>
  <c r="AB1347" i="4"/>
  <c r="AE286" i="4"/>
  <c r="AB682" i="4"/>
  <c r="AE862" i="4"/>
  <c r="AB1258" i="4"/>
  <c r="AE1474" i="4"/>
  <c r="AB623" i="4"/>
  <c r="AE839" i="4"/>
  <c r="AB1307" i="4"/>
  <c r="AE234" i="4"/>
  <c r="AB630" i="4"/>
  <c r="AE846" i="4"/>
  <c r="AB1230" i="4"/>
  <c r="AE259" i="4"/>
  <c r="AB331" i="4"/>
  <c r="AE367" i="4"/>
  <c r="AB439" i="4"/>
  <c r="AE475" i="4"/>
  <c r="AB547" i="4"/>
  <c r="AE583" i="4"/>
  <c r="AB655" i="4"/>
  <c r="AE691" i="4"/>
  <c r="AB763" i="4"/>
  <c r="AB871" i="4"/>
  <c r="AE907" i="4"/>
  <c r="AB979" i="4"/>
  <c r="AE1015" i="4"/>
  <c r="AB1087" i="4"/>
  <c r="AE1123" i="4"/>
  <c r="AB1195" i="4"/>
  <c r="AE1231" i="4"/>
  <c r="AB1303" i="4"/>
  <c r="AE1339" i="4"/>
  <c r="AB1411" i="4"/>
  <c r="AE1447" i="4"/>
  <c r="AB242" i="4"/>
  <c r="AE278" i="4"/>
  <c r="AB350" i="4"/>
  <c r="AE386" i="4"/>
  <c r="AB458" i="4"/>
  <c r="AE494" i="4"/>
  <c r="AB566" i="4"/>
  <c r="AE602" i="4"/>
  <c r="AB674" i="4"/>
  <c r="AE710" i="4"/>
  <c r="AB782" i="4"/>
  <c r="AE818" i="4"/>
  <c r="AB890" i="4"/>
  <c r="AE926" i="4"/>
  <c r="AB998" i="4"/>
  <c r="AE1034" i="4"/>
  <c r="AB1106" i="4"/>
  <c r="AE1142" i="4"/>
  <c r="AB1214" i="4"/>
  <c r="AE1250" i="4"/>
  <c r="AB1322" i="4"/>
  <c r="AE1358" i="4"/>
  <c r="AB1430" i="4"/>
  <c r="AE1466" i="4"/>
  <c r="AB261" i="4"/>
  <c r="AE297" i="4"/>
  <c r="AB369" i="4"/>
  <c r="AE405" i="4"/>
  <c r="AB477" i="4"/>
  <c r="AE513" i="4"/>
  <c r="AB585" i="4"/>
  <c r="AE621" i="4"/>
  <c r="AB693" i="4"/>
  <c r="AE729" i="4"/>
  <c r="AB801" i="4"/>
  <c r="AE837" i="4"/>
  <c r="AB909" i="4"/>
  <c r="AE945" i="4"/>
  <c r="AB1017" i="4"/>
  <c r="AB911" i="4"/>
  <c r="AE1127" i="4"/>
  <c r="AB270" i="4"/>
  <c r="AE486" i="4"/>
  <c r="AB918" i="4"/>
  <c r="AE1320" i="4"/>
  <c r="AB241" i="4"/>
  <c r="AE277" i="4"/>
  <c r="AB349" i="4"/>
  <c r="AE385" i="4"/>
  <c r="AB457" i="4"/>
  <c r="AE493" i="4"/>
  <c r="AB565" i="4"/>
  <c r="AE601" i="4"/>
  <c r="AB673" i="4"/>
  <c r="AE709" i="4"/>
  <c r="AB781" i="4"/>
  <c r="AE817" i="4"/>
  <c r="AB889" i="4"/>
  <c r="AE925" i="4"/>
  <c r="AB997" i="4"/>
  <c r="AE1033" i="4"/>
  <c r="AB1105" i="4"/>
  <c r="AE1141" i="4"/>
  <c r="AB1213" i="4"/>
  <c r="AE1249" i="4"/>
  <c r="AB1321" i="4"/>
  <c r="AE1357" i="4"/>
  <c r="AB1429" i="4"/>
  <c r="AB296" i="4"/>
  <c r="AE332" i="4"/>
  <c r="AB404" i="4"/>
  <c r="AE440" i="4"/>
  <c r="AB512" i="4"/>
  <c r="AE548" i="4"/>
  <c r="AB620" i="4"/>
  <c r="AE656" i="4"/>
  <c r="AB728" i="4"/>
  <c r="AE764" i="4"/>
  <c r="AB836" i="4"/>
  <c r="AE872" i="4"/>
  <c r="AB944" i="4"/>
  <c r="AE980" i="4"/>
  <c r="AB1052" i="4"/>
  <c r="AE1088" i="4"/>
  <c r="AB1160" i="4"/>
  <c r="AE1196" i="4"/>
  <c r="AE221" i="4"/>
  <c r="AE227" i="4"/>
  <c r="AB702" i="4"/>
  <c r="AE918" i="4"/>
  <c r="AE241" i="4"/>
  <c r="AB313" i="4"/>
  <c r="AE349" i="4"/>
  <c r="AB421" i="4"/>
  <c r="AE457" i="4"/>
  <c r="AB529" i="4"/>
  <c r="AE565" i="4"/>
  <c r="AB637" i="4"/>
  <c r="AE673" i="4"/>
  <c r="AB745" i="4"/>
  <c r="AE781" i="4"/>
  <c r="AB853" i="4"/>
  <c r="AE889" i="4"/>
  <c r="AB961" i="4"/>
  <c r="AE997" i="4"/>
  <c r="AB1069" i="4"/>
  <c r="AB1177" i="4"/>
  <c r="AE1213" i="4"/>
  <c r="AB1285" i="4"/>
  <c r="AE1321" i="4"/>
  <c r="AB1393" i="4"/>
  <c r="AE1429" i="4"/>
  <c r="AB260" i="4"/>
  <c r="AE296" i="4"/>
  <c r="AB368" i="4"/>
  <c r="AE404" i="4"/>
  <c r="AB476" i="4"/>
  <c r="AE512" i="4"/>
  <c r="AB584" i="4"/>
  <c r="AE620" i="4"/>
  <c r="AB692" i="4"/>
  <c r="AE728" i="4"/>
  <c r="AB800" i="4"/>
  <c r="AE836" i="4"/>
  <c r="AB908" i="4"/>
  <c r="AE944" i="4"/>
  <c r="AB1016" i="4"/>
  <c r="AE1052" i="4"/>
  <c r="AB1124" i="4"/>
  <c r="AE1160" i="4"/>
  <c r="AE1053" i="4"/>
  <c r="AE1446" i="4"/>
  <c r="AE476" i="4"/>
  <c r="AE1124" i="4"/>
  <c r="AE495" i="4"/>
  <c r="AE1143" i="4"/>
  <c r="AE514" i="4"/>
  <c r="AE527" i="4"/>
  <c r="AE1175" i="4"/>
  <c r="AE1218" i="4"/>
  <c r="AE1304" i="4"/>
  <c r="AB1376" i="4"/>
  <c r="AE1412" i="4"/>
  <c r="AB1484" i="4"/>
  <c r="AE243" i="4"/>
  <c r="AB315" i="4"/>
  <c r="AE351" i="4"/>
  <c r="AB423" i="4"/>
  <c r="AE459" i="4"/>
  <c r="AB531" i="4"/>
  <c r="AE567" i="4"/>
  <c r="AB639" i="4"/>
  <c r="AE675" i="4"/>
  <c r="AB747" i="4"/>
  <c r="AB855" i="4"/>
  <c r="AE891" i="4"/>
  <c r="AB963" i="4"/>
  <c r="AE999" i="4"/>
  <c r="AE219" i="4"/>
  <c r="AE235" i="4"/>
  <c r="AB307" i="4"/>
  <c r="AB415" i="4"/>
  <c r="AE451" i="4"/>
  <c r="AB523" i="4"/>
  <c r="AB631" i="4"/>
  <c r="AB739" i="4"/>
  <c r="AE775" i="4"/>
  <c r="AB847" i="4"/>
  <c r="AB955" i="4"/>
  <c r="AB1063" i="4"/>
  <c r="AE1099" i="4"/>
  <c r="AB1171" i="4"/>
  <c r="AB1279" i="4"/>
  <c r="AB1387" i="4"/>
  <c r="AE1423" i="4"/>
  <c r="AB1495" i="4"/>
  <c r="AB326" i="4"/>
  <c r="AB434" i="4"/>
  <c r="AE470" i="4"/>
  <c r="AB542" i="4"/>
  <c r="AB650" i="4"/>
  <c r="AB758" i="4"/>
  <c r="AE794" i="4"/>
  <c r="AB866" i="4"/>
  <c r="AB974" i="4"/>
  <c r="AB1082" i="4"/>
  <c r="AE1118" i="4"/>
  <c r="AB1190" i="4"/>
  <c r="AB1298" i="4"/>
  <c r="AB1406" i="4"/>
  <c r="AE1442" i="4"/>
  <c r="AB237" i="4"/>
  <c r="AB345" i="4"/>
  <c r="AB453" i="4"/>
  <c r="AE489" i="4"/>
  <c r="AB561" i="4"/>
  <c r="AB669" i="4"/>
  <c r="AB777" i="4"/>
  <c r="AE813" i="4"/>
  <c r="AB885" i="4"/>
  <c r="AB993" i="4"/>
  <c r="AB1101" i="4"/>
  <c r="AE1137" i="4"/>
  <c r="AB1209" i="4"/>
  <c r="AB1317" i="4"/>
  <c r="AB1110" i="4"/>
  <c r="AE1326" i="4"/>
  <c r="AB1458" i="4"/>
  <c r="AB481" i="4"/>
  <c r="AB805" i="4"/>
  <c r="AE1345" i="4"/>
  <c r="AE392" i="4"/>
  <c r="AE680" i="4"/>
  <c r="AB1004" i="4"/>
  <c r="AE987" i="4"/>
  <c r="AE358" i="4"/>
  <c r="AB790" i="4"/>
  <c r="AE1150" i="4"/>
  <c r="AE515" i="4"/>
  <c r="AB306" i="4"/>
  <c r="AE522" i="4"/>
  <c r="AB1026" i="4"/>
  <c r="AE1188" i="4"/>
  <c r="AE337" i="4"/>
  <c r="AE661" i="4"/>
  <c r="AE985" i="4"/>
  <c r="AB1273" i="4"/>
  <c r="AE824" i="4"/>
  <c r="AE267" i="4"/>
  <c r="AB754" i="4"/>
  <c r="AB1071" i="4"/>
  <c r="AB1179" i="4"/>
  <c r="AE1215" i="4"/>
  <c r="AB1287" i="4"/>
  <c r="AE1323" i="4"/>
  <c r="AB1395" i="4"/>
  <c r="AE1431" i="4"/>
  <c r="AB226" i="4"/>
  <c r="AE262" i="4"/>
  <c r="AB334" i="4"/>
  <c r="AE370" i="4"/>
  <c r="AB442" i="4"/>
  <c r="AE478" i="4"/>
  <c r="AB550" i="4"/>
  <c r="AE586" i="4"/>
  <c r="AB658" i="4"/>
  <c r="AE694" i="4"/>
  <c r="AB766" i="4"/>
  <c r="AE802" i="4"/>
  <c r="AB874" i="4"/>
  <c r="AE910" i="4"/>
  <c r="AB982" i="4"/>
  <c r="AE1018" i="4"/>
  <c r="AB1090" i="4"/>
  <c r="AE1126" i="4"/>
  <c r="AB1198" i="4"/>
  <c r="AE1234" i="4"/>
  <c r="AB1306" i="4"/>
  <c r="AE1342" i="4"/>
  <c r="AB1414" i="4"/>
  <c r="AE1450" i="4"/>
  <c r="AE275" i="4"/>
  <c r="AB347" i="4"/>
  <c r="AE383" i="4"/>
  <c r="AB455" i="4"/>
  <c r="AE491" i="4"/>
  <c r="AB563" i="4"/>
  <c r="AE599" i="4"/>
  <c r="AB671" i="4"/>
  <c r="AE707" i="4"/>
  <c r="AB779" i="4"/>
  <c r="AE815" i="4"/>
  <c r="AB887" i="4"/>
  <c r="AE923" i="4"/>
  <c r="AB995" i="4"/>
  <c r="AE1031" i="4"/>
  <c r="AB1103" i="4"/>
  <c r="AE1139" i="4"/>
  <c r="AB1211" i="4"/>
  <c r="AE1247" i="4"/>
  <c r="AE1355" i="4"/>
  <c r="AB1427" i="4"/>
  <c r="AE1463" i="4"/>
  <c r="AB246" i="4"/>
  <c r="AE282" i="4"/>
  <c r="AB354" i="4"/>
  <c r="AE390" i="4"/>
  <c r="AB462" i="4"/>
  <c r="AE498" i="4"/>
  <c r="AB570" i="4"/>
  <c r="AE606" i="4"/>
  <c r="AB678" i="4"/>
  <c r="AE714" i="4"/>
  <c r="AB786" i="4"/>
  <c r="AB894" i="4"/>
  <c r="AE930" i="4"/>
  <c r="AB1002" i="4"/>
  <c r="AE1038" i="4"/>
  <c r="AB1176" i="4"/>
  <c r="AB1434" i="4"/>
  <c r="AE1260" i="4"/>
  <c r="AB1302" i="4"/>
  <c r="AE1128" i="4"/>
  <c r="AB1134" i="4"/>
  <c r="AB221" i="4"/>
  <c r="AB1425" i="4"/>
  <c r="AE1461" i="4"/>
  <c r="AB256" i="4"/>
  <c r="AB364" i="4"/>
  <c r="AB472" i="4"/>
  <c r="AE508" i="4"/>
  <c r="AB580" i="4"/>
  <c r="AB688" i="4"/>
  <c r="AB796" i="4"/>
  <c r="AE832" i="4"/>
  <c r="AB904" i="4"/>
  <c r="AB1012" i="4"/>
  <c r="AB1120" i="4"/>
  <c r="AE1156" i="4"/>
  <c r="AB1228" i="4"/>
  <c r="AB1336" i="4"/>
  <c r="AB1444" i="4"/>
  <c r="AE1480" i="4"/>
  <c r="AB269" i="4"/>
  <c r="AB377" i="4"/>
  <c r="AB485" i="4"/>
  <c r="AE521" i="4"/>
  <c r="AB593" i="4"/>
  <c r="AB701" i="4"/>
  <c r="AB809" i="4"/>
  <c r="AE845" i="4"/>
  <c r="AB917" i="4"/>
  <c r="AB1025" i="4"/>
  <c r="AB1133" i="4"/>
  <c r="AE1169" i="4"/>
  <c r="AB1241" i="4"/>
  <c r="AB1349" i="4"/>
  <c r="AB1457" i="4"/>
  <c r="AE1493" i="4"/>
  <c r="AB276" i="4"/>
  <c r="AB384" i="4"/>
  <c r="AB492" i="4"/>
  <c r="AE528" i="4"/>
  <c r="AB600" i="4"/>
  <c r="AB708" i="4"/>
  <c r="AB816" i="4"/>
  <c r="AE852" i="4"/>
  <c r="AB924" i="4"/>
  <c r="AB1032" i="4"/>
  <c r="AB1356" i="4"/>
  <c r="AE1182" i="4"/>
  <c r="AB1224" i="4"/>
  <c r="AB1482" i="4"/>
  <c r="AB1314" i="4"/>
  <c r="AB1309" i="4"/>
  <c r="AE968" i="4"/>
  <c r="AB1472" i="4"/>
  <c r="AE1352" i="4"/>
  <c r="AB1424" i="4"/>
  <c r="AE1460" i="4"/>
  <c r="AB255" i="4"/>
  <c r="AE291" i="4"/>
  <c r="AB363" i="4"/>
  <c r="AE399" i="4"/>
  <c r="AB471" i="4"/>
  <c r="AE507" i="4"/>
  <c r="AB1125" i="4"/>
  <c r="AE1161" i="4"/>
  <c r="AB1233" i="4"/>
  <c r="AE1269" i="4"/>
  <c r="AB1341" i="4"/>
  <c r="AE1377" i="4"/>
  <c r="AB1449" i="4"/>
  <c r="AE1485" i="4"/>
  <c r="AB280" i="4"/>
  <c r="AE316" i="4"/>
  <c r="AB388" i="4"/>
  <c r="AE424" i="4"/>
  <c r="AB496" i="4"/>
  <c r="AE532" i="4"/>
  <c r="AB604" i="4"/>
  <c r="AE640" i="4"/>
  <c r="AB712" i="4"/>
  <c r="AE748" i="4"/>
  <c r="AB820" i="4"/>
  <c r="AB928" i="4"/>
  <c r="AE964" i="4"/>
  <c r="AB1036" i="4"/>
  <c r="AE1072" i="4"/>
  <c r="AB1144" i="4"/>
  <c r="AE1180" i="4"/>
  <c r="AB1252" i="4"/>
  <c r="AE1288" i="4"/>
  <c r="AB1360" i="4"/>
  <c r="AE1396" i="4"/>
  <c r="AB1468" i="4"/>
  <c r="AE257" i="4"/>
  <c r="AB329" i="4"/>
  <c r="AE365" i="4"/>
  <c r="AB437" i="4"/>
  <c r="AE473" i="4"/>
  <c r="AB545" i="4"/>
  <c r="AE581" i="4"/>
  <c r="AB653" i="4"/>
  <c r="AE689" i="4"/>
  <c r="AB761" i="4"/>
  <c r="AE797" i="4"/>
  <c r="AB869" i="4"/>
  <c r="AE905" i="4"/>
  <c r="AB977" i="4"/>
  <c r="AE1013" i="4"/>
  <c r="AB1085" i="4"/>
  <c r="AE1121" i="4"/>
  <c r="AB1193" i="4"/>
  <c r="AE1229" i="4"/>
  <c r="AB1301" i="4"/>
  <c r="AE411" i="4"/>
  <c r="AE1059" i="4"/>
  <c r="AB1491" i="4"/>
  <c r="AE466" i="4"/>
  <c r="AB898" i="4"/>
  <c r="AE1078" i="4"/>
  <c r="AB263" i="4"/>
  <c r="AB875" i="4"/>
  <c r="AE1091" i="4"/>
  <c r="AE450" i="4"/>
  <c r="AB882" i="4"/>
  <c r="AB1494" i="4"/>
  <c r="AB301" i="4"/>
  <c r="AB625" i="4"/>
  <c r="AE733" i="4"/>
  <c r="AB949" i="4"/>
  <c r="AE1489" i="4"/>
  <c r="AE536" i="4"/>
  <c r="AB752" i="4"/>
  <c r="AE932" i="4"/>
  <c r="AB1184" i="4"/>
  <c r="AE1400" i="4"/>
  <c r="AB555" i="4"/>
  <c r="AE807" i="4"/>
  <c r="AB1239" i="4"/>
  <c r="AB610" i="4"/>
  <c r="AE826" i="4"/>
  <c r="AE1438" i="4"/>
  <c r="AB551" i="4"/>
  <c r="AB1199" i="4"/>
  <c r="AE1415" i="4"/>
  <c r="AB558" i="4"/>
  <c r="AE774" i="4"/>
  <c r="AB1146" i="4"/>
  <c r="AE1335" i="4"/>
  <c r="AB346" i="4"/>
  <c r="AE382" i="4"/>
  <c r="AB670" i="4"/>
  <c r="AE706" i="4"/>
  <c r="AB994" i="4"/>
  <c r="AE1030" i="4"/>
  <c r="AB1318" i="4"/>
  <c r="AE1354" i="4"/>
  <c r="AB359" i="4"/>
  <c r="AE395" i="4"/>
  <c r="AB683" i="4"/>
  <c r="AE827" i="4"/>
  <c r="AB1007" i="4"/>
  <c r="AE1151" i="4"/>
  <c r="AB1331" i="4"/>
  <c r="AE1475" i="4"/>
  <c r="AB402" i="4"/>
  <c r="AE546" i="4"/>
  <c r="AB726" i="4"/>
  <c r="AE870" i="4"/>
  <c r="AB1050" i="4"/>
  <c r="AE1290" i="4"/>
  <c r="AB1200" i="4"/>
  <c r="AE1129" i="4"/>
  <c r="AB1148" i="4"/>
  <c r="AE1364" i="4"/>
  <c r="AB1167" i="4"/>
  <c r="AE1347" i="4"/>
  <c r="AE682" i="4"/>
  <c r="AE1258" i="4"/>
  <c r="AB443" i="4"/>
  <c r="AB1055" i="4"/>
  <c r="AE630" i="4"/>
  <c r="AB295" i="4"/>
  <c r="AE331" i="4"/>
  <c r="AB619" i="4"/>
  <c r="AE655" i="4"/>
  <c r="AB943" i="4"/>
  <c r="AE979" i="4"/>
  <c r="AB1267" i="4"/>
  <c r="AE1303" i="4"/>
  <c r="AB314" i="4"/>
  <c r="AE350" i="4"/>
  <c r="AB638" i="4"/>
  <c r="AE674" i="4"/>
  <c r="AB962" i="4"/>
  <c r="AE998" i="4"/>
  <c r="AB1286" i="4"/>
  <c r="AE1322" i="4"/>
  <c r="AB333" i="4"/>
  <c r="AE1337" i="4"/>
  <c r="AB1409" i="4"/>
  <c r="AE1445" i="4"/>
  <c r="AB228" i="4"/>
  <c r="AE264" i="4"/>
  <c r="AB336" i="4"/>
  <c r="AE372" i="4"/>
  <c r="AB444" i="4"/>
  <c r="AE480" i="4"/>
  <c r="AB552" i="4"/>
  <c r="AE588" i="4"/>
  <c r="AB660" i="4"/>
  <c r="AE696" i="4"/>
  <c r="AB768" i="4"/>
  <c r="AE804" i="4"/>
  <c r="AB876" i="4"/>
  <c r="AE912" i="4"/>
  <c r="AB984" i="4"/>
  <c r="AE1020" i="4"/>
  <c r="AB1092" i="4"/>
  <c r="AE1284" i="4"/>
  <c r="AB1326" i="4"/>
  <c r="AE1152" i="4"/>
  <c r="AB1194" i="4"/>
  <c r="AE1410" i="4"/>
  <c r="AB1452" i="4"/>
  <c r="AE1242" i="4"/>
  <c r="AB265" i="4"/>
  <c r="AE373" i="4"/>
  <c r="AB589" i="4"/>
  <c r="AE697" i="4"/>
  <c r="AB913" i="4"/>
  <c r="AE1021" i="4"/>
  <c r="AB1345" i="4"/>
  <c r="AE1453" i="4"/>
  <c r="AB392" i="4"/>
  <c r="AE500" i="4"/>
  <c r="AB680" i="4"/>
  <c r="AE788" i="4"/>
  <c r="AB1112" i="4"/>
  <c r="AE1292" i="4"/>
  <c r="AB375" i="4"/>
  <c r="AE591" i="4"/>
  <c r="AB987" i="4"/>
  <c r="AE1203" i="4"/>
  <c r="AB358" i="4"/>
  <c r="AE574" i="4"/>
  <c r="AB1150" i="4"/>
  <c r="AE1366" i="4"/>
  <c r="AB515" i="4"/>
  <c r="AE731" i="4"/>
  <c r="AB1163" i="4"/>
  <c r="AE1379" i="4"/>
  <c r="AB522" i="4"/>
  <c r="AE738" i="4"/>
  <c r="AB1188" i="4"/>
  <c r="AE1278" i="4"/>
  <c r="AB337" i="4"/>
  <c r="AE445" i="4"/>
  <c r="AB661" i="4"/>
  <c r="AE769" i="4"/>
  <c r="AB985" i="4"/>
  <c r="AE1093" i="4"/>
  <c r="AB1417" i="4"/>
  <c r="AE248" i="4"/>
  <c r="AB464" i="4"/>
  <c r="AE572" i="4"/>
  <c r="AB824" i="4"/>
  <c r="AE1040" i="4"/>
  <c r="AB267" i="4"/>
  <c r="AE483" i="4"/>
  <c r="AB915" i="4"/>
  <c r="AE1131" i="4"/>
  <c r="AB322" i="4"/>
  <c r="AE538" i="4"/>
  <c r="AB970" i="4"/>
  <c r="AE1186" i="4"/>
  <c r="AB371" i="4"/>
  <c r="AE587" i="4"/>
  <c r="AB1019" i="4"/>
  <c r="AE1235" i="4"/>
  <c r="AB378" i="4"/>
  <c r="AE594" i="4"/>
  <c r="AB990" i="4"/>
  <c r="AE1362" i="4"/>
  <c r="AB356" i="4"/>
  <c r="AE1165" i="4"/>
  <c r="AB1256" i="4"/>
  <c r="AE231" i="4"/>
  <c r="AB663" i="4"/>
  <c r="AE879" i="4"/>
  <c r="AB1311" i="4"/>
  <c r="AE250" i="4"/>
  <c r="AB718" i="4"/>
  <c r="AE934" i="4"/>
  <c r="AB1330" i="4"/>
  <c r="AB659" i="4"/>
  <c r="AE911" i="4"/>
  <c r="AB1343" i="4"/>
  <c r="AE270" i="4"/>
  <c r="AB1446" i="4"/>
  <c r="AE369" i="4"/>
  <c r="AB657" i="4"/>
  <c r="AE693" i="4"/>
  <c r="AB981" i="4"/>
  <c r="AE1017" i="4"/>
  <c r="AB1305" i="4"/>
  <c r="AE1341" i="4"/>
  <c r="AB352" i="4"/>
  <c r="AE388" i="4"/>
  <c r="AB676" i="4"/>
  <c r="AE712" i="4"/>
  <c r="AB1000" i="4"/>
  <c r="AE1036" i="4"/>
  <c r="AB1324" i="4"/>
  <c r="AE1360" i="4"/>
  <c r="AB509" i="4"/>
  <c r="AE545" i="4"/>
  <c r="AB833" i="4"/>
  <c r="AE869" i="4"/>
  <c r="AB1157" i="4"/>
  <c r="AE1193" i="4"/>
  <c r="AB1481" i="4"/>
  <c r="AE228" i="4"/>
  <c r="AB516" i="4"/>
  <c r="AE552" i="4"/>
  <c r="AB840" i="4"/>
  <c r="AE876" i="4"/>
  <c r="AB771" i="4"/>
  <c r="AE970" i="4"/>
  <c r="AE371" i="4"/>
  <c r="AB810" i="4"/>
  <c r="AE990" i="4"/>
  <c r="AE224" i="4"/>
  <c r="AE223" i="4"/>
  <c r="AE1494" i="4"/>
  <c r="AE1350" i="4"/>
  <c r="AB224" i="4"/>
  <c r="AB219" i="4"/>
  <c r="AB645" i="4"/>
  <c r="AB271" i="4"/>
  <c r="AE307" i="4"/>
  <c r="AB379" i="4"/>
  <c r="AE415" i="4"/>
  <c r="AB487" i="4"/>
  <c r="AE523" i="4"/>
  <c r="AB595" i="4"/>
  <c r="AE631" i="4"/>
  <c r="AB703" i="4"/>
  <c r="AE739" i="4"/>
  <c r="AB811" i="4"/>
  <c r="AE847" i="4"/>
  <c r="AB919" i="4"/>
  <c r="AE955" i="4"/>
  <c r="AB1027" i="4"/>
  <c r="AE1063" i="4"/>
  <c r="AB1135" i="4"/>
  <c r="AE1171" i="4"/>
  <c r="AB1243" i="4"/>
  <c r="AE1279" i="4"/>
  <c r="AB1351" i="4"/>
  <c r="AE1387" i="4"/>
  <c r="AB1459" i="4"/>
  <c r="AE1495" i="4"/>
  <c r="AB290" i="4"/>
  <c r="AE326" i="4"/>
  <c r="AB398" i="4"/>
  <c r="AE434" i="4"/>
  <c r="AB506" i="4"/>
  <c r="AE542" i="4"/>
  <c r="AB614" i="4"/>
  <c r="AE650" i="4"/>
  <c r="AB722" i="4"/>
  <c r="AE758" i="4"/>
  <c r="AB830" i="4"/>
  <c r="AE866" i="4"/>
  <c r="AB938" i="4"/>
  <c r="AE974" i="4"/>
  <c r="AB1046" i="4"/>
  <c r="AE1082" i="4"/>
  <c r="AB1154" i="4"/>
  <c r="AE1190" i="4"/>
  <c r="AB1262" i="4"/>
  <c r="AE1298" i="4"/>
  <c r="AB1370" i="4"/>
  <c r="AE1406" i="4"/>
  <c r="AB1478" i="4"/>
  <c r="AE237" i="4"/>
  <c r="AB309" i="4"/>
  <c r="AE345" i="4"/>
  <c r="AB417" i="4"/>
  <c r="AE453" i="4"/>
  <c r="AB525" i="4"/>
  <c r="AE561" i="4"/>
  <c r="AB633" i="4"/>
  <c r="AE669" i="4"/>
  <c r="AB741" i="4"/>
  <c r="AE777" i="4"/>
  <c r="AB849" i="4"/>
  <c r="AE885" i="4"/>
  <c r="AB957" i="4"/>
  <c r="AE993" i="4"/>
  <c r="AB1065" i="4"/>
  <c r="AE1101" i="4"/>
  <c r="AB1173" i="4"/>
  <c r="AE1209" i="4"/>
  <c r="AB1281" i="4"/>
  <c r="AE1317" i="4"/>
  <c r="AB1389" i="4"/>
  <c r="AE1425" i="4"/>
  <c r="AB1497" i="4"/>
  <c r="AE256" i="4"/>
  <c r="AB328" i="4"/>
  <c r="AE364" i="4"/>
  <c r="AB436" i="4"/>
  <c r="AE472" i="4"/>
  <c r="AB544" i="4"/>
  <c r="AE580" i="4"/>
  <c r="AB652" i="4"/>
  <c r="AE688" i="4"/>
  <c r="AB760" i="4"/>
  <c r="AE796" i="4"/>
  <c r="AB868" i="4"/>
  <c r="AE904" i="4"/>
  <c r="AB976" i="4"/>
  <c r="AE1012" i="4"/>
  <c r="AB1084" i="4"/>
  <c r="AE1120" i="4"/>
  <c r="AB1192" i="4"/>
  <c r="AE1228" i="4"/>
  <c r="AB1300" i="4"/>
  <c r="AE1336" i="4"/>
  <c r="AB1408" i="4"/>
  <c r="AE1444" i="4"/>
  <c r="AB233" i="4"/>
  <c r="AE269" i="4"/>
  <c r="AB341" i="4"/>
  <c r="AE377" i="4"/>
  <c r="AB449" i="4"/>
  <c r="AE485" i="4"/>
  <c r="AB557" i="4"/>
  <c r="AE593" i="4"/>
  <c r="AB665" i="4"/>
  <c r="AE701" i="4"/>
  <c r="AB773" i="4"/>
  <c r="AE809" i="4"/>
  <c r="AB881" i="4"/>
  <c r="AE917" i="4"/>
  <c r="AB989" i="4"/>
  <c r="AE1025" i="4"/>
  <c r="AB1097" i="4"/>
  <c r="AE1133" i="4"/>
  <c r="AB1205" i="4"/>
  <c r="AE1241" i="4"/>
  <c r="AB1313" i="4"/>
  <c r="AE1349" i="4"/>
  <c r="AB1421" i="4"/>
  <c r="AE1457" i="4"/>
  <c r="AB240" i="4"/>
  <c r="AE276" i="4"/>
  <c r="AB348" i="4"/>
  <c r="AE384" i="4"/>
  <c r="AB456" i="4"/>
  <c r="AE492" i="4"/>
  <c r="AB564" i="4"/>
  <c r="AE600" i="4"/>
  <c r="AB672" i="4"/>
  <c r="AE708" i="4"/>
  <c r="AB780" i="4"/>
  <c r="AE816" i="4"/>
  <c r="AB888" i="4"/>
  <c r="AE924" i="4"/>
  <c r="AB996" i="4"/>
  <c r="AE1032" i="4"/>
  <c r="AB1140" i="4"/>
  <c r="AE1356" i="4"/>
  <c r="AB1398" i="4"/>
  <c r="AE1224" i="4"/>
  <c r="AB1266" i="4"/>
  <c r="AE1482" i="4"/>
  <c r="AB1098" i="4"/>
  <c r="AE1314" i="4"/>
  <c r="AE1309" i="4"/>
  <c r="AB1220" i="4"/>
  <c r="AE1472" i="4"/>
  <c r="AB627" i="4"/>
  <c r="AE843" i="4"/>
  <c r="AB1275" i="4"/>
  <c r="AE1491" i="4"/>
  <c r="AB646" i="4"/>
  <c r="AE898" i="4"/>
  <c r="AB1294" i="4"/>
  <c r="AE263" i="4"/>
  <c r="AB695" i="4"/>
  <c r="AE875" i="4"/>
  <c r="AB1271" i="4"/>
  <c r="AE1487" i="4"/>
  <c r="AB666" i="4"/>
  <c r="AE882" i="4"/>
  <c r="AB1404" i="4"/>
  <c r="AB283" i="4"/>
  <c r="AE319" i="4"/>
  <c r="AB391" i="4"/>
  <c r="AE427" i="4"/>
  <c r="AB499" i="4"/>
  <c r="AE535" i="4"/>
  <c r="AB607" i="4"/>
  <c r="AE751" i="4"/>
  <c r="AB823" i="4"/>
  <c r="AE859" i="4"/>
  <c r="AB931" i="4"/>
  <c r="AE967" i="4"/>
  <c r="AB1039" i="4"/>
  <c r="AE1075" i="4"/>
  <c r="AB1147" i="4"/>
  <c r="AE1183" i="4"/>
  <c r="AB1255" i="4"/>
  <c r="AE1291" i="4"/>
  <c r="AB1363" i="4"/>
  <c r="AE1399" i="4"/>
  <c r="AB1471" i="4"/>
  <c r="AE230" i="4"/>
  <c r="AB302" i="4"/>
  <c r="AE338" i="4"/>
  <c r="AB410" i="4"/>
  <c r="AE446" i="4"/>
  <c r="AB518" i="4"/>
  <c r="AE554" i="4"/>
  <c r="AB626" i="4"/>
  <c r="AE662" i="4"/>
  <c r="AB734" i="4"/>
  <c r="AE770" i="4"/>
  <c r="AB842" i="4"/>
  <c r="AE878" i="4"/>
  <c r="AB950" i="4"/>
  <c r="AE986" i="4"/>
  <c r="AB1058" i="4"/>
  <c r="AE1094" i="4"/>
  <c r="AB1166" i="4"/>
  <c r="AE1202" i="4"/>
  <c r="AB1274" i="4"/>
  <c r="AE1310" i="4"/>
  <c r="AB1382" i="4"/>
  <c r="AE1418" i="4"/>
  <c r="AB1490" i="4"/>
  <c r="AE249" i="4"/>
  <c r="AB321" i="4"/>
  <c r="AE357" i="4"/>
  <c r="AB429" i="4"/>
  <c r="AE465" i="4"/>
  <c r="AB537" i="4"/>
  <c r="AE573" i="4"/>
  <c r="AE681" i="4"/>
  <c r="AB753" i="4"/>
  <c r="AE789" i="4"/>
  <c r="AB861" i="4"/>
  <c r="AE897" i="4"/>
  <c r="AB969" i="4"/>
  <c r="AE1005" i="4"/>
  <c r="AB1077" i="4"/>
  <c r="AE1113" i="4"/>
  <c r="AB1185" i="4"/>
  <c r="AE1221" i="4"/>
  <c r="AB1293" i="4"/>
  <c r="AE1329" i="4"/>
  <c r="AB1401" i="4"/>
  <c r="AE1437" i="4"/>
  <c r="AB232" i="4"/>
  <c r="AE268" i="4"/>
  <c r="AB340" i="4"/>
  <c r="AE376" i="4"/>
  <c r="AB448" i="4"/>
  <c r="AE484" i="4"/>
  <c r="AB556" i="4"/>
  <c r="AE592" i="4"/>
  <c r="AB664" i="4"/>
  <c r="AE700" i="4"/>
  <c r="AB772" i="4"/>
  <c r="AE808" i="4"/>
  <c r="AB880" i="4"/>
  <c r="AE916" i="4"/>
  <c r="AB988" i="4"/>
  <c r="AE1024" i="4"/>
  <c r="AB1096" i="4"/>
  <c r="AE1132" i="4"/>
  <c r="AB1204" i="4"/>
  <c r="AE1240" i="4"/>
  <c r="AB1312" i="4"/>
  <c r="AE1348" i="4"/>
  <c r="AB1420" i="4"/>
  <c r="AE1456" i="4"/>
  <c r="AB245" i="4"/>
  <c r="AE281" i="4"/>
  <c r="AB353" i="4"/>
  <c r="AE389" i="4"/>
  <c r="AB461" i="4"/>
  <c r="AE497" i="4"/>
  <c r="AB569" i="4"/>
  <c r="AE605" i="4"/>
  <c r="AB677" i="4"/>
  <c r="AE713" i="4"/>
  <c r="AB785" i="4"/>
  <c r="AE821" i="4"/>
  <c r="AB893" i="4"/>
  <c r="AE929" i="4"/>
  <c r="AB1001" i="4"/>
  <c r="AE1037" i="4"/>
  <c r="AB1109" i="4"/>
  <c r="AE1145" i="4"/>
  <c r="AB1217" i="4"/>
  <c r="AE1253" i="4"/>
  <c r="AB1325" i="4"/>
  <c r="AE1361" i="4"/>
  <c r="AB1433" i="4"/>
  <c r="AE1469" i="4"/>
  <c r="AB288" i="4"/>
  <c r="AE324" i="4"/>
  <c r="AB396" i="4"/>
  <c r="AE432" i="4"/>
  <c r="AB504" i="4"/>
  <c r="AE540" i="4"/>
  <c r="AB612" i="4"/>
  <c r="AE648" i="4"/>
  <c r="AB720" i="4"/>
  <c r="AE756" i="4"/>
  <c r="AB828" i="4"/>
  <c r="AE864" i="4"/>
  <c r="AB936" i="4"/>
  <c r="AE972" i="4"/>
  <c r="AB1044" i="4"/>
  <c r="AE1080" i="4"/>
  <c r="AB1428" i="4"/>
  <c r="AE1254" i="4"/>
  <c r="AB1296" i="4"/>
  <c r="AE1122" i="4"/>
  <c r="AB1164" i="4"/>
  <c r="AE1380" i="4"/>
  <c r="AB1386" i="4"/>
  <c r="AE301" i="4"/>
  <c r="AB517" i="4"/>
  <c r="AE625" i="4"/>
  <c r="AB841" i="4"/>
  <c r="AE949" i="4"/>
  <c r="AB1237" i="4"/>
  <c r="AE1381" i="4"/>
  <c r="AB320" i="4"/>
  <c r="AE428" i="4"/>
  <c r="AB644" i="4"/>
  <c r="AE752" i="4"/>
  <c r="AB1076" i="4"/>
  <c r="AE1184" i="4"/>
  <c r="AB339" i="4"/>
  <c r="AE555" i="4"/>
  <c r="AB1023" i="4"/>
  <c r="AE1239" i="4"/>
  <c r="AB394" i="4"/>
  <c r="AE610" i="4"/>
  <c r="AB1006" i="4"/>
  <c r="AE1222" i="4"/>
  <c r="AB335" i="4"/>
  <c r="AE551" i="4"/>
  <c r="AB983" i="4"/>
  <c r="AE1199" i="4"/>
  <c r="AB342" i="4"/>
  <c r="AE558" i="4"/>
  <c r="AB954" i="4"/>
  <c r="AE1146" i="4"/>
  <c r="AB253" i="4"/>
  <c r="AE289" i="4"/>
  <c r="AB361" i="4"/>
  <c r="AE397" i="4"/>
  <c r="AB469" i="4"/>
  <c r="AE505" i="4"/>
  <c r="AB577" i="4"/>
  <c r="AE613" i="4"/>
  <c r="AB685" i="4"/>
  <c r="AE721" i="4"/>
  <c r="AB793" i="4"/>
  <c r="AE829" i="4"/>
  <c r="AB901" i="4"/>
  <c r="AE937" i="4"/>
  <c r="AB1009" i="4"/>
  <c r="AE1045" i="4"/>
  <c r="AB1117" i="4"/>
  <c r="AE1153" i="4"/>
  <c r="AB1225" i="4"/>
  <c r="AE1261" i="4"/>
  <c r="AB1333" i="4"/>
  <c r="AE1369" i="4"/>
  <c r="AB1441" i="4"/>
  <c r="AE1477" i="4"/>
  <c r="AB272" i="4"/>
  <c r="AE308" i="4"/>
  <c r="AB380" i="4"/>
  <c r="AE416" i="4"/>
  <c r="AB488" i="4"/>
  <c r="AE524" i="4"/>
  <c r="AB596" i="4"/>
  <c r="AE632" i="4"/>
  <c r="AB704" i="4"/>
  <c r="AE740" i="4"/>
  <c r="AB812" i="4"/>
  <c r="AE848" i="4"/>
  <c r="AB920" i="4"/>
  <c r="AE956" i="4"/>
  <c r="AB1028" i="4"/>
  <c r="AE1064" i="4"/>
  <c r="AB1136" i="4"/>
  <c r="AE1172" i="4"/>
  <c r="AB1244" i="4"/>
  <c r="AE1280" i="4"/>
  <c r="AB1352" i="4"/>
  <c r="AE1388" i="4"/>
  <c r="AB1460" i="4"/>
  <c r="AE1496" i="4"/>
  <c r="AB291" i="4"/>
  <c r="AE327" i="4"/>
  <c r="AB399" i="4"/>
  <c r="AE435" i="4"/>
  <c r="AB507" i="4"/>
  <c r="AE543" i="4"/>
  <c r="AB615" i="4"/>
  <c r="AE651" i="4"/>
  <c r="AB723" i="4"/>
  <c r="AE759" i="4"/>
  <c r="AB831" i="4"/>
  <c r="AE867" i="4"/>
  <c r="AB939" i="4"/>
  <c r="AE975" i="4"/>
  <c r="AB1047" i="4"/>
  <c r="AE1083" i="4"/>
  <c r="AB1155" i="4"/>
  <c r="AE1191" i="4"/>
  <c r="AB1263" i="4"/>
  <c r="AE1299" i="4"/>
  <c r="AB1371" i="4"/>
  <c r="AE1407" i="4"/>
  <c r="AB1479" i="4"/>
  <c r="AE238" i="4"/>
  <c r="AB310" i="4"/>
  <c r="AE346" i="4"/>
  <c r="AB418" i="4"/>
  <c r="AE454" i="4"/>
  <c r="AB526" i="4"/>
  <c r="AE562" i="4"/>
  <c r="AB634" i="4"/>
  <c r="AE670" i="4"/>
  <c r="AB742" i="4"/>
  <c r="AE778" i="4"/>
  <c r="AB850" i="4"/>
  <c r="AE886" i="4"/>
  <c r="AB958" i="4"/>
  <c r="AE994" i="4"/>
  <c r="AB1066" i="4"/>
  <c r="AE1102" i="4"/>
  <c r="AB1174" i="4"/>
  <c r="AE1210" i="4"/>
  <c r="AB1282" i="4"/>
  <c r="AE1318" i="4"/>
  <c r="AB1390" i="4"/>
  <c r="AE1426" i="4"/>
  <c r="AB1498" i="4"/>
  <c r="AE251" i="4"/>
  <c r="AB323" i="4"/>
  <c r="AE359" i="4"/>
  <c r="AB431" i="4"/>
  <c r="AE467" i="4"/>
  <c r="AE575" i="4"/>
  <c r="AB647" i="4"/>
  <c r="AE683" i="4"/>
  <c r="AB755" i="4"/>
  <c r="AE791" i="4"/>
  <c r="AB863" i="4"/>
  <c r="AE899" i="4"/>
  <c r="AB971" i="4"/>
  <c r="AE1007" i="4"/>
  <c r="AB1079" i="4"/>
  <c r="AE1115" i="4"/>
  <c r="AB1187" i="4"/>
  <c r="AE1223" i="4"/>
  <c r="AB1295" i="4"/>
  <c r="AE1331" i="4"/>
  <c r="AB1403" i="4"/>
  <c r="AE1439" i="4"/>
  <c r="AB258" i="4"/>
  <c r="AE294" i="4"/>
  <c r="AB366" i="4"/>
  <c r="AE402" i="4"/>
  <c r="AB474" i="4"/>
  <c r="AE510" i="4"/>
  <c r="AB582" i="4"/>
  <c r="AE618" i="4"/>
  <c r="AB690" i="4"/>
  <c r="AE726" i="4"/>
  <c r="AB798" i="4"/>
  <c r="AE834" i="4"/>
  <c r="AB906" i="4"/>
  <c r="AE942" i="4"/>
  <c r="AB1014" i="4"/>
  <c r="AE1050" i="4"/>
  <c r="AB1248" i="4"/>
  <c r="AE1464" i="4"/>
  <c r="AB1116" i="4"/>
  <c r="AE1332" i="4"/>
  <c r="AB1374" i="4"/>
  <c r="AE1200" i="4"/>
  <c r="AB1206" i="4"/>
  <c r="AE1422" i="4"/>
  <c r="AB860" i="4"/>
  <c r="AE1148" i="4"/>
  <c r="AB303" i="4"/>
  <c r="AE519" i="4"/>
  <c r="AB951" i="4"/>
  <c r="AE1167" i="4"/>
  <c r="AB286" i="4"/>
  <c r="AE502" i="4"/>
  <c r="AB862" i="4"/>
  <c r="AE1042" i="4"/>
  <c r="AB1474" i="4"/>
  <c r="AE443" i="4"/>
  <c r="AB839" i="4"/>
  <c r="AE1055" i="4"/>
  <c r="AB234" i="4"/>
  <c r="AE414" i="4"/>
  <c r="AB846" i="4"/>
  <c r="AE1104" i="4"/>
  <c r="AB259" i="4"/>
  <c r="AE295" i="4"/>
  <c r="AB367" i="4"/>
  <c r="AE403" i="4"/>
  <c r="AB475" i="4"/>
  <c r="AE511" i="4"/>
  <c r="AB583" i="4"/>
  <c r="AE619" i="4"/>
  <c r="AB691" i="4"/>
  <c r="AE727" i="4"/>
  <c r="AB799" i="4"/>
  <c r="AE835" i="4"/>
  <c r="AB907" i="4"/>
  <c r="AE943" i="4"/>
  <c r="AB1015" i="4"/>
  <c r="AE1051" i="4"/>
  <c r="AB1123" i="4"/>
  <c r="AE1159" i="4"/>
  <c r="AB1231" i="4"/>
  <c r="AE1267" i="4"/>
  <c r="AB1339" i="4"/>
  <c r="AE1375" i="4"/>
  <c r="AB1447" i="4"/>
  <c r="AE1483" i="4"/>
  <c r="AB278" i="4"/>
  <c r="AE314" i="4"/>
  <c r="AB386" i="4"/>
  <c r="AE422" i="4"/>
  <c r="AB494" i="4"/>
  <c r="AE530" i="4"/>
  <c r="AB602" i="4"/>
  <c r="AE638" i="4"/>
  <c r="AB710" i="4"/>
  <c r="AE746" i="4"/>
  <c r="AB818" i="4"/>
  <c r="AE854" i="4"/>
  <c r="AB926" i="4"/>
  <c r="AE962" i="4"/>
  <c r="AB1034" i="4"/>
  <c r="AE1070" i="4"/>
  <c r="AB1142" i="4"/>
  <c r="AE1178" i="4"/>
  <c r="AB1250" i="4"/>
  <c r="AE1286" i="4"/>
  <c r="AB1358" i="4"/>
  <c r="AE1394" i="4"/>
  <c r="AB1466" i="4"/>
  <c r="AE225" i="4"/>
  <c r="AB297" i="4"/>
  <c r="AE333" i="4"/>
  <c r="AB405" i="4"/>
  <c r="AE441" i="4"/>
  <c r="AB513" i="4"/>
  <c r="AE549" i="4"/>
  <c r="AB621" i="4"/>
  <c r="AE657" i="4"/>
  <c r="AB729" i="4"/>
  <c r="AE765" i="4"/>
  <c r="AB837" i="4"/>
  <c r="AE873" i="4"/>
  <c r="AB945" i="4"/>
  <c r="AE981" i="4"/>
  <c r="AB1053" i="4"/>
  <c r="AE1089" i="4"/>
  <c r="AB1161" i="4"/>
  <c r="AE1197" i="4"/>
  <c r="AB1269" i="4"/>
  <c r="AE1305" i="4"/>
  <c r="AB1377" i="4"/>
  <c r="AE1413" i="4"/>
  <c r="AB1485" i="4"/>
  <c r="AE244" i="4"/>
  <c r="AB316" i="4"/>
  <c r="AE352" i="4"/>
  <c r="AB424" i="4"/>
  <c r="AE460" i="4"/>
  <c r="AB532" i="4"/>
  <c r="AE568" i="4"/>
  <c r="AB640" i="4"/>
  <c r="AE676" i="4"/>
  <c r="AB748" i="4"/>
  <c r="AE784" i="4"/>
  <c r="AB856" i="4"/>
  <c r="AE892" i="4"/>
  <c r="AB964" i="4"/>
  <c r="AE1000" i="4"/>
  <c r="AB1072" i="4"/>
  <c r="AE1108" i="4"/>
  <c r="AB1180" i="4"/>
  <c r="AE1216" i="4"/>
  <c r="AB1288" i="4"/>
  <c r="AE1324" i="4"/>
  <c r="AB1396" i="4"/>
  <c r="AE1432" i="4"/>
  <c r="AB257" i="4"/>
  <c r="AE293" i="4"/>
  <c r="AB365" i="4"/>
  <c r="AE401" i="4"/>
  <c r="AB473" i="4"/>
  <c r="AE509" i="4"/>
  <c r="AB581" i="4"/>
  <c r="AE617" i="4"/>
  <c r="AB689" i="4"/>
  <c r="AE725" i="4"/>
  <c r="AB797" i="4"/>
  <c r="AE833" i="4"/>
  <c r="AB905" i="4"/>
  <c r="AE941" i="4"/>
  <c r="AB1013" i="4"/>
  <c r="AE1049" i="4"/>
  <c r="AB1121" i="4"/>
  <c r="AE1157" i="4"/>
  <c r="AB1229" i="4"/>
  <c r="AE1265" i="4"/>
  <c r="AB1337" i="4"/>
  <c r="AE1373" i="4"/>
  <c r="AB1445" i="4"/>
  <c r="AE1481" i="4"/>
  <c r="AB264" i="4"/>
  <c r="AE300" i="4"/>
  <c r="AB372" i="4"/>
  <c r="AE408" i="4"/>
  <c r="AB480" i="4"/>
  <c r="AE516" i="4"/>
  <c r="AB588" i="4"/>
  <c r="AE624" i="4"/>
  <c r="AB696" i="4"/>
  <c r="AE732" i="4"/>
  <c r="AB804" i="4"/>
  <c r="AE840" i="4"/>
  <c r="AB912" i="4"/>
  <c r="AE948" i="4"/>
  <c r="AB1020" i="4"/>
  <c r="AE1056" i="4"/>
  <c r="AB1284" i="4"/>
  <c r="AE1110" i="4"/>
  <c r="AB1152" i="4"/>
  <c r="AE1368" i="4"/>
  <c r="AB1410" i="4"/>
  <c r="AE1236" i="4"/>
  <c r="AB1242" i="4"/>
  <c r="AE1458" i="4"/>
  <c r="AB373" i="4"/>
  <c r="AE481" i="4"/>
  <c r="AB697" i="4"/>
  <c r="AE805" i="4"/>
  <c r="AB1021" i="4"/>
  <c r="AE1201" i="4"/>
  <c r="AB1453" i="4"/>
  <c r="AE284" i="4"/>
  <c r="AB500" i="4"/>
  <c r="AE608" i="4"/>
  <c r="AB788" i="4"/>
  <c r="AE1004" i="4"/>
  <c r="AB1292" i="4"/>
  <c r="AE1436" i="4"/>
  <c r="AB591" i="4"/>
  <c r="AE771" i="4"/>
  <c r="AB1203" i="4"/>
  <c r="AE1419" i="4"/>
  <c r="AB574" i="4"/>
  <c r="AE790" i="4"/>
  <c r="AB1366" i="4"/>
  <c r="AE299" i="4"/>
  <c r="AB731" i="4"/>
  <c r="AE947" i="4"/>
  <c r="AB1379" i="4"/>
  <c r="AE306" i="4"/>
  <c r="AB738" i="4"/>
  <c r="AE1026" i="4"/>
  <c r="AB1278" i="4"/>
  <c r="AE229" i="4"/>
  <c r="AB445" i="4"/>
  <c r="AE553" i="4"/>
  <c r="AB769" i="4"/>
  <c r="AE877" i="4"/>
  <c r="AB1093" i="4"/>
  <c r="AE1273" i="4"/>
  <c r="AB248" i="4"/>
  <c r="AE356" i="4"/>
  <c r="AB572" i="4"/>
  <c r="AE716" i="4"/>
  <c r="AB1040" i="4"/>
  <c r="AE1328" i="4"/>
  <c r="AB483" i="4"/>
  <c r="AE699" i="4"/>
  <c r="AB1131" i="4"/>
  <c r="AE1383" i="4"/>
  <c r="AB538" i="4"/>
  <c r="AE754" i="4"/>
  <c r="AB1186" i="4"/>
  <c r="AE1402" i="4"/>
  <c r="AB587" i="4"/>
  <c r="AE803" i="4"/>
  <c r="AB1235" i="4"/>
  <c r="AE1451" i="4"/>
  <c r="AB594" i="4"/>
  <c r="AE810" i="4"/>
  <c r="AB1362" i="4"/>
  <c r="AE1488" i="4"/>
  <c r="AB223" i="4"/>
  <c r="AB896" i="4"/>
  <c r="AE1256" i="4"/>
  <c r="AB447" i="4"/>
  <c r="AE663" i="4"/>
  <c r="AB1095" i="4"/>
  <c r="AE1311" i="4"/>
  <c r="AB430" i="4"/>
  <c r="AE718" i="4"/>
  <c r="AB1114" i="4"/>
  <c r="AE1330" i="4"/>
  <c r="AB407" i="4"/>
  <c r="AE659" i="4"/>
  <c r="AB1127" i="4"/>
  <c r="AE1343" i="4"/>
  <c r="AB486" i="4"/>
  <c r="AE702" i="4"/>
  <c r="AB1320" i="4"/>
  <c r="AB277" i="4"/>
  <c r="AE313" i="4"/>
  <c r="AB385" i="4"/>
  <c r="AE421" i="4"/>
  <c r="AB493" i="4"/>
  <c r="AE529" i="4"/>
  <c r="AB601" i="4"/>
  <c r="AE637" i="4"/>
  <c r="AB709" i="4"/>
  <c r="AE745" i="4"/>
  <c r="AB817" i="4"/>
  <c r="AE853" i="4"/>
  <c r="AB925" i="4"/>
  <c r="AE961" i="4"/>
  <c r="AB1033" i="4"/>
  <c r="AE1069" i="4"/>
  <c r="AB1141" i="4"/>
  <c r="AE1177" i="4"/>
  <c r="AB1249" i="4"/>
  <c r="AE1285" i="4"/>
  <c r="AB1357" i="4"/>
  <c r="AE1393" i="4"/>
  <c r="AB1465" i="4"/>
  <c r="AE260" i="4"/>
  <c r="AB332" i="4"/>
  <c r="AE368" i="4"/>
  <c r="AB440" i="4"/>
  <c r="AB548" i="4"/>
  <c r="AE584" i="4"/>
  <c r="AB656" i="4"/>
  <c r="AE692" i="4"/>
  <c r="AB764" i="4"/>
  <c r="AE800" i="4"/>
  <c r="AB872" i="4"/>
  <c r="AE908" i="4"/>
  <c r="AB980" i="4"/>
  <c r="AE1016" i="4"/>
  <c r="AB1088" i="4"/>
  <c r="AB1196" i="4"/>
  <c r="AE1232" i="4"/>
  <c r="AB1304" i="4"/>
  <c r="AE1340" i="4"/>
  <c r="AB1412" i="4"/>
  <c r="AE1448" i="4"/>
  <c r="AB243" i="4"/>
  <c r="AE279" i="4"/>
  <c r="AB351" i="4"/>
  <c r="AE387" i="4"/>
  <c r="AB459" i="4"/>
  <c r="AB567" i="4"/>
  <c r="AE603" i="4"/>
  <c r="AB675" i="4"/>
  <c r="AE711" i="4"/>
  <c r="AB783" i="4"/>
  <c r="AE819" i="4"/>
  <c r="AB891" i="4"/>
  <c r="AE927" i="4"/>
  <c r="AB999" i="4"/>
  <c r="AE1035" i="4"/>
  <c r="AB1107" i="4"/>
  <c r="AB1215" i="4"/>
  <c r="AE1251" i="4"/>
  <c r="AB1323" i="4"/>
  <c r="AE1359" i="4"/>
  <c r="AB1431" i="4"/>
  <c r="AE1467" i="4"/>
  <c r="AB262" i="4"/>
  <c r="AE298" i="4"/>
  <c r="AB370" i="4"/>
  <c r="AE406" i="4"/>
  <c r="AB478" i="4"/>
  <c r="AB586" i="4"/>
  <c r="AE622" i="4"/>
  <c r="AB694" i="4"/>
  <c r="AE730" i="4"/>
  <c r="AB802" i="4"/>
  <c r="AE838" i="4"/>
  <c r="AB910" i="4"/>
  <c r="AE946" i="4"/>
  <c r="AB1018" i="4"/>
  <c r="AE1054" i="4"/>
  <c r="AB1126" i="4"/>
  <c r="AB1234" i="4"/>
  <c r="AE1270" i="4"/>
  <c r="AB1342" i="4"/>
  <c r="AE1378" i="4"/>
  <c r="AB1450" i="4"/>
  <c r="AE1486" i="4"/>
  <c r="AB275" i="4"/>
  <c r="AE311" i="4"/>
  <c r="AB383" i="4"/>
  <c r="AE419" i="4"/>
  <c r="AB491" i="4"/>
  <c r="AB599" i="4"/>
  <c r="AE635" i="4"/>
  <c r="AB707" i="4"/>
  <c r="AE743" i="4"/>
  <c r="AB815" i="4"/>
  <c r="AE851" i="4"/>
  <c r="AB923" i="4"/>
  <c r="AE959" i="4"/>
  <c r="AB1031" i="4"/>
  <c r="AE1067" i="4"/>
  <c r="AB1139" i="4"/>
  <c r="AB1247" i="4"/>
  <c r="AE1283" i="4"/>
  <c r="AB1355" i="4"/>
  <c r="AE1391" i="4"/>
  <c r="AB1463" i="4"/>
  <c r="AE1499" i="4"/>
  <c r="AB282" i="4"/>
  <c r="AE318" i="4"/>
  <c r="AB390" i="4"/>
  <c r="AE426" i="4"/>
  <c r="AB498" i="4"/>
  <c r="AB606" i="4"/>
  <c r="AE642" i="4"/>
  <c r="AB714" i="4"/>
  <c r="AE750" i="4"/>
  <c r="AB822" i="4"/>
  <c r="AE858" i="4"/>
  <c r="AB930" i="4"/>
  <c r="AE966" i="4"/>
  <c r="AB1038" i="4"/>
  <c r="AE1074" i="4"/>
  <c r="AB1392" i="4"/>
  <c r="AB1260" i="4"/>
  <c r="AE1476" i="4"/>
  <c r="AB1128" i="4"/>
  <c r="AE1344" i="4"/>
  <c r="AB1350" i="4"/>
  <c r="AE643" i="4"/>
  <c r="AB715" i="4"/>
  <c r="AA6" i="4"/>
  <c r="Z6" i="4"/>
  <c r="AC7" i="4"/>
  <c r="AD6" i="4"/>
  <c r="AA9" i="4"/>
  <c r="AA7" i="4"/>
  <c r="Z9" i="4"/>
  <c r="Z7" i="4"/>
  <c r="AD9" i="4"/>
  <c r="AC9" i="4"/>
  <c r="B16" i="24"/>
  <c r="B290" i="24"/>
  <c r="AB222" i="4"/>
  <c r="AE220" i="4"/>
  <c r="AE222" i="4"/>
  <c r="AB220" i="4"/>
  <c r="B230" i="24"/>
  <c r="B133" i="24"/>
  <c r="B59" i="24"/>
  <c r="AL9" i="4"/>
  <c r="B12" i="24"/>
  <c r="L2" i="4"/>
  <c r="B69" i="24"/>
  <c r="AB2" i="4"/>
  <c r="AE2" i="4"/>
  <c r="X312" i="4"/>
  <c r="X668" i="4"/>
  <c r="X1450" i="4"/>
  <c r="X240" i="4"/>
  <c r="X348" i="4"/>
  <c r="X373" i="4"/>
  <c r="X308" i="4"/>
  <c r="O308" i="4" s="1"/>
  <c r="AI308" i="4" s="1"/>
  <c r="X410" i="4"/>
  <c r="X519" i="4"/>
  <c r="X627" i="4"/>
  <c r="X735" i="4"/>
  <c r="X951" i="4"/>
  <c r="X1059" i="4"/>
  <c r="X1167" i="4"/>
  <c r="X712" i="4"/>
  <c r="X1036" i="4"/>
  <c r="X1144" i="4"/>
  <c r="X473" i="4"/>
  <c r="X581" i="4"/>
  <c r="X689" i="4"/>
  <c r="X797" i="4"/>
  <c r="X1013" i="4"/>
  <c r="X990" i="4"/>
  <c r="X1098" i="4"/>
  <c r="X1206" i="4"/>
  <c r="X1314" i="4"/>
  <c r="X1422" i="4"/>
  <c r="X433" i="4"/>
  <c r="X541" i="4"/>
  <c r="X649" i="4"/>
  <c r="X757" i="4"/>
  <c r="X865" i="4"/>
  <c r="X596" i="4"/>
  <c r="X1484" i="4"/>
  <c r="X1489" i="4"/>
  <c r="X1490" i="4"/>
  <c r="X324" i="4"/>
  <c r="X277" i="4"/>
  <c r="X248" i="4"/>
  <c r="X356" i="4"/>
  <c r="X459" i="4"/>
  <c r="X567" i="4"/>
  <c r="X675" i="4"/>
  <c r="X783" i="4"/>
  <c r="X891" i="4"/>
  <c r="X999" i="4"/>
  <c r="X1107" i="4"/>
  <c r="X1215" i="4"/>
  <c r="X1323" i="4"/>
  <c r="X436" i="4"/>
  <c r="X544" i="4"/>
  <c r="X760" i="4"/>
  <c r="X868" i="4"/>
  <c r="X1192" i="4"/>
  <c r="X1300" i="4"/>
  <c r="X1408" i="4"/>
  <c r="X413" i="4"/>
  <c r="X521" i="4"/>
  <c r="X629" i="4"/>
  <c r="X737" i="4"/>
  <c r="X845" i="4"/>
  <c r="X953" i="4"/>
  <c r="X1061" i="4"/>
  <c r="X328" i="4"/>
  <c r="X281" i="4"/>
  <c r="X389" i="4"/>
  <c r="X223" i="4"/>
  <c r="X331" i="4"/>
  <c r="X266" i="4"/>
  <c r="X374" i="4"/>
  <c r="X477" i="4"/>
  <c r="X1125" i="4"/>
  <c r="X1233" i="4"/>
  <c r="X1341" i="4"/>
  <c r="X454" i="4"/>
  <c r="X571" i="4"/>
  <c r="X278" i="4"/>
  <c r="X636" i="4"/>
  <c r="X960" i="4"/>
  <c r="X1169" i="4"/>
  <c r="X1277" i="4"/>
  <c r="X1385" i="4"/>
  <c r="X498" i="4"/>
  <c r="X606" i="4"/>
  <c r="X714" i="4"/>
  <c r="X822" i="4"/>
  <c r="X930" i="4"/>
  <c r="X1038" i="4"/>
  <c r="X1254" i="4"/>
  <c r="X1362" i="4"/>
  <c r="X481" i="4"/>
  <c r="X589" i="4"/>
  <c r="X697" i="4"/>
  <c r="X805" i="4"/>
  <c r="X428" i="4"/>
  <c r="X536" i="4"/>
  <c r="X644" i="4"/>
  <c r="X752" i="4"/>
  <c r="X860" i="4"/>
  <c r="X968" i="4"/>
  <c r="X1076" i="4"/>
  <c r="X1184" i="4"/>
  <c r="X1292" i="4"/>
  <c r="X1400" i="4"/>
  <c r="X1183" i="4"/>
  <c r="X1159" i="4"/>
  <c r="X222" i="4"/>
  <c r="X330" i="4"/>
  <c r="X283" i="4"/>
  <c r="O283" i="4" s="1"/>
  <c r="AI283" i="4" s="1"/>
  <c r="X254" i="4"/>
  <c r="X362" i="4"/>
  <c r="X465" i="4"/>
  <c r="X573" i="4"/>
  <c r="X681" i="4"/>
  <c r="X789" i="4"/>
  <c r="X897" i="4"/>
  <c r="X1005" i="4"/>
  <c r="X1113" i="4"/>
  <c r="X1221" i="4"/>
  <c r="X1329" i="4"/>
  <c r="X442" i="4"/>
  <c r="X550" i="4"/>
  <c r="X658" i="4"/>
  <c r="X766" i="4"/>
  <c r="X874" i="4"/>
  <c r="X982" i="4"/>
  <c r="X1414" i="4"/>
  <c r="X419" i="4"/>
  <c r="X527" i="4"/>
  <c r="X635" i="4"/>
  <c r="X743" i="4"/>
  <c r="X851" i="4"/>
  <c r="X959" i="4"/>
  <c r="X1067" i="4"/>
  <c r="X1175" i="4"/>
  <c r="X1283" i="4"/>
  <c r="X1391" i="4"/>
  <c r="X1499" i="4"/>
  <c r="X504" i="4"/>
  <c r="X612" i="4"/>
  <c r="X720" i="4"/>
  <c r="X828" i="4"/>
  <c r="X936" i="4"/>
  <c r="X1044" i="4"/>
  <c r="X1152" i="4"/>
  <c r="X1260" i="4"/>
  <c r="X1368" i="4"/>
  <c r="X1476" i="4"/>
  <c r="X487" i="4"/>
  <c r="X595" i="4"/>
  <c r="X703" i="4"/>
  <c r="X811" i="4"/>
  <c r="X434" i="4"/>
  <c r="X542" i="4"/>
  <c r="X650" i="4"/>
  <c r="X758" i="4"/>
  <c r="X974" i="4"/>
  <c r="X1082" i="4"/>
  <c r="X1190" i="4"/>
  <c r="X1298" i="4"/>
  <c r="X1406" i="4"/>
  <c r="X1249" i="4"/>
  <c r="X1219" i="4"/>
  <c r="X1195" i="4"/>
  <c r="X294" i="4"/>
  <c r="X247" i="4"/>
  <c r="X326" i="4"/>
  <c r="X429" i="4"/>
  <c r="X537" i="4"/>
  <c r="X645" i="4"/>
  <c r="X753" i="4"/>
  <c r="X861" i="4"/>
  <c r="X969" i="4"/>
  <c r="X1077" i="4"/>
  <c r="X1185" i="4"/>
  <c r="X1293" i="4"/>
  <c r="X404" i="4"/>
  <c r="X514" i="4"/>
  <c r="X622" i="4"/>
  <c r="X730" i="4"/>
  <c r="X838" i="4"/>
  <c r="X946" i="4"/>
  <c r="X1054" i="4"/>
  <c r="X1162" i="4"/>
  <c r="X1270" i="4"/>
  <c r="X1378" i="4"/>
  <c r="X1486" i="4"/>
  <c r="X491" i="4"/>
  <c r="X599" i="4"/>
  <c r="X707" i="4"/>
  <c r="X923" i="4"/>
  <c r="X1031" i="4"/>
  <c r="X1247" i="4"/>
  <c r="X1355" i="4"/>
  <c r="X1463" i="4"/>
  <c r="X468" i="4"/>
  <c r="X614" i="4"/>
  <c r="X722" i="4"/>
  <c r="X830" i="4"/>
  <c r="X938" i="4"/>
  <c r="X1046" i="4"/>
  <c r="X1154" i="4"/>
  <c r="X273" i="4"/>
  <c r="X275" i="4"/>
  <c r="X300" i="4"/>
  <c r="X276" i="4"/>
  <c r="X384" i="4"/>
  <c r="X236" i="4"/>
  <c r="X447" i="4"/>
  <c r="X555" i="4"/>
  <c r="X663" i="4"/>
  <c r="X771" i="4"/>
  <c r="X879" i="4"/>
  <c r="X987" i="4"/>
  <c r="X1095" i="4"/>
  <c r="X1203" i="4"/>
  <c r="X1311" i="4"/>
  <c r="X424" i="4"/>
  <c r="X532" i="4"/>
  <c r="X640" i="4"/>
  <c r="X748" i="4"/>
  <c r="X856" i="4"/>
  <c r="X964" i="4"/>
  <c r="X1072" i="4"/>
  <c r="X1468" i="4"/>
  <c r="X397" i="4"/>
  <c r="X509" i="4"/>
  <c r="X617" i="4"/>
  <c r="X725" i="4"/>
  <c r="X833" i="4"/>
  <c r="X941" i="4"/>
  <c r="X1157" i="4"/>
  <c r="X1265" i="4"/>
  <c r="X1373" i="4"/>
  <c r="X1481" i="4"/>
  <c r="X486" i="4"/>
  <c r="X253" i="4"/>
  <c r="X361" i="4"/>
  <c r="X391" i="4"/>
  <c r="X507" i="4"/>
  <c r="X615" i="4"/>
  <c r="X723" i="4"/>
  <c r="O723" i="4" s="1"/>
  <c r="AI723" i="4" s="1"/>
  <c r="X831" i="4"/>
  <c r="X939" i="4"/>
  <c r="X1047" i="4"/>
  <c r="X1155" i="4"/>
  <c r="X1263" i="4"/>
  <c r="X1371" i="4"/>
  <c r="O1371" i="4" s="1"/>
  <c r="AI1371" i="4" s="1"/>
  <c r="X484" i="4"/>
  <c r="X592" i="4"/>
  <c r="X808" i="4"/>
  <c r="X916" i="4"/>
  <c r="X1024" i="4"/>
  <c r="X1132" i="4"/>
  <c r="X1240" i="4"/>
  <c r="X1348" i="4"/>
  <c r="X1456" i="4"/>
  <c r="X461" i="4"/>
  <c r="X569" i="4"/>
  <c r="X677" i="4"/>
  <c r="X785" i="4"/>
  <c r="X893" i="4"/>
  <c r="X1001" i="4"/>
  <c r="X1109" i="4"/>
  <c r="X1217" i="4"/>
  <c r="X1325" i="4"/>
  <c r="X1433" i="4"/>
  <c r="X438" i="4"/>
  <c r="X546" i="4"/>
  <c r="X654" i="4"/>
  <c r="X762" i="4"/>
  <c r="X870" i="4"/>
  <c r="X978" i="4"/>
  <c r="X1086" i="4"/>
  <c r="X1194" i="4"/>
  <c r="X1302" i="4"/>
  <c r="X1410" i="4"/>
  <c r="X421" i="4"/>
  <c r="X529" i="4"/>
  <c r="X637" i="4"/>
  <c r="X745" i="4"/>
  <c r="X853" i="4"/>
  <c r="X476" i="4"/>
  <c r="X584" i="4"/>
  <c r="X692" i="4"/>
  <c r="X800" i="4"/>
  <c r="X908" i="4"/>
  <c r="X1016" i="4"/>
  <c r="X1124" i="4"/>
  <c r="X1232" i="4"/>
  <c r="X1340" i="4"/>
  <c r="X1448" i="4"/>
  <c r="X1477" i="4"/>
  <c r="O1477" i="4" s="1"/>
  <c r="AI1477" i="4" s="1"/>
  <c r="X1460" i="4"/>
  <c r="X1441" i="4"/>
  <c r="X1447" i="4"/>
  <c r="X1453" i="4"/>
  <c r="X315" i="4"/>
  <c r="X256" i="4"/>
  <c r="X364" i="4"/>
  <c r="X317" i="4"/>
  <c r="X234" i="4"/>
  <c r="X342" i="4"/>
  <c r="X259" i="4"/>
  <c r="X367" i="4"/>
  <c r="X302" i="4"/>
  <c r="X403" i="4"/>
  <c r="X513" i="4"/>
  <c r="X621" i="4"/>
  <c r="X729" i="4"/>
  <c r="X837" i="4"/>
  <c r="X945" i="4"/>
  <c r="X1017" i="4"/>
  <c r="X1053" i="4"/>
  <c r="X1161" i="4"/>
  <c r="X1269" i="4"/>
  <c r="X1485" i="4"/>
  <c r="X598" i="4"/>
  <c r="X706" i="4"/>
  <c r="X814" i="4"/>
  <c r="X922" i="4"/>
  <c r="X1030" i="4"/>
  <c r="X1138" i="4"/>
  <c r="X1246" i="4"/>
  <c r="X1354" i="4"/>
  <c r="X1462" i="4"/>
  <c r="X467" i="4"/>
  <c r="X575" i="4"/>
  <c r="X683" i="4"/>
  <c r="X791" i="4"/>
  <c r="X899" i="4"/>
  <c r="X1007" i="4"/>
  <c r="X1223" i="4"/>
  <c r="X1331" i="4"/>
  <c r="X1439" i="4"/>
  <c r="X444" i="4"/>
  <c r="X552" i="4"/>
  <c r="X660" i="4"/>
  <c r="X768" i="4"/>
  <c r="X876" i="4"/>
  <c r="X984" i="4"/>
  <c r="X1092" i="4"/>
  <c r="X1200" i="4"/>
  <c r="X1308" i="4"/>
  <c r="X1416" i="4"/>
  <c r="X427" i="4"/>
  <c r="X535" i="4"/>
  <c r="X643" i="4"/>
  <c r="X751" i="4"/>
  <c r="X859" i="4"/>
  <c r="X482" i="4"/>
  <c r="X590" i="4"/>
  <c r="X698" i="4"/>
  <c r="X806" i="4"/>
  <c r="X914" i="4"/>
  <c r="X1022" i="4"/>
  <c r="X1130" i="4"/>
  <c r="X1238" i="4"/>
  <c r="X1346" i="4"/>
  <c r="X1418" i="4"/>
  <c r="X889" i="4"/>
  <c r="X1495" i="4"/>
  <c r="X1478" i="4"/>
  <c r="X1261" i="4"/>
  <c r="X1466" i="4"/>
  <c r="X1471" i="4"/>
  <c r="X228" i="4"/>
  <c r="X474" i="4"/>
  <c r="X562" i="4"/>
  <c r="X670" i="4"/>
  <c r="X778" i="4"/>
  <c r="X886" i="4"/>
  <c r="X994" i="4"/>
  <c r="X1102" i="4"/>
  <c r="X431" i="4"/>
  <c r="X539" i="4"/>
  <c r="X647" i="4"/>
  <c r="X755" i="4"/>
  <c r="X971" i="4"/>
  <c r="X1187" i="4"/>
  <c r="X1295" i="4"/>
  <c r="X1403" i="4"/>
  <c r="X407" i="4"/>
  <c r="X516" i="4"/>
  <c r="X624" i="4"/>
  <c r="X732" i="4"/>
  <c r="X840" i="4"/>
  <c r="X948" i="4"/>
  <c r="X1056" i="4"/>
  <c r="X1164" i="4"/>
  <c r="X1272" i="4"/>
  <c r="X1380" i="4"/>
  <c r="X1488" i="4"/>
  <c r="X499" i="4"/>
  <c r="X607" i="4"/>
  <c r="X715" i="4"/>
  <c r="X823" i="4"/>
  <c r="X446" i="4"/>
  <c r="X554" i="4"/>
  <c r="X662" i="4"/>
  <c r="X770" i="4"/>
  <c r="X1267" i="4"/>
  <c r="X1273" i="4"/>
  <c r="X291" i="4"/>
  <c r="X399" i="4"/>
  <c r="X304" i="4"/>
  <c r="X221" i="4"/>
  <c r="X329" i="4"/>
  <c r="X282" i="4"/>
  <c r="X390" i="4"/>
  <c r="X307" i="4"/>
  <c r="X242" i="4"/>
  <c r="X350" i="4"/>
  <c r="X453" i="4"/>
  <c r="X561" i="4"/>
  <c r="X669" i="4"/>
  <c r="X777" i="4"/>
  <c r="X885" i="4"/>
  <c r="X993" i="4"/>
  <c r="X1101" i="4"/>
  <c r="X1209" i="4"/>
  <c r="X1317" i="4"/>
  <c r="X1425" i="4"/>
  <c r="X1497" i="4"/>
  <c r="X430" i="4"/>
  <c r="X646" i="4"/>
  <c r="X754" i="4"/>
  <c r="X862" i="4"/>
  <c r="X970" i="4"/>
  <c r="X1078" i="4"/>
  <c r="X1186" i="4"/>
  <c r="X1294" i="4"/>
  <c r="X1402" i="4"/>
  <c r="X406" i="4"/>
  <c r="X515" i="4"/>
  <c r="X623" i="4"/>
  <c r="X731" i="4"/>
  <c r="X839" i="4"/>
  <c r="X947" i="4"/>
  <c r="X1055" i="4"/>
  <c r="X1163" i="4"/>
  <c r="X1271" i="4"/>
  <c r="X1379" i="4"/>
  <c r="X1487" i="4"/>
  <c r="X492" i="4"/>
  <c r="X600" i="4"/>
  <c r="X708" i="4"/>
  <c r="X816" i="4"/>
  <c r="X924" i="4"/>
  <c r="X1032" i="4"/>
  <c r="X1140" i="4"/>
  <c r="X1248" i="4"/>
  <c r="X1356" i="4"/>
  <c r="X1464" i="4"/>
  <c r="X475" i="4"/>
  <c r="X583" i="4"/>
  <c r="X691" i="4"/>
  <c r="X799" i="4"/>
  <c r="X422" i="4"/>
  <c r="X530" i="4"/>
  <c r="X638" i="4"/>
  <c r="X746" i="4"/>
  <c r="X854" i="4"/>
  <c r="X962" i="4"/>
  <c r="X1070" i="4"/>
  <c r="X1178" i="4"/>
  <c r="X1286" i="4"/>
  <c r="X1394" i="4"/>
  <c r="X1177" i="4"/>
  <c r="X1147" i="4"/>
  <c r="X1117" i="4"/>
  <c r="X1123" i="4"/>
  <c r="X1129" i="4"/>
  <c r="X991" i="4"/>
  <c r="X1201" i="4"/>
  <c r="X227" i="4"/>
  <c r="X458" i="4"/>
  <c r="X782" i="4"/>
  <c r="X815" i="4"/>
  <c r="X1139" i="4"/>
  <c r="X576" i="4"/>
  <c r="X684" i="4"/>
  <c r="X792" i="4"/>
  <c r="X900" i="4"/>
  <c r="X1008" i="4"/>
  <c r="X1116" i="4"/>
  <c r="X1224" i="4"/>
  <c r="X1332" i="4"/>
  <c r="X1440" i="4"/>
  <c r="X451" i="4"/>
  <c r="X559" i="4"/>
  <c r="X973" i="4"/>
  <c r="X594" i="4"/>
  <c r="X702" i="4"/>
  <c r="X810" i="4"/>
  <c r="X918" i="4"/>
  <c r="X1026" i="4"/>
  <c r="X1134" i="4"/>
  <c r="X1242" i="4"/>
  <c r="X1350" i="4"/>
  <c r="X1458" i="4"/>
  <c r="X469" i="4"/>
  <c r="X577" i="4"/>
  <c r="X685" i="4"/>
  <c r="X793" i="4"/>
  <c r="X416" i="4"/>
  <c r="X524" i="4"/>
  <c r="X632" i="4"/>
  <c r="X740" i="4"/>
  <c r="X848" i="4"/>
  <c r="X956" i="4"/>
  <c r="X1064" i="4"/>
  <c r="X1172" i="4"/>
  <c r="X1280" i="4"/>
  <c r="X1111" i="4"/>
  <c r="X1081" i="4"/>
  <c r="X1483" i="4"/>
  <c r="X1087" i="4"/>
  <c r="X1093" i="4"/>
  <c r="X1387" i="4"/>
  <c r="X252" i="4"/>
  <c r="X313" i="4"/>
  <c r="X284" i="4"/>
  <c r="X392" i="4"/>
  <c r="X495" i="4"/>
  <c r="X819" i="4"/>
  <c r="X1035" i="4"/>
  <c r="X1143" i="4"/>
  <c r="X1251" i="4"/>
  <c r="X1359" i="4"/>
  <c r="X1467" i="4"/>
  <c r="X472" i="4"/>
  <c r="X580" i="4"/>
  <c r="X688" i="4"/>
  <c r="X796" i="4"/>
  <c r="X904" i="4"/>
  <c r="X1012" i="4"/>
  <c r="X1228" i="4"/>
  <c r="X1336" i="4"/>
  <c r="X1444" i="4"/>
  <c r="X449" i="4"/>
  <c r="X557" i="4"/>
  <c r="X665" i="4"/>
  <c r="O665" i="4" s="1"/>
  <c r="AI665" i="4" s="1"/>
  <c r="X773" i="4"/>
  <c r="X881" i="4"/>
  <c r="X989" i="4"/>
  <c r="X1097" i="4"/>
  <c r="X1205" i="4"/>
  <c r="X1313" i="4"/>
  <c r="O1313" i="4" s="1"/>
  <c r="AI1313" i="4" s="1"/>
  <c r="X1421" i="4"/>
  <c r="X426" i="4"/>
  <c r="X534" i="4"/>
  <c r="X642" i="4"/>
  <c r="O642" i="4" s="1"/>
  <c r="AI642" i="4" s="1"/>
  <c r="X750" i="4"/>
  <c r="X858" i="4"/>
  <c r="X966" i="4"/>
  <c r="X1074" i="4"/>
  <c r="X1182" i="4"/>
  <c r="O1182" i="4" s="1"/>
  <c r="AI1182" i="4" s="1"/>
  <c r="X1290" i="4"/>
  <c r="X1398" i="4"/>
  <c r="X464" i="4"/>
  <c r="X572" i="4"/>
  <c r="X680" i="4"/>
  <c r="X788" i="4"/>
  <c r="X896" i="4"/>
  <c r="X1004" i="4"/>
  <c r="X1112" i="4"/>
  <c r="X1220" i="4"/>
  <c r="X1328" i="4"/>
  <c r="X1429" i="4"/>
  <c r="X1399" i="4"/>
  <c r="X1369" i="4"/>
  <c r="X1375" i="4"/>
  <c r="X1381" i="4"/>
  <c r="X311" i="4"/>
  <c r="X264" i="4"/>
  <c r="X372" i="4"/>
  <c r="X325" i="4"/>
  <c r="X260" i="4"/>
  <c r="X368" i="4"/>
  <c r="X471" i="4"/>
  <c r="X579" i="4"/>
  <c r="X687" i="4"/>
  <c r="X795" i="4"/>
  <c r="X903" i="4"/>
  <c r="X1011" i="4"/>
  <c r="X1119" i="4"/>
  <c r="X1227" i="4"/>
  <c r="X1335" i="4"/>
  <c r="X1443" i="4"/>
  <c r="X448" i="4"/>
  <c r="X556" i="4"/>
  <c r="X664" i="4"/>
  <c r="X772" i="4"/>
  <c r="X880" i="4"/>
  <c r="X988" i="4"/>
  <c r="X1096" i="4"/>
  <c r="X1204" i="4"/>
  <c r="X1312" i="4"/>
  <c r="X1420" i="4"/>
  <c r="X533" i="4"/>
  <c r="X641" i="4"/>
  <c r="X857" i="4"/>
  <c r="X965" i="4"/>
  <c r="X1073" i="4"/>
  <c r="X1181" i="4"/>
  <c r="X1289" i="4"/>
  <c r="X1397" i="4"/>
  <c r="X400" i="4"/>
  <c r="X510" i="4"/>
  <c r="X618" i="4"/>
  <c r="X726" i="4"/>
  <c r="X798" i="4"/>
  <c r="X834" i="4"/>
  <c r="X942" i="4"/>
  <c r="X1050" i="4"/>
  <c r="X1158" i="4"/>
  <c r="X1266" i="4"/>
  <c r="X1374" i="4"/>
  <c r="X1482" i="4"/>
  <c r="X493" i="4"/>
  <c r="X601" i="4"/>
  <c r="X709" i="4"/>
  <c r="X817" i="4"/>
  <c r="X440" i="4"/>
  <c r="X548" i="4"/>
  <c r="X656" i="4"/>
  <c r="X764" i="4"/>
  <c r="X872" i="4"/>
  <c r="X980" i="4"/>
  <c r="X1088" i="4"/>
  <c r="X1196" i="4"/>
  <c r="X1304" i="4"/>
  <c r="X1412" i="4"/>
  <c r="X1285" i="4"/>
  <c r="X1255" i="4"/>
  <c r="X1231" i="4"/>
  <c r="X1237" i="4"/>
  <c r="X1027" i="4"/>
  <c r="X1449" i="4"/>
  <c r="X1115" i="4"/>
  <c r="X1465" i="4"/>
  <c r="X1315" i="4"/>
  <c r="X321" i="4"/>
  <c r="X393" i="4"/>
  <c r="X226" i="4"/>
  <c r="X334" i="4"/>
  <c r="X287" i="4"/>
  <c r="X395" i="4"/>
  <c r="X301" i="4"/>
  <c r="X1383" i="4"/>
  <c r="X1180" i="4"/>
  <c r="X1288" i="4"/>
  <c r="X1141" i="4"/>
  <c r="X895" i="4"/>
  <c r="X255" i="4"/>
  <c r="X363" i="4"/>
  <c r="X293" i="4"/>
  <c r="X246" i="4"/>
  <c r="X354" i="4"/>
  <c r="X271" i="4"/>
  <c r="X379" i="4"/>
  <c r="X314" i="4"/>
  <c r="X417" i="4"/>
  <c r="X525" i="4"/>
  <c r="X633" i="4"/>
  <c r="X741" i="4"/>
  <c r="X849" i="4"/>
  <c r="X957" i="4"/>
  <c r="O957" i="4" s="1"/>
  <c r="AI957" i="4" s="1"/>
  <c r="X1173" i="4"/>
  <c r="X1281" i="4"/>
  <c r="X1389" i="4"/>
  <c r="X502" i="4"/>
  <c r="X610" i="4"/>
  <c r="X718" i="4"/>
  <c r="X826" i="4"/>
  <c r="X934" i="4"/>
  <c r="X1042" i="4"/>
  <c r="X1150" i="4"/>
  <c r="X1258" i="4"/>
  <c r="X1366" i="4"/>
  <c r="X1474" i="4"/>
  <c r="X479" i="4"/>
  <c r="X695" i="4"/>
  <c r="X803" i="4"/>
  <c r="X911" i="4"/>
  <c r="X1019" i="4"/>
  <c r="X1127" i="4"/>
  <c r="X1235" i="4"/>
  <c r="X1343" i="4"/>
  <c r="X1451" i="4"/>
  <c r="X456" i="4"/>
  <c r="X564" i="4"/>
  <c r="X672" i="4"/>
  <c r="X780" i="4"/>
  <c r="X888" i="4"/>
  <c r="X996" i="4"/>
  <c r="X1104" i="4"/>
  <c r="X1212" i="4"/>
  <c r="O1212" i="4" s="1"/>
  <c r="AI1212" i="4" s="1"/>
  <c r="X1320" i="4"/>
  <c r="X1428" i="4"/>
  <c r="X439" i="4"/>
  <c r="X547" i="4"/>
  <c r="X655" i="4"/>
  <c r="X763" i="4"/>
  <c r="X871" i="4"/>
  <c r="X494" i="4"/>
  <c r="X602" i="4"/>
  <c r="X710" i="4"/>
  <c r="X818" i="4"/>
  <c r="X926" i="4"/>
  <c r="X1034" i="4"/>
  <c r="X1142" i="4"/>
  <c r="X1250" i="4"/>
  <c r="X1358" i="4"/>
  <c r="X961" i="4"/>
  <c r="X931" i="4"/>
  <c r="X901" i="4"/>
  <c r="X907" i="4"/>
  <c r="X913" i="4"/>
  <c r="X919" i="4"/>
  <c r="X261" i="4"/>
  <c r="X369" i="4"/>
  <c r="X274" i="4"/>
  <c r="X382" i="4"/>
  <c r="X299" i="4"/>
  <c r="X360" i="4"/>
  <c r="X603" i="4"/>
  <c r="X711" i="4"/>
  <c r="X927" i="4"/>
  <c r="X1120" i="4"/>
  <c r="X517" i="4"/>
  <c r="X625" i="4"/>
  <c r="X841" i="4"/>
  <c r="X1436" i="4"/>
  <c r="X1207" i="4"/>
  <c r="X1279" i="4"/>
  <c r="X267" i="4"/>
  <c r="X375" i="4"/>
  <c r="X280" i="4"/>
  <c r="X388" i="4"/>
  <c r="X305" i="4"/>
  <c r="X377" i="4"/>
  <c r="X1401" i="4"/>
  <c r="X1090" i="4"/>
  <c r="X506" i="4"/>
  <c r="X1189" i="4"/>
  <c r="X237" i="4"/>
  <c r="X345" i="4"/>
  <c r="X286" i="4"/>
  <c r="X394" i="4"/>
  <c r="X296" i="4"/>
  <c r="X1388" i="4"/>
  <c r="X219" i="4"/>
  <c r="X1431" i="4"/>
  <c r="X1146" i="4"/>
  <c r="X1470" i="4"/>
  <c r="X408" i="4"/>
  <c r="X1198" i="4"/>
  <c r="X1306" i="4"/>
  <c r="X866" i="4"/>
  <c r="X1423" i="4"/>
  <c r="X336" i="4"/>
  <c r="X289" i="4"/>
  <c r="X224" i="4"/>
  <c r="X332" i="4"/>
  <c r="X435" i="4"/>
  <c r="X543" i="4"/>
  <c r="X651" i="4"/>
  <c r="O651" i="4" s="1"/>
  <c r="AI651" i="4" s="1"/>
  <c r="X759" i="4"/>
  <c r="X867" i="4"/>
  <c r="X975" i="4"/>
  <c r="X1083" i="4"/>
  <c r="X1191" i="4"/>
  <c r="X1299" i="4"/>
  <c r="X1407" i="4"/>
  <c r="X412" i="4"/>
  <c r="X520" i="4"/>
  <c r="X628" i="4"/>
  <c r="X736" i="4"/>
  <c r="X844" i="4"/>
  <c r="X952" i="4"/>
  <c r="X1060" i="4"/>
  <c r="X1168" i="4"/>
  <c r="X1276" i="4"/>
  <c r="X1384" i="4"/>
  <c r="X1492" i="4"/>
  <c r="X497" i="4"/>
  <c r="X605" i="4"/>
  <c r="X713" i="4"/>
  <c r="X821" i="4"/>
  <c r="X929" i="4"/>
  <c r="X1037" i="4"/>
  <c r="X1145" i="4"/>
  <c r="X1253" i="4"/>
  <c r="O1253" i="4" s="1"/>
  <c r="AI1253" i="4" s="1"/>
  <c r="X1361" i="4"/>
  <c r="X1469" i="4"/>
  <c r="X582" i="4"/>
  <c r="X690" i="4"/>
  <c r="X906" i="4"/>
  <c r="X1014" i="4"/>
  <c r="X1122" i="4"/>
  <c r="X1230" i="4"/>
  <c r="X1338" i="4"/>
  <c r="X1446" i="4"/>
  <c r="X457" i="4"/>
  <c r="X565" i="4"/>
  <c r="X673" i="4"/>
  <c r="X781" i="4"/>
  <c r="X402" i="4"/>
  <c r="X512" i="4"/>
  <c r="X620" i="4"/>
  <c r="X728" i="4"/>
  <c r="X836" i="4"/>
  <c r="X944" i="4"/>
  <c r="X1052" i="4"/>
  <c r="X1160" i="4"/>
  <c r="X1268" i="4"/>
  <c r="X1376" i="4"/>
  <c r="X1069" i="4"/>
  <c r="X1039" i="4"/>
  <c r="X1009" i="4"/>
  <c r="X1015" i="4"/>
  <c r="X1021" i="4"/>
  <c r="X955" i="4"/>
  <c r="X279" i="4"/>
  <c r="X387" i="4"/>
  <c r="X306" i="4"/>
  <c r="X1413" i="4"/>
  <c r="X1079" i="4"/>
  <c r="X1151" i="4"/>
  <c r="X409" i="4"/>
  <c r="X1243" i="4"/>
  <c r="X285" i="4"/>
  <c r="X262" i="4"/>
  <c r="X298" i="4"/>
  <c r="X251" i="4"/>
  <c r="X359" i="4"/>
  <c r="X265" i="4"/>
  <c r="X604" i="4"/>
  <c r="X928" i="4"/>
  <c r="X992" i="4"/>
  <c r="X327" i="4"/>
  <c r="X232" i="4"/>
  <c r="X340" i="4"/>
  <c r="X257" i="4"/>
  <c r="X365" i="4"/>
  <c r="X318" i="4"/>
  <c r="X235" i="4"/>
  <c r="X343" i="4"/>
  <c r="X386" i="4"/>
  <c r="X489" i="4"/>
  <c r="O489" i="4" s="1"/>
  <c r="AI489" i="4" s="1"/>
  <c r="X597" i="4"/>
  <c r="X705" i="4"/>
  <c r="X813" i="4"/>
  <c r="X921" i="4"/>
  <c r="X1029" i="4"/>
  <c r="X1137" i="4"/>
  <c r="X1245" i="4"/>
  <c r="X1353" i="4"/>
  <c r="X1461" i="4"/>
  <c r="X466" i="4"/>
  <c r="X574" i="4"/>
  <c r="X682" i="4"/>
  <c r="X790" i="4"/>
  <c r="X898" i="4"/>
  <c r="X1006" i="4"/>
  <c r="X1114" i="4"/>
  <c r="X1222" i="4"/>
  <c r="X1330" i="4"/>
  <c r="X1438" i="4"/>
  <c r="X443" i="4"/>
  <c r="X551" i="4"/>
  <c r="X659" i="4"/>
  <c r="X767" i="4"/>
  <c r="X875" i="4"/>
  <c r="X983" i="4"/>
  <c r="X1091" i="4"/>
  <c r="X1199" i="4"/>
  <c r="X1307" i="4"/>
  <c r="X1415" i="4"/>
  <c r="X420" i="4"/>
  <c r="X528" i="4"/>
  <c r="X744" i="4"/>
  <c r="X852" i="4"/>
  <c r="X1068" i="4"/>
  <c r="X1176" i="4"/>
  <c r="X1284" i="4"/>
  <c r="X1392" i="4"/>
  <c r="X401" i="4"/>
  <c r="X511" i="4"/>
  <c r="X619" i="4"/>
  <c r="O619" i="4" s="1"/>
  <c r="AI619" i="4" s="1"/>
  <c r="X727" i="4"/>
  <c r="X835" i="4"/>
  <c r="X566" i="4"/>
  <c r="X674" i="4"/>
  <c r="X890" i="4"/>
  <c r="X998" i="4"/>
  <c r="X1106" i="4"/>
  <c r="X1214" i="4"/>
  <c r="X1322" i="4"/>
  <c r="X1430" i="4"/>
  <c r="X1393" i="4"/>
  <c r="X1363" i="4"/>
  <c r="X1333" i="4"/>
  <c r="X1339" i="4"/>
  <c r="X1345" i="4"/>
  <c r="X1063" i="4"/>
  <c r="X225" i="4"/>
  <c r="X333" i="4"/>
  <c r="X238" i="4"/>
  <c r="X346" i="4"/>
  <c r="X263" i="4"/>
  <c r="X371" i="4"/>
  <c r="X1395" i="4"/>
  <c r="X652" i="4"/>
  <c r="X976" i="4"/>
  <c r="X1084" i="4"/>
  <c r="X701" i="4"/>
  <c r="X1493" i="4"/>
  <c r="X231" i="4"/>
  <c r="X339" i="4"/>
  <c r="X244" i="4"/>
  <c r="X352" i="4"/>
  <c r="X269" i="4"/>
  <c r="X355" i="4"/>
  <c r="X1033" i="4"/>
  <c r="X1003" i="4"/>
  <c r="X309" i="4"/>
  <c r="X250" i="4"/>
  <c r="X358" i="4"/>
  <c r="X383" i="4"/>
  <c r="X1479" i="4"/>
  <c r="X700" i="4"/>
  <c r="X1099" i="4"/>
  <c r="X585" i="4"/>
  <c r="X693" i="4"/>
  <c r="X801" i="4"/>
  <c r="X909" i="4"/>
  <c r="X1210" i="4"/>
  <c r="X1318" i="4"/>
  <c r="X1426" i="4"/>
  <c r="X863" i="4"/>
  <c r="X878" i="4"/>
  <c r="X986" i="4"/>
  <c r="X1094" i="4"/>
  <c r="X1202" i="4"/>
  <c r="X1310" i="4"/>
  <c r="X1321" i="4"/>
  <c r="X1291" i="4"/>
  <c r="X843" i="4"/>
  <c r="X1275" i="4"/>
  <c r="X1491" i="4"/>
  <c r="X496" i="4"/>
  <c r="X820" i="4"/>
  <c r="X1252" i="4"/>
  <c r="X1360" i="4"/>
  <c r="X905" i="4"/>
  <c r="X1121" i="4"/>
  <c r="X1229" i="4"/>
  <c r="X1337" i="4"/>
  <c r="X1445" i="4"/>
  <c r="X450" i="4"/>
  <c r="X558" i="4"/>
  <c r="X666" i="4"/>
  <c r="X774" i="4"/>
  <c r="X882" i="4"/>
  <c r="X488" i="4"/>
  <c r="X704" i="4"/>
  <c r="X812" i="4"/>
  <c r="X920" i="4"/>
  <c r="X1028" i="4"/>
  <c r="X1136" i="4"/>
  <c r="X1244" i="4"/>
  <c r="X1352" i="4"/>
  <c r="X925" i="4"/>
  <c r="X1496" i="4"/>
  <c r="X538" i="4"/>
  <c r="X1213" i="4"/>
  <c r="X1153" i="4"/>
  <c r="X1165" i="4"/>
  <c r="X667" i="4"/>
  <c r="X775" i="4"/>
  <c r="X385" i="4"/>
  <c r="X1262" i="4"/>
  <c r="X1370" i="4"/>
  <c r="X979" i="4"/>
  <c r="X985" i="4"/>
  <c r="X1351" i="4"/>
  <c r="X245" i="4"/>
  <c r="X338" i="4"/>
  <c r="X441" i="4"/>
  <c r="X549" i="4"/>
  <c r="X765" i="4"/>
  <c r="X873" i="4"/>
  <c r="X1377" i="4"/>
  <c r="X463" i="4"/>
  <c r="X679" i="4"/>
  <c r="O679" i="4" s="1"/>
  <c r="AI679" i="4" s="1"/>
  <c r="X787" i="4"/>
  <c r="X1105" i="4"/>
  <c r="X1171" i="4"/>
  <c r="X249" i="4"/>
  <c r="X357" i="4"/>
  <c r="X370" i="4"/>
  <c r="X323" i="4"/>
  <c r="X1419" i="4"/>
  <c r="X1396" i="4"/>
  <c r="X1049" i="4"/>
  <c r="X846" i="4"/>
  <c r="X1297" i="4"/>
  <c r="X297" i="4"/>
  <c r="X405" i="4"/>
  <c r="X310" i="4"/>
  <c r="X335" i="4"/>
  <c r="X1025" i="4"/>
  <c r="X1110" i="4"/>
  <c r="X949" i="4"/>
  <c r="X1135" i="4"/>
  <c r="X303" i="4"/>
  <c r="X411" i="4"/>
  <c r="X316" i="4"/>
  <c r="X233" i="4"/>
  <c r="X341" i="4"/>
  <c r="O341" i="4" s="1"/>
  <c r="AI341" i="4" s="1"/>
  <c r="X1234" i="4"/>
  <c r="X1342" i="4"/>
  <c r="X381" i="4"/>
  <c r="X322" i="4"/>
  <c r="X239" i="4"/>
  <c r="X347" i="4"/>
  <c r="X425" i="4"/>
  <c r="X749" i="4"/>
  <c r="X1225" i="4"/>
  <c r="X243" i="4"/>
  <c r="X351" i="4"/>
  <c r="X292" i="4"/>
  <c r="X353" i="4"/>
  <c r="X270" i="4"/>
  <c r="X378" i="4"/>
  <c r="X295" i="4"/>
  <c r="X230" i="4"/>
  <c r="X657" i="4"/>
  <c r="X981" i="4"/>
  <c r="X1089" i="4"/>
  <c r="X1197" i="4"/>
  <c r="X1305" i="4"/>
  <c r="X418" i="4"/>
  <c r="O418" i="4" s="1"/>
  <c r="AI418" i="4" s="1"/>
  <c r="X490" i="4"/>
  <c r="X526" i="4"/>
  <c r="O526" i="4" s="1"/>
  <c r="AI526" i="4" s="1"/>
  <c r="X634" i="4"/>
  <c r="X742" i="4"/>
  <c r="X850" i="4"/>
  <c r="X958" i="4"/>
  <c r="X1066" i="4"/>
  <c r="X1174" i="4"/>
  <c r="X1282" i="4"/>
  <c r="X1390" i="4"/>
  <c r="X1498" i="4"/>
  <c r="X503" i="4"/>
  <c r="X611" i="4"/>
  <c r="X719" i="4"/>
  <c r="X827" i="4"/>
  <c r="X935" i="4"/>
  <c r="X1043" i="4"/>
  <c r="X1259" i="4"/>
  <c r="X1367" i="4"/>
  <c r="X1475" i="4"/>
  <c r="X480" i="4"/>
  <c r="X588" i="4"/>
  <c r="X696" i="4"/>
  <c r="X804" i="4"/>
  <c r="X912" i="4"/>
  <c r="X1020" i="4"/>
  <c r="X1128" i="4"/>
  <c r="X1236" i="4"/>
  <c r="X1344" i="4"/>
  <c r="X1452" i="4"/>
  <c r="X518" i="4"/>
  <c r="X626" i="4"/>
  <c r="X734" i="4"/>
  <c r="X842" i="4"/>
  <c r="X950" i="4"/>
  <c r="X1058" i="4"/>
  <c r="X1166" i="4"/>
  <c r="X1274" i="4"/>
  <c r="X1382" i="4"/>
  <c r="X1075" i="4"/>
  <c r="X1045" i="4"/>
  <c r="X1051" i="4"/>
  <c r="X1057" i="4"/>
  <c r="X883" i="4"/>
  <c r="X220" i="4"/>
  <c r="X229" i="4"/>
  <c r="X337" i="4"/>
  <c r="X272" i="4"/>
  <c r="X344" i="4"/>
  <c r="X380" i="4"/>
  <c r="X483" i="4"/>
  <c r="X591" i="4"/>
  <c r="X699" i="4"/>
  <c r="X807" i="4"/>
  <c r="X915" i="4"/>
  <c r="X1023" i="4"/>
  <c r="X1131" i="4"/>
  <c r="X1239" i="4"/>
  <c r="X1347" i="4"/>
  <c r="X1455" i="4"/>
  <c r="X460" i="4"/>
  <c r="X568" i="4"/>
  <c r="X676" i="4"/>
  <c r="X784" i="4"/>
  <c r="X892" i="4"/>
  <c r="X1000" i="4"/>
  <c r="X1108" i="4"/>
  <c r="X1216" i="4"/>
  <c r="X1324" i="4"/>
  <c r="X1432" i="4"/>
  <c r="X437" i="4"/>
  <c r="X545" i="4"/>
  <c r="X653" i="4"/>
  <c r="X761" i="4"/>
  <c r="X869" i="4"/>
  <c r="X977" i="4"/>
  <c r="X1085" i="4"/>
  <c r="X1193" i="4"/>
  <c r="X1301" i="4"/>
  <c r="X1409" i="4"/>
  <c r="X414" i="4"/>
  <c r="X522" i="4"/>
  <c r="X630" i="4"/>
  <c r="X738" i="4"/>
  <c r="X954" i="4"/>
  <c r="X1062" i="4"/>
  <c r="X1170" i="4"/>
  <c r="X1278" i="4"/>
  <c r="X1386" i="4"/>
  <c r="X1494" i="4"/>
  <c r="X505" i="4"/>
  <c r="X613" i="4"/>
  <c r="X721" i="4"/>
  <c r="X829" i="4"/>
  <c r="X452" i="4"/>
  <c r="X560" i="4"/>
  <c r="X776" i="4"/>
  <c r="X884" i="4"/>
  <c r="X1100" i="4"/>
  <c r="X1208" i="4"/>
  <c r="X1316" i="4"/>
  <c r="X1424" i="4"/>
  <c r="X1357" i="4"/>
  <c r="X1327" i="4"/>
  <c r="X1303" i="4"/>
  <c r="X1309" i="4"/>
  <c r="X1454" i="4"/>
  <c r="X268" i="4"/>
  <c r="X376" i="4"/>
  <c r="X1065" i="4"/>
  <c r="X587" i="4"/>
  <c r="X288" i="4"/>
  <c r="X241" i="4"/>
  <c r="X349" i="4"/>
  <c r="X320" i="4"/>
  <c r="X423" i="4"/>
  <c r="X531" i="4"/>
  <c r="X639" i="4"/>
  <c r="X747" i="4"/>
  <c r="X855" i="4"/>
  <c r="O855" i="4" s="1"/>
  <c r="AI855" i="4" s="1"/>
  <c r="X963" i="4"/>
  <c r="X1071" i="4"/>
  <c r="X1179" i="4"/>
  <c r="X1287" i="4"/>
  <c r="X396" i="4"/>
  <c r="X508" i="4"/>
  <c r="X616" i="4"/>
  <c r="X724" i="4"/>
  <c r="O724" i="4" s="1"/>
  <c r="AI724" i="4" s="1"/>
  <c r="X832" i="4"/>
  <c r="X940" i="4"/>
  <c r="X1048" i="4"/>
  <c r="X1156" i="4"/>
  <c r="X1264" i="4"/>
  <c r="X1372" i="4"/>
  <c r="X1480" i="4"/>
  <c r="X485" i="4"/>
  <c r="X593" i="4"/>
  <c r="X809" i="4"/>
  <c r="X917" i="4"/>
  <c r="X1133" i="4"/>
  <c r="X1241" i="4"/>
  <c r="X1349" i="4"/>
  <c r="X1457" i="4"/>
  <c r="X462" i="4"/>
  <c r="X570" i="4"/>
  <c r="X678" i="4"/>
  <c r="X786" i="4"/>
  <c r="X894" i="4"/>
  <c r="X1002" i="4"/>
  <c r="X1218" i="4"/>
  <c r="X1326" i="4"/>
  <c r="X1434" i="4"/>
  <c r="X445" i="4"/>
  <c r="X553" i="4"/>
  <c r="X661" i="4"/>
  <c r="X733" i="4"/>
  <c r="X769" i="4"/>
  <c r="X877" i="4"/>
  <c r="X500" i="4"/>
  <c r="X608" i="4"/>
  <c r="X716" i="4"/>
  <c r="X824" i="4"/>
  <c r="X932" i="4"/>
  <c r="X1040" i="4"/>
  <c r="X1148" i="4"/>
  <c r="X1256" i="4"/>
  <c r="X1364" i="4"/>
  <c r="X997" i="4"/>
  <c r="X967" i="4"/>
  <c r="X937" i="4"/>
  <c r="X943" i="4"/>
  <c r="X258" i="4"/>
  <c r="X366" i="4"/>
  <c r="X319" i="4"/>
  <c r="X290" i="4"/>
  <c r="X398" i="4"/>
  <c r="X501" i="4"/>
  <c r="X609" i="4"/>
  <c r="X717" i="4"/>
  <c r="X825" i="4"/>
  <c r="X933" i="4"/>
  <c r="X1041" i="4"/>
  <c r="X1149" i="4"/>
  <c r="X1257" i="4"/>
  <c r="X1365" i="4"/>
  <c r="X1437" i="4"/>
  <c r="X1473" i="4"/>
  <c r="X478" i="4"/>
  <c r="X586" i="4"/>
  <c r="X694" i="4"/>
  <c r="X802" i="4"/>
  <c r="X910" i="4"/>
  <c r="X1018" i="4"/>
  <c r="X1126" i="4"/>
  <c r="X455" i="4"/>
  <c r="X563" i="4"/>
  <c r="O563" i="4" s="1"/>
  <c r="AI563" i="4" s="1"/>
  <c r="X671" i="4"/>
  <c r="X779" i="4"/>
  <c r="X887" i="4"/>
  <c r="X995" i="4"/>
  <c r="X1103" i="4"/>
  <c r="X1211" i="4"/>
  <c r="O1211" i="4" s="1"/>
  <c r="AI1211" i="4" s="1"/>
  <c r="X1319" i="4"/>
  <c r="X1427" i="4"/>
  <c r="X432" i="4"/>
  <c r="X540" i="4"/>
  <c r="X648" i="4"/>
  <c r="X756" i="4"/>
  <c r="X864" i="4"/>
  <c r="X972" i="4"/>
  <c r="X1080" i="4"/>
  <c r="X1188" i="4"/>
  <c r="X1296" i="4"/>
  <c r="X1404" i="4"/>
  <c r="X415" i="4"/>
  <c r="X523" i="4"/>
  <c r="X631" i="4"/>
  <c r="X739" i="4"/>
  <c r="X847" i="4"/>
  <c r="X470" i="4"/>
  <c r="X578" i="4"/>
  <c r="X686" i="4"/>
  <c r="X794" i="4"/>
  <c r="X902" i="4"/>
  <c r="X1010" i="4"/>
  <c r="X1118" i="4"/>
  <c r="X1226" i="4"/>
  <c r="X1334" i="4"/>
  <c r="X1442" i="4"/>
  <c r="X1459" i="4"/>
  <c r="X1435" i="4"/>
  <c r="X1405" i="4"/>
  <c r="X1411" i="4"/>
  <c r="X1417" i="4"/>
  <c r="X1472" i="4"/>
  <c r="X2" i="4"/>
  <c r="AB17" i="4"/>
  <c r="AB15" i="4"/>
  <c r="AB22" i="4"/>
  <c r="AB13" i="4"/>
  <c r="AB16" i="4"/>
  <c r="AB18" i="4"/>
  <c r="AB19" i="4"/>
  <c r="AB20" i="4"/>
  <c r="AB12" i="4"/>
  <c r="AB23" i="4"/>
  <c r="AB14" i="4"/>
  <c r="AB25" i="4"/>
  <c r="AB187" i="4"/>
  <c r="AB114" i="4"/>
  <c r="AB81" i="4"/>
  <c r="AB80" i="4"/>
  <c r="AB44" i="4"/>
  <c r="AB46" i="4"/>
  <c r="AB74" i="4"/>
  <c r="AB35" i="4"/>
  <c r="AL7" i="4"/>
  <c r="AG7" i="4"/>
  <c r="AB138" i="4"/>
  <c r="AB72" i="4"/>
  <c r="AB108" i="4"/>
  <c r="AB70" i="4"/>
  <c r="F8" i="4"/>
  <c r="B111" i="24" s="1"/>
  <c r="AB201" i="4"/>
  <c r="AB119" i="4"/>
  <c r="AB50" i="4"/>
  <c r="AB71" i="4"/>
  <c r="F5" i="4"/>
  <c r="AL6" i="4"/>
  <c r="AG6" i="4"/>
  <c r="F11" i="4"/>
  <c r="B308" i="24" s="1"/>
  <c r="F3" i="4"/>
  <c r="B125" i="24" s="1"/>
  <c r="AB100" i="4"/>
  <c r="AB83" i="4"/>
  <c r="AB214" i="4"/>
  <c r="AB167" i="4"/>
  <c r="AB41" i="4"/>
  <c r="AB127" i="4"/>
  <c r="AB203" i="4"/>
  <c r="AB146" i="4"/>
  <c r="AB124" i="4"/>
  <c r="AB161" i="4"/>
  <c r="AB212" i="4"/>
  <c r="AB206" i="4"/>
  <c r="AB158" i="4"/>
  <c r="AB78" i="4"/>
  <c r="AB85" i="4"/>
  <c r="AB215" i="4"/>
  <c r="AB192" i="4"/>
  <c r="AB205" i="4"/>
  <c r="AB68" i="4"/>
  <c r="AB90" i="4"/>
  <c r="AB97" i="4"/>
  <c r="AB169" i="4"/>
  <c r="AB137" i="4"/>
  <c r="AB103" i="4"/>
  <c r="AB98" i="4"/>
  <c r="AB175" i="4"/>
  <c r="AB134" i="4"/>
  <c r="AB190" i="4"/>
  <c r="AB31" i="4"/>
  <c r="AB88" i="4"/>
  <c r="AB29" i="4"/>
  <c r="AB200" i="4"/>
  <c r="AB73" i="4"/>
  <c r="AB155" i="4"/>
  <c r="AB47" i="4"/>
  <c r="AB152" i="4"/>
  <c r="AB174" i="4"/>
  <c r="AB102" i="4"/>
  <c r="AB39" i="4"/>
  <c r="AG9" i="4"/>
  <c r="F10" i="4"/>
  <c r="B25" i="24" s="1"/>
  <c r="AB92" i="4"/>
  <c r="AB42" i="4"/>
  <c r="AB178" i="4"/>
  <c r="AB128" i="4"/>
  <c r="AB156" i="4"/>
  <c r="AB60" i="4"/>
  <c r="AB157" i="4"/>
  <c r="AB121" i="4"/>
  <c r="AB51" i="4"/>
  <c r="AB27" i="4"/>
  <c r="AB79" i="4"/>
  <c r="AB207" i="4"/>
  <c r="AB123" i="4"/>
  <c r="AB188" i="4"/>
  <c r="AB153" i="4"/>
  <c r="AB77" i="4"/>
  <c r="AB195" i="4"/>
  <c r="AB166" i="4"/>
  <c r="AB136" i="4"/>
  <c r="AB48" i="4"/>
  <c r="AB160" i="4"/>
  <c r="AB151" i="4"/>
  <c r="AB129" i="4"/>
  <c r="AB182" i="4"/>
  <c r="AB86" i="4"/>
  <c r="AB45" i="4"/>
  <c r="AB65" i="4"/>
  <c r="AB217" i="4"/>
  <c r="AB185" i="4"/>
  <c r="AB183" i="4"/>
  <c r="AB55" i="4"/>
  <c r="AB150" i="4"/>
  <c r="AB139" i="4"/>
  <c r="AB84" i="4"/>
  <c r="AB132" i="4"/>
  <c r="AB211" i="4"/>
  <c r="AB162" i="4"/>
  <c r="AB133" i="4"/>
  <c r="AB209" i="4"/>
  <c r="AB30" i="4"/>
  <c r="AB116" i="4"/>
  <c r="AB40" i="4"/>
  <c r="AB213" i="4"/>
  <c r="AB189" i="4"/>
  <c r="AB199" i="4"/>
  <c r="AB163" i="4"/>
  <c r="AB204" i="4"/>
  <c r="AB198" i="4"/>
  <c r="AB154" i="4"/>
  <c r="AB96" i="4"/>
  <c r="AB82" i="4"/>
  <c r="AB208" i="4"/>
  <c r="AB144" i="4"/>
  <c r="AB115" i="4"/>
  <c r="AB107" i="4"/>
  <c r="AB91" i="4"/>
  <c r="AB61" i="4"/>
  <c r="AB173" i="4"/>
  <c r="AB56" i="4"/>
  <c r="AB112" i="4"/>
  <c r="AB59" i="4"/>
  <c r="AB179" i="4"/>
  <c r="AB181" i="4"/>
  <c r="AB110" i="4"/>
  <c r="AB38" i="4"/>
  <c r="AB130" i="4"/>
  <c r="AB125" i="4"/>
  <c r="AB49" i="4"/>
  <c r="AB191" i="4"/>
  <c r="AB99" i="4"/>
  <c r="AB21" i="4"/>
  <c r="AB62" i="4"/>
  <c r="AB87" i="4"/>
  <c r="AB54" i="4"/>
  <c r="AB95" i="4"/>
  <c r="AB33" i="4"/>
  <c r="AB168" i="4"/>
  <c r="AB193" i="4"/>
  <c r="AB94" i="4"/>
  <c r="AB165" i="4"/>
  <c r="AB145" i="4"/>
  <c r="AB164" i="4"/>
  <c r="AB186" i="4"/>
  <c r="AB117" i="4"/>
  <c r="AB135" i="4"/>
  <c r="AB28" i="4"/>
  <c r="AB69" i="4"/>
  <c r="AB57" i="4"/>
  <c r="AB176" i="4"/>
  <c r="AB4" i="4"/>
  <c r="AB105" i="4"/>
  <c r="AB43" i="4"/>
  <c r="AB202" i="4"/>
  <c r="AB194" i="4"/>
  <c r="AB64" i="4"/>
  <c r="AB34" i="4"/>
  <c r="AB141" i="4"/>
  <c r="AB126" i="4"/>
  <c r="AB177" i="4"/>
  <c r="AB24" i="4"/>
  <c r="AB66" i="4"/>
  <c r="AB63" i="4"/>
  <c r="AB122" i="4"/>
  <c r="AB197" i="4"/>
  <c r="AB196" i="4"/>
  <c r="AB140" i="4"/>
  <c r="AB180" i="4"/>
  <c r="AB32" i="4"/>
  <c r="AB143" i="4"/>
  <c r="AB76" i="4"/>
  <c r="AB101" i="4"/>
  <c r="AB113" i="4"/>
  <c r="AB104" i="4"/>
  <c r="AB89" i="4"/>
  <c r="AB171" i="4"/>
  <c r="AB109" i="4"/>
  <c r="AB75" i="4"/>
  <c r="AB106" i="4"/>
  <c r="AB36" i="4"/>
  <c r="AB159" i="4"/>
  <c r="AB118" i="4"/>
  <c r="AB93" i="4"/>
  <c r="AB111" i="4"/>
  <c r="AB142" i="4"/>
  <c r="AB37" i="4"/>
  <c r="AB210" i="4"/>
  <c r="AB170" i="4"/>
  <c r="AB148" i="4"/>
  <c r="AB184" i="4"/>
  <c r="AB58" i="4"/>
  <c r="AB131" i="4"/>
  <c r="AB120" i="4"/>
  <c r="AB67" i="4"/>
  <c r="AB26" i="4"/>
  <c r="AB218" i="4"/>
  <c r="AB53" i="4"/>
  <c r="AB216" i="4"/>
  <c r="AB149" i="4"/>
  <c r="AB172" i="4"/>
  <c r="AB147" i="4"/>
  <c r="AB52" i="4"/>
  <c r="H7" i="4"/>
  <c r="H9" i="4"/>
  <c r="C21" i="24" s="1"/>
  <c r="H6" i="4"/>
  <c r="J9" i="4"/>
  <c r="J6" i="4"/>
  <c r="J7" i="4"/>
  <c r="W6" i="4" a="1"/>
  <c r="W6" i="4" s="1"/>
  <c r="W7" i="4" a="1"/>
  <c r="W7" i="4" s="1"/>
  <c r="AL24" i="19"/>
  <c r="AL26" i="19" s="1"/>
  <c r="AS16" i="19" s="1"/>
  <c r="D20" i="19"/>
  <c r="D21" i="19"/>
  <c r="D22" i="19"/>
  <c r="D23" i="19"/>
  <c r="D24" i="19"/>
  <c r="D25" i="19"/>
  <c r="I25" i="19" s="1"/>
  <c r="D26" i="19"/>
  <c r="I26" i="19" s="1"/>
  <c r="D27" i="19"/>
  <c r="D28" i="19"/>
  <c r="I28" i="19" s="1"/>
  <c r="D29" i="19"/>
  <c r="I29" i="19" s="1"/>
  <c r="D30" i="19"/>
  <c r="I30" i="19" s="1"/>
  <c r="D9" i="19"/>
  <c r="I9" i="19" s="1"/>
  <c r="D10" i="19"/>
  <c r="D11" i="19"/>
  <c r="I11" i="19" s="1"/>
  <c r="D12" i="19"/>
  <c r="D13" i="19"/>
  <c r="D14" i="19"/>
  <c r="I14" i="19" s="1"/>
  <c r="D15" i="19"/>
  <c r="D16" i="19"/>
  <c r="D17" i="19"/>
  <c r="I17" i="19" s="1"/>
  <c r="D18" i="19"/>
  <c r="D19" i="19"/>
  <c r="D6" i="19"/>
  <c r="D7" i="19"/>
  <c r="D8" i="19"/>
  <c r="I8" i="19" s="1"/>
  <c r="D5" i="19"/>
  <c r="C209" i="19"/>
  <c r="C208" i="19"/>
  <c r="C207" i="19"/>
  <c r="C206" i="19"/>
  <c r="C205" i="19"/>
  <c r="C204" i="19"/>
  <c r="C203" i="19"/>
  <c r="C202" i="19"/>
  <c r="C201" i="19"/>
  <c r="C200" i="19"/>
  <c r="C199" i="19"/>
  <c r="C198" i="19"/>
  <c r="C197" i="19"/>
  <c r="C196" i="19"/>
  <c r="C195" i="19"/>
  <c r="C194" i="19"/>
  <c r="C193" i="19"/>
  <c r="C192" i="19"/>
  <c r="C191" i="19"/>
  <c r="C190" i="19"/>
  <c r="C189" i="19"/>
  <c r="C188" i="19"/>
  <c r="C187" i="19"/>
  <c r="C186" i="19"/>
  <c r="C185" i="19"/>
  <c r="C184" i="19"/>
  <c r="C183" i="19"/>
  <c r="C182" i="19"/>
  <c r="C181" i="19"/>
  <c r="C180" i="19"/>
  <c r="C179" i="19"/>
  <c r="C178" i="19"/>
  <c r="C177" i="19"/>
  <c r="C176" i="19"/>
  <c r="C175" i="19"/>
  <c r="C174" i="19"/>
  <c r="C173" i="19"/>
  <c r="C172" i="19"/>
  <c r="C171" i="19"/>
  <c r="C170" i="19"/>
  <c r="C169" i="19"/>
  <c r="C168" i="19"/>
  <c r="C167" i="19"/>
  <c r="C166" i="19"/>
  <c r="C165" i="19"/>
  <c r="C164" i="19"/>
  <c r="C163" i="19"/>
  <c r="C162" i="19"/>
  <c r="C161" i="19"/>
  <c r="C160" i="19"/>
  <c r="C159" i="19"/>
  <c r="C158" i="19"/>
  <c r="C157" i="19"/>
  <c r="C156" i="19"/>
  <c r="C155" i="19"/>
  <c r="C154" i="19"/>
  <c r="C153" i="19"/>
  <c r="C152" i="19"/>
  <c r="C151" i="19"/>
  <c r="C150" i="19"/>
  <c r="C149" i="19"/>
  <c r="C148" i="19"/>
  <c r="C147" i="19"/>
  <c r="C146" i="19"/>
  <c r="C145" i="19"/>
  <c r="C144" i="19"/>
  <c r="C143" i="19"/>
  <c r="C142" i="19"/>
  <c r="C141" i="19"/>
  <c r="C140" i="19"/>
  <c r="C139" i="19"/>
  <c r="C138" i="19"/>
  <c r="C137" i="19"/>
  <c r="C136" i="19"/>
  <c r="C135" i="19"/>
  <c r="C134" i="19"/>
  <c r="C133" i="19"/>
  <c r="C132" i="19"/>
  <c r="C131" i="19"/>
  <c r="C130" i="19"/>
  <c r="C129" i="19"/>
  <c r="C128" i="19"/>
  <c r="C127" i="19"/>
  <c r="C126" i="19"/>
  <c r="C125" i="19"/>
  <c r="C124" i="19"/>
  <c r="C123" i="19"/>
  <c r="C122" i="19"/>
  <c r="C121" i="19"/>
  <c r="C120" i="19"/>
  <c r="C119" i="19"/>
  <c r="C118" i="19"/>
  <c r="C117" i="19"/>
  <c r="C116" i="19"/>
  <c r="C115" i="19"/>
  <c r="I114" i="19"/>
  <c r="C114" i="19"/>
  <c r="I113" i="19"/>
  <c r="C113" i="19"/>
  <c r="I112" i="19"/>
  <c r="C112" i="19"/>
  <c r="I111" i="19"/>
  <c r="C111" i="19"/>
  <c r="I110" i="19"/>
  <c r="C110" i="19"/>
  <c r="I109" i="19"/>
  <c r="C109" i="19"/>
  <c r="I108" i="19"/>
  <c r="C108" i="19"/>
  <c r="I107" i="19"/>
  <c r="C107" i="19"/>
  <c r="I106" i="19"/>
  <c r="C106" i="19"/>
  <c r="I105" i="19"/>
  <c r="C105" i="19"/>
  <c r="I104" i="19"/>
  <c r="C104" i="19"/>
  <c r="I103" i="19"/>
  <c r="C103" i="19"/>
  <c r="I102" i="19"/>
  <c r="C102" i="19"/>
  <c r="I101" i="19"/>
  <c r="C101" i="19"/>
  <c r="I100" i="19"/>
  <c r="C100" i="19"/>
  <c r="X50" i="19"/>
  <c r="G18" i="15"/>
  <c r="K18" i="15" s="1"/>
  <c r="H31" i="15" s="1"/>
  <c r="N31" i="15" s="1"/>
  <c r="I16" i="15"/>
  <c r="K16" i="15" s="1"/>
  <c r="I15" i="15"/>
  <c r="K15" i="15" s="1"/>
  <c r="H28" i="15" s="1"/>
  <c r="N29" i="15" s="1"/>
  <c r="I8" i="15"/>
  <c r="K8" i="15" s="1"/>
  <c r="I9" i="15"/>
  <c r="K9" i="15" s="1"/>
  <c r="H23" i="15" s="1"/>
  <c r="N25" i="15" s="1"/>
  <c r="I10" i="15"/>
  <c r="K10" i="15" s="1"/>
  <c r="H24" i="15" s="1"/>
  <c r="N26" i="15" s="1"/>
  <c r="I11" i="15"/>
  <c r="K11" i="15" s="1"/>
  <c r="H25" i="15" s="1"/>
  <c r="I12" i="15"/>
  <c r="K12" i="15" s="1"/>
  <c r="H26" i="15" s="1"/>
  <c r="I7" i="15"/>
  <c r="K7" i="15" s="1"/>
  <c r="B21" i="15" a="1"/>
  <c r="B21" i="15" s="1"/>
  <c r="M87" i="15"/>
  <c r="G87" i="15"/>
  <c r="M86" i="15"/>
  <c r="G86" i="15"/>
  <c r="M85" i="15"/>
  <c r="G85" i="15"/>
  <c r="H84" i="15"/>
  <c r="N84" i="15" s="1"/>
  <c r="G75" i="15"/>
  <c r="M71" i="15"/>
  <c r="O70" i="15"/>
  <c r="J87" i="15" s="1"/>
  <c r="K70" i="15"/>
  <c r="H87" i="15" s="1"/>
  <c r="O69" i="15"/>
  <c r="J86" i="15" s="1"/>
  <c r="K69" i="15"/>
  <c r="H86" i="15" s="1"/>
  <c r="O68" i="15"/>
  <c r="J85" i="15" s="1"/>
  <c r="K68" i="15"/>
  <c r="O66" i="15"/>
  <c r="J82" i="15" s="1"/>
  <c r="I66" i="15"/>
  <c r="K66" i="15" s="1"/>
  <c r="H82" i="15" s="1"/>
  <c r="O65" i="15"/>
  <c r="J81" i="15" s="1"/>
  <c r="I65" i="15"/>
  <c r="K65" i="15" s="1"/>
  <c r="Q62" i="15"/>
  <c r="Q63" i="15" s="1"/>
  <c r="Q65" i="15" s="1"/>
  <c r="O61" i="15"/>
  <c r="J79" i="15" s="1"/>
  <c r="K61" i="15"/>
  <c r="H79" i="15" s="1"/>
  <c r="N81" i="15" s="1"/>
  <c r="O60" i="15"/>
  <c r="J78" i="15" s="1"/>
  <c r="K60" i="15"/>
  <c r="H78" i="15" s="1"/>
  <c r="O59" i="15"/>
  <c r="J77" i="15" s="1"/>
  <c r="K59" i="15"/>
  <c r="H77" i="15" s="1"/>
  <c r="K58" i="15"/>
  <c r="K56" i="15"/>
  <c r="I53" i="15"/>
  <c r="K57" i="15" s="1"/>
  <c r="G21" i="15"/>
  <c r="O16" i="15"/>
  <c r="J29" i="15" s="1"/>
  <c r="O15" i="15"/>
  <c r="J28" i="15" s="1"/>
  <c r="Q13" i="15"/>
  <c r="Q14" i="15" s="1"/>
  <c r="Q16" i="15" s="1"/>
  <c r="O12" i="15"/>
  <c r="J26" i="15" s="1"/>
  <c r="O11" i="15"/>
  <c r="J25" i="15" s="1"/>
  <c r="O10" i="15"/>
  <c r="J24" i="15" s="1"/>
  <c r="O9" i="15"/>
  <c r="J23" i="15" s="1"/>
  <c r="B23" i="13"/>
  <c r="D23" i="13" s="1"/>
  <c r="D6" i="13"/>
  <c r="G6" i="13" s="1"/>
  <c r="D7" i="13"/>
  <c r="D8" i="13"/>
  <c r="E104" i="13" s="1"/>
  <c r="D9" i="13"/>
  <c r="D10" i="13"/>
  <c r="D11" i="13"/>
  <c r="D12" i="13"/>
  <c r="D13" i="13"/>
  <c r="D14" i="13"/>
  <c r="D15" i="13"/>
  <c r="L92" i="13" s="1"/>
  <c r="D5" i="13"/>
  <c r="B22" i="13"/>
  <c r="D22" i="13" s="1"/>
  <c r="B26" i="13"/>
  <c r="F26" i="13" s="1"/>
  <c r="J214" i="19" s="1"/>
  <c r="B37" i="13"/>
  <c r="D37" i="13" s="1"/>
  <c r="B41" i="13"/>
  <c r="D41" i="13" s="1"/>
  <c r="B46" i="13"/>
  <c r="B49" i="13"/>
  <c r="D49" i="13" s="1"/>
  <c r="E50" i="13"/>
  <c r="E51" i="13" s="1"/>
  <c r="B51" i="13"/>
  <c r="D51" i="13" s="1"/>
  <c r="B52" i="13"/>
  <c r="D52" i="13" s="1"/>
  <c r="B54" i="13"/>
  <c r="D54" i="13" s="1"/>
  <c r="B56" i="13"/>
  <c r="B61" i="13"/>
  <c r="D61" i="13" s="1"/>
  <c r="B62" i="13"/>
  <c r="B64" i="13"/>
  <c r="D64" i="13" s="1"/>
  <c r="B66" i="13"/>
  <c r="D66" i="13" s="1"/>
  <c r="B69" i="13"/>
  <c r="D69" i="13" s="1"/>
  <c r="B71" i="13"/>
  <c r="D71" i="13" s="1"/>
  <c r="B72" i="13"/>
  <c r="D72" i="13" s="1"/>
  <c r="D73" i="13"/>
  <c r="D74" i="13"/>
  <c r="D75" i="13"/>
  <c r="D76" i="13"/>
  <c r="D77" i="13"/>
  <c r="D78" i="13"/>
  <c r="D79" i="13"/>
  <c r="D80" i="13"/>
  <c r="E10" i="11"/>
  <c r="E11" i="11"/>
  <c r="E12" i="11"/>
  <c r="E13" i="11"/>
  <c r="E14" i="11"/>
  <c r="E15" i="11"/>
  <c r="E16" i="11"/>
  <c r="E17" i="11"/>
  <c r="E18" i="11"/>
  <c r="E19" i="11"/>
  <c r="E22" i="11"/>
  <c r="E9" i="11"/>
  <c r="D10" i="11"/>
  <c r="D11" i="11"/>
  <c r="D12" i="11"/>
  <c r="D13" i="11"/>
  <c r="D14" i="11"/>
  <c r="D15" i="11"/>
  <c r="D16" i="11"/>
  <c r="D17" i="11"/>
  <c r="D18" i="11"/>
  <c r="D19" i="11"/>
  <c r="D22" i="11"/>
  <c r="D9" i="11"/>
  <c r="E11" i="10"/>
  <c r="E12" i="10"/>
  <c r="E34" i="10" s="1"/>
  <c r="E13" i="10"/>
  <c r="E14" i="10"/>
  <c r="E15" i="10"/>
  <c r="E16" i="10"/>
  <c r="E17" i="10"/>
  <c r="E18" i="10"/>
  <c r="E19" i="10"/>
  <c r="E20" i="10"/>
  <c r="E21" i="10"/>
  <c r="E22" i="10"/>
  <c r="E23" i="10"/>
  <c r="E24" i="10"/>
  <c r="E25" i="10"/>
  <c r="E26" i="10"/>
  <c r="E27" i="10"/>
  <c r="E28" i="10"/>
  <c r="E29" i="10"/>
  <c r="E30" i="10"/>
  <c r="E31" i="10"/>
  <c r="E33" i="10" s="1"/>
  <c r="E32" i="10"/>
  <c r="E35" i="10"/>
  <c r="E36" i="10"/>
  <c r="E37" i="10"/>
  <c r="E10" i="10"/>
  <c r="J40" i="10"/>
  <c r="B124" i="24" l="1"/>
  <c r="B42" i="24"/>
  <c r="O606" i="4"/>
  <c r="AI606" i="4" s="1"/>
  <c r="B295" i="24"/>
  <c r="B37" i="24"/>
  <c r="B270" i="24"/>
  <c r="B112" i="24"/>
  <c r="C85" i="24"/>
  <c r="O1174" i="4"/>
  <c r="AI1174" i="4" s="1"/>
  <c r="O780" i="4"/>
  <c r="AI780" i="4" s="1"/>
  <c r="C36" i="24"/>
  <c r="B128" i="24"/>
  <c r="B32" i="24"/>
  <c r="I19" i="19"/>
  <c r="O454" i="4"/>
  <c r="AI454" i="4" s="1"/>
  <c r="C92" i="24"/>
  <c r="C87" i="24"/>
  <c r="O612" i="4"/>
  <c r="AI612" i="4" s="1"/>
  <c r="O965" i="4"/>
  <c r="AI965" i="4" s="1"/>
  <c r="C16" i="24"/>
  <c r="C113" i="24"/>
  <c r="O605" i="4"/>
  <c r="AI605" i="4" s="1"/>
  <c r="O1388" i="4"/>
  <c r="AI1388" i="4" s="1"/>
  <c r="O482" i="4"/>
  <c r="AI482" i="4" s="1"/>
  <c r="O1240" i="4"/>
  <c r="AI1240" i="4" s="1"/>
  <c r="O1452" i="4"/>
  <c r="AI1452" i="4" s="1"/>
  <c r="O834" i="4"/>
  <c r="AI834" i="4" s="1"/>
  <c r="O1087" i="4"/>
  <c r="AI1087" i="4" s="1"/>
  <c r="O319" i="4"/>
  <c r="AI319" i="4" s="1"/>
  <c r="O763" i="4"/>
  <c r="AI763" i="4" s="1"/>
  <c r="O864" i="4"/>
  <c r="AI864" i="4" s="1"/>
  <c r="O490" i="4"/>
  <c r="AI490" i="4" s="1"/>
  <c r="O1247" i="4"/>
  <c r="AI1247" i="4" s="1"/>
  <c r="O1130" i="4"/>
  <c r="AI1130" i="4" s="1"/>
  <c r="O762" i="4"/>
  <c r="AI762" i="4" s="1"/>
  <c r="O877" i="4"/>
  <c r="AI877" i="4" s="1"/>
  <c r="O871" i="4"/>
  <c r="AI871" i="4" s="1"/>
  <c r="O1449" i="4"/>
  <c r="AI1449" i="4" s="1"/>
  <c r="O242" i="4"/>
  <c r="AI242" i="4" s="1"/>
  <c r="O304" i="4"/>
  <c r="AI304" i="4" s="1"/>
  <c r="O575" i="4"/>
  <c r="AI575" i="4" s="1"/>
  <c r="B95" i="24"/>
  <c r="B104" i="24"/>
  <c r="O1365" i="4"/>
  <c r="AI1365" i="4" s="1"/>
  <c r="O747" i="4"/>
  <c r="AI747" i="4" s="1"/>
  <c r="O1496" i="4"/>
  <c r="AI1496" i="4" s="1"/>
  <c r="O717" i="4"/>
  <c r="AI717" i="4" s="1"/>
  <c r="O1043" i="4"/>
  <c r="AI1043" i="4" s="1"/>
  <c r="O1384" i="4"/>
  <c r="AI1384" i="4" s="1"/>
  <c r="O687" i="4"/>
  <c r="AI687" i="4" s="1"/>
  <c r="O736" i="4"/>
  <c r="AI736" i="4" s="1"/>
  <c r="O801" i="4"/>
  <c r="AI801" i="4" s="1"/>
  <c r="O355" i="4"/>
  <c r="AI355" i="4" s="1"/>
  <c r="O1430" i="4"/>
  <c r="AI1430" i="4" s="1"/>
  <c r="O1232" i="4"/>
  <c r="AI1232" i="4" s="1"/>
  <c r="O1299" i="4"/>
  <c r="AI1299" i="4" s="1"/>
  <c r="O789" i="4"/>
  <c r="AI789" i="4" s="1"/>
  <c r="O1432" i="4"/>
  <c r="AI1432" i="4" s="1"/>
  <c r="O1385" i="4"/>
  <c r="AI1385" i="4" s="1"/>
  <c r="O792" i="4"/>
  <c r="AI792" i="4" s="1"/>
  <c r="O1416" i="4"/>
  <c r="AI1416" i="4" s="1"/>
  <c r="O825" i="4"/>
  <c r="AI825" i="4" s="1"/>
  <c r="O560" i="4"/>
  <c r="AI560" i="4" s="1"/>
  <c r="O1455" i="4"/>
  <c r="AI1455" i="4" s="1"/>
  <c r="O446" i="4"/>
  <c r="AI446" i="4" s="1"/>
  <c r="O865" i="4"/>
  <c r="AI865" i="4" s="1"/>
  <c r="O956" i="4"/>
  <c r="AI956" i="4" s="1"/>
  <c r="O1310" i="4"/>
  <c r="AI1310" i="4" s="1"/>
  <c r="O1230" i="4"/>
  <c r="AI1230" i="4" s="1"/>
  <c r="O1085" i="4"/>
  <c r="AI1085" i="4" s="1"/>
  <c r="O784" i="4"/>
  <c r="AI784" i="4" s="1"/>
  <c r="O1394" i="4"/>
  <c r="AI1394" i="4" s="1"/>
  <c r="O711" i="4"/>
  <c r="AI711" i="4" s="1"/>
  <c r="O1468" i="4"/>
  <c r="AI1468" i="4" s="1"/>
  <c r="O1268" i="4"/>
  <c r="AI1268" i="4" s="1"/>
  <c r="O229" i="4"/>
  <c r="AI229" i="4" s="1"/>
  <c r="O746" i="4"/>
  <c r="AI746" i="4" s="1"/>
  <c r="O1100" i="4"/>
  <c r="AI1100" i="4" s="1"/>
  <c r="O749" i="4"/>
  <c r="AI749" i="4" s="1"/>
  <c r="O1351" i="4"/>
  <c r="AI1351" i="4" s="1"/>
  <c r="O246" i="4"/>
  <c r="AI246" i="4" s="1"/>
  <c r="O1073" i="4"/>
  <c r="AI1073" i="4" s="1"/>
  <c r="O622" i="4"/>
  <c r="AI622" i="4" s="1"/>
  <c r="O1041" i="4"/>
  <c r="AI1041" i="4" s="1"/>
  <c r="O1062" i="4"/>
  <c r="AI1062" i="4" s="1"/>
  <c r="O1023" i="4"/>
  <c r="AI1023" i="4" s="1"/>
  <c r="O719" i="4"/>
  <c r="AI719" i="4" s="1"/>
  <c r="O425" i="4"/>
  <c r="AI425" i="4" s="1"/>
  <c r="O812" i="4"/>
  <c r="AI812" i="4" s="1"/>
  <c r="O1307" i="4"/>
  <c r="AI1307" i="4" s="1"/>
  <c r="O409" i="4"/>
  <c r="AI409" i="4" s="1"/>
  <c r="O836" i="4"/>
  <c r="AI836" i="4" s="1"/>
  <c r="O1011" i="4"/>
  <c r="AI1011" i="4" s="1"/>
  <c r="O451" i="4"/>
  <c r="AI451" i="4" s="1"/>
  <c r="O468" i="4"/>
  <c r="AI468" i="4" s="1"/>
  <c r="O247" i="4"/>
  <c r="AI247" i="4" s="1"/>
  <c r="O571" i="4"/>
  <c r="AI571" i="4" s="1"/>
  <c r="O604" i="4"/>
  <c r="AI604" i="4" s="1"/>
  <c r="O1367" i="4"/>
  <c r="AI1367" i="4" s="1"/>
  <c r="O1060" i="4"/>
  <c r="AI1060" i="4" s="1"/>
  <c r="O412" i="4"/>
  <c r="AI412" i="4" s="1"/>
  <c r="O860" i="4"/>
  <c r="AI860" i="4" s="1"/>
  <c r="O1081" i="4"/>
  <c r="AI1081" i="4" s="1"/>
  <c r="O1437" i="4"/>
  <c r="AI1437" i="4" s="1"/>
  <c r="O733" i="4"/>
  <c r="AI733" i="4" s="1"/>
  <c r="O508" i="4"/>
  <c r="AI508" i="4" s="1"/>
  <c r="O1058" i="4"/>
  <c r="AI1058" i="4" s="1"/>
  <c r="O239" i="4"/>
  <c r="AI239" i="4" s="1"/>
  <c r="O233" i="4"/>
  <c r="AI233" i="4" s="1"/>
  <c r="O674" i="4"/>
  <c r="AI674" i="4" s="1"/>
  <c r="O1091" i="4"/>
  <c r="AI1091" i="4" s="1"/>
  <c r="O318" i="4"/>
  <c r="AI318" i="4" s="1"/>
  <c r="O1079" i="4"/>
  <c r="AI1079" i="4" s="1"/>
  <c r="O1145" i="4"/>
  <c r="AI1145" i="4" s="1"/>
  <c r="O497" i="4"/>
  <c r="AI497" i="4" s="1"/>
  <c r="O289" i="4"/>
  <c r="AI289" i="4" s="1"/>
  <c r="O506" i="4"/>
  <c r="AI506" i="4" s="1"/>
  <c r="O603" i="4"/>
  <c r="AI603" i="4" s="1"/>
  <c r="O1104" i="4"/>
  <c r="AI1104" i="4" s="1"/>
  <c r="O911" i="4"/>
  <c r="AI911" i="4" s="1"/>
  <c r="O610" i="4"/>
  <c r="AI610" i="4" s="1"/>
  <c r="O849" i="4"/>
  <c r="AI849" i="4" s="1"/>
  <c r="O1398" i="4"/>
  <c r="AI1398" i="4" s="1"/>
  <c r="O1205" i="4"/>
  <c r="AI1205" i="4" s="1"/>
  <c r="O557" i="4"/>
  <c r="AI557" i="4" s="1"/>
  <c r="O904" i="4"/>
  <c r="AI904" i="4" s="1"/>
  <c r="O1022" i="4"/>
  <c r="AI1022" i="4" s="1"/>
  <c r="O421" i="4"/>
  <c r="AI421" i="4" s="1"/>
  <c r="O276" i="4"/>
  <c r="AI276" i="4" s="1"/>
  <c r="O811" i="4"/>
  <c r="AI811" i="4" s="1"/>
  <c r="O550" i="4"/>
  <c r="AI550" i="4" s="1"/>
  <c r="O1405" i="4"/>
  <c r="AI1405" i="4" s="1"/>
  <c r="O1319" i="4"/>
  <c r="AI1319" i="4" s="1"/>
  <c r="O1411" i="4"/>
  <c r="AI1411" i="4" s="1"/>
  <c r="O884" i="4"/>
  <c r="AI884" i="4" s="1"/>
  <c r="O1003" i="4"/>
  <c r="AI1003" i="4" s="1"/>
  <c r="O1068" i="4"/>
  <c r="AI1068" i="4" s="1"/>
  <c r="O921" i="4"/>
  <c r="AI921" i="4" s="1"/>
  <c r="O1168" i="4"/>
  <c r="AI1168" i="4" s="1"/>
  <c r="O520" i="4"/>
  <c r="AI520" i="4" s="1"/>
  <c r="O305" i="4"/>
  <c r="AI305" i="4" s="1"/>
  <c r="O658" i="4"/>
  <c r="AI658" i="4" s="1"/>
  <c r="O238" i="4"/>
  <c r="AI238" i="4" s="1"/>
  <c r="O427" i="4"/>
  <c r="AI427" i="4" s="1"/>
  <c r="B70" i="25"/>
  <c r="I22" i="19"/>
  <c r="B69" i="25"/>
  <c r="I21" i="19"/>
  <c r="E57" i="25"/>
  <c r="I27" i="19"/>
  <c r="B68" i="25"/>
  <c r="I20" i="19"/>
  <c r="AB11" i="19" s="1"/>
  <c r="O1167" i="4"/>
  <c r="AI1167" i="4" s="1"/>
  <c r="O799" i="4"/>
  <c r="AI799" i="4" s="1"/>
  <c r="O1248" i="4"/>
  <c r="AI1248" i="4" s="1"/>
  <c r="O474" i="4"/>
  <c r="AI474" i="4" s="1"/>
  <c r="O1132" i="4"/>
  <c r="AI1132" i="4" s="1"/>
  <c r="O1042" i="4"/>
  <c r="AI1042" i="4" s="1"/>
  <c r="O469" i="4"/>
  <c r="AI469" i="4" s="1"/>
  <c r="O1030" i="4"/>
  <c r="AI1030" i="4" s="1"/>
  <c r="O1086" i="4"/>
  <c r="AI1086" i="4" s="1"/>
  <c r="O438" i="4"/>
  <c r="AI438" i="4" s="1"/>
  <c r="O374" i="4"/>
  <c r="AI374" i="4" s="1"/>
  <c r="O743" i="4"/>
  <c r="AI743" i="4" s="1"/>
  <c r="O902" i="4"/>
  <c r="AI902" i="4" s="1"/>
  <c r="O1434" i="4"/>
  <c r="AI1434" i="4" s="1"/>
  <c r="O883" i="4"/>
  <c r="AI883" i="4" s="1"/>
  <c r="O981" i="4"/>
  <c r="AI981" i="4" s="1"/>
  <c r="O652" i="4"/>
  <c r="AI652" i="4" s="1"/>
  <c r="O998" i="4"/>
  <c r="AI998" i="4" s="1"/>
  <c r="O466" i="4"/>
  <c r="AI466" i="4" s="1"/>
  <c r="O1122" i="4"/>
  <c r="AI1122" i="4" s="1"/>
  <c r="O1306" i="4"/>
  <c r="AI1306" i="4" s="1"/>
  <c r="O1207" i="4"/>
  <c r="AI1207" i="4" s="1"/>
  <c r="O672" i="4"/>
  <c r="AI672" i="4" s="1"/>
  <c r="O259" i="4"/>
  <c r="AI259" i="4" s="1"/>
  <c r="O592" i="4"/>
  <c r="AI592" i="4" s="1"/>
  <c r="O397" i="4"/>
  <c r="AI397" i="4" s="1"/>
  <c r="O707" i="4"/>
  <c r="AI707" i="4" s="1"/>
  <c r="O805" i="4"/>
  <c r="AI805" i="4" s="1"/>
  <c r="O328" i="4"/>
  <c r="AI328" i="4" s="1"/>
  <c r="O1484" i="4"/>
  <c r="AI1484" i="4" s="1"/>
  <c r="O1359" i="4"/>
  <c r="AI1359" i="4" s="1"/>
  <c r="O406" i="4"/>
  <c r="AI406" i="4" s="1"/>
  <c r="O1378" i="4"/>
  <c r="AI1378" i="4" s="1"/>
  <c r="O1372" i="4"/>
  <c r="AI1372" i="4" s="1"/>
  <c r="O1327" i="4"/>
  <c r="AI1327" i="4" s="1"/>
  <c r="O353" i="4"/>
  <c r="AI353" i="4" s="1"/>
  <c r="O1105" i="4"/>
  <c r="AI1105" i="4" s="1"/>
  <c r="O667" i="4"/>
  <c r="AI667" i="4" s="1"/>
  <c r="O343" i="4"/>
  <c r="AI343" i="4" s="1"/>
  <c r="O274" i="4"/>
  <c r="AI274" i="4" s="1"/>
  <c r="O918" i="4"/>
  <c r="AI918" i="4" s="1"/>
  <c r="O900" i="4"/>
  <c r="AI900" i="4" s="1"/>
  <c r="O623" i="4"/>
  <c r="AI623" i="4" s="1"/>
  <c r="O539" i="4"/>
  <c r="AI539" i="4" s="1"/>
  <c r="O1238" i="4"/>
  <c r="AI1238" i="4" s="1"/>
  <c r="O590" i="4"/>
  <c r="AI590" i="4" s="1"/>
  <c r="O1162" i="4"/>
  <c r="AI1162" i="4" s="1"/>
  <c r="O433" i="4"/>
  <c r="AI433" i="4" s="1"/>
  <c r="O611" i="4"/>
  <c r="AI611" i="4" s="1"/>
  <c r="O297" i="4"/>
  <c r="AI297" i="4" s="1"/>
  <c r="O926" i="4"/>
  <c r="AI926" i="4" s="1"/>
  <c r="O903" i="4"/>
  <c r="AI903" i="4" s="1"/>
  <c r="O467" i="4"/>
  <c r="AI467" i="4" s="1"/>
  <c r="O922" i="4"/>
  <c r="AI922" i="4" s="1"/>
  <c r="O621" i="4"/>
  <c r="AI621" i="4" s="1"/>
  <c r="O978" i="4"/>
  <c r="AI978" i="4" s="1"/>
  <c r="O527" i="4"/>
  <c r="AI527" i="4" s="1"/>
  <c r="O362" i="4"/>
  <c r="AI362" i="4" s="1"/>
  <c r="O266" i="4"/>
  <c r="AI266" i="4" s="1"/>
  <c r="O457" i="4"/>
  <c r="AI457" i="4" s="1"/>
  <c r="O1196" i="4"/>
  <c r="AI1196" i="4" s="1"/>
  <c r="O548" i="4"/>
  <c r="AI548" i="4" s="1"/>
  <c r="O686" i="4"/>
  <c r="AI686" i="4" s="1"/>
  <c r="O1424" i="4"/>
  <c r="AI1424" i="4" s="1"/>
  <c r="O1226" i="4"/>
  <c r="AI1226" i="4" s="1"/>
  <c r="O437" i="4"/>
  <c r="AI437" i="4" s="1"/>
  <c r="O1470" i="4"/>
  <c r="AI1470" i="4" s="1"/>
  <c r="O547" i="4"/>
  <c r="AI547" i="4" s="1"/>
  <c r="O576" i="4"/>
  <c r="AI576" i="4" s="1"/>
  <c r="O914" i="4"/>
  <c r="AI914" i="4" s="1"/>
  <c r="O1259" i="4"/>
  <c r="AI1259" i="4" s="1"/>
  <c r="O1404" i="4"/>
  <c r="AI1404" i="4" s="1"/>
  <c r="O609" i="4"/>
  <c r="AI609" i="4" s="1"/>
  <c r="O935" i="4"/>
  <c r="AI935" i="4" s="1"/>
  <c r="O285" i="4"/>
  <c r="AI285" i="4" s="1"/>
  <c r="O695" i="4"/>
  <c r="AI695" i="4" s="1"/>
  <c r="O287" i="4"/>
  <c r="AI287" i="4" s="1"/>
  <c r="O1227" i="4"/>
  <c r="AI1227" i="4" s="1"/>
  <c r="O579" i="4"/>
  <c r="AI579" i="4" s="1"/>
  <c r="O534" i="4"/>
  <c r="AI534" i="4" s="1"/>
  <c r="O313" i="4"/>
  <c r="AI313" i="4" s="1"/>
  <c r="O1246" i="4"/>
  <c r="AI1246" i="4" s="1"/>
  <c r="O598" i="4"/>
  <c r="AI598" i="4" s="1"/>
  <c r="O654" i="4"/>
  <c r="AI654" i="4" s="1"/>
  <c r="O1499" i="4"/>
  <c r="AI1499" i="4" s="1"/>
  <c r="O330" i="4"/>
  <c r="AI330" i="4" s="1"/>
  <c r="O627" i="4"/>
  <c r="AI627" i="4" s="1"/>
  <c r="O635" i="4"/>
  <c r="AI635" i="4" s="1"/>
  <c r="O1245" i="4"/>
  <c r="AI1245" i="4" s="1"/>
  <c r="O597" i="4"/>
  <c r="AI597" i="4" s="1"/>
  <c r="O1492" i="4"/>
  <c r="AI1492" i="4" s="1"/>
  <c r="O844" i="4"/>
  <c r="AI844" i="4" s="1"/>
  <c r="O798" i="4"/>
  <c r="AI798" i="4" s="1"/>
  <c r="O533" i="4"/>
  <c r="AI533" i="4" s="1"/>
  <c r="O991" i="4"/>
  <c r="AI991" i="4" s="1"/>
  <c r="O1166" i="4"/>
  <c r="AI1166" i="4" s="1"/>
  <c r="O787" i="4"/>
  <c r="AI787" i="4" s="1"/>
  <c r="O909" i="4"/>
  <c r="AI909" i="4" s="1"/>
  <c r="O1417" i="4"/>
  <c r="AI1417" i="4" s="1"/>
  <c r="O1334" i="4"/>
  <c r="AI1334" i="4" s="1"/>
  <c r="O1427" i="4"/>
  <c r="AI1427" i="4" s="1"/>
  <c r="O779" i="4"/>
  <c r="AI779" i="4" s="1"/>
  <c r="O824" i="4"/>
  <c r="AI824" i="4" s="1"/>
  <c r="O462" i="4"/>
  <c r="AI462" i="4" s="1"/>
  <c r="O1156" i="4"/>
  <c r="AI1156" i="4" s="1"/>
  <c r="O1193" i="4"/>
  <c r="AI1193" i="4" s="1"/>
  <c r="O545" i="4"/>
  <c r="AI545" i="4" s="1"/>
  <c r="O503" i="4"/>
  <c r="AI503" i="4" s="1"/>
  <c r="O1297" i="4"/>
  <c r="AI1297" i="4" s="1"/>
  <c r="O370" i="4"/>
  <c r="AI370" i="4" s="1"/>
  <c r="O744" i="4"/>
  <c r="AI744" i="4" s="1"/>
  <c r="O1353" i="4"/>
  <c r="AI1353" i="4" s="1"/>
  <c r="O705" i="4"/>
  <c r="AI705" i="4" s="1"/>
  <c r="O992" i="4"/>
  <c r="AI992" i="4" s="1"/>
  <c r="O952" i="4"/>
  <c r="AI952" i="4" s="1"/>
  <c r="O261" i="4"/>
  <c r="AI261" i="4" s="1"/>
  <c r="O818" i="4"/>
  <c r="AI818" i="4" s="1"/>
  <c r="O1397" i="4"/>
  <c r="AI1397" i="4" s="1"/>
  <c r="O1443" i="4"/>
  <c r="AI1443" i="4" s="1"/>
  <c r="O795" i="4"/>
  <c r="AI795" i="4" s="1"/>
  <c r="O684" i="4"/>
  <c r="AI684" i="4" s="1"/>
  <c r="O227" i="4"/>
  <c r="AI227" i="4" s="1"/>
  <c r="O1462" i="4"/>
  <c r="AI1462" i="4" s="1"/>
  <c r="O814" i="4"/>
  <c r="AI814" i="4" s="1"/>
  <c r="O513" i="4"/>
  <c r="AI513" i="4" s="1"/>
  <c r="O1447" i="4"/>
  <c r="AI1447" i="4" s="1"/>
  <c r="O254" i="4"/>
  <c r="AI254" i="4" s="1"/>
  <c r="O1169" i="4"/>
  <c r="AI1169" i="4" s="1"/>
  <c r="O953" i="4"/>
  <c r="AI953" i="4" s="1"/>
  <c r="O290" i="4"/>
  <c r="AI290" i="4" s="1"/>
  <c r="O963" i="4"/>
  <c r="AI963" i="4" s="1"/>
  <c r="O518" i="4"/>
  <c r="AI518" i="4" s="1"/>
  <c r="O890" i="4"/>
  <c r="AI890" i="4" s="1"/>
  <c r="O578" i="4"/>
  <c r="AI578" i="4" s="1"/>
  <c r="O1048" i="4"/>
  <c r="AI1048" i="4" s="1"/>
  <c r="O241" i="4"/>
  <c r="AI241" i="4" s="1"/>
  <c r="O1454" i="4"/>
  <c r="AI1454" i="4" s="1"/>
  <c r="O1316" i="4"/>
  <c r="AI1316" i="4" s="1"/>
  <c r="O452" i="4"/>
  <c r="AI452" i="4" s="1"/>
  <c r="O630" i="4"/>
  <c r="AI630" i="4" s="1"/>
  <c r="O243" i="4"/>
  <c r="AI243" i="4" s="1"/>
  <c r="O846" i="4"/>
  <c r="AI846" i="4" s="1"/>
  <c r="O463" i="4"/>
  <c r="AI463" i="4" s="1"/>
  <c r="O1213" i="4"/>
  <c r="AI1213" i="4" s="1"/>
  <c r="O1321" i="4"/>
  <c r="AI1321" i="4" s="1"/>
  <c r="O1438" i="4"/>
  <c r="AI1438" i="4" s="1"/>
  <c r="O895" i="4"/>
  <c r="AI895" i="4" s="1"/>
  <c r="O440" i="4"/>
  <c r="AI440" i="4" s="1"/>
  <c r="O1219" i="4"/>
  <c r="AI1219" i="4" s="1"/>
  <c r="O757" i="4"/>
  <c r="AI757" i="4" s="1"/>
  <c r="O1287" i="4"/>
  <c r="AI1287" i="4" s="1"/>
  <c r="O933" i="4"/>
  <c r="AI933" i="4" s="1"/>
  <c r="O776" i="4"/>
  <c r="AI776" i="4" s="1"/>
  <c r="O344" i="4"/>
  <c r="AI344" i="4" s="1"/>
  <c r="O813" i="4"/>
  <c r="AI813" i="4" s="1"/>
  <c r="O1225" i="4"/>
  <c r="AI1225" i="4" s="1"/>
  <c r="O402" i="4"/>
  <c r="AI402" i="4" s="1"/>
  <c r="O439" i="4"/>
  <c r="AI439" i="4" s="1"/>
  <c r="O806" i="4"/>
  <c r="AI806" i="4" s="1"/>
  <c r="O1435" i="4"/>
  <c r="AI1435" i="4" s="1"/>
  <c r="O1010" i="4"/>
  <c r="AI1010" i="4" s="1"/>
  <c r="O501" i="4"/>
  <c r="AI501" i="4" s="1"/>
  <c r="O786" i="4"/>
  <c r="AI786" i="4" s="1"/>
  <c r="O531" i="4"/>
  <c r="AI531" i="4" s="1"/>
  <c r="O1303" i="4"/>
  <c r="AI1303" i="4" s="1"/>
  <c r="O1170" i="4"/>
  <c r="AI1170" i="4" s="1"/>
  <c r="O480" i="4"/>
  <c r="AI480" i="4" s="1"/>
  <c r="O1235" i="4"/>
  <c r="AI1235" i="4" s="1"/>
  <c r="O334" i="4"/>
  <c r="AI334" i="4" s="1"/>
  <c r="O1119" i="4"/>
  <c r="AI1119" i="4" s="1"/>
  <c r="O559" i="4"/>
  <c r="AI559" i="4" s="1"/>
  <c r="O731" i="4"/>
  <c r="AI731" i="4" s="1"/>
  <c r="O350" i="4"/>
  <c r="AI350" i="4" s="1"/>
  <c r="O647" i="4"/>
  <c r="AI647" i="4" s="1"/>
  <c r="O1138" i="4"/>
  <c r="AI1138" i="4" s="1"/>
  <c r="O331" i="4"/>
  <c r="AI331" i="4" s="1"/>
  <c r="O994" i="4"/>
  <c r="AI994" i="4" s="1"/>
  <c r="O982" i="4"/>
  <c r="AI982" i="4" s="1"/>
  <c r="O735" i="4"/>
  <c r="AI735" i="4" s="1"/>
  <c r="O400" i="4"/>
  <c r="AI400" i="4" s="1"/>
  <c r="O1258" i="4"/>
  <c r="AI1258" i="4" s="1"/>
  <c r="O255" i="4"/>
  <c r="AI255" i="4" s="1"/>
  <c r="O641" i="4"/>
  <c r="AI641" i="4" s="1"/>
  <c r="O325" i="4"/>
  <c r="AI325" i="4" s="1"/>
  <c r="O1308" i="4"/>
  <c r="AI1308" i="4" s="1"/>
  <c r="O486" i="4"/>
  <c r="AI486" i="4" s="1"/>
  <c r="O645" i="4"/>
  <c r="AI645" i="4" s="1"/>
  <c r="O1195" i="4"/>
  <c r="AI1195" i="4" s="1"/>
  <c r="O1400" i="4"/>
  <c r="AI1400" i="4" s="1"/>
  <c r="O668" i="4"/>
  <c r="AI668" i="4" s="1"/>
  <c r="O820" i="4"/>
  <c r="AI820" i="4" s="1"/>
  <c r="O358" i="4"/>
  <c r="AI358" i="4" s="1"/>
  <c r="O1345" i="4"/>
  <c r="AI1345" i="4" s="1"/>
  <c r="O566" i="4"/>
  <c r="AI566" i="4" s="1"/>
  <c r="O528" i="4"/>
  <c r="AI528" i="4" s="1"/>
  <c r="O1160" i="4"/>
  <c r="AI1160" i="4" s="1"/>
  <c r="O512" i="4"/>
  <c r="AI512" i="4" s="1"/>
  <c r="O360" i="4"/>
  <c r="AI360" i="4" s="1"/>
  <c r="O1315" i="4"/>
  <c r="AI1315" i="4" s="1"/>
  <c r="O1289" i="4"/>
  <c r="AI1289" i="4" s="1"/>
  <c r="O1335" i="4"/>
  <c r="AI1335" i="4" s="1"/>
  <c r="O228" i="4"/>
  <c r="AI228" i="4" s="1"/>
  <c r="O889" i="4"/>
  <c r="AI889" i="4" s="1"/>
  <c r="O1017" i="4"/>
  <c r="AI1017" i="4" s="1"/>
  <c r="O317" i="4"/>
  <c r="AI317" i="4" s="1"/>
  <c r="O845" i="4"/>
  <c r="AI845" i="4" s="1"/>
  <c r="O1323" i="4"/>
  <c r="AI1323" i="4" s="1"/>
  <c r="O1206" i="4"/>
  <c r="AI1206" i="4" s="1"/>
  <c r="O581" i="4"/>
  <c r="AI581" i="4" s="1"/>
  <c r="O1059" i="4"/>
  <c r="AI1059" i="4" s="1"/>
  <c r="O1272" i="4"/>
  <c r="AI1272" i="4" s="1"/>
  <c r="O830" i="4"/>
  <c r="AI830" i="4" s="1"/>
  <c r="O960" i="4"/>
  <c r="AI960" i="4" s="1"/>
  <c r="O312" i="4"/>
  <c r="AI312" i="4" s="1"/>
  <c r="O1118" i="4"/>
  <c r="AI1118" i="4" s="1"/>
  <c r="O694" i="4"/>
  <c r="AI694" i="4" s="1"/>
  <c r="O1257" i="4"/>
  <c r="AI1257" i="4" s="1"/>
  <c r="O894" i="4"/>
  <c r="AI894" i="4" s="1"/>
  <c r="O940" i="4"/>
  <c r="AI940" i="4" s="1"/>
  <c r="O1208" i="4"/>
  <c r="AI1208" i="4" s="1"/>
  <c r="O378" i="4"/>
  <c r="AI378" i="4" s="1"/>
  <c r="O381" i="4"/>
  <c r="AI381" i="4" s="1"/>
  <c r="O411" i="4"/>
  <c r="AI411" i="4" s="1"/>
  <c r="O496" i="4"/>
  <c r="AI496" i="4" s="1"/>
  <c r="O585" i="4"/>
  <c r="AI585" i="4" s="1"/>
  <c r="O250" i="4"/>
  <c r="AI250" i="4" s="1"/>
  <c r="O1214" i="4"/>
  <c r="AI1214" i="4" s="1"/>
  <c r="O420" i="4"/>
  <c r="AI420" i="4" s="1"/>
  <c r="O682" i="4"/>
  <c r="AI682" i="4" s="1"/>
  <c r="O1052" i="4"/>
  <c r="AI1052" i="4" s="1"/>
  <c r="O1338" i="4"/>
  <c r="AI1338" i="4" s="1"/>
  <c r="O1423" i="4"/>
  <c r="AI1423" i="4" s="1"/>
  <c r="O1401" i="4"/>
  <c r="AI1401" i="4" s="1"/>
  <c r="O267" i="4"/>
  <c r="AI267" i="4" s="1"/>
  <c r="O1181" i="4"/>
  <c r="AI1181" i="4" s="1"/>
  <c r="O1420" i="4"/>
  <c r="AI1420" i="4" s="1"/>
  <c r="O772" i="4"/>
  <c r="AI772" i="4" s="1"/>
  <c r="O1429" i="4"/>
  <c r="AI1429" i="4" s="1"/>
  <c r="O973" i="4"/>
  <c r="AI973" i="4" s="1"/>
  <c r="O1109" i="4"/>
  <c r="AI1109" i="4" s="1"/>
  <c r="O461" i="4"/>
  <c r="AI461" i="4" s="1"/>
  <c r="O1077" i="4"/>
  <c r="AI1077" i="4" s="1"/>
  <c r="O636" i="4"/>
  <c r="AI636" i="4" s="1"/>
  <c r="O1125" i="4"/>
  <c r="AI1125" i="4" s="1"/>
  <c r="O737" i="4"/>
  <c r="AI737" i="4" s="1"/>
  <c r="O567" i="4"/>
  <c r="AI567" i="4" s="1"/>
  <c r="O649" i="4"/>
  <c r="AI649" i="4" s="1"/>
  <c r="O1103" i="4"/>
  <c r="AI1103" i="4" s="1"/>
  <c r="O455" i="4"/>
  <c r="AI455" i="4" s="1"/>
  <c r="O1149" i="4"/>
  <c r="AI1149" i="4" s="1"/>
  <c r="O827" i="4"/>
  <c r="AI827" i="4" s="1"/>
  <c r="O270" i="4"/>
  <c r="AI270" i="4" s="1"/>
  <c r="O1342" i="4"/>
  <c r="AI1342" i="4" s="1"/>
  <c r="O303" i="4"/>
  <c r="AI303" i="4" s="1"/>
  <c r="O1106" i="4"/>
  <c r="AI1106" i="4" s="1"/>
  <c r="O767" i="4"/>
  <c r="AI767" i="4" s="1"/>
  <c r="O1029" i="4"/>
  <c r="AI1029" i="4" s="1"/>
  <c r="O386" i="4"/>
  <c r="AI386" i="4" s="1"/>
  <c r="O265" i="4"/>
  <c r="AI265" i="4" s="1"/>
  <c r="O781" i="4"/>
  <c r="AI781" i="4" s="1"/>
  <c r="O1276" i="4"/>
  <c r="AI1276" i="4" s="1"/>
  <c r="O628" i="4"/>
  <c r="AI628" i="4" s="1"/>
  <c r="O479" i="4"/>
  <c r="AI479" i="4" s="1"/>
  <c r="O934" i="4"/>
  <c r="AI934" i="4" s="1"/>
  <c r="O1158" i="4"/>
  <c r="AI1158" i="4" s="1"/>
  <c r="O252" i="4"/>
  <c r="AI252" i="4" s="1"/>
  <c r="O1111" i="4"/>
  <c r="AI1111" i="4" s="1"/>
  <c r="O1008" i="4"/>
  <c r="AI1008" i="4" s="1"/>
  <c r="O1129" i="4"/>
  <c r="AI1129" i="4" s="1"/>
  <c r="O1346" i="4"/>
  <c r="AI1346" i="4" s="1"/>
  <c r="O698" i="4"/>
  <c r="AI698" i="4" s="1"/>
  <c r="O367" i="4"/>
  <c r="AI367" i="4" s="1"/>
  <c r="O546" i="4"/>
  <c r="AI546" i="4" s="1"/>
  <c r="O748" i="4"/>
  <c r="AI748" i="4" s="1"/>
  <c r="O273" i="4"/>
  <c r="AI273" i="4" s="1"/>
  <c r="O498" i="4"/>
  <c r="AI498" i="4" s="1"/>
  <c r="O477" i="4"/>
  <c r="AI477" i="4" s="1"/>
  <c r="O629" i="4"/>
  <c r="AI629" i="4" s="1"/>
  <c r="O1489" i="4"/>
  <c r="AI1489" i="4" s="1"/>
  <c r="O541" i="4"/>
  <c r="AI541" i="4" s="1"/>
  <c r="O1144" i="4"/>
  <c r="AI1144" i="4" s="1"/>
  <c r="O782" i="4"/>
  <c r="AI782" i="4" s="1"/>
  <c r="O236" i="4"/>
  <c r="AI236" i="4" s="1"/>
  <c r="O1473" i="4"/>
  <c r="AI1473" i="4" s="1"/>
  <c r="O1264" i="4"/>
  <c r="AI1264" i="4" s="1"/>
  <c r="O616" i="4"/>
  <c r="AI616" i="4" s="1"/>
  <c r="O1057" i="4"/>
  <c r="AI1057" i="4" s="1"/>
  <c r="O292" i="4"/>
  <c r="AI292" i="4" s="1"/>
  <c r="O1165" i="4"/>
  <c r="AI1165" i="4" s="1"/>
  <c r="O450" i="4"/>
  <c r="AI450" i="4" s="1"/>
  <c r="O1461" i="4"/>
  <c r="AI1461" i="4" s="1"/>
  <c r="O728" i="4"/>
  <c r="AI728" i="4" s="1"/>
  <c r="O565" i="4"/>
  <c r="AI565" i="4" s="1"/>
  <c r="O1189" i="4"/>
  <c r="AI1189" i="4" s="1"/>
  <c r="O393" i="4"/>
  <c r="AI393" i="4" s="1"/>
  <c r="O857" i="4"/>
  <c r="AI857" i="4" s="1"/>
  <c r="O1112" i="4"/>
  <c r="AI1112" i="4" s="1"/>
  <c r="O1440" i="4"/>
  <c r="AI1440" i="4" s="1"/>
  <c r="O458" i="4"/>
  <c r="AI458" i="4" s="1"/>
  <c r="O1163" i="4"/>
  <c r="AI1163" i="4" s="1"/>
  <c r="O970" i="4"/>
  <c r="AI970" i="4" s="1"/>
  <c r="O404" i="4"/>
  <c r="AI404" i="4" s="1"/>
  <c r="O1175" i="4"/>
  <c r="AI1175" i="4" s="1"/>
  <c r="O1277" i="4"/>
  <c r="AI1277" i="4" s="1"/>
  <c r="O1061" i="4"/>
  <c r="AI1061" i="4" s="1"/>
  <c r="O413" i="4"/>
  <c r="AI413" i="4" s="1"/>
  <c r="O832" i="4"/>
  <c r="AI832" i="4" s="1"/>
  <c r="O869" i="4"/>
  <c r="AI869" i="4" s="1"/>
  <c r="O1099" i="4"/>
  <c r="AI1099" i="4" s="1"/>
  <c r="O1415" i="4"/>
  <c r="AI1415" i="4" s="1"/>
  <c r="O944" i="4"/>
  <c r="AI944" i="4" s="1"/>
  <c r="O382" i="4"/>
  <c r="AI382" i="4" s="1"/>
  <c r="O984" i="4"/>
  <c r="AI984" i="4" s="1"/>
  <c r="O1194" i="4"/>
  <c r="AI1194" i="4" s="1"/>
  <c r="O478" i="4"/>
  <c r="AI478" i="4" s="1"/>
  <c r="O1071" i="4"/>
  <c r="AI1071" i="4" s="1"/>
  <c r="O333" i="4"/>
  <c r="AI333" i="4" s="1"/>
  <c r="O673" i="4"/>
  <c r="AI673" i="4" s="1"/>
  <c r="O1320" i="4"/>
  <c r="AI1320" i="4" s="1"/>
  <c r="O1298" i="4"/>
  <c r="AI1298" i="4" s="1"/>
  <c r="O521" i="4"/>
  <c r="AI521" i="4" s="1"/>
  <c r="O1013" i="4"/>
  <c r="AI1013" i="4" s="1"/>
  <c r="O1472" i="4"/>
  <c r="AI1472" i="4" s="1"/>
  <c r="O794" i="4"/>
  <c r="AI794" i="4" s="1"/>
  <c r="O887" i="4"/>
  <c r="AI887" i="4" s="1"/>
  <c r="O1326" i="4"/>
  <c r="AI1326" i="4" s="1"/>
  <c r="O915" i="4"/>
  <c r="AI915" i="4" s="1"/>
  <c r="O1151" i="4"/>
  <c r="AI1151" i="4" s="1"/>
  <c r="O369" i="4"/>
  <c r="AI369" i="4" s="1"/>
  <c r="O363" i="4"/>
  <c r="AI363" i="4" s="1"/>
  <c r="O1304" i="4"/>
  <c r="AI1304" i="4" s="1"/>
  <c r="O493" i="4"/>
  <c r="AI493" i="4" s="1"/>
  <c r="O464" i="4"/>
  <c r="AI464" i="4" s="1"/>
  <c r="O495" i="4"/>
  <c r="AI495" i="4" s="1"/>
  <c r="O997" i="4"/>
  <c r="AI997" i="4" s="1"/>
  <c r="O809" i="4"/>
  <c r="AI809" i="4" s="1"/>
  <c r="O349" i="4"/>
  <c r="AI349" i="4" s="1"/>
  <c r="O272" i="4"/>
  <c r="AI272" i="4" s="1"/>
  <c r="O1051" i="4"/>
  <c r="AI1051" i="4" s="1"/>
  <c r="O958" i="4"/>
  <c r="AI958" i="4" s="1"/>
  <c r="O441" i="4"/>
  <c r="AI441" i="4" s="1"/>
  <c r="O1244" i="4"/>
  <c r="AI1244" i="4" s="1"/>
  <c r="O1291" i="4"/>
  <c r="AI1291" i="4" s="1"/>
  <c r="O1493" i="4"/>
  <c r="AI1493" i="4" s="1"/>
  <c r="O620" i="4"/>
  <c r="AI620" i="4" s="1"/>
  <c r="O296" i="4"/>
  <c r="AI296" i="4" s="1"/>
  <c r="O280" i="4"/>
  <c r="AI280" i="4" s="1"/>
  <c r="O301" i="4"/>
  <c r="AI301" i="4" s="1"/>
  <c r="O660" i="4"/>
  <c r="AI660" i="4" s="1"/>
  <c r="O870" i="4"/>
  <c r="AI870" i="4" s="1"/>
  <c r="O589" i="4"/>
  <c r="AI589" i="4" s="1"/>
  <c r="O1341" i="4"/>
  <c r="AI1341" i="4" s="1"/>
  <c r="O1364" i="4"/>
  <c r="AI1364" i="4" s="1"/>
  <c r="O661" i="4"/>
  <c r="AI661" i="4" s="1"/>
  <c r="O1002" i="4"/>
  <c r="AI1002" i="4" s="1"/>
  <c r="O336" i="4"/>
  <c r="AI336" i="4" s="1"/>
  <c r="O375" i="4"/>
  <c r="AI375" i="4" s="1"/>
  <c r="O282" i="4"/>
  <c r="AI282" i="4" s="1"/>
  <c r="O552" i="4"/>
  <c r="AI552" i="4" s="1"/>
  <c r="O1354" i="4"/>
  <c r="AI1354" i="4" s="1"/>
  <c r="O476" i="4"/>
  <c r="AI476" i="4" s="1"/>
  <c r="O1233" i="4"/>
  <c r="AI1233" i="4" s="1"/>
  <c r="O1110" i="4"/>
  <c r="AI1110" i="4" s="1"/>
  <c r="O1063" i="4"/>
  <c r="AI1063" i="4" s="1"/>
  <c r="O392" i="4"/>
  <c r="AI392" i="4" s="1"/>
  <c r="O337" i="4"/>
  <c r="AI337" i="4" s="1"/>
  <c r="O1150" i="4"/>
  <c r="AI1150" i="4" s="1"/>
  <c r="O1124" i="4"/>
  <c r="AI1124" i="4" s="1"/>
  <c r="O523" i="4"/>
  <c r="AI523" i="4" s="1"/>
  <c r="O1218" i="4"/>
  <c r="AI1218" i="4" s="1"/>
  <c r="O639" i="4"/>
  <c r="AI639" i="4" s="1"/>
  <c r="O453" i="4"/>
  <c r="AI453" i="4" s="1"/>
  <c r="O758" i="4"/>
  <c r="AI758" i="4" s="1"/>
  <c r="O315" i="4"/>
  <c r="AI315" i="4" s="1"/>
  <c r="O1256" i="4"/>
  <c r="AI1256" i="4" s="1"/>
  <c r="O1309" i="4"/>
  <c r="AI1309" i="4" s="1"/>
  <c r="O385" i="4"/>
  <c r="AI385" i="4" s="1"/>
  <c r="O1229" i="4"/>
  <c r="AI1229" i="4" s="1"/>
  <c r="O875" i="4"/>
  <c r="AI875" i="4" s="1"/>
  <c r="O257" i="4"/>
  <c r="AI257" i="4" s="1"/>
  <c r="O888" i="4"/>
  <c r="AI888" i="4" s="1"/>
  <c r="O1343" i="4"/>
  <c r="AI1343" i="4" s="1"/>
  <c r="O354" i="4"/>
  <c r="AI354" i="4" s="1"/>
  <c r="O1444" i="4"/>
  <c r="AI1444" i="4" s="1"/>
  <c r="O1143" i="4"/>
  <c r="AI1143" i="4" s="1"/>
  <c r="O1134" i="4"/>
  <c r="AI1134" i="4" s="1"/>
  <c r="O1101" i="4"/>
  <c r="AI1101" i="4" s="1"/>
  <c r="O755" i="4"/>
  <c r="AI755" i="4" s="1"/>
  <c r="O856" i="4"/>
  <c r="AI856" i="4" s="1"/>
  <c r="O730" i="4"/>
  <c r="AI730" i="4" s="1"/>
  <c r="O429" i="4"/>
  <c r="AI429" i="4" s="1"/>
  <c r="O851" i="4"/>
  <c r="AI851" i="4" s="1"/>
  <c r="O1192" i="4"/>
  <c r="AI1192" i="4" s="1"/>
  <c r="O951" i="4"/>
  <c r="AI951" i="4" s="1"/>
  <c r="O445" i="4"/>
  <c r="AI445" i="4" s="1"/>
  <c r="O1179" i="4"/>
  <c r="AI1179" i="4" s="1"/>
  <c r="O483" i="4"/>
  <c r="AI483" i="4" s="1"/>
  <c r="O1382" i="4"/>
  <c r="AI1382" i="4" s="1"/>
  <c r="O734" i="4"/>
  <c r="AI734" i="4" s="1"/>
  <c r="O1128" i="4"/>
  <c r="AI1128" i="4" s="1"/>
  <c r="O1318" i="4"/>
  <c r="AI1318" i="4" s="1"/>
  <c r="O574" i="4"/>
  <c r="AI574" i="4" s="1"/>
  <c r="O1039" i="4"/>
  <c r="AI1039" i="4" s="1"/>
  <c r="O1469" i="4"/>
  <c r="AI1469" i="4" s="1"/>
  <c r="O821" i="4"/>
  <c r="AI821" i="4" s="1"/>
  <c r="O1142" i="4"/>
  <c r="AI1142" i="4" s="1"/>
  <c r="O494" i="4"/>
  <c r="AI494" i="4" s="1"/>
  <c r="O525" i="4"/>
  <c r="AI525" i="4" s="1"/>
  <c r="O709" i="4"/>
  <c r="AI709" i="4" s="1"/>
  <c r="O881" i="4"/>
  <c r="AI881" i="4" s="1"/>
  <c r="O475" i="4"/>
  <c r="AI475" i="4" s="1"/>
  <c r="O1379" i="4"/>
  <c r="AI1379" i="4" s="1"/>
  <c r="O1186" i="4"/>
  <c r="AI1186" i="4" s="1"/>
  <c r="O607" i="4"/>
  <c r="AI607" i="4" s="1"/>
  <c r="O1466" i="4"/>
  <c r="AI1466" i="4" s="1"/>
  <c r="O1485" i="4"/>
  <c r="AI1485" i="4" s="1"/>
  <c r="O837" i="4"/>
  <c r="AI837" i="4" s="1"/>
  <c r="O1456" i="4"/>
  <c r="AI1456" i="4" s="1"/>
  <c r="O808" i="4"/>
  <c r="AI808" i="4" s="1"/>
  <c r="O487" i="4"/>
  <c r="AI487" i="4" s="1"/>
  <c r="O874" i="4"/>
  <c r="AI874" i="4" s="1"/>
  <c r="O1254" i="4"/>
  <c r="AI1254" i="4" s="1"/>
  <c r="O990" i="4"/>
  <c r="AI990" i="4" s="1"/>
  <c r="O1459" i="4"/>
  <c r="AI1459" i="4" s="1"/>
  <c r="O540" i="4"/>
  <c r="AI540" i="4" s="1"/>
  <c r="O937" i="4"/>
  <c r="AI937" i="4" s="1"/>
  <c r="O678" i="4"/>
  <c r="AI678" i="4" s="1"/>
  <c r="O423" i="4"/>
  <c r="AI423" i="4" s="1"/>
  <c r="O613" i="4"/>
  <c r="AI613" i="4" s="1"/>
  <c r="O761" i="4"/>
  <c r="AI761" i="4" s="1"/>
  <c r="O1020" i="4"/>
  <c r="AI1020" i="4" s="1"/>
  <c r="O1135" i="4"/>
  <c r="AI1135" i="4" s="1"/>
  <c r="O558" i="4"/>
  <c r="AI558" i="4" s="1"/>
  <c r="O905" i="4"/>
  <c r="AI905" i="4" s="1"/>
  <c r="O1363" i="4"/>
  <c r="AI1363" i="4" s="1"/>
  <c r="O359" i="4"/>
  <c r="AI359" i="4" s="1"/>
  <c r="O975" i="4"/>
  <c r="AI975" i="4" s="1"/>
  <c r="O219" i="4"/>
  <c r="AI219" i="4" s="1"/>
  <c r="O927" i="4"/>
  <c r="AI927" i="4" s="1"/>
  <c r="O1474" i="4"/>
  <c r="AI1474" i="4" s="1"/>
  <c r="O1173" i="4"/>
  <c r="AI1173" i="4" s="1"/>
  <c r="O1180" i="4"/>
  <c r="AI1180" i="4" s="1"/>
  <c r="O226" i="4"/>
  <c r="AI226" i="4" s="1"/>
  <c r="O1381" i="4"/>
  <c r="AI1381" i="4" s="1"/>
  <c r="O572" i="4"/>
  <c r="AI572" i="4" s="1"/>
  <c r="O966" i="4"/>
  <c r="AI966" i="4" s="1"/>
  <c r="O1280" i="4"/>
  <c r="AI1280" i="4" s="1"/>
  <c r="O632" i="4"/>
  <c r="AI632" i="4" s="1"/>
  <c r="O1123" i="4"/>
  <c r="AI1123" i="4" s="1"/>
  <c r="O1497" i="4"/>
  <c r="AI1497" i="4" s="1"/>
  <c r="O1403" i="4"/>
  <c r="AI1403" i="4" s="1"/>
  <c r="O670" i="4"/>
  <c r="AI670" i="4" s="1"/>
  <c r="O1261" i="4"/>
  <c r="AI1261" i="4" s="1"/>
  <c r="O1269" i="4"/>
  <c r="AI1269" i="4" s="1"/>
  <c r="O800" i="4"/>
  <c r="AI800" i="4" s="1"/>
  <c r="O640" i="4"/>
  <c r="AI640" i="4" s="1"/>
  <c r="O1154" i="4"/>
  <c r="AI1154" i="4" s="1"/>
  <c r="O1113" i="4"/>
  <c r="AI1113" i="4" s="1"/>
  <c r="O1036" i="4"/>
  <c r="AI1036" i="4" s="1"/>
  <c r="O932" i="4"/>
  <c r="AI932" i="4" s="1"/>
  <c r="O769" i="4"/>
  <c r="AI769" i="4" s="1"/>
  <c r="O1357" i="4"/>
  <c r="AI1357" i="4" s="1"/>
  <c r="O979" i="4"/>
  <c r="AI979" i="4" s="1"/>
  <c r="O1033" i="4"/>
  <c r="AI1033" i="4" s="1"/>
  <c r="O235" i="4"/>
  <c r="AI235" i="4" s="1"/>
  <c r="O327" i="4"/>
  <c r="AI327" i="4" s="1"/>
  <c r="O1376" i="4"/>
  <c r="AI1376" i="4" s="1"/>
  <c r="O1198" i="4"/>
  <c r="AI1198" i="4" s="1"/>
  <c r="O564" i="4"/>
  <c r="AI564" i="4" s="1"/>
  <c r="O1366" i="4"/>
  <c r="AI1366" i="4" s="1"/>
  <c r="O718" i="4"/>
  <c r="AI718" i="4" s="1"/>
  <c r="O1478" i="4"/>
  <c r="AI1478" i="4" s="1"/>
  <c r="O484" i="4"/>
  <c r="AI484" i="4" s="1"/>
  <c r="O879" i="4"/>
  <c r="AI879" i="4" s="1"/>
  <c r="O1054" i="4"/>
  <c r="AI1054" i="4" s="1"/>
  <c r="O697" i="4"/>
  <c r="AI697" i="4" s="1"/>
  <c r="O544" i="4"/>
  <c r="AI544" i="4" s="1"/>
  <c r="O671" i="4"/>
  <c r="AI671" i="4" s="1"/>
  <c r="O1347" i="4"/>
  <c r="AI1347" i="4" s="1"/>
  <c r="O322" i="4"/>
  <c r="AI322" i="4" s="1"/>
  <c r="O395" i="4"/>
  <c r="AI395" i="4" s="1"/>
  <c r="O1290" i="4"/>
  <c r="AI1290" i="4" s="1"/>
  <c r="O706" i="4"/>
  <c r="AI706" i="4" s="1"/>
  <c r="O470" i="4"/>
  <c r="AI470" i="4" s="1"/>
  <c r="O522" i="4"/>
  <c r="AI522" i="4" s="1"/>
  <c r="O774" i="4"/>
  <c r="AI774" i="4" s="1"/>
  <c r="O1137" i="4"/>
  <c r="AI1137" i="4" s="1"/>
  <c r="O913" i="4"/>
  <c r="AI913" i="4" s="1"/>
  <c r="O1092" i="4"/>
  <c r="AI1092" i="4" s="1"/>
  <c r="O444" i="4"/>
  <c r="AI444" i="4" s="1"/>
  <c r="O1184" i="4"/>
  <c r="AI1184" i="4" s="1"/>
  <c r="O1480" i="4"/>
  <c r="AI1480" i="4" s="1"/>
  <c r="O1396" i="4"/>
  <c r="AI1396" i="4" s="1"/>
  <c r="O775" i="4"/>
  <c r="AI775" i="4" s="1"/>
  <c r="O1121" i="4"/>
  <c r="AI1121" i="4" s="1"/>
  <c r="O1491" i="4"/>
  <c r="AI1491" i="4" s="1"/>
  <c r="O1176" i="4"/>
  <c r="AI1176" i="4" s="1"/>
  <c r="O471" i="4"/>
  <c r="AI471" i="4" s="1"/>
  <c r="O680" i="4"/>
  <c r="AI680" i="4" s="1"/>
  <c r="O221" i="4"/>
  <c r="AI221" i="4" s="1"/>
  <c r="O459" i="4"/>
  <c r="AI459" i="4" s="1"/>
  <c r="O1188" i="4"/>
  <c r="AI1188" i="4" s="1"/>
  <c r="O995" i="4"/>
  <c r="AI995" i="4" s="1"/>
  <c r="O1409" i="4"/>
  <c r="AI1409" i="4" s="1"/>
  <c r="O1475" i="4"/>
  <c r="AI1475" i="4" s="1"/>
  <c r="O1234" i="4"/>
  <c r="AI1234" i="4" s="1"/>
  <c r="O985" i="4"/>
  <c r="AI985" i="4" s="1"/>
  <c r="O826" i="4"/>
  <c r="AI826" i="4" s="1"/>
  <c r="O987" i="4"/>
  <c r="AI987" i="4" s="1"/>
  <c r="O514" i="4"/>
  <c r="AI514" i="4" s="1"/>
  <c r="O1442" i="4"/>
  <c r="AI1442" i="4" s="1"/>
  <c r="O347" i="4"/>
  <c r="AI347" i="4" s="1"/>
  <c r="O852" i="4"/>
  <c r="AI852" i="4" s="1"/>
  <c r="O1019" i="4"/>
  <c r="AI1019" i="4" s="1"/>
  <c r="O515" i="4"/>
  <c r="AI515" i="4" s="1"/>
  <c r="O768" i="4"/>
  <c r="AI768" i="4" s="1"/>
  <c r="O712" i="4"/>
  <c r="AI712" i="4" s="1"/>
  <c r="O398" i="4"/>
  <c r="AI398" i="4" s="1"/>
  <c r="O1040" i="4"/>
  <c r="AI1040" i="4" s="1"/>
  <c r="O1065" i="4"/>
  <c r="AI1065" i="4" s="1"/>
  <c r="O1274" i="4"/>
  <c r="AI1274" i="4" s="1"/>
  <c r="O626" i="4"/>
  <c r="AI626" i="4" s="1"/>
  <c r="O405" i="4"/>
  <c r="AI405" i="4" s="1"/>
  <c r="O925" i="4"/>
  <c r="AI925" i="4" s="1"/>
  <c r="O1210" i="4"/>
  <c r="AI1210" i="4" s="1"/>
  <c r="O700" i="4"/>
  <c r="AI700" i="4" s="1"/>
  <c r="O659" i="4"/>
  <c r="AI659" i="4" s="1"/>
  <c r="O1361" i="4"/>
  <c r="AI1361" i="4" s="1"/>
  <c r="O713" i="4"/>
  <c r="AI713" i="4" s="1"/>
  <c r="O332" i="4"/>
  <c r="AI332" i="4" s="1"/>
  <c r="O1034" i="4"/>
  <c r="AI1034" i="4" s="1"/>
  <c r="O417" i="4"/>
  <c r="AI417" i="4" s="1"/>
  <c r="O1412" i="4"/>
  <c r="AI1412" i="4" s="1"/>
  <c r="O601" i="4"/>
  <c r="AI601" i="4" s="1"/>
  <c r="O1421" i="4"/>
  <c r="AI1421" i="4" s="1"/>
  <c r="O773" i="4"/>
  <c r="AI773" i="4" s="1"/>
  <c r="O819" i="4"/>
  <c r="AI819" i="4" s="1"/>
  <c r="O1078" i="4"/>
  <c r="AI1078" i="4" s="1"/>
  <c r="O499" i="4"/>
  <c r="AI499" i="4" s="1"/>
  <c r="O729" i="4"/>
  <c r="AI729" i="4" s="1"/>
  <c r="O1348" i="4"/>
  <c r="AI1348" i="4" s="1"/>
  <c r="O766" i="4"/>
  <c r="AI766" i="4" s="1"/>
  <c r="O968" i="4"/>
  <c r="AI968" i="4" s="1"/>
  <c r="O760" i="4"/>
  <c r="AI760" i="4" s="1"/>
  <c r="O1080" i="4"/>
  <c r="AI1080" i="4" s="1"/>
  <c r="O432" i="4"/>
  <c r="AI432" i="4" s="1"/>
  <c r="O570" i="4"/>
  <c r="AI570" i="4" s="1"/>
  <c r="O376" i="4"/>
  <c r="AI376" i="4" s="1"/>
  <c r="O505" i="4"/>
  <c r="AI505" i="4" s="1"/>
  <c r="O1301" i="4"/>
  <c r="AI1301" i="4" s="1"/>
  <c r="O653" i="4"/>
  <c r="AI653" i="4" s="1"/>
  <c r="O912" i="4"/>
  <c r="AI912" i="4" s="1"/>
  <c r="O949" i="4"/>
  <c r="AI949" i="4" s="1"/>
  <c r="O843" i="4"/>
  <c r="AI843" i="4" s="1"/>
  <c r="O231" i="4"/>
  <c r="AI231" i="4" s="1"/>
  <c r="O1395" i="4"/>
  <c r="AI1395" i="4" s="1"/>
  <c r="O1199" i="4"/>
  <c r="AI1199" i="4" s="1"/>
  <c r="O551" i="4"/>
  <c r="AI551" i="4" s="1"/>
  <c r="O251" i="4"/>
  <c r="AI251" i="4" s="1"/>
  <c r="O1014" i="4"/>
  <c r="AI1014" i="4" s="1"/>
  <c r="O867" i="4"/>
  <c r="AI867" i="4" s="1"/>
  <c r="O931" i="4"/>
  <c r="AI931" i="4" s="1"/>
  <c r="O1027" i="4"/>
  <c r="AI1027" i="4" s="1"/>
  <c r="O1093" i="4"/>
  <c r="AI1093" i="4" s="1"/>
  <c r="O1172" i="4"/>
  <c r="AI1172" i="4" s="1"/>
  <c r="O524" i="4"/>
  <c r="AI524" i="4" s="1"/>
  <c r="O1295" i="4"/>
  <c r="AI1295" i="4" s="1"/>
  <c r="O562" i="4"/>
  <c r="AI562" i="4" s="1"/>
  <c r="O1161" i="4"/>
  <c r="AI1161" i="4" s="1"/>
  <c r="O1453" i="4"/>
  <c r="AI1453" i="4" s="1"/>
  <c r="O692" i="4"/>
  <c r="AI692" i="4" s="1"/>
  <c r="O532" i="4"/>
  <c r="AI532" i="4" s="1"/>
  <c r="O1046" i="4"/>
  <c r="AI1046" i="4" s="1"/>
  <c r="O1005" i="4"/>
  <c r="AI1005" i="4" s="1"/>
  <c r="O1494" i="4"/>
  <c r="AI1494" i="4" s="1"/>
  <c r="O807" i="4"/>
  <c r="AI807" i="4" s="1"/>
  <c r="O804" i="4"/>
  <c r="AI804" i="4" s="1"/>
  <c r="O1370" i="4"/>
  <c r="AI1370" i="4" s="1"/>
  <c r="O1153" i="4"/>
  <c r="AI1153" i="4" s="1"/>
  <c r="O1445" i="4"/>
  <c r="AI1445" i="4" s="1"/>
  <c r="O1252" i="4"/>
  <c r="AI1252" i="4" s="1"/>
  <c r="O383" i="4"/>
  <c r="AI383" i="4" s="1"/>
  <c r="O371" i="4"/>
  <c r="AI371" i="4" s="1"/>
  <c r="O443" i="4"/>
  <c r="AI443" i="4" s="1"/>
  <c r="O1021" i="4"/>
  <c r="AI1021" i="4" s="1"/>
  <c r="O655" i="4"/>
  <c r="AI655" i="4" s="1"/>
  <c r="O456" i="4"/>
  <c r="AI456" i="4" s="1"/>
  <c r="O379" i="4"/>
  <c r="AI379" i="4" s="1"/>
  <c r="O321" i="4"/>
  <c r="AI321" i="4" s="1"/>
  <c r="O600" i="4"/>
  <c r="AI600" i="4" s="1"/>
  <c r="O862" i="4"/>
  <c r="AI862" i="4" s="1"/>
  <c r="O1380" i="4"/>
  <c r="AI1380" i="4" s="1"/>
  <c r="O1053" i="4"/>
  <c r="AI1053" i="4" s="1"/>
  <c r="O234" i="4"/>
  <c r="AI234" i="4" s="1"/>
  <c r="O1072" i="4"/>
  <c r="AI1072" i="4" s="1"/>
  <c r="O424" i="4"/>
  <c r="AI424" i="4" s="1"/>
  <c r="O491" i="4"/>
  <c r="AI491" i="4" s="1"/>
  <c r="O752" i="4"/>
  <c r="AI752" i="4" s="1"/>
  <c r="O1408" i="4"/>
  <c r="AI1408" i="4" s="1"/>
  <c r="O436" i="4"/>
  <c r="AI436" i="4" s="1"/>
  <c r="O277" i="4"/>
  <c r="AI277" i="4" s="1"/>
  <c r="O366" i="4"/>
  <c r="AI366" i="4" s="1"/>
  <c r="O950" i="4"/>
  <c r="AI950" i="4" s="1"/>
  <c r="O882" i="4"/>
  <c r="AI882" i="4" s="1"/>
  <c r="O263" i="4"/>
  <c r="AI263" i="4" s="1"/>
  <c r="O1322" i="4"/>
  <c r="AI1322" i="4" s="1"/>
  <c r="O928" i="4"/>
  <c r="AI928" i="4" s="1"/>
  <c r="O1015" i="4"/>
  <c r="AI1015" i="4" s="1"/>
  <c r="O1446" i="4"/>
  <c r="AI1446" i="4" s="1"/>
  <c r="O690" i="4"/>
  <c r="AI690" i="4" s="1"/>
  <c r="O1037" i="4"/>
  <c r="AI1037" i="4" s="1"/>
  <c r="O1090" i="4"/>
  <c r="AI1090" i="4" s="1"/>
  <c r="O1358" i="4"/>
  <c r="AI1358" i="4" s="1"/>
  <c r="O710" i="4"/>
  <c r="AI710" i="4" s="1"/>
  <c r="O741" i="4"/>
  <c r="AI741" i="4" s="1"/>
  <c r="O1374" i="4"/>
  <c r="AI1374" i="4" s="1"/>
  <c r="O1097" i="4"/>
  <c r="AI1097" i="4" s="1"/>
  <c r="O449" i="4"/>
  <c r="AI449" i="4" s="1"/>
  <c r="O1242" i="4"/>
  <c r="AI1242" i="4" s="1"/>
  <c r="O594" i="4"/>
  <c r="AI594" i="4" s="1"/>
  <c r="O691" i="4"/>
  <c r="AI691" i="4" s="1"/>
  <c r="O1140" i="4"/>
  <c r="AI1140" i="4" s="1"/>
  <c r="O971" i="4"/>
  <c r="AI971" i="4" s="1"/>
  <c r="O1024" i="4"/>
  <c r="AI1024" i="4" s="1"/>
  <c r="O703" i="4"/>
  <c r="AI703" i="4" s="1"/>
  <c r="O1152" i="4"/>
  <c r="AI1152" i="4" s="1"/>
  <c r="O1414" i="4"/>
  <c r="AI1414" i="4" s="1"/>
  <c r="O442" i="4"/>
  <c r="AI442" i="4" s="1"/>
  <c r="O1292" i="4"/>
  <c r="AI1292" i="4" s="1"/>
  <c r="O756" i="4"/>
  <c r="AI756" i="4" s="1"/>
  <c r="O485" i="4"/>
  <c r="AI485" i="4" s="1"/>
  <c r="O829" i="4"/>
  <c r="AI829" i="4" s="1"/>
  <c r="O1278" i="4"/>
  <c r="AI1278" i="4" s="1"/>
  <c r="O977" i="4"/>
  <c r="AI977" i="4" s="1"/>
  <c r="O1239" i="4"/>
  <c r="AI1239" i="4" s="1"/>
  <c r="O588" i="4"/>
  <c r="AI588" i="4" s="1"/>
  <c r="O1377" i="4"/>
  <c r="AI1377" i="4" s="1"/>
  <c r="O538" i="4"/>
  <c r="AI538" i="4" s="1"/>
  <c r="O1084" i="4"/>
  <c r="AI1084" i="4" s="1"/>
  <c r="O346" i="4"/>
  <c r="AI346" i="4" s="1"/>
  <c r="O1339" i="4"/>
  <c r="AI1339" i="4" s="1"/>
  <c r="O1284" i="4"/>
  <c r="AI1284" i="4" s="1"/>
  <c r="O1191" i="4"/>
  <c r="AI1191" i="4" s="1"/>
  <c r="O543" i="4"/>
  <c r="AI543" i="4" s="1"/>
  <c r="O1146" i="4"/>
  <c r="AI1146" i="4" s="1"/>
  <c r="O1389" i="4"/>
  <c r="AI1389" i="4" s="1"/>
  <c r="O1255" i="4"/>
  <c r="AI1255" i="4" s="1"/>
  <c r="O726" i="4"/>
  <c r="AI726" i="4" s="1"/>
  <c r="O264" i="4"/>
  <c r="AI264" i="4" s="1"/>
  <c r="O788" i="4"/>
  <c r="AI788" i="4" s="1"/>
  <c r="O848" i="4"/>
  <c r="AI848" i="4" s="1"/>
  <c r="O1139" i="4"/>
  <c r="AI1139" i="4" s="1"/>
  <c r="O329" i="4"/>
  <c r="AI329" i="4" s="1"/>
  <c r="O516" i="4"/>
  <c r="AI516" i="4" s="1"/>
  <c r="O886" i="4"/>
  <c r="AI886" i="4" s="1"/>
  <c r="O302" i="4"/>
  <c r="AI302" i="4" s="1"/>
  <c r="O1016" i="4"/>
  <c r="AI1016" i="4" s="1"/>
  <c r="O1302" i="4"/>
  <c r="AI1302" i="4" s="1"/>
  <c r="O1203" i="4"/>
  <c r="AI1203" i="4" s="1"/>
  <c r="O722" i="4"/>
  <c r="AI722" i="4" s="1"/>
  <c r="O1249" i="4"/>
  <c r="AI1249" i="4" s="1"/>
  <c r="O1329" i="4"/>
  <c r="AI1329" i="4" s="1"/>
  <c r="O681" i="4"/>
  <c r="AI681" i="4" s="1"/>
  <c r="O536" i="4"/>
  <c r="AI536" i="4" s="1"/>
  <c r="O389" i="4"/>
  <c r="AI389" i="4" s="1"/>
  <c r="O1098" i="4"/>
  <c r="AI1098" i="4" s="1"/>
  <c r="O473" i="4"/>
  <c r="AI473" i="4" s="1"/>
  <c r="O1260" i="4"/>
  <c r="AI1260" i="4" s="1"/>
  <c r="O1067" i="4"/>
  <c r="AI1067" i="4" s="1"/>
  <c r="O693" i="4"/>
  <c r="AI693" i="4" s="1"/>
  <c r="O262" i="4"/>
  <c r="AI262" i="4" s="1"/>
  <c r="O1311" i="4"/>
  <c r="AI1311" i="4" s="1"/>
  <c r="O946" i="4"/>
  <c r="AI946" i="4" s="1"/>
  <c r="O715" i="4"/>
  <c r="AI715" i="4" s="1"/>
  <c r="O876" i="4"/>
  <c r="AI876" i="4" s="1"/>
  <c r="O1360" i="4"/>
  <c r="AI1360" i="4" s="1"/>
  <c r="O388" i="4"/>
  <c r="AI388" i="4" s="1"/>
  <c r="O858" i="4"/>
  <c r="AI858" i="4" s="1"/>
  <c r="O847" i="4"/>
  <c r="AI847" i="4" s="1"/>
  <c r="O1126" i="4"/>
  <c r="AI1126" i="4" s="1"/>
  <c r="O568" i="4"/>
  <c r="AI568" i="4" s="1"/>
  <c r="O380" i="4"/>
  <c r="AI380" i="4" s="1"/>
  <c r="O1094" i="4"/>
  <c r="AI1094" i="4" s="1"/>
  <c r="O339" i="4"/>
  <c r="AI339" i="4" s="1"/>
  <c r="O1114" i="4"/>
  <c r="AI1114" i="4" s="1"/>
  <c r="O232" i="4"/>
  <c r="AI232" i="4" s="1"/>
  <c r="O279" i="4"/>
  <c r="AI279" i="4" s="1"/>
  <c r="O1069" i="4"/>
  <c r="AI1069" i="4" s="1"/>
  <c r="O237" i="4"/>
  <c r="AI237" i="4" s="1"/>
  <c r="O293" i="4"/>
  <c r="AI293" i="4" s="1"/>
  <c r="O510" i="4"/>
  <c r="AI510" i="4" s="1"/>
  <c r="O1204" i="4"/>
  <c r="AI1204" i="4" s="1"/>
  <c r="O556" i="4"/>
  <c r="AI556" i="4" s="1"/>
  <c r="O1220" i="4"/>
  <c r="AI1220" i="4" s="1"/>
  <c r="O1228" i="4"/>
  <c r="AI1228" i="4" s="1"/>
  <c r="O1178" i="4"/>
  <c r="AI1178" i="4" s="1"/>
  <c r="O530" i="4"/>
  <c r="AI530" i="4" s="1"/>
  <c r="O1464" i="4"/>
  <c r="AI1464" i="4" s="1"/>
  <c r="O1271" i="4"/>
  <c r="AI1271" i="4" s="1"/>
  <c r="O885" i="4"/>
  <c r="AI885" i="4" s="1"/>
  <c r="O948" i="4"/>
  <c r="AI948" i="4" s="1"/>
  <c r="O893" i="4"/>
  <c r="AI893" i="4" s="1"/>
  <c r="O361" i="4"/>
  <c r="AI361" i="4" s="1"/>
  <c r="O861" i="4"/>
  <c r="AI861" i="4" s="1"/>
  <c r="O542" i="4"/>
  <c r="AI542" i="4" s="1"/>
  <c r="O465" i="4"/>
  <c r="AI465" i="4" s="1"/>
  <c r="O1159" i="4"/>
  <c r="AI1159" i="4" s="1"/>
  <c r="O356" i="4"/>
  <c r="AI356" i="4" s="1"/>
  <c r="O1216" i="4"/>
  <c r="AI1216" i="4" s="1"/>
  <c r="O1463" i="4"/>
  <c r="AI1463" i="4" s="1"/>
  <c r="O1171" i="4"/>
  <c r="AI1171" i="4" s="1"/>
  <c r="O972" i="4"/>
  <c r="AI972" i="4" s="1"/>
  <c r="O268" i="4"/>
  <c r="AI268" i="4" s="1"/>
  <c r="O738" i="4"/>
  <c r="AI738" i="4" s="1"/>
  <c r="O351" i="4"/>
  <c r="AI351" i="4" s="1"/>
  <c r="O898" i="4"/>
  <c r="AI898" i="4" s="1"/>
  <c r="O906" i="4"/>
  <c r="AI906" i="4" s="1"/>
  <c r="O1407" i="4"/>
  <c r="AI1407" i="4" s="1"/>
  <c r="O759" i="4"/>
  <c r="AI759" i="4" s="1"/>
  <c r="O1045" i="4"/>
  <c r="AI1045" i="4" s="1"/>
  <c r="O696" i="4"/>
  <c r="AI696" i="4" s="1"/>
  <c r="O316" i="4"/>
  <c r="AI316" i="4" s="1"/>
  <c r="O1262" i="4"/>
  <c r="AI1262" i="4" s="1"/>
  <c r="O1337" i="4"/>
  <c r="AI1337" i="4" s="1"/>
  <c r="O863" i="4"/>
  <c r="AI863" i="4" s="1"/>
  <c r="O365" i="4"/>
  <c r="AI365" i="4" s="1"/>
  <c r="O625" i="4"/>
  <c r="AI625" i="4" s="1"/>
  <c r="O919" i="4"/>
  <c r="AI919" i="4" s="1"/>
  <c r="O996" i="4"/>
  <c r="AI996" i="4" s="1"/>
  <c r="O271" i="4"/>
  <c r="AI271" i="4" s="1"/>
  <c r="O591" i="4"/>
  <c r="AI591" i="4" s="1"/>
  <c r="O842" i="4"/>
  <c r="AI842" i="4" s="1"/>
  <c r="O929" i="4"/>
  <c r="AI929" i="4" s="1"/>
  <c r="O1250" i="4"/>
  <c r="AI1250" i="4" s="1"/>
  <c r="O633" i="4"/>
  <c r="AI633" i="4" s="1"/>
  <c r="O817" i="4"/>
  <c r="AI817" i="4" s="1"/>
  <c r="O1266" i="4"/>
  <c r="AI1266" i="4" s="1"/>
  <c r="O989" i="4"/>
  <c r="AI989" i="4" s="1"/>
  <c r="O1116" i="4"/>
  <c r="AI1116" i="4" s="1"/>
  <c r="O1487" i="4"/>
  <c r="AI1487" i="4" s="1"/>
  <c r="O258" i="4"/>
  <c r="AI258" i="4" s="1"/>
  <c r="O1426" i="4"/>
  <c r="AI1426" i="4" s="1"/>
  <c r="O1330" i="4"/>
  <c r="AI1330" i="4" s="1"/>
  <c r="O582" i="4"/>
  <c r="AI582" i="4" s="1"/>
  <c r="O286" i="4"/>
  <c r="AI286" i="4" s="1"/>
  <c r="O602" i="4"/>
  <c r="AI602" i="4" s="1"/>
  <c r="O1141" i="4"/>
  <c r="AI1141" i="4" s="1"/>
  <c r="O1465" i="4"/>
  <c r="AI1465" i="4" s="1"/>
  <c r="O648" i="4"/>
  <c r="AI648" i="4" s="1"/>
  <c r="O500" i="4"/>
  <c r="AI500" i="4" s="1"/>
  <c r="O587" i="4"/>
  <c r="AI587" i="4" s="1"/>
  <c r="O721" i="4"/>
  <c r="AI721" i="4" s="1"/>
  <c r="O1131" i="4"/>
  <c r="AI1131" i="4" s="1"/>
  <c r="O309" i="4"/>
  <c r="AI309" i="4" s="1"/>
  <c r="O976" i="4"/>
  <c r="AI976" i="4" s="1"/>
  <c r="O1222" i="4"/>
  <c r="AI1222" i="4" s="1"/>
  <c r="O1243" i="4"/>
  <c r="AI1243" i="4" s="1"/>
  <c r="O1083" i="4"/>
  <c r="AI1083" i="4" s="1"/>
  <c r="O435" i="4"/>
  <c r="AI435" i="4" s="1"/>
  <c r="O1281" i="4"/>
  <c r="AI1281" i="4" s="1"/>
  <c r="O1369" i="4"/>
  <c r="AI1369" i="4" s="1"/>
  <c r="O750" i="4"/>
  <c r="AI750" i="4" s="1"/>
  <c r="O1064" i="4"/>
  <c r="AI1064" i="4" s="1"/>
  <c r="O416" i="4"/>
  <c r="AI416" i="4" s="1"/>
  <c r="O1350" i="4"/>
  <c r="AI1350" i="4" s="1"/>
  <c r="O702" i="4"/>
  <c r="AI702" i="4" s="1"/>
  <c r="O1147" i="4"/>
  <c r="AI1147" i="4" s="1"/>
  <c r="O1187" i="4"/>
  <c r="AI1187" i="4" s="1"/>
  <c r="O1102" i="4"/>
  <c r="AI1102" i="4" s="1"/>
  <c r="O938" i="4"/>
  <c r="AI938" i="4" s="1"/>
  <c r="O1231" i="4"/>
  <c r="AI1231" i="4" s="1"/>
  <c r="O372" i="4"/>
  <c r="AI372" i="4" s="1"/>
  <c r="O823" i="4"/>
  <c r="AI823" i="4" s="1"/>
  <c r="O583" i="4"/>
  <c r="AI583" i="4" s="1"/>
  <c r="O839" i="4"/>
  <c r="AI839" i="4" s="1"/>
  <c r="O1471" i="4"/>
  <c r="AI1471" i="4" s="1"/>
  <c r="O945" i="4"/>
  <c r="AI945" i="4" s="1"/>
  <c r="O916" i="4"/>
  <c r="AI916" i="4" s="1"/>
  <c r="O555" i="4"/>
  <c r="AI555" i="4" s="1"/>
  <c r="O595" i="4"/>
  <c r="AI595" i="4" s="1"/>
  <c r="O1431" i="4"/>
  <c r="AI1431" i="4" s="1"/>
  <c r="O907" i="4"/>
  <c r="AI907" i="4" s="1"/>
  <c r="O1288" i="4"/>
  <c r="AI1288" i="4" s="1"/>
  <c r="O1074" i="4"/>
  <c r="AI1074" i="4" s="1"/>
  <c r="O1035" i="4"/>
  <c r="AI1035" i="4" s="1"/>
  <c r="O740" i="4"/>
  <c r="AI740" i="4" s="1"/>
  <c r="O778" i="4"/>
  <c r="AI778" i="4" s="1"/>
  <c r="O391" i="4"/>
  <c r="AI391" i="4" s="1"/>
  <c r="O614" i="4"/>
  <c r="AI614" i="4" s="1"/>
  <c r="O917" i="4"/>
  <c r="AI917" i="4" s="1"/>
  <c r="O320" i="4"/>
  <c r="AI320" i="4" s="1"/>
  <c r="O1066" i="4"/>
  <c r="AI1066" i="4" s="1"/>
  <c r="O549" i="4"/>
  <c r="AI549" i="4" s="1"/>
  <c r="O1352" i="4"/>
  <c r="AI1352" i="4" s="1"/>
  <c r="O704" i="4"/>
  <c r="AI704" i="4" s="1"/>
  <c r="O225" i="4"/>
  <c r="AI225" i="4" s="1"/>
  <c r="O1393" i="4"/>
  <c r="AI1393" i="4" s="1"/>
  <c r="O511" i="4"/>
  <c r="AI511" i="4" s="1"/>
  <c r="O1006" i="4"/>
  <c r="AI1006" i="4" s="1"/>
  <c r="O1436" i="4"/>
  <c r="AI1436" i="4" s="1"/>
  <c r="O810" i="4"/>
  <c r="AI810" i="4" s="1"/>
  <c r="O399" i="4"/>
  <c r="AI399" i="4" s="1"/>
  <c r="O431" i="4"/>
  <c r="AI431" i="4" s="1"/>
  <c r="O342" i="4"/>
  <c r="AI342" i="4" s="1"/>
  <c r="O941" i="4"/>
  <c r="AI941" i="4" s="1"/>
  <c r="O599" i="4"/>
  <c r="AI599" i="4" s="1"/>
  <c r="O1190" i="4"/>
  <c r="AI1190" i="4" s="1"/>
  <c r="O1368" i="4"/>
  <c r="AI1368" i="4" s="1"/>
  <c r="O1422" i="4"/>
  <c r="AI1422" i="4" s="1"/>
  <c r="O797" i="4"/>
  <c r="AI797" i="4" s="1"/>
  <c r="O802" i="4"/>
  <c r="AI802" i="4" s="1"/>
  <c r="O593" i="4"/>
  <c r="AI593" i="4" s="1"/>
  <c r="O892" i="4"/>
  <c r="AI892" i="4" s="1"/>
  <c r="O699" i="4"/>
  <c r="AI699" i="4" s="1"/>
  <c r="O1344" i="4"/>
  <c r="AI1344" i="4" s="1"/>
  <c r="O269" i="4"/>
  <c r="AI269" i="4" s="1"/>
  <c r="O790" i="4"/>
  <c r="AI790" i="4" s="1"/>
  <c r="O880" i="4"/>
  <c r="AI880" i="4" s="1"/>
  <c r="O1399" i="4"/>
  <c r="AI1399" i="4" s="1"/>
  <c r="O284" i="4"/>
  <c r="AI284" i="4" s="1"/>
  <c r="O1483" i="4"/>
  <c r="AI1483" i="4" s="1"/>
  <c r="O1224" i="4"/>
  <c r="AI1224" i="4" s="1"/>
  <c r="O854" i="4"/>
  <c r="AI854" i="4" s="1"/>
  <c r="O1402" i="4"/>
  <c r="AI1402" i="4" s="1"/>
  <c r="O1209" i="4"/>
  <c r="AI1209" i="4" s="1"/>
  <c r="O561" i="4"/>
  <c r="AI561" i="4" s="1"/>
  <c r="O624" i="4"/>
  <c r="AI624" i="4" s="1"/>
  <c r="O751" i="4"/>
  <c r="AI751" i="4" s="1"/>
  <c r="O1217" i="4"/>
  <c r="AI1217" i="4" s="1"/>
  <c r="O569" i="4"/>
  <c r="AI569" i="4" s="1"/>
  <c r="O300" i="4"/>
  <c r="AI300" i="4" s="1"/>
  <c r="O1486" i="4"/>
  <c r="AI1486" i="4" s="1"/>
  <c r="O1185" i="4"/>
  <c r="AI1185" i="4" s="1"/>
  <c r="O481" i="4"/>
  <c r="AI481" i="4" s="1"/>
  <c r="O223" i="4"/>
  <c r="AI223" i="4" s="1"/>
  <c r="O553" i="4"/>
  <c r="AI553" i="4" s="1"/>
  <c r="O288" i="4"/>
  <c r="AI288" i="4" s="1"/>
  <c r="O1075" i="4"/>
  <c r="AI1075" i="4" s="1"/>
  <c r="O1390" i="4"/>
  <c r="AI1390" i="4" s="1"/>
  <c r="O742" i="4"/>
  <c r="AI742" i="4" s="1"/>
  <c r="O1197" i="4"/>
  <c r="AI1197" i="4" s="1"/>
  <c r="O245" i="4"/>
  <c r="AI245" i="4" s="1"/>
  <c r="O1028" i="4"/>
  <c r="AI1028" i="4" s="1"/>
  <c r="O835" i="4"/>
  <c r="AI835" i="4" s="1"/>
  <c r="O306" i="4"/>
  <c r="AI306" i="4" s="1"/>
  <c r="O1009" i="4"/>
  <c r="AI1009" i="4" s="1"/>
  <c r="O517" i="4"/>
  <c r="AI517" i="4" s="1"/>
  <c r="O685" i="4"/>
  <c r="AI685" i="4" s="1"/>
  <c r="O646" i="4"/>
  <c r="AI646" i="4" s="1"/>
  <c r="O1418" i="4"/>
  <c r="AI1418" i="4" s="1"/>
  <c r="O791" i="4"/>
  <c r="AI791" i="4" s="1"/>
  <c r="O617" i="4"/>
  <c r="AI617" i="4" s="1"/>
  <c r="O1215" i="4"/>
  <c r="AI1215" i="4" s="1"/>
  <c r="O1495" i="4"/>
  <c r="AI1495" i="4" s="1"/>
  <c r="O1296" i="4"/>
  <c r="AI1296" i="4" s="1"/>
  <c r="O1241" i="4"/>
  <c r="AI1241" i="4" s="1"/>
  <c r="O873" i="4"/>
  <c r="AI873" i="4" s="1"/>
  <c r="O244" i="4"/>
  <c r="AI244" i="4" s="1"/>
  <c r="O1333" i="4"/>
  <c r="AI1333" i="4" s="1"/>
  <c r="O866" i="4"/>
  <c r="AI866" i="4" s="1"/>
  <c r="O1115" i="4"/>
  <c r="AI1115" i="4" s="1"/>
  <c r="O872" i="4"/>
  <c r="AI872" i="4" s="1"/>
  <c r="O580" i="4"/>
  <c r="AI580" i="4" s="1"/>
  <c r="O924" i="4"/>
  <c r="AI924" i="4" s="1"/>
  <c r="O770" i="4"/>
  <c r="AI770" i="4" s="1"/>
  <c r="O1439" i="4"/>
  <c r="AI1439" i="4" s="1"/>
  <c r="O256" i="4"/>
  <c r="AI256" i="4" s="1"/>
  <c r="O745" i="4"/>
  <c r="AI745" i="4" s="1"/>
  <c r="O1047" i="4"/>
  <c r="AI1047" i="4" s="1"/>
  <c r="O1265" i="4"/>
  <c r="AI1265" i="4" s="1"/>
  <c r="O447" i="4"/>
  <c r="AI447" i="4" s="1"/>
  <c r="O923" i="4"/>
  <c r="AI923" i="4" s="1"/>
  <c r="O936" i="4"/>
  <c r="AI936" i="4" s="1"/>
  <c r="O657" i="4"/>
  <c r="AI657" i="4" s="1"/>
  <c r="O1479" i="4"/>
  <c r="AI1479" i="4" s="1"/>
  <c r="O955" i="4"/>
  <c r="AI955" i="4" s="1"/>
  <c r="O314" i="4"/>
  <c r="AI314" i="4" s="1"/>
  <c r="O1383" i="4"/>
  <c r="AI1383" i="4" s="1"/>
  <c r="O942" i="4"/>
  <c r="AI942" i="4" s="1"/>
  <c r="O1012" i="4"/>
  <c r="AI1012" i="4" s="1"/>
  <c r="O1117" i="4"/>
  <c r="AI1117" i="4" s="1"/>
  <c r="O708" i="4"/>
  <c r="AI708" i="4" s="1"/>
  <c r="O307" i="4"/>
  <c r="AI307" i="4" s="1"/>
  <c r="O554" i="4"/>
  <c r="AI554" i="4" s="1"/>
  <c r="O631" i="4"/>
  <c r="AI631" i="4" s="1"/>
  <c r="O954" i="4"/>
  <c r="AI954" i="4" s="1"/>
  <c r="O1000" i="4"/>
  <c r="AI1000" i="4" s="1"/>
  <c r="O230" i="4"/>
  <c r="AI230" i="4" s="1"/>
  <c r="O488" i="4"/>
  <c r="AI488" i="4" s="1"/>
  <c r="O878" i="4"/>
  <c r="AI878" i="4" s="1"/>
  <c r="O401" i="4"/>
  <c r="AI401" i="4" s="1"/>
  <c r="O408" i="4"/>
  <c r="AI408" i="4" s="1"/>
  <c r="O841" i="4"/>
  <c r="AI841" i="4" s="1"/>
  <c r="O1482" i="4"/>
  <c r="AI1482" i="4" s="1"/>
  <c r="O988" i="4"/>
  <c r="AI988" i="4" s="1"/>
  <c r="O1332" i="4"/>
  <c r="AI1332" i="4" s="1"/>
  <c r="O962" i="4"/>
  <c r="AI962" i="4" s="1"/>
  <c r="O1317" i="4"/>
  <c r="AI1317" i="4" s="1"/>
  <c r="O669" i="4"/>
  <c r="AI669" i="4" s="1"/>
  <c r="O390" i="4"/>
  <c r="AI390" i="4" s="1"/>
  <c r="O584" i="4"/>
  <c r="AI584" i="4" s="1"/>
  <c r="O1355" i="4"/>
  <c r="AI1355" i="4" s="1"/>
  <c r="O897" i="4"/>
  <c r="AI897" i="4" s="1"/>
  <c r="O689" i="4"/>
  <c r="AI689" i="4" s="1"/>
  <c r="O716" i="4"/>
  <c r="AI716" i="4" s="1"/>
  <c r="O396" i="4"/>
  <c r="AI396" i="4" s="1"/>
  <c r="O1498" i="4"/>
  <c r="AI1498" i="4" s="1"/>
  <c r="O850" i="4"/>
  <c r="AI850" i="4" s="1"/>
  <c r="O1305" i="4"/>
  <c r="AI1305" i="4" s="1"/>
  <c r="O295" i="4"/>
  <c r="AI295" i="4" s="1"/>
  <c r="O1025" i="4"/>
  <c r="AI1025" i="4" s="1"/>
  <c r="O1136" i="4"/>
  <c r="AI1136" i="4" s="1"/>
  <c r="O701" i="4"/>
  <c r="AI701" i="4" s="1"/>
  <c r="O803" i="4"/>
  <c r="AI803" i="4" s="1"/>
  <c r="O502" i="4"/>
  <c r="AI502" i="4" s="1"/>
  <c r="O793" i="4"/>
  <c r="AI793" i="4" s="1"/>
  <c r="O1410" i="4"/>
  <c r="AI1410" i="4" s="1"/>
  <c r="O964" i="4"/>
  <c r="AI964" i="4" s="1"/>
  <c r="O663" i="4"/>
  <c r="AI663" i="4" s="1"/>
  <c r="O838" i="4"/>
  <c r="AI838" i="4" s="1"/>
  <c r="O537" i="4"/>
  <c r="AI537" i="4" s="1"/>
  <c r="O959" i="4"/>
  <c r="AI959" i="4" s="1"/>
  <c r="O1300" i="4"/>
  <c r="AI1300" i="4" s="1"/>
  <c r="O324" i="4"/>
  <c r="AI324" i="4" s="1"/>
  <c r="O608" i="4"/>
  <c r="AI608" i="4" s="1"/>
  <c r="O1349" i="4"/>
  <c r="AI1349" i="4" s="1"/>
  <c r="O1236" i="4"/>
  <c r="AI1236" i="4" s="1"/>
  <c r="O335" i="4"/>
  <c r="AI335" i="4" s="1"/>
  <c r="O1049" i="4"/>
  <c r="AI1049" i="4" s="1"/>
  <c r="O249" i="4"/>
  <c r="AI249" i="4" s="1"/>
  <c r="O352" i="4"/>
  <c r="AI352" i="4" s="1"/>
  <c r="O299" i="4"/>
  <c r="AI299" i="4" s="1"/>
  <c r="O688" i="4"/>
  <c r="AI688" i="4" s="1"/>
  <c r="O1032" i="4"/>
  <c r="AI1032" i="4" s="1"/>
  <c r="O1294" i="4"/>
  <c r="AI1294" i="4" s="1"/>
  <c r="O1164" i="4"/>
  <c r="AI1164" i="4" s="1"/>
  <c r="O275" i="4"/>
  <c r="AI275" i="4" s="1"/>
  <c r="O1362" i="4"/>
  <c r="AI1362" i="4" s="1"/>
  <c r="O1490" i="4"/>
  <c r="AI1490" i="4" s="1"/>
  <c r="O943" i="4"/>
  <c r="AI943" i="4" s="1"/>
  <c r="O1148" i="4"/>
  <c r="AI1148" i="4" s="1"/>
  <c r="O1324" i="4"/>
  <c r="AI1324" i="4" s="1"/>
  <c r="O676" i="4"/>
  <c r="AI676" i="4" s="1"/>
  <c r="O666" i="4"/>
  <c r="AI666" i="4" s="1"/>
  <c r="O1202" i="4"/>
  <c r="AI1202" i="4" s="1"/>
  <c r="O340" i="4"/>
  <c r="AI340" i="4" s="1"/>
  <c r="O345" i="4"/>
  <c r="AI345" i="4" s="1"/>
  <c r="O377" i="4"/>
  <c r="AI377" i="4" s="1"/>
  <c r="O1279" i="4"/>
  <c r="AI1279" i="4" s="1"/>
  <c r="O618" i="4"/>
  <c r="AI618" i="4" s="1"/>
  <c r="O1312" i="4"/>
  <c r="AI1312" i="4" s="1"/>
  <c r="O664" i="4"/>
  <c r="AI664" i="4" s="1"/>
  <c r="O1336" i="4"/>
  <c r="AI1336" i="4" s="1"/>
  <c r="O1026" i="4"/>
  <c r="AI1026" i="4" s="1"/>
  <c r="O1286" i="4"/>
  <c r="AI1286" i="4" s="1"/>
  <c r="O638" i="4"/>
  <c r="AI638" i="4" s="1"/>
  <c r="O993" i="4"/>
  <c r="AI993" i="4" s="1"/>
  <c r="O908" i="4"/>
  <c r="AI908" i="4" s="1"/>
  <c r="O1221" i="4"/>
  <c r="AI1221" i="4" s="1"/>
  <c r="O428" i="4"/>
  <c r="AI428" i="4" s="1"/>
  <c r="O278" i="4"/>
  <c r="AI278" i="4" s="1"/>
  <c r="O281" i="4"/>
  <c r="AI281" i="4" s="1"/>
  <c r="O348" i="4"/>
  <c r="AI348" i="4" s="1"/>
  <c r="O240" i="4"/>
  <c r="AI240" i="4" s="1"/>
  <c r="O248" i="4"/>
  <c r="AI248" i="4" s="1"/>
  <c r="O1450" i="4"/>
  <c r="AI1450" i="4" s="1"/>
  <c r="O410" i="4"/>
  <c r="AI410" i="4" s="1"/>
  <c r="O373" i="4"/>
  <c r="AI373" i="4" s="1"/>
  <c r="O868" i="4"/>
  <c r="AI868" i="4" s="1"/>
  <c r="O1488" i="4"/>
  <c r="AI1488" i="4" s="1"/>
  <c r="O1223" i="4"/>
  <c r="AI1223" i="4" s="1"/>
  <c r="O831" i="4"/>
  <c r="AI831" i="4" s="1"/>
  <c r="O384" i="4"/>
  <c r="AI384" i="4" s="1"/>
  <c r="O294" i="4"/>
  <c r="AI294" i="4" s="1"/>
  <c r="O720" i="4"/>
  <c r="AI720" i="4" s="1"/>
  <c r="O1183" i="4"/>
  <c r="AI1183" i="4" s="1"/>
  <c r="O1055" i="4"/>
  <c r="AI1055" i="4" s="1"/>
  <c r="O732" i="4"/>
  <c r="AI732" i="4" s="1"/>
  <c r="O859" i="4"/>
  <c r="AI859" i="4" s="1"/>
  <c r="O1325" i="4"/>
  <c r="AI1325" i="4" s="1"/>
  <c r="O677" i="4"/>
  <c r="AI677" i="4" s="1"/>
  <c r="O771" i="4"/>
  <c r="AI771" i="4" s="1"/>
  <c r="O1293" i="4"/>
  <c r="AI1293" i="4" s="1"/>
  <c r="O899" i="4"/>
  <c r="AI899" i="4" s="1"/>
  <c r="O1441" i="4"/>
  <c r="AI1441" i="4" s="1"/>
  <c r="O725" i="4"/>
  <c r="AI725" i="4" s="1"/>
  <c r="O974" i="4"/>
  <c r="AI974" i="4" s="1"/>
  <c r="O644" i="4"/>
  <c r="AI644" i="4" s="1"/>
  <c r="O1267" i="4"/>
  <c r="AI1267" i="4" s="1"/>
  <c r="O364" i="4"/>
  <c r="AI364" i="4" s="1"/>
  <c r="O1460" i="4"/>
  <c r="AI1460" i="4" s="1"/>
  <c r="O1155" i="4"/>
  <c r="AI1155" i="4" s="1"/>
  <c r="O507" i="4"/>
  <c r="AI507" i="4" s="1"/>
  <c r="O1373" i="4"/>
  <c r="AI1373" i="4" s="1"/>
  <c r="O1044" i="4"/>
  <c r="AI1044" i="4" s="1"/>
  <c r="O1056" i="4"/>
  <c r="AI1056" i="4" s="1"/>
  <c r="O1001" i="4"/>
  <c r="AI1001" i="4" s="1"/>
  <c r="O969" i="4"/>
  <c r="AI969" i="4" s="1"/>
  <c r="O326" i="4"/>
  <c r="AI326" i="4" s="1"/>
  <c r="O650" i="4"/>
  <c r="AI650" i="4" s="1"/>
  <c r="O573" i="4"/>
  <c r="AI573" i="4" s="1"/>
  <c r="O414" i="4"/>
  <c r="AI414" i="4" s="1"/>
  <c r="O1282" i="4"/>
  <c r="AI1282" i="4" s="1"/>
  <c r="O634" i="4"/>
  <c r="AI634" i="4" s="1"/>
  <c r="O1089" i="4"/>
  <c r="AI1089" i="4" s="1"/>
  <c r="O310" i="4"/>
  <c r="AI310" i="4" s="1"/>
  <c r="O920" i="4"/>
  <c r="AI920" i="4" s="1"/>
  <c r="O727" i="4"/>
  <c r="AI727" i="4" s="1"/>
  <c r="O1120" i="4"/>
  <c r="AI1120" i="4" s="1"/>
  <c r="O1428" i="4"/>
  <c r="AI1428" i="4" s="1"/>
  <c r="O1285" i="4"/>
  <c r="AI1285" i="4" s="1"/>
  <c r="O1328" i="4"/>
  <c r="AI1328" i="4" s="1"/>
  <c r="O577" i="4"/>
  <c r="AI577" i="4" s="1"/>
  <c r="O815" i="4"/>
  <c r="AI815" i="4" s="1"/>
  <c r="O430" i="4"/>
  <c r="AI430" i="4" s="1"/>
  <c r="O535" i="4"/>
  <c r="AI535" i="4" s="1"/>
  <c r="O683" i="4"/>
  <c r="AI683" i="4" s="1"/>
  <c r="O509" i="4"/>
  <c r="AI509" i="4" s="1"/>
  <c r="O1406" i="4"/>
  <c r="AI1406" i="4" s="1"/>
  <c r="O1076" i="4"/>
  <c r="AI1076" i="4" s="1"/>
  <c r="O739" i="4"/>
  <c r="AI739" i="4" s="1"/>
  <c r="O1133" i="4"/>
  <c r="AI1133" i="4" s="1"/>
  <c r="O1419" i="4"/>
  <c r="AI1419" i="4" s="1"/>
  <c r="O765" i="4"/>
  <c r="AI765" i="4" s="1"/>
  <c r="O1275" i="4"/>
  <c r="AI1275" i="4" s="1"/>
  <c r="O901" i="4"/>
  <c r="AI901" i="4" s="1"/>
  <c r="O1127" i="4"/>
  <c r="AI1127" i="4" s="1"/>
  <c r="O764" i="4"/>
  <c r="AI764" i="4" s="1"/>
  <c r="O1050" i="4"/>
  <c r="AI1050" i="4" s="1"/>
  <c r="O368" i="4"/>
  <c r="AI368" i="4" s="1"/>
  <c r="O472" i="4"/>
  <c r="AI472" i="4" s="1"/>
  <c r="O1387" i="4"/>
  <c r="AI1387" i="4" s="1"/>
  <c r="O816" i="4"/>
  <c r="AI816" i="4" s="1"/>
  <c r="O662" i="4"/>
  <c r="AI662" i="4" s="1"/>
  <c r="O1331" i="4"/>
  <c r="AI1331" i="4" s="1"/>
  <c r="O1448" i="4"/>
  <c r="AI1448" i="4" s="1"/>
  <c r="O637" i="4"/>
  <c r="AI637" i="4" s="1"/>
  <c r="O939" i="4"/>
  <c r="AI939" i="4" s="1"/>
  <c r="O1157" i="4"/>
  <c r="AI1157" i="4" s="1"/>
  <c r="O1476" i="4"/>
  <c r="AI1476" i="4" s="1"/>
  <c r="O828" i="4"/>
  <c r="AI828" i="4" s="1"/>
  <c r="O1283" i="4"/>
  <c r="AI1283" i="4" s="1"/>
  <c r="O1038" i="4"/>
  <c r="AI1038" i="4" s="1"/>
  <c r="O999" i="4"/>
  <c r="AI999" i="4" s="1"/>
  <c r="O1018" i="4"/>
  <c r="AI1018" i="4" s="1"/>
  <c r="O967" i="4"/>
  <c r="AI967" i="4" s="1"/>
  <c r="O1108" i="4"/>
  <c r="AI1108" i="4" s="1"/>
  <c r="O460" i="4"/>
  <c r="AI460" i="4" s="1"/>
  <c r="O323" i="4"/>
  <c r="AI323" i="4" s="1"/>
  <c r="O986" i="4"/>
  <c r="AI986" i="4" s="1"/>
  <c r="O224" i="4"/>
  <c r="AI224" i="4" s="1"/>
  <c r="O1096" i="4"/>
  <c r="AI1096" i="4" s="1"/>
  <c r="O448" i="4"/>
  <c r="AI448" i="4" s="1"/>
  <c r="O1375" i="4"/>
  <c r="AI1375" i="4" s="1"/>
  <c r="O1458" i="4"/>
  <c r="AI1458" i="4" s="1"/>
  <c r="O1070" i="4"/>
  <c r="AI1070" i="4" s="1"/>
  <c r="O422" i="4"/>
  <c r="AI422" i="4" s="1"/>
  <c r="O1356" i="4"/>
  <c r="AI1356" i="4" s="1"/>
  <c r="O1425" i="4"/>
  <c r="AI1425" i="4" s="1"/>
  <c r="O777" i="4"/>
  <c r="AI777" i="4" s="1"/>
  <c r="O840" i="4"/>
  <c r="AI840" i="4" s="1"/>
  <c r="O1433" i="4"/>
  <c r="AI1433" i="4" s="1"/>
  <c r="O785" i="4"/>
  <c r="AI785" i="4" s="1"/>
  <c r="O253" i="4"/>
  <c r="AI253" i="4" s="1"/>
  <c r="O753" i="4"/>
  <c r="AI753" i="4" s="1"/>
  <c r="O434" i="4"/>
  <c r="AI434" i="4" s="1"/>
  <c r="O930" i="4"/>
  <c r="AI930" i="4" s="1"/>
  <c r="O891" i="4"/>
  <c r="AI891" i="4" s="1"/>
  <c r="O596" i="4"/>
  <c r="AI596" i="4" s="1"/>
  <c r="O519" i="4"/>
  <c r="AI519" i="4" s="1"/>
  <c r="O1237" i="4"/>
  <c r="AI1237" i="4" s="1"/>
  <c r="O1004" i="4"/>
  <c r="AI1004" i="4" s="1"/>
  <c r="O291" i="4"/>
  <c r="AI291" i="4" s="1"/>
  <c r="O1007" i="4"/>
  <c r="AI1007" i="4" s="1"/>
  <c r="O833" i="4"/>
  <c r="AI833" i="4" s="1"/>
  <c r="O1082" i="4"/>
  <c r="AI1082" i="4" s="1"/>
  <c r="O419" i="4"/>
  <c r="AI419" i="4" s="1"/>
  <c r="O1314" i="4"/>
  <c r="AI1314" i="4" s="1"/>
  <c r="O298" i="4"/>
  <c r="AI298" i="4" s="1"/>
  <c r="O961" i="4"/>
  <c r="AI961" i="4" s="1"/>
  <c r="O415" i="4"/>
  <c r="AI415" i="4" s="1"/>
  <c r="O1457" i="4"/>
  <c r="AI1457" i="4" s="1"/>
  <c r="O1386" i="4"/>
  <c r="AI1386" i="4" s="1"/>
  <c r="O357" i="4"/>
  <c r="AI357" i="4" s="1"/>
  <c r="O338" i="4"/>
  <c r="AI338" i="4" s="1"/>
  <c r="O983" i="4"/>
  <c r="AI983" i="4" s="1"/>
  <c r="O1413" i="4"/>
  <c r="AI1413" i="4" s="1"/>
  <c r="O394" i="4"/>
  <c r="AI394" i="4" s="1"/>
  <c r="O1451" i="4"/>
  <c r="AI1451" i="4" s="1"/>
  <c r="O1088" i="4"/>
  <c r="AI1088" i="4" s="1"/>
  <c r="O896" i="4"/>
  <c r="AI896" i="4" s="1"/>
  <c r="O796" i="4"/>
  <c r="AI796" i="4" s="1"/>
  <c r="O1251" i="4"/>
  <c r="AI1251" i="4" s="1"/>
  <c r="O1201" i="4"/>
  <c r="AI1201" i="4" s="1"/>
  <c r="O492" i="4"/>
  <c r="AI492" i="4" s="1"/>
  <c r="O947" i="4"/>
  <c r="AI947" i="4" s="1"/>
  <c r="O754" i="4"/>
  <c r="AI754" i="4" s="1"/>
  <c r="O1273" i="4"/>
  <c r="AI1273" i="4" s="1"/>
  <c r="O1200" i="4"/>
  <c r="AI1200" i="4" s="1"/>
  <c r="O403" i="4"/>
  <c r="AI403" i="4" s="1"/>
  <c r="O1263" i="4"/>
  <c r="AI1263" i="4" s="1"/>
  <c r="O615" i="4"/>
  <c r="AI615" i="4" s="1"/>
  <c r="O1481" i="4"/>
  <c r="AI1481" i="4" s="1"/>
  <c r="O504" i="4"/>
  <c r="AI504" i="4" s="1"/>
  <c r="O656" i="4"/>
  <c r="AI656" i="4" s="1"/>
  <c r="O260" i="4"/>
  <c r="AI260" i="4" s="1"/>
  <c r="O1467" i="4"/>
  <c r="AI1467" i="4" s="1"/>
  <c r="O1340" i="4"/>
  <c r="AI1340" i="4" s="1"/>
  <c r="O529" i="4"/>
  <c r="AI529" i="4" s="1"/>
  <c r="O910" i="4"/>
  <c r="AI910" i="4" s="1"/>
  <c r="O822" i="4"/>
  <c r="AI822" i="4" s="1"/>
  <c r="O783" i="4"/>
  <c r="AI783" i="4" s="1"/>
  <c r="O1392" i="4"/>
  <c r="AI1392" i="4" s="1"/>
  <c r="O1177" i="4"/>
  <c r="AI1177" i="4" s="1"/>
  <c r="O714" i="4"/>
  <c r="AI714" i="4" s="1"/>
  <c r="O675" i="4"/>
  <c r="AI675" i="4" s="1"/>
  <c r="O980" i="4"/>
  <c r="AI980" i="4" s="1"/>
  <c r="O643" i="4"/>
  <c r="AI643" i="4" s="1"/>
  <c r="O853" i="4"/>
  <c r="AI853" i="4" s="1"/>
  <c r="O1031" i="4"/>
  <c r="AI1031" i="4" s="1"/>
  <c r="O586" i="4"/>
  <c r="AI586" i="4" s="1"/>
  <c r="O387" i="4"/>
  <c r="AI387" i="4" s="1"/>
  <c r="O311" i="4"/>
  <c r="AI311" i="4" s="1"/>
  <c r="O426" i="4"/>
  <c r="AI426" i="4" s="1"/>
  <c r="O407" i="4"/>
  <c r="AI407" i="4" s="1"/>
  <c r="O1095" i="4"/>
  <c r="AI1095" i="4" s="1"/>
  <c r="O1270" i="4"/>
  <c r="AI1270" i="4" s="1"/>
  <c r="O1391" i="4"/>
  <c r="AI1391" i="4" s="1"/>
  <c r="O222" i="4"/>
  <c r="AI222" i="4" s="1"/>
  <c r="O1107" i="4"/>
  <c r="AI1107" i="4" s="1"/>
  <c r="B129" i="24"/>
  <c r="AA10" i="4"/>
  <c r="AC10" i="4"/>
  <c r="AD10" i="4"/>
  <c r="Z10" i="4"/>
  <c r="B244" i="24"/>
  <c r="AA11" i="4"/>
  <c r="Z11" i="4"/>
  <c r="AC11" i="4"/>
  <c r="AD11" i="4"/>
  <c r="Z3" i="4"/>
  <c r="AD3" i="4"/>
  <c r="AC3" i="4"/>
  <c r="AA3" i="4"/>
  <c r="B72" i="24"/>
  <c r="AC8" i="4"/>
  <c r="AD8" i="4"/>
  <c r="Z8" i="4"/>
  <c r="AA8" i="4"/>
  <c r="AD5" i="4"/>
  <c r="AA5" i="4"/>
  <c r="Z5" i="4"/>
  <c r="AC5" i="4"/>
  <c r="O220" i="4"/>
  <c r="AI220" i="4" s="1"/>
  <c r="B105" i="24"/>
  <c r="C230" i="24"/>
  <c r="B33" i="24"/>
  <c r="B39" i="24"/>
  <c r="B94" i="24"/>
  <c r="B23" i="24"/>
  <c r="B29" i="24"/>
  <c r="B14" i="24"/>
  <c r="B38" i="24"/>
  <c r="C133" i="24"/>
  <c r="C59" i="24"/>
  <c r="D73" i="19" s="1"/>
  <c r="B288" i="24"/>
  <c r="B289" i="24"/>
  <c r="B18" i="24"/>
  <c r="B127" i="24"/>
  <c r="L9" i="4"/>
  <c r="C12" i="24"/>
  <c r="B40" i="24"/>
  <c r="B45" i="24"/>
  <c r="B59" i="25"/>
  <c r="B56" i="25"/>
  <c r="B64" i="25"/>
  <c r="B58" i="25"/>
  <c r="E56" i="25"/>
  <c r="B65" i="25"/>
  <c r="B55" i="25"/>
  <c r="B63" i="25"/>
  <c r="B57" i="25"/>
  <c r="E55" i="25"/>
  <c r="B54" i="25"/>
  <c r="B62" i="25"/>
  <c r="E60" i="25"/>
  <c r="E54" i="25"/>
  <c r="B67" i="25"/>
  <c r="B61" i="25"/>
  <c r="E59" i="25"/>
  <c r="E53" i="25"/>
  <c r="G13" i="11"/>
  <c r="B53" i="25"/>
  <c r="B66" i="25"/>
  <c r="B60" i="25"/>
  <c r="E58" i="25"/>
  <c r="B106" i="24"/>
  <c r="B471" i="24"/>
  <c r="B445" i="24"/>
  <c r="B498" i="24"/>
  <c r="B495" i="24"/>
  <c r="B466" i="24"/>
  <c r="B519" i="24"/>
  <c r="B474" i="24"/>
  <c r="B454" i="24"/>
  <c r="B490" i="24"/>
  <c r="B531" i="24"/>
  <c r="B447" i="24"/>
  <c r="B456" i="24"/>
  <c r="B472" i="24"/>
  <c r="B501" i="24"/>
  <c r="B441" i="24"/>
  <c r="B452" i="24"/>
  <c r="B530" i="24"/>
  <c r="B457" i="24"/>
  <c r="B448" i="24"/>
  <c r="B451" i="24"/>
  <c r="B494" i="24"/>
  <c r="B511" i="24"/>
  <c r="B483" i="24"/>
  <c r="B444" i="24"/>
  <c r="B496" i="24"/>
  <c r="B492" i="24"/>
  <c r="B485" i="24"/>
  <c r="B529" i="24"/>
  <c r="B532" i="24"/>
  <c r="B514" i="24"/>
  <c r="B497" i="24"/>
  <c r="B459" i="24"/>
  <c r="B500" i="24"/>
  <c r="B509" i="24"/>
  <c r="B467" i="24"/>
  <c r="B503" i="24"/>
  <c r="B479" i="24"/>
  <c r="B443" i="24"/>
  <c r="B521" i="24"/>
  <c r="B504" i="24"/>
  <c r="B480" i="24"/>
  <c r="B513" i="24"/>
  <c r="B512" i="24"/>
  <c r="B438" i="24"/>
  <c r="B487" i="24"/>
  <c r="B450" i="24"/>
  <c r="B481" i="24"/>
  <c r="B442" i="24"/>
  <c r="B449" i="24"/>
  <c r="B524" i="24"/>
  <c r="B461" i="24"/>
  <c r="B505" i="24"/>
  <c r="B535" i="24"/>
  <c r="B510" i="24"/>
  <c r="B518" i="24"/>
  <c r="B499" i="24"/>
  <c r="B516" i="24"/>
  <c r="B484" i="24"/>
  <c r="B525" i="24"/>
  <c r="B493" i="24"/>
  <c r="B463" i="24"/>
  <c r="B453" i="24"/>
  <c r="B468" i="24"/>
  <c r="B475" i="24"/>
  <c r="B469" i="24"/>
  <c r="B458" i="24"/>
  <c r="B486" i="24"/>
  <c r="B515" i="24"/>
  <c r="B473" i="24"/>
  <c r="B482" i="24"/>
  <c r="B446" i="24"/>
  <c r="B522" i="24"/>
  <c r="B436" i="24"/>
  <c r="B465" i="24"/>
  <c r="B478" i="24"/>
  <c r="B455" i="24"/>
  <c r="B460" i="24"/>
  <c r="B437" i="24"/>
  <c r="B502" i="24"/>
  <c r="B489" i="24"/>
  <c r="B491" i="24"/>
  <c r="B507" i="24"/>
  <c r="B517" i="24"/>
  <c r="B477" i="24"/>
  <c r="B506" i="24"/>
  <c r="B528" i="24"/>
  <c r="B470" i="24"/>
  <c r="B439" i="24"/>
  <c r="B488" i="24"/>
  <c r="B533" i="24"/>
  <c r="B520" i="24"/>
  <c r="B527" i="24"/>
  <c r="B534" i="24"/>
  <c r="B526" i="24"/>
  <c r="B440" i="24"/>
  <c r="B464" i="24"/>
  <c r="B462" i="24"/>
  <c r="B508" i="24"/>
  <c r="B523" i="24"/>
  <c r="B476" i="24"/>
  <c r="K21" i="19"/>
  <c r="K27" i="19"/>
  <c r="K20" i="19"/>
  <c r="K22" i="19"/>
  <c r="B187" i="24"/>
  <c r="B30" i="24"/>
  <c r="B204" i="24"/>
  <c r="B212" i="24"/>
  <c r="B5" i="24"/>
  <c r="G12" i="11"/>
  <c r="G14" i="11"/>
  <c r="G18" i="11"/>
  <c r="G10" i="11"/>
  <c r="G11" i="11"/>
  <c r="B41" i="24"/>
  <c r="B77" i="24"/>
  <c r="G49" i="19"/>
  <c r="H49" i="19" s="1"/>
  <c r="G17" i="11"/>
  <c r="L7" i="4"/>
  <c r="B2" i="24"/>
  <c r="B274" i="24"/>
  <c r="B6" i="24"/>
  <c r="B275" i="24"/>
  <c r="C69" i="24"/>
  <c r="B9" i="24"/>
  <c r="B44" i="24"/>
  <c r="H8" i="4"/>
  <c r="B8" i="24"/>
  <c r="T3" i="4" a="1"/>
  <c r="T3" i="4" s="1"/>
  <c r="B4" i="24"/>
  <c r="L6" i="4"/>
  <c r="K11" i="19" s="1"/>
  <c r="H5" i="4"/>
  <c r="G19" i="11"/>
  <c r="G22" i="11"/>
  <c r="H3" i="4"/>
  <c r="C125" i="24" s="1"/>
  <c r="W8" i="4" a="1"/>
  <c r="W8" i="4" s="1"/>
  <c r="G16" i="11"/>
  <c r="J3" i="4"/>
  <c r="J10" i="4"/>
  <c r="J11" i="4"/>
  <c r="J8" i="4"/>
  <c r="J5" i="4"/>
  <c r="G15" i="11"/>
  <c r="H11" i="4"/>
  <c r="H10" i="4"/>
  <c r="C37" i="24" s="1"/>
  <c r="W10" i="4" a="1"/>
  <c r="W10" i="4" s="1"/>
  <c r="AL11" i="4"/>
  <c r="AG11" i="4"/>
  <c r="AL10" i="4"/>
  <c r="AG10" i="4"/>
  <c r="AL3" i="4"/>
  <c r="AG3" i="4"/>
  <c r="AL5" i="4"/>
  <c r="AG5" i="4"/>
  <c r="AL8" i="4"/>
  <c r="AG8" i="4"/>
  <c r="AB9" i="4"/>
  <c r="AB7" i="4"/>
  <c r="AB6" i="4"/>
  <c r="W3" i="4" a="1"/>
  <c r="W3" i="4" s="1"/>
  <c r="W9" i="4" a="1"/>
  <c r="W9" i="4" s="1"/>
  <c r="W11" i="4" a="1"/>
  <c r="W11" i="4" s="1"/>
  <c r="K67" i="15"/>
  <c r="W5" i="4" a="1"/>
  <c r="W5" i="4" s="1"/>
  <c r="G13" i="19"/>
  <c r="H13" i="19" s="1"/>
  <c r="D61" i="25" s="1"/>
  <c r="G14" i="19"/>
  <c r="H14" i="19" s="1"/>
  <c r="D62" i="25" s="1"/>
  <c r="J22" i="19"/>
  <c r="U22" i="19"/>
  <c r="G22" i="19"/>
  <c r="H22" i="19" s="1"/>
  <c r="D70" i="25" s="1"/>
  <c r="Y22" i="19"/>
  <c r="Y11" i="19"/>
  <c r="G11" i="19"/>
  <c r="H11" i="19" s="1"/>
  <c r="D59" i="25" s="1"/>
  <c r="U11" i="19"/>
  <c r="J11" i="19"/>
  <c r="G26" i="19"/>
  <c r="H26" i="19" s="1"/>
  <c r="G56" i="25" s="1"/>
  <c r="G28" i="19"/>
  <c r="H28" i="19" s="1"/>
  <c r="G58" i="25" s="1"/>
  <c r="G17" i="19"/>
  <c r="H17" i="19" s="1"/>
  <c r="D65" i="25" s="1"/>
  <c r="V27" i="19"/>
  <c r="U27" i="19"/>
  <c r="O27" i="19"/>
  <c r="Y27" i="19"/>
  <c r="T27" i="19"/>
  <c r="J27" i="19"/>
  <c r="G27" i="19"/>
  <c r="H27" i="19" s="1"/>
  <c r="G57" i="25" s="1"/>
  <c r="G15" i="19"/>
  <c r="H15" i="19" s="1"/>
  <c r="D63" i="25" s="1"/>
  <c r="G19" i="19"/>
  <c r="H19" i="19" s="1"/>
  <c r="D67" i="25" s="1"/>
  <c r="G29" i="19"/>
  <c r="H29" i="19" s="1"/>
  <c r="G59" i="25" s="1"/>
  <c r="G23" i="19"/>
  <c r="H23" i="19" s="1"/>
  <c r="G53" i="25" s="1"/>
  <c r="G12" i="19"/>
  <c r="H12" i="19" s="1"/>
  <c r="D60" i="25" s="1"/>
  <c r="G30" i="19"/>
  <c r="H30" i="19" s="1"/>
  <c r="G60" i="25" s="1"/>
  <c r="Y21" i="19"/>
  <c r="U21" i="19"/>
  <c r="G21" i="19"/>
  <c r="H21" i="19" s="1"/>
  <c r="D69" i="25" s="1"/>
  <c r="J21" i="19"/>
  <c r="H39" i="19"/>
  <c r="G69" i="25" s="1"/>
  <c r="H33" i="19"/>
  <c r="G63" i="25" s="1"/>
  <c r="H40" i="19"/>
  <c r="G70" i="25" s="1"/>
  <c r="H34" i="19"/>
  <c r="G64" i="25" s="1"/>
  <c r="H41" i="19"/>
  <c r="J53" i="25" s="1"/>
  <c r="H35" i="19"/>
  <c r="G65" i="25" s="1"/>
  <c r="H43" i="19"/>
  <c r="J55" i="25" s="1"/>
  <c r="H37" i="19"/>
  <c r="G67" i="25" s="1"/>
  <c r="H32" i="19"/>
  <c r="G62" i="25" s="1"/>
  <c r="H44" i="19"/>
  <c r="J56" i="25" s="1"/>
  <c r="H38" i="19"/>
  <c r="G68" i="25" s="1"/>
  <c r="H42" i="19"/>
  <c r="J54" i="25" s="1"/>
  <c r="H36" i="19"/>
  <c r="G66" i="25" s="1"/>
  <c r="G16" i="19"/>
  <c r="H16" i="19" s="1"/>
  <c r="D64" i="25" s="1"/>
  <c r="U20" i="19"/>
  <c r="G20" i="19"/>
  <c r="H20" i="19" s="1"/>
  <c r="D68" i="25" s="1"/>
  <c r="J20" i="19"/>
  <c r="Y20" i="19"/>
  <c r="G9" i="19"/>
  <c r="H9" i="19" s="1"/>
  <c r="D57" i="25" s="1"/>
  <c r="G25" i="19"/>
  <c r="H25" i="19" s="1"/>
  <c r="G55" i="25" s="1"/>
  <c r="I102" i="13"/>
  <c r="I105" i="13"/>
  <c r="W49" i="19"/>
  <c r="Q29" i="10"/>
  <c r="N23" i="10"/>
  <c r="J42" i="10"/>
  <c r="Q14" i="10"/>
  <c r="I91" i="13"/>
  <c r="I138" i="13"/>
  <c r="K111" i="13"/>
  <c r="K138" i="13"/>
  <c r="J90" i="13"/>
  <c r="J91" i="13"/>
  <c r="J105" i="13"/>
  <c r="J110" i="13"/>
  <c r="J113" i="13"/>
  <c r="J128" i="13"/>
  <c r="J138" i="13"/>
  <c r="J100" i="13"/>
  <c r="J111" i="13"/>
  <c r="J107" i="13"/>
  <c r="J94" i="13"/>
  <c r="J131" i="13"/>
  <c r="J108" i="13"/>
  <c r="J123" i="13"/>
  <c r="J124" i="13"/>
  <c r="J109" i="13"/>
  <c r="J125" i="13"/>
  <c r="J106" i="13"/>
  <c r="J117" i="13"/>
  <c r="J126" i="13"/>
  <c r="J121" i="13"/>
  <c r="D123" i="13"/>
  <c r="D98" i="13"/>
  <c r="D135" i="13"/>
  <c r="D88" i="13"/>
  <c r="D95" i="13"/>
  <c r="D99" i="13"/>
  <c r="D117" i="13"/>
  <c r="D126" i="13"/>
  <c r="D132" i="13"/>
  <c r="D118" i="13"/>
  <c r="D127" i="13"/>
  <c r="D130" i="13"/>
  <c r="D94" i="13"/>
  <c r="D105" i="13"/>
  <c r="D122" i="13"/>
  <c r="D131" i="13"/>
  <c r="D138" i="13"/>
  <c r="D108" i="13"/>
  <c r="D120" i="13"/>
  <c r="D89" i="13"/>
  <c r="D92" i="13"/>
  <c r="D96" i="13"/>
  <c r="D103" i="13"/>
  <c r="D106" i="13"/>
  <c r="D111" i="13"/>
  <c r="D114" i="13"/>
  <c r="D121" i="13"/>
  <c r="D129" i="13"/>
  <c r="D136" i="13"/>
  <c r="D104" i="13"/>
  <c r="D115" i="13"/>
  <c r="D91" i="13"/>
  <c r="D101" i="13"/>
  <c r="D119" i="13"/>
  <c r="D125" i="13"/>
  <c r="D134" i="13"/>
  <c r="D102" i="13"/>
  <c r="D113" i="13"/>
  <c r="D90" i="13"/>
  <c r="D93" i="13"/>
  <c r="D100" i="13"/>
  <c r="D109" i="13"/>
  <c r="D124" i="13"/>
  <c r="D133" i="13"/>
  <c r="D137" i="13"/>
  <c r="G7" i="13"/>
  <c r="D97" i="13"/>
  <c r="D107" i="13"/>
  <c r="D112" i="13"/>
  <c r="D110" i="13"/>
  <c r="D128" i="13"/>
  <c r="D116" i="13"/>
  <c r="N22" i="10"/>
  <c r="I127" i="13"/>
  <c r="I97" i="13"/>
  <c r="N15" i="10"/>
  <c r="I137" i="13"/>
  <c r="K71" i="15"/>
  <c r="N26" i="10"/>
  <c r="N14" i="10"/>
  <c r="I129" i="13"/>
  <c r="I121" i="13"/>
  <c r="I114" i="13"/>
  <c r="I111" i="13"/>
  <c r="I103" i="13"/>
  <c r="I96" i="13"/>
  <c r="N16" i="10"/>
  <c r="N21" i="10"/>
  <c r="I133" i="13"/>
  <c r="I109" i="13"/>
  <c r="I93" i="13"/>
  <c r="N25" i="10"/>
  <c r="N19" i="10"/>
  <c r="N13" i="10"/>
  <c r="I132" i="13"/>
  <c r="I126" i="13"/>
  <c r="I117" i="13"/>
  <c r="I99" i="13"/>
  <c r="I115" i="13"/>
  <c r="I90" i="13"/>
  <c r="N17" i="10"/>
  <c r="N24" i="10"/>
  <c r="N18" i="10"/>
  <c r="I135" i="13"/>
  <c r="I123" i="13"/>
  <c r="I120" i="13"/>
  <c r="I108" i="13"/>
  <c r="H76" i="15"/>
  <c r="N78" i="15" s="1"/>
  <c r="J83" i="15"/>
  <c r="S50" i="19"/>
  <c r="M19" i="15"/>
  <c r="K17" i="15"/>
  <c r="H22" i="15"/>
  <c r="N24" i="15" s="1"/>
  <c r="I26" i="15"/>
  <c r="O28" i="15" s="1"/>
  <c r="N79" i="15"/>
  <c r="I77" i="15"/>
  <c r="O79" i="15" s="1"/>
  <c r="I25" i="15"/>
  <c r="O27" i="15" s="1"/>
  <c r="N27" i="15"/>
  <c r="J30" i="15"/>
  <c r="I28" i="15"/>
  <c r="N80" i="15"/>
  <c r="I78" i="15"/>
  <c r="O80" i="15" s="1"/>
  <c r="I86" i="15"/>
  <c r="O86" i="15" s="1"/>
  <c r="N86" i="15"/>
  <c r="I82" i="15"/>
  <c r="O83" i="15" s="1"/>
  <c r="N83" i="15"/>
  <c r="N87" i="15"/>
  <c r="I87" i="15"/>
  <c r="O87" i="15" s="1"/>
  <c r="J88" i="15"/>
  <c r="H29" i="15"/>
  <c r="N71" i="15"/>
  <c r="N72" i="15" s="1"/>
  <c r="N73" i="15" s="1"/>
  <c r="K13" i="15"/>
  <c r="N19" i="15"/>
  <c r="I24" i="15"/>
  <c r="O26" i="15" s="1"/>
  <c r="I79" i="15"/>
  <c r="O81" i="15" s="1"/>
  <c r="H85" i="15"/>
  <c r="N28" i="15"/>
  <c r="H81" i="15"/>
  <c r="I23" i="15"/>
  <c r="O25" i="15" s="1"/>
  <c r="K62" i="15"/>
  <c r="F96" i="13"/>
  <c r="F102" i="13"/>
  <c r="F136" i="13"/>
  <c r="F93" i="13"/>
  <c r="F116" i="13"/>
  <c r="F119" i="13"/>
  <c r="F103" i="13"/>
  <c r="F137" i="13"/>
  <c r="F120" i="13"/>
  <c r="B67" i="13"/>
  <c r="D67" i="13" s="1"/>
  <c r="B59" i="13"/>
  <c r="D59" i="13" s="1"/>
  <c r="B33" i="13"/>
  <c r="D33" i="13" s="1"/>
  <c r="B42" i="13"/>
  <c r="D42" i="13" s="1"/>
  <c r="B70" i="13"/>
  <c r="D70" i="13" s="1"/>
  <c r="B65" i="13"/>
  <c r="D65" i="13" s="1"/>
  <c r="B60" i="13"/>
  <c r="D60" i="13" s="1"/>
  <c r="B45" i="13"/>
  <c r="D45" i="13" s="1"/>
  <c r="B29" i="13"/>
  <c r="D29" i="13" s="1"/>
  <c r="B68" i="13"/>
  <c r="D68" i="13" s="1"/>
  <c r="B63" i="13"/>
  <c r="D63" i="13" s="1"/>
  <c r="B55" i="13"/>
  <c r="D55" i="13" s="1"/>
  <c r="B50" i="13"/>
  <c r="F50" i="13" s="1"/>
  <c r="AH214" i="19" s="1"/>
  <c r="B38" i="13"/>
  <c r="F38" i="13" s="1"/>
  <c r="V214" i="19" s="1"/>
  <c r="G9" i="13"/>
  <c r="F92" i="13"/>
  <c r="B58" i="13"/>
  <c r="D58" i="13" s="1"/>
  <c r="B48" i="13"/>
  <c r="D48" i="13" s="1"/>
  <c r="B44" i="13"/>
  <c r="D44" i="13" s="1"/>
  <c r="B40" i="13"/>
  <c r="D40" i="13" s="1"/>
  <c r="B36" i="13"/>
  <c r="D36" i="13" s="1"/>
  <c r="B32" i="13"/>
  <c r="D32" i="13" s="1"/>
  <c r="B28" i="13"/>
  <c r="D28" i="13" s="1"/>
  <c r="B25" i="13"/>
  <c r="B57" i="13"/>
  <c r="D57" i="13" s="1"/>
  <c r="B53" i="13"/>
  <c r="D53" i="13" s="1"/>
  <c r="B47" i="13"/>
  <c r="B43" i="13"/>
  <c r="B39" i="13"/>
  <c r="B35" i="13"/>
  <c r="B31" i="13"/>
  <c r="B27" i="13"/>
  <c r="B24" i="13"/>
  <c r="B34" i="13"/>
  <c r="D34" i="13" s="1"/>
  <c r="B30" i="13"/>
  <c r="D30" i="13" s="1"/>
  <c r="D26" i="13"/>
  <c r="F49" i="13"/>
  <c r="AG214" i="19" s="1"/>
  <c r="F41" i="13"/>
  <c r="Y214" i="19" s="1"/>
  <c r="F37" i="13"/>
  <c r="U214" i="19" s="1"/>
  <c r="F22" i="13"/>
  <c r="F214" i="19" s="1"/>
  <c r="H88" i="13"/>
  <c r="H92" i="13"/>
  <c r="H102" i="13"/>
  <c r="H103" i="13"/>
  <c r="H115" i="13"/>
  <c r="H116" i="13"/>
  <c r="H119" i="13"/>
  <c r="H120" i="13"/>
  <c r="H137" i="13"/>
  <c r="H96" i="13"/>
  <c r="H117" i="13"/>
  <c r="H118" i="13"/>
  <c r="H121" i="13"/>
  <c r="H122" i="13"/>
  <c r="H123" i="13"/>
  <c r="H136" i="13"/>
  <c r="H90" i="13"/>
  <c r="H101" i="13"/>
  <c r="H107" i="13"/>
  <c r="H108" i="13"/>
  <c r="H125" i="13"/>
  <c r="H126" i="13"/>
  <c r="H138" i="13"/>
  <c r="H95" i="13"/>
  <c r="H106" i="13"/>
  <c r="H109" i="13"/>
  <c r="H110" i="13"/>
  <c r="H111" i="13"/>
  <c r="H124" i="13"/>
  <c r="H89" i="13"/>
  <c r="H113" i="13"/>
  <c r="H114" i="13"/>
  <c r="H127" i="13"/>
  <c r="H128" i="13"/>
  <c r="H131" i="13"/>
  <c r="H132" i="13"/>
  <c r="H98" i="13"/>
  <c r="H104" i="13"/>
  <c r="H112" i="13"/>
  <c r="H129" i="13"/>
  <c r="H130" i="13"/>
  <c r="H133" i="13"/>
  <c r="H134" i="13"/>
  <c r="H135" i="13"/>
  <c r="G91" i="13"/>
  <c r="G136" i="13"/>
  <c r="G124" i="13"/>
  <c r="G100" i="13"/>
  <c r="G127" i="13"/>
  <c r="G94" i="13"/>
  <c r="G112" i="13"/>
  <c r="G88" i="13"/>
  <c r="G115" i="13"/>
  <c r="L126" i="13"/>
  <c r="C126" i="13"/>
  <c r="L124" i="13"/>
  <c r="L123" i="13"/>
  <c r="L110" i="13"/>
  <c r="L108" i="13"/>
  <c r="C108" i="13"/>
  <c r="L106" i="13"/>
  <c r="L100" i="13"/>
  <c r="C91" i="13"/>
  <c r="C90" i="13"/>
  <c r="F135" i="13"/>
  <c r="F134" i="13"/>
  <c r="F133" i="13"/>
  <c r="F130" i="13"/>
  <c r="F129" i="13"/>
  <c r="L125" i="13"/>
  <c r="K123" i="13"/>
  <c r="C123" i="13"/>
  <c r="L121" i="13"/>
  <c r="C121" i="13"/>
  <c r="L117" i="13"/>
  <c r="C117" i="13"/>
  <c r="F115" i="13"/>
  <c r="L107" i="13"/>
  <c r="F104" i="13"/>
  <c r="F99" i="13"/>
  <c r="F98" i="13"/>
  <c r="C97" i="13"/>
  <c r="C96" i="13"/>
  <c r="L90" i="13"/>
  <c r="F88" i="13"/>
  <c r="L137" i="13"/>
  <c r="L136" i="13"/>
  <c r="L135" i="13"/>
  <c r="F132" i="13"/>
  <c r="F131" i="13"/>
  <c r="F128" i="13"/>
  <c r="L122" i="13"/>
  <c r="L120" i="13"/>
  <c r="C120" i="13"/>
  <c r="L118" i="13"/>
  <c r="L116" i="13"/>
  <c r="L115" i="13"/>
  <c r="F114" i="13"/>
  <c r="F113" i="13"/>
  <c r="F112" i="13"/>
  <c r="F105" i="13"/>
  <c r="C103" i="13"/>
  <c r="C102" i="13"/>
  <c r="L96" i="13"/>
  <c r="F94" i="13"/>
  <c r="C93" i="13"/>
  <c r="F89" i="13"/>
  <c r="J137" i="13"/>
  <c r="J136" i="13"/>
  <c r="K135" i="13"/>
  <c r="C135" i="13"/>
  <c r="L133" i="13"/>
  <c r="C133" i="13"/>
  <c r="L129" i="13"/>
  <c r="C129" i="13"/>
  <c r="F127" i="13"/>
  <c r="J122" i="13"/>
  <c r="J120" i="13"/>
  <c r="L119" i="13"/>
  <c r="J118" i="13"/>
  <c r="K116" i="13"/>
  <c r="J115" i="13"/>
  <c r="C115" i="13"/>
  <c r="F111" i="13"/>
  <c r="F110" i="13"/>
  <c r="F109" i="13"/>
  <c r="F106" i="13"/>
  <c r="J103" i="13"/>
  <c r="L102" i="13"/>
  <c r="F100" i="13"/>
  <c r="C99" i="13"/>
  <c r="J97" i="13"/>
  <c r="F95" i="13"/>
  <c r="K92" i="13"/>
  <c r="F138" i="13"/>
  <c r="J135" i="13"/>
  <c r="L134" i="13"/>
  <c r="J133" i="13"/>
  <c r="L132" i="13"/>
  <c r="C132" i="13"/>
  <c r="L130" i="13"/>
  <c r="J129" i="13"/>
  <c r="L128" i="13"/>
  <c r="L127" i="13"/>
  <c r="F126" i="13"/>
  <c r="F125" i="13"/>
  <c r="F124" i="13"/>
  <c r="J119" i="13"/>
  <c r="J116" i="13"/>
  <c r="L114" i="13"/>
  <c r="C114" i="13"/>
  <c r="L112" i="13"/>
  <c r="L111" i="13"/>
  <c r="F108" i="13"/>
  <c r="F107" i="13"/>
  <c r="C105" i="13"/>
  <c r="F101" i="13"/>
  <c r="K98" i="13"/>
  <c r="L93" i="13"/>
  <c r="J92" i="13"/>
  <c r="F91" i="13"/>
  <c r="F90" i="13"/>
  <c r="L88" i="13"/>
  <c r="C138" i="13"/>
  <c r="L138" i="13"/>
  <c r="E138" i="13"/>
  <c r="J134" i="13"/>
  <c r="J132" i="13"/>
  <c r="L131" i="13"/>
  <c r="J130" i="13"/>
  <c r="K128" i="13"/>
  <c r="J127" i="13"/>
  <c r="C127" i="13"/>
  <c r="F123" i="13"/>
  <c r="F122" i="13"/>
  <c r="F121" i="13"/>
  <c r="F118" i="13"/>
  <c r="F117" i="13"/>
  <c r="J114" i="13"/>
  <c r="L113" i="13"/>
  <c r="J112" i="13"/>
  <c r="C111" i="13"/>
  <c r="L109" i="13"/>
  <c r="C109" i="13"/>
  <c r="L105" i="13"/>
  <c r="J104" i="13"/>
  <c r="L99" i="13"/>
  <c r="J98" i="13"/>
  <c r="F97" i="13"/>
  <c r="L94" i="13"/>
  <c r="J88" i="13"/>
  <c r="G5" i="13"/>
  <c r="B91" i="13"/>
  <c r="B92" i="13"/>
  <c r="B93" i="13"/>
  <c r="B94" i="13"/>
  <c r="B95" i="13"/>
  <c r="B112" i="13"/>
  <c r="B116" i="13"/>
  <c r="B89" i="13"/>
  <c r="B109" i="13"/>
  <c r="B113" i="13"/>
  <c r="B114" i="13"/>
  <c r="B117" i="13"/>
  <c r="B122" i="13"/>
  <c r="B123" i="13"/>
  <c r="B127" i="13"/>
  <c r="B130" i="13"/>
  <c r="B131" i="13"/>
  <c r="B132" i="13"/>
  <c r="B136" i="13"/>
  <c r="B102" i="13"/>
  <c r="B110" i="13"/>
  <c r="B111" i="13"/>
  <c r="B115" i="13"/>
  <c r="B118" i="13"/>
  <c r="B119" i="13"/>
  <c r="B120" i="13"/>
  <c r="B133" i="13"/>
  <c r="B137" i="13"/>
  <c r="B98" i="13"/>
  <c r="B104" i="13"/>
  <c r="B108" i="13"/>
  <c r="B126" i="13"/>
  <c r="B134" i="13"/>
  <c r="B96" i="13"/>
  <c r="B103" i="13"/>
  <c r="B105" i="13"/>
  <c r="B124" i="13"/>
  <c r="B128" i="13"/>
  <c r="B138" i="13"/>
  <c r="B90" i="13"/>
  <c r="B97" i="13"/>
  <c r="B99" i="13"/>
  <c r="B100" i="13"/>
  <c r="B101" i="13"/>
  <c r="B106" i="13"/>
  <c r="B107" i="13"/>
  <c r="B121" i="13"/>
  <c r="B125" i="13"/>
  <c r="B129" i="13"/>
  <c r="B135" i="13"/>
  <c r="B16" i="13"/>
  <c r="B88" i="13"/>
  <c r="E113" i="13"/>
  <c r="E101" i="13"/>
  <c r="G14" i="13"/>
  <c r="K91" i="13"/>
  <c r="K97" i="13"/>
  <c r="K103" i="13"/>
  <c r="K109" i="13"/>
  <c r="K115" i="13"/>
  <c r="K121" i="13"/>
  <c r="K127" i="13"/>
  <c r="K133" i="13"/>
  <c r="K90" i="13"/>
  <c r="K96" i="13"/>
  <c r="K102" i="13"/>
  <c r="K108" i="13"/>
  <c r="K114" i="13"/>
  <c r="K120" i="13"/>
  <c r="K126" i="13"/>
  <c r="K132" i="13"/>
  <c r="K88" i="13"/>
  <c r="K94" i="13"/>
  <c r="K100" i="13"/>
  <c r="K106" i="13"/>
  <c r="K112" i="13"/>
  <c r="K118" i="13"/>
  <c r="K124" i="13"/>
  <c r="K130" i="13"/>
  <c r="E136" i="13"/>
  <c r="E134" i="13"/>
  <c r="G131" i="13"/>
  <c r="E129" i="13"/>
  <c r="K125" i="13"/>
  <c r="E122" i="13"/>
  <c r="G119" i="13"/>
  <c r="E117" i="13"/>
  <c r="K113" i="13"/>
  <c r="E110" i="13"/>
  <c r="G107" i="13"/>
  <c r="E99" i="13"/>
  <c r="E93" i="13"/>
  <c r="D56" i="13"/>
  <c r="E95" i="13"/>
  <c r="E89" i="13"/>
  <c r="G137" i="13"/>
  <c r="K136" i="13"/>
  <c r="G133" i="13"/>
  <c r="K129" i="13"/>
  <c r="G121" i="13"/>
  <c r="K117" i="13"/>
  <c r="G109" i="13"/>
  <c r="K105" i="13"/>
  <c r="G103" i="13"/>
  <c r="K101" i="13"/>
  <c r="G97" i="13"/>
  <c r="K95" i="13"/>
  <c r="K89" i="13"/>
  <c r="D46" i="13"/>
  <c r="F46" i="13"/>
  <c r="AD214" i="19" s="1"/>
  <c r="E91" i="13"/>
  <c r="E97" i="13"/>
  <c r="E103" i="13"/>
  <c r="E109" i="13"/>
  <c r="E115" i="13"/>
  <c r="E121" i="13"/>
  <c r="E127" i="13"/>
  <c r="E133" i="13"/>
  <c r="E90" i="13"/>
  <c r="E96" i="13"/>
  <c r="E102" i="13"/>
  <c r="E108" i="13"/>
  <c r="E114" i="13"/>
  <c r="E120" i="13"/>
  <c r="E126" i="13"/>
  <c r="E132" i="13"/>
  <c r="E88" i="13"/>
  <c r="E94" i="13"/>
  <c r="E100" i="13"/>
  <c r="E106" i="13"/>
  <c r="E112" i="13"/>
  <c r="E118" i="13"/>
  <c r="E124" i="13"/>
  <c r="E130" i="13"/>
  <c r="E125" i="13"/>
  <c r="E105" i="13"/>
  <c r="G10" i="13"/>
  <c r="G93" i="13"/>
  <c r="G99" i="13"/>
  <c r="G105" i="13"/>
  <c r="G111" i="13"/>
  <c r="G117" i="13"/>
  <c r="G123" i="13"/>
  <c r="G129" i="13"/>
  <c r="G135" i="13"/>
  <c r="G92" i="13"/>
  <c r="G98" i="13"/>
  <c r="G104" i="13"/>
  <c r="G110" i="13"/>
  <c r="G116" i="13"/>
  <c r="G122" i="13"/>
  <c r="G128" i="13"/>
  <c r="G134" i="13"/>
  <c r="G90" i="13"/>
  <c r="G96" i="13"/>
  <c r="G102" i="13"/>
  <c r="G108" i="13"/>
  <c r="G114" i="13"/>
  <c r="G120" i="13"/>
  <c r="G126" i="13"/>
  <c r="G132" i="13"/>
  <c r="G138" i="13"/>
  <c r="K134" i="13"/>
  <c r="E131" i="13"/>
  <c r="G130" i="13"/>
  <c r="K122" i="13"/>
  <c r="E119" i="13"/>
  <c r="G118" i="13"/>
  <c r="K110" i="13"/>
  <c r="E107" i="13"/>
  <c r="G106" i="13"/>
  <c r="E98" i="13"/>
  <c r="E92" i="13"/>
  <c r="D62" i="13"/>
  <c r="G12" i="13"/>
  <c r="I89" i="13"/>
  <c r="I95" i="13"/>
  <c r="I101" i="13"/>
  <c r="I107" i="13"/>
  <c r="I113" i="13"/>
  <c r="I119" i="13"/>
  <c r="I125" i="13"/>
  <c r="I131" i="13"/>
  <c r="I88" i="13"/>
  <c r="I94" i="13"/>
  <c r="I100" i="13"/>
  <c r="I106" i="13"/>
  <c r="I112" i="13"/>
  <c r="I118" i="13"/>
  <c r="I124" i="13"/>
  <c r="I130" i="13"/>
  <c r="I136" i="13"/>
  <c r="I92" i="13"/>
  <c r="I98" i="13"/>
  <c r="I104" i="13"/>
  <c r="I110" i="13"/>
  <c r="I116" i="13"/>
  <c r="I122" i="13"/>
  <c r="I128" i="13"/>
  <c r="I134" i="13"/>
  <c r="C89" i="13"/>
  <c r="C95" i="13"/>
  <c r="C101" i="13"/>
  <c r="C107" i="13"/>
  <c r="C113" i="13"/>
  <c r="C119" i="13"/>
  <c r="C125" i="13"/>
  <c r="C131" i="13"/>
  <c r="C137" i="13"/>
  <c r="C88" i="13"/>
  <c r="C94" i="13"/>
  <c r="C100" i="13"/>
  <c r="C106" i="13"/>
  <c r="C112" i="13"/>
  <c r="C118" i="13"/>
  <c r="C124" i="13"/>
  <c r="C130" i="13"/>
  <c r="C136" i="13"/>
  <c r="C92" i="13"/>
  <c r="C98" i="13"/>
  <c r="C104" i="13"/>
  <c r="C110" i="13"/>
  <c r="C116" i="13"/>
  <c r="C122" i="13"/>
  <c r="C128" i="13"/>
  <c r="C134" i="13"/>
  <c r="K137" i="13"/>
  <c r="E137" i="13"/>
  <c r="E135" i="13"/>
  <c r="K131" i="13"/>
  <c r="E128" i="13"/>
  <c r="G125" i="13"/>
  <c r="E123" i="13"/>
  <c r="K119" i="13"/>
  <c r="E116" i="13"/>
  <c r="G113" i="13"/>
  <c r="E111" i="13"/>
  <c r="K107" i="13"/>
  <c r="K104" i="13"/>
  <c r="G101" i="13"/>
  <c r="K99" i="13"/>
  <c r="G95" i="13"/>
  <c r="K93" i="13"/>
  <c r="G89" i="13"/>
  <c r="F51" i="13"/>
  <c r="AI214" i="19" s="1"/>
  <c r="E52" i="13"/>
  <c r="F23" i="13"/>
  <c r="G214" i="19" s="1"/>
  <c r="G8" i="13"/>
  <c r="L101" i="13"/>
  <c r="J99" i="13"/>
  <c r="H97" i="13"/>
  <c r="L95" i="13"/>
  <c r="J93" i="13"/>
  <c r="H91" i="13"/>
  <c r="L89" i="13"/>
  <c r="G15" i="13"/>
  <c r="G13" i="13"/>
  <c r="G11" i="13"/>
  <c r="H105" i="13"/>
  <c r="L103" i="13"/>
  <c r="J101" i="13"/>
  <c r="H99" i="13"/>
  <c r="L97" i="13"/>
  <c r="J95" i="13"/>
  <c r="H93" i="13"/>
  <c r="L91" i="13"/>
  <c r="J89" i="13"/>
  <c r="L104" i="13"/>
  <c r="J102" i="13"/>
  <c r="H100" i="13"/>
  <c r="L98" i="13"/>
  <c r="J96" i="13"/>
  <c r="H94" i="13"/>
  <c r="G9" i="11"/>
  <c r="Q20" i="10"/>
  <c r="Q27" i="10"/>
  <c r="Q10" i="10"/>
  <c r="Q15" i="10"/>
  <c r="Q33" i="10"/>
  <c r="Q11" i="10"/>
  <c r="Q21" i="10"/>
  <c r="Q26" i="10"/>
  <c r="Q23" i="10"/>
  <c r="Q12" i="10"/>
  <c r="Q30" i="10"/>
  <c r="Q18" i="10"/>
  <c r="Q36" i="10"/>
  <c r="Q17" i="10"/>
  <c r="Q35" i="10"/>
  <c r="Q24" i="10"/>
  <c r="Q13" i="10"/>
  <c r="Q19" i="10"/>
  <c r="Q25" i="10"/>
  <c r="Q31" i="10"/>
  <c r="Q37" i="10"/>
  <c r="Q16" i="10"/>
  <c r="Q22" i="10"/>
  <c r="Q28" i="10"/>
  <c r="Q32" i="10"/>
  <c r="Q34" i="10"/>
  <c r="C93" i="24" l="1"/>
  <c r="C42" i="24"/>
  <c r="C305" i="24"/>
  <c r="C306" i="24"/>
  <c r="C302" i="24"/>
  <c r="C304" i="24"/>
  <c r="C298" i="24"/>
  <c r="C303" i="24"/>
  <c r="C307" i="24"/>
  <c r="C309" i="24"/>
  <c r="C310" i="24"/>
  <c r="C300" i="24"/>
  <c r="C297" i="24"/>
  <c r="C299" i="24"/>
  <c r="C301" i="24"/>
  <c r="C111" i="24"/>
  <c r="C112" i="24"/>
  <c r="C244" i="24"/>
  <c r="C308" i="24"/>
  <c r="I12" i="19"/>
  <c r="I15" i="19"/>
  <c r="I23" i="19"/>
  <c r="C25" i="24"/>
  <c r="C11" i="24"/>
  <c r="C66" i="24"/>
  <c r="C209" i="24"/>
  <c r="I18" i="19"/>
  <c r="I10" i="19"/>
  <c r="C161" i="24"/>
  <c r="C206" i="24"/>
  <c r="C245" i="24"/>
  <c r="C32" i="24"/>
  <c r="I24" i="19"/>
  <c r="I16" i="19"/>
  <c r="C270" i="24"/>
  <c r="I13" i="19"/>
  <c r="C72" i="24"/>
  <c r="C128" i="24"/>
  <c r="C8" i="24"/>
  <c r="C124" i="24"/>
  <c r="I7" i="19"/>
  <c r="C95" i="24"/>
  <c r="C104" i="24"/>
  <c r="I5" i="19"/>
  <c r="I6" i="19"/>
  <c r="C76" i="24"/>
  <c r="C4" i="24"/>
  <c r="C129" i="24"/>
  <c r="C291" i="24"/>
  <c r="C294" i="24"/>
  <c r="C296" i="24"/>
  <c r="C290" i="24"/>
  <c r="D72" i="19" s="1"/>
  <c r="C293" i="24"/>
  <c r="C292" i="24"/>
  <c r="C295" i="24"/>
  <c r="C94" i="24"/>
  <c r="C33" i="24"/>
  <c r="C23" i="24"/>
  <c r="C29" i="24"/>
  <c r="C14" i="24"/>
  <c r="C287" i="24"/>
  <c r="D113" i="19"/>
  <c r="C212" i="24"/>
  <c r="C105" i="24"/>
  <c r="C38" i="24"/>
  <c r="D75" i="19" s="1"/>
  <c r="C45" i="24"/>
  <c r="C39" i="24"/>
  <c r="C288" i="24"/>
  <c r="C289" i="24"/>
  <c r="C18" i="24"/>
  <c r="C127" i="24"/>
  <c r="C106" i="24"/>
  <c r="C40" i="24"/>
  <c r="AP11" i="19"/>
  <c r="Y30" i="19"/>
  <c r="AC11" i="19"/>
  <c r="AN11" i="19"/>
  <c r="AD11" i="19"/>
  <c r="C5" i="24"/>
  <c r="C187" i="24"/>
  <c r="C30" i="24"/>
  <c r="C204" i="24"/>
  <c r="C507" i="24"/>
  <c r="C461" i="24"/>
  <c r="C466" i="24"/>
  <c r="C511" i="24"/>
  <c r="C456" i="24"/>
  <c r="C437" i="24"/>
  <c r="C535" i="24"/>
  <c r="C449" i="24"/>
  <c r="C518" i="24"/>
  <c r="C526" i="24"/>
  <c r="C487" i="24"/>
  <c r="C495" i="24"/>
  <c r="C441" i="24"/>
  <c r="C532" i="24"/>
  <c r="C459" i="24"/>
  <c r="C510" i="24"/>
  <c r="C447" i="24"/>
  <c r="C498" i="24"/>
  <c r="C529" i="24"/>
  <c r="C502" i="24"/>
  <c r="C485" i="24"/>
  <c r="C497" i="24"/>
  <c r="C525" i="24"/>
  <c r="C475" i="24"/>
  <c r="C472" i="24"/>
  <c r="C479" i="24"/>
  <c r="C477" i="24"/>
  <c r="C524" i="24"/>
  <c r="C488" i="24"/>
  <c r="C508" i="24"/>
  <c r="C496" i="24"/>
  <c r="C463" i="24"/>
  <c r="C494" i="24"/>
  <c r="C505" i="24"/>
  <c r="C452" i="24"/>
  <c r="C489" i="24"/>
  <c r="C442" i="24"/>
  <c r="C458" i="24"/>
  <c r="C455" i="24"/>
  <c r="C484" i="24"/>
  <c r="C473" i="24"/>
  <c r="C476" i="24"/>
  <c r="C492" i="24"/>
  <c r="C527" i="24"/>
  <c r="C501" i="24"/>
  <c r="C438" i="24"/>
  <c r="C440" i="24"/>
  <c r="C493" i="24"/>
  <c r="C444" i="24"/>
  <c r="C460" i="24"/>
  <c r="C439" i="24"/>
  <c r="C469" i="24"/>
  <c r="C506" i="24"/>
  <c r="C522" i="24"/>
  <c r="C499" i="24"/>
  <c r="C503" i="24"/>
  <c r="C521" i="24"/>
  <c r="C443" i="24"/>
  <c r="C514" i="24"/>
  <c r="C453" i="24"/>
  <c r="C483" i="24"/>
  <c r="C533" i="24"/>
  <c r="C468" i="24"/>
  <c r="C448" i="24"/>
  <c r="C474" i="24"/>
  <c r="C478" i="24"/>
  <c r="C436" i="24"/>
  <c r="C457" i="24"/>
  <c r="C491" i="24"/>
  <c r="C480" i="24"/>
  <c r="C520" i="24"/>
  <c r="C445" i="24"/>
  <c r="C454" i="24"/>
  <c r="C528" i="24"/>
  <c r="C490" i="24"/>
  <c r="C531" i="24"/>
  <c r="C519" i="24"/>
  <c r="C486" i="24"/>
  <c r="C517" i="24"/>
  <c r="C482" i="24"/>
  <c r="C513" i="24"/>
  <c r="C504" i="24"/>
  <c r="C451" i="24"/>
  <c r="C470" i="24"/>
  <c r="C500" i="24"/>
  <c r="C523" i="24"/>
  <c r="C467" i="24"/>
  <c r="C515" i="24"/>
  <c r="C516" i="24"/>
  <c r="C471" i="24"/>
  <c r="C465" i="24"/>
  <c r="C450" i="24"/>
  <c r="C446" i="24"/>
  <c r="C512" i="24"/>
  <c r="C534" i="24"/>
  <c r="C462" i="24"/>
  <c r="C464" i="24"/>
  <c r="C509" i="24"/>
  <c r="C481" i="24"/>
  <c r="C530" i="24"/>
  <c r="C41" i="24"/>
  <c r="C77" i="24"/>
  <c r="D109" i="19"/>
  <c r="D108" i="19"/>
  <c r="S52" i="19"/>
  <c r="C6" i="24"/>
  <c r="C275" i="24"/>
  <c r="C2" i="24"/>
  <c r="C274" i="24"/>
  <c r="C9" i="24"/>
  <c r="C44" i="24"/>
  <c r="L3" i="4"/>
  <c r="L8" i="4"/>
  <c r="L11" i="4"/>
  <c r="L5" i="4"/>
  <c r="L10" i="4"/>
  <c r="G23" i="11"/>
  <c r="L46" i="19" s="1"/>
  <c r="L50" i="19" s="1"/>
  <c r="AB8" i="4"/>
  <c r="AB10" i="4"/>
  <c r="AB5" i="4"/>
  <c r="AB3" i="4"/>
  <c r="H80" i="15"/>
  <c r="AB11" i="4"/>
  <c r="Y18" i="19"/>
  <c r="Y9" i="19"/>
  <c r="Y12" i="19"/>
  <c r="Y16" i="19"/>
  <c r="Y23" i="19"/>
  <c r="Y17" i="19"/>
  <c r="Y28" i="19"/>
  <c r="Y14" i="19"/>
  <c r="Y25" i="19"/>
  <c r="Y29" i="19"/>
  <c r="Y19" i="19"/>
  <c r="Y13" i="19"/>
  <c r="Y15" i="19"/>
  <c r="Y26" i="19"/>
  <c r="K72" i="15"/>
  <c r="G18" i="19"/>
  <c r="H18" i="19" s="1"/>
  <c r="D66" i="25" s="1"/>
  <c r="G24" i="19"/>
  <c r="H24" i="19" s="1"/>
  <c r="G54" i="25" s="1"/>
  <c r="G7" i="19"/>
  <c r="H7" i="19" s="1"/>
  <c r="D55" i="25" s="1"/>
  <c r="Y7" i="19"/>
  <c r="G8" i="19"/>
  <c r="H8" i="19" s="1"/>
  <c r="D56" i="25" s="1"/>
  <c r="G10" i="19"/>
  <c r="H10" i="19" s="1"/>
  <c r="D58" i="25" s="1"/>
  <c r="G5" i="19"/>
  <c r="H5" i="19" s="1"/>
  <c r="J2" i="4"/>
  <c r="U13" i="4" a="1"/>
  <c r="U13" i="4" s="1"/>
  <c r="V13" i="4" a="1"/>
  <c r="V13" i="4" s="1"/>
  <c r="T13" i="4" a="1"/>
  <c r="T13" i="4" s="1"/>
  <c r="V51" i="4" a="1"/>
  <c r="V51" i="4" s="1"/>
  <c r="T51" i="4" a="1"/>
  <c r="T51" i="4" s="1"/>
  <c r="U51" i="4" a="1"/>
  <c r="U51" i="4" s="1"/>
  <c r="V87" i="4" a="1"/>
  <c r="V87" i="4" s="1"/>
  <c r="U87" i="4" a="1"/>
  <c r="U87" i="4" s="1"/>
  <c r="T87" i="4" a="1"/>
  <c r="T87" i="4" s="1"/>
  <c r="V123" i="4" a="1"/>
  <c r="V123" i="4" s="1"/>
  <c r="T123" i="4" a="1"/>
  <c r="T123" i="4" s="1"/>
  <c r="U123" i="4" a="1"/>
  <c r="U123" i="4" s="1"/>
  <c r="V159" i="4" a="1"/>
  <c r="V159" i="4" s="1"/>
  <c r="T159" i="4" a="1"/>
  <c r="T159" i="4" s="1"/>
  <c r="U159" i="4" a="1"/>
  <c r="U159" i="4" s="1"/>
  <c r="U195" i="4" a="1"/>
  <c r="U195" i="4" s="1"/>
  <c r="V195" i="4" a="1"/>
  <c r="V195" i="4" s="1"/>
  <c r="T195" i="4" a="1"/>
  <c r="T195" i="4" s="1"/>
  <c r="T12" i="4" a="1"/>
  <c r="T12" i="4" s="1"/>
  <c r="V12" i="4" a="1"/>
  <c r="V12" i="4" s="1"/>
  <c r="U12" i="4" a="1"/>
  <c r="U12" i="4" s="1"/>
  <c r="V18" i="4" a="1"/>
  <c r="V18" i="4" s="1"/>
  <c r="U18" i="4" a="1"/>
  <c r="U18" i="4" s="1"/>
  <c r="T18" i="4" a="1"/>
  <c r="T18" i="4" s="1"/>
  <c r="V54" i="4" a="1"/>
  <c r="V54" i="4" s="1"/>
  <c r="U54" i="4" a="1"/>
  <c r="U54" i="4" s="1"/>
  <c r="T54" i="4" a="1"/>
  <c r="T54" i="4" s="1"/>
  <c r="V38" i="4" a="1"/>
  <c r="V38" i="4" s="1"/>
  <c r="U38" i="4" a="1"/>
  <c r="U38" i="4" s="1"/>
  <c r="T38" i="4" a="1"/>
  <c r="T38" i="4" s="1"/>
  <c r="T74" i="4" a="1"/>
  <c r="T74" i="4" s="1"/>
  <c r="V74" i="4" a="1"/>
  <c r="V74" i="4" s="1"/>
  <c r="U74" i="4" a="1"/>
  <c r="U74" i="4" s="1"/>
  <c r="V104" i="4" a="1"/>
  <c r="V104" i="4" s="1"/>
  <c r="U104" i="4" a="1"/>
  <c r="U104" i="4" s="1"/>
  <c r="T104" i="4" a="1"/>
  <c r="T104" i="4" s="1"/>
  <c r="V140" i="4" a="1"/>
  <c r="V140" i="4" s="1"/>
  <c r="U140" i="4" a="1"/>
  <c r="U140" i="4" s="1"/>
  <c r="T140" i="4" a="1"/>
  <c r="T140" i="4" s="1"/>
  <c r="U176" i="4" a="1"/>
  <c r="U176" i="4" s="1"/>
  <c r="V176" i="4" a="1"/>
  <c r="V176" i="4" s="1"/>
  <c r="T176" i="4" a="1"/>
  <c r="T176" i="4" s="1"/>
  <c r="V212" i="4" a="1"/>
  <c r="V212" i="4" s="1"/>
  <c r="U212" i="4" a="1"/>
  <c r="U212" i="4" s="1"/>
  <c r="T212" i="4" a="1"/>
  <c r="T212" i="4" s="1"/>
  <c r="U47" i="4" a="1"/>
  <c r="U47" i="4" s="1"/>
  <c r="V47" i="4" a="1"/>
  <c r="V47" i="4" s="1"/>
  <c r="T47" i="4" a="1"/>
  <c r="T47" i="4" s="1"/>
  <c r="U83" i="4" a="1"/>
  <c r="U83" i="4" s="1"/>
  <c r="V83" i="4" a="1"/>
  <c r="V83" i="4" s="1"/>
  <c r="T83" i="4" a="1"/>
  <c r="T83" i="4" s="1"/>
  <c r="V119" i="4" a="1"/>
  <c r="V119" i="4" s="1"/>
  <c r="U119" i="4" a="1"/>
  <c r="U119" i="4" s="1"/>
  <c r="T119" i="4" a="1"/>
  <c r="T119" i="4" s="1"/>
  <c r="U155" i="4" a="1"/>
  <c r="U155" i="4" s="1"/>
  <c r="T155" i="4" a="1"/>
  <c r="T155" i="4" s="1"/>
  <c r="V155" i="4" a="1"/>
  <c r="V155" i="4" s="1"/>
  <c r="T191" i="4" a="1"/>
  <c r="T191" i="4" s="1"/>
  <c r="V191" i="4" a="1"/>
  <c r="V191" i="4" s="1"/>
  <c r="U191" i="4" a="1"/>
  <c r="U191" i="4" s="1"/>
  <c r="V72" i="4" a="1"/>
  <c r="V72" i="4" s="1"/>
  <c r="U72" i="4" a="1"/>
  <c r="U72" i="4" s="1"/>
  <c r="T72" i="4" a="1"/>
  <c r="T72" i="4" s="1"/>
  <c r="T108" i="4" a="1"/>
  <c r="T108" i="4" s="1"/>
  <c r="U108" i="4" a="1"/>
  <c r="U108" i="4" s="1"/>
  <c r="V108" i="4" a="1"/>
  <c r="V108" i="4" s="1"/>
  <c r="V144" i="4" a="1"/>
  <c r="V144" i="4" s="1"/>
  <c r="T144" i="4" a="1"/>
  <c r="T144" i="4" s="1"/>
  <c r="U144" i="4" a="1"/>
  <c r="U144" i="4" s="1"/>
  <c r="T180" i="4" a="1"/>
  <c r="T180" i="4" s="1"/>
  <c r="U180" i="4" a="1"/>
  <c r="U180" i="4" s="1"/>
  <c r="V180" i="4" a="1"/>
  <c r="V180" i="4" s="1"/>
  <c r="U216" i="4" a="1"/>
  <c r="U216" i="4" s="1"/>
  <c r="V216" i="4" a="1"/>
  <c r="V216" i="4" s="1"/>
  <c r="T216" i="4" a="1"/>
  <c r="T216" i="4" s="1"/>
  <c r="V58" i="4" a="1"/>
  <c r="V58" i="4" s="1"/>
  <c r="U58" i="4" a="1"/>
  <c r="U58" i="4" s="1"/>
  <c r="T58" i="4" a="1"/>
  <c r="T58" i="4" s="1"/>
  <c r="T94" i="4" a="1"/>
  <c r="T94" i="4" s="1"/>
  <c r="U94" i="4" a="1"/>
  <c r="U94" i="4" s="1"/>
  <c r="V94" i="4" a="1"/>
  <c r="V94" i="4" s="1"/>
  <c r="U130" i="4" a="1"/>
  <c r="U130" i="4" s="1"/>
  <c r="T130" i="4" a="1"/>
  <c r="T130" i="4" s="1"/>
  <c r="V130" i="4" a="1"/>
  <c r="V130" i="4" s="1"/>
  <c r="U166" i="4" a="1"/>
  <c r="U166" i="4" s="1"/>
  <c r="T166" i="4" a="1"/>
  <c r="T166" i="4" s="1"/>
  <c r="V166" i="4" a="1"/>
  <c r="V166" i="4" s="1"/>
  <c r="U202" i="4" a="1"/>
  <c r="U202" i="4" s="1"/>
  <c r="V202" i="4" a="1"/>
  <c r="V202" i="4" s="1"/>
  <c r="T202" i="4" a="1"/>
  <c r="T202" i="4" s="1"/>
  <c r="U37" i="4" a="1"/>
  <c r="U37" i="4" s="1"/>
  <c r="V37" i="4" a="1"/>
  <c r="V37" i="4" s="1"/>
  <c r="T37" i="4" a="1"/>
  <c r="T37" i="4" s="1"/>
  <c r="V73" i="4" a="1"/>
  <c r="V73" i="4" s="1"/>
  <c r="T73" i="4" a="1"/>
  <c r="T73" i="4" s="1"/>
  <c r="U73" i="4" a="1"/>
  <c r="U73" i="4" s="1"/>
  <c r="U109" i="4" a="1"/>
  <c r="U109" i="4" s="1"/>
  <c r="V109" i="4" a="1"/>
  <c r="V109" i="4" s="1"/>
  <c r="T109" i="4" a="1"/>
  <c r="T109" i="4" s="1"/>
  <c r="U145" i="4" a="1"/>
  <c r="U145" i="4" s="1"/>
  <c r="V145" i="4" a="1"/>
  <c r="V145" i="4" s="1"/>
  <c r="T145" i="4" a="1"/>
  <c r="T145" i="4" s="1"/>
  <c r="T181" i="4" a="1"/>
  <c r="T181" i="4" s="1"/>
  <c r="V181" i="4" a="1"/>
  <c r="V181" i="4" s="1"/>
  <c r="U181" i="4" a="1"/>
  <c r="U181" i="4" s="1"/>
  <c r="U217" i="4" a="1"/>
  <c r="U217" i="4" s="1"/>
  <c r="V217" i="4" a="1"/>
  <c r="V217" i="4" s="1"/>
  <c r="T217" i="4" a="1"/>
  <c r="T217" i="4" s="1"/>
  <c r="T4" i="4" a="1"/>
  <c r="T4" i="4" s="1"/>
  <c r="V4" i="4" a="1"/>
  <c r="V4" i="4" s="1"/>
  <c r="Y24" i="19"/>
  <c r="U4" i="4" a="1"/>
  <c r="U4" i="4" s="1"/>
  <c r="V21" i="4" a="1"/>
  <c r="V21" i="4" s="1"/>
  <c r="U21" i="4" a="1"/>
  <c r="U21" i="4" s="1"/>
  <c r="T21" i="4" a="1"/>
  <c r="T21" i="4" s="1"/>
  <c r="U57" i="4" a="1"/>
  <c r="U57" i="4" s="1"/>
  <c r="V57" i="4" a="1"/>
  <c r="V57" i="4" s="1"/>
  <c r="T57" i="4" a="1"/>
  <c r="T57" i="4" s="1"/>
  <c r="U93" i="4" a="1"/>
  <c r="U93" i="4" s="1"/>
  <c r="V93" i="4" a="1"/>
  <c r="V93" i="4" s="1"/>
  <c r="T93" i="4" a="1"/>
  <c r="T93" i="4" s="1"/>
  <c r="V129" i="4" a="1"/>
  <c r="V129" i="4" s="1"/>
  <c r="U129" i="4" a="1"/>
  <c r="U129" i="4" s="1"/>
  <c r="T129" i="4" a="1"/>
  <c r="T129" i="4" s="1"/>
  <c r="U165" i="4" a="1"/>
  <c r="U165" i="4" s="1"/>
  <c r="T165" i="4" a="1"/>
  <c r="T165" i="4" s="1"/>
  <c r="V165" i="4" a="1"/>
  <c r="V165" i="4" s="1"/>
  <c r="V201" i="4" a="1"/>
  <c r="V201" i="4" s="1"/>
  <c r="T201" i="4" a="1"/>
  <c r="T201" i="4" s="1"/>
  <c r="U201" i="4" a="1"/>
  <c r="U201" i="4" s="1"/>
  <c r="T5" i="4" a="1"/>
  <c r="T5" i="4" s="1"/>
  <c r="U5" i="4" a="1"/>
  <c r="U5" i="4" s="1"/>
  <c r="V5" i="4" a="1"/>
  <c r="V5" i="4" s="1"/>
  <c r="V24" i="4" a="1"/>
  <c r="V24" i="4" s="1"/>
  <c r="U24" i="4" a="1"/>
  <c r="U24" i="4" s="1"/>
  <c r="T24" i="4" a="1"/>
  <c r="T24" i="4" s="1"/>
  <c r="T60" i="4" a="1"/>
  <c r="T60" i="4" s="1"/>
  <c r="V60" i="4" a="1"/>
  <c r="V60" i="4" s="1"/>
  <c r="U60" i="4" a="1"/>
  <c r="U60" i="4" s="1"/>
  <c r="V44" i="4" a="1"/>
  <c r="V44" i="4" s="1"/>
  <c r="U44" i="4" a="1"/>
  <c r="U44" i="4" s="1"/>
  <c r="T44" i="4" a="1"/>
  <c r="T44" i="4" s="1"/>
  <c r="V80" i="4" a="1"/>
  <c r="V80" i="4" s="1"/>
  <c r="U80" i="4" a="1"/>
  <c r="U80" i="4" s="1"/>
  <c r="T80" i="4" a="1"/>
  <c r="T80" i="4" s="1"/>
  <c r="U110" i="4" a="1"/>
  <c r="U110" i="4" s="1"/>
  <c r="T110" i="4" a="1"/>
  <c r="T110" i="4" s="1"/>
  <c r="V110" i="4" a="1"/>
  <c r="V110" i="4" s="1"/>
  <c r="U146" i="4" a="1"/>
  <c r="U146" i="4" s="1"/>
  <c r="T146" i="4" a="1"/>
  <c r="T146" i="4" s="1"/>
  <c r="V146" i="4" a="1"/>
  <c r="V146" i="4" s="1"/>
  <c r="U182" i="4" a="1"/>
  <c r="U182" i="4" s="1"/>
  <c r="V182" i="4" a="1"/>
  <c r="V182" i="4" s="1"/>
  <c r="T182" i="4" a="1"/>
  <c r="T182" i="4" s="1"/>
  <c r="U218" i="4" a="1"/>
  <c r="U218" i="4" s="1"/>
  <c r="T218" i="4" a="1"/>
  <c r="T218" i="4" s="1"/>
  <c r="V218" i="4" a="1"/>
  <c r="V218" i="4" s="1"/>
  <c r="U53" i="4" a="1"/>
  <c r="U53" i="4" s="1"/>
  <c r="T53" i="4" a="1"/>
  <c r="T53" i="4" s="1"/>
  <c r="V53" i="4" a="1"/>
  <c r="V53" i="4" s="1"/>
  <c r="T89" i="4" a="1"/>
  <c r="T89" i="4" s="1"/>
  <c r="V89" i="4" a="1"/>
  <c r="V89" i="4" s="1"/>
  <c r="U89" i="4" a="1"/>
  <c r="U89" i="4" s="1"/>
  <c r="V125" i="4" a="1"/>
  <c r="V125" i="4" s="1"/>
  <c r="U125" i="4" a="1"/>
  <c r="U125" i="4" s="1"/>
  <c r="T125" i="4" a="1"/>
  <c r="T125" i="4" s="1"/>
  <c r="T161" i="4" a="1"/>
  <c r="T161" i="4" s="1"/>
  <c r="V161" i="4" a="1"/>
  <c r="V161" i="4" s="1"/>
  <c r="U161" i="4" a="1"/>
  <c r="U161" i="4" s="1"/>
  <c r="V197" i="4" a="1"/>
  <c r="V197" i="4" s="1"/>
  <c r="T197" i="4" a="1"/>
  <c r="T197" i="4" s="1"/>
  <c r="U197" i="4" a="1"/>
  <c r="U197" i="4" s="1"/>
  <c r="T78" i="4" a="1"/>
  <c r="T78" i="4" s="1"/>
  <c r="V78" i="4" a="1"/>
  <c r="V78" i="4" s="1"/>
  <c r="U78" i="4" a="1"/>
  <c r="U78" i="4" s="1"/>
  <c r="U114" i="4" a="1"/>
  <c r="U114" i="4" s="1"/>
  <c r="V114" i="4" a="1"/>
  <c r="V114" i="4" s="1"/>
  <c r="T114" i="4" a="1"/>
  <c r="T114" i="4" s="1"/>
  <c r="V150" i="4" a="1"/>
  <c r="V150" i="4" s="1"/>
  <c r="T150" i="4" a="1"/>
  <c r="T150" i="4" s="1"/>
  <c r="U150" i="4" a="1"/>
  <c r="U150" i="4" s="1"/>
  <c r="V186" i="4" a="1"/>
  <c r="V186" i="4" s="1"/>
  <c r="U186" i="4" a="1"/>
  <c r="U186" i="4" s="1"/>
  <c r="T186" i="4" a="1"/>
  <c r="T186" i="4" s="1"/>
  <c r="T28" i="4" a="1"/>
  <c r="T28" i="4" s="1"/>
  <c r="V28" i="4" a="1"/>
  <c r="V28" i="4" s="1"/>
  <c r="U28" i="4" a="1"/>
  <c r="U28" i="4" s="1"/>
  <c r="T64" i="4" a="1"/>
  <c r="T64" i="4" s="1"/>
  <c r="U64" i="4" a="1"/>
  <c r="U64" i="4" s="1"/>
  <c r="V64" i="4" a="1"/>
  <c r="V64" i="4" s="1"/>
  <c r="T100" i="4" a="1"/>
  <c r="T100" i="4" s="1"/>
  <c r="U100" i="4" a="1"/>
  <c r="U100" i="4" s="1"/>
  <c r="V100" i="4" a="1"/>
  <c r="V100" i="4" s="1"/>
  <c r="U136" i="4" a="1"/>
  <c r="U136" i="4" s="1"/>
  <c r="T136" i="4" a="1"/>
  <c r="T136" i="4" s="1"/>
  <c r="V136" i="4" a="1"/>
  <c r="V136" i="4" s="1"/>
  <c r="T172" i="4" a="1"/>
  <c r="T172" i="4" s="1"/>
  <c r="V172" i="4" a="1"/>
  <c r="V172" i="4" s="1"/>
  <c r="U172" i="4" a="1"/>
  <c r="U172" i="4" s="1"/>
  <c r="V208" i="4" a="1"/>
  <c r="V208" i="4" s="1"/>
  <c r="U208" i="4" a="1"/>
  <c r="U208" i="4" s="1"/>
  <c r="T208" i="4" a="1"/>
  <c r="T208" i="4" s="1"/>
  <c r="V43" i="4" a="1"/>
  <c r="V43" i="4" s="1"/>
  <c r="T43" i="4" a="1"/>
  <c r="T43" i="4" s="1"/>
  <c r="U43" i="4" a="1"/>
  <c r="U43" i="4" s="1"/>
  <c r="T79" i="4" a="1"/>
  <c r="T79" i="4" s="1"/>
  <c r="V79" i="4" a="1"/>
  <c r="V79" i="4" s="1"/>
  <c r="U79" i="4" a="1"/>
  <c r="U79" i="4" s="1"/>
  <c r="U115" i="4" a="1"/>
  <c r="U115" i="4" s="1"/>
  <c r="V115" i="4" a="1"/>
  <c r="V115" i="4" s="1"/>
  <c r="T115" i="4" a="1"/>
  <c r="T115" i="4" s="1"/>
  <c r="V151" i="4" a="1"/>
  <c r="V151" i="4" s="1"/>
  <c r="U151" i="4" a="1"/>
  <c r="U151" i="4" s="1"/>
  <c r="T151" i="4" a="1"/>
  <c r="T151" i="4" s="1"/>
  <c r="U187" i="4" a="1"/>
  <c r="U187" i="4" s="1"/>
  <c r="T187" i="4" a="1"/>
  <c r="T187" i="4" s="1"/>
  <c r="V187" i="4" a="1"/>
  <c r="V187" i="4" s="1"/>
  <c r="G6" i="19"/>
  <c r="H6" i="19" s="1"/>
  <c r="D54" i="25" s="1"/>
  <c r="Y10" i="19"/>
  <c r="V3" i="4" a="1"/>
  <c r="V3" i="4" s="1"/>
  <c r="U3" i="4" a="1"/>
  <c r="U3" i="4" s="1"/>
  <c r="V27" i="4" a="1"/>
  <c r="V27" i="4" s="1"/>
  <c r="U27" i="4" a="1"/>
  <c r="U27" i="4" s="1"/>
  <c r="T27" i="4" a="1"/>
  <c r="T27" i="4" s="1"/>
  <c r="V63" i="4" a="1"/>
  <c r="V63" i="4" s="1"/>
  <c r="U63" i="4" a="1"/>
  <c r="U63" i="4" s="1"/>
  <c r="T63" i="4" a="1"/>
  <c r="T63" i="4" s="1"/>
  <c r="U99" i="4" a="1"/>
  <c r="U99" i="4" s="1"/>
  <c r="V99" i="4" a="1"/>
  <c r="V99" i="4" s="1"/>
  <c r="T99" i="4" a="1"/>
  <c r="T99" i="4" s="1"/>
  <c r="V135" i="4" a="1"/>
  <c r="V135" i="4" s="1"/>
  <c r="T135" i="4" a="1"/>
  <c r="T135" i="4" s="1"/>
  <c r="U135" i="4" a="1"/>
  <c r="U135" i="4" s="1"/>
  <c r="V171" i="4" a="1"/>
  <c r="V171" i="4" s="1"/>
  <c r="U171" i="4" a="1"/>
  <c r="U171" i="4" s="1"/>
  <c r="T171" i="4" a="1"/>
  <c r="T171" i="4" s="1"/>
  <c r="T207" i="4" a="1"/>
  <c r="T207" i="4" s="1"/>
  <c r="U207" i="4" a="1"/>
  <c r="U207" i="4" s="1"/>
  <c r="V207" i="4" a="1"/>
  <c r="V207" i="4" s="1"/>
  <c r="U11" i="4" a="1"/>
  <c r="U11" i="4" s="1"/>
  <c r="T11" i="4" a="1"/>
  <c r="T11" i="4" s="1"/>
  <c r="V11" i="4" a="1"/>
  <c r="V11" i="4" s="1"/>
  <c r="U30" i="4" a="1"/>
  <c r="U30" i="4" s="1"/>
  <c r="T30" i="4" a="1"/>
  <c r="T30" i="4" s="1"/>
  <c r="V30" i="4" a="1"/>
  <c r="V30" i="4" s="1"/>
  <c r="U9" i="4" a="1"/>
  <c r="U9" i="4" s="1"/>
  <c r="T9" i="4" a="1"/>
  <c r="T9" i="4" s="1"/>
  <c r="V9" i="4" a="1"/>
  <c r="V9" i="4" s="1"/>
  <c r="T50" i="4" a="1"/>
  <c r="T50" i="4" s="1"/>
  <c r="V50" i="4" a="1"/>
  <c r="V50" i="4" s="1"/>
  <c r="U50" i="4" a="1"/>
  <c r="U50" i="4" s="1"/>
  <c r="V86" i="4" a="1"/>
  <c r="V86" i="4" s="1"/>
  <c r="U86" i="4" a="1"/>
  <c r="U86" i="4" s="1"/>
  <c r="T86" i="4" a="1"/>
  <c r="T86" i="4" s="1"/>
  <c r="U116" i="4" a="1"/>
  <c r="U116" i="4" s="1"/>
  <c r="V116" i="4" a="1"/>
  <c r="V116" i="4" s="1"/>
  <c r="T116" i="4" a="1"/>
  <c r="T116" i="4" s="1"/>
  <c r="V152" i="4" a="1"/>
  <c r="V152" i="4" s="1"/>
  <c r="T152" i="4" a="1"/>
  <c r="T152" i="4" s="1"/>
  <c r="U152" i="4" a="1"/>
  <c r="U152" i="4" s="1"/>
  <c r="U188" i="4" a="1"/>
  <c r="U188" i="4" s="1"/>
  <c r="T188" i="4" a="1"/>
  <c r="T188" i="4" s="1"/>
  <c r="V188" i="4" a="1"/>
  <c r="V188" i="4" s="1"/>
  <c r="U23" i="4" a="1"/>
  <c r="U23" i="4" s="1"/>
  <c r="T23" i="4" a="1"/>
  <c r="T23" i="4" s="1"/>
  <c r="V23" i="4" a="1"/>
  <c r="V23" i="4" s="1"/>
  <c r="V59" i="4" a="1"/>
  <c r="V59" i="4" s="1"/>
  <c r="U59" i="4" a="1"/>
  <c r="U59" i="4" s="1"/>
  <c r="T59" i="4" a="1"/>
  <c r="T59" i="4" s="1"/>
  <c r="V95" i="4" a="1"/>
  <c r="V95" i="4" s="1"/>
  <c r="U95" i="4" a="1"/>
  <c r="U95" i="4" s="1"/>
  <c r="T95" i="4" a="1"/>
  <c r="T95" i="4" s="1"/>
  <c r="V131" i="4" a="1"/>
  <c r="V131" i="4" s="1"/>
  <c r="T131" i="4" a="1"/>
  <c r="T131" i="4" s="1"/>
  <c r="U131" i="4" a="1"/>
  <c r="U131" i="4" s="1"/>
  <c r="V167" i="4" a="1"/>
  <c r="V167" i="4" s="1"/>
  <c r="U167" i="4" a="1"/>
  <c r="U167" i="4" s="1"/>
  <c r="T167" i="4" a="1"/>
  <c r="T167" i="4" s="1"/>
  <c r="T203" i="4" a="1"/>
  <c r="T203" i="4" s="1"/>
  <c r="U203" i="4" a="1"/>
  <c r="U203" i="4" s="1"/>
  <c r="V203" i="4" a="1"/>
  <c r="V203" i="4" s="1"/>
  <c r="T84" i="4" a="1"/>
  <c r="T84" i="4" s="1"/>
  <c r="V84" i="4" a="1"/>
  <c r="V84" i="4" s="1"/>
  <c r="U84" i="4" a="1"/>
  <c r="U84" i="4" s="1"/>
  <c r="T120" i="4" a="1"/>
  <c r="T120" i="4" s="1"/>
  <c r="U120" i="4" a="1"/>
  <c r="U120" i="4" s="1"/>
  <c r="V120" i="4" a="1"/>
  <c r="V120" i="4" s="1"/>
  <c r="V156" i="4" a="1"/>
  <c r="V156" i="4" s="1"/>
  <c r="U156" i="4" a="1"/>
  <c r="U156" i="4" s="1"/>
  <c r="T156" i="4" a="1"/>
  <c r="T156" i="4" s="1"/>
  <c r="T192" i="4" a="1"/>
  <c r="T192" i="4" s="1"/>
  <c r="V192" i="4" a="1"/>
  <c r="V192" i="4" s="1"/>
  <c r="U192" i="4" a="1"/>
  <c r="U192" i="4" s="1"/>
  <c r="T34" i="4" a="1"/>
  <c r="T34" i="4" s="1"/>
  <c r="V34" i="4" a="1"/>
  <c r="V34" i="4" s="1"/>
  <c r="U34" i="4" a="1"/>
  <c r="U34" i="4" s="1"/>
  <c r="U70" i="4" a="1"/>
  <c r="U70" i="4" s="1"/>
  <c r="T70" i="4" a="1"/>
  <c r="T70" i="4" s="1"/>
  <c r="V70" i="4" a="1"/>
  <c r="V70" i="4" s="1"/>
  <c r="V106" i="4" a="1"/>
  <c r="V106" i="4" s="1"/>
  <c r="T106" i="4" a="1"/>
  <c r="T106" i="4" s="1"/>
  <c r="U106" i="4" a="1"/>
  <c r="U106" i="4" s="1"/>
  <c r="V142" i="4" a="1"/>
  <c r="V142" i="4" s="1"/>
  <c r="T142" i="4" a="1"/>
  <c r="T142" i="4" s="1"/>
  <c r="U142" i="4" a="1"/>
  <c r="U142" i="4" s="1"/>
  <c r="U178" i="4" a="1"/>
  <c r="U178" i="4" s="1"/>
  <c r="T178" i="4" a="1"/>
  <c r="T178" i="4" s="1"/>
  <c r="V178" i="4" a="1"/>
  <c r="V178" i="4" s="1"/>
  <c r="U214" i="4" a="1"/>
  <c r="U214" i="4" s="1"/>
  <c r="V214" i="4" a="1"/>
  <c r="V214" i="4" s="1"/>
  <c r="T214" i="4" a="1"/>
  <c r="T214" i="4" s="1"/>
  <c r="V49" i="4" a="1"/>
  <c r="V49" i="4" s="1"/>
  <c r="U49" i="4" a="1"/>
  <c r="U49" i="4" s="1"/>
  <c r="T49" i="4" a="1"/>
  <c r="T49" i="4" s="1"/>
  <c r="U85" i="4" a="1"/>
  <c r="U85" i="4" s="1"/>
  <c r="T85" i="4" a="1"/>
  <c r="T85" i="4" s="1"/>
  <c r="V85" i="4" a="1"/>
  <c r="V85" i="4" s="1"/>
  <c r="U121" i="4" a="1"/>
  <c r="U121" i="4" s="1"/>
  <c r="T121" i="4" a="1"/>
  <c r="T121" i="4" s="1"/>
  <c r="V121" i="4" a="1"/>
  <c r="V121" i="4" s="1"/>
  <c r="V157" i="4" a="1"/>
  <c r="V157" i="4" s="1"/>
  <c r="U157" i="4" a="1"/>
  <c r="U157" i="4" s="1"/>
  <c r="T157" i="4" a="1"/>
  <c r="T157" i="4" s="1"/>
  <c r="U193" i="4" a="1"/>
  <c r="U193" i="4" s="1"/>
  <c r="T193" i="4" a="1"/>
  <c r="T193" i="4" s="1"/>
  <c r="V193" i="4" a="1"/>
  <c r="V193" i="4" s="1"/>
  <c r="O35" i="19"/>
  <c r="U15" i="4" a="1"/>
  <c r="U15" i="4" s="1"/>
  <c r="T15" i="4" a="1"/>
  <c r="T15" i="4" s="1"/>
  <c r="V15" i="4" a="1"/>
  <c r="V15" i="4" s="1"/>
  <c r="V39" i="4" a="1"/>
  <c r="V39" i="4" s="1"/>
  <c r="U39" i="4" a="1"/>
  <c r="U39" i="4" s="1"/>
  <c r="T39" i="4" a="1"/>
  <c r="T39" i="4" s="1"/>
  <c r="T75" i="4" a="1"/>
  <c r="T75" i="4" s="1"/>
  <c r="V75" i="4" a="1"/>
  <c r="V75" i="4" s="1"/>
  <c r="U75" i="4" a="1"/>
  <c r="U75" i="4" s="1"/>
  <c r="U111" i="4" a="1"/>
  <c r="U111" i="4" s="1"/>
  <c r="V111" i="4" a="1"/>
  <c r="V111" i="4" s="1"/>
  <c r="T111" i="4" a="1"/>
  <c r="T111" i="4" s="1"/>
  <c r="T147" i="4" a="1"/>
  <c r="T147" i="4" s="1"/>
  <c r="V147" i="4" a="1"/>
  <c r="V147" i="4" s="1"/>
  <c r="U147" i="4" a="1"/>
  <c r="U147" i="4" s="1"/>
  <c r="T183" i="4" a="1"/>
  <c r="T183" i="4" s="1"/>
  <c r="V183" i="4" a="1"/>
  <c r="V183" i="4" s="1"/>
  <c r="U183" i="4" a="1"/>
  <c r="U183" i="4" s="1"/>
  <c r="V14" i="4" a="1"/>
  <c r="V14" i="4" s="1"/>
  <c r="U14" i="4" a="1"/>
  <c r="U14" i="4" s="1"/>
  <c r="T14" i="4" a="1"/>
  <c r="T14" i="4" s="1"/>
  <c r="T10" i="4" a="1"/>
  <c r="T10" i="4" s="1"/>
  <c r="V10" i="4" a="1"/>
  <c r="V10" i="4" s="1"/>
  <c r="U10" i="4" a="1"/>
  <c r="U10" i="4" s="1"/>
  <c r="U42" i="4" a="1"/>
  <c r="U42" i="4" s="1"/>
  <c r="V42" i="4" a="1"/>
  <c r="V42" i="4" s="1"/>
  <c r="T42" i="4" a="1"/>
  <c r="T42" i="4" s="1"/>
  <c r="V26" i="4" a="1"/>
  <c r="V26" i="4" s="1"/>
  <c r="U26" i="4" a="1"/>
  <c r="U26" i="4" s="1"/>
  <c r="T26" i="4" a="1"/>
  <c r="T26" i="4" s="1"/>
  <c r="U62" i="4" a="1"/>
  <c r="U62" i="4" s="1"/>
  <c r="T62" i="4" a="1"/>
  <c r="T62" i="4" s="1"/>
  <c r="V62" i="4" a="1"/>
  <c r="V62" i="4" s="1"/>
  <c r="T22" i="4" a="1"/>
  <c r="T22" i="4" s="1"/>
  <c r="V22" i="4" a="1"/>
  <c r="V22" i="4" s="1"/>
  <c r="U22" i="4" a="1"/>
  <c r="U22" i="4" s="1"/>
  <c r="U128" i="4" a="1"/>
  <c r="U128" i="4" s="1"/>
  <c r="V128" i="4" a="1"/>
  <c r="V128" i="4" s="1"/>
  <c r="T128" i="4" a="1"/>
  <c r="T128" i="4" s="1"/>
  <c r="T164" i="4" a="1"/>
  <c r="T164" i="4" s="1"/>
  <c r="U164" i="4" a="1"/>
  <c r="U164" i="4" s="1"/>
  <c r="V164" i="4" a="1"/>
  <c r="V164" i="4" s="1"/>
  <c r="U200" i="4" a="1"/>
  <c r="U200" i="4" s="1"/>
  <c r="V200" i="4" a="1"/>
  <c r="V200" i="4" s="1"/>
  <c r="T200" i="4" a="1"/>
  <c r="T200" i="4" s="1"/>
  <c r="T35" i="4" a="1"/>
  <c r="T35" i="4" s="1"/>
  <c r="U35" i="4" a="1"/>
  <c r="U35" i="4" s="1"/>
  <c r="V35" i="4" a="1"/>
  <c r="V35" i="4" s="1"/>
  <c r="U71" i="4" a="1"/>
  <c r="U71" i="4" s="1"/>
  <c r="V71" i="4" a="1"/>
  <c r="V71" i="4" s="1"/>
  <c r="T71" i="4" a="1"/>
  <c r="T71" i="4" s="1"/>
  <c r="V107" i="4" a="1"/>
  <c r="V107" i="4" s="1"/>
  <c r="U107" i="4" a="1"/>
  <c r="U107" i="4" s="1"/>
  <c r="T107" i="4" a="1"/>
  <c r="T107" i="4" s="1"/>
  <c r="V143" i="4" a="1"/>
  <c r="V143" i="4" s="1"/>
  <c r="U143" i="4" a="1"/>
  <c r="U143" i="4" s="1"/>
  <c r="T143" i="4" a="1"/>
  <c r="T143" i="4" s="1"/>
  <c r="V179" i="4" a="1"/>
  <c r="V179" i="4" s="1"/>
  <c r="U179" i="4" a="1"/>
  <c r="U179" i="4" s="1"/>
  <c r="T179" i="4" a="1"/>
  <c r="T179" i="4" s="1"/>
  <c r="V215" i="4" a="1"/>
  <c r="V215" i="4" s="1"/>
  <c r="U215" i="4" a="1"/>
  <c r="U215" i="4" s="1"/>
  <c r="T215" i="4" a="1"/>
  <c r="T215" i="4" s="1"/>
  <c r="U96" i="4" a="1"/>
  <c r="U96" i="4" s="1"/>
  <c r="T96" i="4" a="1"/>
  <c r="T96" i="4" s="1"/>
  <c r="V96" i="4" a="1"/>
  <c r="V96" i="4" s="1"/>
  <c r="V132" i="4" a="1"/>
  <c r="V132" i="4" s="1"/>
  <c r="U132" i="4" a="1"/>
  <c r="U132" i="4" s="1"/>
  <c r="T132" i="4" a="1"/>
  <c r="T132" i="4" s="1"/>
  <c r="U168" i="4" a="1"/>
  <c r="U168" i="4" s="1"/>
  <c r="V168" i="4" a="1"/>
  <c r="V168" i="4" s="1"/>
  <c r="T168" i="4" a="1"/>
  <c r="T168" i="4" s="1"/>
  <c r="V204" i="4" a="1"/>
  <c r="V204" i="4" s="1"/>
  <c r="U204" i="4" a="1"/>
  <c r="U204" i="4" s="1"/>
  <c r="T204" i="4" a="1"/>
  <c r="T204" i="4" s="1"/>
  <c r="U46" i="4" a="1"/>
  <c r="U46" i="4" s="1"/>
  <c r="T46" i="4" a="1"/>
  <c r="T46" i="4" s="1"/>
  <c r="V46" i="4" a="1"/>
  <c r="V46" i="4" s="1"/>
  <c r="U82" i="4" a="1"/>
  <c r="U82" i="4" s="1"/>
  <c r="T82" i="4" a="1"/>
  <c r="T82" i="4" s="1"/>
  <c r="V82" i="4" a="1"/>
  <c r="V82" i="4" s="1"/>
  <c r="T118" i="4" a="1"/>
  <c r="T118" i="4" s="1"/>
  <c r="V118" i="4" a="1"/>
  <c r="V118" i="4" s="1"/>
  <c r="U118" i="4" a="1"/>
  <c r="U118" i="4" s="1"/>
  <c r="T154" i="4" a="1"/>
  <c r="T154" i="4" s="1"/>
  <c r="V154" i="4" a="1"/>
  <c r="V154" i="4" s="1"/>
  <c r="U154" i="4" a="1"/>
  <c r="U154" i="4" s="1"/>
  <c r="T190" i="4" a="1"/>
  <c r="T190" i="4" s="1"/>
  <c r="U190" i="4" a="1"/>
  <c r="U190" i="4" s="1"/>
  <c r="V190" i="4" a="1"/>
  <c r="V190" i="4" s="1"/>
  <c r="V25" i="4" a="1"/>
  <c r="V25" i="4" s="1"/>
  <c r="T25" i="4" a="1"/>
  <c r="T25" i="4" s="1"/>
  <c r="U25" i="4" a="1"/>
  <c r="U25" i="4" s="1"/>
  <c r="V61" i="4" a="1"/>
  <c r="V61" i="4" s="1"/>
  <c r="U61" i="4" a="1"/>
  <c r="U61" i="4" s="1"/>
  <c r="T61" i="4" a="1"/>
  <c r="T61" i="4" s="1"/>
  <c r="T97" i="4" a="1"/>
  <c r="T97" i="4" s="1"/>
  <c r="U97" i="4" a="1"/>
  <c r="U97" i="4" s="1"/>
  <c r="V97" i="4" a="1"/>
  <c r="V97" i="4" s="1"/>
  <c r="U133" i="4" a="1"/>
  <c r="U133" i="4" s="1"/>
  <c r="V133" i="4" a="1"/>
  <c r="V133" i="4" s="1"/>
  <c r="T133" i="4" a="1"/>
  <c r="T133" i="4" s="1"/>
  <c r="V169" i="4" a="1"/>
  <c r="V169" i="4" s="1"/>
  <c r="U169" i="4" a="1"/>
  <c r="U169" i="4" s="1"/>
  <c r="T169" i="4" a="1"/>
  <c r="T169" i="4" s="1"/>
  <c r="T205" i="4" a="1"/>
  <c r="T205" i="4" s="1"/>
  <c r="U205" i="4" a="1"/>
  <c r="U205" i="4" s="1"/>
  <c r="V205" i="4" a="1"/>
  <c r="V205" i="4" s="1"/>
  <c r="U7" i="4" a="1"/>
  <c r="U7" i="4" s="1"/>
  <c r="V7" i="4" a="1"/>
  <c r="V7" i="4" s="1"/>
  <c r="T7" i="4" a="1"/>
  <c r="T7" i="4" s="1"/>
  <c r="U45" i="4" a="1"/>
  <c r="U45" i="4" s="1"/>
  <c r="T45" i="4" a="1"/>
  <c r="T45" i="4" s="1"/>
  <c r="V45" i="4" a="1"/>
  <c r="V45" i="4" s="1"/>
  <c r="T81" i="4" a="1"/>
  <c r="T81" i="4" s="1"/>
  <c r="V81" i="4" a="1"/>
  <c r="V81" i="4" s="1"/>
  <c r="U81" i="4" a="1"/>
  <c r="U81" i="4" s="1"/>
  <c r="V117" i="4" a="1"/>
  <c r="V117" i="4" s="1"/>
  <c r="T117" i="4" a="1"/>
  <c r="T117" i="4" s="1"/>
  <c r="U117" i="4" a="1"/>
  <c r="U117" i="4" s="1"/>
  <c r="T153" i="4" a="1"/>
  <c r="T153" i="4" s="1"/>
  <c r="U153" i="4" a="1"/>
  <c r="U153" i="4" s="1"/>
  <c r="V153" i="4" a="1"/>
  <c r="V153" i="4" s="1"/>
  <c r="U189" i="4" a="1"/>
  <c r="U189" i="4" s="1"/>
  <c r="T189" i="4" a="1"/>
  <c r="T189" i="4" s="1"/>
  <c r="V189" i="4" a="1"/>
  <c r="V189" i="4" s="1"/>
  <c r="T6" i="4" a="1"/>
  <c r="T6" i="4" s="1"/>
  <c r="V6" i="4" a="1"/>
  <c r="V6" i="4" s="1"/>
  <c r="U6" i="4" a="1"/>
  <c r="U6" i="4" s="1"/>
  <c r="T16" i="4" a="1"/>
  <c r="T16" i="4" s="1"/>
  <c r="V16" i="4" a="1"/>
  <c r="V16" i="4" s="1"/>
  <c r="U16" i="4" a="1"/>
  <c r="U16" i="4" s="1"/>
  <c r="T48" i="4" a="1"/>
  <c r="T48" i="4" s="1"/>
  <c r="V48" i="4" a="1"/>
  <c r="V48" i="4" s="1"/>
  <c r="U48" i="4" a="1"/>
  <c r="U48" i="4" s="1"/>
  <c r="V32" i="4" a="1"/>
  <c r="V32" i="4" s="1"/>
  <c r="U32" i="4" a="1"/>
  <c r="U32" i="4" s="1"/>
  <c r="T32" i="4" a="1"/>
  <c r="T32" i="4" s="1"/>
  <c r="V68" i="4" a="1"/>
  <c r="V68" i="4" s="1"/>
  <c r="U68" i="4" a="1"/>
  <c r="U68" i="4" s="1"/>
  <c r="T68" i="4" a="1"/>
  <c r="T68" i="4" s="1"/>
  <c r="V98" i="4" a="1"/>
  <c r="V98" i="4" s="1"/>
  <c r="U98" i="4" a="1"/>
  <c r="U98" i="4" s="1"/>
  <c r="T98" i="4" a="1"/>
  <c r="T98" i="4" s="1"/>
  <c r="U134" i="4" a="1"/>
  <c r="U134" i="4" s="1"/>
  <c r="V134" i="4" a="1"/>
  <c r="V134" i="4" s="1"/>
  <c r="T134" i="4" a="1"/>
  <c r="T134" i="4" s="1"/>
  <c r="T170" i="4" a="1"/>
  <c r="T170" i="4" s="1"/>
  <c r="V170" i="4" a="1"/>
  <c r="V170" i="4" s="1"/>
  <c r="U170" i="4" a="1"/>
  <c r="U170" i="4" s="1"/>
  <c r="U206" i="4" a="1"/>
  <c r="U206" i="4" s="1"/>
  <c r="V206" i="4" a="1"/>
  <c r="V206" i="4" s="1"/>
  <c r="T206" i="4" a="1"/>
  <c r="T206" i="4" s="1"/>
  <c r="V41" i="4" a="1"/>
  <c r="V41" i="4" s="1"/>
  <c r="T41" i="4" a="1"/>
  <c r="T41" i="4" s="1"/>
  <c r="U41" i="4" a="1"/>
  <c r="U41" i="4" s="1"/>
  <c r="V77" i="4" a="1"/>
  <c r="V77" i="4" s="1"/>
  <c r="T77" i="4" a="1"/>
  <c r="T77" i="4" s="1"/>
  <c r="U77" i="4" a="1"/>
  <c r="U77" i="4" s="1"/>
  <c r="V113" i="4" a="1"/>
  <c r="V113" i="4" s="1"/>
  <c r="T113" i="4" a="1"/>
  <c r="T113" i="4" s="1"/>
  <c r="U113" i="4" a="1"/>
  <c r="U113" i="4" s="1"/>
  <c r="V149" i="4" a="1"/>
  <c r="V149" i="4" s="1"/>
  <c r="U149" i="4" a="1"/>
  <c r="U149" i="4" s="1"/>
  <c r="T149" i="4" a="1"/>
  <c r="T149" i="4" s="1"/>
  <c r="V185" i="4" a="1"/>
  <c r="V185" i="4" s="1"/>
  <c r="U185" i="4" a="1"/>
  <c r="U185" i="4" s="1"/>
  <c r="T185" i="4" a="1"/>
  <c r="T185" i="4" s="1"/>
  <c r="T66" i="4" a="1"/>
  <c r="T66" i="4" s="1"/>
  <c r="V66" i="4" a="1"/>
  <c r="V66" i="4" s="1"/>
  <c r="U66" i="4" a="1"/>
  <c r="U66" i="4" s="1"/>
  <c r="T102" i="4" a="1"/>
  <c r="T102" i="4" s="1"/>
  <c r="V102" i="4" a="1"/>
  <c r="V102" i="4" s="1"/>
  <c r="U102" i="4" a="1"/>
  <c r="U102" i="4" s="1"/>
  <c r="U138" i="4" a="1"/>
  <c r="U138" i="4" s="1"/>
  <c r="T138" i="4" a="1"/>
  <c r="T138" i="4" s="1"/>
  <c r="V138" i="4" a="1"/>
  <c r="V138" i="4" s="1"/>
  <c r="U174" i="4" a="1"/>
  <c r="U174" i="4" s="1"/>
  <c r="V174" i="4" a="1"/>
  <c r="V174" i="4" s="1"/>
  <c r="T174" i="4" a="1"/>
  <c r="T174" i="4" s="1"/>
  <c r="U210" i="4" a="1"/>
  <c r="U210" i="4" s="1"/>
  <c r="V210" i="4" a="1"/>
  <c r="V210" i="4" s="1"/>
  <c r="T210" i="4" a="1"/>
  <c r="T210" i="4" s="1"/>
  <c r="U52" i="4" a="1"/>
  <c r="U52" i="4" s="1"/>
  <c r="V52" i="4" a="1"/>
  <c r="V52" i="4" s="1"/>
  <c r="T52" i="4" a="1"/>
  <c r="T52" i="4" s="1"/>
  <c r="U88" i="4" a="1"/>
  <c r="U88" i="4" s="1"/>
  <c r="T88" i="4" a="1"/>
  <c r="T88" i="4" s="1"/>
  <c r="V88" i="4" a="1"/>
  <c r="V88" i="4" s="1"/>
  <c r="U124" i="4" a="1"/>
  <c r="U124" i="4" s="1"/>
  <c r="V124" i="4" a="1"/>
  <c r="V124" i="4" s="1"/>
  <c r="T124" i="4" a="1"/>
  <c r="T124" i="4" s="1"/>
  <c r="T160" i="4" a="1"/>
  <c r="T160" i="4" s="1"/>
  <c r="U160" i="4" a="1"/>
  <c r="U160" i="4" s="1"/>
  <c r="V160" i="4" a="1"/>
  <c r="V160" i="4" s="1"/>
  <c r="U196" i="4" a="1"/>
  <c r="U196" i="4" s="1"/>
  <c r="V196" i="4" a="1"/>
  <c r="V196" i="4" s="1"/>
  <c r="T196" i="4" a="1"/>
  <c r="T196" i="4" s="1"/>
  <c r="V31" i="4" a="1"/>
  <c r="V31" i="4" s="1"/>
  <c r="T31" i="4" a="1"/>
  <c r="T31" i="4" s="1"/>
  <c r="U31" i="4" a="1"/>
  <c r="U31" i="4" s="1"/>
  <c r="T67" i="4" a="1"/>
  <c r="T67" i="4" s="1"/>
  <c r="V67" i="4" a="1"/>
  <c r="V67" i="4" s="1"/>
  <c r="U67" i="4" a="1"/>
  <c r="U67" i="4" s="1"/>
  <c r="V103" i="4" a="1"/>
  <c r="V103" i="4" s="1"/>
  <c r="T103" i="4" a="1"/>
  <c r="T103" i="4" s="1"/>
  <c r="U103" i="4" a="1"/>
  <c r="U103" i="4" s="1"/>
  <c r="T139" i="4" a="1"/>
  <c r="T139" i="4" s="1"/>
  <c r="U139" i="4" a="1"/>
  <c r="U139" i="4" s="1"/>
  <c r="V139" i="4" a="1"/>
  <c r="V139" i="4" s="1"/>
  <c r="U175" i="4" a="1"/>
  <c r="U175" i="4" s="1"/>
  <c r="V175" i="4" a="1"/>
  <c r="V175" i="4" s="1"/>
  <c r="T175" i="4" a="1"/>
  <c r="T175" i="4" s="1"/>
  <c r="T211" i="4" a="1"/>
  <c r="T211" i="4" s="1"/>
  <c r="U211" i="4" a="1"/>
  <c r="U211" i="4" s="1"/>
  <c r="V211" i="4" a="1"/>
  <c r="V211" i="4" s="1"/>
  <c r="V8" i="4" a="1"/>
  <c r="V8" i="4" s="1"/>
  <c r="U8" i="4" a="1"/>
  <c r="U8" i="4" s="1"/>
  <c r="T8" i="4" a="1"/>
  <c r="T8" i="4" s="1"/>
  <c r="T33" i="4" a="1"/>
  <c r="T33" i="4" s="1"/>
  <c r="V33" i="4" a="1"/>
  <c r="V33" i="4" s="1"/>
  <c r="U33" i="4" a="1"/>
  <c r="U33" i="4" s="1"/>
  <c r="T69" i="4" a="1"/>
  <c r="T69" i="4" s="1"/>
  <c r="V69" i="4" a="1"/>
  <c r="V69" i="4" s="1"/>
  <c r="U69" i="4" a="1"/>
  <c r="U69" i="4" s="1"/>
  <c r="V105" i="4" a="1"/>
  <c r="V105" i="4" s="1"/>
  <c r="T105" i="4" a="1"/>
  <c r="T105" i="4" s="1"/>
  <c r="U105" i="4" a="1"/>
  <c r="U105" i="4" s="1"/>
  <c r="T141" i="4" a="1"/>
  <c r="T141" i="4" s="1"/>
  <c r="V141" i="4" a="1"/>
  <c r="V141" i="4" s="1"/>
  <c r="U141" i="4" a="1"/>
  <c r="U141" i="4" s="1"/>
  <c r="T177" i="4" a="1"/>
  <c r="T177" i="4" s="1"/>
  <c r="V177" i="4" a="1"/>
  <c r="V177" i="4" s="1"/>
  <c r="U177" i="4" a="1"/>
  <c r="U177" i="4" s="1"/>
  <c r="U213" i="4" a="1"/>
  <c r="U213" i="4" s="1"/>
  <c r="T213" i="4" a="1"/>
  <c r="T213" i="4" s="1"/>
  <c r="V213" i="4" a="1"/>
  <c r="V213" i="4" s="1"/>
  <c r="T17" i="4" a="1"/>
  <c r="T17" i="4" s="1"/>
  <c r="U17" i="4" a="1"/>
  <c r="U17" i="4" s="1"/>
  <c r="V17" i="4" a="1"/>
  <c r="V17" i="4" s="1"/>
  <c r="V36" i="4" a="1"/>
  <c r="V36" i="4" s="1"/>
  <c r="U36" i="4" a="1"/>
  <c r="U36" i="4" s="1"/>
  <c r="T36" i="4" a="1"/>
  <c r="T36" i="4" s="1"/>
  <c r="V20" i="4" a="1"/>
  <c r="V20" i="4" s="1"/>
  <c r="U20" i="4" a="1"/>
  <c r="U20" i="4" s="1"/>
  <c r="T20" i="4" a="1"/>
  <c r="T20" i="4" s="1"/>
  <c r="T56" i="4" a="1"/>
  <c r="T56" i="4" s="1"/>
  <c r="U56" i="4" a="1"/>
  <c r="U56" i="4" s="1"/>
  <c r="V56" i="4" a="1"/>
  <c r="V56" i="4" s="1"/>
  <c r="T92" i="4" a="1"/>
  <c r="T92" i="4" s="1"/>
  <c r="U92" i="4" a="1"/>
  <c r="U92" i="4" s="1"/>
  <c r="V92" i="4" a="1"/>
  <c r="V92" i="4" s="1"/>
  <c r="U122" i="4" a="1"/>
  <c r="U122" i="4" s="1"/>
  <c r="T122" i="4" a="1"/>
  <c r="T122" i="4" s="1"/>
  <c r="V122" i="4" a="1"/>
  <c r="V122" i="4" s="1"/>
  <c r="U158" i="4" a="1"/>
  <c r="U158" i="4" s="1"/>
  <c r="V158" i="4" a="1"/>
  <c r="V158" i="4" s="1"/>
  <c r="T158" i="4" a="1"/>
  <c r="T158" i="4" s="1"/>
  <c r="V194" i="4" a="1"/>
  <c r="V194" i="4" s="1"/>
  <c r="U194" i="4" a="1"/>
  <c r="U194" i="4" s="1"/>
  <c r="T194" i="4" a="1"/>
  <c r="T194" i="4" s="1"/>
  <c r="U29" i="4" a="1"/>
  <c r="U29" i="4" s="1"/>
  <c r="T29" i="4" a="1"/>
  <c r="T29" i="4" s="1"/>
  <c r="V29" i="4" a="1"/>
  <c r="V29" i="4" s="1"/>
  <c r="U65" i="4" a="1"/>
  <c r="U65" i="4" s="1"/>
  <c r="T65" i="4" a="1"/>
  <c r="T65" i="4" s="1"/>
  <c r="V65" i="4" a="1"/>
  <c r="V65" i="4" s="1"/>
  <c r="U101" i="4" a="1"/>
  <c r="U101" i="4" s="1"/>
  <c r="V101" i="4" a="1"/>
  <c r="V101" i="4" s="1"/>
  <c r="T101" i="4" a="1"/>
  <c r="T101" i="4" s="1"/>
  <c r="U137" i="4" a="1"/>
  <c r="U137" i="4" s="1"/>
  <c r="V137" i="4" a="1"/>
  <c r="V137" i="4" s="1"/>
  <c r="T137" i="4" a="1"/>
  <c r="T137" i="4" s="1"/>
  <c r="V173" i="4" a="1"/>
  <c r="V173" i="4" s="1"/>
  <c r="U173" i="4" a="1"/>
  <c r="U173" i="4" s="1"/>
  <c r="T173" i="4" a="1"/>
  <c r="T173" i="4" s="1"/>
  <c r="U209" i="4" a="1"/>
  <c r="U209" i="4" s="1"/>
  <c r="V209" i="4" a="1"/>
  <c r="V209" i="4" s="1"/>
  <c r="T209" i="4" a="1"/>
  <c r="T209" i="4" s="1"/>
  <c r="U90" i="4" a="1"/>
  <c r="U90" i="4" s="1"/>
  <c r="T90" i="4" a="1"/>
  <c r="T90" i="4" s="1"/>
  <c r="V90" i="4" a="1"/>
  <c r="V90" i="4" s="1"/>
  <c r="T126" i="4" a="1"/>
  <c r="T126" i="4" s="1"/>
  <c r="U126" i="4" a="1"/>
  <c r="U126" i="4" s="1"/>
  <c r="V126" i="4" a="1"/>
  <c r="V126" i="4" s="1"/>
  <c r="T162" i="4" a="1"/>
  <c r="T162" i="4" s="1"/>
  <c r="U162" i="4" a="1"/>
  <c r="U162" i="4" s="1"/>
  <c r="V162" i="4" a="1"/>
  <c r="V162" i="4" s="1"/>
  <c r="U198" i="4" a="1"/>
  <c r="U198" i="4" s="1"/>
  <c r="T198" i="4" a="1"/>
  <c r="T198" i="4" s="1"/>
  <c r="V198" i="4" a="1"/>
  <c r="V198" i="4" s="1"/>
  <c r="U40" i="4" a="1"/>
  <c r="U40" i="4" s="1"/>
  <c r="T40" i="4" a="1"/>
  <c r="T40" i="4" s="1"/>
  <c r="V40" i="4" a="1"/>
  <c r="V40" i="4" s="1"/>
  <c r="V76" i="4" a="1"/>
  <c r="V76" i="4" s="1"/>
  <c r="U76" i="4" a="1"/>
  <c r="U76" i="4" s="1"/>
  <c r="T76" i="4" a="1"/>
  <c r="T76" i="4" s="1"/>
  <c r="V112" i="4" a="1"/>
  <c r="V112" i="4" s="1"/>
  <c r="U112" i="4" a="1"/>
  <c r="U112" i="4" s="1"/>
  <c r="T112" i="4" a="1"/>
  <c r="T112" i="4" s="1"/>
  <c r="V148" i="4" a="1"/>
  <c r="V148" i="4" s="1"/>
  <c r="T148" i="4" a="1"/>
  <c r="T148" i="4" s="1"/>
  <c r="U148" i="4" a="1"/>
  <c r="U148" i="4" s="1"/>
  <c r="V184" i="4" a="1"/>
  <c r="V184" i="4" s="1"/>
  <c r="U184" i="4" a="1"/>
  <c r="U184" i="4" s="1"/>
  <c r="T184" i="4" a="1"/>
  <c r="T184" i="4" s="1"/>
  <c r="U19" i="4" a="1"/>
  <c r="U19" i="4" s="1"/>
  <c r="V19" i="4" a="1"/>
  <c r="V19" i="4" s="1"/>
  <c r="T19" i="4" a="1"/>
  <c r="T19" i="4" s="1"/>
  <c r="U55" i="4" a="1"/>
  <c r="U55" i="4" s="1"/>
  <c r="V55" i="4" a="1"/>
  <c r="V55" i="4" s="1"/>
  <c r="T55" i="4" a="1"/>
  <c r="T55" i="4" s="1"/>
  <c r="T91" i="4" a="1"/>
  <c r="T91" i="4" s="1"/>
  <c r="V91" i="4" a="1"/>
  <c r="V91" i="4" s="1"/>
  <c r="U91" i="4" a="1"/>
  <c r="U91" i="4" s="1"/>
  <c r="T127" i="4" a="1"/>
  <c r="T127" i="4" s="1"/>
  <c r="V127" i="4" a="1"/>
  <c r="V127" i="4" s="1"/>
  <c r="U127" i="4" a="1"/>
  <c r="U127" i="4" s="1"/>
  <c r="T163" i="4" a="1"/>
  <c r="T163" i="4" s="1"/>
  <c r="U163" i="4" a="1"/>
  <c r="U163" i="4" s="1"/>
  <c r="V163" i="4" a="1"/>
  <c r="V163" i="4" s="1"/>
  <c r="V199" i="4" a="1"/>
  <c r="V199" i="4" s="1"/>
  <c r="T199" i="4" a="1"/>
  <c r="T199" i="4" s="1"/>
  <c r="U199" i="4" a="1"/>
  <c r="U199" i="4" s="1"/>
  <c r="J44" i="10"/>
  <c r="L44" i="10"/>
  <c r="L43" i="10"/>
  <c r="J43" i="10"/>
  <c r="L42" i="10"/>
  <c r="J41" i="10"/>
  <c r="L41" i="10"/>
  <c r="L40" i="10"/>
  <c r="J105" i="19"/>
  <c r="N20" i="15"/>
  <c r="N21" i="15" s="1"/>
  <c r="O18" i="15" s="1"/>
  <c r="J31" i="15" s="1"/>
  <c r="I31" i="15" s="1"/>
  <c r="O31" i="15" s="1"/>
  <c r="N27" i="10"/>
  <c r="J112" i="19"/>
  <c r="N33" i="10"/>
  <c r="F42" i="13"/>
  <c r="Z214" i="19" s="1"/>
  <c r="K19" i="15"/>
  <c r="N28" i="10"/>
  <c r="N31" i="10"/>
  <c r="O39" i="19" s="1"/>
  <c r="N30" i="10"/>
  <c r="O38" i="19" s="1"/>
  <c r="N36" i="10"/>
  <c r="N11" i="10"/>
  <c r="O32" i="19" s="1"/>
  <c r="N29" i="10"/>
  <c r="N35" i="10"/>
  <c r="O43" i="19" s="1"/>
  <c r="J38" i="10"/>
  <c r="N37" i="10"/>
  <c r="O45" i="19" s="1"/>
  <c r="J114" i="19"/>
  <c r="N34" i="10"/>
  <c r="O42" i="19" s="1"/>
  <c r="J110" i="19"/>
  <c r="L38" i="10"/>
  <c r="N12" i="10"/>
  <c r="O33" i="19" s="1"/>
  <c r="N10" i="10"/>
  <c r="O31" i="19" s="1"/>
  <c r="J111" i="19"/>
  <c r="F1500" i="4"/>
  <c r="F40" i="13"/>
  <c r="X214" i="19" s="1"/>
  <c r="D38" i="13"/>
  <c r="N20" i="10"/>
  <c r="O34" i="19" s="1"/>
  <c r="G16" i="13"/>
  <c r="N32" i="10"/>
  <c r="O40" i="19" s="1"/>
  <c r="F44" i="13"/>
  <c r="AB214" i="19" s="1"/>
  <c r="F33" i="13"/>
  <c r="Q214" i="19" s="1"/>
  <c r="D50" i="13"/>
  <c r="F45" i="13"/>
  <c r="AC214" i="19" s="1"/>
  <c r="H27" i="15"/>
  <c r="O56" i="15"/>
  <c r="O58" i="15"/>
  <c r="O63" i="15"/>
  <c r="J84" i="15" s="1"/>
  <c r="I84" i="15" s="1"/>
  <c r="O84" i="15" s="1"/>
  <c r="O57" i="15"/>
  <c r="N85" i="15"/>
  <c r="H88" i="15"/>
  <c r="I85" i="15"/>
  <c r="N30" i="15"/>
  <c r="P30" i="15" s="1"/>
  <c r="I29" i="15"/>
  <c r="O30" i="15" s="1"/>
  <c r="H83" i="15"/>
  <c r="I81" i="15"/>
  <c r="N82" i="15"/>
  <c r="H30" i="15"/>
  <c r="O29" i="15"/>
  <c r="F30" i="13"/>
  <c r="N214" i="19" s="1"/>
  <c r="F48" i="13"/>
  <c r="AF214" i="19" s="1"/>
  <c r="F28" i="13"/>
  <c r="L214" i="19" s="1"/>
  <c r="F34" i="13"/>
  <c r="R214" i="19" s="1"/>
  <c r="F29" i="13"/>
  <c r="M214" i="19" s="1"/>
  <c r="F36" i="13"/>
  <c r="T214" i="19" s="1"/>
  <c r="D27" i="13"/>
  <c r="F27" i="13"/>
  <c r="K214" i="19" s="1"/>
  <c r="D47" i="13"/>
  <c r="F47" i="13"/>
  <c r="AE214" i="19" s="1"/>
  <c r="F32" i="13"/>
  <c r="P214" i="19" s="1"/>
  <c r="D31" i="13"/>
  <c r="F31" i="13"/>
  <c r="O214" i="19" s="1"/>
  <c r="D35" i="13"/>
  <c r="F35" i="13"/>
  <c r="S214" i="19" s="1"/>
  <c r="D24" i="13"/>
  <c r="F24" i="13"/>
  <c r="H214" i="19" s="1"/>
  <c r="D39" i="13"/>
  <c r="F39" i="13"/>
  <c r="W214" i="19" s="1"/>
  <c r="D25" i="13"/>
  <c r="F25" i="13"/>
  <c r="I214" i="19" s="1"/>
  <c r="B81" i="13"/>
  <c r="J22" i="13" s="1"/>
  <c r="D43" i="13"/>
  <c r="F43" i="13"/>
  <c r="AA214" i="19" s="1"/>
  <c r="E53" i="13"/>
  <c r="F52" i="13"/>
  <c r="AJ214" i="19" s="1"/>
  <c r="D74" i="19" l="1"/>
  <c r="D70" i="19"/>
  <c r="AP12" i="19"/>
  <c r="AP15" i="19"/>
  <c r="U30" i="19"/>
  <c r="AP14" i="19"/>
  <c r="AP8" i="19"/>
  <c r="AP13" i="19"/>
  <c r="AP9" i="19"/>
  <c r="AP10" i="19"/>
  <c r="AH16" i="19"/>
  <c r="AH17" i="19"/>
  <c r="L52" i="19"/>
  <c r="G104" i="19"/>
  <c r="AG212" i="19"/>
  <c r="AE21" i="19"/>
  <c r="AE26" i="19" s="1"/>
  <c r="AS9" i="19" s="1"/>
  <c r="U16" i="19"/>
  <c r="K30" i="19"/>
  <c r="N212" i="19"/>
  <c r="AC212" i="19"/>
  <c r="AY212" i="19"/>
  <c r="K5" i="19"/>
  <c r="AF212" i="19"/>
  <c r="J212" i="19"/>
  <c r="AA212" i="19"/>
  <c r="AK212" i="19"/>
  <c r="L212" i="19"/>
  <c r="BA212" i="19"/>
  <c r="Y212" i="19"/>
  <c r="Q212" i="19"/>
  <c r="O212" i="19"/>
  <c r="AV212" i="19"/>
  <c r="AT212" i="19"/>
  <c r="W46" i="19"/>
  <c r="G212" i="19"/>
  <c r="AJ212" i="19"/>
  <c r="AH212" i="19"/>
  <c r="Z212" i="19"/>
  <c r="AE212" i="19"/>
  <c r="AP212" i="19"/>
  <c r="T212" i="19"/>
  <c r="W212" i="19"/>
  <c r="AN212" i="19"/>
  <c r="H212" i="19"/>
  <c r="U212" i="19"/>
  <c r="AX212" i="19"/>
  <c r="BC212" i="19"/>
  <c r="S212" i="19"/>
  <c r="AD212" i="19"/>
  <c r="AU212" i="19"/>
  <c r="K212" i="19"/>
  <c r="AB212" i="19"/>
  <c r="AS212" i="19"/>
  <c r="I212" i="19"/>
  <c r="AW212" i="19"/>
  <c r="AO212" i="19"/>
  <c r="F212" i="19"/>
  <c r="AM212" i="19"/>
  <c r="AR212" i="19"/>
  <c r="M212" i="19"/>
  <c r="X212" i="19"/>
  <c r="V212" i="19"/>
  <c r="AL212" i="19"/>
  <c r="AQ212" i="19"/>
  <c r="BB212" i="19"/>
  <c r="R212" i="19"/>
  <c r="AI212" i="19"/>
  <c r="AZ212" i="19"/>
  <c r="P212" i="19"/>
  <c r="D181" i="19"/>
  <c r="D141" i="19"/>
  <c r="D140" i="19"/>
  <c r="D138" i="19"/>
  <c r="D71" i="19"/>
  <c r="G46" i="19"/>
  <c r="H46" i="19" s="1"/>
  <c r="J58" i="25" s="1"/>
  <c r="J30" i="19"/>
  <c r="J9" i="19"/>
  <c r="J26" i="19"/>
  <c r="D53" i="25"/>
  <c r="J16" i="19"/>
  <c r="J25" i="19"/>
  <c r="J12" i="19"/>
  <c r="J23" i="19"/>
  <c r="K12" i="19"/>
  <c r="K9" i="19"/>
  <c r="K6" i="19"/>
  <c r="K24" i="19"/>
  <c r="K19" i="19"/>
  <c r="J17" i="19"/>
  <c r="J28" i="19"/>
  <c r="K17" i="19"/>
  <c r="K28" i="19"/>
  <c r="AB14" i="19"/>
  <c r="AB13" i="19"/>
  <c r="J19" i="19"/>
  <c r="J13" i="19"/>
  <c r="K23" i="19"/>
  <c r="K14" i="19"/>
  <c r="J14" i="19"/>
  <c r="AB15" i="19"/>
  <c r="K25" i="19"/>
  <c r="J29" i="19"/>
  <c r="J15" i="19"/>
  <c r="P85" i="15"/>
  <c r="H89" i="15"/>
  <c r="O8" i="15"/>
  <c r="K7" i="19"/>
  <c r="K10" i="19"/>
  <c r="J10" i="19"/>
  <c r="J18" i="19"/>
  <c r="J5" i="19"/>
  <c r="P84" i="15"/>
  <c r="O7" i="15"/>
  <c r="J24" i="19"/>
  <c r="J7" i="19"/>
  <c r="Y5" i="19"/>
  <c r="D136" i="19"/>
  <c r="J6" i="19"/>
  <c r="J8" i="19"/>
  <c r="Y6" i="19"/>
  <c r="Y8" i="19"/>
  <c r="O36" i="19"/>
  <c r="O44" i="19"/>
  <c r="AH20" i="19" s="1"/>
  <c r="O37" i="19"/>
  <c r="O41" i="19"/>
  <c r="J113" i="19"/>
  <c r="N44" i="10"/>
  <c r="W38" i="19"/>
  <c r="N43" i="10"/>
  <c r="N42" i="10"/>
  <c r="W33" i="19"/>
  <c r="N41" i="10"/>
  <c r="W32" i="19"/>
  <c r="N40" i="10"/>
  <c r="U9" i="19"/>
  <c r="AE184" i="4"/>
  <c r="AE123" i="4"/>
  <c r="AE64" i="4"/>
  <c r="W43" i="19"/>
  <c r="W45" i="19"/>
  <c r="N38" i="10"/>
  <c r="W31" i="19"/>
  <c r="AE149" i="4"/>
  <c r="AE106" i="4"/>
  <c r="AE97" i="4"/>
  <c r="AE61" i="4"/>
  <c r="AE51" i="4"/>
  <c r="AE25" i="4"/>
  <c r="AE71" i="4"/>
  <c r="AE5" i="4"/>
  <c r="AE34" i="4"/>
  <c r="AE59" i="4"/>
  <c r="AE101" i="4"/>
  <c r="AE142" i="4"/>
  <c r="AE39" i="4"/>
  <c r="AE16" i="4"/>
  <c r="AE201" i="4"/>
  <c r="AE80" i="4"/>
  <c r="AE148" i="4"/>
  <c r="AE26" i="4"/>
  <c r="AE200" i="4"/>
  <c r="AE116" i="4"/>
  <c r="AE44" i="4"/>
  <c r="AE78" i="4"/>
  <c r="AE18" i="4"/>
  <c r="AE172" i="4"/>
  <c r="AE189" i="4"/>
  <c r="AE174" i="4"/>
  <c r="AE147" i="4"/>
  <c r="AE144" i="4"/>
  <c r="AE72" i="4"/>
  <c r="AE83" i="4"/>
  <c r="AE113" i="4"/>
  <c r="AE89" i="4"/>
  <c r="AE76" i="4"/>
  <c r="AE160" i="4"/>
  <c r="AE114" i="4"/>
  <c r="AE205" i="4"/>
  <c r="AE133" i="4"/>
  <c r="AE46" i="4"/>
  <c r="AE199" i="4"/>
  <c r="AE127" i="4"/>
  <c r="AE91" i="4"/>
  <c r="AE112" i="4"/>
  <c r="AE177" i="4"/>
  <c r="AE141" i="4"/>
  <c r="AE41" i="4"/>
  <c r="AE19" i="4"/>
  <c r="AE213" i="4"/>
  <c r="AE105" i="4"/>
  <c r="AE69" i="4"/>
  <c r="AE176" i="4"/>
  <c r="AE104" i="4"/>
  <c r="AE197" i="4"/>
  <c r="AE96" i="4"/>
  <c r="AE179" i="4"/>
  <c r="AE107" i="4"/>
  <c r="AE110" i="4"/>
  <c r="AE111" i="4"/>
  <c r="AE75" i="4"/>
  <c r="AE122" i="4"/>
  <c r="AE60" i="4"/>
  <c r="AE54" i="4"/>
  <c r="AE202" i="4"/>
  <c r="AE21" i="4"/>
  <c r="AE173" i="4"/>
  <c r="AE132" i="4"/>
  <c r="AE88" i="4"/>
  <c r="AE103" i="4"/>
  <c r="AE94" i="4"/>
  <c r="AE161" i="4"/>
  <c r="AE153" i="4"/>
  <c r="AE45" i="4"/>
  <c r="AE218" i="4"/>
  <c r="AE37" i="4"/>
  <c r="AE118" i="4"/>
  <c r="AE216" i="4"/>
  <c r="AE180" i="4"/>
  <c r="AE168" i="4"/>
  <c r="AE24" i="4"/>
  <c r="AE215" i="4"/>
  <c r="AE143" i="4"/>
  <c r="AE35" i="4"/>
  <c r="AE211" i="4"/>
  <c r="AE150" i="4"/>
  <c r="AL1500" i="4"/>
  <c r="AE217" i="4"/>
  <c r="AE93" i="4"/>
  <c r="AE33" i="4"/>
  <c r="AE32" i="4"/>
  <c r="AE162" i="4"/>
  <c r="AE90" i="4"/>
  <c r="AE22" i="4"/>
  <c r="AE52" i="4"/>
  <c r="AE43" i="4"/>
  <c r="AE57" i="4"/>
  <c r="AE170" i="4"/>
  <c r="AE134" i="4"/>
  <c r="AE13" i="4"/>
  <c r="AE198" i="4"/>
  <c r="AE138" i="4"/>
  <c r="AE196" i="4"/>
  <c r="AE204" i="4"/>
  <c r="AE156" i="4"/>
  <c r="AE120" i="4"/>
  <c r="AE12" i="4"/>
  <c r="AE203" i="4"/>
  <c r="AE23" i="4"/>
  <c r="AE195" i="4"/>
  <c r="AE159" i="4"/>
  <c r="AE214" i="4"/>
  <c r="AE192" i="4"/>
  <c r="AE84" i="4"/>
  <c r="AE48" i="4"/>
  <c r="AE58" i="4"/>
  <c r="AE15" i="4"/>
  <c r="AE10" i="4"/>
  <c r="AE82" i="4"/>
  <c r="AE79" i="4"/>
  <c r="AE70" i="4"/>
  <c r="AE212" i="4"/>
  <c r="AE152" i="4"/>
  <c r="AE66" i="4"/>
  <c r="AE164" i="4"/>
  <c r="AE126" i="4"/>
  <c r="AE137" i="4"/>
  <c r="AE124" i="4"/>
  <c r="AE131" i="4"/>
  <c r="AE190" i="4"/>
  <c r="AE20" i="4"/>
  <c r="J76" i="15"/>
  <c r="I76" i="15" s="1"/>
  <c r="AE169" i="4"/>
  <c r="AE87" i="4"/>
  <c r="AE163" i="4"/>
  <c r="AE55" i="4"/>
  <c r="AE95" i="4"/>
  <c r="AE40" i="4"/>
  <c r="AE210" i="4"/>
  <c r="AE53" i="4"/>
  <c r="AE125" i="4"/>
  <c r="AE85" i="4"/>
  <c r="AE130" i="4"/>
  <c r="AE167" i="4"/>
  <c r="AE92" i="4"/>
  <c r="AE193" i="4"/>
  <c r="AE157" i="4"/>
  <c r="AE121" i="4"/>
  <c r="AE49" i="4"/>
  <c r="AE6" i="4"/>
  <c r="AE183" i="4"/>
  <c r="AE182" i="4"/>
  <c r="AE146" i="4"/>
  <c r="AE74" i="4"/>
  <c r="AE38" i="4"/>
  <c r="AE191" i="4"/>
  <c r="AE155" i="4"/>
  <c r="AE119" i="4"/>
  <c r="AE47" i="4"/>
  <c r="AE11" i="4"/>
  <c r="AE166" i="4"/>
  <c r="AE187" i="4"/>
  <c r="AE151" i="4"/>
  <c r="AE115" i="4"/>
  <c r="AE136" i="4"/>
  <c r="AE140" i="4"/>
  <c r="AE68" i="4"/>
  <c r="AE186" i="4"/>
  <c r="AE102" i="4"/>
  <c r="AE42" i="4"/>
  <c r="AE185" i="4"/>
  <c r="AE29" i="4"/>
  <c r="AE209" i="4"/>
  <c r="AE165" i="4"/>
  <c r="AE129" i="4"/>
  <c r="W40" i="19"/>
  <c r="W34" i="19"/>
  <c r="W35" i="19"/>
  <c r="H32" i="15"/>
  <c r="H33" i="15" s="1"/>
  <c r="X100" i="4"/>
  <c r="X53" i="4"/>
  <c r="X165" i="4"/>
  <c r="AE206" i="4"/>
  <c r="AE98" i="4"/>
  <c r="AE109" i="4"/>
  <c r="AE208" i="4"/>
  <c r="AE62" i="4"/>
  <c r="AE181" i="4"/>
  <c r="AE77" i="4"/>
  <c r="AE27" i="4"/>
  <c r="AE175" i="4"/>
  <c r="AE139" i="4"/>
  <c r="AE67" i="4"/>
  <c r="AE31" i="4"/>
  <c r="AE28" i="4"/>
  <c r="AE117" i="4"/>
  <c r="AE81" i="4"/>
  <c r="AE188" i="4"/>
  <c r="AE128" i="4"/>
  <c r="AE56" i="4"/>
  <c r="AE30" i="4"/>
  <c r="AE65" i="4"/>
  <c r="AE100" i="4"/>
  <c r="AE145" i="4"/>
  <c r="AE135" i="4"/>
  <c r="X88" i="4"/>
  <c r="X118" i="4"/>
  <c r="X216" i="4"/>
  <c r="X36" i="4"/>
  <c r="X155" i="4"/>
  <c r="X119" i="4"/>
  <c r="X83" i="4"/>
  <c r="X11" i="4"/>
  <c r="X196" i="4"/>
  <c r="X199" i="4"/>
  <c r="X127" i="4"/>
  <c r="X55" i="4"/>
  <c r="X106" i="4"/>
  <c r="X164" i="4"/>
  <c r="X92" i="4"/>
  <c r="X20" i="4"/>
  <c r="X161" i="4"/>
  <c r="X77" i="4"/>
  <c r="X187" i="4"/>
  <c r="X115" i="4"/>
  <c r="X43" i="4"/>
  <c r="X28" i="4"/>
  <c r="X128" i="4"/>
  <c r="X56" i="4"/>
  <c r="X173" i="4"/>
  <c r="X101" i="4"/>
  <c r="X42" i="4"/>
  <c r="X65" i="4"/>
  <c r="X124" i="4"/>
  <c r="X201" i="4"/>
  <c r="X93" i="4"/>
  <c r="X21" i="4"/>
  <c r="X38" i="4"/>
  <c r="X142" i="4"/>
  <c r="X160" i="4"/>
  <c r="X129" i="4"/>
  <c r="X57" i="4"/>
  <c r="X218" i="4"/>
  <c r="O218" i="4" s="1"/>
  <c r="AI218" i="4" s="1"/>
  <c r="X74" i="4"/>
  <c r="X41" i="4"/>
  <c r="X182" i="4"/>
  <c r="X64" i="4"/>
  <c r="X193" i="4"/>
  <c r="X157" i="4"/>
  <c r="X121" i="4"/>
  <c r="O121" i="4" s="1"/>
  <c r="AI121" i="4" s="1"/>
  <c r="X85" i="4"/>
  <c r="X49" i="4"/>
  <c r="X13" i="4"/>
  <c r="X63" i="4"/>
  <c r="X39" i="4"/>
  <c r="X206" i="4"/>
  <c r="X170" i="4"/>
  <c r="X158" i="4"/>
  <c r="X122" i="4"/>
  <c r="X50" i="4"/>
  <c r="X184" i="4"/>
  <c r="O184" i="4" s="1"/>
  <c r="AI184" i="4" s="1"/>
  <c r="X136" i="4"/>
  <c r="X58" i="4"/>
  <c r="X82" i="4"/>
  <c r="X148" i="4"/>
  <c r="X204" i="4"/>
  <c r="X192" i="4"/>
  <c r="X156" i="4"/>
  <c r="X132" i="4"/>
  <c r="X120" i="4"/>
  <c r="X96" i="4"/>
  <c r="X84" i="4"/>
  <c r="X48" i="4"/>
  <c r="X24" i="4"/>
  <c r="X215" i="4"/>
  <c r="X203" i="4"/>
  <c r="X179" i="4"/>
  <c r="X167" i="4"/>
  <c r="X143" i="4"/>
  <c r="X131" i="4"/>
  <c r="X107" i="4"/>
  <c r="X95" i="4"/>
  <c r="X71" i="4"/>
  <c r="X59" i="4"/>
  <c r="X35" i="4"/>
  <c r="X23" i="4"/>
  <c r="X52" i="4"/>
  <c r="X46" i="4"/>
  <c r="X175" i="4"/>
  <c r="X151" i="4"/>
  <c r="X103" i="4"/>
  <c r="X79" i="4"/>
  <c r="X31" i="4"/>
  <c r="X200" i="4"/>
  <c r="X188" i="4"/>
  <c r="X140" i="4"/>
  <c r="X68" i="4"/>
  <c r="X44" i="4"/>
  <c r="X209" i="4"/>
  <c r="X137" i="4"/>
  <c r="X30" i="4"/>
  <c r="X17" i="4"/>
  <c r="X208" i="4"/>
  <c r="X211" i="4"/>
  <c r="X163" i="4"/>
  <c r="X139" i="4"/>
  <c r="O139" i="4" s="1"/>
  <c r="AI139" i="4" s="1"/>
  <c r="X91" i="4"/>
  <c r="X67" i="4"/>
  <c r="X19" i="4"/>
  <c r="X112" i="4"/>
  <c r="X202" i="4"/>
  <c r="O202" i="4" s="1"/>
  <c r="AI202" i="4" s="1"/>
  <c r="X176" i="4"/>
  <c r="X152" i="4"/>
  <c r="X104" i="4"/>
  <c r="X80" i="4"/>
  <c r="X32" i="4"/>
  <c r="X70" i="4"/>
  <c r="X197" i="4"/>
  <c r="X149" i="4"/>
  <c r="X125" i="4"/>
  <c r="X89" i="4"/>
  <c r="X34" i="4"/>
  <c r="X185" i="4"/>
  <c r="X29" i="4"/>
  <c r="X130" i="4"/>
  <c r="X213" i="4"/>
  <c r="O213" i="4" s="1"/>
  <c r="AI213" i="4" s="1"/>
  <c r="X189" i="4"/>
  <c r="X177" i="4"/>
  <c r="O177" i="4" s="1"/>
  <c r="AI177" i="4" s="1"/>
  <c r="X153" i="4"/>
  <c r="X141" i="4"/>
  <c r="X117" i="4"/>
  <c r="X105" i="4"/>
  <c r="X81" i="4"/>
  <c r="X69" i="4"/>
  <c r="X45" i="4"/>
  <c r="X33" i="4"/>
  <c r="O33" i="4" s="1"/>
  <c r="AI33" i="4" s="1"/>
  <c r="AE194" i="4"/>
  <c r="AE158" i="4"/>
  <c r="AE86" i="4"/>
  <c r="AE50" i="4"/>
  <c r="AE14" i="4"/>
  <c r="AE73" i="4"/>
  <c r="AE207" i="4"/>
  <c r="AE171" i="4"/>
  <c r="AE154" i="4"/>
  <c r="AE99" i="4"/>
  <c r="AE63" i="4"/>
  <c r="AE178" i="4"/>
  <c r="AE108" i="4"/>
  <c r="AE36" i="4"/>
  <c r="X191" i="4"/>
  <c r="X212" i="4"/>
  <c r="X76" i="4"/>
  <c r="X6" i="4"/>
  <c r="X146" i="4"/>
  <c r="X51" i="4"/>
  <c r="O51" i="4" s="1"/>
  <c r="AI51" i="4" s="1"/>
  <c r="X110" i="4"/>
  <c r="X195" i="4"/>
  <c r="X159" i="4"/>
  <c r="X123" i="4"/>
  <c r="X87" i="4"/>
  <c r="X15" i="4"/>
  <c r="X60" i="4"/>
  <c r="O60" i="4" s="1"/>
  <c r="AI60" i="4" s="1"/>
  <c r="X180" i="4"/>
  <c r="X144" i="4"/>
  <c r="X72" i="4"/>
  <c r="X40" i="4"/>
  <c r="X78" i="4"/>
  <c r="X109" i="4"/>
  <c r="X207" i="4"/>
  <c r="X126" i="4"/>
  <c r="X113" i="4"/>
  <c r="X5" i="4"/>
  <c r="X10" i="4"/>
  <c r="X154" i="4"/>
  <c r="X73" i="4"/>
  <c r="X22" i="4"/>
  <c r="X198" i="4"/>
  <c r="X186" i="4"/>
  <c r="X162" i="4"/>
  <c r="O162" i="4" s="1"/>
  <c r="AI162" i="4" s="1"/>
  <c r="X150" i="4"/>
  <c r="X114" i="4"/>
  <c r="X90" i="4"/>
  <c r="X54" i="4"/>
  <c r="X18" i="4"/>
  <c r="X217" i="4"/>
  <c r="X205" i="4"/>
  <c r="X181" i="4"/>
  <c r="X169" i="4"/>
  <c r="X145" i="4"/>
  <c r="X133" i="4"/>
  <c r="X97" i="4"/>
  <c r="X37" i="4"/>
  <c r="X25" i="4"/>
  <c r="X214" i="4"/>
  <c r="X172" i="4"/>
  <c r="X183" i="4"/>
  <c r="X171" i="4"/>
  <c r="X147" i="4"/>
  <c r="X135" i="4"/>
  <c r="X111" i="4"/>
  <c r="X99" i="4"/>
  <c r="X75" i="4"/>
  <c r="O75" i="4" s="1"/>
  <c r="AI75" i="4" s="1"/>
  <c r="X27" i="4"/>
  <c r="X194" i="4"/>
  <c r="X134" i="4"/>
  <c r="X98" i="4"/>
  <c r="X86" i="4"/>
  <c r="X62" i="4"/>
  <c r="X26" i="4"/>
  <c r="X14" i="4"/>
  <c r="X178" i="4"/>
  <c r="X168" i="4"/>
  <c r="X47" i="4"/>
  <c r="X138" i="4"/>
  <c r="X66" i="4"/>
  <c r="X190" i="4"/>
  <c r="X210" i="4"/>
  <c r="X174" i="4"/>
  <c r="O174" i="4" s="1"/>
  <c r="AI174" i="4" s="1"/>
  <c r="X102" i="4"/>
  <c r="X108" i="4"/>
  <c r="X61" i="4"/>
  <c r="X116" i="4"/>
  <c r="X166" i="4"/>
  <c r="X94" i="4"/>
  <c r="O94" i="4" s="1"/>
  <c r="AI94" i="4" s="1"/>
  <c r="AE7" i="4"/>
  <c r="P27" i="15"/>
  <c r="P28" i="15"/>
  <c r="P31" i="15"/>
  <c r="P25" i="15"/>
  <c r="P26" i="15"/>
  <c r="P24" i="15"/>
  <c r="P29" i="15"/>
  <c r="I30" i="15"/>
  <c r="P87" i="15"/>
  <c r="P81" i="15"/>
  <c r="P83" i="15"/>
  <c r="P78" i="15"/>
  <c r="I88" i="15"/>
  <c r="O85" i="15"/>
  <c r="P79" i="15"/>
  <c r="P82" i="15"/>
  <c r="P86" i="15"/>
  <c r="P80" i="15"/>
  <c r="I83" i="15"/>
  <c r="O82" i="15"/>
  <c r="D81" i="13"/>
  <c r="J23" i="13"/>
  <c r="J24" i="13" s="1"/>
  <c r="E54" i="13"/>
  <c r="F53" i="13"/>
  <c r="AK214" i="19" s="1"/>
  <c r="X12" i="4"/>
  <c r="X8" i="4"/>
  <c r="AE8" i="4"/>
  <c r="X16" i="4"/>
  <c r="AE17" i="4"/>
  <c r="X7" i="4"/>
  <c r="X9" i="4"/>
  <c r="AE9" i="4"/>
  <c r="X3" i="4"/>
  <c r="AE3" i="4"/>
  <c r="X4" i="4"/>
  <c r="AE4" i="4"/>
  <c r="O145" i="4" l="1"/>
  <c r="AI145" i="4" s="1"/>
  <c r="O161" i="4"/>
  <c r="AI161" i="4" s="1"/>
  <c r="O209" i="4"/>
  <c r="AI209" i="4" s="1"/>
  <c r="V11" i="19"/>
  <c r="O203" i="4"/>
  <c r="AI203" i="4" s="1"/>
  <c r="O204" i="4"/>
  <c r="AI204" i="4" s="1"/>
  <c r="O171" i="4"/>
  <c r="AI171" i="4" s="1"/>
  <c r="O74" i="4"/>
  <c r="AI74" i="4" s="1"/>
  <c r="O129" i="4"/>
  <c r="AI129" i="4" s="1"/>
  <c r="D222" i="24" s="1"/>
  <c r="AH19" i="19"/>
  <c r="AP7" i="19"/>
  <c r="AP6" i="19"/>
  <c r="AH18" i="19"/>
  <c r="AC6" i="19"/>
  <c r="AB9" i="19"/>
  <c r="I50" i="19"/>
  <c r="AB6" i="19"/>
  <c r="AC10" i="19"/>
  <c r="AC12" i="19"/>
  <c r="AC13" i="19"/>
  <c r="AB7" i="19"/>
  <c r="AC9" i="19"/>
  <c r="AC8" i="19"/>
  <c r="AD6" i="19"/>
  <c r="AC15" i="19"/>
  <c r="AC14" i="19"/>
  <c r="AB12" i="19"/>
  <c r="AC7" i="19"/>
  <c r="AB10" i="19"/>
  <c r="AD12" i="19"/>
  <c r="AD14" i="19"/>
  <c r="AB8" i="19"/>
  <c r="W39" i="19"/>
  <c r="W37" i="19"/>
  <c r="D142" i="19"/>
  <c r="W36" i="19"/>
  <c r="O154" i="4"/>
  <c r="AI154" i="4" s="1"/>
  <c r="D100" i="19"/>
  <c r="D105" i="19"/>
  <c r="D111" i="19"/>
  <c r="D112" i="19"/>
  <c r="D106" i="19"/>
  <c r="D107" i="19"/>
  <c r="O6" i="4"/>
  <c r="T11" i="19"/>
  <c r="O157" i="4"/>
  <c r="AI157" i="4" s="1"/>
  <c r="O62" i="4"/>
  <c r="AI62" i="4" s="1"/>
  <c r="J80" i="15"/>
  <c r="J89" i="15" s="1"/>
  <c r="J90" i="15" s="1"/>
  <c r="O205" i="4"/>
  <c r="AI205" i="4" s="1"/>
  <c r="T21" i="19"/>
  <c r="V21" i="19"/>
  <c r="O69" i="4"/>
  <c r="AI69" i="4" s="1"/>
  <c r="O193" i="4"/>
  <c r="AI193" i="4" s="1"/>
  <c r="V30" i="19"/>
  <c r="V20" i="19"/>
  <c r="V22" i="19"/>
  <c r="T30" i="19"/>
  <c r="T20" i="19"/>
  <c r="T22" i="19"/>
  <c r="O183" i="4"/>
  <c r="AI183" i="4" s="1"/>
  <c r="O108" i="4"/>
  <c r="AI108" i="4" s="1"/>
  <c r="O52" i="4"/>
  <c r="AI52" i="4" s="1"/>
  <c r="D278" i="24" s="1"/>
  <c r="O19" i="4"/>
  <c r="AI19" i="4" s="1"/>
  <c r="O98" i="4"/>
  <c r="AI98" i="4" s="1"/>
  <c r="O214" i="4"/>
  <c r="AI214" i="4" s="1"/>
  <c r="O22" i="4"/>
  <c r="AI22" i="4" s="1"/>
  <c r="O61" i="4"/>
  <c r="AI61" i="4" s="1"/>
  <c r="O66" i="4"/>
  <c r="AI66" i="4" s="1"/>
  <c r="O20" i="4"/>
  <c r="AI20" i="4" s="1"/>
  <c r="D48" i="24" s="1"/>
  <c r="O138" i="4"/>
  <c r="AI138" i="4" s="1"/>
  <c r="O102" i="4"/>
  <c r="AI102" i="4" s="1"/>
  <c r="O210" i="4"/>
  <c r="AI210" i="4" s="1"/>
  <c r="O180" i="4"/>
  <c r="AI180" i="4" s="1"/>
  <c r="O34" i="4"/>
  <c r="AI34" i="4" s="1"/>
  <c r="O78" i="4"/>
  <c r="AI78" i="4" s="1"/>
  <c r="O111" i="4"/>
  <c r="AI111" i="4" s="1"/>
  <c r="O169" i="4"/>
  <c r="AI169" i="4" s="1"/>
  <c r="O126" i="4"/>
  <c r="AI126" i="4" s="1"/>
  <c r="D194" i="24" s="1"/>
  <c r="O144" i="4"/>
  <c r="AI144" i="4" s="1"/>
  <c r="O76" i="4"/>
  <c r="AI76" i="4" s="1"/>
  <c r="O153" i="4"/>
  <c r="AI153" i="4" s="1"/>
  <c r="O70" i="4"/>
  <c r="AI70" i="4" s="1"/>
  <c r="O41" i="4"/>
  <c r="AI41" i="4" s="1"/>
  <c r="O199" i="4"/>
  <c r="AI199" i="4" s="1"/>
  <c r="O135" i="4"/>
  <c r="AI135" i="4" s="1"/>
  <c r="O32" i="4"/>
  <c r="AI32" i="4" s="1"/>
  <c r="O211" i="4"/>
  <c r="AI211" i="4" s="1"/>
  <c r="O23" i="4"/>
  <c r="AI23" i="4" s="1"/>
  <c r="O92" i="4"/>
  <c r="AI92" i="4" s="1"/>
  <c r="O196" i="4"/>
  <c r="AI196" i="4" s="1"/>
  <c r="O134" i="4"/>
  <c r="AI134" i="4" s="1"/>
  <c r="O25" i="4"/>
  <c r="AI25" i="4" s="1"/>
  <c r="O112" i="4"/>
  <c r="AI112" i="4" s="1"/>
  <c r="O186" i="4"/>
  <c r="AI186" i="4" s="1"/>
  <c r="O40" i="4"/>
  <c r="AI40" i="4" s="1"/>
  <c r="O44" i="4"/>
  <c r="AI44" i="4" s="1"/>
  <c r="O80" i="4"/>
  <c r="AI80" i="4" s="1"/>
  <c r="O133" i="4"/>
  <c r="AI133" i="4" s="1"/>
  <c r="D207" i="24" s="1"/>
  <c r="O54" i="4"/>
  <c r="AI54" i="4" s="1"/>
  <c r="O113" i="4"/>
  <c r="AI113" i="4" s="1"/>
  <c r="O123" i="4"/>
  <c r="AI123" i="4" s="1"/>
  <c r="O197" i="4"/>
  <c r="AI197" i="4" s="1"/>
  <c r="O137" i="4"/>
  <c r="AI137" i="4" s="1"/>
  <c r="O160" i="4"/>
  <c r="AI160" i="4" s="1"/>
  <c r="D156" i="24" s="1"/>
  <c r="O128" i="4"/>
  <c r="AI128" i="4" s="1"/>
  <c r="O127" i="4"/>
  <c r="AI127" i="4" s="1"/>
  <c r="O155" i="4"/>
  <c r="AI155" i="4" s="1"/>
  <c r="O107" i="4"/>
  <c r="AI107" i="4" s="1"/>
  <c r="O215" i="4"/>
  <c r="AI215" i="4" s="1"/>
  <c r="O85" i="4"/>
  <c r="AI85" i="4" s="1"/>
  <c r="O190" i="4"/>
  <c r="AI190" i="4" s="1"/>
  <c r="O37" i="4"/>
  <c r="AI37" i="4" s="1"/>
  <c r="O178" i="4"/>
  <c r="AI178" i="4" s="1"/>
  <c r="O73" i="4"/>
  <c r="AI73" i="4" s="1"/>
  <c r="O27" i="4"/>
  <c r="AI27" i="4" s="1"/>
  <c r="O97" i="4"/>
  <c r="AI97" i="4" s="1"/>
  <c r="O217" i="4"/>
  <c r="AI217" i="4" s="1"/>
  <c r="O10" i="4"/>
  <c r="AI10" i="4" s="1"/>
  <c r="D129" i="24" s="1"/>
  <c r="O104" i="4"/>
  <c r="AI104" i="4" s="1"/>
  <c r="O67" i="4"/>
  <c r="AI67" i="4" s="1"/>
  <c r="O151" i="4"/>
  <c r="AI151" i="4" s="1"/>
  <c r="O59" i="4"/>
  <c r="AI59" i="4" s="1"/>
  <c r="O167" i="4"/>
  <c r="AI167" i="4" s="1"/>
  <c r="O84" i="4"/>
  <c r="AI84" i="4" s="1"/>
  <c r="O57" i="4"/>
  <c r="AI57" i="4" s="1"/>
  <c r="O173" i="4"/>
  <c r="AI173" i="4" s="1"/>
  <c r="O187" i="4"/>
  <c r="AI187" i="4" s="1"/>
  <c r="U23" i="19"/>
  <c r="U12" i="19"/>
  <c r="O188" i="4"/>
  <c r="AI188" i="4" s="1"/>
  <c r="O201" i="4"/>
  <c r="AI201" i="4" s="1"/>
  <c r="O216" i="4"/>
  <c r="AI216" i="4" s="1"/>
  <c r="O207" i="4"/>
  <c r="AI207" i="4" s="1"/>
  <c r="O79" i="4"/>
  <c r="AI79" i="4" s="1"/>
  <c r="O43" i="4"/>
  <c r="AI43" i="4" s="1"/>
  <c r="D243" i="24" s="1"/>
  <c r="O194" i="4"/>
  <c r="AI194" i="4" s="1"/>
  <c r="O147" i="4"/>
  <c r="AI147" i="4" s="1"/>
  <c r="O191" i="4"/>
  <c r="AI191" i="4" s="1"/>
  <c r="O189" i="4"/>
  <c r="AI189" i="4" s="1"/>
  <c r="O208" i="4"/>
  <c r="AI208" i="4" s="1"/>
  <c r="O103" i="4"/>
  <c r="AI103" i="4" s="1"/>
  <c r="O35" i="4"/>
  <c r="AI35" i="4" s="1"/>
  <c r="D283" i="24" s="1"/>
  <c r="O48" i="4"/>
  <c r="AI48" i="4" s="1"/>
  <c r="O39" i="4"/>
  <c r="AI39" i="4" s="1"/>
  <c r="O21" i="4"/>
  <c r="AI21" i="4" s="1"/>
  <c r="V12" i="19"/>
  <c r="O166" i="4"/>
  <c r="AI166" i="4" s="1"/>
  <c r="O106" i="4"/>
  <c r="AI106" i="4" s="1"/>
  <c r="D178" i="24" s="1"/>
  <c r="O8" i="4"/>
  <c r="AI8" i="4" s="1"/>
  <c r="O12" i="4"/>
  <c r="AI12" i="4" s="1"/>
  <c r="O14" i="4"/>
  <c r="AI14" i="4" s="1"/>
  <c r="O5" i="4"/>
  <c r="AI5" i="4" s="1"/>
  <c r="D93" i="24" s="1"/>
  <c r="O130" i="4"/>
  <c r="AI130" i="4" s="1"/>
  <c r="O149" i="4"/>
  <c r="AI149" i="4" s="1"/>
  <c r="O175" i="4"/>
  <c r="AI175" i="4" s="1"/>
  <c r="O71" i="4"/>
  <c r="AI71" i="4" s="1"/>
  <c r="D181" i="24" s="1"/>
  <c r="O13" i="4"/>
  <c r="AI13" i="4" s="1"/>
  <c r="D221" i="24" s="1"/>
  <c r="O64" i="4"/>
  <c r="AI64" i="4" s="1"/>
  <c r="O55" i="4"/>
  <c r="AI55" i="4" s="1"/>
  <c r="V18" i="19"/>
  <c r="O116" i="4"/>
  <c r="AI116" i="4" s="1"/>
  <c r="D177" i="24" s="1"/>
  <c r="O93" i="4"/>
  <c r="AI93" i="4" s="1"/>
  <c r="O16" i="4"/>
  <c r="AI16" i="4" s="1"/>
  <c r="O198" i="4"/>
  <c r="AI198" i="4" s="1"/>
  <c r="O141" i="4"/>
  <c r="AI141" i="4" s="1"/>
  <c r="O176" i="4"/>
  <c r="AI176" i="4" s="1"/>
  <c r="O200" i="4"/>
  <c r="AI200" i="4" s="1"/>
  <c r="O46" i="4"/>
  <c r="AI46" i="4" s="1"/>
  <c r="O95" i="4"/>
  <c r="AI95" i="4" s="1"/>
  <c r="O120" i="4"/>
  <c r="AI120" i="4" s="1"/>
  <c r="O82" i="4"/>
  <c r="AI82" i="4" s="1"/>
  <c r="O49" i="4"/>
  <c r="AI49" i="4" s="1"/>
  <c r="O100" i="4"/>
  <c r="AI100" i="4" s="1"/>
  <c r="O38" i="4"/>
  <c r="AI38" i="4" s="1"/>
  <c r="D137" i="24" s="1"/>
  <c r="O9" i="4"/>
  <c r="AI9" i="4" s="1"/>
  <c r="O109" i="4"/>
  <c r="AI109" i="4" s="1"/>
  <c r="D211" i="24" s="1"/>
  <c r="O110" i="4"/>
  <c r="AI110" i="4" s="1"/>
  <c r="D144" i="24" s="1"/>
  <c r="O81" i="4"/>
  <c r="AI81" i="4" s="1"/>
  <c r="D210" i="24" s="1"/>
  <c r="O89" i="4"/>
  <c r="AI89" i="4" s="1"/>
  <c r="O68" i="4"/>
  <c r="AI68" i="4" s="1"/>
  <c r="O143" i="4"/>
  <c r="AI143" i="4" s="1"/>
  <c r="O192" i="4"/>
  <c r="AI192" i="4" s="1"/>
  <c r="O164" i="4"/>
  <c r="AI164" i="4" s="1"/>
  <c r="O11" i="4"/>
  <c r="AI11" i="4" s="1"/>
  <c r="O118" i="4"/>
  <c r="AI118" i="4" s="1"/>
  <c r="O18" i="4"/>
  <c r="AI18" i="4" s="1"/>
  <c r="O87" i="4"/>
  <c r="AI87" i="4" s="1"/>
  <c r="O91" i="4"/>
  <c r="AI91" i="4" s="1"/>
  <c r="O96" i="4"/>
  <c r="AI96" i="4" s="1"/>
  <c r="O148" i="4"/>
  <c r="AI148" i="4" s="1"/>
  <c r="O122" i="4"/>
  <c r="AI122" i="4" s="1"/>
  <c r="O56" i="4"/>
  <c r="AI56" i="4" s="1"/>
  <c r="O119" i="4"/>
  <c r="AI119" i="4" s="1"/>
  <c r="O53" i="4"/>
  <c r="AI53" i="4" s="1"/>
  <c r="O3" i="4"/>
  <c r="AI3" i="4" s="1"/>
  <c r="O72" i="4"/>
  <c r="AI72" i="4" s="1"/>
  <c r="O182" i="4"/>
  <c r="AI182" i="4" s="1"/>
  <c r="O124" i="4"/>
  <c r="AI124" i="4" s="1"/>
  <c r="O168" i="4"/>
  <c r="AI168" i="4" s="1"/>
  <c r="O45" i="4"/>
  <c r="AI45" i="4" s="1"/>
  <c r="O31" i="4"/>
  <c r="AI31" i="4" s="1"/>
  <c r="D251" i="24" s="1"/>
  <c r="O132" i="4"/>
  <c r="AI132" i="4" s="1"/>
  <c r="O58" i="4"/>
  <c r="AI58" i="4" s="1"/>
  <c r="O170" i="4"/>
  <c r="AI170" i="4" s="1"/>
  <c r="O2" i="4"/>
  <c r="O181" i="4"/>
  <c r="AI181" i="4" s="1"/>
  <c r="O114" i="4"/>
  <c r="AI114" i="4" s="1"/>
  <c r="O195" i="4"/>
  <c r="AI195" i="4" s="1"/>
  <c r="O212" i="4"/>
  <c r="AI212" i="4" s="1"/>
  <c r="O42" i="4"/>
  <c r="AI42" i="4" s="1"/>
  <c r="O150" i="4"/>
  <c r="AI150" i="4" s="1"/>
  <c r="O101" i="4"/>
  <c r="AI101" i="4" s="1"/>
  <c r="O115" i="4"/>
  <c r="AI115" i="4" s="1"/>
  <c r="O4" i="4"/>
  <c r="AI4" i="4" s="1"/>
  <c r="O7" i="4"/>
  <c r="AI7" i="4" s="1"/>
  <c r="O26" i="4"/>
  <c r="AI26" i="4" s="1"/>
  <c r="O15" i="4"/>
  <c r="AI15" i="4" s="1"/>
  <c r="O105" i="4"/>
  <c r="AI105" i="4" s="1"/>
  <c r="O125" i="4"/>
  <c r="AI125" i="4" s="1"/>
  <c r="O17" i="4"/>
  <c r="AI17" i="4" s="1"/>
  <c r="O140" i="4"/>
  <c r="AI140" i="4" s="1"/>
  <c r="O50" i="4"/>
  <c r="AI50" i="4" s="1"/>
  <c r="O63" i="4"/>
  <c r="AI63" i="4" s="1"/>
  <c r="O83" i="4"/>
  <c r="AI83" i="4" s="1"/>
  <c r="O88" i="4"/>
  <c r="AI88" i="4" s="1"/>
  <c r="O165" i="4"/>
  <c r="AI165" i="4" s="1"/>
  <c r="O146" i="4"/>
  <c r="AI146" i="4" s="1"/>
  <c r="O117" i="4"/>
  <c r="AI117" i="4" s="1"/>
  <c r="O152" i="4"/>
  <c r="AI152" i="4" s="1"/>
  <c r="O30" i="4"/>
  <c r="AI30" i="4" s="1"/>
  <c r="O179" i="4"/>
  <c r="AI179" i="4" s="1"/>
  <c r="O77" i="4"/>
  <c r="AI77" i="4" s="1"/>
  <c r="O47" i="4"/>
  <c r="AI47" i="4" s="1"/>
  <c r="D60" i="24" s="1"/>
  <c r="O86" i="4"/>
  <c r="AI86" i="4" s="1"/>
  <c r="O99" i="4"/>
  <c r="AI99" i="4" s="1"/>
  <c r="O172" i="4"/>
  <c r="AI172" i="4" s="1"/>
  <c r="O29" i="4"/>
  <c r="AI29" i="4" s="1"/>
  <c r="O158" i="4"/>
  <c r="AI158" i="4" s="1"/>
  <c r="O90" i="4"/>
  <c r="AI90" i="4" s="1"/>
  <c r="O159" i="4"/>
  <c r="AI159" i="4" s="1"/>
  <c r="O185" i="4"/>
  <c r="AI185" i="4" s="1"/>
  <c r="O163" i="4"/>
  <c r="AI163" i="4" s="1"/>
  <c r="O142" i="4"/>
  <c r="AI142" i="4" s="1"/>
  <c r="O65" i="4"/>
  <c r="AI65" i="4" s="1"/>
  <c r="O28" i="4"/>
  <c r="AI28" i="4" s="1"/>
  <c r="D250" i="24" s="1"/>
  <c r="O36" i="4"/>
  <c r="O131" i="4"/>
  <c r="AI131" i="4" s="1"/>
  <c r="O24" i="4"/>
  <c r="AI24" i="4" s="1"/>
  <c r="O156" i="4"/>
  <c r="AI156" i="4" s="1"/>
  <c r="O136" i="4"/>
  <c r="AI136" i="4" s="1"/>
  <c r="O206" i="4"/>
  <c r="AI206" i="4" s="1"/>
  <c r="D104" i="19"/>
  <c r="K8" i="19"/>
  <c r="V16" i="19"/>
  <c r="K13" i="19"/>
  <c r="V23" i="19"/>
  <c r="T18" i="19"/>
  <c r="T12" i="19"/>
  <c r="T9" i="19"/>
  <c r="K29" i="19"/>
  <c r="K18" i="19"/>
  <c r="T23" i="19"/>
  <c r="T16" i="19"/>
  <c r="V9" i="19"/>
  <c r="K15" i="19"/>
  <c r="K16" i="19"/>
  <c r="J22" i="15"/>
  <c r="I22" i="15" s="1"/>
  <c r="I27" i="15" s="1"/>
  <c r="I32" i="15" s="1"/>
  <c r="I33" i="15" s="1"/>
  <c r="T26" i="19"/>
  <c r="U15" i="19"/>
  <c r="U14" i="19"/>
  <c r="U28" i="19"/>
  <c r="T17" i="19"/>
  <c r="V25" i="19"/>
  <c r="V15" i="19"/>
  <c r="T19" i="19"/>
  <c r="T28" i="19"/>
  <c r="V13" i="19"/>
  <c r="U19" i="19"/>
  <c r="V17" i="19"/>
  <c r="T13" i="19"/>
  <c r="T25" i="19"/>
  <c r="U17" i="19"/>
  <c r="T14" i="19"/>
  <c r="T29" i="19"/>
  <c r="U26" i="19"/>
  <c r="V19" i="19"/>
  <c r="U29" i="19"/>
  <c r="V14" i="19"/>
  <c r="V26" i="19"/>
  <c r="U25" i="19"/>
  <c r="V29" i="19"/>
  <c r="U13" i="19"/>
  <c r="V28" i="19"/>
  <c r="D110" i="19"/>
  <c r="K41" i="19"/>
  <c r="AD19" i="19" s="1"/>
  <c r="N15" i="25" s="1"/>
  <c r="K26" i="19"/>
  <c r="T15" i="19"/>
  <c r="D103" i="19"/>
  <c r="U18" i="19"/>
  <c r="U5" i="19"/>
  <c r="D102" i="19"/>
  <c r="D101" i="19"/>
  <c r="T24" i="19"/>
  <c r="T7" i="19"/>
  <c r="U24" i="19"/>
  <c r="U7" i="19"/>
  <c r="V24" i="19"/>
  <c r="V7" i="19"/>
  <c r="T5" i="19"/>
  <c r="V5" i="19"/>
  <c r="V8" i="19"/>
  <c r="V10" i="19"/>
  <c r="T8" i="19"/>
  <c r="T10" i="19"/>
  <c r="U8" i="19"/>
  <c r="U10" i="19"/>
  <c r="T6" i="19"/>
  <c r="U6" i="19"/>
  <c r="V6" i="19"/>
  <c r="D139" i="19"/>
  <c r="W44" i="19"/>
  <c r="D137" i="19"/>
  <c r="D53" i="19"/>
  <c r="D9" i="25" s="1"/>
  <c r="W42" i="19"/>
  <c r="J108" i="19"/>
  <c r="Y52" i="19"/>
  <c r="Y50" i="19"/>
  <c r="B23" i="15"/>
  <c r="J107" i="19"/>
  <c r="J103" i="19"/>
  <c r="J101" i="19"/>
  <c r="J104" i="19"/>
  <c r="J109" i="19"/>
  <c r="J106" i="19"/>
  <c r="J102" i="19"/>
  <c r="J100" i="19"/>
  <c r="O78" i="15"/>
  <c r="Q82" i="15" s="1"/>
  <c r="I80" i="15"/>
  <c r="I89" i="15" s="1"/>
  <c r="F54" i="13"/>
  <c r="AL214" i="19" s="1"/>
  <c r="E55" i="13"/>
  <c r="D203" i="24" l="1"/>
  <c r="D111" i="24"/>
  <c r="D223" i="24"/>
  <c r="D228" i="24"/>
  <c r="D184" i="24"/>
  <c r="D112" i="24"/>
  <c r="D216" i="24"/>
  <c r="D269" i="24"/>
  <c r="D213" i="24"/>
  <c r="D209" i="24"/>
  <c r="D162" i="24"/>
  <c r="D236" i="24"/>
  <c r="D126" i="24"/>
  <c r="D241" i="24"/>
  <c r="D61" i="24"/>
  <c r="D264" i="24"/>
  <c r="D208" i="24"/>
  <c r="D187" i="24"/>
  <c r="D245" i="24"/>
  <c r="AI36" i="4"/>
  <c r="D66" i="24" s="1"/>
  <c r="O12" i="19"/>
  <c r="B25" i="15"/>
  <c r="B24" i="15"/>
  <c r="D158" i="24"/>
  <c r="D246" i="24"/>
  <c r="D175" i="24"/>
  <c r="D92" i="24"/>
  <c r="D87" i="24"/>
  <c r="D159" i="24"/>
  <c r="D104" i="24"/>
  <c r="D76" i="24"/>
  <c r="D95" i="24"/>
  <c r="D42" i="24"/>
  <c r="D57" i="24"/>
  <c r="D143" i="24"/>
  <c r="D139" i="24"/>
  <c r="D142" i="24"/>
  <c r="D215" i="24"/>
  <c r="D157" i="24"/>
  <c r="D229" i="24"/>
  <c r="D234" i="24"/>
  <c r="D174" i="24"/>
  <c r="D153" i="24"/>
  <c r="D190" i="24"/>
  <c r="D165" i="24"/>
  <c r="D55" i="24"/>
  <c r="D105" i="24"/>
  <c r="D248" i="24"/>
  <c r="D50" i="24"/>
  <c r="D124" i="24"/>
  <c r="D45" i="24"/>
  <c r="D140" i="24"/>
  <c r="D172" i="24"/>
  <c r="D286" i="24"/>
  <c r="D90" i="24"/>
  <c r="D125" i="24"/>
  <c r="D169" i="24"/>
  <c r="D205" i="24"/>
  <c r="D15" i="24"/>
  <c r="D85" i="24"/>
  <c r="D150" i="24"/>
  <c r="D53" i="24"/>
  <c r="D128" i="24"/>
  <c r="D199" i="24"/>
  <c r="D33" i="24"/>
  <c r="D255" i="24"/>
  <c r="D206" i="24"/>
  <c r="D230" i="24"/>
  <c r="D163" i="24"/>
  <c r="D265" i="24"/>
  <c r="D29" i="24"/>
  <c r="D71" i="24"/>
  <c r="D127" i="24"/>
  <c r="D244" i="24"/>
  <c r="N6" i="25"/>
  <c r="D146" i="24"/>
  <c r="D281" i="24"/>
  <c r="D17" i="24"/>
  <c r="D256" i="24"/>
  <c r="D21" i="24"/>
  <c r="L6" i="25"/>
  <c r="D28" i="24"/>
  <c r="D132" i="24"/>
  <c r="D67" i="24"/>
  <c r="D212" i="24"/>
  <c r="AP25" i="19"/>
  <c r="AO9" i="19"/>
  <c r="AN7" i="19"/>
  <c r="AM9" i="19"/>
  <c r="AN13" i="19"/>
  <c r="AD13" i="19"/>
  <c r="N9" i="25" s="1"/>
  <c r="AM15" i="19"/>
  <c r="AD15" i="19"/>
  <c r="N12" i="25" s="1"/>
  <c r="AO8" i="19"/>
  <c r="AN12" i="19"/>
  <c r="AM12" i="19"/>
  <c r="V50" i="19"/>
  <c r="AO6" i="19"/>
  <c r="AD10" i="19"/>
  <c r="AN8" i="19"/>
  <c r="AO12" i="19"/>
  <c r="AD8" i="19"/>
  <c r="L12" i="25" s="1"/>
  <c r="AM7" i="19"/>
  <c r="AO13" i="19"/>
  <c r="AN14" i="19"/>
  <c r="AD9" i="19"/>
  <c r="AD7" i="19"/>
  <c r="AO11" i="19"/>
  <c r="AM13" i="19"/>
  <c r="AM6" i="19"/>
  <c r="AO15" i="19"/>
  <c r="AN6" i="19"/>
  <c r="AM14" i="19"/>
  <c r="AM8" i="19"/>
  <c r="AO7" i="19"/>
  <c r="AN10" i="19"/>
  <c r="AO14" i="19"/>
  <c r="AN15" i="19"/>
  <c r="AN9" i="19"/>
  <c r="AM10" i="19"/>
  <c r="AB26" i="19"/>
  <c r="AC26" i="19"/>
  <c r="AS7" i="19" s="1"/>
  <c r="AO10" i="19"/>
  <c r="AM11" i="19"/>
  <c r="D40" i="24"/>
  <c r="D22" i="24"/>
  <c r="D138" i="24"/>
  <c r="D279" i="24"/>
  <c r="D18" i="24"/>
  <c r="D34" i="24"/>
  <c r="D204" i="24"/>
  <c r="D77" i="24"/>
  <c r="W64" i="19"/>
  <c r="W41" i="19"/>
  <c r="D123" i="24"/>
  <c r="D276" i="24"/>
  <c r="D59" i="24"/>
  <c r="D176" i="24"/>
  <c r="D285" i="24"/>
  <c r="D271" i="24"/>
  <c r="D133" i="24"/>
  <c r="D118" i="24"/>
  <c r="D154" i="24"/>
  <c r="D134" i="24"/>
  <c r="D148" i="24"/>
  <c r="D32" i="24"/>
  <c r="D52" i="24"/>
  <c r="D20" i="24"/>
  <c r="D299" i="24"/>
  <c r="D296" i="24"/>
  <c r="D10" i="24"/>
  <c r="D26" i="24"/>
  <c r="D31" i="24"/>
  <c r="D72" i="24"/>
  <c r="D7" i="24"/>
  <c r="D23" i="24"/>
  <c r="D24" i="24"/>
  <c r="D254" i="24"/>
  <c r="D13" i="24"/>
  <c r="D247" i="24"/>
  <c r="D27" i="24"/>
  <c r="D6" i="24"/>
  <c r="D275" i="24"/>
  <c r="D37" i="24"/>
  <c r="D58" i="24"/>
  <c r="D253" i="24"/>
  <c r="D274" i="24"/>
  <c r="D260" i="24"/>
  <c r="D259" i="24"/>
  <c r="AI6" i="4"/>
  <c r="D36" i="24" s="1"/>
  <c r="O11" i="19"/>
  <c r="D44" i="24"/>
  <c r="D2" i="24"/>
  <c r="D8" i="24"/>
  <c r="D12" i="24"/>
  <c r="D14" i="24"/>
  <c r="D35" i="24"/>
  <c r="D11" i="24"/>
  <c r="D19" i="24"/>
  <c r="D25" i="24"/>
  <c r="AI2" i="4"/>
  <c r="D38" i="24" s="1"/>
  <c r="O21" i="19"/>
  <c r="O22" i="19"/>
  <c r="O30" i="19"/>
  <c r="O20" i="19"/>
  <c r="AH11" i="19" s="1"/>
  <c r="J27" i="15"/>
  <c r="J32" i="15" s="1"/>
  <c r="J33" i="15" s="1"/>
  <c r="O24" i="15"/>
  <c r="Q29" i="15" s="1"/>
  <c r="O18" i="19"/>
  <c r="O9" i="19"/>
  <c r="O16" i="19"/>
  <c r="O23" i="19"/>
  <c r="K50" i="19"/>
  <c r="O17" i="19"/>
  <c r="O19" i="19"/>
  <c r="O26" i="19"/>
  <c r="AH13" i="19" s="1"/>
  <c r="O13" i="19"/>
  <c r="O28" i="19"/>
  <c r="AH14" i="19" s="1"/>
  <c r="O15" i="19"/>
  <c r="O14" i="19"/>
  <c r="O29" i="19"/>
  <c r="O25" i="19"/>
  <c r="O24" i="19"/>
  <c r="O7" i="19"/>
  <c r="O5" i="19"/>
  <c r="O8" i="19"/>
  <c r="O10" i="19"/>
  <c r="O6" i="19"/>
  <c r="R48" i="19"/>
  <c r="AK23" i="19" s="1"/>
  <c r="AK26" i="19" s="1"/>
  <c r="AS15" i="19" s="1"/>
  <c r="J115" i="19"/>
  <c r="U50" i="19"/>
  <c r="T50" i="19"/>
  <c r="I52" i="19"/>
  <c r="G100" i="19"/>
  <c r="Q85" i="15"/>
  <c r="I90" i="15"/>
  <c r="H90" i="15"/>
  <c r="Q78" i="15"/>
  <c r="Q79" i="15"/>
  <c r="Q87" i="15"/>
  <c r="Q83" i="15"/>
  <c r="Q80" i="15"/>
  <c r="Q81" i="15"/>
  <c r="Q86" i="15"/>
  <c r="Q84" i="15"/>
  <c r="E56" i="13"/>
  <c r="F55" i="13"/>
  <c r="AM214" i="19" s="1"/>
  <c r="D293" i="24" l="1"/>
  <c r="D298" i="24"/>
  <c r="D294" i="24"/>
  <c r="D300" i="24"/>
  <c r="D309" i="24"/>
  <c r="D306" i="24"/>
  <c r="D301" i="24"/>
  <c r="D297" i="24"/>
  <c r="D302" i="24"/>
  <c r="D310" i="24"/>
  <c r="D304" i="24"/>
  <c r="D307" i="24"/>
  <c r="D308" i="24"/>
  <c r="D305" i="24"/>
  <c r="D303" i="24"/>
  <c r="D295" i="24"/>
  <c r="D270" i="24"/>
  <c r="D161" i="24"/>
  <c r="D16" i="24"/>
  <c r="D113" i="24"/>
  <c r="D9" i="24"/>
  <c r="D477" i="24"/>
  <c r="D288" i="24"/>
  <c r="D456" i="24"/>
  <c r="D485" i="24"/>
  <c r="D522" i="24"/>
  <c r="D492" i="24"/>
  <c r="D478" i="24"/>
  <c r="D455" i="24"/>
  <c r="D454" i="24"/>
  <c r="D469" i="24"/>
  <c r="D530" i="24"/>
  <c r="D287" i="24"/>
  <c r="D292" i="24"/>
  <c r="D291" i="24"/>
  <c r="D449" i="24"/>
  <c r="D474" i="24"/>
  <c r="D509" i="24"/>
  <c r="D533" i="24"/>
  <c r="D466" i="24"/>
  <c r="D527" i="24"/>
  <c r="D535" i="24"/>
  <c r="D491" i="24"/>
  <c r="D453" i="24"/>
  <c r="D490" i="24"/>
  <c r="D497" i="24"/>
  <c r="D504" i="24"/>
  <c r="D496" i="24"/>
  <c r="D480" i="24"/>
  <c r="D446" i="24"/>
  <c r="D441" i="24"/>
  <c r="D462" i="24"/>
  <c r="D459" i="24"/>
  <c r="D493" i="24"/>
  <c r="D508" i="24"/>
  <c r="D458" i="24"/>
  <c r="D501" i="24"/>
  <c r="D472" i="24"/>
  <c r="D481" i="24"/>
  <c r="D532" i="24"/>
  <c r="D447" i="24"/>
  <c r="D516" i="24"/>
  <c r="D510" i="24"/>
  <c r="D520" i="24"/>
  <c r="D440" i="24"/>
  <c r="D484" i="24"/>
  <c r="D438" i="24"/>
  <c r="D463" i="24"/>
  <c r="D464" i="24"/>
  <c r="D525" i="24"/>
  <c r="D517" i="24"/>
  <c r="D445" i="24"/>
  <c r="D475" i="24"/>
  <c r="D500" i="24"/>
  <c r="D502" i="24"/>
  <c r="D465" i="24"/>
  <c r="D505" i="24"/>
  <c r="D461" i="24"/>
  <c r="D523" i="24"/>
  <c r="D524" i="24"/>
  <c r="D486" i="24"/>
  <c r="D460" i="24"/>
  <c r="D515" i="24"/>
  <c r="D448" i="24"/>
  <c r="D528" i="24"/>
  <c r="D450" i="24"/>
  <c r="D519" i="24"/>
  <c r="D444" i="24"/>
  <c r="D534" i="24"/>
  <c r="D489" i="24"/>
  <c r="D488" i="24"/>
  <c r="D511" i="24"/>
  <c r="D437" i="24"/>
  <c r="D513" i="24"/>
  <c r="D498" i="24"/>
  <c r="D482" i="24"/>
  <c r="D521" i="24"/>
  <c r="D514" i="24"/>
  <c r="D531" i="24"/>
  <c r="D473" i="24"/>
  <c r="D529" i="24"/>
  <c r="D467" i="24"/>
  <c r="D526" i="24"/>
  <c r="D452" i="24"/>
  <c r="D443" i="24"/>
  <c r="D494" i="24"/>
  <c r="D442" i="24"/>
  <c r="D506" i="24"/>
  <c r="D507" i="24"/>
  <c r="D518" i="24"/>
  <c r="D436" i="24"/>
  <c r="D471" i="24"/>
  <c r="D479" i="24"/>
  <c r="D468" i="24"/>
  <c r="D470" i="24"/>
  <c r="D495" i="24"/>
  <c r="D503" i="24"/>
  <c r="D483" i="24"/>
  <c r="D451" i="24"/>
  <c r="D512" i="24"/>
  <c r="D457" i="24"/>
  <c r="D499" i="24"/>
  <c r="D476" i="24"/>
  <c r="D439" i="24"/>
  <c r="D487" i="24"/>
  <c r="D94" i="24"/>
  <c r="D290" i="24"/>
  <c r="D30" i="24"/>
  <c r="D289" i="24"/>
  <c r="D39" i="24"/>
  <c r="L15" i="25"/>
  <c r="AD26" i="19"/>
  <c r="AS8" i="19" s="1"/>
  <c r="L9" i="25"/>
  <c r="AS6" i="19"/>
  <c r="D41" i="24"/>
  <c r="AH6" i="19"/>
  <c r="AM26" i="19"/>
  <c r="AS17" i="19" s="1"/>
  <c r="AO26" i="19"/>
  <c r="AS19" i="19" s="1"/>
  <c r="AH15" i="19"/>
  <c r="AH7" i="19"/>
  <c r="AH10" i="19"/>
  <c r="AH12" i="19"/>
  <c r="AH9" i="19"/>
  <c r="AH8" i="19"/>
  <c r="AN26" i="19"/>
  <c r="AS18" i="19" s="1"/>
  <c r="D106" i="24"/>
  <c r="G48" i="19"/>
  <c r="H48" i="19" s="1"/>
  <c r="J60" i="25" s="1"/>
  <c r="D122" i="19"/>
  <c r="K52" i="19"/>
  <c r="T52" i="19"/>
  <c r="V52" i="19"/>
  <c r="W14" i="19"/>
  <c r="W17" i="19"/>
  <c r="W18" i="19"/>
  <c r="D130" i="19"/>
  <c r="W7" i="19"/>
  <c r="D134" i="19"/>
  <c r="W12" i="19"/>
  <c r="D126" i="19"/>
  <c r="W20" i="19"/>
  <c r="W25" i="19"/>
  <c r="D133" i="19"/>
  <c r="W16" i="19"/>
  <c r="D135" i="19"/>
  <c r="D128" i="19"/>
  <c r="W9" i="19"/>
  <c r="D131" i="19"/>
  <c r="U52" i="19"/>
  <c r="D69" i="24"/>
  <c r="D5" i="24"/>
  <c r="D4" i="24"/>
  <c r="D3" i="24"/>
  <c r="Q24" i="15"/>
  <c r="N215" i="19"/>
  <c r="Q26" i="15"/>
  <c r="Q25" i="15"/>
  <c r="Q27" i="15"/>
  <c r="Q28" i="15"/>
  <c r="D129" i="19"/>
  <c r="Q30" i="15"/>
  <c r="Q31" i="15"/>
  <c r="D125" i="19"/>
  <c r="D124" i="19"/>
  <c r="R50" i="19"/>
  <c r="AW215" i="19"/>
  <c r="AU215" i="19"/>
  <c r="BB215" i="19"/>
  <c r="AT215" i="19"/>
  <c r="AJ215" i="19"/>
  <c r="AZ215" i="19"/>
  <c r="AK215" i="19"/>
  <c r="AS215" i="19"/>
  <c r="AV215" i="19"/>
  <c r="AN215" i="19"/>
  <c r="BC215" i="19"/>
  <c r="I215" i="19"/>
  <c r="AM215" i="19"/>
  <c r="AI215" i="19"/>
  <c r="O215" i="19"/>
  <c r="D127" i="19"/>
  <c r="W28" i="19"/>
  <c r="Y215" i="19"/>
  <c r="AC215" i="19"/>
  <c r="BD215" i="19"/>
  <c r="S215" i="19"/>
  <c r="R215" i="19"/>
  <c r="W215" i="19"/>
  <c r="G215" i="19"/>
  <c r="AX215" i="19"/>
  <c r="AD215" i="19"/>
  <c r="AH215" i="19"/>
  <c r="F215" i="19"/>
  <c r="M215" i="19"/>
  <c r="L215" i="19"/>
  <c r="Q215" i="19"/>
  <c r="AY215" i="19"/>
  <c r="AL215" i="19"/>
  <c r="AB215" i="19"/>
  <c r="AA215" i="19"/>
  <c r="AF215" i="19"/>
  <c r="AE215" i="19"/>
  <c r="AP215" i="19"/>
  <c r="BA215" i="19"/>
  <c r="K215" i="19"/>
  <c r="P215" i="19"/>
  <c r="U215" i="19"/>
  <c r="Z215" i="19"/>
  <c r="T215" i="19"/>
  <c r="D132" i="19"/>
  <c r="W15" i="19"/>
  <c r="AQ215" i="19"/>
  <c r="J215" i="19"/>
  <c r="X215" i="19"/>
  <c r="AO215" i="19"/>
  <c r="H215" i="19"/>
  <c r="V215" i="19"/>
  <c r="AG215" i="19"/>
  <c r="AR215" i="19"/>
  <c r="W24" i="19"/>
  <c r="D123" i="19"/>
  <c r="BD216" i="19"/>
  <c r="G105" i="19"/>
  <c r="W26" i="19"/>
  <c r="W19" i="19"/>
  <c r="W22" i="19"/>
  <c r="W13" i="19"/>
  <c r="W6" i="19"/>
  <c r="W27" i="19"/>
  <c r="W29" i="19"/>
  <c r="W10" i="19"/>
  <c r="W8" i="19"/>
  <c r="W30" i="19"/>
  <c r="W23" i="19"/>
  <c r="W21" i="19"/>
  <c r="O50" i="19"/>
  <c r="W5" i="19"/>
  <c r="W11" i="19"/>
  <c r="E57" i="13"/>
  <c r="F56" i="13"/>
  <c r="AN214" i="19" s="1"/>
  <c r="M3" i="25" l="1"/>
  <c r="W50" i="19"/>
  <c r="W52" i="19" s="1"/>
  <c r="AH26" i="19"/>
  <c r="AS12" i="19" s="1"/>
  <c r="R52" i="19"/>
  <c r="O52" i="19"/>
  <c r="K2" i="24" a="1"/>
  <c r="F2" i="24" a="1"/>
  <c r="G102" i="19"/>
  <c r="F57" i="13"/>
  <c r="AO214" i="19" s="1"/>
  <c r="E58" i="13"/>
  <c r="F29" i="25" l="1"/>
  <c r="K70" i="19"/>
  <c r="K2" i="24"/>
  <c r="C63" i="19" s="1"/>
  <c r="G64" i="19"/>
  <c r="G67" i="19"/>
  <c r="G66" i="19"/>
  <c r="G65" i="19"/>
  <c r="C66" i="19"/>
  <c r="G63" i="19"/>
  <c r="C65" i="19"/>
  <c r="C67" i="19"/>
  <c r="C64" i="19"/>
  <c r="F2" i="24"/>
  <c r="J63" i="19" s="1"/>
  <c r="N64" i="19"/>
  <c r="O64" i="19" s="1"/>
  <c r="J66" i="19"/>
  <c r="N67" i="19"/>
  <c r="O67" i="19" s="1"/>
  <c r="N65" i="19"/>
  <c r="O65" i="19" s="1"/>
  <c r="J67" i="19"/>
  <c r="N66" i="19"/>
  <c r="O66" i="19" s="1"/>
  <c r="N63" i="19"/>
  <c r="O63" i="19" s="1"/>
  <c r="J64" i="19"/>
  <c r="J65" i="19"/>
  <c r="W61" i="19"/>
  <c r="E59" i="13"/>
  <c r="F58" i="13"/>
  <c r="AP214" i="19" s="1"/>
  <c r="F30" i="25" l="1"/>
  <c r="G33" i="25"/>
  <c r="W62" i="19"/>
  <c r="E60" i="13"/>
  <c r="F59" i="13"/>
  <c r="AQ214" i="19" s="1"/>
  <c r="F60" i="13" l="1"/>
  <c r="AR214" i="19" s="1"/>
  <c r="E61" i="13"/>
  <c r="E62" i="13" l="1"/>
  <c r="F61" i="13"/>
  <c r="AS214" i="19" s="1"/>
  <c r="E63" i="13" l="1"/>
  <c r="F62" i="13"/>
  <c r="AT214" i="19" s="1"/>
  <c r="F63" i="13" l="1"/>
  <c r="AU214" i="19" s="1"/>
  <c r="E64" i="13"/>
  <c r="E65" i="13" l="1"/>
  <c r="F64" i="13"/>
  <c r="AV214" i="19" s="1"/>
  <c r="E66" i="13" l="1"/>
  <c r="F65" i="13"/>
  <c r="AW214" i="19" s="1"/>
  <c r="F66" i="13" l="1"/>
  <c r="AX214" i="19" s="1"/>
  <c r="E67" i="13"/>
  <c r="E68" i="13" l="1"/>
  <c r="F67" i="13"/>
  <c r="AY214" i="19" s="1"/>
  <c r="E69" i="13" l="1"/>
  <c r="F68" i="13"/>
  <c r="AZ214" i="19" s="1"/>
  <c r="F69" i="13" l="1"/>
  <c r="BA214" i="19" s="1"/>
  <c r="E70" i="13"/>
  <c r="E71" i="13" l="1"/>
  <c r="F70" i="13"/>
  <c r="BB214" i="19" s="1"/>
  <c r="E72" i="13" l="1"/>
  <c r="F72" i="13" s="1"/>
  <c r="BD214" i="19" s="1"/>
  <c r="F71" i="13"/>
  <c r="BC214" i="19" s="1"/>
  <c r="F81" i="13" l="1"/>
  <c r="J25" i="13" s="1"/>
  <c r="J26" i="13" s="1"/>
  <c r="I21" i="13" l="1"/>
  <c r="G17" i="13"/>
  <c r="I5" i="13"/>
  <c r="H17" i="13" l="1"/>
  <c r="Q47" i="19"/>
  <c r="AJ22" i="19" s="1"/>
  <c r="AJ26" i="19" s="1"/>
  <c r="AS14" i="19" s="1"/>
  <c r="I9" i="13"/>
  <c r="H5" i="13"/>
  <c r="H7" i="13"/>
  <c r="H9" i="13"/>
  <c r="H6" i="13"/>
  <c r="H11" i="13"/>
  <c r="H13" i="13"/>
  <c r="H12" i="13"/>
  <c r="H14" i="13"/>
  <c r="H8" i="13"/>
  <c r="H15" i="13"/>
  <c r="H10" i="13"/>
  <c r="G47" i="19" l="1"/>
  <c r="D165" i="19"/>
  <c r="D210" i="19" s="1"/>
  <c r="Q50" i="19"/>
  <c r="H16" i="13"/>
  <c r="G34" i="25" l="1"/>
  <c r="G35" i="25" s="1"/>
  <c r="I30" i="25"/>
  <c r="I31" i="25"/>
  <c r="I29" i="25"/>
  <c r="K69" i="19"/>
  <c r="K71" i="19" s="1"/>
  <c r="AB28" i="19"/>
  <c r="AB29" i="19"/>
  <c r="H47" i="19"/>
  <c r="G50" i="19"/>
  <c r="Q52" i="19"/>
  <c r="G103" i="19"/>
  <c r="J50" i="19"/>
  <c r="C29" i="25" l="1"/>
  <c r="G32" i="25"/>
  <c r="H54" i="19"/>
  <c r="D54" i="19" s="1"/>
  <c r="J66" i="25" s="1"/>
  <c r="J59" i="25"/>
  <c r="G101" i="19"/>
  <c r="G106" i="19" s="1"/>
  <c r="AB30" i="19"/>
  <c r="E211" i="19"/>
  <c r="J52" i="19"/>
  <c r="C30" i="25" s="1"/>
  <c r="B4" i="25" l="1"/>
  <c r="W63" i="19"/>
  <c r="D8"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tc={8E4B970B-E82B-4F3B-876F-551055FD7CDD}</author>
  </authors>
  <commentList>
    <comment ref="C33" authorId="0" shapeId="0" xr:uid="{8E4B970B-E82B-4F3B-876F-551055FD7CDD}">
      <text>
        <t>[Threaded comment]
Your version of Excel allows you to read this threaded comment; however, any edits to it will get removed if the file is opened in a newer version of Excel. Learn more: https://go.microsoft.com/fwlink/?linkid=870924
Comment:
    https://susproc.jrc.ec.europa.eu/product-bureau//sites/default/files/2021-01/UM2_Setting_up_a_project_to_use_Level(s)_v1.1_26pp.pdf</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tc={EE44B342-11CE-4A82-BDC7-BE8DE55D160B}</author>
    <author>tc={FD528774-3C58-4AD8-9D53-8B2569DC2C8C}</author>
  </authors>
  <commentList>
    <comment ref="G9" authorId="0" shapeId="0" xr:uid="{EE44B342-11CE-4A82-BDC7-BE8DE55D160B}">
      <text>
        <t xml:space="preserve">[Threaded comment]
Your version of Excel allows you to read this threaded comment; however, any edits to it will get removed if the file is opened in a newer version of Excel. Learn more: https://go.microsoft.com/fwlink/?linkid=870924
Comment:
    Estimate the mass in kg of the systems in your model here. </t>
      </text>
    </comment>
    <comment ref="I9" authorId="1" shapeId="0" xr:uid="{FD528774-3C58-4AD8-9D53-8B2569DC2C8C}">
      <text>
        <t>[Threaded comment]
Your version of Excel allows you to read this threaded comment; however, any edits to it will get removed if the file is opened in a newer version of Excel. Learn more: https://go.microsoft.com/fwlink/?linkid=870924
Comment:
    These are defined in Levels. Please do not change unless you are doing a more detailed study using actual product information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tc={34922EEA-083B-4AFB-8081-7F3B1802C7BC}</author>
    <author>tc={1A2957FA-DDC3-471D-BC8E-BF54C68DA995}</author>
  </authors>
  <commentList>
    <comment ref="F3" authorId="0" shapeId="0" xr:uid="{34922EEA-083B-4AFB-8081-7F3B1802C7BC}">
      <text>
        <t>[Threaded comment]
Your version of Excel allows you to read this threaded comment; however, any edits to it will get removed if the file is opened in a newer version of Excel. Learn more: https://go.microsoft.com/fwlink/?linkid=870924
Comment:
    If an element does not feature in your design (for example, you have no balconies), select "No" in the dropdown.</t>
      </text>
    </comment>
    <comment ref="W52" authorId="1" shapeId="0" xr:uid="{1A2957FA-DDC3-471D-BC8E-BF54C68DA995}">
      <text>
        <t>[Threaded comment]
Your version of Excel allows you to read this threaded comment; however, any edits to it will get removed if the file is opened in a newer version of Excel. Learn more: https://go.microsoft.com/fwlink/?linkid=870924
Comment:
    Excludes Operational and Water (B6 &amp; B7)</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tc={8305F79B-6A84-4A1A-83E9-9114709621D3}</author>
    <author>tc={FBB8B89C-E47F-453B-A4C1-E47AEA3A664D}</author>
    <author>tc={B04F7656-A680-4AD2-AA14-D389DEB9F676}</author>
    <author>tc={D4F337F4-1961-4E42-B1DA-33330B34013F}</author>
    <author>tc={8585C15B-346F-4144-BC39-378F8AFE6B26}</author>
    <author>tc={0993320D-E355-4051-A29C-95ECFB432445}</author>
    <author>tc={E3182772-2735-4448-B248-5EDB4818D30D}</author>
    <author>tc={00A35328-16C5-4B63-AFF1-1AA58AE25D7E}</author>
    <author>tc={DC243EBB-630F-4A17-9AFB-15CDCB7D4A5E}</author>
    <author>tc={E758251A-9F4B-482E-9621-9C90CCEFD48A}</author>
    <author>tc={04C67229-1A0C-4FCC-AA59-6C4A12FA19AD}</author>
    <author>tc={3D29A315-215F-4E15-B1FD-F92C9DFF0AA5}</author>
    <author>tc={624C57E9-DEED-48FC-AC6E-5E3BF006584C}</author>
    <author>tc={8113FDFD-E907-4619-B89C-7893253056D2}</author>
    <author>tc={53082C85-B929-41AC-85B8-61D6A07969F5}</author>
    <author>tc={5936F777-5CF8-4A82-AB66-B02312A4738C}</author>
    <author>tc={F6166A1B-5633-44E7-B2B2-B726F360A767}</author>
    <author>tc={BBD35D4C-BD1C-4668-A636-4E6C6A45148B}</author>
    <author>tc={78CE5EEC-160E-41C7-B1C7-E30ED2D20E8E}</author>
    <author>tc={FD95C338-27B1-4D20-8FE0-C9680271EA3F}</author>
    <author>tc={20701B3E-C3CA-4D8E-8DB2-2C54A16D5313}</author>
    <author>tc={BD9CE421-4110-4D42-A9A0-8C631C0A82A7}</author>
    <author>tc={499646AC-8D17-41A1-AA8E-990B092DA511}</author>
    <author>tc={5A518CB4-EA27-454D-9807-679D4E09413D}</author>
    <author>tc={4CC906C2-BD9B-4B11-89CD-F37D5B5747DD}</author>
    <author>tc={B0AD1FE7-B75C-4EC5-9844-D2CD424A03B7}</author>
    <author>tc={3C2ABC25-6238-478C-8B89-A1CF06714CF2}</author>
    <author>tc={8A2DFCCE-AE30-4DC2-B748-041755B44C5A}</author>
    <author>tc={66961097-93DA-4026-B6F9-FE65FF40B71B}</author>
    <author>tc={600B3799-698F-4FB4-B43F-C4DFF491741D}</author>
    <author>tc={FE812C3F-F284-44F5-96B1-42AD41E87D7D}</author>
    <author>tc={8A005FAF-1A36-43F7-BE7F-7DA4CC909AA8}</author>
    <author>tc={A69D02E1-1CC1-4F3A-AE92-F15EB1746BF4}</author>
    <author>tc={D4C6C0EA-8FA2-46D3-8810-E1628E06DC71}</author>
    <author>tc={678538D3-32D4-447E-82F7-B7BAD1469EF5}</author>
    <author>tc={F6139FA1-D263-4297-AD83-42D56425CF6B}</author>
    <author>tc={B14BE147-C386-4A9E-94FC-808C7281BD47}</author>
    <author>tc={41CC49A7-FE33-4146-BB8E-9C3924E7B9F8}</author>
    <author>tc={BDC69F3E-AB57-4E19-A76A-43AFBAA0450F}</author>
    <author>tc={C67F1DAA-D132-4222-A1F2-5B06A116FA2F}</author>
    <author>tc={D96A6B60-1593-4191-B913-3C89E5B22E7A}</author>
    <author>tc={1D92796C-4CD8-4B6D-90A8-DE259DBC6186}</author>
    <author>tc={65A12C95-EC31-4FE0-9722-16D3D754108D}</author>
    <author>tc={AD2E61F6-6722-4B49-95DE-A2A1707475BB}</author>
    <author>tc={71CB3487-B264-45D9-BF06-7B469040D548}</author>
    <author>tc={26BD3AC2-698A-4E87-92DD-AD82D1DA6415}</author>
    <author>tc={F18457E3-215B-4C40-BD77-8BD27707F69B}</author>
    <author>tc={482DA8F1-610D-4942-BE1E-340FECDFFD41}</author>
    <author>tc={75B91F57-81BD-4C77-875E-13938644F308}</author>
    <author>tc={B1B0468E-F23E-4F62-B81F-3C92114E980B}</author>
    <author>tc={03308451-8B2D-4DA7-BD58-FC3A88358E8D}</author>
    <author>tc={AF9DDC99-CF16-4C2E-A732-7D44D0CABD6E}</author>
    <author>tc={AA70706C-DE81-4B53-BC77-676BE9E9BBCB}</author>
    <author>tc={DB3833D1-8785-49CF-A4C1-CE215CBA2D26}</author>
    <author>tc={BFE9405A-4A91-4721-AC04-0DB2464D960A}</author>
    <author>tc={DDD73127-8A02-40F3-9DF5-7F7E46B4C9FD}</author>
    <author>tc={DCB06BE2-AD80-4915-8DC7-C0A6FFDD2B92}</author>
    <author>tc={63317CC3-6375-4946-881B-2FCAEA1FED90}</author>
    <author>tc={D94C0110-7953-4527-ABA0-1C8255C0CF53}</author>
    <author>tc={C50CFA85-2256-488D-AB6C-3AB3CB21C693}</author>
    <author>tc={70EDE8BD-CF3E-4E83-ACFC-4DCAFF053E83}</author>
    <author>tc={B40F14C3-EDA1-4AF9-8FEC-102A1F6781A1}</author>
  </authors>
  <commentList>
    <comment ref="A3" authorId="0" shapeId="0" xr:uid="{8305F79B-6A84-4A1A-83E9-9114709621D3}">
      <text>
        <t xml:space="preserve">[Threaded comment]
Your version of Excel allows you to read this threaded comment; however, any edits to it will get removed if the file is opened in a newer version of Excel. Learn more: https://go.microsoft.com/fwlink/?linkid=870924
Comment:
    Based on EEA data for summer quarter averaged over years 2002-2014.
</t>
      </text>
    </comment>
    <comment ref="A4" authorId="1" shapeId="0" xr:uid="{FBB8B89C-E47F-453B-A4C1-E47AEA3A664D}">
      <text>
        <t xml:space="preserve">[Threaded comment]
Your version of Excel allows you to read this threaded comment; however, any edits to it will get removed if the file is opened in a newer version of Excel. Learn more: https://go.microsoft.com/fwlink/?linkid=870924
Comment:
    Ranking from most water scarce (#1) to least water scarce (#105) of the data that was collected for 105 EU river basins.
</t>
      </text>
    </comment>
    <comment ref="G5" authorId="2" shapeId="0" xr:uid="{B04F7656-A680-4AD2-AA14-D389DEB9F676}">
      <text>
        <t xml:space="preserve">[Threaded comment]
Your version of Excel allows you to read this threaded comment; however, any edits to it will get removed if the file is opened in a newer version of Excel. Learn more: https://go.microsoft.com/fwlink/?linkid=870924
Comment:
    In the absence of a specific building use factor - a default factor of 335 days/annum is suggested.
</t>
      </text>
    </comment>
    <comment ref="Q6" authorId="3" shapeId="0" xr:uid="{D4F337F4-1961-4E42-B1DA-33330B34013F}">
      <text>
        <t xml:space="preserve">[Threaded comment]
Your version of Excel allows you to read this threaded comment; however, any edits to it will get removed if the file is opened in a newer version of Excel. Learn more: https://go.microsoft.com/fwlink/?linkid=870924
Comment:
    The rainwater calculation is simplified due to the need to have a single value to plug into the calculations - so annual data is used instead of monthly. It is assumed that the size of the rainwater storage tank is sufficient so as not to overflow at any point.
</t>
      </text>
    </comment>
    <comment ref="G7" authorId="4" shapeId="0" xr:uid="{8585C15B-346F-4144-BC39-378F8AFE6B26}">
      <text>
        <t>[Threaded comment]
Your version of Excel allows you to read this threaded comment; however, any edits to it will get removed if the file is opened in a newer version of Excel. Learn more: https://go.microsoft.com/fwlink/?linkid=870924
Comment:
    In absence of specific data, a default value of 7.5 L/full flush is suggested.
Note that default values for building assessment schemes vary from 6 to 10 L/full flush.</t>
      </text>
    </comment>
    <comment ref="I7" authorId="5" shapeId="0" xr:uid="{0993320D-E355-4051-A29C-95ECFB432445}">
      <text>
        <t xml:space="preserve">[Threaded comment]
Your version of Excel allows you to read this threaded comment; however, any edits to it will get removed if the file is opened in a newer version of Excel. Learn more: https://go.microsoft.com/fwlink/?linkid=870924
Comment:
    A default usage rate of 1 full flush/o/day is suggested.
</t>
      </text>
    </comment>
    <comment ref="G8" authorId="6" shapeId="0" xr:uid="{E3182772-2735-4448-B248-5EDB4818D30D}">
      <text>
        <t xml:space="preserve">[Threaded comment]
Your version of Excel allows you to read this threaded comment; however, any edits to it will get removed if the file is opened in a newer version of Excel. Learn more: https://go.microsoft.com/fwlink/?linkid=870924
Comment:
    If the toilet does not have a dual flush function, simply enter the same number that is used for the full flush.
If there is no specific data for the dual flush toilet, a default value of 4.5L is suggested.
</t>
      </text>
    </comment>
    <comment ref="I8" authorId="7" shapeId="0" xr:uid="{00A35328-16C5-4B63-AFF1-1AA58AE25D7E}">
      <text>
        <t>[Threaded comment]
Your version of Excel allows you to read this threaded comment; however, any edits to it will get removed if the file is opened in a newer version of Excel. Learn more: https://go.microsoft.com/fwlink/?linkid=870924
Comment:
    A default usage rate of 4 half-flushes/o/day is suggested.</t>
      </text>
    </comment>
    <comment ref="G9" authorId="8" shapeId="0" xr:uid="{DC243EBB-630F-4A17-9AFB-15CDCB7D4A5E}">
      <text>
        <t>[Threaded comment]
Your version of Excel allows you to read this threaded comment; however, any edits to it will get removed if the file is opened in a newer version of Excel. Learn more: https://go.microsoft.com/fwlink/?linkid=870924
Comment:
    In the absence of specific data, a default value of 10L/min is suggested.
Note that default values for building assessment schemes vary from 9 to 12 L/min.</t>
      </text>
    </comment>
    <comment ref="I9" authorId="9" shapeId="0" xr:uid="{E758251A-9F4B-482E-9621-9C90CCEFD48A}">
      <text>
        <t>[Threaded comment]
Your version of Excel allows you to read this threaded comment; however, any edits to it will get removed if the file is opened in a newer version of Excel. Learn more: https://go.microsoft.com/fwlink/?linkid=870924
Comment:
    A default usage rate of 75 seconds/o/day is suggested.</t>
      </text>
    </comment>
    <comment ref="Q9" authorId="10" shapeId="0" xr:uid="{04C67229-1A0C-4FCC-AA59-6C4A12FA19AD}">
      <text>
        <t xml:space="preserve">[Threaded comment]
Your version of Excel allows you to read this threaded comment; however, any edits to it will get removed if the file is opened in a newer version of Excel. Learn more: https://go.microsoft.com/fwlink/?linkid=870924
Comment:
    If you select the relevant Member State and river basin (cells B1  and B2 in the "Irrigation Calc" worksheet) then a value will automatically appear here. Alternatively you can enter you own value here if considered more accurate.
</t>
      </text>
    </comment>
    <comment ref="G10" authorId="11" shapeId="0" xr:uid="{3D29A315-215F-4E15-B1FD-F92C9DFF0AA5}">
      <text>
        <t>[Threaded comment]
Your version of Excel allows you to read this threaded comment; however, any edits to it will get removed if the file is opened in a newer version of Excel. Learn more: https://go.microsoft.com/fwlink/?linkid=870924
Comment:
    In the absence of specific data, a default value of 12L/min is suggested.
Note that default values for building assessment schemes vary from 9.5 to 15 L/min.</t>
      </text>
    </comment>
    <comment ref="I10" authorId="12" shapeId="0" xr:uid="{624C57E9-DEED-48FC-AC6E-5E3BF006584C}">
      <text>
        <t>[Threaded comment]
Your version of Excel allows you to read this threaded comment; however, any edits to it will get removed if the file is opened in a newer version of Excel. Learn more: https://go.microsoft.com/fwlink/?linkid=870924
Comment:
    A usage rate of 360 seconds/o/day (i.e. 6 minutes) is suggested.
Note that building assessment schemes have usage rates that vary from 300 to 369 seconds/o/day.</t>
      </text>
    </comment>
    <comment ref="G11" authorId="13" shapeId="0" xr:uid="{8113FDFD-E907-4619-B89C-7893253056D2}">
      <text>
        <t xml:space="preserve">[Threaded comment]
Your version of Excel allows you to read this threaded comment; however, any edits to it will get removed if the file is opened in a newer version of Excel. Learn more: https://go.microsoft.com/fwlink/?linkid=870924
Comment:
    In the absence of specific data, a full bath volume of 185L should be used
</t>
      </text>
    </comment>
    <comment ref="I11" authorId="14" shapeId="0" xr:uid="{53082C85-B929-41AC-85B8-61D6A07969F5}">
      <text>
        <t>[Threaded comment]
Your version of Excel allows you to read this threaded comment; however, any edits to it will get removed if the file is opened in a newer version of Excel. Learn more: https://go.microsoft.com/fwlink/?linkid=870924
Comment:
    A usage rate of 0.11 baths/o/d is suggested (i.e. one bath every 9 days).</t>
      </text>
    </comment>
    <comment ref="Q11" authorId="15" shapeId="0" xr:uid="{5936F777-5CF8-4A82-AB66-B02312A4738C}">
      <text>
        <t xml:space="preserve">[Threaded comment]
Your version of Excel allows you to read this threaded comment; however, any edits to it will get removed if the file is opened in a newer version of Excel. Learn more: https://go.microsoft.com/fwlink/?linkid=870924
Comment:
    If rainwater is not collected, enter the value 0 here. Enter the total impermeable area over which rainfall is collected. This will most commonly only be the roof but may also include other paved areas.
</t>
      </text>
    </comment>
    <comment ref="G12" authorId="16" shapeId="0" xr:uid="{F6166A1B-5633-44E7-B2B2-B726F360A767}">
      <text>
        <t>[Threaded comment]
Your version of Excel allows you to read this threaded comment; however, any edits to it will get removed if the file is opened in a newer version of Excel. Learn more: https://go.microsoft.com/fwlink/?linkid=870924
Comment:
    In the absence of specific data, a default value of 12L/min is suggested.
Note that default values for building assessment schemes vary from 8.3 to 15 L/min.</t>
      </text>
    </comment>
    <comment ref="I12" authorId="17" shapeId="0" xr:uid="{BBD35D4C-BD1C-4668-A636-4E6C6A45148B}">
      <text>
        <t xml:space="preserve">[Threaded comment]
Your version of Excel allows you to read this threaded comment; however, any edits to it will get removed if the file is opened in a newer version of Excel. Learn more: https://go.microsoft.com/fwlink/?linkid=870924
Comment:
    A default usage rate of 240 seconds/o/day is suggested.
</t>
      </text>
    </comment>
    <comment ref="G15" authorId="18" shapeId="0" xr:uid="{78CE5EEC-160E-41C7-B1C7-E30ED2D20E8E}">
      <text>
        <t>[Threaded comment]
Your version of Excel allows you to read this threaded comment; however, any edits to it will get removed if the file is opened in a newer version of Excel. Learn more: https://go.microsoft.com/fwlink/?linkid=870924
Comment:
    In absence of specific data, a default value of 11.5 L/cycle is suggested.</t>
      </text>
    </comment>
    <comment ref="I15" authorId="19" shapeId="0" xr:uid="{FD95C338-27B1-4D20-8FE0-C9680271EA3F}">
      <text>
        <t xml:space="preserve">[Threaded comment]
Your version of Excel allows you to read this threaded comment; however, any edits to it will get removed if the file is opened in a newer version of Excel. Learn more: https://go.microsoft.com/fwlink/?linkid=870924
Comment:
    In absence of specific data, a default value of 0.4 cycles/o/day is suggested.
</t>
      </text>
    </comment>
    <comment ref="G16" authorId="20" shapeId="0" xr:uid="{20701B3E-C3CA-4D8E-8DB2-2C54A16D5313}">
      <text>
        <t>[Threaded comment]
Your version of Excel allows you to read this threaded comment; however, any edits to it will get removed if the file is opened in a newer version of Excel. Learn more: https://go.microsoft.com/fwlink/?linkid=870924
Comment:
    In absence of specific data, a default value of 43.5 L/cycle is suggested.</t>
      </text>
    </comment>
    <comment ref="I16" authorId="21" shapeId="0" xr:uid="{BD9CE421-4110-4D42-A9A0-8C631C0A82A7}">
      <text>
        <t xml:space="preserve">[Threaded comment]
Your version of Excel allows you to read this threaded comment; however, any edits to it will get removed if the file is opened in a newer version of Excel. Learn more: https://go.microsoft.com/fwlink/?linkid=870924
Comment:
    In absence of specific data, a default value of 0.3 cycles/o/day is suggested.
</t>
      </text>
    </comment>
    <comment ref="Q17" authorId="22" shapeId="0" xr:uid="{499646AC-8D17-41A1-AA8E-990B092DA511}">
      <text>
        <t xml:space="preserve">[Threaded comment]
Your version of Excel allows you to read this threaded comment; however, any edits to it will get removed if the file is opened in a newer version of Excel. Learn more: https://go.microsoft.com/fwlink/?linkid=870924
Comment:
    To account for factors such as first flush diversion and evaporation of small quantities of rainfall on the collection surface. A yield factor of 0.7 (i.e. 70%) is suggested in line with the suggestion in the UK Government Water Efficiency Calculator. However, alternative yield factors can be specified here (1.00 &gt; 0.01).
</t>
      </text>
    </comment>
    <comment ref="F18" authorId="23" shapeId="0" xr:uid="{5A518CB4-EA27-454D-9807-679D4E09413D}">
      <text>
        <t>[Threaded comment]
Your version of Excel allows you to read this threaded comment; however, any edits to it will get removed if the file is opened in a newer version of Excel. Learn more: https://go.microsoft.com/fwlink/?linkid=870924
Comment:
    If water consumed by irrigation is deemed relevant and users wish to report on this - calculations should be made using the worksheet titled "Irrigation Calc." to generate the number required here.</t>
      </text>
    </comment>
    <comment ref="G18" authorId="24" shapeId="0" xr:uid="{4CC906C2-BD9B-4B11-89CD-F37D5B5747DD}">
      <text>
        <t>[Threaded comment]
Your version of Excel allows you to read this threaded comment; however, any edits to it will get removed if the file is opened in a newer version of Excel. Learn more: https://go.microsoft.com/fwlink/?linkid=870924
Comment:
    Directly imported from the "Irrigation Calc." worksheet. Note that this "daily" value is taken from the annual irrigation value, being split evenly over the 365 days for ease of reporting.
Can be overwritten if the estimate can be done in a preferred way.</t>
      </text>
    </comment>
    <comment ref="K18" authorId="25" shapeId="0" xr:uid="{B0AD1FE7-B75C-4EC5-9844-D2CD424A03B7}">
      <text>
        <t>[Threaded comment]
Your version of Excel allows you to read this threaded comment; however, any edits to it will get removed if the file is opened in a newer version of Excel. Learn more: https://go.microsoft.com/fwlink/?linkid=870924
Comment:
    Directly imported from the "Irrigation Calc." worksheet. The total number of users that share the irrigated area is defined there (it may not always be the same number as the house/flat occupants. This allows the L/d value to be converted to L/o/d.
If not calculated via the "Irrigation Calc." worksheet, the value here should be G18 divided by the number of occupants served by the irrigated area(s).</t>
      </text>
    </comment>
    <comment ref="N21" authorId="26" shapeId="0" xr:uid="{3C2ABC25-6238-478C-8B89-A1CF06714CF2}">
      <text>
        <t xml:space="preserve">[Threaded comment]
Your version of Excel allows you to read this threaded comment; however, any edits to it will get removed if the file is opened in a newer version of Excel. Learn more: https://go.microsoft.com/fwlink/?linkid=870924
Comment:
    If the total greywater collected exceeds that which is needed, then the factor is reduced to 1.0 - since 100% of greywater demand will be met. 
If total greywater collected is not enough to meet greywater demand, then the factor will be less than 1.0. </t>
      </text>
    </comment>
    <comment ref="G53" authorId="27" shapeId="0" xr:uid="{8A2DFCCE-AE30-4DC2-B748-041755B44C5A}">
      <text>
        <t xml:space="preserve">[Threaded comment]
Your version of Excel allows you to read this threaded comment; however, any edits to it will get removed if the file is opened in a newer version of Excel. Learn more: https://go.microsoft.com/fwlink/?linkid=870924
Comment:
    Enter value as a decimal, i.e. 100% male occupants =1.0; 90% = 0.9; 50% = 0.5 etc. 
</t>
      </text>
    </comment>
    <comment ref="I53" authorId="28" shapeId="0" xr:uid="{66961097-93DA-4026-B6F9-FE65FF40B71B}">
      <text>
        <t xml:space="preserve">[Threaded comment]
Your version of Excel allows you to read this threaded comment; however, any edits to it will get removed if the file is opened in a newer version of Excel. Learn more: https://go.microsoft.com/fwlink/?linkid=870924
Comment:
    Enter value as a decimal, i.e. 100% female occupants =1.0; 90% = 0.9; 50% = 0.5 etc.
</t>
      </text>
    </comment>
    <comment ref="L53" authorId="29" shapeId="0" xr:uid="{600B3799-698F-4FB4-B43F-C4DFF491741D}">
      <text>
        <t xml:space="preserve">[Threaded comment]
Your version of Excel allows you to read this threaded comment; however, any edits to it will get removed if the file is opened in a newer version of Excel. Learn more: https://go.microsoft.com/fwlink/?linkid=870924
Comment:
    Must be 1.0
</t>
      </text>
    </comment>
    <comment ref="G54" authorId="30" shapeId="0" xr:uid="{FE812C3F-F284-44F5-96B1-42AD41E87D7D}">
      <text>
        <t xml:space="preserve">[Threaded comment]
Your version of Excel allows you to read this threaded comment; however, any edits to it will get removed if the file is opened in a newer version of Excel. Learn more: https://go.microsoft.com/fwlink/?linkid=870924
Comment:
    In the absence of a specific building use factor - a default factor of 250 days/annum is suggested.
</t>
      </text>
    </comment>
    <comment ref="L54" authorId="31" shapeId="0" xr:uid="{8A005FAF-1A36-43F7-BE7F-7DA4CC909AA8}">
      <text>
        <t xml:space="preserve">[Threaded comment]
Your version of Excel allows you to read this threaded comment; however, any edits to it will get removed if the file is opened in a newer version of Excel. Learn more: https://go.microsoft.com/fwlink/?linkid=870924
Comment:
    The average % of occupants that use the shower at the office.
</t>
      </text>
    </comment>
    <comment ref="Q55" authorId="32" shapeId="0" xr:uid="{A69D02E1-1CC1-4F3A-AE92-F15EB1746BF4}">
      <text>
        <t xml:space="preserve">[Threaded comment]
Your version of Excel allows you to read this threaded comment; however, any edits to it will get removed if the file is opened in a newer version of Excel. Learn more: https://go.microsoft.com/fwlink/?linkid=870924
Comment:
    The rainwater calculation is simplified due to the need to have a single value to plug into the calculations - so annual data is used instead of monthly. It is assumed that the size of the rainwater storage tank is sufficient so as not to overflow at any point.
</t>
      </text>
    </comment>
    <comment ref="G56" authorId="33" shapeId="0" xr:uid="{D4C6C0EA-8FA2-46D3-8810-E1628E06DC71}">
      <text>
        <t xml:space="preserve">[Threaded comment]
Your version of Excel allows you to read this threaded comment; however, any edits to it will get removed if the file is opened in a newer version of Excel. Learn more: https://go.microsoft.com/fwlink/?linkid=870924
Comment:
    In absence of specific data, a default value of 7.5 L/full flush is suggested.
Note that default values for building assessment schemes vary from 6 to 10 L/full flush.
</t>
      </text>
    </comment>
    <comment ref="I56" authorId="34" shapeId="0" xr:uid="{678538D3-32D4-447E-82F7-B7BAD1469EF5}">
      <text>
        <t xml:space="preserve">[Threaded comment]
Your version of Excel allows you to read this threaded comment; however, any edits to it will get removed if the file is opened in a newer version of Excel. Learn more: https://go.microsoft.com/fwlink/?linkid=870924
Comment:
    In the absence of specific information about usage rates, a rate of 1 full flush/o/d is suggested
</t>
      </text>
    </comment>
    <comment ref="G57" authorId="35" shapeId="0" xr:uid="{F6139FA1-D263-4297-AD83-42D56425CF6B}">
      <text>
        <t xml:space="preserve">[Threaded comment]
Your version of Excel allows you to read this threaded comment; however, any edits to it will get removed if the file is opened in a newer version of Excel. Learn more: https://go.microsoft.com/fwlink/?linkid=870924
Comment:
    If the toilet does not have a dual flush function, simply enter the same number that is used for the full flush.
If there is no specific data for the dual flush toilet, a default value of 4.5L is suggested.
</t>
      </text>
    </comment>
    <comment ref="I57" authorId="36" shapeId="0" xr:uid="{B14BE147-C386-4A9E-94FC-808C7281BD47}">
      <text>
        <t xml:space="preserve">[Threaded comment]
Your version of Excel allows you to read this threaded comment; however, any edits to it will get removed if the file is opened in a newer version of Excel. Learn more: https://go.microsoft.com/fwlink/?linkid=870924
Comment:
    In the absence of specific usage rate data, a value of 2 small flushes per female occupant is suggested.
</t>
      </text>
    </comment>
    <comment ref="G58" authorId="37" shapeId="0" xr:uid="{41CC49A7-FE33-4146-BB8E-9C3924E7B9F8}">
      <text>
        <t xml:space="preserve">[Threaded comment]
Your version of Excel allows you to read this threaded comment; however, any edits to it will get removed if the file is opened in a newer version of Excel. Learn more: https://go.microsoft.com/fwlink/?linkid=870924
Comment:
    In absence of specific data, a default value of 3.0 L/flush is suggested.
Note that default values for building assessment schemes vary from 3 to 3.8 L/flush and in one case reports water consumption rate as 7.5-10L/hour.
</t>
      </text>
    </comment>
    <comment ref="I58" authorId="38" shapeId="0" xr:uid="{BDC69F3E-AB57-4E19-A76A-43AFBAA0450F}">
      <text>
        <t>[Threaded comment]
Your version of Excel allows you to read this threaded comment; however, any edits to it will get removed if the file is opened in a newer version of Excel. Learn more: https://go.microsoft.com/fwlink/?linkid=870924
Comment:
    In the absence of specific usage rate data, a value of 2 urinal flushes per male occupant is suggested.</t>
      </text>
    </comment>
    <comment ref="Q58" authorId="39" shapeId="0" xr:uid="{C67F1DAA-D132-4222-A1F2-5B06A116FA2F}">
      <text>
        <t xml:space="preserve">[Threaded comment]
Your version of Excel allows you to read this threaded comment; however, any edits to it will get removed if the file is opened in a newer version of Excel. Learn more: https://go.microsoft.com/fwlink/?linkid=870924
Comment:
    If you select the relevant Member State and river basin (cells B1  and B2 in the "Irrigation Calc" worksheet) then a value will automatically appear here. Alternatively you can enter you own value here if considered more accurate.
</t>
      </text>
    </comment>
    <comment ref="G59" authorId="40" shapeId="0" xr:uid="{D96A6B60-1593-4191-B913-3C89E5B22E7A}">
      <text>
        <t xml:space="preserve">[Threaded comment]
Your version of Excel allows you to read this threaded comment; however, any edits to it will get removed if the file is opened in a newer version of Excel. Learn more: https://go.microsoft.com/fwlink/?linkid=870924
Comment:
    In the absence of specific data, a default value of 10L/min is suggested.
Note that default values for building assessment schemes vary from 9 to 12 L/min.
</t>
      </text>
    </comment>
    <comment ref="I59" authorId="41" shapeId="0" xr:uid="{1D92796C-4CD8-4B6D-90A8-DE259DBC6186}">
      <text>
        <t xml:space="preserve">[Threaded comment]
Your version of Excel allows you to read this threaded comment; however, any edits to it will get removed if the file is opened in a newer version of Excel. Learn more: https://go.microsoft.com/fwlink/?linkid=870924
Comment:
    In the absence of specific usage rates, a default rate of 45 s/o/d is suggested.
</t>
      </text>
    </comment>
    <comment ref="G60" authorId="42" shapeId="0" xr:uid="{65A12C95-EC31-4FE0-9722-16D3D754108D}">
      <text>
        <t xml:space="preserve">[Threaded comment]
Your version of Excel allows you to read this threaded comment; however, any edits to it will get removed if the file is opened in a newer version of Excel. Learn more: https://go.microsoft.com/fwlink/?linkid=870924
Comment:
    In the absence of specific data, a default value of 12L/min is suggested.
Note that default values for building assessment schemes vary from 9.5 to 15 L/min.
</t>
      </text>
    </comment>
    <comment ref="I60" authorId="43" shapeId="0" xr:uid="{AD2E61F6-6722-4B49-95DE-A2A1707475BB}">
      <text>
        <t xml:space="preserve">[Threaded comment]
Your version of Excel allows you to read this threaded comment; however, any edits to it will get removed if the file is opened in a newer version of Excel. Learn more: https://go.microsoft.com/fwlink/?linkid=870924
Comment:
    In the absence of specifc usage rates, a default rate of 30 second/o/d based on the assumption of 10% of occupants using the shower and taking 5 minutes (300 seconds) each.
</t>
      </text>
    </comment>
    <comment ref="Q60" authorId="44" shapeId="0" xr:uid="{71CB3487-B264-45D9-BF06-7B469040D548}">
      <text>
        <t xml:space="preserve">[Threaded comment]
Your version of Excel allows you to read this threaded comment; however, any edits to it will get removed if the file is opened in a newer version of Excel. Learn more: https://go.microsoft.com/fwlink/?linkid=870924
Comment:
    If rainwater is not collected, enter the value 0 here. 
If rainwater is collected, enter the total impermeable area over which rainfall is collected. This will most commonly only be the roof but may also include other paved areas.
</t>
      </text>
    </comment>
    <comment ref="G61" authorId="45" shapeId="0" xr:uid="{26BD3AC2-698A-4E87-92DD-AD82D1DA6415}">
      <text>
        <t xml:space="preserve">[Threaded comment]
Your version of Excel allows you to read this threaded comment; however, any edits to it will get removed if the file is opened in a newer version of Excel. Learn more: https://go.microsoft.com/fwlink/?linkid=870924
Comment:
    In the absence of specific data, a default value of 12L/min is suggested.
Note that default values for building assessment schemes vary from 8.3 to 15 L/min.
</t>
      </text>
    </comment>
    <comment ref="I61" authorId="46" shapeId="0" xr:uid="{F18457E3-215B-4C40-BD77-8BD27707F69B}">
      <text>
        <t xml:space="preserve">[Threaded comment]
Your version of Excel allows you to read this threaded comment; however, any edits to it will get removed if the file is opened in a newer version of Excel. Learn more: https://go.microsoft.com/fwlink/?linkid=870924
Comment:
    In the absence of specific usage rates, a default rate of 30 s/o/d is suggested.
</t>
      </text>
    </comment>
    <comment ref="F63" authorId="47" shapeId="0" xr:uid="{482DA8F1-610D-4942-BE1E-340FECDFFD41}">
      <text>
        <t xml:space="preserve">[Threaded comment]
Your version of Excel allows you to read this threaded comment; however, any edits to it will get removed if the file is opened in a newer version of Excel. Learn more: https://go.microsoft.com/fwlink/?linkid=870924
Comment:
    If water consumed by irrigation is deemed relevant and users wish to report on this - calculations should be made using the worksheet titled "Irrigation Calc." to generate the number required here.
</t>
      </text>
    </comment>
    <comment ref="G63" authorId="48" shapeId="0" xr:uid="{75B91F57-81BD-4C77-875E-13938644F308}">
      <text>
        <t xml:space="preserve">[Threaded comment]
Your version of Excel allows you to read this threaded comment; however, any edits to it will get removed if the file is opened in a newer version of Excel. Learn more: https://go.microsoft.com/fwlink/?linkid=870924
Comment:
    Note that this "daily" value is taken from the annual value, which in turn is calculated by data on a monthly time resolution (as detailed in the "Irrigation Calc." worksheet).
</t>
      </text>
    </comment>
    <comment ref="K63" authorId="49" shapeId="0" xr:uid="{B1B0468E-F23E-4F62-B81F-3C92114E980B}">
      <text>
        <t xml:space="preserve">[Threaded comment]
Your version of Excel allows you to read this threaded comment; however, any edits to it will get removed if the file is opened in a newer version of Excel. Learn more: https://go.microsoft.com/fwlink/?linkid=870924
Comment:
    If water consumed by irrigation is deemed relevant and users wish to report on this - calculations should be made using the worksheet titled "Irrigation Calc." to generate the number required here.
</t>
      </text>
    </comment>
    <comment ref="G64" authorId="50" shapeId="0" xr:uid="{03308451-8B2D-4DA7-BD58-FC3A88358E8D}">
      <text>
        <t>[Threaded comment]
Your version of Excel allows you to read this threaded comment; however, any edits to it will get removed if the file is opened in a newer version of Excel. Learn more: https://go.microsoft.com/fwlink/?linkid=870924
Comment:
    Should equate to the number of full time equivalent users of the building that is cleaned.
A default value &gt;0 is necessary even if cleaning water consumption is not to be calculated.</t>
      </text>
    </comment>
    <comment ref="Q64" authorId="51" shapeId="0" xr:uid="{AF9DDC99-CF16-4C2E-A732-7D44D0CABD6E}">
      <text>
        <t xml:space="preserve">[Threaded comment]
Your version of Excel allows you to read this threaded comment; however, any edits to it will get removed if the file is opened in a newer version of Excel. Learn more: https://go.microsoft.com/fwlink/?linkid=870924
Comment:
    To account for factors such as first flush diversion and evaporation of small quantities of rainfall on the collection surface. A yield factor of 0.7 is suggested in line with the suggestion in the UK Government Water Efficiency Calculator 
</t>
      </text>
    </comment>
    <comment ref="G65" authorId="52" shapeId="0" xr:uid="{AA70706C-DE81-4B53-BC77-676BE9E9BBCB}">
      <text>
        <t xml:space="preserve">[Threaded comment]
Your version of Excel allows you to read this threaded comment; however, any edits to it will get removed if the file is opened in a newer version of Excel. Learn more: https://go.microsoft.com/fwlink/?linkid=870924
Comment:
    Corresponds to floor area with hard coverings - i.e. not carpeted.
</t>
      </text>
    </comment>
    <comment ref="I65" authorId="53" shapeId="0" xr:uid="{DB3833D1-8785-49CF-A4C1-CE215CBA2D26}">
      <text>
        <t xml:space="preserve">[Threaded comment]
Your version of Excel allows you to read this threaded comment; however, any edits to it will get removed if the file is opened in a newer version of Excel. Learn more: https://go.microsoft.com/fwlink/?linkid=870924
Comment:
    Based on a simplified version of DGNB approach – that all washable floors are washed once per week, consuming 6.25 L/m2/yr
</t>
      </text>
    </comment>
    <comment ref="I66" authorId="54" shapeId="0" xr:uid="{BFE9405A-4A91-4721-AC04-0DB2464D960A}">
      <text>
        <t xml:space="preserve">[Threaded comment]
Your version of Excel allows you to read this threaded comment; however, any edits to it will get removed if the file is opened in a newer version of Excel. Learn more: https://go.microsoft.com/fwlink/?linkid=870924
Comment:
    Based on a simplified version of DGNB approach – that all windows are washed twice per year (on inside and on outside) consuming a total of 1.2 L/m2/yr
</t>
      </text>
    </comment>
    <comment ref="Q66" authorId="55" shapeId="0" xr:uid="{DDD73127-8A02-40F3-9DF5-7F7E46B4C9FD}">
      <text>
        <t xml:space="preserve">[Threaded comment]
Your version of Excel allows you to read this threaded comment; however, any edits to it will get removed if the file is opened in a newer version of Excel. Learn more: https://go.microsoft.com/fwlink/?linkid=870924
Comment:
    To account for factors such as first flush diversion and evaporation of small quantities of rainfall on the collection surface. A yield factor of 0.7 (i.e. 70%) is suggested in line with the suggestion in the UK Government Water Efficiency Calculator. However, alternative yield factors can be specified here (1.00 &gt; 0.01).
</t>
      </text>
    </comment>
    <comment ref="K67" authorId="56" shapeId="0" xr:uid="{DCB06BE2-AD80-4915-8DC7-C0A6FFDD2B92}">
      <text>
        <t>[Threaded comment]
Your version of Excel allows you to read this threaded comment; however, any edits to it will get removed if the file is opened in a newer version of Excel. Learn more: https://go.microsoft.com/fwlink/?linkid=870924
Comment:
    Make sure that a value &gt;0 has been entered in cell G64 to prevent the DIV/0! appearing</t>
      </text>
    </comment>
    <comment ref="J68" authorId="57" shapeId="0" xr:uid="{63317CC3-6375-4946-881B-2FCAEA1FED90}">
      <text>
        <t xml:space="preserve">[Threaded comment]
Your version of Excel allows you to read this threaded comment; however, any edits to it will get removed if the file is opened in a newer version of Excel. Learn more: https://go.microsoft.com/fwlink/?linkid=870924
Comment:
    Should equate to the number of full time equivalent users of the other water consuming feature.
A default value &gt;0 is necessary even if no other consumption is defined.
</t>
      </text>
    </comment>
    <comment ref="J69" authorId="58" shapeId="0" xr:uid="{D94C0110-7953-4527-ABA0-1C8255C0CF53}">
      <text>
        <t xml:space="preserve">[Threaded comment]
Your version of Excel allows you to read this threaded comment; however, any edits to it will get removed if the file is opened in a newer version of Excel. Learn more: https://go.microsoft.com/fwlink/?linkid=870924
Comment:
    Should equate to the number of full time equivalent users of the other water consuming feature.
A default value &gt;0 is necessary even if no other consumption is defined.
</t>
      </text>
    </comment>
    <comment ref="J70" authorId="59" shapeId="0" xr:uid="{C50CFA85-2256-488D-AB6C-3AB3CB21C693}">
      <text>
        <t xml:space="preserve">[Threaded comment]
Your version of Excel allows you to read this threaded comment; however, any edits to it will get removed if the file is opened in a newer version of Excel. Learn more: https://go.microsoft.com/fwlink/?linkid=870924
Comment:
    Should equate to the number of full time equivalent users of the other water consuming feature.
A default value &gt;0 is necessary even if no other consumption is defined.
</t>
      </text>
    </comment>
    <comment ref="K71" authorId="60" shapeId="0" xr:uid="{70EDE8BD-CF3E-4E83-ACFC-4DCAFF053E83}">
      <text>
        <t>[Threaded comment]
Your version of Excel allows you to read this threaded comment; however, any edits to it will get removed if the file is opened in a newer version of Excel. Learn more: https://go.microsoft.com/fwlink/?linkid=870924
Comment:
    Make sure that a value &gt;0 has been entered in cell J68, 69 and 70 to prevent the DIV/0! appearing</t>
      </text>
    </comment>
    <comment ref="N73" authorId="61" shapeId="0" xr:uid="{B40F14C3-EDA1-4AF9-8FEC-102A1F6781A1}">
      <text>
        <t xml:space="preserve">[Threaded comment]
Your version of Excel allows you to read this threaded comment; however, any edits to it will get removed if the file is opened in a newer version of Excel. Learn more: https://go.microsoft.com/fwlink/?linkid=870924
Comment:
    If the total greywater collected exceeds that which is needed, then the factor is reduced to 1.0 - since 100% of greywater demand will be met. 
If total greywater collected is not enough to meet greywater demand, then the factor will be less than 1.0.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tc={A717AD6C-6363-45C3-9D12-E015BAB1A465}</author>
    <author>tc={AE7D0475-3A5A-42BB-810E-B19BB7668BBC}</author>
  </authors>
  <commentList>
    <comment ref="D8" authorId="0" shapeId="0" xr:uid="{A717AD6C-6363-45C3-9D12-E015BAB1A465}">
      <text>
        <t>[Threaded comment]
Your version of Excel allows you to read this threaded comment; however, any edits to it will get removed if the file is opened in a newer version of Excel. Learn more: https://go.microsoft.com/fwlink/?linkid=870924
Comment:
    Estimate the charge for each refrigerant here. Leave as '0' if not used.</t>
      </text>
    </comment>
    <comment ref="E8" authorId="1" shapeId="0" xr:uid="{AE7D0475-3A5A-42BB-810E-B19BB7668BBC}">
      <text>
        <t>[Threaded comment]
Your version of Excel allows you to read this threaded comment; however, any edits to it will get removed if the file is opened in a newer version of Excel. Learn more: https://go.microsoft.com/fwlink/?linkid=870924
Comment:
    Estimate leakage rate here and explain the assumption in the Scenarios, Assumptions tab.</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<sst xmlns="http://schemas.openxmlformats.org/spreadsheetml/2006/main" count="4551" uniqueCount="1593">
  <si>
    <t>A4 - Transport distances:</t>
  </si>
  <si>
    <t>Distance by Road</t>
  </si>
  <si>
    <t>Distance by Sea</t>
  </si>
  <si>
    <t>Materials</t>
  </si>
  <si>
    <t>One-way (km)</t>
  </si>
  <si>
    <t>Bulk Material (Irish)</t>
  </si>
  <si>
    <t>Other Materials (Irish)</t>
  </si>
  <si>
    <t>Materials (Non-Irish)</t>
  </si>
  <si>
    <t>Transport Method</t>
  </si>
  <si>
    <t>Emissions Factor
kgCO2e/kg.km</t>
  </si>
  <si>
    <t>Source</t>
  </si>
  <si>
    <t>Road</t>
  </si>
  <si>
    <t>HGV (all diesel) average laden IStructE 2020</t>
  </si>
  <si>
    <t>Sea</t>
  </si>
  <si>
    <t>Average cargo/container ship IStructE 2020</t>
  </si>
  <si>
    <t>Column1</t>
  </si>
  <si>
    <t>One-way (km)2</t>
  </si>
  <si>
    <t>Type</t>
  </si>
  <si>
    <t>Refrigerant</t>
  </si>
  <si>
    <t>Global warming potential over 100 years (kg CO2eq) (Source:CIBSE TM65)</t>
  </si>
  <si>
    <t>CFC</t>
  </si>
  <si>
    <t xml:space="preserve">R11 </t>
  </si>
  <si>
    <t>HCFC</t>
  </si>
  <si>
    <t>R22</t>
  </si>
  <si>
    <t xml:space="preserve">R407c </t>
  </si>
  <si>
    <t>HFC</t>
  </si>
  <si>
    <t xml:space="preserve">R410a </t>
  </si>
  <si>
    <t xml:space="preserve">R134a </t>
  </si>
  <si>
    <t>R32</t>
  </si>
  <si>
    <t>HFO</t>
  </si>
  <si>
    <t xml:space="preserve">R1234yf </t>
  </si>
  <si>
    <t>R1234ze (E)</t>
  </si>
  <si>
    <t>Hydrocarbon Natural</t>
  </si>
  <si>
    <t xml:space="preserve">R290 (propane) </t>
  </si>
  <si>
    <t>Natural</t>
  </si>
  <si>
    <t>R744 (CO2)</t>
  </si>
  <si>
    <t xml:space="preserve">R717 (ammonia) </t>
  </si>
  <si>
    <t>R718 (water)</t>
  </si>
  <si>
    <t>Annual Demand kWh</t>
  </si>
  <si>
    <t xml:space="preserve"> x Primary  Factor Forecast</t>
  </si>
  <si>
    <t>Primary kWh</t>
  </si>
  <si>
    <t>x Carbon Factor (g/kWh)</t>
  </si>
  <si>
    <t>Gasoil / Diesel</t>
  </si>
  <si>
    <t>Residual Oil / Fuel Oil</t>
  </si>
  <si>
    <t>LPG</t>
  </si>
  <si>
    <t>Naphta</t>
  </si>
  <si>
    <t>Petroleum Coke 2020</t>
  </si>
  <si>
    <t>Coal</t>
  </si>
  <si>
    <t>Milled Peat 2020</t>
  </si>
  <si>
    <t>Sod Peat</t>
  </si>
  <si>
    <t>Peat Briquettes</t>
  </si>
  <si>
    <t>Natural Gas 2021</t>
  </si>
  <si>
    <t>Wood Pellets*</t>
  </si>
  <si>
    <t>Primary  Factor Forecast</t>
  </si>
  <si>
    <t>Carbon Factor (g/kWh)</t>
  </si>
  <si>
    <t>Electricity grid:</t>
  </si>
  <si>
    <t>Year</t>
  </si>
  <si>
    <t>Demand kWh</t>
  </si>
  <si>
    <t>x Carbon Factor Forecast (g/kWh)</t>
  </si>
  <si>
    <t>Carbon Factor Forecast (g/kWh)</t>
  </si>
  <si>
    <t xml:space="preserve">CARBON FACTOR - </t>
  </si>
  <si>
    <t xml:space="preserve">kgCO2e/m3 </t>
  </si>
  <si>
    <t>Refers to energy usage associated with the pumping and treatment of water</t>
  </si>
  <si>
    <t>Carbon Factor - energy usage associated with the pumping and treatment of water</t>
  </si>
  <si>
    <t>Unit</t>
  </si>
  <si>
    <t>Column2</t>
  </si>
  <si>
    <t>Column3</t>
  </si>
  <si>
    <t>Carbon Factor</t>
  </si>
  <si>
    <t>Fuel</t>
  </si>
  <si>
    <t>Carbon Factor:</t>
  </si>
  <si>
    <t>kgCO2e/m2</t>
  </si>
  <si>
    <t>Recycling (off-site)</t>
  </si>
  <si>
    <t>Energy recovery</t>
  </si>
  <si>
    <t>Disposal (landfill)</t>
  </si>
  <si>
    <t>Metals</t>
  </si>
  <si>
    <t>Segregated wood, glass, plastic</t>
  </si>
  <si>
    <t>Concrete, brick, tile &amp; gypsum</t>
  </si>
  <si>
    <t>Bituminous mixtures</t>
  </si>
  <si>
    <t>Mixed C&amp;D waste</t>
  </si>
  <si>
    <t>Soils, stones &amp; dredging spoils</t>
  </si>
  <si>
    <t>Waste treatment residues</t>
  </si>
  <si>
    <t>Waste type 1</t>
  </si>
  <si>
    <t>Waste to Landfill</t>
  </si>
  <si>
    <t>EPD Ireland 2021</t>
  </si>
  <si>
    <t>Waste to energy plant</t>
  </si>
  <si>
    <t>Waste for recycling</t>
  </si>
  <si>
    <t>(iStructE, 2020)</t>
  </si>
  <si>
    <t>Waste to backfill</t>
  </si>
  <si>
    <t xml:space="preserve">Waste transport distances </t>
  </si>
  <si>
    <t>Waste transport method</t>
  </si>
  <si>
    <t>Final disposal method</t>
  </si>
  <si>
    <t>Material</t>
  </si>
  <si>
    <t>Recycle EF (Closed Loop)</t>
  </si>
  <si>
    <t>Incineration EF</t>
  </si>
  <si>
    <t>Metal</t>
  </si>
  <si>
    <t>Wood</t>
  </si>
  <si>
    <t>Glass</t>
  </si>
  <si>
    <t>Insulation (synthetic)</t>
  </si>
  <si>
    <t>Insulation (non-synthetic)</t>
  </si>
  <si>
    <t>Concrete</t>
  </si>
  <si>
    <t>Bricks and tiles</t>
  </si>
  <si>
    <t>Plasterboard</t>
  </si>
  <si>
    <t>Average construction</t>
  </si>
  <si>
    <t>Plastics</t>
  </si>
  <si>
    <t>Aggregates</t>
  </si>
  <si>
    <t>Landfill EF</t>
  </si>
  <si>
    <t>Backfilling EF</t>
  </si>
  <si>
    <t>Defra 2022 Waste Disposal Factors (kgCO2e/kg)</t>
  </si>
  <si>
    <t>Material Type</t>
  </si>
  <si>
    <t>Waste Type 1</t>
  </si>
  <si>
    <t>Waste Type 2</t>
  </si>
  <si>
    <t>Data Type</t>
  </si>
  <si>
    <t>A1-3 GWP (kgCO2e/kg)</t>
  </si>
  <si>
    <t>Sequestration (kgCO2e/kg)</t>
  </si>
  <si>
    <t>Data Source</t>
  </si>
  <si>
    <t>Data Quality Score</t>
  </si>
  <si>
    <t>EPD Link</t>
  </si>
  <si>
    <t>Comment</t>
  </si>
  <si>
    <t xml:space="preserve">Aggregate - Average Aggregate </t>
  </si>
  <si>
    <t>Generic</t>
  </si>
  <si>
    <t>CAR REPORT</t>
  </si>
  <si>
    <t>Asphalt -  3% (bitumen) binder content (by mass)</t>
  </si>
  <si>
    <t>ICE DATABASE</t>
  </si>
  <si>
    <t>Asphalt -  3.5% binder content</t>
  </si>
  <si>
    <t>Asphalt -  4% binder content</t>
  </si>
  <si>
    <t>Asphalt -  4.5% binder content</t>
  </si>
  <si>
    <t>Asphalt -  5% binder content</t>
  </si>
  <si>
    <t>Asphalt -  5.5% binder content</t>
  </si>
  <si>
    <t>Asphalt -  6% binder content</t>
  </si>
  <si>
    <t>Asphalt -  6.5% binder content</t>
  </si>
  <si>
    <t>Asphalt -  7% binder content</t>
  </si>
  <si>
    <t xml:space="preserve">Bitumen - Straight-run </t>
  </si>
  <si>
    <t>Bitumen - Polymer modified  (PMB)</t>
  </si>
  <si>
    <t>Bitumen - Emulsion</t>
  </si>
  <si>
    <t>Boards - Irish produced OSB - see Smartply EPD* (600kg/m3)</t>
  </si>
  <si>
    <t>https://www.igbc.ie/wp-content/uploads/2019/11/EPD-MEDITE-SMARTPLY-EPDIE-19-17_reissue-29-10-2021.pdf</t>
  </si>
  <si>
    <t>Boards - Irish produced MDF - interior (MEDITE TRADE EPD)*</t>
  </si>
  <si>
    <t>https://www.igbc.ie/wp-content/uploads/2021/03/EPD-Medite-Trade-12-03-2021-EPDIE-21-38.pdf</t>
  </si>
  <si>
    <t>Boards - Irish produced MDF - exterior (MEDITE EXTERIOR EPD)*</t>
  </si>
  <si>
    <t>https://www.igbc.ie/wp-content/uploads/2021/03/EPD-Medite-Exterior-12-03-2021-EPDIE-21-32.pdf</t>
  </si>
  <si>
    <t>Boards - Irish produced MDF - average*</t>
  </si>
  <si>
    <t>Boards - Imported MDF (737kg/m3)</t>
  </si>
  <si>
    <t>Boards - Imported chipboard particleboard (640kg/m3)</t>
  </si>
  <si>
    <t>Boards - Imported plywood (681kg/m3)</t>
  </si>
  <si>
    <t>Brick - Facing brick imported from the UK (excl transport)</t>
  </si>
  <si>
    <t>Cement - Average Cement for Ireland≠</t>
  </si>
  <si>
    <t>≠ Based on estimated weighted average amounts of different cements used</t>
  </si>
  <si>
    <t>Cement - CEM I produced in Ireland*</t>
  </si>
  <si>
    <t>CMI</t>
  </si>
  <si>
    <t>https://www.igbc.ie/wp-content/uploads/2022/03/EPD-CMI-CEM-I-11-03-2022-EPDIE-21-52.pdf</t>
  </si>
  <si>
    <t>https://www.igbc.ie/wp-content/uploads/2022/03/EPD-CMI-CEM-II-11-03-2022-EPDIE-21-53.pdf</t>
  </si>
  <si>
    <t>Cement - CEM II A-D (&lt;10% silica fume)</t>
  </si>
  <si>
    <t>Cement - CEM II/B-S (&lt;35% GGBS)</t>
  </si>
  <si>
    <t>Cement - Average CEM II</t>
  </si>
  <si>
    <t>Cement - CEM III/A (35-60% GGBS)</t>
  </si>
  <si>
    <t>Cement - CEM III/B (66-80% GGBS)</t>
  </si>
  <si>
    <t>Ceramics - Ceramics - General</t>
  </si>
  <si>
    <t>Ceramics - Ceramics - Fittings</t>
  </si>
  <si>
    <t xml:space="preserve">Ceramics - Ceramics - Sanitary Products </t>
  </si>
  <si>
    <t>Ceramics - Ceramics - Tiles and Cladding Panels</t>
  </si>
  <si>
    <t>Clay - General (Simple Baked Products)</t>
  </si>
  <si>
    <t>Clay - Tile</t>
  </si>
  <si>
    <t>Clay - Vitrified clay pipe DN 100 &amp; DN 150</t>
  </si>
  <si>
    <t>Clay - Vitrified clay pipe DN 200 &amp; DN 300</t>
  </si>
  <si>
    <t>Clay - Vitrified clay pipe DN 500</t>
  </si>
  <si>
    <t>Concrete - In-situ, GEN 0 (6/8 MPa)</t>
  </si>
  <si>
    <t xml:space="preserve">Concrete - In-situ, GEN 0 (6/8 MPa)  25%GGBS </t>
  </si>
  <si>
    <t xml:space="preserve">Concrete - In-situ, GEN 0 (6/8 MPa)  50%GGBS </t>
  </si>
  <si>
    <t xml:space="preserve">Concrete - In-situ, GEN 0 (6/8 MPa) 70% GGBS </t>
  </si>
  <si>
    <t>Concrete - In-situ, GEN 1 (8/10 MPa)</t>
  </si>
  <si>
    <t xml:space="preserve">Concrete - In-situ, GEN 1 (8/10 MPa)  25%GGBS </t>
  </si>
  <si>
    <t xml:space="preserve">Concrete - In-situ, GEN 1 (8/10 MPa)  50%GGBS </t>
  </si>
  <si>
    <t xml:space="preserve">Concrete - In-situ, GEN 1 (8/10 MPa) 70% GGBS </t>
  </si>
  <si>
    <t>Concrete - In-situ, GEN 2 (12/15 MPa)</t>
  </si>
  <si>
    <t xml:space="preserve">Concrete - In-situ, GEN 2 (12/15 MPa) 25%GGBS </t>
  </si>
  <si>
    <t xml:space="preserve">Concrete - In-situ, GEN 2 (12/15 MPa)  50%GGBS </t>
  </si>
  <si>
    <t xml:space="preserve">Concrete - In-situ, GEN 2 (12/15 MPa) 70% GGBS </t>
  </si>
  <si>
    <t>Concrete - In-situ, GEN 3 (16/20 MPa)</t>
  </si>
  <si>
    <t xml:space="preserve">Concrete - In-situ, GEN 3 (16/20 M Pa) 25%GGBS </t>
  </si>
  <si>
    <t xml:space="preserve">Concrete - In-situ, GEN 3 (16/20 MPa)  50%GGBS </t>
  </si>
  <si>
    <t xml:space="preserve">Concrete - In-situ, GEN 3 (16/20 MPa) 70% GGBS </t>
  </si>
  <si>
    <t>Concrete - In-situ, 20/25 MPa</t>
  </si>
  <si>
    <t>Concrete - In-situ, 25/30 MPa</t>
  </si>
  <si>
    <t>Concrete - In-situ, 28/35 MPa</t>
  </si>
  <si>
    <t>Concrete - In-situ, 32/40 MPa</t>
  </si>
  <si>
    <t>Concrete - In-situ, 35/45 MPa</t>
  </si>
  <si>
    <t>Concrete - In-situ, 40/50 MPa</t>
  </si>
  <si>
    <t>Concrete - In-situ, PAV1</t>
  </si>
  <si>
    <t xml:space="preserve">Concrete - In-situ, PAV1  25%GGBS </t>
  </si>
  <si>
    <t xml:space="preserve">Concrete - In-situ, PAV1 50%GGBS </t>
  </si>
  <si>
    <t xml:space="preserve">Concrete - In-situ, PAV1  70% GGBS </t>
  </si>
  <si>
    <t>Concrete - In-situ, PAV2</t>
  </si>
  <si>
    <t xml:space="preserve">Concrete - In-situ, PAV2  25%GGBS </t>
  </si>
  <si>
    <t>Concrete - In-situ, PAV2 50%GGBS</t>
  </si>
  <si>
    <t xml:space="preserve">Concrete - In-situ, PAV2  70% GGBS </t>
  </si>
  <si>
    <t xml:space="preserve">Concrete - In-situ, RC 20/25 (20/25 MPa)  25%GGBS </t>
  </si>
  <si>
    <t xml:space="preserve">Concrete - In-situ, RC 25/30 (25/30 MPa)  25%GGBS </t>
  </si>
  <si>
    <t xml:space="preserve">Concrete - In-situ, RC 28/35 (28/35 MPa)  25%GGBS </t>
  </si>
  <si>
    <t xml:space="preserve">Concrete - In-situ, RC 32/40 (32/40 MPa)  25%GGBS </t>
  </si>
  <si>
    <t xml:space="preserve">Concrete - In-situ, RC 35/45 (35/45 MPa)  25%GGBS </t>
  </si>
  <si>
    <t xml:space="preserve">Concrete - In-situ, RC 40/50 (40/50 MPa)  25%GGBS </t>
  </si>
  <si>
    <t xml:space="preserve">Concrete - In-situ, RC 20/25 (20/25 MPa)  50%GGBS </t>
  </si>
  <si>
    <t xml:space="preserve">Concrete - In-situ, RC 25/30 (25/30 MPa)  50%GGBS </t>
  </si>
  <si>
    <t xml:space="preserve">Concrete - In-situ, RC 28/35 (28/35 MPa)  50%GGBS </t>
  </si>
  <si>
    <t xml:space="preserve">Concrete - In-situ, RC 32/40 (32/40 MPa)  50%GGBS </t>
  </si>
  <si>
    <t xml:space="preserve">Concrete - In-situ, RC 35/45 (35/45 MPa)  50%GGBS </t>
  </si>
  <si>
    <t xml:space="preserve">Concrete - In-situ, RC 40/50 (40/50 MPa)  50%GGBS </t>
  </si>
  <si>
    <t xml:space="preserve">Concrete - In-situ, RC 20/25 (20/25 MPa)  70% GGBS </t>
  </si>
  <si>
    <t xml:space="preserve">Concrete - In-situ, RC 25/30 (25/30 MPa)  70% GGBS </t>
  </si>
  <si>
    <t xml:space="preserve">Concrete - In-situ, RC 28/35 (28/35 MPa)  70% GGBS </t>
  </si>
  <si>
    <t xml:space="preserve">Concrete - In-situ, RC 32/40 (32/40 MPa)  70% GGBS </t>
  </si>
  <si>
    <t xml:space="preserve">Concrete - In-situ, RC 35/45 (35/45 MPa)  70% GGBS </t>
  </si>
  <si>
    <t xml:space="preserve">Concrete - In-situ, RC 40/50 (40/50 MPa)  70% GGBS </t>
  </si>
  <si>
    <t>Concrete - Precast - Pipe, DN600 unreinforced</t>
  </si>
  <si>
    <t>Concrete - Precast - Pipe, DN600 unreinforced per kg</t>
  </si>
  <si>
    <t>Concrete - Precast - Paving (Blocks, Slabs, Channels and Kerbs)</t>
  </si>
  <si>
    <t>Concrete - Precast - Beams and columns -steel reinforced with world average steel</t>
  </si>
  <si>
    <t>Concrete - Precast - Beams and columns -steel reinforced with European recycled steel</t>
  </si>
  <si>
    <t>Concrete - Precast - Hollowcore concrete flooring, 150mm, prestressed steel reinforced with world average steel</t>
  </si>
  <si>
    <t>Concrete - Precast - Hollowcore concrete flooring, 150mm, prestressed steel reinforced  with European recycled steel</t>
  </si>
  <si>
    <t>Concrete blocks (medium or high density)</t>
  </si>
  <si>
    <t>CIRCULARECOLOGY</t>
  </si>
  <si>
    <t>Concrete Block - Lightweight concrete blocks - AAC - Autoclaved Aerated Concrete(AAC)</t>
  </si>
  <si>
    <t>Concrete Block - Walls - With medium density solid blocks inc. mortar</t>
  </si>
  <si>
    <t>Concrete Block - Walls - With high density solid blocks inc. mortar</t>
  </si>
  <si>
    <t>Concrete Block - Walls - With cellular high density solid blocks inc. mortar</t>
  </si>
  <si>
    <t>Concrete Block - Walls - With hollowcore high density solid blocks inc. mortar</t>
  </si>
  <si>
    <t>Concrete Block - Walls - With lightweight AAC blocks inc. mortar</t>
  </si>
  <si>
    <t>Floor Finish - Carpeting - General Carpet</t>
  </si>
  <si>
    <t>Floor Finish - Carpeting - Felt (Hair and Jute) Underlay</t>
  </si>
  <si>
    <t>Floor Finish - Carpeting - Saturated Felt Underlay (impregnated with Asphalt or tar)</t>
  </si>
  <si>
    <t>Floor Finish - Carpeting - Wool carpet</t>
  </si>
  <si>
    <t>Floor Finish - Linoleum</t>
  </si>
  <si>
    <t>Floor Finish - Terrazzo Tiles</t>
  </si>
  <si>
    <t>Floor Finish - Vinyl flooring - General</t>
  </si>
  <si>
    <t xml:space="preserve">Glass - Float or coated glass </t>
  </si>
  <si>
    <t xml:space="preserve">Glass - Glazing, Double, per kg </t>
  </si>
  <si>
    <t xml:space="preserve">Glass - Glazing triple, per kg </t>
  </si>
  <si>
    <t xml:space="preserve">Glass - Toughened, per kg </t>
  </si>
  <si>
    <t xml:space="preserve">Glass - Multi layer safety, filled core, fire resistant, toughened, per kg </t>
  </si>
  <si>
    <t xml:space="preserve">Glass - Multi layer safety, unfilled, per kg </t>
  </si>
  <si>
    <t xml:space="preserve">Glass - Sky light or roof, with frame, per kg </t>
  </si>
  <si>
    <t>Insulation - EPS</t>
  </si>
  <si>
    <t>Insulation - PIR</t>
  </si>
  <si>
    <t>Insulation - Cellulose</t>
  </si>
  <si>
    <t>Insulation - Mineral wool</t>
  </si>
  <si>
    <t>Insulation - Sheepswool</t>
  </si>
  <si>
    <t>Insulation - Woodfibre</t>
  </si>
  <si>
    <t>Insulation - Hemp fibre insulation (https://www.environdec.com/library/epd1961)</t>
  </si>
  <si>
    <t>Insulation - General (unspecified)</t>
  </si>
  <si>
    <t>Insulation - Cork</t>
  </si>
  <si>
    <t>Insulation - Fibreglass (Glasswool)</t>
  </si>
  <si>
    <t>Insulation - Paper wool</t>
  </si>
  <si>
    <t>Insulation - Polystyrene</t>
  </si>
  <si>
    <t>Insulation - Polyurethane</t>
  </si>
  <si>
    <t>Insulation - Rockwool</t>
  </si>
  <si>
    <t>Insulation - Woodwool (Board)</t>
  </si>
  <si>
    <t>Membrane - Damp Proof Course/Membrane</t>
  </si>
  <si>
    <t xml:space="preserve">Metals - Hot rolled steel coil </t>
  </si>
  <si>
    <t xml:space="preserve">Metals - Cold rolled coil </t>
  </si>
  <si>
    <t xml:space="preserve">Metals - Galvanised steel value </t>
  </si>
  <si>
    <t xml:space="preserve">Metals - Organic coated steel </t>
  </si>
  <si>
    <t>Metals - Steel section and steel rail value for Ireland</t>
  </si>
  <si>
    <t xml:space="preserve">Metals - Reinforcing steel </t>
  </si>
  <si>
    <t xml:space="preserve">Metals - Aluminium sheet </t>
  </si>
  <si>
    <t xml:space="preserve">Metals - Aluminium foil </t>
  </si>
  <si>
    <t xml:space="preserve">Metals - Aluminium extrusion </t>
  </si>
  <si>
    <t>Metals - Bronze</t>
  </si>
  <si>
    <t>Metals - Copper - EU Tube &amp; SheetEU Tube &amp; Sheet</t>
  </si>
  <si>
    <t>Metals -  Iron</t>
  </si>
  <si>
    <t>Metals - Lead</t>
  </si>
  <si>
    <t>Metals - Chromium</t>
  </si>
  <si>
    <t>Metals - Lithium</t>
  </si>
  <si>
    <t>Metals - Manganese</t>
  </si>
  <si>
    <t>Metals - Mercury</t>
  </si>
  <si>
    <t>Metals - Nickel</t>
  </si>
  <si>
    <t>Metals - Silver</t>
  </si>
  <si>
    <t>Metals - Steel, UO Pipe</t>
  </si>
  <si>
    <t>Metals - Steel, Tin-free Electrolytic Chrome Coated Steel Sheet - Tin-free (ECCS)</t>
  </si>
  <si>
    <t>Metals - Steel, electrogalvanized steel</t>
  </si>
  <si>
    <t>Metals - Steel, welded pipe</t>
  </si>
  <si>
    <t>Metals - Steel, Organic coated sheet</t>
  </si>
  <si>
    <t>Metals - Steel, Tinplate</t>
  </si>
  <si>
    <t>Metals - Steel, finished cold-rolled coil</t>
  </si>
  <si>
    <t>Metals - Steel, hot-dip galvanized steel</t>
  </si>
  <si>
    <t>Metals - Steel, Plate</t>
  </si>
  <si>
    <t>Metals - steel, Cold Rolled Coil</t>
  </si>
  <si>
    <t>Metals - Steel, pickled hot-rolled coil</t>
  </si>
  <si>
    <t>Metals - Steel, Wire rod</t>
  </si>
  <si>
    <t>Metals - Steel, Hot Rolled Coil</t>
  </si>
  <si>
    <t>Metals - Steel, Section</t>
  </si>
  <si>
    <t>Metals - Steel, Engineering steel</t>
  </si>
  <si>
    <t>Metals - Steel, global seamless tube</t>
  </si>
  <si>
    <t>Metals - Tin Coated Plate (Steel)</t>
  </si>
  <si>
    <t>Metals - Tin</t>
  </si>
  <si>
    <t>Metals - Titanium - Virgin</t>
  </si>
  <si>
    <t>Metals - Titanium - Recycled</t>
  </si>
  <si>
    <t>Metals - Zinc - Virgin</t>
  </si>
  <si>
    <t>Metals - Zinc - Recycled</t>
  </si>
  <si>
    <t>Miscelleneous - Lime</t>
  </si>
  <si>
    <t>Miscelleneous - Calcium Silicate Sheet</t>
  </si>
  <si>
    <t>Miscelleneous - Fly Ash</t>
  </si>
  <si>
    <t>Miscelleneous - Grit</t>
  </si>
  <si>
    <t>Miscelleneous - Ground Limestone</t>
  </si>
  <si>
    <t>Miscelleneous - Glass Reinforced Plastic - GRP - Fibreglass</t>
  </si>
  <si>
    <t>Miscelleneous - Slag (GGBS)</t>
  </si>
  <si>
    <t>Miscelleneous - Straw</t>
  </si>
  <si>
    <t>MiscelleneousPaperboard (General for construction use)</t>
  </si>
  <si>
    <t>Mortar - Mortar (1:3 cement:sand mix)</t>
  </si>
  <si>
    <t>Mortar - Mortar (1:4)</t>
  </si>
  <si>
    <t>Mortar - Mortar (1:5)</t>
  </si>
  <si>
    <t>Mortar - Mortar (1:6)</t>
  </si>
  <si>
    <t>Mortar - Mortar (1:½:4½ Cement:Lime:Sand mix)</t>
  </si>
  <si>
    <t>Mortar - Mortar (1:1:6 Cement:Lime:Sand mix)</t>
  </si>
  <si>
    <t>Mortar - Mortar (1:2:9 Cement:Lime:Sand mix)</t>
  </si>
  <si>
    <t>Paints, Sealants, Adhesives -Wood stain/Varnish</t>
  </si>
  <si>
    <t>Paints, Sealants, Adhesives -Paint</t>
  </si>
  <si>
    <t>Paints, Sealants, Adhesives -Paint - Waterborne paint</t>
  </si>
  <si>
    <t>Paints, Sealants, Adhesives -Paint - Solventborne paint</t>
  </si>
  <si>
    <t>Paints, Sealants, Adhesives -Epoxide Resin</t>
  </si>
  <si>
    <t>Paints, Sealants, Adhesives -Melamine Resin</t>
  </si>
  <si>
    <t>Paints, Sealants, Adhesives -Phenol Formaldehyde</t>
  </si>
  <si>
    <t>Paints, Sealants, Adhesives -Urea Formaldehyde</t>
  </si>
  <si>
    <t>Plaster -Plaster - General (Gypsum)</t>
  </si>
  <si>
    <t>Plaster -Plasterboard</t>
  </si>
  <si>
    <t>Plastics - General</t>
  </si>
  <si>
    <t>Plastics - ABS</t>
  </si>
  <si>
    <t>Plastics - General Polyethylene</t>
  </si>
  <si>
    <t>Plastics - High Density Polyethylene (HDPE) Resin</t>
  </si>
  <si>
    <t>Plastics - HDPE Pipe</t>
  </si>
  <si>
    <t>Plastics - Low Density Polyethylene (LDPE) Resin</t>
  </si>
  <si>
    <t>Plastics - LDPE Film</t>
  </si>
  <si>
    <t>Plastics - Nylon (Polyamide) 6 Polymer</t>
  </si>
  <si>
    <t>Plastics - Nylon (polyamide) 6,6 Polymer</t>
  </si>
  <si>
    <t>Plastics - Polycarbonate</t>
  </si>
  <si>
    <t>Plastics - Polypropylene, Orientated Film</t>
  </si>
  <si>
    <t>Plastics - Polypropylene, Injection Moulding</t>
  </si>
  <si>
    <t>Plastics - Expanded Polystyrene</t>
  </si>
  <si>
    <t>Plastics - General Purpose Polystyrene</t>
  </si>
  <si>
    <t>Plastics - High Impact Polystyrene</t>
  </si>
  <si>
    <t>Plastics - Thermoformed Expanded Polystyrene</t>
  </si>
  <si>
    <t>Plastics - Polyurethane Flexible Foam</t>
  </si>
  <si>
    <t>Plastics - Polyurethane Rigid Foam</t>
  </si>
  <si>
    <t>Plastics - PVC General</t>
  </si>
  <si>
    <t>Plastics - PVC Pipe</t>
  </si>
  <si>
    <t>Plastics - Calendered Sheet PVC</t>
  </si>
  <si>
    <t>Plastics - PVC Injection Moulding</t>
  </si>
  <si>
    <t>Plastics - UPVC Film</t>
  </si>
  <si>
    <t>Roofing - Mineral Fibre Tile (Roofing)</t>
  </si>
  <si>
    <t>Roofing - Shingle</t>
  </si>
  <si>
    <t>Rubber -Rubber</t>
  </si>
  <si>
    <t>Soil - General (Rammed Soil)</t>
  </si>
  <si>
    <t>Soil - Cement stabilised soil @ 5%</t>
  </si>
  <si>
    <t>Soil - Cement stabilised soil @ 8%</t>
  </si>
  <si>
    <t>Soil - GGBS stabilised soil</t>
  </si>
  <si>
    <t>Soil - Fly ash stabilised soil</t>
  </si>
  <si>
    <t xml:space="preserve">Stone -General Stone </t>
  </si>
  <si>
    <t>Stone -Granite</t>
  </si>
  <si>
    <t>Stone -Limestone</t>
  </si>
  <si>
    <t>Stone -Marble</t>
  </si>
  <si>
    <t>Stone -Marble tile</t>
  </si>
  <si>
    <t>Stone -Sandstone</t>
  </si>
  <si>
    <t>Stone -Shale</t>
  </si>
  <si>
    <t>Stone -Slate</t>
  </si>
  <si>
    <t>Timber -Irish C16 timber</t>
  </si>
  <si>
    <t>Timber -Swedish C24 timber</t>
  </si>
  <si>
    <t>Timber -Average of all ICE timber data - No Carbon Storage</t>
  </si>
  <si>
    <t>Timber -Closed panel timber frame system - No Carbon Storage</t>
  </si>
  <si>
    <t>Timber -CLT - No Carbon Storage</t>
  </si>
  <si>
    <t>Timber -Fibreboard - No Carbon Storage</t>
  </si>
  <si>
    <t>Timber -Glulam - No Carbon Storage</t>
  </si>
  <si>
    <t>Timber -Hardboard - No Carbon Storage</t>
  </si>
  <si>
    <t>Timber -Hardwood - No Carbon Storage</t>
  </si>
  <si>
    <t>Timber -Laminate - No Carbon Storage</t>
  </si>
  <si>
    <t>Timber -Laminated strand lumber - No Carbon Storage</t>
  </si>
  <si>
    <t>Timber -Laminated veneer lumber - No Carbon Storage</t>
  </si>
  <si>
    <t>Timber -Open panel timber frame system - No Carbon Storage</t>
  </si>
  <si>
    <t>Timber -Parquet - No Carbon Storage</t>
  </si>
  <si>
    <t>Timber -Softwood - No Carbon Storage</t>
  </si>
  <si>
    <t>Timber -Wood I-Beam - No Carbon Storage</t>
  </si>
  <si>
    <t>Timber -Wood-plastic composite - No Carbon Storage</t>
  </si>
  <si>
    <t>Hempcrete block</t>
  </si>
  <si>
    <t>Straw</t>
  </si>
  <si>
    <t>Concrete roof tiles</t>
  </si>
  <si>
    <t>Hollowcore slabs</t>
  </si>
  <si>
    <t>Slate</t>
  </si>
  <si>
    <t>Stone</t>
  </si>
  <si>
    <t>Windows / Doors - PVC (Double)</t>
  </si>
  <si>
    <t>Windows / Doors - PVC (Triple)</t>
  </si>
  <si>
    <t>Windows / Doors - Timber (Double)</t>
  </si>
  <si>
    <t>Windows / Doors - Timber (Triple)</t>
  </si>
  <si>
    <t>Windows / Doors - Aluminium (Double)</t>
  </si>
  <si>
    <t>Windows / Doors - Aluminium (Triple)</t>
  </si>
  <si>
    <t>Windows / Doors - Timber Alu (Double)</t>
  </si>
  <si>
    <t>Windows / Doors - Timber Alu (Triple)</t>
  </si>
  <si>
    <t>Cement fibre board</t>
  </si>
  <si>
    <t>Plasterboard (gypsum)</t>
  </si>
  <si>
    <t>Metal stud wall</t>
  </si>
  <si>
    <t>Timber stud wall</t>
  </si>
  <si>
    <t>Suspended ceiling (metal)</t>
  </si>
  <si>
    <t>Suspended ceiling (other/timber)</t>
  </si>
  <si>
    <t>Vinyl flooring</t>
  </si>
  <si>
    <t>Ceramic tiles</t>
  </si>
  <si>
    <t>Cork flooring</t>
  </si>
  <si>
    <t>Permeable paving</t>
  </si>
  <si>
    <t>Zinc sheeting</t>
  </si>
  <si>
    <t>Recycled Copper sheeting</t>
  </si>
  <si>
    <t>PVC Rainwater goods</t>
  </si>
  <si>
    <t>DPM</t>
  </si>
  <si>
    <t>Vapour permeable sheet</t>
  </si>
  <si>
    <t>https://www.seai.ie/data-and-insights/seai-statistics/conversion-factors</t>
  </si>
  <si>
    <t>Carbon Factor from SEAI energy modelling team</t>
  </si>
  <si>
    <t>From EPDIreland PCR</t>
  </si>
  <si>
    <t>Supplied by Charlie Coakley at Irish Water</t>
  </si>
  <si>
    <t>RICS WLC Professional Statement 2017</t>
  </si>
  <si>
    <t>CIBSE TM65 ESTIMATES</t>
  </si>
  <si>
    <t>Average kgCO2e/kg (A1–A4, B3, C2–C4) without refrigerant</t>
  </si>
  <si>
    <t>DATA TYPE</t>
  </si>
  <si>
    <t>DATA SOURCE</t>
  </si>
  <si>
    <t>DATA QUALITY SCORE</t>
  </si>
  <si>
    <t xml:space="preserve">Heat generation </t>
  </si>
  <si>
    <t>CIBSE TM65 STUDY</t>
  </si>
  <si>
    <t>Heat emitters</t>
  </si>
  <si>
    <t>Heat exchangers</t>
  </si>
  <si>
    <t>DHW storage</t>
  </si>
  <si>
    <t>MVHR</t>
  </si>
  <si>
    <t>Ancillaries</t>
  </si>
  <si>
    <t>Average heating and DHW equipment</t>
  </si>
  <si>
    <t>This average covers multiple modules but the majority will probably be in the A1-3. What is important is that we are consistent. We may revise later as research develops.</t>
  </si>
  <si>
    <t>Material (choose from dropdown</t>
  </si>
  <si>
    <t>Number</t>
  </si>
  <si>
    <t>Conversion factor</t>
  </si>
  <si>
    <t>Total Kg</t>
  </si>
  <si>
    <t>A1-3</t>
  </si>
  <si>
    <t>A4</t>
  </si>
  <si>
    <t>A5</t>
  </si>
  <si>
    <t>B1</t>
  </si>
  <si>
    <t>B4</t>
  </si>
  <si>
    <t>B6</t>
  </si>
  <si>
    <t>B7</t>
  </si>
  <si>
    <t>C1</t>
  </si>
  <si>
    <t>C2</t>
  </si>
  <si>
    <t>C3</t>
  </si>
  <si>
    <t>C4</t>
  </si>
  <si>
    <t>Sequestration</t>
  </si>
  <si>
    <t>Module D</t>
  </si>
  <si>
    <t>Basements</t>
  </si>
  <si>
    <t>Retaining walls</t>
  </si>
  <si>
    <t>Frame (beams, columns and slabs)</t>
  </si>
  <si>
    <t>Upper floors</t>
  </si>
  <si>
    <t>External walls</t>
  </si>
  <si>
    <t>Balconies</t>
  </si>
  <si>
    <t>Ground floor slab</t>
  </si>
  <si>
    <t>Internal walls, partitions and doors</t>
  </si>
  <si>
    <t>Stairs and ramps</t>
  </si>
  <si>
    <t>External wall systems, cladding and shading devices</t>
  </si>
  <si>
    <t>Façade openings (including windows and external doors)</t>
  </si>
  <si>
    <t>Weatherproofing</t>
  </si>
  <si>
    <t>Above ground and underground (within the curtilage of the building and servicing the building occupiers)</t>
  </si>
  <si>
    <t>Sanitary fittings</t>
  </si>
  <si>
    <t>Cupboards, wardbrobes and worktops (where provided in residential property)</t>
  </si>
  <si>
    <t>Floor coverings and finishes</t>
  </si>
  <si>
    <t>Drainage system</t>
  </si>
  <si>
    <t>Connections and diversions</t>
  </si>
  <si>
    <t>Substations and equipment</t>
  </si>
  <si>
    <t>Paving and other hard surfacing</t>
  </si>
  <si>
    <t>Fencing, railings and walls</t>
  </si>
  <si>
    <t>Light fittings</t>
  </si>
  <si>
    <t>Control systems and sensors</t>
  </si>
  <si>
    <t>Heating plant and distribution</t>
  </si>
  <si>
    <t>Cooling plant and distribution</t>
  </si>
  <si>
    <t>Electricity generation and distribution</t>
  </si>
  <si>
    <t>Air handling units</t>
  </si>
  <si>
    <t>Ductwork and distribution</t>
  </si>
  <si>
    <t>Cold water distribution</t>
  </si>
  <si>
    <t>Hot water distribution</t>
  </si>
  <si>
    <t>Water treatment systems</t>
  </si>
  <si>
    <t>Lifts and escalators</t>
  </si>
  <si>
    <t>Firefighting installations</t>
  </si>
  <si>
    <t>Communication and security installations</t>
  </si>
  <si>
    <t>Telecoms and data installations</t>
  </si>
  <si>
    <t>Refrigerants</t>
  </si>
  <si>
    <t>Water usage (excl. heating)</t>
  </si>
  <si>
    <t>kg</t>
  </si>
  <si>
    <t>m3</t>
  </si>
  <si>
    <t>m2</t>
  </si>
  <si>
    <t>m</t>
  </si>
  <si>
    <t>tonnes</t>
  </si>
  <si>
    <t>TransportSource</t>
  </si>
  <si>
    <t>Waste 1</t>
  </si>
  <si>
    <t>C2 Recycle</t>
  </si>
  <si>
    <t>C2 Energy Recovery</t>
  </si>
  <si>
    <t>C2 Landfill</t>
  </si>
  <si>
    <t>C2 Reuse</t>
  </si>
  <si>
    <t>C2 total</t>
  </si>
  <si>
    <t>C3 recyc</t>
  </si>
  <si>
    <t>C3 incin</t>
  </si>
  <si>
    <t>Waste type 2</t>
  </si>
  <si>
    <t>C3 total</t>
  </si>
  <si>
    <t>C4 landfill</t>
  </si>
  <si>
    <t>C4 re-use</t>
  </si>
  <si>
    <t>C4 total</t>
  </si>
  <si>
    <t>B2</t>
  </si>
  <si>
    <t>Replacements</t>
  </si>
  <si>
    <t>Foundations (substructure)</t>
  </si>
  <si>
    <t>Piles</t>
  </si>
  <si>
    <t>Loadbearing structural frame</t>
  </si>
  <si>
    <t>Non-load bearing elements</t>
  </si>
  <si>
    <t>Facades</t>
  </si>
  <si>
    <t>Roof</t>
  </si>
  <si>
    <t>Parking facilities</t>
  </si>
  <si>
    <t>Fittings and furnishings</t>
  </si>
  <si>
    <t>In_built lighting system</t>
  </si>
  <si>
    <t>Energy system</t>
  </si>
  <si>
    <t>Ventilation system</t>
  </si>
  <si>
    <t>Sanitary systems</t>
  </si>
  <si>
    <t>Other systems</t>
  </si>
  <si>
    <t>Utilities</t>
  </si>
  <si>
    <t>Landscaping</t>
  </si>
  <si>
    <t>Column4</t>
  </si>
  <si>
    <t>Column5</t>
  </si>
  <si>
    <t>External render</t>
  </si>
  <si>
    <t>External paints, coatings</t>
  </si>
  <si>
    <t>External glazed wall systems, cladding and shading devices</t>
  </si>
  <si>
    <t>Ceilings finish</t>
  </si>
  <si>
    <t>Ceiling coating (paint)</t>
  </si>
  <si>
    <t>Wall coating (paint)</t>
  </si>
  <si>
    <t>Wall finish</t>
  </si>
  <si>
    <t>Floar coating (paint / varnish)</t>
  </si>
  <si>
    <t>Radiators</t>
  </si>
  <si>
    <t>Electricity distribution</t>
  </si>
  <si>
    <t>Electricity generation</t>
  </si>
  <si>
    <t>Scope Element</t>
  </si>
  <si>
    <t>TM65 Categories</t>
  </si>
  <si>
    <t>MEP category (choose from dropdown)</t>
  </si>
  <si>
    <t>Kg estimate</t>
  </si>
  <si>
    <t>Unit (kg)</t>
  </si>
  <si>
    <t>Luminaires</t>
  </si>
  <si>
    <t>Lighting Control Devices</t>
  </si>
  <si>
    <t>Control Devices</t>
  </si>
  <si>
    <t>Control Panels</t>
  </si>
  <si>
    <t>Sensors</t>
  </si>
  <si>
    <t>Switchgear</t>
  </si>
  <si>
    <t>Heat Interface Units</t>
  </si>
  <si>
    <t>Heat Pumps</t>
  </si>
  <si>
    <t>Boilers</t>
  </si>
  <si>
    <t>Chillers</t>
  </si>
  <si>
    <t>Busbars</t>
  </si>
  <si>
    <t>Cables</t>
  </si>
  <si>
    <t>Cable containment</t>
  </si>
  <si>
    <t>Electrical Outlets</t>
  </si>
  <si>
    <t>Generators</t>
  </si>
  <si>
    <t>UPS</t>
  </si>
  <si>
    <t>Air Handling Units</t>
  </si>
  <si>
    <t>Ducts</t>
  </si>
  <si>
    <t>Pumps</t>
  </si>
  <si>
    <t>Pipes</t>
  </si>
  <si>
    <t>Valves</t>
  </si>
  <si>
    <t>Fire Alarm Devices</t>
  </si>
  <si>
    <t>Access Control</t>
  </si>
  <si>
    <t xml:space="preserve">Rough estimating tool based on CIBSE TM65 default data. </t>
  </si>
  <si>
    <t xml:space="preserve">Learn more and discover why MEP is important at </t>
  </si>
  <si>
    <t>2. The service life (column I) is based on Level(s) defaults. Adjust in line with manufacturer's published advice if you have any. Record changes in Scenarios, Assumptions tab.</t>
  </si>
  <si>
    <t xml:space="preserve">https://carbonleadershipforum.org/mep-2040/ </t>
  </si>
  <si>
    <t>3. Tool will multiply by TM65 default carbon intensity average estimates in the Inventory Data tab</t>
  </si>
  <si>
    <t>4. Results are at the bottom and copied into ResultTable tab</t>
  </si>
  <si>
    <t>LEVEL(S) DEFAULT REFERENCE SERVICE LIFE</t>
  </si>
  <si>
    <t>SCOPE Tier 1 building element</t>
  </si>
  <si>
    <t>SCOPE Tier 2 building element</t>
  </si>
  <si>
    <t xml:space="preserve">ICMS L2.L3.L4 Code </t>
  </si>
  <si>
    <t>Reference Service Life</t>
  </si>
  <si>
    <t>A1-A3, B3, C1-4</t>
  </si>
  <si>
    <t>Replacement cycles in 50 yrs</t>
  </si>
  <si>
    <t>B4 Replacements</t>
  </si>
  <si>
    <t>Data Source (for Data Quality Assessment)</t>
  </si>
  <si>
    <t>Weighted DQS * KG</t>
  </si>
  <si>
    <t xml:space="preserve">In-built lighting system </t>
  </si>
  <si>
    <t>2.05.030</t>
  </si>
  <si>
    <t>Level(s) default service life</t>
  </si>
  <si>
    <t>Years</t>
  </si>
  <si>
    <t xml:space="preserve">Energy system </t>
  </si>
  <si>
    <t>2.05.010</t>
  </si>
  <si>
    <t>30(radiators)</t>
  </si>
  <si>
    <t>30(distribution)</t>
  </si>
  <si>
    <t>2.05.020</t>
  </si>
  <si>
    <t xml:space="preserve">Ventilation system </t>
  </si>
  <si>
    <t>2.05.050</t>
  </si>
  <si>
    <t>2.05.100</t>
  </si>
  <si>
    <t>2.07.070</t>
  </si>
  <si>
    <t>From www.elementaconsulting.com/wp-content/uploads/2019/08/Whole-Life-Carbon-of-heat-generation-April-23.04.19.pdf . How does ours compare?</t>
  </si>
  <si>
    <t xml:space="preserve">Minimum </t>
  </si>
  <si>
    <t xml:space="preserve">Maximum </t>
  </si>
  <si>
    <t xml:space="preserve">Mean </t>
  </si>
  <si>
    <t>Median</t>
  </si>
  <si>
    <t>1. Estimate the total in the MEP BoQ tab (leave as '0' if not in design)</t>
  </si>
  <si>
    <t>A4 Transport</t>
  </si>
  <si>
    <t>same as building</t>
  </si>
  <si>
    <t>1. Estimate the amount of each refigerant in the model in Column D.</t>
  </si>
  <si>
    <t>2. Estimate (and provide evidence in Scenarios, Assumptions tab if possible) likely annual leakage rate in column E</t>
  </si>
  <si>
    <t>3. Result is shown at the bottom (G21) and in the ResultsTable</t>
  </si>
  <si>
    <t>The Global Warming Potential (GWP)b of refrigerants currently used in heat pumps varies widely. The commonly used R410a has a GWP of 2088. Under EU legislation, the GWP of refrigerants over 150 will be banned in new heat pump equipment from 2022</t>
  </si>
  <si>
    <t>Charge (kg)</t>
  </si>
  <si>
    <t>Leakage Rate (%p.a)</t>
  </si>
  <si>
    <t>B1 GWP (kgCO2e)</t>
  </si>
  <si>
    <r>
      <rPr>
        <b/>
        <sz val="10"/>
        <color theme="1"/>
        <rFont val="Arial"/>
        <family val="2"/>
      </rPr>
      <t>FROM RICS:</t>
    </r>
    <r>
      <rPr>
        <sz val="10"/>
        <color theme="1"/>
        <rFont val="Arial"/>
        <family val="2"/>
      </rPr>
      <t xml:space="preserve"> This section refers to EN 15978; 7.4.4.2 and 8.6.2, and EN 15804; 6.3.4.4.2.
The in use module [B1] captures the emissions arising
during the life of a building from its components, e.g. the
release of GHG from HFC blown insulation.
Any carbon emitted from building components
during the life of the building must be reported
in [B1].
Carbon emissions released from building elements and the
impact of potential carbon absorption should be accounted
for. Particular attention should be paid to any emissions
arising from refrigerants, insulation blowing agents, paints,
etc. over the life cycle of the project. Data on refrigerant
leakage thresholds should be provided by the MEP
consultant in accordance with relevant regulations. Data
from DEFRA, EPDs, C2C (Cradle to Cradle) certification
reporting, manufacturers’ declarations and other relevant
specialist documentation can be used.
Details on how to account for the impacts of the
carbonation process in items containing exposed
concrete and/or lime are given in section 3.4.1. The carbon
absorption by green roofs and facades is considered
negligible for green areas of less than 1,000 m2
 (Getter et
al 2009, Whittinghill et al 2014), unless otherwise stated.
Carbon absorption potential by green roofs and facades
should be supported by relevant evidence, e.g. landscape
consultants’ report. </t>
    </r>
  </si>
  <si>
    <t>Heat pumps and glycol?</t>
  </si>
  <si>
    <t xml:space="preserve">Carbonation of concrete </t>
  </si>
  <si>
    <t xml:space="preserve">Carbonation is thought to re-absorb up to 2.5% of the carbon emitted in the production of concrete, depending how much of the finished structure is exposed to air (form-factor). </t>
  </si>
  <si>
    <t>Including it would be contrary to the idea of making conservative estimates of emissions.  IstructE states B1 stage is generally insignificant for structural materials</t>
  </si>
  <si>
    <t>If you wish, a formula for calculating sequestration through concrete carbonation can be found in the European standard EN 16757.</t>
  </si>
  <si>
    <t>Vegetation within curtelidge</t>
  </si>
  <si>
    <t>TO DO - probably also not significant</t>
  </si>
  <si>
    <t>Declan FitzMaurice - Institute of refrigeration</t>
  </si>
  <si>
    <t>Part 1- indirect fron electricity consumption</t>
  </si>
  <si>
    <t xml:space="preserve">Part 2 - direct - leakage….1. refrigerantGWP and </t>
  </si>
  <si>
    <t>1500kgCO2e</t>
  </si>
  <si>
    <t>r449A</t>
  </si>
  <si>
    <t>Anything over 2,500 is being phased out</t>
  </si>
  <si>
    <t>F gas regulations mean companies should be tracking their usage</t>
  </si>
  <si>
    <t>Maintenance should enter any top ups in a log…</t>
  </si>
  <si>
    <t>Long term target is below 6…amonia, CO2 and hydrocarbons (propane etc)</t>
  </si>
  <si>
    <t>Supermarkets can be 10 - 15%</t>
  </si>
  <si>
    <t>EPA may be a good place for info</t>
  </si>
  <si>
    <t>Frances would know a lot about this</t>
  </si>
  <si>
    <t>DoE too…?</t>
  </si>
  <si>
    <t>Wood Pellets</t>
  </si>
  <si>
    <t>FOR CHART:</t>
  </si>
  <si>
    <t>TOTAL</t>
  </si>
  <si>
    <r>
      <t>kgCO</t>
    </r>
    <r>
      <rPr>
        <vertAlign val="subscript"/>
        <sz val="10"/>
        <color theme="1"/>
        <rFont val="Arial"/>
        <family val="2"/>
      </rPr>
      <t>2</t>
    </r>
    <r>
      <rPr>
        <sz val="10"/>
        <color theme="1"/>
        <rFont val="Arial"/>
        <family val="2"/>
      </rPr>
      <t>e/m</t>
    </r>
    <r>
      <rPr>
        <vertAlign val="superscript"/>
        <sz val="10"/>
        <color theme="1"/>
        <rFont val="Arial"/>
        <family val="2"/>
      </rPr>
      <t>2</t>
    </r>
  </si>
  <si>
    <r>
      <t>Total kgCO</t>
    </r>
    <r>
      <rPr>
        <vertAlign val="subscript"/>
        <sz val="10"/>
        <color theme="1"/>
        <rFont val="Arial"/>
        <family val="2"/>
      </rPr>
      <t>2</t>
    </r>
    <r>
      <rPr>
        <sz val="10"/>
        <color theme="1"/>
        <rFont val="Arial"/>
        <family val="2"/>
      </rPr>
      <t>e</t>
    </r>
  </si>
  <si>
    <r>
      <t>Primary kWh/m</t>
    </r>
    <r>
      <rPr>
        <vertAlign val="superscript"/>
        <sz val="10"/>
        <color theme="1"/>
        <rFont val="Arial"/>
        <family val="2"/>
      </rPr>
      <t>2</t>
    </r>
  </si>
  <si>
    <t>Total primary kWh</t>
  </si>
  <si>
    <t>Total delivered kWh</t>
  </si>
  <si>
    <r>
      <t>tCO</t>
    </r>
    <r>
      <rPr>
        <b/>
        <vertAlign val="subscript"/>
        <sz val="10"/>
        <color rgb="FF003399"/>
        <rFont val="Arial"/>
        <family val="2"/>
      </rPr>
      <t>2</t>
    </r>
    <r>
      <rPr>
        <b/>
        <sz val="10"/>
        <color rgb="FF003399"/>
        <rFont val="Arial"/>
        <family val="2"/>
      </rPr>
      <t>e</t>
    </r>
  </si>
  <si>
    <t xml:space="preserve">Lifetime Grid B6 </t>
  </si>
  <si>
    <t>This is extrapolated beyond 2050 and assumes 4g/kWh reduction every 5 years</t>
  </si>
  <si>
    <t xml:space="preserve">kWh/m2/a </t>
  </si>
  <si>
    <t>This data is from the SEAI  energy modelling team</t>
  </si>
  <si>
    <t>kWh/a Total</t>
  </si>
  <si>
    <t>Annual grid electricity demand:</t>
  </si>
  <si>
    <t>Grid Electricity</t>
  </si>
  <si>
    <t>tCO2e</t>
  </si>
  <si>
    <t>* Carbon factor for wood pellets is worst case assumed at https://www.forestresearch.gov.uk/tools-and-resources/fthr/biomass-energy-resources/reference-biomass/facts-figures/carbon-emissions-of-different-fuels/</t>
  </si>
  <si>
    <t>and Carbon Factor from SEAI energy modelling team</t>
  </si>
  <si>
    <t xml:space="preserve">THIS SPREADSHEET TAKES DATA FROM </t>
  </si>
  <si>
    <r>
      <t>KgCO</t>
    </r>
    <r>
      <rPr>
        <b/>
        <vertAlign val="subscript"/>
        <sz val="14"/>
        <color theme="0"/>
        <rFont val="Arial"/>
        <family val="2"/>
      </rPr>
      <t>2</t>
    </r>
    <r>
      <rPr>
        <b/>
        <sz val="14"/>
        <color theme="0"/>
        <rFont val="Arial"/>
        <family val="2"/>
      </rPr>
      <t>e</t>
    </r>
  </si>
  <si>
    <t>Total B6 (all sources)</t>
  </si>
  <si>
    <t>Percentage</t>
  </si>
  <si>
    <r>
      <t xml:space="preserve"> = Total CO2e (kgCO</t>
    </r>
    <r>
      <rPr>
        <vertAlign val="subscript"/>
        <sz val="10"/>
        <color theme="1"/>
        <rFont val="Arial"/>
        <family val="2"/>
      </rPr>
      <t>2</t>
    </r>
    <r>
      <rPr>
        <sz val="10"/>
        <color theme="1"/>
        <rFont val="Arial"/>
        <family val="2"/>
      </rPr>
      <t>e)</t>
    </r>
  </si>
  <si>
    <t>x Years</t>
  </si>
  <si>
    <r>
      <t>Operational energy is typically the largest contributor to a building's emissions over its lifetime but this is changing as we build more efficient, low energy buildings. The purpose of this tab is to estimate the likely emissions from the building in the future based on the SEAI'scarbon factors of various fuels and forecast of the likely carbon intensity of the grid in the years ahead (column E).</t>
    </r>
    <r>
      <rPr>
        <b/>
        <sz val="10"/>
        <color theme="1"/>
        <rFont val="Arial"/>
        <family val="2"/>
      </rPr>
      <t xml:space="preserve"> Input the predicted annual energy demand for heating, cooling and lighting in column B</t>
    </r>
    <r>
      <rPr>
        <sz val="10"/>
        <color theme="1"/>
        <rFont val="Arial"/>
        <family val="2"/>
      </rPr>
      <t xml:space="preserve"> (</t>
    </r>
    <r>
      <rPr>
        <b/>
        <sz val="10"/>
        <color rgb="FFFF0000"/>
        <rFont val="Arial"/>
        <family val="2"/>
      </rPr>
      <t>red figures</t>
    </r>
    <r>
      <rPr>
        <sz val="10"/>
        <color theme="1"/>
        <rFont val="Arial"/>
        <family val="2"/>
      </rPr>
      <t>). The table will add in the carbon factor and the primary energy factor for each year to account for the fuel type and the decarbonising grid in the future. Primary Factor refers to generation and transmission losses to reflect the true emissions involved in fulfilling the demand.</t>
    </r>
  </si>
  <si>
    <t>B6 Operational Energy</t>
  </si>
  <si>
    <t>Energy source</t>
  </si>
  <si>
    <t>Country:</t>
  </si>
  <si>
    <t>Ireland_IE</t>
  </si>
  <si>
    <t>River basin:</t>
  </si>
  <si>
    <t>WFD6_North_Western</t>
  </si>
  <si>
    <t>Summer WEI+:</t>
  </si>
  <si>
    <t>(WEI+ &gt;20 is a region of water stress, WEI+ &gt;40 is a region of severe water stress)</t>
  </si>
  <si>
    <t>L2 Residential buildings - water consumption estimate</t>
  </si>
  <si>
    <t>Summer WEI+ ranking:</t>
  </si>
  <si>
    <t>(out of 105)</t>
  </si>
  <si>
    <t>Building use factor</t>
  </si>
  <si>
    <t>days/annum</t>
  </si>
  <si>
    <t xml:space="preserve">Fill in the data in the cells in columns G, I, M, N and Q. </t>
  </si>
  <si>
    <t>Consumption rates</t>
  </si>
  <si>
    <t>Usage factor</t>
  </si>
  <si>
    <t>Daily consumption per occupant</t>
  </si>
  <si>
    <t>Providing greywater?</t>
  </si>
  <si>
    <t>Accepting Greywater/Rainwater?</t>
  </si>
  <si>
    <t>Greywater/Rainwater consumption</t>
  </si>
  <si>
    <t>Rainwater (RW) collected?</t>
  </si>
  <si>
    <t>Residential building inputs run from rows 6-18, office buildings inputs run from rows 53-70).</t>
  </si>
  <si>
    <t>Toilet (full flush)</t>
  </si>
  <si>
    <t>L/full flush</t>
  </si>
  <si>
    <t>flushes/o/day</t>
  </si>
  <si>
    <t>L/o/d</t>
  </si>
  <si>
    <t>N/A</t>
  </si>
  <si>
    <t>Yes</t>
  </si>
  <si>
    <t>No</t>
  </si>
  <si>
    <t>See the results in output table for residential buildings (from cells F21 to J33) or office buildings (from cells F67 to J82).</t>
  </si>
  <si>
    <t>Toilet (small flush)</t>
  </si>
  <si>
    <t>L/small-flush</t>
  </si>
  <si>
    <t>Annual Rainfall</t>
  </si>
  <si>
    <t>Bathroom tap</t>
  </si>
  <si>
    <t>L/minute</t>
  </si>
  <si>
    <t>seconds/o/day</t>
  </si>
  <si>
    <t>mm/year</t>
  </si>
  <si>
    <t>https://www.cso.ie/en/releasesandpublications/er/dmwc/domesticmeteredpublicwaterconsumption2018/</t>
  </si>
  <si>
    <t>Shower</t>
  </si>
  <si>
    <t>Collection area</t>
  </si>
  <si>
    <t>For reference the above link shows average litres per day for domestic meters in Ireland</t>
  </si>
  <si>
    <t>Bath-tub</t>
  </si>
  <si>
    <t>L/bath</t>
  </si>
  <si>
    <t>baths/o/day</t>
  </si>
  <si>
    <t>Kitchen tap</t>
  </si>
  <si>
    <t>Total collected</t>
  </si>
  <si>
    <t>Sanitary devices sub-total</t>
  </si>
  <si>
    <t>m3/year</t>
  </si>
  <si>
    <t>Water using appliances</t>
  </si>
  <si>
    <t>L/d (average)</t>
  </si>
  <si>
    <t>Dishwasher</t>
  </si>
  <si>
    <t>L/cycle</t>
  </si>
  <si>
    <t>cycles/o/day</t>
  </si>
  <si>
    <t>Yield corrected collection</t>
  </si>
  <si>
    <t>Washing machine</t>
  </si>
  <si>
    <t>Appliances sub-total</t>
  </si>
  <si>
    <t>Yield factor</t>
  </si>
  <si>
    <t>Irrigation</t>
  </si>
  <si>
    <t>L/d</t>
  </si>
  <si>
    <t>Total</t>
  </si>
  <si>
    <t>GW/RW availability factor =</t>
  </si>
  <si>
    <t>Summer WEI+ =</t>
  </si>
  <si>
    <r>
      <t>Total Water Consumption (m</t>
    </r>
    <r>
      <rPr>
        <b/>
        <vertAlign val="superscript"/>
        <sz val="10"/>
        <rFont val="Arial"/>
        <family val="2"/>
      </rPr>
      <t>3</t>
    </r>
    <r>
      <rPr>
        <b/>
        <sz val="10"/>
        <rFont val="Arial"/>
        <family val="2"/>
      </rPr>
      <t>/o/a)</t>
    </r>
  </si>
  <si>
    <t>Of which potable (m3/o/a)</t>
  </si>
  <si>
    <t>Of which non-potable (m3/o/a)</t>
  </si>
  <si>
    <t>Corrected GW/RW factor =</t>
  </si>
  <si>
    <t>Sanitary fittings and devices (e.g. toilets, taps, baths and showers).</t>
  </si>
  <si>
    <t>Toilets</t>
  </si>
  <si>
    <t>TOTAL kgCO2e/m3/a</t>
  </si>
  <si>
    <t>TOTAL WATER CONSUMPTION</t>
  </si>
  <si>
    <t>Bathroom taps</t>
  </si>
  <si>
    <t>Total water consumed m3/o/a</t>
  </si>
  <si>
    <t>Potable water consumed m3/o/a</t>
  </si>
  <si>
    <t>Total %</t>
  </si>
  <si>
    <t>Potable %</t>
  </si>
  <si>
    <t>Showers</t>
  </si>
  <si>
    <t>TOTAL LIFETIME (50 YRS)</t>
  </si>
  <si>
    <t>kgCO2e</t>
  </si>
  <si>
    <t>Kitchen taps</t>
  </si>
  <si>
    <t>Sub-Total</t>
  </si>
  <si>
    <t>Water using appliances (e.g. dishwashers and washing machines).</t>
  </si>
  <si>
    <t>Dishwashers</t>
  </si>
  <si>
    <t>Washing machines</t>
  </si>
  <si>
    <r>
      <t>TOTAL (m</t>
    </r>
    <r>
      <rPr>
        <b/>
        <vertAlign val="superscript"/>
        <sz val="10"/>
        <color theme="0"/>
        <rFont val="Arial"/>
        <family val="2"/>
      </rPr>
      <t>3</t>
    </r>
    <r>
      <rPr>
        <b/>
        <sz val="10"/>
        <color theme="0"/>
        <rFont val="Arial"/>
        <family val="2"/>
      </rPr>
      <t>/o/a)</t>
    </r>
  </si>
  <si>
    <t>TOTAL (%)</t>
  </si>
  <si>
    <t>Office buildings - water consumption</t>
  </si>
  <si>
    <t>Male occupants</t>
  </si>
  <si>
    <t>Female occupants</t>
  </si>
  <si>
    <t>Sum of occupants</t>
  </si>
  <si>
    <t>% use of shower</t>
  </si>
  <si>
    <t>Urinal</t>
  </si>
  <si>
    <t>L/flush</t>
  </si>
  <si>
    <t>seconds/use/day</t>
  </si>
  <si>
    <t>Kitchenette tap</t>
  </si>
  <si>
    <t>Number of building users</t>
  </si>
  <si>
    <t>o</t>
  </si>
  <si>
    <t>Cleaning of floors</t>
  </si>
  <si>
    <t>m2 floor area</t>
  </si>
  <si>
    <t>L/m2/d</t>
  </si>
  <si>
    <t>Cleaning of windows</t>
  </si>
  <si>
    <t>m2 window area</t>
  </si>
  <si>
    <t>Cleaning sub-total</t>
  </si>
  <si>
    <t>Other-1 (please specify)</t>
  </si>
  <si>
    <t>Relevant Users (default value =1)</t>
  </si>
  <si>
    <t>Other-2 (please specify)</t>
  </si>
  <si>
    <t>Other-3 (please specify)</t>
  </si>
  <si>
    <t>Other uses (excluding irrigation) sub-total</t>
  </si>
  <si>
    <t>Toilets &amp; urinals</t>
  </si>
  <si>
    <t>Kitchenette taps</t>
  </si>
  <si>
    <t>Cleaning</t>
  </si>
  <si>
    <t>Floor cleaning</t>
  </si>
  <si>
    <t>Window cleaning</t>
  </si>
  <si>
    <t>Other uses (e.g. fountains, swimming pools, HVAC etc.)</t>
  </si>
  <si>
    <t>litres/day</t>
  </si>
  <si>
    <t>1. Project Input</t>
  </si>
  <si>
    <t xml:space="preserve">1 - Project details, where the general aspects of the building are entered. 
This records data useful for analysis, such as building type, useful floor area, usage patterns etc. Please include as much information about the building as possible. The Level(s) data is consistent across European studies and should allow for buildings to be grouped and compared in the future. Sharing comparable data should enable results comparisons across projects in different Member States, and allow better benchmarking, completeness and data quality checks.  </t>
  </si>
  <si>
    <t>Project Name</t>
  </si>
  <si>
    <t>Project Sector</t>
  </si>
  <si>
    <t>Assessment date</t>
  </si>
  <si>
    <t>Assessment By (company)</t>
  </si>
  <si>
    <t>RIAI Workstage</t>
  </si>
  <si>
    <t>Est. Year of Project Completion</t>
  </si>
  <si>
    <t>Location of data</t>
  </si>
  <si>
    <t>Location</t>
  </si>
  <si>
    <t>1.1 Country &amp; Region</t>
  </si>
  <si>
    <t>Ireland, NW Europe</t>
  </si>
  <si>
    <t>1.2 Heating and cooling degree days</t>
  </si>
  <si>
    <t>&gt;1500-3000, &lt;400</t>
  </si>
  <si>
    <t>1.3 Climate zone</t>
  </si>
  <si>
    <t>Zone 4</t>
  </si>
  <si>
    <t>2.1 New build or major renovation</t>
  </si>
  <si>
    <t>3. How the building will be used</t>
  </si>
  <si>
    <t>4. The building model and characteristics</t>
  </si>
  <si>
    <t xml:space="preserve">Analysis Method </t>
  </si>
  <si>
    <t>Notes (any other relevant information on the project or the assessment method, process, omissions, additions, etc. that may help interpret results or assist with future assessments)</t>
  </si>
  <si>
    <t xml:space="preserve">https://www.gov.ie/en/publication/6223e-climate-action-plan-2021/ </t>
  </si>
  <si>
    <t>Feedback</t>
  </si>
  <si>
    <t>If you have any feedback, please contact me at:</t>
  </si>
  <si>
    <t>stephen@igbc.ie</t>
  </si>
  <si>
    <t>Materials input sheet based on the BOQ template developed by the European Commission JRC  which forms Level(s) indicator 2.1</t>
  </si>
  <si>
    <t xml:space="preserve">ICMS L1 - Buildings - 01. </t>
  </si>
  <si>
    <t>L2--&gt;&gt;</t>
  </si>
  <si>
    <t xml:space="preserve">ICMS L3 &amp; L4 Code </t>
  </si>
  <si>
    <t>Required?</t>
  </si>
  <si>
    <t>n. of data lines</t>
  </si>
  <si>
    <t>Included (completeness)</t>
  </si>
  <si>
    <t>A1 - A3</t>
  </si>
  <si>
    <t>B3</t>
  </si>
  <si>
    <t>B5</t>
  </si>
  <si>
    <t>Total embodied kgCO2e (excl B1, B6, B7)</t>
  </si>
  <si>
    <t>A</t>
  </si>
  <si>
    <t>C</t>
  </si>
  <si>
    <t>O</t>
  </si>
  <si>
    <t>M</t>
  </si>
  <si>
    <t>R</t>
  </si>
  <si>
    <t>E</t>
  </si>
  <si>
    <t>Completeness of Scope</t>
  </si>
  <si>
    <t>From Materials Tab</t>
  </si>
  <si>
    <t>.02.010</t>
  </si>
  <si>
    <t>Quality of data</t>
  </si>
  <si>
    <t>.02.030</t>
  </si>
  <si>
    <t>Load bearing structural frame</t>
  </si>
  <si>
    <t>.03.030</t>
  </si>
  <si>
    <t>.03.020</t>
  </si>
  <si>
    <t>.04.020</t>
  </si>
  <si>
    <t>.04.040</t>
  </si>
  <si>
    <t xml:space="preserve">Facades </t>
  </si>
  <si>
    <t xml:space="preserve">Roof </t>
  </si>
  <si>
    <t>.04.030</t>
  </si>
  <si>
    <t>.07.040</t>
  </si>
  <si>
    <t>.05.060</t>
  </si>
  <si>
    <t>.04.050</t>
  </si>
  <si>
    <t>.04.060</t>
  </si>
  <si>
    <t>Drainage systems</t>
  </si>
  <si>
    <t>.06.010</t>
  </si>
  <si>
    <t xml:space="preserve">Utilities </t>
  </si>
  <si>
    <t>.07.070</t>
  </si>
  <si>
    <t>.07.050</t>
  </si>
  <si>
    <t>FROM MEP Tab (TM65)</t>
  </si>
  <si>
    <t>.05.030</t>
  </si>
  <si>
    <t>.05.010</t>
  </si>
  <si>
    <t>.05.020</t>
  </si>
  <si>
    <t>.05.050</t>
  </si>
  <si>
    <t>.05.100</t>
  </si>
  <si>
    <t>.05.080</t>
  </si>
  <si>
    <t>.05.040</t>
  </si>
  <si>
    <t>OPERATIONAL</t>
  </si>
  <si>
    <t>B1 Refrigerants</t>
  </si>
  <si>
    <t>.02</t>
  </si>
  <si>
    <t>B7 Operational Water</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</si>
  <si>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</si>
  <si>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</si>
  <si>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</si>
  <si>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</si>
  <si>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</si>
  <si>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</si>
  <si>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</si>
  <si>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</si>
  <si>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</si>
  <si>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</si>
  <si>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</si>
  <si>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</si>
  <si>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</si>
  <si>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</si>
  <si>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</si>
  <si>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</si>
  <si>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</si>
  <si>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</si>
  <si>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MATERIALS DATA QUALITY</t>
  </si>
  <si>
    <t>COMPLETENESS</t>
  </si>
  <si>
    <t>COULD SUM UP COST ALONGSIDE?</t>
  </si>
  <si>
    <t>ICMS CODE LEVEL 2.3.4</t>
  </si>
  <si>
    <t>ICMS</t>
  </si>
  <si>
    <t>A1-5</t>
  </si>
  <si>
    <t>Calc for Above Chart</t>
  </si>
  <si>
    <t>B4-B5</t>
  </si>
  <si>
    <t>Number of Years:</t>
  </si>
  <si>
    <t>Data Quality Rating</t>
  </si>
  <si>
    <t>Specific EPD</t>
  </si>
  <si>
    <t xml:space="preserve">C1 Deconstruction </t>
  </si>
  <si>
    <t>Typologies</t>
  </si>
  <si>
    <t>Residential</t>
  </si>
  <si>
    <t>Apartments</t>
  </si>
  <si>
    <t>Medical</t>
  </si>
  <si>
    <t>Offices</t>
  </si>
  <si>
    <t>Mixed Use</t>
  </si>
  <si>
    <t>Other</t>
  </si>
  <si>
    <t>Education</t>
  </si>
  <si>
    <t>Bulk Material (Non-Irish)</t>
  </si>
  <si>
    <t>Other Material (Irish)</t>
  </si>
  <si>
    <t>Other Material (Non-Irish)</t>
  </si>
  <si>
    <t>Industry EPD</t>
  </si>
  <si>
    <t>User input EPD11</t>
  </si>
  <si>
    <t>User input EPD12</t>
  </si>
  <si>
    <t>User input EPD13</t>
  </si>
  <si>
    <t>User input EPD14</t>
  </si>
  <si>
    <t>User input EPD15</t>
  </si>
  <si>
    <t>User input EPD16</t>
  </si>
  <si>
    <t>User input EPD17</t>
  </si>
  <si>
    <t>User input EPD18</t>
  </si>
  <si>
    <t>User input EPD19</t>
  </si>
  <si>
    <t>User input EPD20</t>
  </si>
  <si>
    <t>User input EPD21</t>
  </si>
  <si>
    <t>User input EPD22</t>
  </si>
  <si>
    <t>User input EPD23</t>
  </si>
  <si>
    <t>User input EPD24</t>
  </si>
  <si>
    <t>User input EPD25</t>
  </si>
  <si>
    <t>User input EPD26</t>
  </si>
  <si>
    <t>User input EPD27</t>
  </si>
  <si>
    <t>User input EPD28</t>
  </si>
  <si>
    <t>User input EPD29</t>
  </si>
  <si>
    <t>User input EPD30</t>
  </si>
  <si>
    <t>User input EPD31</t>
  </si>
  <si>
    <t>User input EPD32</t>
  </si>
  <si>
    <t>User input EPD33</t>
  </si>
  <si>
    <t>Product Name</t>
  </si>
  <si>
    <t>Type &amp; Location</t>
  </si>
  <si>
    <t>EPD Type</t>
  </si>
  <si>
    <t>User input EPD34</t>
  </si>
  <si>
    <t>We can create many charts from this data - your feedback on what would be useful would be appreciated.</t>
  </si>
  <si>
    <t>Hospitality</t>
  </si>
  <si>
    <t>Brick wall inc mortar, single skin(per m2)</t>
  </si>
  <si>
    <t>https://www.bsria.com/doc/rQV5xn</t>
  </si>
  <si>
    <t>BSRIA Rules of Thumb for estimates (Table 22)</t>
  </si>
  <si>
    <t>Demolition / deconstruction</t>
  </si>
  <si>
    <t>Material manufacture and construction (currently not regulated)</t>
  </si>
  <si>
    <t>Heating, Cooling, Lighting (Regulated)</t>
  </si>
  <si>
    <t>Aluminum</t>
  </si>
  <si>
    <t>Asphalt</t>
  </si>
  <si>
    <t>Brass, 60 - 40</t>
  </si>
  <si>
    <t>Brick, common</t>
  </si>
  <si>
    <t>Carbon, diamond</t>
  </si>
  <si>
    <t>Carbon, graphite</t>
  </si>
  <si>
    <t>Copper, commercial</t>
  </si>
  <si>
    <t>Glass, 98% silica</t>
  </si>
  <si>
    <t>Glass, plate</t>
  </si>
  <si>
    <t>Gold</t>
  </si>
  <si>
    <t>Granite</t>
  </si>
  <si>
    <t>Ice (0 °C)</t>
  </si>
  <si>
    <t>Iron, cast</t>
  </si>
  <si>
    <t>Lead</t>
  </si>
  <si>
    <t>Magnesium, 2% Mn</t>
  </si>
  <si>
    <t>Marble (Avg. Values)</t>
  </si>
  <si>
    <t>Monnel Alloy 400 (Ni-Cu)</t>
  </si>
  <si>
    <t>Nickel, 10% Cr</t>
  </si>
  <si>
    <t>Paper</t>
  </si>
  <si>
    <t>Plexiglas</t>
  </si>
  <si>
    <t>Polystyrene</t>
  </si>
  <si>
    <t>Rubber, soft</t>
  </si>
  <si>
    <t>Salt, rock</t>
  </si>
  <si>
    <t>Sand, dry</t>
  </si>
  <si>
    <t>Sandstone (Avg. values)</t>
  </si>
  <si>
    <t>Silicon</t>
  </si>
  <si>
    <t>Silver, 99.9 % Ag</t>
  </si>
  <si>
    <t>Stainless steel (St 304)</t>
  </si>
  <si>
    <t>Structural steel (A36)</t>
  </si>
  <si>
    <t>Timber, Douglas-fir</t>
  </si>
  <si>
    <t>Timber, Spruce, Sitka</t>
  </si>
  <si>
    <t>Timber, Shortleaf pine</t>
  </si>
  <si>
    <t>Timber, Western white pine</t>
  </si>
  <si>
    <t>Timber, White oak</t>
  </si>
  <si>
    <t>Timber, Red oak</t>
  </si>
  <si>
    <t>Timber, Western hemlock</t>
  </si>
  <si>
    <t>Timber, Redwood</t>
  </si>
  <si>
    <t>Tin</t>
  </si>
  <si>
    <t>Titanium Alloy (6% Al, 4% V)</t>
  </si>
  <si>
    <t>Tungsten</t>
  </si>
  <si>
    <t>Wool</t>
  </si>
  <si>
    <t>Zinc</t>
  </si>
  <si>
    <t>Aluminum, cast-hammered</t>
  </si>
  <si>
    <t>Brass, cast-rolled</t>
  </si>
  <si>
    <t>Bronze, aluminum</t>
  </si>
  <si>
    <t>Bronze, 7.9-14 % Sn</t>
  </si>
  <si>
    <t>Bronze, phophor</t>
  </si>
  <si>
    <t>Copper, cast-rolled</t>
  </si>
  <si>
    <t>Copper ore, pyrites</t>
  </si>
  <si>
    <t>German Silver (Nickel Silver)</t>
  </si>
  <si>
    <t>Gold, cast-hammered</t>
  </si>
  <si>
    <t>Iron, gray cast</t>
  </si>
  <si>
    <t>Iron, cast, pig</t>
  </si>
  <si>
    <t>Iron, wrought</t>
  </si>
  <si>
    <t>Iron, spiegeleisen</t>
  </si>
  <si>
    <t>Iron, ferrosilicon</t>
  </si>
  <si>
    <t>Iron ore, hematite</t>
  </si>
  <si>
    <t>Iron ore, limonite</t>
  </si>
  <si>
    <t>Iron ore, magnetite</t>
  </si>
  <si>
    <t>Iron slag</t>
  </si>
  <si>
    <t>Nickel</t>
  </si>
  <si>
    <t>Platinum, cast-hammered</t>
  </si>
  <si>
    <t>Silver, cast-hammered</t>
  </si>
  <si>
    <t>Steel, cold-drawn</t>
  </si>
  <si>
    <t>Steel, machine</t>
  </si>
  <si>
    <t>Steel, tool</t>
  </si>
  <si>
    <t>Tin, cast-hammered</t>
  </si>
  <si>
    <t>Zinc, cast-rolled</t>
  </si>
  <si>
    <t>ABS, Extrusion Grade</t>
  </si>
  <si>
    <t>ABS, High Impact</t>
  </si>
  <si>
    <t>Acetal, 20% Glass</t>
  </si>
  <si>
    <t>Acetal, Copolymer</t>
  </si>
  <si>
    <t>Acetal, Homopolymer</t>
  </si>
  <si>
    <t>Acrylic</t>
  </si>
  <si>
    <t>Butadiene - acrylonitrile (nitrile)</t>
  </si>
  <si>
    <t>CPVC </t>
  </si>
  <si>
    <t>Epoxy</t>
  </si>
  <si>
    <t>Fiberglass Sheet </t>
  </si>
  <si>
    <t>Styrene - butadiene (SBR)</t>
  </si>
  <si>
    <t>Silicone</t>
  </si>
  <si>
    <t>Nylon 6, 30% Glass </t>
  </si>
  <si>
    <t>Nylon 6, Cast</t>
  </si>
  <si>
    <t>Nylon 6/6 Cast</t>
  </si>
  <si>
    <t>Nylon 6/6 Extruded</t>
  </si>
  <si>
    <t>PVC (Polyvinyl chloride)</t>
  </si>
  <si>
    <t>PVDF (Polyvinylidene fluoride)</t>
  </si>
  <si>
    <t>Phenolic</t>
  </si>
  <si>
    <t>Polybutylene terephthalate (PBT)</t>
  </si>
  <si>
    <t>Polycarbonate (PC)</t>
  </si>
  <si>
    <t>Polyester (thermoset)</t>
  </si>
  <si>
    <t>Polyetheretherketone (PEEK)</t>
  </si>
  <si>
    <t>Low density Polyethylene (LDPE)</t>
  </si>
  <si>
    <t>High density Polyethylene (HDPE)</t>
  </si>
  <si>
    <t>Polypropylene (PP)</t>
  </si>
  <si>
    <t>Polytetrafluoroethylene (PTFE)</t>
  </si>
  <si>
    <t>Polyurethane</t>
  </si>
  <si>
    <t>Density of Gases at 25 °C, 100 kPa **</t>
  </si>
  <si>
    <t>Steam</t>
  </si>
  <si>
    <t>Acetylene</t>
  </si>
  <si>
    <t>Air</t>
  </si>
  <si>
    <t>Ammonia</t>
  </si>
  <si>
    <t>Argon</t>
  </si>
  <si>
    <t>Butane</t>
  </si>
  <si>
    <t>Carbon monoxide</t>
  </si>
  <si>
    <t>Carbon dioxide</t>
  </si>
  <si>
    <t>Ethane</t>
  </si>
  <si>
    <t>Ethanol</t>
  </si>
  <si>
    <t>Ethylene</t>
  </si>
  <si>
    <t>Helium</t>
  </si>
  <si>
    <t>Hydrogen</t>
  </si>
  <si>
    <t>Methane</t>
  </si>
  <si>
    <t>Methanol</t>
  </si>
  <si>
    <t>Neon</t>
  </si>
  <si>
    <t>Nitric oxide</t>
  </si>
  <si>
    <t>Nitrogen</t>
  </si>
  <si>
    <t>Nitrous oxide</t>
  </si>
  <si>
    <t>n-octane</t>
  </si>
  <si>
    <t>Oxygen</t>
  </si>
  <si>
    <t>Propane</t>
  </si>
  <si>
    <t>R-12</t>
  </si>
  <si>
    <t>R-22</t>
  </si>
  <si>
    <t>R-134a</t>
  </si>
  <si>
    <t>Kg / m3</t>
  </si>
  <si>
    <t>Metals, Alloys and Ores</t>
  </si>
  <si>
    <t>*These densities are for guidance only. Densities taken from https://amesweb.info</t>
  </si>
  <si>
    <t>Bronze</t>
  </si>
  <si>
    <t xml:space="preserve">https://www.epa.ie/our-services/monitoring--assessment/waste/national-waste-statistics/construction--demolition/ </t>
  </si>
  <si>
    <t>Reused (backfill on site)</t>
  </si>
  <si>
    <t>Operational Energy (B6)</t>
  </si>
  <si>
    <t>A5 - On site waste</t>
  </si>
  <si>
    <t>Waste Rates by Category</t>
  </si>
  <si>
    <t>Applied wastage/ over-ordering rate</t>
  </si>
  <si>
    <t>Baseline Waste Rate (%)</t>
  </si>
  <si>
    <t>Good Waste Rate (%)</t>
  </si>
  <si>
    <t>Applied Av. Waste Rate (%)</t>
  </si>
  <si>
    <t>-</t>
  </si>
  <si>
    <t>Custom</t>
  </si>
  <si>
    <t>Aluminium Frames</t>
  </si>
  <si>
    <t>WRAP</t>
  </si>
  <si>
    <t>Boarding</t>
  </si>
  <si>
    <t>Bricks and Blocks</t>
  </si>
  <si>
    <t xml:space="preserve">Doors, Windows, Glazing </t>
  </si>
  <si>
    <t>IStructE</t>
  </si>
  <si>
    <t>Gypsum Products</t>
  </si>
  <si>
    <t>In-Situ Concrete</t>
  </si>
  <si>
    <t>Insulation</t>
  </si>
  <si>
    <t>Non-Ferrous Metal</t>
  </si>
  <si>
    <t>Plastic</t>
  </si>
  <si>
    <t>Precast Concrete</t>
  </si>
  <si>
    <t>Processed Timber</t>
  </si>
  <si>
    <t>Steel Beam</t>
  </si>
  <si>
    <t>Steel Braces</t>
  </si>
  <si>
    <t>Steel Column</t>
  </si>
  <si>
    <t>Steel Reinforcement</t>
  </si>
  <si>
    <t>Structural Waterproofing</t>
  </si>
  <si>
    <t>Structural and Roofing Frames</t>
  </si>
  <si>
    <t>Tiled Soft Flooring</t>
  </si>
  <si>
    <t>Tiles and Ceramics</t>
  </si>
  <si>
    <t xml:space="preserve">Timber Frames </t>
  </si>
  <si>
    <t>Wall and Floor Units</t>
  </si>
  <si>
    <t>Data Centre</t>
  </si>
  <si>
    <t>Pharmaceutical</t>
  </si>
  <si>
    <t>Supermarket</t>
  </si>
  <si>
    <t>Retail units</t>
  </si>
  <si>
    <t>TOTALS</t>
  </si>
  <si>
    <t>Product &amp; manufacturer specific EPD</t>
  </si>
  <si>
    <t>Manufacturer specific EPD</t>
  </si>
  <si>
    <t>National average EPD</t>
  </si>
  <si>
    <t>EU average EPD</t>
  </si>
  <si>
    <t>INGD - Irish National Generic Dataset</t>
  </si>
  <si>
    <t>35 – 55 depending on material</t>
  </si>
  <si>
    <t>Cement - CEM II/A-V (&lt;35% PFA)</t>
  </si>
  <si>
    <t>Cement - CEM II/A-L (&lt;35% Limestone)°</t>
  </si>
  <si>
    <t>Cement - CEM II/A-S (&lt;35% GGBS)</t>
  </si>
  <si>
    <t>Confidence Score (%)</t>
  </si>
  <si>
    <t>35 – 55% depending on material</t>
  </si>
  <si>
    <t>Seq factor</t>
  </si>
  <si>
    <r>
      <t>This results table shows the</t>
    </r>
    <r>
      <rPr>
        <sz val="11"/>
        <color rgb="FFFF0000"/>
        <rFont val="Arial"/>
        <family val="2"/>
      </rPr>
      <t xml:space="preserve"> scope of the assessment (columns B &amp; C)</t>
    </r>
    <r>
      <rPr>
        <sz val="11"/>
        <color theme="1"/>
        <rFont val="Arial"/>
        <family val="2"/>
      </rPr>
      <t xml:space="preserve">, and the </t>
    </r>
    <r>
      <rPr>
        <sz val="11"/>
        <color rgb="FFFF0000"/>
        <rFont val="Arial"/>
        <family val="2"/>
      </rPr>
      <t>lifecycle(columns H to U)</t>
    </r>
    <r>
      <rPr>
        <sz val="11"/>
        <color theme="1"/>
        <rFont val="Arial"/>
        <family val="2"/>
      </rPr>
      <t>. Column E indicates what is required in the scope by default. If an element does not apply to your building, for example there are no balconies in your project, change the Yes to No using the dropdown. This will remove the element from the completeness score calculation in cell C56.</t>
    </r>
  </si>
  <si>
    <t>https://consultations.rics.org/whole_life_carbon_standard/viewCompoundDoc?docid=13626324&amp;sessionid=&amp;voteid=&amp;partId=13633076</t>
  </si>
  <si>
    <t>There is a useful guide to MEP requirements estimation in the RICS WLC Standard consultation doc:</t>
  </si>
  <si>
    <t>Change log</t>
  </si>
  <si>
    <t>Removed the macros as this was a security risk for downloading copies</t>
  </si>
  <si>
    <t>Version</t>
  </si>
  <si>
    <t>Change</t>
  </si>
  <si>
    <t>Removed ICE Database repeated generic rebar figure</t>
  </si>
  <si>
    <t>RoofStructure</t>
  </si>
  <si>
    <t>Mass (kg/FU)</t>
  </si>
  <si>
    <t>kgCO2e/kg</t>
  </si>
  <si>
    <t>Added Functional Unit explanation to EPD tab</t>
  </si>
  <si>
    <t>Changed element name to RoofStructure to differentiate from BuildngStructure</t>
  </si>
  <si>
    <t>p.23 - p.29</t>
  </si>
  <si>
    <t>p.50 - p.56</t>
  </si>
  <si>
    <t xml:space="preserve">https://www.seai.ie/publications/DEAP_Manual.pdf </t>
  </si>
  <si>
    <t xml:space="preserve">https://www.seai.ie/home-energy/building-energy-rating-ber/support-for-ber-assessors/software/neap/NEAP-Guidance-Document.pdf </t>
  </si>
  <si>
    <t xml:space="preserve">In order to align with NEAP and DEAP we recommend using the same figure as per your DEAP/NEAP assessment:  </t>
  </si>
  <si>
    <t>DEAP:</t>
  </si>
  <si>
    <t>NEAP:</t>
  </si>
  <si>
    <t>for example known product or manufacturer</t>
  </si>
  <si>
    <t>C1 Waste Type 1</t>
  </si>
  <si>
    <t>C2 Waste Type 2</t>
  </si>
  <si>
    <t>A5 Material Type</t>
  </si>
  <si>
    <t>A5type</t>
  </si>
  <si>
    <t>A5 Product Type Type</t>
  </si>
  <si>
    <t>Sequestration per FU</t>
  </si>
  <si>
    <t>% of total mass</t>
  </si>
  <si>
    <t>Added A5 calc for wastage during construction, changed table names to meaningful names, EPD Mass data is copied from EPD sheet to Materials BoQ so no need to add twice. Fixed bug that was calculating figures from EPD per Functional Unit instead of EPD per kg. Provides calculation to show proportion of the total mass assigned to each material</t>
  </si>
  <si>
    <t>Total Material mass per m2 (kg)</t>
  </si>
  <si>
    <t>Included a material mass per m2 and MEP per m2 calculation for comparison across projects</t>
  </si>
  <si>
    <t>C4 calculations corrected</t>
  </si>
  <si>
    <t>Added links to DEAP and NEAP guidance for calculating floor area in Project Details tab</t>
  </si>
  <si>
    <t>Added link to RICS guidance on MEP estimation to tab 3MEP BoQ</t>
  </si>
  <si>
    <t>The purpose of this tool is to carry out a life cycle assessment (LCA) of commercial/non-commercial developments using a  standardised method in line with the EU Level(s) Framework indicator 1.2 and the ISO standard EN15978. The use of this standardised approach will enable direct comparisons both against benchmarks and between projects. Furthermore, the methodology includes checks for consistency of reporting, completeness and data quality scoring. 
When reporting the total embodied carbon figure, International Standard EN15978 and the the guidance provided in Level(s) User Manual 2 and Level(s) User Manual 3, indicator 1.2 should be followed, and a minimum of 95% of material costs should be included in the assessment. This template allows the breakdown per building element as defined in the Level(s) scope to be reported, along with a measure of the completeness of the report and the quality of the background data used.  
It is anticipated that projects will report at key stages, including planning, tender, and as-built, with the data quality increasing as the design becomes increasingly fixed/detailed. It is recommended that generic or typical carbon factors are used for materials at the early design stages to focus on the efficiency of material use and as a consistent figure before a supplier is known. These generic figures are used in this calculator and can be found in the Marterial Data tab. Once particular products have been specified, calculations should be updated using product-specific EPDs - this will improve the accuracy of the assessment and the data quality score. Generic factors are taken from the National Inventory of Generic Construction Data (NIGCD) and the Inventory of Carbon and Energy (ICE) databases. Further carbon  data from specific EPDs can be added to the table in the Material Data tab and and a QI score allocated depending on the data source (specific EPD, industry EPD etc.).
Embodied carbon figures are calculated for Upfront Carbon (modules A1-5), and Whole Life Embodied Carbon (A1-5, B1-5, C1-4), enabling the separation of construction impacts from future, less certain impacts. Replacement rates are based on Level(s) defaults.
For clarity, sequestration is reported separately if reporting only Upfront Carbon (modules A1-5) but shall be included if reporting Whole Life Carbon (A1-5, B1-5, C1-4) since a deconstruction scenario will indicate what happens to carbon sequestering elements at the End of Life (EOL). Module D should be reported separately to ensure that  future beneficial aspects of the design are also visible alongside lifecycle emissions. Offsetting is not included.
In order to claim a rating against the bandings in the EmbodiedOverview tab, the gross results for a project should be fully completed and disclosed, including disclosure of completeness and data quality, and publicly displayed on a website for verification.</t>
  </si>
  <si>
    <t>Lifts &amp; escalators</t>
  </si>
  <si>
    <t>R513a</t>
  </si>
  <si>
    <t>source:</t>
  </si>
  <si>
    <t>R600a</t>
  </si>
  <si>
    <t>https://www.sinteco-srl.com/en/products/refrigerant-gases/r600a</t>
  </si>
  <si>
    <t>https://www.kaltra.com/r-513a</t>
  </si>
  <si>
    <t>User input EPD35</t>
  </si>
  <si>
    <t>User input EPD36</t>
  </si>
  <si>
    <t>User input EPD37</t>
  </si>
  <si>
    <t>User input EPD38</t>
  </si>
  <si>
    <t>User input EPD39</t>
  </si>
  <si>
    <t>User input EPD40</t>
  </si>
  <si>
    <t>User input EPD41</t>
  </si>
  <si>
    <t>User input EPD42</t>
  </si>
  <si>
    <t>User input EPD43</t>
  </si>
  <si>
    <t>User input EPD44</t>
  </si>
  <si>
    <t>User input EPD45</t>
  </si>
  <si>
    <t>User input EPD46</t>
  </si>
  <si>
    <t>User input EPD47</t>
  </si>
  <si>
    <t>User input EPD48</t>
  </si>
  <si>
    <t>User input EPD49</t>
  </si>
  <si>
    <t>User input EPD50</t>
  </si>
  <si>
    <t>User input EPD51</t>
  </si>
  <si>
    <t>User input EPD52</t>
  </si>
  <si>
    <t>User input EPD53</t>
  </si>
  <si>
    <t>User input EPD54</t>
  </si>
  <si>
    <t>User input EPD55</t>
  </si>
  <si>
    <t>User input EPD56</t>
  </si>
  <si>
    <t>User input EPD57</t>
  </si>
  <si>
    <t>User input EPD58</t>
  </si>
  <si>
    <t>User input EPD59</t>
  </si>
  <si>
    <t>User input EPD60</t>
  </si>
  <si>
    <t>User input EPD61</t>
  </si>
  <si>
    <t>User input EPD62</t>
  </si>
  <si>
    <t>User input EPD63</t>
  </si>
  <si>
    <t>User input EPD64</t>
  </si>
  <si>
    <t>User input EPD65</t>
  </si>
  <si>
    <t>User input EPD66</t>
  </si>
  <si>
    <t>User input EPD67</t>
  </si>
  <si>
    <t>User input EPD68</t>
  </si>
  <si>
    <t>User input EPD69</t>
  </si>
  <si>
    <t>User input EPD70</t>
  </si>
  <si>
    <t>User input EPD71</t>
  </si>
  <si>
    <t>User input EPD72</t>
  </si>
  <si>
    <t>User input EPD73</t>
  </si>
  <si>
    <t>User input EPD74</t>
  </si>
  <si>
    <t>User input EPD75</t>
  </si>
  <si>
    <t>User input EPD76</t>
  </si>
  <si>
    <t>User input EPD77</t>
  </si>
  <si>
    <t>User input EPD78</t>
  </si>
  <si>
    <t>User input EPD79</t>
  </si>
  <si>
    <t>User input EPD80</t>
  </si>
  <si>
    <t>User input EPD81</t>
  </si>
  <si>
    <t>User input EPD82</t>
  </si>
  <si>
    <t>User input EPD83</t>
  </si>
  <si>
    <t>User input EPD84</t>
  </si>
  <si>
    <t>User input EPD85</t>
  </si>
  <si>
    <t>User input EPD86</t>
  </si>
  <si>
    <t>User input EPD87</t>
  </si>
  <si>
    <t>User input EPD88</t>
  </si>
  <si>
    <t>User input EPD89</t>
  </si>
  <si>
    <t>User input EPD90</t>
  </si>
  <si>
    <t>User input EPD91</t>
  </si>
  <si>
    <t>User input EPD92</t>
  </si>
  <si>
    <t>User input EPD93</t>
  </si>
  <si>
    <t>User input EPD94</t>
  </si>
  <si>
    <t>User input EPD95</t>
  </si>
  <si>
    <t>User input EPD96</t>
  </si>
  <si>
    <t>User input EPD97</t>
  </si>
  <si>
    <t>User input EPD98</t>
  </si>
  <si>
    <t>User input EPD99</t>
  </si>
  <si>
    <t>User input EPD100</t>
  </si>
  <si>
    <t>User input EPD101</t>
  </si>
  <si>
    <t>User input EPD102</t>
  </si>
  <si>
    <t>User input EPD103</t>
  </si>
  <si>
    <t>User input EPD104</t>
  </si>
  <si>
    <t>User input EPD105</t>
  </si>
  <si>
    <t>User input EPD106</t>
  </si>
  <si>
    <t>User input EPD107</t>
  </si>
  <si>
    <t>User input EPD108</t>
  </si>
  <si>
    <t>User input EPD109</t>
  </si>
  <si>
    <t>User input EPD110</t>
  </si>
  <si>
    <t>User input EPD111</t>
  </si>
  <si>
    <t>User input EPD112</t>
  </si>
  <si>
    <t>User input EPD113</t>
  </si>
  <si>
    <t>User input EPD114</t>
  </si>
  <si>
    <t>User input EPD115</t>
  </si>
  <si>
    <t>User input EPD116</t>
  </si>
  <si>
    <t>User input EPD117</t>
  </si>
  <si>
    <t>User input EPD118</t>
  </si>
  <si>
    <t>User input EPD119</t>
  </si>
  <si>
    <t>User input EPD120</t>
  </si>
  <si>
    <t>User input EPD121</t>
  </si>
  <si>
    <t>User input EPD122</t>
  </si>
  <si>
    <t>User input EPD123</t>
  </si>
  <si>
    <t>User input EPD124</t>
  </si>
  <si>
    <t>User input EPD125</t>
  </si>
  <si>
    <t>User input EPD126</t>
  </si>
  <si>
    <t>User input EPD127</t>
  </si>
  <si>
    <t>User input EPD128</t>
  </si>
  <si>
    <t>User input EPD129</t>
  </si>
  <si>
    <t>User input EPD130</t>
  </si>
  <si>
    <t>User input EPD131</t>
  </si>
  <si>
    <t>User input EPD132</t>
  </si>
  <si>
    <t>User input EPD133</t>
  </si>
  <si>
    <t>User input EPD134</t>
  </si>
  <si>
    <t>User input EPD135</t>
  </si>
  <si>
    <t>User input EPD136</t>
  </si>
  <si>
    <t>User input EPD137</t>
  </si>
  <si>
    <t>User input EPD138</t>
  </si>
  <si>
    <t>User input EPD139</t>
  </si>
  <si>
    <t>User input EPD140</t>
  </si>
  <si>
    <t>User input EPD141</t>
  </si>
  <si>
    <t>User input EPD142</t>
  </si>
  <si>
    <t>User input EPD143</t>
  </si>
  <si>
    <t>User input EPD144</t>
  </si>
  <si>
    <t>User input EPD145</t>
  </si>
  <si>
    <t>User input EPD146</t>
  </si>
  <si>
    <t>User input EPD147</t>
  </si>
  <si>
    <t>User input EPD148</t>
  </si>
  <si>
    <t>User input EPD149</t>
  </si>
  <si>
    <t>Assessment By (individual)</t>
  </si>
  <si>
    <t>Commissioned By (organisation)</t>
  </si>
  <si>
    <t xml:space="preserve">I confirm this assessment has been performed in accordance with the requirements of EN 15978 and Level(s) indicator 1.2 </t>
  </si>
  <si>
    <t>Reason for commission:</t>
  </si>
  <si>
    <t>Signature</t>
  </si>
  <si>
    <t>kgCO2e/m2/year Operational Carbon</t>
  </si>
  <si>
    <t>kgCO2e/m2/year Embodied Carbon</t>
  </si>
  <si>
    <t>kgCO2e/m2/year WLC</t>
  </si>
  <si>
    <t>TOTAL EC</t>
  </si>
  <si>
    <t>Kg Mass</t>
  </si>
  <si>
    <t>KgCO2e (A1-3)</t>
  </si>
  <si>
    <t>KgCO2e (Total)</t>
  </si>
  <si>
    <t>Added automatic update chart for most impactful materials</t>
  </si>
  <si>
    <t>Kg CO2e</t>
  </si>
  <si>
    <t>Steel</t>
  </si>
  <si>
    <t>Brick</t>
  </si>
  <si>
    <t>Aluminium</t>
  </si>
  <si>
    <t>Timber</t>
  </si>
  <si>
    <t>Added summing of all concrete elements, glass elements, brick elementse etc. in the results page</t>
  </si>
  <si>
    <t>4.1 The building form factor</t>
  </si>
  <si>
    <t>Data Quality</t>
  </si>
  <si>
    <t>General Information</t>
  </si>
  <si>
    <t>Owner</t>
  </si>
  <si>
    <t>Architect</t>
  </si>
  <si>
    <t>Contractor</t>
  </si>
  <si>
    <r>
      <t>Useful Internal Floor Area (m</t>
    </r>
    <r>
      <rPr>
        <b/>
        <vertAlign val="superscript"/>
        <sz val="10"/>
        <rFont val="Arial"/>
        <family val="2"/>
      </rPr>
      <t>2</t>
    </r>
    <r>
      <rPr>
        <b/>
        <sz val="10"/>
        <rFont val="Arial"/>
        <family val="2"/>
      </rPr>
      <t xml:space="preserve">) </t>
    </r>
  </si>
  <si>
    <t>Year of Completion</t>
  </si>
  <si>
    <t>New build or major renovation</t>
  </si>
  <si>
    <t>Brief description</t>
  </si>
  <si>
    <t xml:space="preserve">UPFRONT Carbon (A1-A5): </t>
  </si>
  <si>
    <r>
      <t>kgCO</t>
    </r>
    <r>
      <rPr>
        <b/>
        <vertAlign val="subscript"/>
        <sz val="10"/>
        <color theme="1"/>
        <rFont val="Arial"/>
        <family val="2"/>
      </rPr>
      <t>2</t>
    </r>
    <r>
      <rPr>
        <b/>
        <sz val="10"/>
        <color theme="1"/>
        <rFont val="Arial"/>
        <family val="2"/>
      </rPr>
      <t>e/m</t>
    </r>
    <r>
      <rPr>
        <b/>
        <vertAlign val="superscript"/>
        <sz val="10"/>
        <color theme="1"/>
        <rFont val="Arial"/>
        <family val="2"/>
      </rPr>
      <t>2</t>
    </r>
  </si>
  <si>
    <t>Drainage Systems &amp; Utilities</t>
  </si>
  <si>
    <t>Landscaping &amp; Parking</t>
  </si>
  <si>
    <t>Facades &amp; Roof</t>
  </si>
  <si>
    <t>MEP</t>
  </si>
  <si>
    <t>Interview Questions</t>
  </si>
  <si>
    <t>Assessment objective</t>
  </si>
  <si>
    <t xml:space="preserve">What was the main objective of doing an LCA for this building? </t>
  </si>
  <si>
    <t>Design benchmarks</t>
  </si>
  <si>
    <t xml:space="preserve">Which embodied carbon benchmarks did this project adopt in the design stage? </t>
  </si>
  <si>
    <t>Material selection</t>
  </si>
  <si>
    <t>How were the materials of this building selected?</t>
  </si>
  <si>
    <t>Design decision justification</t>
  </si>
  <si>
    <t>What were the justifications for the final design decisions?</t>
  </si>
  <si>
    <t>Client engagement</t>
  </si>
  <si>
    <t>Did the client engage in the design process? Which of his decisions had a significant impact on the project development?</t>
  </si>
  <si>
    <t xml:space="preserve">Procurement </t>
  </si>
  <si>
    <t>Which decision had the most significant environmental impact in the procurement stage?</t>
  </si>
  <si>
    <t>Key barriers and challenges</t>
  </si>
  <si>
    <t>What were the key barriers and challenges during the project development stages?</t>
  </si>
  <si>
    <t>Success stories</t>
  </si>
  <si>
    <t>Are there any success stories in reducing the embodied carbon for this building?</t>
  </si>
  <si>
    <t>Key lessons learned</t>
  </si>
  <si>
    <t>What are the key lessons learned from this project?</t>
  </si>
  <si>
    <t>Welcome</t>
  </si>
  <si>
    <t xml:space="preserve"> ConstructInnovate / IGBC / University of Galway</t>
  </si>
  <si>
    <t>How to use this calculator</t>
  </si>
  <si>
    <t>https://susproc.jrc.ec.europa.eu/product-bureau/product-groups/412/documents</t>
  </si>
  <si>
    <t>Add text</t>
  </si>
  <si>
    <t>Pick from list</t>
  </si>
  <si>
    <t>Brief description (building type, number of stories, basement, site conditions, materials, constraints, structural system, servicing strategy):</t>
  </si>
  <si>
    <t>1. Location</t>
  </si>
  <si>
    <t>2. Building type</t>
  </si>
  <si>
    <t>3.1 Projected occupancy density</t>
  </si>
  <si>
    <t xml:space="preserve">3.2 Projected occupation pattern </t>
  </si>
  <si>
    <t>3.3 Intended  service life</t>
  </si>
  <si>
    <t>4.2 The scope</t>
  </si>
  <si>
    <t>EN15978 &amp; Level(s) scope boundaries. Material carbon factors are drawn from IGBC Irish Generic Database and assumptions are specific to the Irish context. EPDs may also be included by the assessor if available.</t>
  </si>
  <si>
    <t>Calculated automatically</t>
  </si>
  <si>
    <t>Optional Comments</t>
  </si>
  <si>
    <t xml:space="preserve">Material </t>
  </si>
  <si>
    <t>Kg per unit</t>
  </si>
  <si>
    <t>Help</t>
  </si>
  <si>
    <t>Material - Select a material from the dropdown list. If the exact match is not there you can choose either the nearest thing, or add data from an EPD. To add an EPD click on the EPD tab and follow the instructions. This will then appear at the bottom of the dropdown list for you to use.</t>
  </si>
  <si>
    <t>Scope Element - choose which part of the building the material will be used in.</t>
  </si>
  <si>
    <t>Number / Unit / Kg per unit -  everything is measured in Kg so to display this either enter the unit as 'kg' if known, in which case the Kg per unit is '1' or enter a different unit and conversion factor of Kgs per unit.</t>
  </si>
  <si>
    <t xml:space="preserve">Example: 1 cubic meter of concrete weighs 2,500kg so the Kg per unit conversion factor is 2,500. See Densities Help tab for conversion factors of many common materials. </t>
  </si>
  <si>
    <t>% total mass is the proportion of the total mass of the model for each material line.</t>
  </si>
  <si>
    <t>A5 - Product Type - the type of material, used to calculate likely wastage during construction</t>
  </si>
  <si>
    <t>Type &amp; Location - used to calculate the assumed distance the material will travel to site, including by sea for non-Irish materials</t>
  </si>
  <si>
    <t>Waste Type 2 - this is combined with EPA data to calculate the carbon impact of the likely final disposal method</t>
  </si>
  <si>
    <t>Waste Type 1 - this is combined with EPA data to calculate the likely disposal journey at the end of the building's life</t>
  </si>
  <si>
    <t>Product name - add the name of the product the EPD refers to. This will then appear at the bottom of the dropdown list in the Materials BoQ</t>
  </si>
  <si>
    <t>EPD Type - EPDs can vary in the specifity of the product and therefore the accuracy of the data. Check which of these best describes the EPD you are referring to.</t>
  </si>
  <si>
    <t>Fossil Fuel A1-3 GWP (kgCO2e/FU)</t>
  </si>
  <si>
    <t>A1 - 3 GWP will be dispalyed in a table towards the end of the document, make sure you include the figure that excludes any sequestration.</t>
  </si>
  <si>
    <t>Mass - what is the mass in Kg of the Functional Unit? This may be in the EPD or you may have to consult other technical specifications</t>
  </si>
  <si>
    <t>Sequestration is usually only relevant for organic products - include if available</t>
  </si>
  <si>
    <t xml:space="preserve">EPD link - Please add a link to the EPD. You should only use EPDs of products that are being used. If a product has no EPD, use the default generics already given. If the exact product is not there, choose the closest thing. </t>
  </si>
  <si>
    <t>Seq. (kgCO2e/kg)</t>
  </si>
  <si>
    <t>Polyvinyl chloride (PVC)</t>
  </si>
  <si>
    <t>Some key materials are highlighted in bold</t>
  </si>
  <si>
    <t xml:space="preserve">For each line estimate the number of kilos going into the project. This will allow us to apply a rough estimate of the carbon linked to the MEP. There is currently a lack of consistent research in this area but it is thought to be significant. By estimating masses and making similar assumptions across projects we begin to see where to focus efforts for reduction. </t>
  </si>
  <si>
    <t>MEP category</t>
  </si>
  <si>
    <t>CIBSE TM65 is researching the Embodied Carbon of MEP. The data you supply here will provide rough estimates and we may be able to apply CIBSE research findings retrospectively later and this data will be useful</t>
  </si>
  <si>
    <t>Input the annual demand:</t>
  </si>
  <si>
    <t xml:space="preserve">For each energy source input the number of kilowatt hours per year the project requires - this is the demand as predicted in the energy model, or for existing projects, as displayed in energy bills. This is particularly important for electricity as it will allow us to apply a consistent primary energy factor and GWP factor for each year in the future as forecast by the SEAI. </t>
  </si>
  <si>
    <t>kWh</t>
  </si>
  <si>
    <t>Annual Demand</t>
  </si>
  <si>
    <t xml:space="preserve">Estimate the charge. For each line estimate the number of kilos of refrigerant going into the project. This will allow us to apply a consistent GWP and leakage factor to all projects. </t>
  </si>
  <si>
    <t>Usage</t>
  </si>
  <si>
    <t>number</t>
  </si>
  <si>
    <t>unit</t>
  </si>
  <si>
    <t xml:space="preserve">Estimate the daily demand. For each usage a consistent assumption of the number of litres can be applied, along with a carbon factor for pumping and treating water as supplied by Irish Water. This does not include the energy required for heating water, which would be included in the Energy BoQ. </t>
  </si>
  <si>
    <t>Or use the calculator at the Unified Water Label service:</t>
  </si>
  <si>
    <t xml:space="preserve"> http://www.thewatercalculator.org.uk/login.asp </t>
  </si>
  <si>
    <t>Source:</t>
  </si>
  <si>
    <t>CIBSE TM65</t>
  </si>
  <si>
    <t>B1 - In use emissions</t>
  </si>
  <si>
    <t>GWP over 100 years (kg CO2eq)</t>
  </si>
  <si>
    <t>B6 - Operational emissions factors</t>
  </si>
  <si>
    <t>B7 - Water usage carbon intensity</t>
  </si>
  <si>
    <t>C1 - Deconstruction/Demolition</t>
  </si>
  <si>
    <t>Carbon factor</t>
  </si>
  <si>
    <t>C2 - Transport</t>
  </si>
  <si>
    <t>Percentage split of end-of-life treatment scenarios by material category</t>
  </si>
  <si>
    <t>(EPA Ireland, 2021)</t>
  </si>
  <si>
    <t>C3 - Waste processing</t>
  </si>
  <si>
    <t xml:space="preserve">Source: </t>
  </si>
  <si>
    <t>C4 - Waste disposal</t>
  </si>
  <si>
    <t>B4 - Reference Service Life of building elements</t>
  </si>
  <si>
    <t>Default Service Life assumtions - LEVELS User Manual 3, INDICATOR 1.2, TABLE 4</t>
  </si>
  <si>
    <t xml:space="preserve">IStructE 2020 - HGV (all diesel) average laden </t>
  </si>
  <si>
    <t>Tier 1 element</t>
  </si>
  <si>
    <t>Tier 2 element</t>
  </si>
  <si>
    <t>Default Service Life</t>
  </si>
  <si>
    <t>RICS WLCA Professional Statement 2023</t>
  </si>
  <si>
    <t>TM65 estimates of emissions</t>
  </si>
  <si>
    <t>for MEP  are not yet broken down into</t>
  </si>
  <si>
    <t>all modules so C2-4 emissions are</t>
  </si>
  <si>
    <t>included in A1-3 here.</t>
  </si>
  <si>
    <t>Either not relevant, statitsically insignificant or not included in EN15978 standard</t>
  </si>
  <si>
    <t>TOTAL Embodied Carbon</t>
  </si>
  <si>
    <r>
      <t>TOTAL per m</t>
    </r>
    <r>
      <rPr>
        <b/>
        <vertAlign val="superscript"/>
        <sz val="10"/>
        <color theme="0"/>
        <rFont val="Arial"/>
        <family val="2"/>
      </rPr>
      <t>2</t>
    </r>
  </si>
  <si>
    <t>KEY FIGURE</t>
  </si>
  <si>
    <t>Key figures - total EC and Total EC per m2</t>
  </si>
  <si>
    <t xml:space="preserve">Top five materials by MASS </t>
  </si>
  <si>
    <t>Total kg</t>
  </si>
  <si>
    <t xml:space="preserve">Top five most impactful materials (A1 - 3) </t>
  </si>
  <si>
    <t>Total per m2</t>
  </si>
  <si>
    <t>Stage</t>
  </si>
  <si>
    <t>Description</t>
  </si>
  <si>
    <t>1. Inception</t>
  </si>
  <si>
    <t>Initial consultation, outline brief, and advice. Assessment of client's requirements and constraints. Identification of any need for specialist services.</t>
  </si>
  <si>
    <t>2. Feasibility</t>
  </si>
  <si>
    <t>Preliminary assessment of the feasibility of the client's requirements. Sketch proposals and initial design. Outline proposals for structural design, building services systems, outline specifications, and preliminary costings. Review of initial information and identification of need for further information.</t>
  </si>
  <si>
    <t>3. Outline Proposal</t>
  </si>
  <si>
    <t>Development of initial concept design to include coordination of structural and building services design. Application for planning permission if required. Review of construction budget and update of project timetable.</t>
  </si>
  <si>
    <t>4. Scheme Design</t>
  </si>
  <si>
    <t>Development of design proposals including structural and building services systems, updated outline specifications and cost information. Submission of planning application if not already done. Application for approvals from other authorities.</t>
  </si>
  <si>
    <t>5. Detail Design</t>
  </si>
  <si>
    <t>Preparation of production information in sufficient detail to enable a tender or tenders to be obtained. Application for statutory approvals.</t>
  </si>
  <si>
    <t>6. Production Information</t>
  </si>
  <si>
    <t>Technical design and detailing for construction purposes. Finalizing the design and specifications. Preparation of tender documentation.</t>
  </si>
  <si>
    <t>7. Tender Action</t>
  </si>
  <si>
    <t>Identification and evaluation of potential contractors. Tendering process. Appraisal and recommendation of tenders.</t>
  </si>
  <si>
    <t>8. Project Planning</t>
  </si>
  <si>
    <t>Detailed project planning after the contractor has been selected. Setting up lines of communication and roles for the project team. Review of contract conditions.</t>
  </si>
  <si>
    <t>9. Operations on Site</t>
  </si>
  <si>
    <t>Administration of the building contract. Visits to the site to inspect the works. Dealing with contractual and financial matters.</t>
  </si>
  <si>
    <t>10. Completion</t>
  </si>
  <si>
    <t>Administration of the contract through to completion. Agreement of final account. Rectification period or defects liability period administration.</t>
  </si>
  <si>
    <t>11. Feedback</t>
  </si>
  <si>
    <t>Post-occupancy evaluation. Review of project performance and outcomes. Feedback to inform future projects.</t>
  </si>
  <si>
    <t>Form factor</t>
  </si>
  <si>
    <t>Add image here</t>
  </si>
  <si>
    <t>Sector</t>
  </si>
  <si>
    <t xml:space="preserve">50 years. </t>
  </si>
  <si>
    <t xml:space="preserve">Elements to be assessed is built into the model from table 11 Level(s) User Manual 2. </t>
  </si>
  <si>
    <t>A5 Construction</t>
  </si>
  <si>
    <t>B1 Use</t>
  </si>
  <si>
    <t>B7 Water</t>
  </si>
  <si>
    <t>C1 Deconstruction</t>
  </si>
  <si>
    <t xml:space="preserve">C2 Transport </t>
  </si>
  <si>
    <t>C3 Recycle/Re-use</t>
  </si>
  <si>
    <t>C4 Landfill / Incineration</t>
  </si>
  <si>
    <t>Upfront embodied carbon</t>
  </si>
  <si>
    <t xml:space="preserve">Lifecycle embodied carbon </t>
  </si>
  <si>
    <t>A1 - C4 (exc. B6,B7)</t>
  </si>
  <si>
    <t>A1 - A5</t>
  </si>
  <si>
    <t>Embodied</t>
  </si>
  <si>
    <t>Operational</t>
  </si>
  <si>
    <t>This calculator was developed in response to the Climate Action Plan Action 198:</t>
  </si>
  <si>
    <t>Completeness:</t>
  </si>
  <si>
    <t>Included in assessment</t>
  </si>
  <si>
    <t>Included in building</t>
  </si>
  <si>
    <t>kg per m2</t>
  </si>
  <si>
    <t>Operational carbon over 50 years</t>
  </si>
  <si>
    <t>Data can be from EPDs or generic estimates. EPD data will provide the more accurate result for Embodied Carbon</t>
  </si>
  <si>
    <t xml:space="preserve">Simplified estimate for Construction Waste taken from the Levels manuals. </t>
  </si>
  <si>
    <t>https://www.cibsejournal.com/technical/calculating-whole-life-carbon-in-heating-and-cooling-systems/</t>
  </si>
  <si>
    <t>You should complete all relevant elements</t>
  </si>
  <si>
    <t xml:space="preserve">If an element in this list does not apply to your building - that is to say it does not exist in your building - go to the Results tab, column F and change the 'Yes' to 'No' under the 'Required?' heading. </t>
  </si>
  <si>
    <t>A1 - A3 Manufacture</t>
  </si>
  <si>
    <t>Seq. Total</t>
  </si>
  <si>
    <t>Substructure</t>
  </si>
  <si>
    <t>Structure</t>
  </si>
  <si>
    <t>Parking</t>
  </si>
  <si>
    <t>Fittings</t>
  </si>
  <si>
    <t>Drainage</t>
  </si>
  <si>
    <t>Lighting</t>
  </si>
  <si>
    <t>Ventilation</t>
  </si>
  <si>
    <t>Sanitary</t>
  </si>
  <si>
    <t>Please limit to 200 words covering the key points</t>
  </si>
  <si>
    <t>per m2</t>
  </si>
  <si>
    <t>Timber -Softwood - Exc. Carbon Storage</t>
  </si>
  <si>
    <t>Timber -Wood I-Beam - Exc. Carbon Storage</t>
  </si>
  <si>
    <t>Timber -Wood-plastic composite - Exc. Carbon Storage</t>
  </si>
  <si>
    <t>Timber -Parquet - Exc. Carbon Storage</t>
  </si>
  <si>
    <t>Timber -Open panel timber frame system - Exc. Carbon Storage</t>
  </si>
  <si>
    <t>Timber -Laminated veneer lumber - Exc. Carbon Storage</t>
  </si>
  <si>
    <t>Timber -Average of all ICE timber data - Exc. Carbon Storage</t>
  </si>
  <si>
    <t>Timber -Closed panel timber frame system - Exc. Carbon Storage</t>
  </si>
  <si>
    <t>Timber -CLT - Exc. Carbon Storage</t>
  </si>
  <si>
    <t>Timber -Fibreboard - Exc. Carbon Storage</t>
  </si>
  <si>
    <t>Timber -Glulam - Exc. Carbon Storage</t>
  </si>
  <si>
    <t>Timber -Hardboard - Exc. Carbon Storage</t>
  </si>
  <si>
    <t>Timber -Hardwood - Exc. Carbon Storage</t>
  </si>
  <si>
    <t>Timber -Laminate - Exc. Carbon Storage</t>
  </si>
  <si>
    <t>Timber -Laminated strand lumber - Exc. Carbon Storage</t>
  </si>
  <si>
    <t>Whole Life Carbon  (A1-5,B1,4,6,7, C1-4)</t>
  </si>
  <si>
    <t xml:space="preserve">Completeness of Level(s) Scope </t>
  </si>
  <si>
    <t>See bottom of page 1 for scope inclusions and omissions</t>
  </si>
  <si>
    <t>IMPORTANT:</t>
  </si>
  <si>
    <t>As well as the mass above, add any other details you may have below so we can in the future go back and improve on this</t>
  </si>
  <si>
    <t xml:space="preserve">The spreadsheet is split into sections to build up an overall model of the project. Completing each section will produce a report in the 'Report Template' tab.
1 - Project details, where the general aspects of the building are entered. 
This records data useful for analysis, such as building type, useful floor area, usage patterns etc. Please include as much information about the building as possible. The Level(s) data is consistent across European studies and should allow for buildings to be grouped and compared in the future. Sharing comparable data should enable results comparisons across projects in different Member States, and allow better benchmarking, completeness and data quality checks.  
2 - Materials BoQ, input the quantities and types of materials data here.
Since all carbon factors are in kgCO2e per kg of material, you must enter the quantities in kg either directly or using a mass/density calculation. Please use a plausible conversion figure - there is a Densities help tab that may help. Completion of the Materials tab will apply carbon factors per kg of material and apply replacement cycles as specified by the Level(s) methodology where appropriate. Please note, these replacement cycles may not be as planned on your project - they are there to give consistent assumptions for comparing designs possible future scenarios. If you plan for different replacement cycles, please record this in the Scenarios, Assumptions tab. The aim of LCA is not to create an exact model of the future life of an asset, but to provide a decision making tool for guiding your design today.  
To insert a new row of data, click the new row button or click the Add 5 new rows button to add five new rows.  
Choose the material type from the dropdown in column A to apply the carbon factors and replacement cycles to the quantities. If you cannot find the exact material, please choose the closest match. 
3 - MEP BoQ. Estimate the weight in kg of each of the services involved in the building design. The sheet will apply TM65 default carbon figures and Level(s) replacement cycles. Results are shown in the ResultTable. 
4 - Energy BoQ refers to the energy required to heat, cool and light the building. It should not include energy for plug loads and other user driven energy demand. The calculations are based on a 50 year period and annual primary energy and carbon factors are applied according to SEAI projections of a decarbonising electricity grid to give a truer picture of future emissions over the 50 years. Input the estimated annual demand(s) for heating, cooling and lighting, not for plug loads.
5 - Refrigerant BoQ. If your model includes refrigerants input the charge (amount) for each refrigerant used here. 
6 - Water BoQ. Estimate the water usage estimates if known. This sheet applies a carbon factor for pumping and treating water supplied by Irish Water, not heating. Heating energy should be included in the Energy BoQ sheet. 
Result Table, results are shown in a table to clearly display what is included. The physical scope is listed in columns A-C and the lifecycle stages (temporal scope) are shown in row 2. Simply read across the row of the element to see its carbon impact at each stage. There should be data in all cells for modules A1-3. Where an element needs replacing during the lifetime of the building (services and finishes for example) there should also be data in module B4. Large elements such as the structure are unlikely to need replacing so B4 will be blank. Operational emissions are shown in cell P49. Total results for each stage are shown in row 52 and per m2  is shown in row 53. The total for the whole project is in cell V52 and per m2 (excluding B6 and B7) is show in V53. The ICMS code is there to track the completeness of your study.
There is a quick reference graphic to the right of the table for the embodied carbon per building element and per lifecycle stage.  It also tracks the completeness of your assessment to show how many elements of the scope have been included, and a data quality score which indexes and weights the quality of each data source depending on whether it is generic (low quality) or a specific EPD (high quality) data source. </t>
  </si>
  <si>
    <t>User input EPD10</t>
  </si>
  <si>
    <t>Glasswool</t>
  </si>
  <si>
    <t>Over 50 years</t>
  </si>
  <si>
    <r>
      <t>Useful Internal FA (m</t>
    </r>
    <r>
      <rPr>
        <b/>
        <vertAlign val="superscript"/>
        <sz val="10"/>
        <rFont val="Arial"/>
        <family val="2"/>
      </rPr>
      <t>2</t>
    </r>
    <r>
      <rPr>
        <b/>
        <sz val="10"/>
        <rFont val="Arial"/>
        <family val="2"/>
      </rPr>
      <t xml:space="preserve">) </t>
    </r>
  </si>
  <si>
    <t>Main Contractor</t>
  </si>
  <si>
    <t>kWh/m2</t>
  </si>
  <si>
    <t>Total demand per m2</t>
  </si>
  <si>
    <t>The remainder is made up of operational emissions from heating, cooling and lighting, refrigerant leaks and the embodied carbon associated with replacements of elements that will not last the full lifetime of the building, and the deconstruction and disposal of the building elements.</t>
  </si>
  <si>
    <t>LCA Results to Project Completion (A1-5)</t>
  </si>
  <si>
    <t>The Assessment Scope - EU Level(s)</t>
  </si>
  <si>
    <t>Electricity Grid (forecast)</t>
  </si>
  <si>
    <t>www.YOURWEBSITE.com</t>
  </si>
  <si>
    <t>flushes/occupant/day</t>
  </si>
  <si>
    <t xml:space="preserve">2.2 Year of construction if renovation </t>
  </si>
  <si>
    <t>&lt; FF = surface area of envelope (m2)/volume(m3) &gt;</t>
  </si>
  <si>
    <t>User input EPD7</t>
  </si>
  <si>
    <t>User input EPD8</t>
  </si>
  <si>
    <t>User input EPD9</t>
  </si>
  <si>
    <t>R600a (isobutane)</t>
  </si>
  <si>
    <t>CELL LEGEND:</t>
  </si>
  <si>
    <t xml:space="preserve">CELL LEGEND: </t>
  </si>
  <si>
    <t>User input EPD2</t>
  </si>
  <si>
    <t>User input EPD3</t>
  </si>
  <si>
    <t>User input EPD4</t>
  </si>
  <si>
    <t>User input EPD5</t>
  </si>
  <si>
    <t>User input EPD6</t>
  </si>
  <si>
    <t>Test the methodology</t>
  </si>
  <si>
    <t>ICMS3 preferred</t>
  </si>
  <si>
    <t xml:space="preserve"> 4.3 Reporting Format</t>
  </si>
  <si>
    <t>Colour changes</t>
  </si>
  <si>
    <t>Changes to replacement cycle calc</t>
  </si>
  <si>
    <t>Report template edits</t>
  </si>
  <si>
    <t>Information Source:</t>
  </si>
  <si>
    <t>Estimate</t>
  </si>
  <si>
    <t>Energy model</t>
  </si>
  <si>
    <t>EPC</t>
  </si>
  <si>
    <t>Actual billed usage</t>
  </si>
  <si>
    <t>Added information source choice to Energy tab</t>
  </si>
  <si>
    <t>Monitored data</t>
  </si>
  <si>
    <r>
      <t>tonnes CO</t>
    </r>
    <r>
      <rPr>
        <b/>
        <vertAlign val="subscript"/>
        <sz val="16"/>
        <color theme="0"/>
        <rFont val="Arial"/>
        <family val="2"/>
      </rPr>
      <t>2</t>
    </r>
    <r>
      <rPr>
        <b/>
        <sz val="16"/>
        <color theme="0"/>
        <rFont val="Arial"/>
        <family val="2"/>
      </rPr>
      <t>e</t>
    </r>
  </si>
  <si>
    <r>
      <t>kg CO</t>
    </r>
    <r>
      <rPr>
        <b/>
        <vertAlign val="subscript"/>
        <sz val="16"/>
        <color theme="0"/>
        <rFont val="Arial"/>
        <family val="2"/>
      </rPr>
      <t>2</t>
    </r>
    <r>
      <rPr>
        <b/>
        <sz val="16"/>
        <color theme="0"/>
        <rFont val="Arial"/>
        <family val="2"/>
      </rPr>
      <t>e/m</t>
    </r>
    <r>
      <rPr>
        <b/>
        <vertAlign val="superscript"/>
        <sz val="16"/>
        <color theme="0"/>
        <rFont val="Arial"/>
        <family val="2"/>
      </rPr>
      <t>2</t>
    </r>
  </si>
  <si>
    <r>
      <t>kg CO</t>
    </r>
    <r>
      <rPr>
        <b/>
        <vertAlign val="subscript"/>
        <sz val="16"/>
        <color theme="0"/>
        <rFont val="Arial"/>
        <family val="2"/>
      </rPr>
      <t>2</t>
    </r>
    <r>
      <rPr>
        <b/>
        <sz val="16"/>
        <color theme="0"/>
        <rFont val="Arial"/>
        <family val="2"/>
      </rPr>
      <t>e/m</t>
    </r>
    <r>
      <rPr>
        <b/>
        <vertAlign val="superscript"/>
        <sz val="16"/>
        <color theme="0"/>
        <rFont val="Arial"/>
        <family val="2"/>
      </rPr>
      <t xml:space="preserve">2 </t>
    </r>
    <r>
      <rPr>
        <b/>
        <sz val="16"/>
        <color theme="0"/>
        <rFont val="Arial"/>
        <family val="2"/>
      </rPr>
      <t>/ year</t>
    </r>
  </si>
  <si>
    <r>
      <t>Whole Life Operational Carbon per m</t>
    </r>
    <r>
      <rPr>
        <b/>
        <vertAlign val="superscript"/>
        <sz val="16"/>
        <color theme="0"/>
        <rFont val="Arial"/>
        <family val="2"/>
      </rPr>
      <t>2</t>
    </r>
    <r>
      <rPr>
        <b/>
        <sz val="16"/>
        <color theme="0"/>
        <rFont val="Arial"/>
        <family val="2"/>
      </rPr>
      <t xml:space="preserve"> (B6/UFA)</t>
    </r>
  </si>
  <si>
    <t>Whole Life Carbon, kg per m2 / year (A1-C4/UFA/50)</t>
  </si>
  <si>
    <t>Changed reporting template to make headline results clearer</t>
  </si>
  <si>
    <r>
      <t>Whole Life Embodied Carbon per m</t>
    </r>
    <r>
      <rPr>
        <b/>
        <vertAlign val="superscript"/>
        <sz val="12"/>
        <color theme="0"/>
        <rFont val="Arial"/>
        <family val="2"/>
      </rPr>
      <t>2</t>
    </r>
    <r>
      <rPr>
        <b/>
        <sz val="12"/>
        <color theme="0"/>
        <rFont val="Arial"/>
        <family val="2"/>
      </rPr>
      <t xml:space="preserve"> (A1-5,B1, B4, C1-4)/UFA</t>
    </r>
  </si>
  <si>
    <t>100% New</t>
  </si>
  <si>
    <t>100% Renovation</t>
  </si>
  <si>
    <t>Mix (please add in description)</t>
  </si>
  <si>
    <t>User input EPD1</t>
  </si>
  <si>
    <t>Contractor TBA</t>
  </si>
  <si>
    <t>TBA</t>
  </si>
  <si>
    <t>I ASKED CHAT GPT FOR THESE ESTIMATES</t>
  </si>
  <si>
    <t>MEP Category</t>
  </si>
  <si>
    <t>TYPE</t>
  </si>
  <si>
    <t>AMOUNT</t>
  </si>
  <si>
    <t>UNIT</t>
  </si>
  <si>
    <t>UNITS</t>
  </si>
  <si>
    <t>CONVERSION TO KG</t>
  </si>
  <si>
    <t>TOTAL KG</t>
  </si>
  <si>
    <t>TM65 CATEGORIES</t>
  </si>
  <si>
    <t>5.2.2.1 Surface water/ rainwater/ foul water drainage</t>
  </si>
  <si>
    <t>Condensate drain pipe (20mm diam.)</t>
  </si>
  <si>
    <t>5.3.1.2 Heat &amp; hot water distribution, control, ancillaries, emitters, exchangers/ terminal units</t>
  </si>
  <si>
    <t>LTHW pipework + insulation (20mm diam)</t>
  </si>
  <si>
    <t>5.3.2.2 Cooling emitter, exchangers/ terminal units, ancillaries and control, distribution, storage</t>
  </si>
  <si>
    <t xml:space="preserve"> CHW pipework (25mm diam,)</t>
  </si>
  <si>
    <t>5.4.1 Air movement</t>
  </si>
  <si>
    <t>FCU</t>
  </si>
  <si>
    <t>5.42.1.Air terminals</t>
  </si>
  <si>
    <t>Supply grille</t>
  </si>
  <si>
    <t>5.4.2.2 Ductwork &amp; ancillaries</t>
  </si>
  <si>
    <r>
      <t>1m</t>
    </r>
    <r>
      <rPr>
        <vertAlign val="superscript"/>
        <sz val="11"/>
        <color theme="1"/>
        <rFont val="Calibri"/>
        <family val="2"/>
        <scheme val="minor"/>
      </rPr>
      <t>2</t>
    </r>
    <r>
      <rPr>
        <sz val="11"/>
        <color theme="1"/>
        <rFont val="Calibri"/>
        <family val="2"/>
        <scheme val="minor"/>
      </rPr>
      <t> surface area of plain ductwork including insulation</t>
    </r>
  </si>
  <si>
    <r>
      <t>m</t>
    </r>
    <r>
      <rPr>
        <vertAlign val="superscript"/>
        <sz val="11"/>
        <color theme="1"/>
        <rFont val="Calibri"/>
        <family val="2"/>
        <scheme val="minor"/>
      </rPr>
      <t>2</t>
    </r>
  </si>
  <si>
    <t>5.4.2.3 Control dampers, attenuation and fIre safety related to ventilation equipment</t>
  </si>
  <si>
    <t>VCD</t>
  </si>
  <si>
    <t>5.5.3.1 Electrical power</t>
  </si>
  <si>
    <t>Power supply to FCU</t>
  </si>
  <si>
    <t>Cleaners socket</t>
  </si>
  <si>
    <t>Cable tray &amp; fittings 200mm cable (lighting/power)</t>
  </si>
  <si>
    <t>Cable tray &amp; fittings 200mm cable (comms)</t>
  </si>
  <si>
    <t>5.5.3.4 BMS</t>
  </si>
  <si>
    <t>FCU Unitary controller</t>
  </si>
  <si>
    <t>5.5.3.6 Fire detection &amp; alarm</t>
  </si>
  <si>
    <t>Smoke detector</t>
  </si>
  <si>
    <t>5.5.1.1 Internal lighting</t>
  </si>
  <si>
    <t>Lighting fixture</t>
  </si>
  <si>
    <t>Cabling (25m per fixture) per fixture</t>
  </si>
  <si>
    <t>Lighting control</t>
  </si>
  <si>
    <t>per tenant door</t>
  </si>
  <si>
    <t>LCM</t>
  </si>
  <si>
    <t>PIR Sensor</t>
  </si>
  <si>
    <t>5.5.1.3 Emergency lighting</t>
  </si>
  <si>
    <t>Emergency Lighting</t>
  </si>
  <si>
    <t>+25% of the above</t>
  </si>
  <si>
    <t>5.6.4.1 Sprinkler system</t>
  </si>
  <si>
    <t>Sprinkler head</t>
  </si>
  <si>
    <t>Sprinkler pipework (20mm diam.)</t>
  </si>
  <si>
    <t>???</t>
  </si>
  <si>
    <t>Number of tenant doors</t>
  </si>
  <si>
    <t>DOES IT EXIST IN THIS BUILDING?</t>
  </si>
  <si>
    <t>Luminaires (2)</t>
  </si>
  <si>
    <t>pipes (3)</t>
  </si>
  <si>
    <t>Pipes (2)</t>
  </si>
  <si>
    <t>multiplied by 50</t>
  </si>
  <si>
    <t xml:space="preserve">Floor area (FA) = </t>
  </si>
  <si>
    <t>M2 FA per unit</t>
  </si>
  <si>
    <t xml:space="preserve">https://www.rics.org/profession-standards/rics-standards-and-guidance/sector-standards/construction-standards/whole-life-carbon-assessment#mep-tables </t>
  </si>
  <si>
    <t xml:space="preserve">THIS IS based on CAT A from supplementary table at </t>
  </si>
  <si>
    <t>Owner's name</t>
  </si>
  <si>
    <t>ADD MORE ROWS IF REQUIRED BY DRAGGING DOWN THE BOTTOM RIGHT CORNER</t>
  </si>
  <si>
    <t>Stone - Slate</t>
  </si>
  <si>
    <t>Concrete - Precast - Hollowcore prestressed slabs</t>
  </si>
  <si>
    <t xml:space="preserve"> WLC CALCULATOR - v2.20</t>
  </si>
  <si>
    <t>USE THIS TOOL TO ESTIMATE THE MEP IF YOU HAVE NO DATA AT ALL. FILL IN THE FLOOR AREA AND NUMBER OF TENANT DOORS, THEN COPY THE RESULTS FROM COLUMN J INTO THE MEP TAB.</t>
  </si>
  <si>
    <t xml:space="preserve">NOTE - THIS IS A ROUGH ESTIMATION TOOL BASED ON RICS GUIDANCE ON HOW TO DO EARLY STAGE ESTIMATING.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</si>
</sst>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000"/>
    <numFmt numFmtId="165" formatCode="0.000"/>
    <numFmt numFmtId="166" formatCode="0.0"/>
    <numFmt numFmtId="167" formatCode="_-* #,##0_-;\-* #,##0_-;_-* &quot;-&quot;??_-;_-@_-"/>
    <numFmt numFmtId="168" formatCode="0.0%"/>
    <numFmt numFmtId="169" formatCode="#,##0_ ;\-#,##0\ "/>
    <numFmt numFmtId="170" formatCode="0.00000%"/>
    <numFmt numFmtId="171" formatCode="_-* #,##0.000_-;\-* #,##0.000_-;_-* &quot;-&quot;??_-;_-@_-"/>
    <numFmt numFmtId="172" formatCode="0.000%"/>
    <numFmt numFmtId="173" formatCode="_-* #,##0.0_-;\-* #,##0.0_-;_-* &quot;-&quot;??_-;_-@_-"/>
  </numFmts>
  <fonts count="68" x14ac:knownFonts="1">
    <font>
      <sz val="11"/>
      <color theme="1"/>
      <name val="Calibri"/>
      <family val="2"/>
      <scheme val="minor"/>
    </font>
    <font>
      <sz val="11"/>
      <color theme="1"/>
      <name val="Calibri"/>
      <family val="2"/>
      <scheme val="minor"/>
    </font>
    <font>
      <sz val="11"/>
      <color rgb="FF9C0006"/>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u/>
      <sz val="11"/>
      <color theme="10"/>
      <name val="Calibri"/>
      <family val="2"/>
      <scheme val="minor"/>
    </font>
    <font>
      <sz val="8"/>
      <name val="Calibri"/>
      <family val="2"/>
      <scheme val="minor"/>
    </font>
    <font>
      <sz val="10"/>
      <color rgb="FFFF0000"/>
      <name val="Arial"/>
      <family val="2"/>
    </font>
    <font>
      <sz val="10"/>
      <color theme="1"/>
      <name val="Arial"/>
      <family val="2"/>
    </font>
    <font>
      <b/>
      <sz val="10"/>
      <color theme="1"/>
      <name val="Arial"/>
      <family val="2"/>
    </font>
    <font>
      <sz val="10"/>
      <name val="Arial"/>
      <family val="2"/>
    </font>
    <font>
      <sz val="10"/>
      <color theme="9" tint="-0.249977111117893"/>
      <name val="Arial"/>
      <family val="2"/>
    </font>
    <font>
      <b/>
      <sz val="11"/>
      <color rgb="FF70AD47"/>
      <name val="Calibri"/>
      <family val="2"/>
      <scheme val="minor"/>
    </font>
    <font>
      <sz val="10"/>
      <color theme="0"/>
      <name val="Arial"/>
      <family val="2"/>
    </font>
    <font>
      <vertAlign val="subscript"/>
      <sz val="10"/>
      <color theme="1"/>
      <name val="Arial"/>
      <family val="2"/>
    </font>
    <font>
      <vertAlign val="superscript"/>
      <sz val="10"/>
      <color theme="1"/>
      <name val="Arial"/>
      <family val="2"/>
    </font>
    <font>
      <b/>
      <sz val="10"/>
      <color rgb="FF003399"/>
      <name val="Arial"/>
      <family val="2"/>
    </font>
    <font>
      <b/>
      <vertAlign val="subscript"/>
      <sz val="10"/>
      <color rgb="FF003399"/>
      <name val="Arial"/>
      <family val="2"/>
    </font>
    <font>
      <b/>
      <sz val="10"/>
      <color theme="0"/>
      <name val="Arial"/>
      <family val="2"/>
    </font>
    <font>
      <b/>
      <sz val="10"/>
      <name val="Arial"/>
      <family val="2"/>
    </font>
    <font>
      <b/>
      <sz val="10"/>
      <color rgb="FFFF0000"/>
      <name val="Arial"/>
      <family val="2"/>
    </font>
    <font>
      <b/>
      <sz val="14"/>
      <color theme="0"/>
      <name val="Arial"/>
      <family val="2"/>
    </font>
    <font>
      <b/>
      <vertAlign val="subscript"/>
      <sz val="14"/>
      <color theme="0"/>
      <name val="Arial"/>
      <family val="2"/>
    </font>
    <font>
      <b/>
      <sz val="11"/>
      <color theme="1"/>
      <name val="Arial"/>
      <family val="2"/>
    </font>
    <font>
      <sz val="11"/>
      <color theme="1"/>
      <name val="Arial"/>
      <family val="2"/>
    </font>
    <font>
      <b/>
      <i/>
      <sz val="18"/>
      <color theme="1"/>
      <name val="Arial"/>
      <family val="2"/>
    </font>
    <font>
      <sz val="18"/>
      <color theme="1"/>
      <name val="Arial"/>
      <family val="2"/>
    </font>
    <font>
      <b/>
      <sz val="12"/>
      <color theme="0"/>
      <name val="Arial"/>
      <family val="2"/>
    </font>
    <font>
      <u/>
      <sz val="10"/>
      <color theme="10"/>
      <name val="Arial"/>
      <family val="2"/>
    </font>
    <font>
      <b/>
      <vertAlign val="superscript"/>
      <sz val="10"/>
      <name val="Arial"/>
      <family val="2"/>
    </font>
    <font>
      <i/>
      <sz val="10"/>
      <color theme="0" tint="-0.249977111117893"/>
      <name val="Arial"/>
      <family val="2"/>
    </font>
    <font>
      <b/>
      <i/>
      <sz val="10"/>
      <color theme="0" tint="-0.249977111117893"/>
      <name val="Arial"/>
      <family val="2"/>
    </font>
    <font>
      <b/>
      <sz val="10"/>
      <color rgb="FFFFFF00"/>
      <name val="Arial"/>
      <family val="2"/>
    </font>
    <font>
      <b/>
      <vertAlign val="superscript"/>
      <sz val="10"/>
      <color theme="0"/>
      <name val="Arial"/>
      <family val="2"/>
    </font>
    <font>
      <b/>
      <sz val="11"/>
      <color theme="0"/>
      <name val="Arial"/>
      <family val="2"/>
    </font>
    <font>
      <b/>
      <sz val="11"/>
      <color rgb="FFFF0000"/>
      <name val="Arial"/>
      <family val="2"/>
    </font>
    <font>
      <b/>
      <vertAlign val="subscript"/>
      <sz val="10"/>
      <color theme="1"/>
      <name val="Arial"/>
      <family val="2"/>
    </font>
    <font>
      <i/>
      <sz val="10"/>
      <color theme="1"/>
      <name val="Arial"/>
      <family val="2"/>
    </font>
    <font>
      <b/>
      <vertAlign val="superscript"/>
      <sz val="10"/>
      <color theme="1"/>
      <name val="Arial"/>
      <family val="2"/>
    </font>
    <font>
      <b/>
      <sz val="14"/>
      <color rgb="FFFF0000"/>
      <name val="Arial"/>
      <family val="2"/>
    </font>
    <font>
      <sz val="10"/>
      <color rgb="FF212529"/>
      <name val="Arial"/>
      <family val="2"/>
    </font>
    <font>
      <b/>
      <sz val="10"/>
      <color rgb="FF212529"/>
      <name val="Arial"/>
      <family val="2"/>
    </font>
    <font>
      <sz val="11"/>
      <color rgb="FFFF0000"/>
      <name val="Arial"/>
      <family val="2"/>
    </font>
    <font>
      <u/>
      <sz val="11"/>
      <color theme="1"/>
      <name val="Calibri"/>
      <family val="2"/>
      <scheme val="minor"/>
    </font>
    <font>
      <sz val="10"/>
      <name val="Arial"/>
      <family val="2"/>
      <charset val="238"/>
    </font>
    <font>
      <sz val="10"/>
      <color theme="2" tint="-0.249977111117893"/>
      <name val="Arial"/>
      <family val="2"/>
    </font>
    <font>
      <sz val="8"/>
      <color theme="1"/>
      <name val="Arial"/>
      <family val="2"/>
    </font>
    <font>
      <b/>
      <sz val="10"/>
      <color theme="9" tint="-0.499984740745262"/>
      <name val="Arial"/>
      <family val="2"/>
    </font>
    <font>
      <sz val="9"/>
      <color theme="1"/>
      <name val="Arial"/>
      <family val="2"/>
    </font>
    <font>
      <b/>
      <sz val="11"/>
      <color theme="9"/>
      <name val="Arial"/>
      <family val="2"/>
    </font>
    <font>
      <sz val="10"/>
      <color theme="0"/>
      <name val="Calibri"/>
      <family val="2"/>
      <scheme val="minor"/>
    </font>
    <font>
      <b/>
      <sz val="10"/>
      <color theme="9"/>
      <name val="Arial"/>
      <family val="2"/>
    </font>
    <font>
      <b/>
      <sz val="9"/>
      <color theme="1"/>
      <name val="Arial"/>
      <family val="2"/>
    </font>
    <font>
      <b/>
      <sz val="9"/>
      <color theme="0"/>
      <name val="Arial"/>
      <family val="2"/>
    </font>
    <font>
      <b/>
      <u/>
      <sz val="10"/>
      <color rgb="FFFF0000"/>
      <name val="Arial"/>
      <family val="2"/>
    </font>
    <font>
      <b/>
      <sz val="8"/>
      <color theme="0"/>
      <name val="Arial Narrow"/>
      <family val="2"/>
    </font>
    <font>
      <b/>
      <sz val="12"/>
      <color theme="1"/>
      <name val="Arial"/>
      <family val="2"/>
    </font>
    <font>
      <b/>
      <sz val="16"/>
      <color theme="0"/>
      <name val="Arial"/>
      <family val="2"/>
    </font>
    <font>
      <b/>
      <sz val="18"/>
      <color theme="0"/>
      <name val="Arial"/>
      <family val="2"/>
    </font>
    <font>
      <b/>
      <sz val="12"/>
      <color theme="4" tint="-0.249977111117893"/>
      <name val="Arial"/>
      <family val="2"/>
    </font>
    <font>
      <i/>
      <sz val="10"/>
      <color theme="0"/>
      <name val="Arial"/>
      <family val="2"/>
    </font>
    <font>
      <b/>
      <vertAlign val="subscript"/>
      <sz val="16"/>
      <color theme="0"/>
      <name val="Arial"/>
      <family val="2"/>
    </font>
    <font>
      <b/>
      <vertAlign val="superscript"/>
      <sz val="16"/>
      <color theme="0"/>
      <name val="Arial"/>
      <family val="2"/>
    </font>
    <font>
      <b/>
      <vertAlign val="superscript"/>
      <sz val="12"/>
      <color theme="0"/>
      <name val="Arial"/>
      <family val="2"/>
    </font>
    <font>
      <sz val="11"/>
      <color rgb="FFFF0000"/>
      <name val="Calibri"/>
      <family val="2"/>
      <scheme val="minor"/>
    </font>
    <font>
      <vertAlign val="superscript"/>
      <sz val="11"/>
      <color theme="1"/>
      <name val="Calibri"/>
      <family val="2"/>
      <scheme val="minor"/>
    </font>
    <font>
      <sz val="11"/>
      <name val="Calibri"/>
      <family val="2"/>
      <scheme val="minor"/>
    </font>
  </fonts>
  <fills count="32">
    <fill>
      <patternFill patternType="none"/>
    </fill>
    <fill>
      <patternFill patternType="gray125"/>
    </fill>
    <fill>
      <patternFill patternType="solid">
        <fgColor rgb="FFFFC7CE"/>
      </patternFill>
    </fill>
    <fill>
      <patternFill patternType="solid">
        <fgColor theme="4" tint="0.79998168889431442"/>
        <bgColor indexed="65"/>
      </patternFill>
    </fill>
    <fill>
      <patternFill patternType="solid">
        <fgColor theme="7" tint="0.59999389629810485"/>
        <bgColor indexed="65"/>
      </patternFill>
    </fill>
    <fill>
      <patternFill patternType="solid">
        <fgColor theme="9"/>
        <bgColor theme="9"/>
      </patternFill>
    </fill>
    <fill>
      <patternFill patternType="solid">
        <fgColor rgb="FFFFFF00"/>
        <bgColor indexed="64"/>
      </patternFill>
    </fill>
    <fill>
      <patternFill patternType="solid">
        <fgColor theme="4" tint="0.79998168889431442"/>
        <bgColor indexed="64"/>
      </patternFill>
    </fill>
    <fill>
      <patternFill patternType="solid">
        <fgColor rgb="FF441D61"/>
        <bgColor indexed="64"/>
      </patternFill>
    </fill>
    <fill>
      <patternFill patternType="solid">
        <fgColor theme="4" tint="0.39997558519241921"/>
        <bgColor indexed="64"/>
      </patternFill>
    </fill>
    <fill>
      <patternFill patternType="solid">
        <fgColor theme="0"/>
        <bgColor indexed="64"/>
      </patternFill>
    </fill>
    <fill>
      <patternFill patternType="solid">
        <fgColor theme="3"/>
        <bgColor indexed="64"/>
      </patternFill>
    </fill>
    <fill>
      <patternFill patternType="solid">
        <fgColor rgb="FFFF0000"/>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theme="1"/>
        <bgColor indexed="64"/>
      </patternFill>
    </fill>
    <fill>
      <patternFill patternType="solid">
        <fgColor theme="0" tint="-0.499984740745262"/>
        <bgColor indexed="64"/>
      </patternFill>
    </fill>
    <fill>
      <patternFill patternType="darkUp">
        <bgColor theme="1"/>
      </patternFill>
    </fill>
    <fill>
      <patternFill patternType="solid">
        <fgColor theme="9" tint="0.59999389629810485"/>
        <bgColor indexed="64"/>
      </patternFill>
    </fill>
    <fill>
      <patternFill patternType="solid">
        <fgColor theme="9"/>
        <bgColor indexed="64"/>
      </patternFill>
    </fill>
    <fill>
      <patternFill patternType="solid">
        <fgColor theme="9" tint="0.79998168889431442"/>
        <bgColor indexed="64"/>
      </patternFill>
    </fill>
    <fill>
      <patternFill patternType="solid">
        <fgColor theme="2"/>
        <bgColor indexed="64"/>
      </patternFill>
    </fill>
    <fill>
      <patternFill patternType="solid">
        <fgColor rgb="FFFFC000"/>
        <bgColor indexed="64"/>
      </patternFill>
    </fill>
    <fill>
      <patternFill patternType="solid">
        <fgColor rgb="FFFFFFFF"/>
        <bgColor indexed="64"/>
      </patternFill>
    </fill>
    <fill>
      <patternFill patternType="solid">
        <fgColor theme="9"/>
      </patternFill>
    </fill>
    <fill>
      <patternFill patternType="solid">
        <fgColor theme="8" tint="-0.249977111117893"/>
        <bgColor indexed="64"/>
      </patternFill>
    </fill>
    <fill>
      <patternFill patternType="solid">
        <fgColor theme="3" tint="0.79998168889431442"/>
        <bgColor indexed="64"/>
      </patternFill>
    </fill>
    <fill>
      <patternFill patternType="solid">
        <fgColor theme="4"/>
        <bgColor indexed="64"/>
      </patternFill>
    </fill>
    <fill>
      <patternFill patternType="solid">
        <fgColor theme="4" tint="-0.249977111117893"/>
        <bgColor indexed="64"/>
      </patternFill>
    </fill>
  </fills>
  <borders count="131">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right/>
      <top/>
      <bottom style="thin">
        <color theme="9" tint="0.39997558519241921"/>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n">
        <color theme="0"/>
      </bottom>
      <diagonal/>
    </border>
    <border>
      <left/>
      <right/>
      <top style="thin">
        <color auto="1"/>
      </top>
      <bottom style="thin">
        <color auto="1"/>
      </bottom>
      <diagonal/>
    </border>
    <border>
      <left style="thin">
        <color auto="1"/>
      </left>
      <right/>
      <top style="thin">
        <color auto="1"/>
      </top>
      <bottom style="thin">
        <color auto="1"/>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indexed="64"/>
      </left>
      <right style="medium">
        <color indexed="64"/>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style="medium">
        <color indexed="64"/>
      </left>
      <right style="medium">
        <color indexed="64"/>
      </right>
      <top/>
      <bottom/>
      <diagonal/>
    </border>
    <border>
      <left style="medium">
        <color auto="1"/>
      </left>
      <right/>
      <top/>
      <bottom/>
      <diagonal/>
    </border>
    <border>
      <left style="medium">
        <color indexed="64"/>
      </left>
      <right style="medium">
        <color indexed="64"/>
      </right>
      <top style="medium">
        <color indexed="64"/>
      </top>
      <bottom/>
      <diagonal/>
    </border>
    <border>
      <left style="medium">
        <color auto="1"/>
      </left>
      <right/>
      <top/>
      <bottom style="medium">
        <color auto="1"/>
      </bottom>
      <diagonal/>
    </border>
    <border>
      <left/>
      <right/>
      <top style="thin">
        <color theme="9"/>
      </top>
      <bottom/>
      <diagonal/>
    </border>
    <border>
      <left style="thin">
        <color theme="9"/>
      </left>
      <right style="thin">
        <color theme="9"/>
      </right>
      <top style="thin">
        <color theme="9"/>
      </top>
      <bottom style="thin">
        <color theme="9"/>
      </bottom>
      <diagonal/>
    </border>
    <border>
      <left style="thin">
        <color theme="9"/>
      </left>
      <right/>
      <top style="thin">
        <color theme="9"/>
      </top>
      <bottom style="thin">
        <color theme="9"/>
      </bottom>
      <diagonal/>
    </border>
    <border>
      <left/>
      <right style="thin">
        <color theme="9"/>
      </right>
      <top style="thin">
        <color theme="9"/>
      </top>
      <bottom style="thin">
        <color theme="9"/>
      </bottom>
      <diagonal/>
    </border>
    <border>
      <left/>
      <right style="thin">
        <color auto="1"/>
      </right>
      <top style="thin">
        <color auto="1"/>
      </top>
      <bottom style="thin">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style="medium">
        <color theme="9" tint="-0.249977111117893"/>
      </left>
      <right/>
      <top style="medium">
        <color theme="9" tint="-0.249977111117893"/>
      </top>
      <bottom/>
      <diagonal/>
    </border>
    <border>
      <left/>
      <right style="medium">
        <color theme="9" tint="-0.249977111117893"/>
      </right>
      <top style="medium">
        <color theme="9" tint="-0.249977111117893"/>
      </top>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top/>
      <bottom style="medium">
        <color theme="9" tint="-0.249977111117893"/>
      </bottom>
      <diagonal/>
    </border>
    <border>
      <left/>
      <right style="medium">
        <color theme="9" tint="-0.249977111117893"/>
      </right>
      <top/>
      <bottom style="medium">
        <color theme="9" tint="-0.249977111117893"/>
      </bottom>
      <diagonal/>
    </border>
    <border>
      <left style="thin">
        <color theme="0"/>
      </left>
      <right style="thin">
        <color theme="0"/>
      </right>
      <top style="thin">
        <color theme="0"/>
      </top>
      <bottom style="thin">
        <color theme="0"/>
      </bottom>
      <diagonal/>
    </border>
    <border>
      <left style="thin">
        <color theme="9"/>
      </left>
      <right style="thin">
        <color theme="0"/>
      </right>
      <top style="thin">
        <color theme="0"/>
      </top>
      <bottom style="thin">
        <color theme="0"/>
      </bottom>
      <diagonal/>
    </border>
    <border>
      <left style="thin">
        <color theme="9"/>
      </left>
      <right style="thin">
        <color theme="0"/>
      </right>
      <top style="thin">
        <color theme="0"/>
      </top>
      <bottom style="thin">
        <color theme="9"/>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9"/>
      </bottom>
      <diagonal/>
    </border>
    <border>
      <left style="thin">
        <color theme="0"/>
      </left>
      <right style="thin">
        <color theme="9"/>
      </right>
      <top style="thin">
        <color theme="0"/>
      </top>
      <bottom style="thin">
        <color theme="0"/>
      </bottom>
      <diagonal/>
    </border>
    <border>
      <left style="thin">
        <color theme="0"/>
      </left>
      <right style="thin">
        <color theme="9"/>
      </right>
      <top style="thin">
        <color theme="0"/>
      </top>
      <bottom style="thin">
        <color theme="9"/>
      </bottom>
      <diagonal/>
    </border>
    <border>
      <left style="thin">
        <color theme="9"/>
      </left>
      <right style="thin">
        <color theme="0"/>
      </right>
      <top style="thin">
        <color theme="9"/>
      </top>
      <bottom style="thin">
        <color theme="0"/>
      </bottom>
      <diagonal/>
    </border>
    <border>
      <left style="thin">
        <color theme="0"/>
      </left>
      <right style="thin">
        <color theme="0"/>
      </right>
      <top style="thin">
        <color theme="9"/>
      </top>
      <bottom style="thin">
        <color theme="0"/>
      </bottom>
      <diagonal/>
    </border>
    <border>
      <left style="thin">
        <color theme="0"/>
      </left>
      <right style="thin">
        <color theme="9"/>
      </right>
      <top style="thin">
        <color theme="9"/>
      </top>
      <bottom style="thin">
        <color theme="0"/>
      </bottom>
      <diagonal/>
    </border>
    <border>
      <left style="thin">
        <color theme="9"/>
      </left>
      <right/>
      <top/>
      <bottom/>
      <diagonal/>
    </border>
    <border>
      <left/>
      <right/>
      <top style="thin">
        <color theme="9"/>
      </top>
      <bottom style="thin">
        <color theme="9"/>
      </bottom>
      <diagonal/>
    </border>
    <border>
      <left style="thin">
        <color theme="9"/>
      </left>
      <right style="thin">
        <color theme="9"/>
      </right>
      <top/>
      <bottom style="thin">
        <color theme="9"/>
      </bottom>
      <diagonal/>
    </border>
    <border>
      <left/>
      <right/>
      <top/>
      <bottom style="thin">
        <color theme="9"/>
      </bottom>
      <diagonal/>
    </border>
    <border>
      <left style="thin">
        <color theme="9"/>
      </left>
      <right/>
      <top style="thin">
        <color theme="9"/>
      </top>
      <bottom/>
      <diagonal/>
    </border>
    <border>
      <left/>
      <right style="thin">
        <color theme="9"/>
      </right>
      <top style="thin">
        <color theme="9"/>
      </top>
      <bottom/>
      <diagonal/>
    </border>
    <border>
      <left/>
      <right style="thin">
        <color theme="9"/>
      </right>
      <top/>
      <bottom/>
      <diagonal/>
    </border>
    <border>
      <left/>
      <right style="thin">
        <color theme="9"/>
      </right>
      <top/>
      <bottom style="thin">
        <color theme="9"/>
      </bottom>
      <diagonal/>
    </border>
    <border>
      <left style="thin">
        <color theme="9"/>
      </left>
      <right style="thin">
        <color theme="9"/>
      </right>
      <top style="thin">
        <color theme="9"/>
      </top>
      <bottom/>
      <diagonal/>
    </border>
    <border>
      <left style="thin">
        <color theme="9"/>
      </left>
      <right/>
      <top/>
      <bottom style="thin">
        <color theme="9"/>
      </bottom>
      <diagonal/>
    </border>
    <border>
      <left style="thin">
        <color theme="9"/>
      </left>
      <right style="thin">
        <color theme="9"/>
      </right>
      <top/>
      <bottom/>
      <diagonal/>
    </border>
    <border>
      <left style="medium">
        <color theme="9"/>
      </left>
      <right/>
      <top style="medium">
        <color theme="9"/>
      </top>
      <bottom/>
      <diagonal/>
    </border>
    <border>
      <left/>
      <right/>
      <top style="medium">
        <color theme="9"/>
      </top>
      <bottom/>
      <diagonal/>
    </border>
    <border>
      <left style="thin">
        <color theme="9"/>
      </left>
      <right style="thin">
        <color theme="9"/>
      </right>
      <top style="medium">
        <color theme="9"/>
      </top>
      <bottom style="thin">
        <color theme="9"/>
      </bottom>
      <diagonal/>
    </border>
    <border>
      <left style="thin">
        <color theme="9"/>
      </left>
      <right style="medium">
        <color theme="9"/>
      </right>
      <top style="medium">
        <color theme="9"/>
      </top>
      <bottom style="thin">
        <color theme="9"/>
      </bottom>
      <diagonal/>
    </border>
    <border>
      <left style="medium">
        <color theme="9"/>
      </left>
      <right/>
      <top/>
      <bottom/>
      <diagonal/>
    </border>
    <border>
      <left style="thin">
        <color theme="9"/>
      </left>
      <right style="medium">
        <color theme="9"/>
      </right>
      <top style="thin">
        <color theme="9"/>
      </top>
      <bottom style="thin">
        <color theme="9"/>
      </bottom>
      <diagonal/>
    </border>
    <border>
      <left style="medium">
        <color theme="9"/>
      </left>
      <right/>
      <top/>
      <bottom style="medium">
        <color theme="9"/>
      </bottom>
      <diagonal/>
    </border>
    <border>
      <left/>
      <right/>
      <top/>
      <bottom style="medium">
        <color theme="9"/>
      </bottom>
      <diagonal/>
    </border>
    <border>
      <left style="thin">
        <color theme="9"/>
      </left>
      <right style="thin">
        <color theme="9"/>
      </right>
      <top style="thin">
        <color theme="9"/>
      </top>
      <bottom style="medium">
        <color theme="9"/>
      </bottom>
      <diagonal/>
    </border>
    <border>
      <left style="thin">
        <color theme="9"/>
      </left>
      <right style="medium">
        <color theme="9"/>
      </right>
      <top style="thin">
        <color theme="9"/>
      </top>
      <bottom style="medium">
        <color theme="9"/>
      </bottom>
      <diagonal/>
    </border>
    <border>
      <left/>
      <right style="medium">
        <color theme="9"/>
      </right>
      <top style="medium">
        <color theme="9"/>
      </top>
      <bottom/>
      <diagonal/>
    </border>
    <border>
      <left/>
      <right style="medium">
        <color theme="9"/>
      </right>
      <top/>
      <bottom/>
      <diagonal/>
    </border>
    <border>
      <left/>
      <right style="medium">
        <color theme="9"/>
      </right>
      <top/>
      <bottom style="medium">
        <color theme="9"/>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medium">
        <color theme="9"/>
      </left>
      <right style="thin">
        <color theme="9"/>
      </right>
      <top style="medium">
        <color theme="9"/>
      </top>
      <bottom style="thin">
        <color theme="9"/>
      </bottom>
      <diagonal/>
    </border>
    <border>
      <left style="medium">
        <color theme="9"/>
      </left>
      <right style="thin">
        <color theme="9"/>
      </right>
      <top style="thin">
        <color theme="9"/>
      </top>
      <bottom style="thin">
        <color theme="9"/>
      </bottom>
      <diagonal/>
    </border>
    <border>
      <left style="thin">
        <color theme="9"/>
      </left>
      <right style="thin">
        <color theme="9"/>
      </right>
      <top style="medium">
        <color theme="9"/>
      </top>
      <bottom style="medium">
        <color theme="9"/>
      </bottom>
      <diagonal/>
    </border>
    <border>
      <left style="medium">
        <color theme="9"/>
      </left>
      <right style="medium">
        <color theme="9"/>
      </right>
      <top style="medium">
        <color theme="9"/>
      </top>
      <bottom/>
      <diagonal/>
    </border>
    <border>
      <left style="medium">
        <color theme="9"/>
      </left>
      <right style="medium">
        <color theme="9"/>
      </right>
      <top/>
      <bottom/>
      <diagonal/>
    </border>
    <border>
      <left style="medium">
        <color theme="9"/>
      </left>
      <right style="medium">
        <color theme="9"/>
      </right>
      <top/>
      <bottom style="medium">
        <color theme="9"/>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thin">
        <color theme="9"/>
      </right>
      <top style="medium">
        <color theme="9"/>
      </top>
      <bottom style="thin">
        <color theme="9"/>
      </bottom>
      <diagonal/>
    </border>
    <border>
      <left style="medium">
        <color theme="9"/>
      </left>
      <right style="thin">
        <color theme="9"/>
      </right>
      <top/>
      <bottom style="medium">
        <color theme="9"/>
      </bottom>
      <diagonal/>
    </border>
    <border>
      <left style="thin">
        <color theme="9"/>
      </left>
      <right style="medium">
        <color theme="9"/>
      </right>
      <top/>
      <bottom style="medium">
        <color theme="9"/>
      </bottom>
      <diagonal/>
    </border>
    <border>
      <left style="medium">
        <color theme="9"/>
      </left>
      <right style="thin">
        <color theme="9"/>
      </right>
      <top style="thin">
        <color theme="9"/>
      </top>
      <bottom/>
      <diagonal/>
    </border>
    <border>
      <left style="thin">
        <color theme="9"/>
      </left>
      <right style="medium">
        <color theme="9"/>
      </right>
      <top style="thin">
        <color theme="9"/>
      </top>
      <bottom/>
      <diagonal/>
    </border>
    <border>
      <left style="thin">
        <color theme="9"/>
      </left>
      <right/>
      <top style="thin">
        <color indexed="64"/>
      </top>
      <bottom/>
      <diagonal/>
    </border>
    <border>
      <left style="medium">
        <color theme="9"/>
      </left>
      <right style="thin">
        <color theme="9"/>
      </right>
      <top style="thin">
        <color theme="9"/>
      </top>
      <bottom style="medium">
        <color theme="9"/>
      </bottom>
      <diagonal/>
    </border>
    <border>
      <left style="medium">
        <color theme="9"/>
      </left>
      <right style="thin">
        <color theme="9"/>
      </right>
      <top/>
      <bottom style="thin">
        <color theme="9"/>
      </bottom>
      <diagonal/>
    </border>
    <border>
      <left style="thin">
        <color theme="9"/>
      </left>
      <right style="medium">
        <color theme="9"/>
      </right>
      <top/>
      <bottom style="thin">
        <color theme="9"/>
      </bottom>
      <diagonal/>
    </border>
    <border>
      <left style="medium">
        <color theme="9"/>
      </left>
      <right/>
      <top style="medium">
        <color theme="9"/>
      </top>
      <bottom style="medium">
        <color theme="9" tint="-0.249977111117893"/>
      </bottom>
      <diagonal/>
    </border>
    <border>
      <left/>
      <right/>
      <top style="medium">
        <color theme="9"/>
      </top>
      <bottom style="medium">
        <color theme="9" tint="-0.249977111117893"/>
      </bottom>
      <diagonal/>
    </border>
    <border>
      <left style="medium">
        <color theme="9"/>
      </left>
      <right/>
      <top style="medium">
        <color theme="9" tint="-0.249977111117893"/>
      </top>
      <bottom style="medium">
        <color theme="9"/>
      </bottom>
      <diagonal/>
    </border>
    <border>
      <left/>
      <right/>
      <top style="medium">
        <color theme="9" tint="-0.249977111117893"/>
      </top>
      <bottom style="medium">
        <color theme="9"/>
      </bottom>
      <diagonal/>
    </border>
    <border>
      <left/>
      <right style="medium">
        <color theme="9"/>
      </right>
      <top style="medium">
        <color theme="9" tint="-0.249977111117893"/>
      </top>
      <bottom style="medium">
        <color theme="9"/>
      </bottom>
      <diagonal/>
    </border>
    <border>
      <left/>
      <right style="medium">
        <color theme="9"/>
      </right>
      <top style="medium">
        <color theme="9"/>
      </top>
      <bottom style="medium">
        <color theme="9" tint="-0.249977111117893"/>
      </bottom>
      <diagonal/>
    </border>
    <border>
      <left/>
      <right style="thin">
        <color indexed="64"/>
      </right>
      <top/>
      <bottom/>
      <diagonal/>
    </border>
    <border>
      <left/>
      <right style="thin">
        <color indexed="64"/>
      </right>
      <top/>
      <bottom style="medium">
        <color theme="9"/>
      </bottom>
      <diagonal/>
    </border>
    <border>
      <left/>
      <right style="thin">
        <color indexed="64"/>
      </right>
      <top style="medium">
        <color theme="9"/>
      </top>
      <bottom/>
      <diagonal/>
    </border>
    <border>
      <left style="thin">
        <color theme="9"/>
      </left>
      <right style="thin">
        <color indexed="64"/>
      </right>
      <top style="medium">
        <color theme="9"/>
      </top>
      <bottom style="medium">
        <color theme="9"/>
      </bottom>
      <diagonal/>
    </border>
    <border>
      <left style="thin">
        <color theme="9"/>
      </left>
      <right style="thin">
        <color indexed="64"/>
      </right>
      <top style="medium">
        <color theme="9"/>
      </top>
      <bottom style="thin">
        <color theme="9"/>
      </bottom>
      <diagonal/>
    </border>
    <border>
      <left style="medium">
        <color theme="9"/>
      </left>
      <right style="medium">
        <color rgb="FF00B050"/>
      </right>
      <top/>
      <bottom/>
      <diagonal/>
    </border>
    <border>
      <left style="medium">
        <color theme="9"/>
      </left>
      <right style="medium">
        <color rgb="FF00B050"/>
      </right>
      <top/>
      <bottom style="medium">
        <color theme="9"/>
      </bottom>
      <diagonal/>
    </border>
    <border>
      <left style="medium">
        <color rgb="FF0070C0"/>
      </left>
      <right/>
      <top style="medium">
        <color theme="9"/>
      </top>
      <bottom style="medium">
        <color theme="9"/>
      </bottom>
      <diagonal/>
    </border>
    <border>
      <left/>
      <right/>
      <top style="medium">
        <color theme="9" tint="-0.249977111117893"/>
      </top>
      <bottom/>
      <diagonal/>
    </border>
    <border>
      <left/>
      <right/>
      <top/>
      <bottom style="medium">
        <color theme="9" tint="-0.249977111117893"/>
      </bottom>
      <diagonal/>
    </border>
    <border>
      <left style="thin">
        <color indexed="64"/>
      </left>
      <right style="thin">
        <color indexed="64"/>
      </right>
      <top style="thin">
        <color indexed="64"/>
      </top>
      <bottom/>
      <diagonal/>
    </border>
    <border>
      <left/>
      <right/>
      <top style="thin">
        <color theme="0"/>
      </top>
      <bottom/>
      <diagonal/>
    </border>
    <border>
      <left style="thin">
        <color theme="9"/>
      </left>
      <right style="thin">
        <color theme="0"/>
      </right>
      <top style="thin">
        <color theme="9"/>
      </top>
      <bottom/>
      <diagonal/>
    </border>
    <border>
      <left style="thin">
        <color theme="0"/>
      </left>
      <right style="thin">
        <color theme="0"/>
      </right>
      <top style="thin">
        <color theme="9"/>
      </top>
      <bottom/>
      <diagonal/>
    </border>
    <border>
      <left style="thin">
        <color theme="0"/>
      </left>
      <right style="thin">
        <color theme="9"/>
      </right>
      <top style="thin">
        <color theme="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theme="0"/>
      </bottom>
      <diagonal/>
    </border>
    <border>
      <left/>
      <right style="thin">
        <color indexed="64"/>
      </right>
      <top/>
      <bottom style="thin">
        <color theme="0"/>
      </bottom>
      <diagonal/>
    </border>
    <border>
      <left style="thin">
        <color indexed="64"/>
      </left>
      <right/>
      <top style="thin">
        <color theme="0"/>
      </top>
      <bottom/>
      <diagonal/>
    </border>
    <border>
      <left/>
      <right style="thin">
        <color indexed="64"/>
      </right>
      <top style="thin">
        <color theme="0"/>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6" fillId="0" borderId="0" applyNumberFormat="0" applyFill="0" applyBorder="0" applyAlignment="0" applyProtection="0"/>
    <xf numFmtId="166" fontId="4" fillId="8" borderId="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xf numFmtId="0" fontId="1" fillId="0" borderId="0"/>
    <xf numFmtId="0" fontId="4" fillId="27" borderId="0" applyNumberFormat="0" applyBorder="0" applyAlignment="0" applyProtection="0"/>
  </cellStyleXfs>
  <cellXfs count="886">
    <xf numFmtId="0" fontId="0" fillId="0" borderId="0" xfId="0"/>
    <xf numFmtId="0" fontId="3" fillId="0" borderId="0" xfId="0" applyFont="1"/>
    <xf numFmtId="164" fontId="0" fillId="0" borderId="0" xfId="0" applyNumberFormat="1"/>
    <xf numFmtId="2" fontId="0" fillId="0" borderId="0" xfId="0" applyNumberFormat="1"/>
    <xf numFmtId="9" fontId="0" fillId="0" borderId="0" xfId="2" applyFont="1"/>
    <xf numFmtId="0" fontId="6" fillId="0" borderId="0" xfId="6"/>
    <xf numFmtId="0" fontId="0" fillId="0" borderId="0" xfId="0" applyAlignment="1">
      <alignment horizontal="right"/>
    </xf>
    <xf numFmtId="0" fontId="8" fillId="0" borderId="0" xfId="0" applyFont="1" applyAlignment="1">
      <alignment vertical="top" wrapText="1"/>
    </xf>
    <xf numFmtId="0" fontId="9" fillId="0" borderId="0" xfId="0" applyFont="1"/>
    <xf numFmtId="0" fontId="10" fillId="0" borderId="0" xfId="0" applyFont="1"/>
    <xf numFmtId="0" fontId="11" fillId="0" borderId="0" xfId="0" applyFont="1" applyAlignment="1">
      <alignment vertical="top"/>
    </xf>
    <xf numFmtId="0" fontId="6" fillId="0" borderId="0" xfId="6" applyAlignment="1">
      <alignment vertical="top"/>
    </xf>
    <xf numFmtId="0" fontId="9" fillId="0" borderId="0" xfId="0" applyFont="1" applyAlignment="1">
      <alignment vertical="top" wrapText="1"/>
    </xf>
    <xf numFmtId="0" fontId="9" fillId="0" borderId="0" xfId="0" applyFont="1" applyAlignment="1">
      <alignment wrapText="1"/>
    </xf>
    <xf numFmtId="0" fontId="9" fillId="6" borderId="0" xfId="0" applyFont="1" applyFill="1" applyProtection="1">
      <protection locked="0"/>
    </xf>
    <xf numFmtId="0" fontId="9" fillId="0" borderId="2" xfId="0" applyFont="1" applyBorder="1"/>
    <xf numFmtId="0" fontId="9" fillId="0" borderId="2" xfId="0" applyFont="1" applyBorder="1" applyAlignment="1">
      <alignment wrapText="1"/>
    </xf>
    <xf numFmtId="0" fontId="9" fillId="0" borderId="0" xfId="0" applyFont="1" applyAlignment="1">
      <alignment vertical="top"/>
    </xf>
    <xf numFmtId="0" fontId="9" fillId="0" borderId="2" xfId="0" applyFont="1" applyBorder="1" applyAlignment="1">
      <alignment vertical="center" wrapText="1"/>
    </xf>
    <xf numFmtId="10" fontId="9" fillId="0" borderId="0" xfId="0" applyNumberFormat="1" applyFont="1"/>
    <xf numFmtId="0" fontId="12" fillId="0" borderId="0" xfId="0" applyFont="1" applyAlignment="1">
      <alignment wrapText="1"/>
    </xf>
    <xf numFmtId="0" fontId="9" fillId="0" borderId="0" xfId="0" applyFont="1" applyAlignment="1">
      <alignment horizontal="left" vertical="top" wrapText="1"/>
    </xf>
    <xf numFmtId="0" fontId="9" fillId="0" borderId="4" xfId="0" applyFont="1" applyBorder="1"/>
    <xf numFmtId="0" fontId="9" fillId="6" borderId="4" xfId="0" applyFont="1" applyFill="1" applyBorder="1" applyAlignment="1" applyProtection="1">
      <alignment wrapText="1"/>
      <protection locked="0"/>
    </xf>
    <xf numFmtId="9" fontId="9" fillId="6" borderId="4" xfId="2" applyFont="1" applyFill="1" applyBorder="1" applyAlignment="1" applyProtection="1">
      <alignment wrapText="1"/>
      <protection locked="0"/>
    </xf>
    <xf numFmtId="1" fontId="9" fillId="0" borderId="4" xfId="2" applyNumberFormat="1" applyFont="1" applyBorder="1" applyAlignment="1" applyProtection="1">
      <alignment wrapText="1"/>
    </xf>
    <xf numFmtId="0" fontId="9" fillId="0" borderId="4" xfId="0" applyFont="1" applyBorder="1" applyAlignment="1">
      <alignment wrapText="1"/>
    </xf>
    <xf numFmtId="0" fontId="8" fillId="0" borderId="0" xfId="0" applyFont="1"/>
    <xf numFmtId="0" fontId="9" fillId="0" borderId="5" xfId="0" applyFont="1" applyBorder="1"/>
    <xf numFmtId="0" fontId="9" fillId="0" borderId="6" xfId="0" applyFont="1" applyBorder="1"/>
    <xf numFmtId="0" fontId="9" fillId="0" borderId="6" xfId="0" applyFont="1" applyBorder="1" applyAlignment="1">
      <alignment wrapText="1"/>
    </xf>
    <xf numFmtId="0" fontId="9" fillId="0" borderId="7" xfId="0" applyFont="1" applyBorder="1" applyAlignment="1">
      <alignment wrapText="1"/>
    </xf>
    <xf numFmtId="0" fontId="13" fillId="0" borderId="0" xfId="0" applyFont="1"/>
    <xf numFmtId="2" fontId="9" fillId="0" borderId="0" xfId="0" quotePrefix="1" applyNumberFormat="1" applyFont="1" applyAlignment="1">
      <alignment horizontal="right"/>
    </xf>
    <xf numFmtId="0" fontId="9" fillId="0" borderId="8" xfId="0" applyFont="1" applyBorder="1" applyAlignment="1">
      <alignment vertical="top" wrapText="1"/>
    </xf>
    <xf numFmtId="0" fontId="9" fillId="0" borderId="8" xfId="0" applyFont="1" applyBorder="1"/>
    <xf numFmtId="1" fontId="9" fillId="0" borderId="9" xfId="0" applyNumberFormat="1" applyFont="1" applyBorder="1"/>
    <xf numFmtId="0" fontId="9" fillId="0" borderId="10" xfId="0" applyFont="1" applyBorder="1"/>
    <xf numFmtId="166" fontId="9" fillId="0" borderId="0" xfId="0" applyNumberFormat="1" applyFont="1"/>
    <xf numFmtId="1" fontId="9" fillId="0" borderId="0" xfId="0" applyNumberFormat="1" applyFont="1"/>
    <xf numFmtId="166" fontId="9" fillId="0" borderId="0" xfId="0" quotePrefix="1" applyNumberFormat="1" applyFont="1"/>
    <xf numFmtId="1" fontId="9" fillId="7" borderId="0" xfId="4" applyNumberFormat="1" applyFont="1" applyFill="1" applyProtection="1"/>
    <xf numFmtId="2" fontId="9" fillId="0" borderId="0" xfId="0" applyNumberFormat="1" applyFont="1"/>
    <xf numFmtId="1" fontId="14" fillId="9" borderId="0" xfId="7" applyNumberFormat="1" applyFont="1" applyFill="1" applyProtection="1"/>
    <xf numFmtId="167" fontId="9" fillId="0" borderId="0" xfId="1" applyNumberFormat="1" applyFont="1" applyProtection="1"/>
    <xf numFmtId="0" fontId="17" fillId="10" borderId="8" xfId="0" applyFont="1" applyFill="1" applyBorder="1" applyAlignment="1">
      <alignment horizontal="left" vertical="center" wrapText="1"/>
    </xf>
    <xf numFmtId="43" fontId="17" fillId="10" borderId="8" xfId="1" applyFont="1" applyFill="1" applyBorder="1" applyAlignment="1" applyProtection="1">
      <alignment horizontal="right" vertical="center" wrapText="1"/>
    </xf>
    <xf numFmtId="0" fontId="19" fillId="11" borderId="8" xfId="5" applyFont="1" applyFill="1" applyBorder="1" applyAlignment="1" applyProtection="1">
      <alignment vertical="center" wrapText="1"/>
    </xf>
    <xf numFmtId="0" fontId="10" fillId="0" borderId="8" xfId="0" quotePrefix="1" applyFont="1" applyBorder="1" applyAlignment="1">
      <alignment vertical="top" wrapText="1"/>
    </xf>
    <xf numFmtId="0" fontId="10" fillId="0" borderId="8" xfId="0" applyFont="1" applyBorder="1" applyAlignment="1">
      <alignment vertical="top" wrapText="1"/>
    </xf>
    <xf numFmtId="0" fontId="9" fillId="7" borderId="0" xfId="0" applyFont="1" applyFill="1"/>
    <xf numFmtId="0" fontId="11" fillId="7" borderId="0" xfId="0" applyFont="1" applyFill="1"/>
    <xf numFmtId="0" fontId="9" fillId="9" borderId="0" xfId="0" applyFont="1" applyFill="1"/>
    <xf numFmtId="166" fontId="14" fillId="9" borderId="0" xfId="7" applyFont="1" applyFill="1" applyProtection="1"/>
    <xf numFmtId="0" fontId="20" fillId="0" borderId="0" xfId="0" applyFont="1"/>
    <xf numFmtId="0" fontId="21" fillId="6" borderId="0" xfId="0" applyFont="1" applyFill="1" applyProtection="1">
      <protection locked="0"/>
    </xf>
    <xf numFmtId="0" fontId="21" fillId="0" borderId="0" xfId="0" applyFont="1"/>
    <xf numFmtId="168" fontId="9" fillId="0" borderId="0" xfId="2" applyNumberFormat="1" applyFont="1" applyAlignment="1" applyProtection="1">
      <alignment horizontal="left" vertical="top" wrapText="1"/>
    </xf>
    <xf numFmtId="167" fontId="9" fillId="0" borderId="0" xfId="1" applyNumberFormat="1" applyFont="1" applyAlignment="1" applyProtection="1">
      <alignment horizontal="left" vertical="top" wrapText="1"/>
    </xf>
    <xf numFmtId="0" fontId="9" fillId="0" borderId="0" xfId="0" applyFont="1" applyProtection="1">
      <protection locked="0"/>
    </xf>
    <xf numFmtId="168" fontId="9" fillId="0" borderId="0" xfId="2" applyNumberFormat="1" applyFont="1" applyBorder="1" applyAlignment="1" applyProtection="1">
      <alignment horizontal="left" vertical="center" wrapText="1"/>
    </xf>
    <xf numFmtId="167" fontId="9" fillId="0" borderId="0" xfId="1" applyNumberFormat="1" applyFont="1" applyBorder="1" applyAlignment="1" applyProtection="1">
      <alignment vertical="center" wrapText="1"/>
    </xf>
    <xf numFmtId="0" fontId="9" fillId="0" borderId="0" xfId="0" applyFont="1" applyAlignment="1">
      <alignment horizontal="right"/>
    </xf>
    <xf numFmtId="0" fontId="9" fillId="0" borderId="0" xfId="0" applyFont="1" applyAlignment="1">
      <alignment horizontal="right" vertical="top" wrapText="1"/>
    </xf>
    <xf numFmtId="1" fontId="9" fillId="0" borderId="0" xfId="0" applyNumberFormat="1" applyFont="1" applyAlignment="1">
      <alignment horizontal="right"/>
    </xf>
    <xf numFmtId="0" fontId="21" fillId="0" borderId="0" xfId="0" applyFont="1" applyAlignment="1" applyProtection="1">
      <alignment horizontal="right"/>
      <protection locked="0"/>
    </xf>
    <xf numFmtId="168" fontId="9" fillId="0" borderId="1" xfId="2" applyNumberFormat="1" applyFont="1" applyBorder="1" applyAlignment="1" applyProtection="1">
      <alignment horizontal="left" vertical="top" wrapText="1"/>
    </xf>
    <xf numFmtId="167" fontId="9" fillId="0" borderId="1" xfId="1" quotePrefix="1" applyNumberFormat="1" applyFont="1" applyBorder="1" applyAlignment="1" applyProtection="1">
      <alignment horizontal="right"/>
    </xf>
    <xf numFmtId="0" fontId="9" fillId="0" borderId="1" xfId="0" applyFont="1" applyBorder="1" applyAlignment="1">
      <alignment horizontal="right"/>
    </xf>
    <xf numFmtId="0" fontId="9" fillId="0" borderId="1" xfId="0" applyFont="1" applyBorder="1" applyAlignment="1">
      <alignment horizontal="right" vertical="top" wrapText="1"/>
    </xf>
    <xf numFmtId="1" fontId="9" fillId="0" borderId="1" xfId="0" applyNumberFormat="1" applyFont="1" applyBorder="1" applyAlignment="1">
      <alignment horizontal="right"/>
    </xf>
    <xf numFmtId="0" fontId="21" fillId="6" borderId="0" xfId="0" applyFont="1" applyFill="1" applyAlignment="1" applyProtection="1">
      <alignment horizontal="right"/>
      <protection locked="0"/>
    </xf>
    <xf numFmtId="0" fontId="9" fillId="0" borderId="1" xfId="0" applyFont="1" applyBorder="1" applyAlignment="1">
      <alignment vertical="top" wrapText="1"/>
    </xf>
    <xf numFmtId="167" fontId="9" fillId="0" borderId="0" xfId="1" quotePrefix="1" applyNumberFormat="1" applyFont="1" applyBorder="1" applyAlignment="1" applyProtection="1">
      <alignment horizontal="right"/>
    </xf>
    <xf numFmtId="167" fontId="9" fillId="0" borderId="0" xfId="1" quotePrefix="1" applyNumberFormat="1" applyFont="1" applyAlignment="1" applyProtection="1">
      <alignment horizontal="right"/>
    </xf>
    <xf numFmtId="0" fontId="10" fillId="0" borderId="0" xfId="0" applyFont="1" applyAlignment="1">
      <alignment horizontal="left" vertical="top" wrapText="1"/>
    </xf>
    <xf numFmtId="43" fontId="10" fillId="0" borderId="0" xfId="0" applyNumberFormat="1" applyFont="1" applyAlignment="1">
      <alignment horizontal="left" vertical="top" wrapText="1"/>
    </xf>
    <xf numFmtId="0" fontId="9" fillId="0" borderId="0" xfId="0" applyFont="1" applyAlignment="1">
      <alignment horizontal="left" vertical="top"/>
    </xf>
    <xf numFmtId="0" fontId="11" fillId="0" borderId="0" xfId="6" applyFont="1" applyProtection="1"/>
    <xf numFmtId="0" fontId="6" fillId="0" borderId="0" xfId="6" applyProtection="1"/>
    <xf numFmtId="0" fontId="11" fillId="0" borderId="0" xfId="0" applyFont="1"/>
    <xf numFmtId="0" fontId="9" fillId="0" borderId="1" xfId="0" applyFont="1" applyBorder="1" applyAlignment="1">
      <alignment horizontal="left" vertical="top" wrapText="1"/>
    </xf>
    <xf numFmtId="0" fontId="9" fillId="0" borderId="1" xfId="0" quotePrefix="1" applyFont="1" applyBorder="1" applyAlignment="1">
      <alignment vertical="top" wrapText="1"/>
    </xf>
    <xf numFmtId="0" fontId="10" fillId="13" borderId="0" xfId="0" applyFont="1" applyFill="1"/>
    <xf numFmtId="0" fontId="24" fillId="0" borderId="0" xfId="0" applyFont="1"/>
    <xf numFmtId="0" fontId="25" fillId="0" borderId="0" xfId="0" applyFont="1"/>
    <xf numFmtId="0" fontId="10" fillId="0" borderId="0" xfId="0" applyFont="1" applyAlignment="1">
      <alignment horizontal="center" vertical="center" wrapText="1"/>
    </xf>
    <xf numFmtId="0" fontId="25" fillId="0" borderId="11" xfId="0" applyFont="1" applyBorder="1"/>
    <xf numFmtId="0" fontId="25" fillId="0" borderId="12" xfId="0" applyFont="1" applyBorder="1"/>
    <xf numFmtId="2" fontId="10" fillId="14" borderId="0" xfId="0" applyNumberFormat="1" applyFont="1" applyFill="1" applyAlignment="1">
      <alignment horizontal="left" vertical="center"/>
    </xf>
    <xf numFmtId="0" fontId="25" fillId="0" borderId="0" xfId="0" applyFont="1" applyAlignment="1">
      <alignment horizontal="center" vertical="center"/>
    </xf>
    <xf numFmtId="0" fontId="26" fillId="0" borderId="0" xfId="0" applyFont="1"/>
    <xf numFmtId="0" fontId="27" fillId="0" borderId="0" xfId="0" applyFont="1"/>
    <xf numFmtId="0" fontId="25" fillId="0" borderId="13" xfId="0" applyFont="1" applyBorder="1"/>
    <xf numFmtId="0" fontId="9" fillId="14" borderId="0" xfId="0" applyFont="1" applyFill="1" applyAlignment="1">
      <alignment horizontal="left" vertical="center"/>
    </xf>
    <xf numFmtId="0" fontId="9" fillId="0" borderId="0" xfId="0" applyFont="1" applyAlignment="1">
      <alignment horizontal="center" vertical="center"/>
    </xf>
    <xf numFmtId="0" fontId="28" fillId="0" borderId="0" xfId="0" applyFont="1"/>
    <xf numFmtId="2" fontId="22" fillId="0" borderId="0" xfId="0" applyNumberFormat="1" applyFont="1"/>
    <xf numFmtId="0" fontId="9" fillId="0" borderId="14" xfId="0" applyFont="1" applyBorder="1"/>
    <xf numFmtId="0" fontId="9" fillId="6" borderId="15" xfId="0" applyFont="1" applyFill="1" applyBorder="1" applyProtection="1">
      <protection locked="0"/>
    </xf>
    <xf numFmtId="0" fontId="9" fillId="0" borderId="16" xfId="0" applyFont="1" applyBorder="1"/>
    <xf numFmtId="0" fontId="9" fillId="0" borderId="13" xfId="0" applyFont="1" applyBorder="1"/>
    <xf numFmtId="0" fontId="9" fillId="15" borderId="17" xfId="0" applyFont="1" applyFill="1" applyBorder="1" applyAlignment="1">
      <alignment horizontal="center" vertical="center"/>
    </xf>
    <xf numFmtId="0" fontId="9" fillId="15" borderId="19" xfId="0" applyFont="1" applyFill="1" applyBorder="1" applyAlignment="1">
      <alignment horizontal="center" vertical="center"/>
    </xf>
    <xf numFmtId="0" fontId="9" fillId="15" borderId="21" xfId="0" applyFont="1" applyFill="1" applyBorder="1" applyAlignment="1">
      <alignment horizontal="center" vertical="center"/>
    </xf>
    <xf numFmtId="0" fontId="9" fillId="15" borderId="11" xfId="0" applyFont="1" applyFill="1" applyBorder="1" applyAlignment="1">
      <alignment horizontal="center" vertical="center"/>
    </xf>
    <xf numFmtId="0" fontId="9" fillId="15" borderId="14" xfId="0" applyFont="1" applyFill="1" applyBorder="1" applyAlignment="1">
      <alignment horizontal="center" vertical="center"/>
    </xf>
    <xf numFmtId="0" fontId="9" fillId="0" borderId="22" xfId="0" applyFont="1" applyBorder="1"/>
    <xf numFmtId="0" fontId="9" fillId="6" borderId="23" xfId="0" applyFont="1" applyFill="1" applyBorder="1" applyProtection="1">
      <protection locked="0"/>
    </xf>
    <xf numFmtId="0" fontId="9" fillId="14" borderId="0" xfId="0" applyFont="1" applyFill="1"/>
    <xf numFmtId="0" fontId="9" fillId="14" borderId="21" xfId="0" applyFont="1" applyFill="1" applyBorder="1" applyAlignment="1">
      <alignment horizontal="center" vertical="center"/>
    </xf>
    <xf numFmtId="0" fontId="9" fillId="16" borderId="11" xfId="0" applyFont="1" applyFill="1" applyBorder="1" applyAlignment="1" applyProtection="1">
      <alignment horizontal="center" vertical="center"/>
      <protection locked="0"/>
    </xf>
    <xf numFmtId="2" fontId="9" fillId="14" borderId="22" xfId="0" applyNumberFormat="1" applyFont="1" applyFill="1" applyBorder="1"/>
    <xf numFmtId="0" fontId="9" fillId="16" borderId="24" xfId="0" applyFont="1" applyFill="1" applyBorder="1" applyAlignment="1" applyProtection="1">
      <alignment horizontal="center" vertical="center"/>
      <protection locked="0"/>
    </xf>
    <xf numFmtId="0" fontId="9" fillId="14" borderId="23" xfId="0" applyFont="1" applyFill="1" applyBorder="1" applyAlignment="1">
      <alignment horizontal="center" vertical="center"/>
    </xf>
    <xf numFmtId="0" fontId="9" fillId="16" borderId="0" xfId="0" applyFont="1" applyFill="1" applyAlignment="1" applyProtection="1">
      <alignment horizontal="center" vertical="center"/>
      <protection locked="0"/>
    </xf>
    <xf numFmtId="0" fontId="9" fillId="16" borderId="23" xfId="0" applyFont="1" applyFill="1" applyBorder="1" applyAlignment="1" applyProtection="1">
      <alignment horizontal="center" vertical="center"/>
      <protection locked="0"/>
    </xf>
    <xf numFmtId="1" fontId="9" fillId="13" borderId="22" xfId="0" applyNumberFormat="1" applyFont="1" applyFill="1" applyBorder="1" applyAlignment="1">
      <alignment horizontal="right"/>
    </xf>
    <xf numFmtId="0" fontId="29" fillId="0" borderId="0" xfId="6" applyFont="1"/>
    <xf numFmtId="0" fontId="9" fillId="13" borderId="22" xfId="0" applyFont="1" applyFill="1" applyBorder="1"/>
    <xf numFmtId="2" fontId="9" fillId="14" borderId="17" xfId="0" applyNumberFormat="1" applyFont="1" applyFill="1" applyBorder="1"/>
    <xf numFmtId="0" fontId="10" fillId="17" borderId="15" xfId="0" applyFont="1" applyFill="1" applyBorder="1"/>
    <xf numFmtId="0" fontId="10" fillId="17" borderId="16" xfId="0" applyFont="1" applyFill="1" applyBorder="1"/>
    <xf numFmtId="0" fontId="9" fillId="15" borderId="12" xfId="0" applyFont="1" applyFill="1" applyBorder="1" applyAlignment="1">
      <alignment horizontal="center" vertical="center"/>
    </xf>
    <xf numFmtId="166" fontId="9" fillId="14" borderId="22" xfId="0" applyNumberFormat="1" applyFont="1" applyFill="1" applyBorder="1"/>
    <xf numFmtId="0" fontId="9" fillId="15" borderId="25" xfId="0" applyFont="1" applyFill="1" applyBorder="1" applyAlignment="1">
      <alignment horizontal="center" vertical="center"/>
    </xf>
    <xf numFmtId="0" fontId="9" fillId="14" borderId="23" xfId="0" applyFont="1" applyFill="1" applyBorder="1"/>
    <xf numFmtId="0" fontId="9" fillId="16" borderId="13" xfId="0" applyFont="1" applyFill="1" applyBorder="1" applyAlignment="1" applyProtection="1">
      <alignment horizontal="center" vertical="center"/>
      <protection locked="0"/>
    </xf>
    <xf numFmtId="2" fontId="9" fillId="14" borderId="24" xfId="0" applyNumberFormat="1" applyFont="1" applyFill="1" applyBorder="1"/>
    <xf numFmtId="0" fontId="9" fillId="16" borderId="25" xfId="0" applyFont="1" applyFill="1" applyBorder="1" applyAlignment="1" applyProtection="1">
      <alignment horizontal="center" vertical="center"/>
      <protection locked="0"/>
    </xf>
    <xf numFmtId="0" fontId="9" fillId="16" borderId="19" xfId="0" applyFont="1" applyFill="1" applyBorder="1" applyAlignment="1" applyProtection="1">
      <alignment horizontal="center" vertical="center"/>
      <protection locked="0"/>
    </xf>
    <xf numFmtId="166" fontId="10" fillId="14" borderId="17" xfId="0" applyNumberFormat="1" applyFont="1" applyFill="1" applyBorder="1"/>
    <xf numFmtId="0" fontId="9" fillId="15" borderId="25" xfId="0" applyFont="1" applyFill="1" applyBorder="1"/>
    <xf numFmtId="0" fontId="9" fillId="15" borderId="19" xfId="0" applyFont="1" applyFill="1" applyBorder="1"/>
    <xf numFmtId="166" fontId="9" fillId="6" borderId="0" xfId="0" applyNumberFormat="1" applyFont="1" applyFill="1" applyProtection="1">
      <protection locked="0"/>
    </xf>
    <xf numFmtId="0" fontId="9" fillId="10" borderId="0" xfId="0" applyFont="1" applyFill="1"/>
    <xf numFmtId="165" fontId="9" fillId="14" borderId="0" xfId="0" applyNumberFormat="1" applyFont="1" applyFill="1" applyProtection="1">
      <protection locked="0"/>
    </xf>
    <xf numFmtId="0" fontId="9" fillId="14" borderId="13" xfId="0" applyFont="1" applyFill="1" applyBorder="1" applyAlignment="1">
      <alignment horizontal="center" vertical="center"/>
    </xf>
    <xf numFmtId="2" fontId="9" fillId="14" borderId="14" xfId="0" applyNumberFormat="1" applyFont="1" applyFill="1" applyBorder="1"/>
    <xf numFmtId="2" fontId="9" fillId="13" borderId="14" xfId="0" applyNumberFormat="1" applyFont="1" applyFill="1" applyBorder="1"/>
    <xf numFmtId="0" fontId="19" fillId="18" borderId="17" xfId="0" applyFont="1" applyFill="1" applyBorder="1"/>
    <xf numFmtId="0" fontId="19" fillId="18" borderId="0" xfId="0" applyFont="1" applyFill="1"/>
    <xf numFmtId="0" fontId="19" fillId="18" borderId="25" xfId="0" applyFont="1" applyFill="1" applyBorder="1"/>
    <xf numFmtId="0" fontId="19" fillId="18" borderId="19" xfId="0" applyFont="1" applyFill="1" applyBorder="1"/>
    <xf numFmtId="2" fontId="19" fillId="18" borderId="25" xfId="0" applyNumberFormat="1" applyFont="1" applyFill="1" applyBorder="1"/>
    <xf numFmtId="0" fontId="10" fillId="14" borderId="20" xfId="0" applyFont="1" applyFill="1" applyBorder="1" applyAlignment="1">
      <alignment horizontal="center" vertical="center"/>
    </xf>
    <xf numFmtId="2" fontId="10" fillId="14" borderId="16" xfId="0" applyNumberFormat="1" applyFont="1" applyFill="1" applyBorder="1" applyAlignment="1">
      <alignment horizontal="center" vertical="center"/>
    </xf>
    <xf numFmtId="0" fontId="19" fillId="0" borderId="0" xfId="0" applyFont="1"/>
    <xf numFmtId="0" fontId="10" fillId="15" borderId="21" xfId="0" applyFont="1" applyFill="1" applyBorder="1"/>
    <xf numFmtId="2" fontId="9" fillId="14" borderId="12" xfId="0" applyNumberFormat="1" applyFont="1" applyFill="1" applyBorder="1" applyAlignment="1">
      <alignment horizontal="center" vertical="center"/>
    </xf>
    <xf numFmtId="0" fontId="10" fillId="0" borderId="21" xfId="0" applyFont="1" applyBorder="1"/>
    <xf numFmtId="0" fontId="10" fillId="0" borderId="11" xfId="0" applyFont="1" applyBorder="1"/>
    <xf numFmtId="0" fontId="9" fillId="0" borderId="11" xfId="0" applyFont="1" applyBorder="1"/>
    <xf numFmtId="0" fontId="9" fillId="0" borderId="12" xfId="0" applyFont="1" applyBorder="1" applyAlignment="1">
      <alignment wrapText="1"/>
    </xf>
    <xf numFmtId="0" fontId="20" fillId="15" borderId="14" xfId="0" applyFont="1" applyFill="1" applyBorder="1" applyAlignment="1">
      <alignment horizontal="center" vertical="center"/>
    </xf>
    <xf numFmtId="2" fontId="20" fillId="14" borderId="16" xfId="0" applyNumberFormat="1" applyFont="1" applyFill="1" applyBorder="1" applyAlignment="1">
      <alignment horizontal="center" vertical="center"/>
    </xf>
    <xf numFmtId="2" fontId="20" fillId="17" borderId="16" xfId="0" applyNumberFormat="1" applyFont="1" applyFill="1" applyBorder="1" applyAlignment="1">
      <alignment horizontal="center" vertical="center" wrapText="1"/>
    </xf>
    <xf numFmtId="0" fontId="20" fillId="17" borderId="15" xfId="0" applyFont="1" applyFill="1" applyBorder="1" applyAlignment="1">
      <alignment horizontal="center" vertical="center" wrapText="1"/>
    </xf>
    <xf numFmtId="0" fontId="20" fillId="17" borderId="16" xfId="0" applyFont="1" applyFill="1" applyBorder="1" applyAlignment="1">
      <alignment horizontal="center" vertical="center" wrapText="1"/>
    </xf>
    <xf numFmtId="0" fontId="10" fillId="15" borderId="25" xfId="0" applyFont="1" applyFill="1" applyBorder="1" applyAlignment="1">
      <alignment horizontal="left" vertical="center"/>
    </xf>
    <xf numFmtId="2" fontId="9" fillId="14" borderId="19" xfId="0" applyNumberFormat="1" applyFont="1" applyFill="1" applyBorder="1" applyAlignment="1">
      <alignment horizontal="center" vertical="center"/>
    </xf>
    <xf numFmtId="0" fontId="10" fillId="0" borderId="23" xfId="0" applyFont="1" applyBorder="1"/>
    <xf numFmtId="0" fontId="9" fillId="0" borderId="13" xfId="0" applyFont="1" applyBorder="1" applyAlignment="1">
      <alignment horizontal="right" wrapText="1"/>
    </xf>
    <xf numFmtId="0" fontId="20" fillId="0" borderId="13" xfId="0" applyFont="1" applyBorder="1"/>
    <xf numFmtId="2" fontId="11" fillId="14" borderId="24" xfId="0" applyNumberFormat="1" applyFont="1" applyFill="1" applyBorder="1" applyAlignment="1">
      <alignment horizontal="center" vertical="center"/>
    </xf>
    <xf numFmtId="2" fontId="11" fillId="14" borderId="11" xfId="0" applyNumberFormat="1" applyFont="1" applyFill="1" applyBorder="1" applyAlignment="1">
      <alignment horizontal="center" vertical="center"/>
    </xf>
    <xf numFmtId="2" fontId="11" fillId="14" borderId="12" xfId="0" applyNumberFormat="1" applyFont="1" applyFill="1" applyBorder="1" applyAlignment="1">
      <alignment horizontal="center" vertical="center"/>
    </xf>
    <xf numFmtId="0" fontId="21" fillId="0" borderId="23" xfId="0" applyFont="1" applyBorder="1"/>
    <xf numFmtId="165" fontId="21" fillId="0" borderId="0" xfId="0" applyNumberFormat="1" applyFont="1"/>
    <xf numFmtId="2" fontId="11" fillId="14" borderId="22" xfId="0" applyNumberFormat="1" applyFont="1" applyFill="1" applyBorder="1" applyAlignment="1">
      <alignment horizontal="center" vertical="center"/>
    </xf>
    <xf numFmtId="2" fontId="11" fillId="14" borderId="0" xfId="0" applyNumberFormat="1" applyFont="1" applyFill="1" applyAlignment="1">
      <alignment horizontal="center" vertical="center"/>
    </xf>
    <xf numFmtId="2" fontId="11" fillId="14" borderId="13" xfId="0" applyNumberFormat="1" applyFont="1" applyFill="1" applyBorder="1" applyAlignment="1">
      <alignment horizontal="center" vertical="center"/>
    </xf>
    <xf numFmtId="0" fontId="31" fillId="19" borderId="0" xfId="0" applyFont="1" applyFill="1"/>
    <xf numFmtId="0" fontId="32" fillId="19" borderId="14" xfId="0" applyFont="1" applyFill="1" applyBorder="1" applyAlignment="1">
      <alignment horizontal="center" vertical="center"/>
    </xf>
    <xf numFmtId="0" fontId="32" fillId="19" borderId="16" xfId="0" applyFont="1" applyFill="1" applyBorder="1" applyAlignment="1">
      <alignment horizontal="center" vertical="center"/>
    </xf>
    <xf numFmtId="0" fontId="9" fillId="0" borderId="23" xfId="0" applyFont="1" applyBorder="1"/>
    <xf numFmtId="165" fontId="9" fillId="0" borderId="0" xfId="0" applyNumberFormat="1" applyFont="1"/>
    <xf numFmtId="0" fontId="32" fillId="19" borderId="24" xfId="0" applyFont="1" applyFill="1" applyBorder="1"/>
    <xf numFmtId="2" fontId="32" fillId="14" borderId="24" xfId="0" applyNumberFormat="1" applyFont="1" applyFill="1" applyBorder="1" applyAlignment="1">
      <alignment horizontal="center" vertical="center"/>
    </xf>
    <xf numFmtId="168" fontId="32" fillId="14" borderId="22" xfId="0" applyNumberFormat="1" applyFont="1" applyFill="1" applyBorder="1" applyAlignment="1">
      <alignment horizontal="center" vertical="center"/>
    </xf>
    <xf numFmtId="168" fontId="32" fillId="14" borderId="13" xfId="0" applyNumberFormat="1" applyFont="1" applyFill="1" applyBorder="1" applyAlignment="1">
      <alignment horizontal="center" vertical="center"/>
    </xf>
    <xf numFmtId="0" fontId="19" fillId="0" borderId="23" xfId="0" applyFont="1" applyBorder="1"/>
    <xf numFmtId="165" fontId="19" fillId="0" borderId="0" xfId="0" applyNumberFormat="1" applyFont="1"/>
    <xf numFmtId="0" fontId="32" fillId="19" borderId="22" xfId="0" applyFont="1" applyFill="1" applyBorder="1"/>
    <xf numFmtId="2" fontId="32" fillId="14" borderId="22" xfId="0" applyNumberFormat="1" applyFont="1" applyFill="1" applyBorder="1" applyAlignment="1">
      <alignment horizontal="center" vertical="center"/>
    </xf>
    <xf numFmtId="0" fontId="9" fillId="0" borderId="25" xfId="0" applyFont="1" applyBorder="1"/>
    <xf numFmtId="0" fontId="9" fillId="0" borderId="18" xfId="0" applyFont="1" applyBorder="1"/>
    <xf numFmtId="0" fontId="9" fillId="0" borderId="19" xfId="0" applyFont="1" applyBorder="1"/>
    <xf numFmtId="0" fontId="9" fillId="0" borderId="17" xfId="0" applyFont="1" applyBorder="1"/>
    <xf numFmtId="0" fontId="20" fillId="17" borderId="16" xfId="0" applyFont="1" applyFill="1" applyBorder="1"/>
    <xf numFmtId="2" fontId="10" fillId="17" borderId="14" xfId="0" applyNumberFormat="1" applyFont="1" applyFill="1" applyBorder="1" applyAlignment="1">
      <alignment horizontal="center" vertical="center"/>
    </xf>
    <xf numFmtId="2" fontId="10" fillId="17" borderId="15" xfId="0" applyNumberFormat="1" applyFont="1" applyFill="1" applyBorder="1" applyAlignment="1">
      <alignment horizontal="center" vertical="center"/>
    </xf>
    <xf numFmtId="2" fontId="10" fillId="17" borderId="16" xfId="0" applyNumberFormat="1" applyFont="1" applyFill="1" applyBorder="1" applyAlignment="1">
      <alignment horizontal="center" vertical="center"/>
    </xf>
    <xf numFmtId="168" fontId="32" fillId="14" borderId="24" xfId="0" applyNumberFormat="1" applyFont="1" applyFill="1" applyBorder="1" applyAlignment="1">
      <alignment horizontal="center" vertical="center"/>
    </xf>
    <xf numFmtId="168" fontId="32" fillId="14" borderId="12" xfId="0" applyNumberFormat="1" applyFont="1" applyFill="1" applyBorder="1" applyAlignment="1">
      <alignment horizontal="center" vertical="center"/>
    </xf>
    <xf numFmtId="2" fontId="20" fillId="17" borderId="14" xfId="0" applyNumberFormat="1" applyFont="1" applyFill="1" applyBorder="1" applyAlignment="1">
      <alignment horizontal="center" vertical="center"/>
    </xf>
    <xf numFmtId="2" fontId="20" fillId="17" borderId="15" xfId="0" applyNumberFormat="1" applyFont="1" applyFill="1" applyBorder="1" applyAlignment="1">
      <alignment horizontal="center" vertical="center"/>
    </xf>
    <xf numFmtId="2" fontId="20" fillId="17" borderId="16" xfId="0" applyNumberFormat="1" applyFont="1" applyFill="1" applyBorder="1" applyAlignment="1">
      <alignment horizontal="center" vertical="center"/>
    </xf>
    <xf numFmtId="0" fontId="32" fillId="19" borderId="17" xfId="0" applyFont="1" applyFill="1" applyBorder="1"/>
    <xf numFmtId="2" fontId="32" fillId="14" borderId="17" xfId="0" applyNumberFormat="1" applyFont="1" applyFill="1" applyBorder="1" applyAlignment="1">
      <alignment horizontal="center" vertical="center"/>
    </xf>
    <xf numFmtId="168" fontId="32" fillId="14" borderId="17" xfId="0" applyNumberFormat="1" applyFont="1" applyFill="1" applyBorder="1" applyAlignment="1">
      <alignment horizontal="center" vertical="center"/>
    </xf>
    <xf numFmtId="168" fontId="32" fillId="14" borderId="19" xfId="0" applyNumberFormat="1" applyFont="1" applyFill="1" applyBorder="1" applyAlignment="1">
      <alignment horizontal="center" vertical="center"/>
    </xf>
    <xf numFmtId="0" fontId="20" fillId="0" borderId="20" xfId="0" applyFont="1" applyBorder="1" applyAlignment="1">
      <alignment horizontal="center" vertical="center"/>
    </xf>
    <xf numFmtId="0" fontId="20" fillId="0" borderId="14" xfId="0" applyFont="1" applyBorder="1" applyAlignment="1">
      <alignment horizontal="left" vertical="center"/>
    </xf>
    <xf numFmtId="2" fontId="9" fillId="14" borderId="0" xfId="0" applyNumberFormat="1" applyFont="1" applyFill="1" applyAlignment="1">
      <alignment horizontal="center"/>
    </xf>
    <xf numFmtId="2" fontId="9" fillId="14" borderId="21" xfId="0" applyNumberFormat="1" applyFont="1" applyFill="1" applyBorder="1" applyAlignment="1">
      <alignment horizontal="center"/>
    </xf>
    <xf numFmtId="2" fontId="9" fillId="14" borderId="12" xfId="0" applyNumberFormat="1" applyFont="1" applyFill="1" applyBorder="1" applyAlignment="1">
      <alignment horizontal="center"/>
    </xf>
    <xf numFmtId="0" fontId="33" fillId="0" borderId="0" xfId="0" applyFont="1"/>
    <xf numFmtId="2" fontId="19" fillId="18" borderId="20" xfId="0" applyNumberFormat="1" applyFont="1" applyFill="1" applyBorder="1" applyAlignment="1">
      <alignment horizontal="center" vertical="center"/>
    </xf>
    <xf numFmtId="2" fontId="19" fillId="18" borderId="16" xfId="0" applyNumberFormat="1" applyFont="1" applyFill="1" applyBorder="1" applyAlignment="1">
      <alignment horizontal="center" vertical="center"/>
    </xf>
    <xf numFmtId="0" fontId="19" fillId="18" borderId="14" xfId="0" applyFont="1" applyFill="1" applyBorder="1"/>
    <xf numFmtId="0" fontId="19" fillId="18" borderId="14" xfId="0" applyFont="1" applyFill="1" applyBorder="1" applyAlignment="1">
      <alignment horizontal="center" vertical="center"/>
    </xf>
    <xf numFmtId="166" fontId="19" fillId="18" borderId="15" xfId="0" applyNumberFormat="1" applyFont="1" applyFill="1" applyBorder="1" applyAlignment="1">
      <alignment horizontal="center" vertical="center"/>
    </xf>
    <xf numFmtId="166" fontId="19" fillId="18" borderId="16" xfId="0" applyNumberFormat="1" applyFont="1" applyFill="1" applyBorder="1" applyAlignment="1">
      <alignment horizontal="center" vertical="center"/>
    </xf>
    <xf numFmtId="0" fontId="35" fillId="0" borderId="0" xfId="0" applyFont="1"/>
    <xf numFmtId="0" fontId="36" fillId="0" borderId="0" xfId="0" applyFont="1"/>
    <xf numFmtId="2" fontId="9" fillId="13" borderId="15" xfId="0" applyNumberFormat="1" applyFont="1" applyFill="1" applyBorder="1" applyAlignment="1" applyProtection="1">
      <alignment horizontal="center" vertical="center"/>
      <protection locked="0"/>
    </xf>
    <xf numFmtId="0" fontId="9" fillId="0" borderId="15" xfId="0" applyFont="1" applyBorder="1"/>
    <xf numFmtId="2" fontId="9" fillId="14" borderId="16" xfId="0" applyNumberFormat="1" applyFont="1" applyFill="1" applyBorder="1" applyAlignment="1" applyProtection="1">
      <alignment horizontal="center" vertical="center"/>
      <protection locked="0"/>
    </xf>
    <xf numFmtId="0" fontId="9" fillId="10" borderId="11" xfId="0" applyFont="1" applyFill="1" applyBorder="1"/>
    <xf numFmtId="0" fontId="9" fillId="0" borderId="21" xfId="0" applyFont="1" applyBorder="1"/>
    <xf numFmtId="2" fontId="9" fillId="14" borderId="12" xfId="0" applyNumberFormat="1" applyFont="1" applyFill="1" applyBorder="1" applyAlignment="1" applyProtection="1">
      <alignment horizontal="center" vertical="center"/>
      <protection locked="0"/>
    </xf>
    <xf numFmtId="166" fontId="25" fillId="0" borderId="0" xfId="0" applyNumberFormat="1" applyFont="1" applyAlignment="1">
      <alignment horizontal="center" vertical="center"/>
    </xf>
    <xf numFmtId="0" fontId="9" fillId="13" borderId="18" xfId="0" applyFont="1" applyFill="1" applyBorder="1" applyProtection="1">
      <protection locked="0"/>
    </xf>
    <xf numFmtId="0" fontId="9" fillId="10" borderId="20" xfId="0" applyFont="1" applyFill="1" applyBorder="1"/>
    <xf numFmtId="168" fontId="9" fillId="13" borderId="16" xfId="0" applyNumberFormat="1" applyFont="1" applyFill="1" applyBorder="1" applyAlignment="1">
      <alignment horizontal="center" vertical="center"/>
    </xf>
    <xf numFmtId="0" fontId="9" fillId="0" borderId="24" xfId="0" applyFont="1" applyBorder="1"/>
    <xf numFmtId="0" fontId="9" fillId="13" borderId="21" xfId="0" applyFont="1" applyFill="1" applyBorder="1" applyProtection="1">
      <protection locked="0"/>
    </xf>
    <xf numFmtId="0" fontId="9" fillId="0" borderId="12" xfId="0" applyFont="1" applyBorder="1"/>
    <xf numFmtId="0" fontId="9" fillId="14" borderId="11" xfId="0" applyFont="1" applyFill="1" applyBorder="1"/>
    <xf numFmtId="0" fontId="9" fillId="13" borderId="23" xfId="0" applyFont="1" applyFill="1" applyBorder="1" applyProtection="1">
      <protection locked="0"/>
    </xf>
    <xf numFmtId="166" fontId="25" fillId="0" borderId="0" xfId="0" applyNumberFormat="1" applyFont="1"/>
    <xf numFmtId="0" fontId="9" fillId="15" borderId="20" xfId="0" applyFont="1" applyFill="1" applyBorder="1"/>
    <xf numFmtId="0" fontId="9" fillId="15" borderId="16" xfId="0" applyFont="1" applyFill="1" applyBorder="1"/>
    <xf numFmtId="2" fontId="9" fillId="15" borderId="24" xfId="0" applyNumberFormat="1" applyFont="1" applyFill="1" applyBorder="1"/>
    <xf numFmtId="166" fontId="9" fillId="14" borderId="15" xfId="0" applyNumberFormat="1" applyFont="1" applyFill="1" applyBorder="1" applyProtection="1">
      <protection locked="0"/>
    </xf>
    <xf numFmtId="0" fontId="9" fillId="10" borderId="16" xfId="0" applyFont="1" applyFill="1" applyBorder="1"/>
    <xf numFmtId="165" fontId="10" fillId="14" borderId="20" xfId="0" applyNumberFormat="1" applyFont="1" applyFill="1" applyBorder="1"/>
    <xf numFmtId="0" fontId="10" fillId="0" borderId="16" xfId="0" applyFont="1" applyBorder="1"/>
    <xf numFmtId="0" fontId="9" fillId="14" borderId="20" xfId="0" applyFont="1" applyFill="1" applyBorder="1" applyAlignment="1">
      <alignment horizontal="center" vertical="center"/>
    </xf>
    <xf numFmtId="0" fontId="9" fillId="13" borderId="0" xfId="0" applyFont="1" applyFill="1" applyProtection="1">
      <protection locked="0"/>
    </xf>
    <xf numFmtId="0" fontId="9" fillId="10" borderId="23" xfId="0" applyFont="1" applyFill="1" applyBorder="1"/>
    <xf numFmtId="0" fontId="9" fillId="10" borderId="13" xfId="0" applyFont="1" applyFill="1" applyBorder="1"/>
    <xf numFmtId="2" fontId="9" fillId="15" borderId="17" xfId="0" applyNumberFormat="1" applyFont="1" applyFill="1" applyBorder="1"/>
    <xf numFmtId="2" fontId="9" fillId="14" borderId="23" xfId="0" applyNumberFormat="1" applyFont="1" applyFill="1" applyBorder="1" applyProtection="1">
      <protection locked="0"/>
    </xf>
    <xf numFmtId="2" fontId="9" fillId="14" borderId="23" xfId="0" applyNumberFormat="1" applyFont="1" applyFill="1" applyBorder="1"/>
    <xf numFmtId="166" fontId="24" fillId="0" borderId="0" xfId="0" applyNumberFormat="1" applyFont="1" applyAlignment="1">
      <alignment horizontal="center" vertical="center"/>
    </xf>
    <xf numFmtId="0" fontId="11" fillId="0" borderId="13" xfId="0" applyFont="1" applyBorder="1"/>
    <xf numFmtId="2" fontId="10" fillId="17" borderId="15" xfId="0" applyNumberFormat="1" applyFont="1" applyFill="1" applyBorder="1"/>
    <xf numFmtId="0" fontId="9" fillId="15" borderId="12" xfId="0" applyFont="1" applyFill="1" applyBorder="1"/>
    <xf numFmtId="0" fontId="9" fillId="13" borderId="0" xfId="0" applyFont="1" applyFill="1"/>
    <xf numFmtId="0" fontId="9" fillId="13" borderId="12" xfId="0" applyFont="1" applyFill="1" applyBorder="1"/>
    <xf numFmtId="0" fontId="9" fillId="13" borderId="13" xfId="0" applyFont="1" applyFill="1" applyBorder="1"/>
    <xf numFmtId="0" fontId="10" fillId="17" borderId="14" xfId="0" applyFont="1" applyFill="1" applyBorder="1"/>
    <xf numFmtId="0" fontId="10" fillId="14" borderId="16" xfId="0" applyFont="1" applyFill="1" applyBorder="1" applyAlignment="1">
      <alignment horizontal="center" vertical="center"/>
    </xf>
    <xf numFmtId="0" fontId="19" fillId="20" borderId="18" xfId="0" applyFont="1" applyFill="1" applyBorder="1"/>
    <xf numFmtId="0" fontId="19" fillId="20" borderId="25" xfId="0" applyFont="1" applyFill="1" applyBorder="1"/>
    <xf numFmtId="0" fontId="19" fillId="20" borderId="19" xfId="0" applyFont="1" applyFill="1" applyBorder="1"/>
    <xf numFmtId="0" fontId="9" fillId="15" borderId="11" xfId="0" applyFont="1" applyFill="1" applyBorder="1"/>
    <xf numFmtId="0" fontId="9" fillId="15" borderId="18" xfId="0" applyFont="1" applyFill="1" applyBorder="1"/>
    <xf numFmtId="0" fontId="32" fillId="19" borderId="24" xfId="0" applyFont="1" applyFill="1" applyBorder="1" applyAlignment="1">
      <alignment horizontal="center" vertical="center"/>
    </xf>
    <xf numFmtId="0" fontId="32" fillId="19" borderId="12" xfId="0" applyFont="1" applyFill="1" applyBorder="1" applyAlignment="1">
      <alignment horizontal="center" vertical="center"/>
    </xf>
    <xf numFmtId="0" fontId="32" fillId="19" borderId="21" xfId="0" applyFont="1" applyFill="1" applyBorder="1" applyAlignment="1">
      <alignment horizontal="center" vertical="center"/>
    </xf>
    <xf numFmtId="2" fontId="32" fillId="14" borderId="21" xfId="0" applyNumberFormat="1" applyFont="1" applyFill="1" applyBorder="1" applyAlignment="1">
      <alignment horizontal="center" vertical="center"/>
    </xf>
    <xf numFmtId="168" fontId="32" fillId="14" borderId="21" xfId="0" applyNumberFormat="1" applyFont="1" applyFill="1" applyBorder="1" applyAlignment="1">
      <alignment horizontal="center" vertical="center"/>
    </xf>
    <xf numFmtId="0" fontId="32" fillId="19" borderId="23" xfId="0" applyFont="1" applyFill="1" applyBorder="1" applyAlignment="1">
      <alignment horizontal="center" vertical="center"/>
    </xf>
    <xf numFmtId="2" fontId="32" fillId="14" borderId="23" xfId="0" applyNumberFormat="1" applyFont="1" applyFill="1" applyBorder="1" applyAlignment="1">
      <alignment horizontal="center" vertical="center"/>
    </xf>
    <xf numFmtId="168" fontId="32" fillId="14" borderId="23" xfId="0" applyNumberFormat="1" applyFont="1" applyFill="1" applyBorder="1" applyAlignment="1">
      <alignment horizontal="center" vertical="center"/>
    </xf>
    <xf numFmtId="0" fontId="32" fillId="19" borderId="25" xfId="0" applyFont="1" applyFill="1" applyBorder="1" applyAlignment="1">
      <alignment horizontal="center" vertical="center"/>
    </xf>
    <xf numFmtId="2" fontId="32" fillId="14" borderId="25" xfId="0" applyNumberFormat="1" applyFont="1" applyFill="1" applyBorder="1" applyAlignment="1">
      <alignment horizontal="center" vertical="center"/>
    </xf>
    <xf numFmtId="168" fontId="32" fillId="14" borderId="25" xfId="0" applyNumberFormat="1" applyFont="1" applyFill="1" applyBorder="1" applyAlignment="1">
      <alignment horizontal="center" vertical="center"/>
    </xf>
    <xf numFmtId="2" fontId="10" fillId="14" borderId="0" xfId="0" applyNumberFormat="1" applyFont="1" applyFill="1" applyAlignment="1">
      <alignment horizontal="center"/>
    </xf>
    <xf numFmtId="2" fontId="10" fillId="14" borderId="21" xfId="0" applyNumberFormat="1" applyFont="1" applyFill="1" applyBorder="1" applyAlignment="1">
      <alignment horizontal="center"/>
    </xf>
    <xf numFmtId="2" fontId="10" fillId="14" borderId="12" xfId="0" applyNumberFormat="1" applyFont="1" applyFill="1" applyBorder="1" applyAlignment="1">
      <alignment horizontal="center"/>
    </xf>
    <xf numFmtId="168" fontId="32" fillId="14" borderId="20" xfId="0" applyNumberFormat="1" applyFont="1" applyFill="1" applyBorder="1" applyAlignment="1">
      <alignment horizontal="center" vertical="center"/>
    </xf>
    <xf numFmtId="168" fontId="32" fillId="14" borderId="16" xfId="0" applyNumberFormat="1" applyFont="1" applyFill="1" applyBorder="1" applyAlignment="1">
      <alignment horizontal="center" vertical="center"/>
    </xf>
    <xf numFmtId="0" fontId="10" fillId="0" borderId="24" xfId="0" applyFont="1" applyBorder="1"/>
    <xf numFmtId="2" fontId="9" fillId="14" borderId="24" xfId="0" applyNumberFormat="1" applyFont="1" applyFill="1" applyBorder="1" applyAlignment="1">
      <alignment horizontal="center" vertical="center"/>
    </xf>
    <xf numFmtId="2" fontId="9" fillId="14" borderId="11" xfId="0" applyNumberFormat="1" applyFont="1" applyFill="1" applyBorder="1" applyAlignment="1">
      <alignment horizontal="center" vertical="center"/>
    </xf>
    <xf numFmtId="2" fontId="32" fillId="14" borderId="13" xfId="0" applyNumberFormat="1" applyFont="1" applyFill="1" applyBorder="1" applyAlignment="1">
      <alignment horizontal="center" vertical="center"/>
    </xf>
    <xf numFmtId="2" fontId="32" fillId="14" borderId="0" xfId="0" applyNumberFormat="1" applyFont="1" applyFill="1" applyAlignment="1">
      <alignment horizontal="center" vertical="center"/>
    </xf>
    <xf numFmtId="0" fontId="10" fillId="0" borderId="22" xfId="0" applyFont="1" applyBorder="1"/>
    <xf numFmtId="2" fontId="9" fillId="14" borderId="22" xfId="0" applyNumberFormat="1" applyFont="1" applyFill="1" applyBorder="1" applyAlignment="1">
      <alignment horizontal="center" vertical="center"/>
    </xf>
    <xf numFmtId="2" fontId="9" fillId="14" borderId="0" xfId="0" applyNumberFormat="1" applyFont="1" applyFill="1" applyAlignment="1">
      <alignment horizontal="center" vertical="center"/>
    </xf>
    <xf numFmtId="2" fontId="9" fillId="14" borderId="13" xfId="0" applyNumberFormat="1" applyFont="1" applyFill="1" applyBorder="1" applyAlignment="1">
      <alignment horizontal="center" vertical="center"/>
    </xf>
    <xf numFmtId="0" fontId="32" fillId="19" borderId="22" xfId="0" applyFont="1" applyFill="1" applyBorder="1" applyAlignment="1">
      <alignment horizontal="center" vertical="center"/>
    </xf>
    <xf numFmtId="0" fontId="10" fillId="0" borderId="17" xfId="0" applyFont="1" applyBorder="1"/>
    <xf numFmtId="2" fontId="9" fillId="14" borderId="17" xfId="0" applyNumberFormat="1" applyFont="1" applyFill="1" applyBorder="1" applyAlignment="1">
      <alignment horizontal="center" vertical="center"/>
    </xf>
    <xf numFmtId="2" fontId="9" fillId="14" borderId="18" xfId="0" applyNumberFormat="1" applyFont="1" applyFill="1" applyBorder="1" applyAlignment="1">
      <alignment horizontal="center" vertical="center"/>
    </xf>
    <xf numFmtId="0" fontId="32" fillId="19" borderId="17" xfId="0" applyFont="1" applyFill="1" applyBorder="1" applyAlignment="1">
      <alignment horizontal="center" vertical="center"/>
    </xf>
    <xf numFmtId="2" fontId="32" fillId="14" borderId="19" xfId="0" applyNumberFormat="1" applyFont="1" applyFill="1" applyBorder="1" applyAlignment="1">
      <alignment horizontal="center" vertical="center"/>
    </xf>
    <xf numFmtId="2" fontId="32" fillId="14" borderId="18" xfId="0" applyNumberFormat="1" applyFont="1" applyFill="1" applyBorder="1" applyAlignment="1">
      <alignment horizontal="center" vertical="center"/>
    </xf>
    <xf numFmtId="2" fontId="10" fillId="17" borderId="0" xfId="0" applyNumberFormat="1" applyFont="1" applyFill="1" applyAlignment="1">
      <alignment horizontal="center" vertical="center"/>
    </xf>
    <xf numFmtId="2" fontId="10" fillId="17" borderId="20" xfId="0" applyNumberFormat="1" applyFont="1" applyFill="1" applyBorder="1" applyAlignment="1">
      <alignment horizontal="center" vertical="center"/>
    </xf>
    <xf numFmtId="0" fontId="14" fillId="0" borderId="0" xfId="0" applyFont="1" applyAlignment="1">
      <alignment wrapText="1"/>
    </xf>
    <xf numFmtId="0" fontId="9" fillId="23" borderId="0" xfId="0" applyFont="1" applyFill="1"/>
    <xf numFmtId="2" fontId="9" fillId="0" borderId="0" xfId="0" applyNumberFormat="1" applyFont="1" applyAlignment="1">
      <alignment wrapText="1"/>
    </xf>
    <xf numFmtId="0" fontId="9" fillId="0" borderId="0" xfId="0" applyFont="1" applyAlignment="1">
      <alignment vertical="center"/>
    </xf>
    <xf numFmtId="167" fontId="9" fillId="0" borderId="0" xfId="0" applyNumberFormat="1" applyFont="1" applyAlignment="1">
      <alignment vertical="center"/>
    </xf>
    <xf numFmtId="167" fontId="9" fillId="0" borderId="0" xfId="0" applyNumberFormat="1" applyFont="1" applyAlignment="1">
      <alignment wrapText="1"/>
    </xf>
    <xf numFmtId="0" fontId="35" fillId="12" borderId="0" xfId="0" applyFont="1" applyFill="1" applyAlignment="1">
      <alignment vertical="center"/>
    </xf>
    <xf numFmtId="43" fontId="8" fillId="0" borderId="0" xfId="1" applyFont="1" applyProtection="1"/>
    <xf numFmtId="43" fontId="9" fillId="23" borderId="2" xfId="1" quotePrefix="1" applyFont="1" applyFill="1" applyBorder="1" applyProtection="1"/>
    <xf numFmtId="0" fontId="9" fillId="0" borderId="3" xfId="0" applyFont="1" applyBorder="1"/>
    <xf numFmtId="167" fontId="9" fillId="23" borderId="3" xfId="0" applyNumberFormat="1" applyFont="1" applyFill="1" applyBorder="1"/>
    <xf numFmtId="1" fontId="9" fillId="23" borderId="3" xfId="0" applyNumberFormat="1" applyFont="1" applyFill="1" applyBorder="1"/>
    <xf numFmtId="167" fontId="9" fillId="0" borderId="0" xfId="0" applyNumberFormat="1" applyFont="1"/>
    <xf numFmtId="43" fontId="9" fillId="0" borderId="0" xfId="0" applyNumberFormat="1" applyFont="1"/>
    <xf numFmtId="43" fontId="9" fillId="0" borderId="0" xfId="1" applyFont="1" applyProtection="1"/>
    <xf numFmtId="0" fontId="40" fillId="6" borderId="0" xfId="0" applyFont="1" applyFill="1" applyAlignment="1">
      <alignment horizontal="left" vertical="center" wrapText="1"/>
    </xf>
    <xf numFmtId="0" fontId="40" fillId="6" borderId="0" xfId="0" applyFont="1" applyFill="1" applyAlignment="1">
      <alignment horizontal="right" vertical="center" wrapText="1"/>
    </xf>
    <xf numFmtId="9" fontId="0" fillId="0" borderId="0" xfId="0" applyNumberFormat="1"/>
    <xf numFmtId="170" fontId="9" fillId="0" borderId="0" xfId="0" applyNumberFormat="1" applyFont="1"/>
    <xf numFmtId="0" fontId="9" fillId="22" borderId="0" xfId="0" applyFont="1" applyFill="1"/>
    <xf numFmtId="2" fontId="9" fillId="0" borderId="0" xfId="0" applyNumberFormat="1" applyFont="1" applyAlignment="1">
      <alignment vertical="top" wrapText="1"/>
    </xf>
    <xf numFmtId="0" fontId="8" fillId="25" borderId="26" xfId="0" applyFont="1" applyFill="1" applyBorder="1" applyAlignment="1">
      <alignment horizontal="center" vertical="center" wrapText="1"/>
    </xf>
    <xf numFmtId="171" fontId="9" fillId="23" borderId="2" xfId="1" quotePrefix="1" applyNumberFormat="1" applyFont="1" applyFill="1" applyBorder="1" applyProtection="1"/>
    <xf numFmtId="0" fontId="44" fillId="0" borderId="0" xfId="0" applyFont="1"/>
    <xf numFmtId="0" fontId="9" fillId="0" borderId="0" xfId="0" applyFont="1" applyAlignment="1">
      <alignment horizontal="left" vertical="center" indent="1"/>
    </xf>
    <xf numFmtId="0" fontId="0" fillId="0" borderId="0" xfId="0" quotePrefix="1"/>
    <xf numFmtId="10" fontId="9" fillId="0" borderId="0" xfId="2" applyNumberFormat="1" applyFont="1"/>
    <xf numFmtId="0" fontId="0" fillId="0" borderId="0" xfId="0" applyAlignment="1">
      <alignment vertical="top"/>
    </xf>
    <xf numFmtId="167" fontId="0" fillId="0" borderId="0" xfId="1" applyNumberFormat="1" applyFont="1"/>
    <xf numFmtId="167" fontId="9" fillId="0" borderId="0" xfId="1" applyNumberFormat="1" applyFont="1" applyAlignment="1">
      <alignment vertical="top" wrapText="1"/>
    </xf>
    <xf numFmtId="9" fontId="9" fillId="0" borderId="0" xfId="2" applyFont="1" applyAlignment="1">
      <alignment vertical="top" wrapText="1"/>
    </xf>
    <xf numFmtId="167" fontId="0" fillId="0" borderId="0" xfId="0" applyNumberFormat="1"/>
    <xf numFmtId="167" fontId="0" fillId="0" borderId="0" xfId="1" quotePrefix="1" applyNumberFormat="1" applyFont="1"/>
    <xf numFmtId="167" fontId="0" fillId="0" borderId="0" xfId="1" quotePrefix="1" applyNumberFormat="1" applyFont="1" applyAlignment="1">
      <alignment wrapText="1"/>
    </xf>
    <xf numFmtId="164" fontId="0" fillId="0" borderId="0" xfId="0" quotePrefix="1" applyNumberFormat="1"/>
    <xf numFmtId="171" fontId="0" fillId="0" borderId="0" xfId="1" quotePrefix="1" applyNumberFormat="1" applyFont="1"/>
    <xf numFmtId="43" fontId="0" fillId="0" borderId="0" xfId="1" quotePrefix="1" applyFont="1"/>
    <xf numFmtId="0" fontId="9" fillId="0" borderId="1" xfId="0" applyFont="1" applyBorder="1"/>
    <xf numFmtId="0" fontId="9" fillId="6" borderId="1" xfId="0" applyFont="1" applyFill="1" applyBorder="1" applyAlignment="1" applyProtection="1">
      <alignment wrapText="1"/>
      <protection locked="0"/>
    </xf>
    <xf numFmtId="9" fontId="9" fillId="6" borderId="1" xfId="2" applyFont="1" applyFill="1" applyBorder="1" applyAlignment="1" applyProtection="1">
      <alignment wrapText="1"/>
      <protection locked="0"/>
    </xf>
    <xf numFmtId="171" fontId="0" fillId="0" borderId="0" xfId="1" applyNumberFormat="1" applyFont="1"/>
    <xf numFmtId="43" fontId="0" fillId="0" borderId="0" xfId="1" applyFont="1"/>
    <xf numFmtId="0" fontId="9" fillId="0" borderId="0" xfId="0" applyFont="1" applyAlignment="1">
      <alignment horizontal="left" vertical="center" wrapText="1"/>
    </xf>
    <xf numFmtId="0" fontId="8" fillId="0" borderId="0" xfId="0" applyFont="1" applyAlignment="1">
      <alignment horizontal="left" vertical="center" indent="1"/>
    </xf>
    <xf numFmtId="0" fontId="9" fillId="0" borderId="0" xfId="0" applyFont="1" applyAlignment="1">
      <alignment vertical="center" wrapText="1"/>
    </xf>
    <xf numFmtId="0" fontId="46" fillId="0" borderId="31" xfId="0" applyFont="1" applyBorder="1" applyAlignment="1">
      <alignment horizontal="center" vertical="center" wrapText="1"/>
    </xf>
    <xf numFmtId="0" fontId="19" fillId="28" borderId="32" xfId="0" applyFont="1" applyFill="1" applyBorder="1" applyAlignment="1">
      <alignment vertical="center" wrapText="1"/>
    </xf>
    <xf numFmtId="0" fontId="48" fillId="0" borderId="31" xfId="0" applyFont="1" applyBorder="1" applyAlignment="1">
      <alignment vertical="center"/>
    </xf>
    <xf numFmtId="0" fontId="49" fillId="0" borderId="0" xfId="0" applyFont="1"/>
    <xf numFmtId="0" fontId="9" fillId="0" borderId="49" xfId="0" applyFont="1" applyBorder="1"/>
    <xf numFmtId="0" fontId="19" fillId="5" borderId="50" xfId="0" applyFont="1" applyFill="1" applyBorder="1" applyAlignment="1">
      <alignment horizontal="center" vertical="center" wrapText="1"/>
    </xf>
    <xf numFmtId="0" fontId="9" fillId="0" borderId="52" xfId="0" applyFont="1" applyBorder="1"/>
    <xf numFmtId="9" fontId="9" fillId="0" borderId="0" xfId="0" applyNumberFormat="1" applyFont="1"/>
    <xf numFmtId="0" fontId="9" fillId="24" borderId="27" xfId="0" applyFont="1" applyFill="1" applyBorder="1" applyAlignment="1" applyProtection="1">
      <alignment vertical="center" wrapText="1"/>
      <protection locked="0"/>
    </xf>
    <xf numFmtId="0" fontId="9" fillId="23" borderId="27" xfId="0" applyFont="1" applyFill="1" applyBorder="1" applyAlignment="1" applyProtection="1">
      <alignment vertical="center" wrapText="1"/>
      <protection locked="0"/>
    </xf>
    <xf numFmtId="2" fontId="0" fillId="29" borderId="27" xfId="0" applyNumberFormat="1" applyFill="1" applyBorder="1"/>
    <xf numFmtId="0" fontId="9" fillId="0" borderId="55" xfId="0" applyFont="1" applyBorder="1"/>
    <xf numFmtId="43" fontId="9" fillId="24" borderId="27" xfId="1" applyFont="1" applyFill="1" applyBorder="1" applyAlignment="1" applyProtection="1">
      <alignment vertical="center" wrapText="1"/>
      <protection locked="0"/>
    </xf>
    <xf numFmtId="49" fontId="9" fillId="24" borderId="27" xfId="1" applyNumberFormat="1" applyFont="1" applyFill="1" applyBorder="1" applyAlignment="1" applyProtection="1">
      <alignment vertical="center" wrapText="1"/>
      <protection locked="0"/>
    </xf>
    <xf numFmtId="0" fontId="9" fillId="0" borderId="27" xfId="0" applyFont="1" applyBorder="1" applyAlignment="1">
      <alignment horizontal="left" vertical="center" wrapText="1"/>
    </xf>
    <xf numFmtId="0" fontId="9" fillId="0" borderId="27" xfId="0" applyFont="1" applyBorder="1" applyAlignment="1">
      <alignment vertical="center" wrapText="1"/>
    </xf>
    <xf numFmtId="2" fontId="9" fillId="0" borderId="27" xfId="0" applyNumberFormat="1" applyFont="1" applyBorder="1" applyAlignment="1">
      <alignment vertical="center" wrapText="1"/>
    </xf>
    <xf numFmtId="10" fontId="9" fillId="0" borderId="27" xfId="2" applyNumberFormat="1" applyFont="1" applyBorder="1" applyAlignment="1">
      <alignment vertical="center" wrapText="1"/>
    </xf>
    <xf numFmtId="2" fontId="9" fillId="24" borderId="27" xfId="0" applyNumberFormat="1" applyFont="1" applyFill="1" applyBorder="1" applyAlignment="1" applyProtection="1">
      <alignment vertical="center" wrapText="1"/>
      <protection locked="0"/>
    </xf>
    <xf numFmtId="43" fontId="9" fillId="0" borderId="0" xfId="1" applyFont="1" applyAlignment="1">
      <alignment horizontal="left" vertical="center" wrapText="1"/>
    </xf>
    <xf numFmtId="9" fontId="9" fillId="0" borderId="0" xfId="2" applyFont="1" applyAlignment="1">
      <alignment horizontal="left" vertical="center" wrapText="1"/>
    </xf>
    <xf numFmtId="0" fontId="19" fillId="5" borderId="26" xfId="0" applyFont="1" applyFill="1" applyBorder="1" applyAlignment="1">
      <alignment horizontal="left" vertical="center" wrapText="1"/>
    </xf>
    <xf numFmtId="0" fontId="19" fillId="5" borderId="27" xfId="0" applyFont="1" applyFill="1" applyBorder="1" applyAlignment="1">
      <alignment vertical="center" wrapText="1"/>
    </xf>
    <xf numFmtId="0" fontId="19" fillId="22" borderId="0" xfId="0" applyFont="1" applyFill="1"/>
    <xf numFmtId="0" fontId="41" fillId="26" borderId="27" xfId="0" applyFont="1" applyFill="1" applyBorder="1" applyAlignment="1">
      <alignment horizontal="left" vertical="center" wrapText="1"/>
    </xf>
    <xf numFmtId="167" fontId="41" fillId="26" borderId="27" xfId="1" applyNumberFormat="1" applyFont="1" applyFill="1" applyBorder="1" applyAlignment="1">
      <alignment horizontal="right" vertical="center" wrapText="1"/>
    </xf>
    <xf numFmtId="0" fontId="9" fillId="0" borderId="27" xfId="0" applyFont="1" applyBorder="1"/>
    <xf numFmtId="0" fontId="19" fillId="22" borderId="27" xfId="0" applyFont="1" applyFill="1" applyBorder="1"/>
    <xf numFmtId="171" fontId="41" fillId="26" borderId="27" xfId="1" applyNumberFormat="1" applyFont="1" applyFill="1" applyBorder="1" applyAlignment="1">
      <alignment horizontal="right" vertical="center" wrapText="1"/>
    </xf>
    <xf numFmtId="0" fontId="9" fillId="0" borderId="0" xfId="0" applyFont="1" applyAlignment="1">
      <alignment horizontal="left"/>
    </xf>
    <xf numFmtId="0" fontId="41" fillId="26" borderId="0" xfId="0" applyFont="1" applyFill="1" applyAlignment="1">
      <alignment horizontal="center" vertical="center" wrapText="1"/>
    </xf>
    <xf numFmtId="167" fontId="9" fillId="0" borderId="0" xfId="1" applyNumberFormat="1" applyFont="1" applyBorder="1" applyAlignment="1">
      <alignment horizontal="right"/>
    </xf>
    <xf numFmtId="0" fontId="42" fillId="26" borderId="27" xfId="0" applyFont="1" applyFill="1" applyBorder="1" applyAlignment="1">
      <alignment horizontal="left" vertical="center" wrapText="1"/>
    </xf>
    <xf numFmtId="167" fontId="42" fillId="26" borderId="27" xfId="1" applyNumberFormat="1" applyFont="1" applyFill="1" applyBorder="1" applyAlignment="1">
      <alignment horizontal="right" vertical="center" wrapText="1"/>
    </xf>
    <xf numFmtId="0" fontId="10" fillId="0" borderId="27" xfId="0" applyFont="1" applyBorder="1"/>
    <xf numFmtId="172" fontId="9" fillId="0" borderId="0" xfId="2" applyNumberFormat="1" applyFont="1"/>
    <xf numFmtId="0" fontId="9" fillId="10" borderId="27" xfId="0" applyFont="1" applyFill="1" applyBorder="1"/>
    <xf numFmtId="0" fontId="9" fillId="0" borderId="26" xfId="0" applyFont="1" applyBorder="1"/>
    <xf numFmtId="0" fontId="9" fillId="0" borderId="54" xfId="0" applyFont="1" applyBorder="1"/>
    <xf numFmtId="0" fontId="9" fillId="0" borderId="56" xfId="0" applyFont="1" applyBorder="1"/>
    <xf numFmtId="0" fontId="10" fillId="10" borderId="27" xfId="0" applyFont="1" applyFill="1" applyBorder="1"/>
    <xf numFmtId="0" fontId="9" fillId="0" borderId="53" xfId="0" applyFont="1" applyBorder="1"/>
    <xf numFmtId="0" fontId="9" fillId="10" borderId="27" xfId="0" applyFont="1" applyFill="1" applyBorder="1" applyAlignment="1" applyProtection="1">
      <alignment vertical="center" wrapText="1"/>
      <protection locked="0"/>
    </xf>
    <xf numFmtId="172" fontId="9" fillId="0" borderId="27" xfId="2" applyNumberFormat="1" applyFont="1" applyBorder="1" applyAlignment="1">
      <alignment horizontal="left" vertical="center" wrapText="1"/>
    </xf>
    <xf numFmtId="0" fontId="20" fillId="10" borderId="27" xfId="0" applyFont="1" applyFill="1" applyBorder="1" applyAlignment="1">
      <alignment vertical="center" wrapText="1"/>
    </xf>
    <xf numFmtId="14" fontId="9" fillId="24" borderId="27" xfId="0" applyNumberFormat="1" applyFont="1" applyFill="1" applyBorder="1" applyAlignment="1" applyProtection="1">
      <alignment horizontal="left" vertical="center" wrapText="1"/>
      <protection locked="0"/>
    </xf>
    <xf numFmtId="0" fontId="9" fillId="24" borderId="27" xfId="0" applyFont="1" applyFill="1" applyBorder="1" applyAlignment="1" applyProtection="1">
      <alignment horizontal="left" vertical="center" wrapText="1"/>
      <protection locked="0"/>
    </xf>
    <xf numFmtId="1" fontId="9" fillId="24" borderId="27" xfId="0" applyNumberFormat="1" applyFont="1" applyFill="1" applyBorder="1" applyAlignment="1" applyProtection="1">
      <alignment horizontal="left" vertical="center" wrapText="1"/>
      <protection locked="0"/>
    </xf>
    <xf numFmtId="0" fontId="6" fillId="24" borderId="27" xfId="6" applyFill="1" applyBorder="1" applyAlignment="1" applyProtection="1">
      <alignment horizontal="left" vertical="center" wrapText="1"/>
      <protection locked="0"/>
    </xf>
    <xf numFmtId="0" fontId="9" fillId="23" borderId="51" xfId="0" applyFont="1" applyFill="1" applyBorder="1" applyAlignment="1" applyProtection="1">
      <alignment vertical="center" wrapText="1"/>
      <protection locked="0"/>
    </xf>
    <xf numFmtId="0" fontId="19" fillId="5" borderId="27" xfId="0" applyFont="1" applyFill="1" applyBorder="1" applyAlignment="1">
      <alignment horizontal="left" vertical="center" wrapText="1"/>
    </xf>
    <xf numFmtId="0" fontId="29" fillId="0" borderId="49" xfId="6" applyFont="1" applyBorder="1"/>
    <xf numFmtId="0" fontId="29" fillId="0" borderId="58" xfId="6" applyFont="1" applyBorder="1"/>
    <xf numFmtId="0" fontId="9" fillId="0" borderId="27" xfId="0" applyFont="1" applyBorder="1" applyAlignment="1">
      <alignment vertical="center"/>
    </xf>
    <xf numFmtId="0" fontId="19" fillId="30" borderId="0" xfId="0" applyFont="1" applyFill="1"/>
    <xf numFmtId="9" fontId="9" fillId="0" borderId="0" xfId="2" applyFont="1"/>
    <xf numFmtId="0" fontId="9" fillId="22" borderId="41" xfId="0" applyFont="1" applyFill="1" applyBorder="1"/>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1" xfId="0" applyFont="1" applyBorder="1"/>
    <xf numFmtId="0" fontId="9" fillId="22" borderId="57" xfId="0" applyFont="1" applyFill="1" applyBorder="1" applyAlignment="1">
      <alignment horizontal="left" vertical="center"/>
    </xf>
    <xf numFmtId="0" fontId="9" fillId="0" borderId="29" xfId="0" applyFont="1" applyBorder="1"/>
    <xf numFmtId="0" fontId="9" fillId="0" borderId="57" xfId="0" applyFont="1" applyBorder="1"/>
    <xf numFmtId="0" fontId="9" fillId="22" borderId="46" xfId="0" applyFont="1" applyFill="1" applyBorder="1"/>
    <xf numFmtId="0" fontId="19" fillId="5" borderId="47" xfId="0" applyFont="1" applyFill="1" applyBorder="1"/>
    <xf numFmtId="0" fontId="19" fillId="5" borderId="48" xfId="0" applyFont="1" applyFill="1" applyBorder="1"/>
    <xf numFmtId="0" fontId="9" fillId="22" borderId="43" xfId="0" applyFont="1" applyFill="1" applyBorder="1"/>
    <xf numFmtId="0" fontId="9" fillId="22" borderId="45" xfId="0" applyFont="1" applyFill="1" applyBorder="1"/>
    <xf numFmtId="0" fontId="9" fillId="0" borderId="28" xfId="0" applyFont="1" applyBorder="1"/>
    <xf numFmtId="0" fontId="9" fillId="0" borderId="29" xfId="0" applyFont="1" applyBorder="1" applyAlignment="1">
      <alignment horizontal="left" vertical="center" wrapText="1"/>
    </xf>
    <xf numFmtId="0" fontId="9" fillId="0" borderId="28" xfId="0" applyFont="1" applyBorder="1" applyAlignment="1">
      <alignment horizontal="left" vertical="center" wrapText="1"/>
    </xf>
    <xf numFmtId="0" fontId="9" fillId="30" borderId="0" xfId="0" applyFont="1" applyFill="1"/>
    <xf numFmtId="9" fontId="9" fillId="10" borderId="27" xfId="2" applyFont="1" applyFill="1" applyBorder="1"/>
    <xf numFmtId="2" fontId="9" fillId="10" borderId="27" xfId="0" applyNumberFormat="1" applyFont="1" applyFill="1" applyBorder="1"/>
    <xf numFmtId="0" fontId="9" fillId="10" borderId="57" xfId="0" applyFont="1" applyFill="1" applyBorder="1"/>
    <xf numFmtId="168" fontId="9" fillId="10" borderId="27" xfId="2" applyNumberFormat="1" applyFont="1" applyFill="1" applyBorder="1"/>
    <xf numFmtId="0" fontId="9" fillId="0" borderId="58" xfId="0" applyFont="1" applyBorder="1"/>
    <xf numFmtId="0" fontId="9" fillId="10" borderId="54" xfId="0" applyFont="1" applyFill="1" applyBorder="1"/>
    <xf numFmtId="0" fontId="9" fillId="10" borderId="53" xfId="0" applyFont="1" applyFill="1" applyBorder="1"/>
    <xf numFmtId="0" fontId="9" fillId="0" borderId="56" xfId="0" applyFont="1" applyBorder="1" applyAlignment="1">
      <alignment horizontal="left" vertical="center"/>
    </xf>
    <xf numFmtId="0" fontId="9" fillId="0" borderId="58" xfId="0" applyFont="1" applyBorder="1" applyAlignment="1">
      <alignment horizontal="left" vertical="center"/>
    </xf>
    <xf numFmtId="0" fontId="9" fillId="10" borderId="29" xfId="0" applyFont="1" applyFill="1" applyBorder="1"/>
    <xf numFmtId="0" fontId="9" fillId="10" borderId="28" xfId="0" applyFont="1" applyFill="1" applyBorder="1"/>
    <xf numFmtId="164" fontId="9" fillId="10" borderId="27" xfId="0" applyNumberFormat="1" applyFont="1" applyFill="1" applyBorder="1"/>
    <xf numFmtId="164" fontId="9" fillId="10" borderId="28" xfId="0" applyNumberFormat="1" applyFont="1" applyFill="1" applyBorder="1"/>
    <xf numFmtId="164" fontId="9" fillId="10" borderId="57" xfId="0" applyNumberFormat="1" applyFont="1" applyFill="1" applyBorder="1"/>
    <xf numFmtId="164" fontId="9" fillId="10" borderId="53" xfId="0" applyNumberFormat="1" applyFont="1" applyFill="1" applyBorder="1"/>
    <xf numFmtId="165" fontId="9" fillId="10" borderId="27" xfId="0" applyNumberFormat="1" applyFont="1" applyFill="1" applyBorder="1"/>
    <xf numFmtId="165" fontId="9" fillId="10" borderId="57" xfId="0" applyNumberFormat="1" applyFont="1" applyFill="1" applyBorder="1"/>
    <xf numFmtId="0" fontId="10" fillId="24" borderId="27" xfId="0" applyFont="1" applyFill="1" applyBorder="1" applyAlignment="1">
      <alignment horizontal="right"/>
    </xf>
    <xf numFmtId="0" fontId="9" fillId="0" borderId="50" xfId="0" applyFont="1" applyBorder="1"/>
    <xf numFmtId="0" fontId="29" fillId="0" borderId="28" xfId="6" applyFont="1" applyBorder="1"/>
    <xf numFmtId="0" fontId="10" fillId="24" borderId="28" xfId="0" applyFont="1" applyFill="1" applyBorder="1" applyAlignment="1">
      <alignment horizontal="right"/>
    </xf>
    <xf numFmtId="0" fontId="9" fillId="0" borderId="59" xfId="0" applyFont="1" applyBorder="1"/>
    <xf numFmtId="0" fontId="10" fillId="24" borderId="27" xfId="0" applyFont="1" applyFill="1" applyBorder="1" applyAlignment="1">
      <alignment horizontal="left"/>
    </xf>
    <xf numFmtId="9" fontId="9" fillId="10" borderId="27" xfId="0" applyNumberFormat="1" applyFont="1" applyFill="1" applyBorder="1"/>
    <xf numFmtId="168" fontId="9" fillId="10" borderId="27" xfId="0" applyNumberFormat="1" applyFont="1" applyFill="1" applyBorder="1"/>
    <xf numFmtId="9" fontId="9" fillId="10" borderId="27" xfId="0" applyNumberFormat="1" applyFont="1" applyFill="1" applyBorder="1" applyAlignment="1">
      <alignment horizontal="right"/>
    </xf>
    <xf numFmtId="0" fontId="9" fillId="10" borderId="28" xfId="0" applyFont="1" applyFill="1" applyBorder="1" applyAlignment="1">
      <alignment horizontal="right"/>
    </xf>
    <xf numFmtId="0" fontId="35" fillId="22" borderId="2" xfId="0" applyFont="1" applyFill="1" applyBorder="1"/>
    <xf numFmtId="43" fontId="35" fillId="22" borderId="2" xfId="1" applyFont="1" applyFill="1" applyBorder="1"/>
    <xf numFmtId="0" fontId="50" fillId="0" borderId="2" xfId="0" applyFont="1" applyBorder="1"/>
    <xf numFmtId="0" fontId="25" fillId="0" borderId="0" xfId="0" applyFont="1" applyAlignment="1">
      <alignment vertical="center"/>
    </xf>
    <xf numFmtId="0" fontId="35" fillId="22" borderId="2" xfId="3" applyFont="1" applyFill="1" applyBorder="1" applyAlignment="1">
      <alignment horizontal="left" vertical="center" wrapText="1"/>
    </xf>
    <xf numFmtId="0" fontId="8" fillId="25" borderId="61" xfId="0" applyFont="1" applyFill="1" applyBorder="1"/>
    <xf numFmtId="167" fontId="9" fillId="22" borderId="61" xfId="1" applyNumberFormat="1" applyFont="1" applyFill="1" applyBorder="1" applyAlignment="1">
      <alignment horizontal="center" vertical="top"/>
    </xf>
    <xf numFmtId="167" fontId="9" fillId="22" borderId="61" xfId="1" applyNumberFormat="1" applyFont="1" applyFill="1" applyBorder="1"/>
    <xf numFmtId="0" fontId="8" fillId="25" borderId="0" xfId="0" applyFont="1" applyFill="1"/>
    <xf numFmtId="167" fontId="9" fillId="22" borderId="0" xfId="1" applyNumberFormat="1" applyFont="1" applyFill="1" applyBorder="1" applyAlignment="1">
      <alignment horizontal="center" vertical="top"/>
    </xf>
    <xf numFmtId="167" fontId="9" fillId="22" borderId="0" xfId="1" applyNumberFormat="1" applyFont="1" applyFill="1" applyBorder="1"/>
    <xf numFmtId="0" fontId="8" fillId="25" borderId="67" xfId="0" applyFont="1" applyFill="1" applyBorder="1"/>
    <xf numFmtId="167" fontId="9" fillId="22" borderId="67" xfId="1" applyNumberFormat="1" applyFont="1" applyFill="1" applyBorder="1" applyAlignment="1">
      <alignment horizontal="center" vertical="top"/>
    </xf>
    <xf numFmtId="167" fontId="9" fillId="22" borderId="67" xfId="1" applyNumberFormat="1" applyFont="1" applyFill="1" applyBorder="1"/>
    <xf numFmtId="0" fontId="9" fillId="0" borderId="61" xfId="0" applyFont="1" applyBorder="1"/>
    <xf numFmtId="167" fontId="38" fillId="0" borderId="61" xfId="1" applyNumberFormat="1" applyFont="1" applyBorder="1"/>
    <xf numFmtId="167" fontId="38" fillId="0" borderId="0" xfId="1" applyNumberFormat="1" applyFont="1" applyBorder="1"/>
    <xf numFmtId="0" fontId="9" fillId="0" borderId="67" xfId="0" applyFont="1" applyBorder="1"/>
    <xf numFmtId="167" fontId="38" fillId="0" borderId="67" xfId="1" applyNumberFormat="1" applyFont="1" applyBorder="1"/>
    <xf numFmtId="167" fontId="14" fillId="22" borderId="61" xfId="1" quotePrefix="1" applyNumberFormat="1" applyFont="1" applyFill="1" applyBorder="1" applyAlignment="1">
      <alignment horizontal="center" wrapText="1"/>
    </xf>
    <xf numFmtId="167" fontId="9" fillId="22" borderId="61" xfId="1" quotePrefix="1" applyNumberFormat="1" applyFont="1" applyFill="1" applyBorder="1"/>
    <xf numFmtId="167" fontId="9" fillId="22" borderId="61" xfId="1" quotePrefix="1" applyNumberFormat="1" applyFont="1" applyFill="1" applyBorder="1" applyAlignment="1">
      <alignment wrapText="1"/>
    </xf>
    <xf numFmtId="167" fontId="38" fillId="22" borderId="70" xfId="1" quotePrefix="1" applyNumberFormat="1" applyFont="1" applyFill="1" applyBorder="1"/>
    <xf numFmtId="0" fontId="8" fillId="25" borderId="0" xfId="0" quotePrefix="1" applyFont="1" applyFill="1"/>
    <xf numFmtId="167" fontId="9" fillId="22" borderId="0" xfId="1" applyNumberFormat="1" applyFont="1" applyFill="1" applyBorder="1" applyAlignment="1">
      <alignment wrapText="1"/>
    </xf>
    <xf numFmtId="167" fontId="38" fillId="22" borderId="71" xfId="1" quotePrefix="1" applyNumberFormat="1" applyFont="1" applyFill="1" applyBorder="1"/>
    <xf numFmtId="0" fontId="8" fillId="25" borderId="67" xfId="0" quotePrefix="1" applyFont="1" applyFill="1" applyBorder="1"/>
    <xf numFmtId="167" fontId="9" fillId="22" borderId="67" xfId="1" applyNumberFormat="1" applyFont="1" applyFill="1" applyBorder="1" applyAlignment="1">
      <alignment wrapText="1"/>
    </xf>
    <xf numFmtId="167" fontId="38" fillId="22" borderId="72" xfId="1" quotePrefix="1" applyNumberFormat="1" applyFont="1" applyFill="1" applyBorder="1"/>
    <xf numFmtId="0" fontId="9" fillId="22" borderId="73" xfId="0" applyFont="1" applyFill="1" applyBorder="1" applyAlignment="1">
      <alignment horizontal="left" vertical="center" wrapText="1"/>
    </xf>
    <xf numFmtId="0" fontId="9" fillId="0" borderId="74" xfId="0" applyFont="1" applyBorder="1" applyAlignment="1">
      <alignment horizontal="left" vertical="center" wrapText="1"/>
    </xf>
    <xf numFmtId="0" fontId="8" fillId="25" borderId="74" xfId="0" applyFont="1" applyFill="1" applyBorder="1" applyAlignment="1">
      <alignment horizontal="left" vertical="center" wrapText="1"/>
    </xf>
    <xf numFmtId="0" fontId="9" fillId="0" borderId="74" xfId="0" applyFont="1" applyBorder="1" applyAlignment="1">
      <alignment horizontal="center" vertical="center" wrapText="1"/>
    </xf>
    <xf numFmtId="0" fontId="38" fillId="0" borderId="74" xfId="0" applyFont="1" applyBorder="1" applyAlignment="1">
      <alignment horizontal="left" vertical="center" wrapText="1"/>
    </xf>
    <xf numFmtId="0" fontId="38" fillId="0" borderId="75" xfId="0" applyFont="1" applyBorder="1" applyAlignment="1">
      <alignment horizontal="left" vertical="center" wrapText="1"/>
    </xf>
    <xf numFmtId="2" fontId="9" fillId="21" borderId="64" xfId="0" applyNumberFormat="1" applyFont="1" applyFill="1" applyBorder="1" applyAlignment="1">
      <alignment horizontal="center" vertical="center" wrapText="1"/>
    </xf>
    <xf numFmtId="2" fontId="38" fillId="21" borderId="71" xfId="0" applyNumberFormat="1" applyFont="1" applyFill="1" applyBorder="1" applyAlignment="1">
      <alignment horizontal="center" vertical="center" wrapText="1"/>
    </xf>
    <xf numFmtId="0" fontId="9" fillId="12" borderId="73" xfId="0" applyFont="1" applyFill="1" applyBorder="1" applyAlignment="1">
      <alignment horizontal="left" vertical="center" wrapText="1"/>
    </xf>
    <xf numFmtId="2" fontId="9" fillId="21" borderId="64" xfId="0" applyNumberFormat="1" applyFont="1" applyFill="1" applyBorder="1" applyAlignment="1">
      <alignment vertical="top" wrapText="1"/>
    </xf>
    <xf numFmtId="2" fontId="9" fillId="21" borderId="71" xfId="0" applyNumberFormat="1" applyFont="1" applyFill="1" applyBorder="1" applyAlignment="1">
      <alignment vertical="top" wrapText="1"/>
    </xf>
    <xf numFmtId="0" fontId="9" fillId="23" borderId="76" xfId="0" applyFont="1" applyFill="1" applyBorder="1" applyAlignment="1" applyProtection="1">
      <alignment vertical="center" wrapText="1"/>
      <protection locked="0"/>
    </xf>
    <xf numFmtId="0" fontId="9" fillId="23" borderId="77" xfId="0" applyFont="1" applyFill="1" applyBorder="1" applyAlignment="1" applyProtection="1">
      <alignment vertical="center" wrapText="1"/>
      <protection locked="0"/>
    </xf>
    <xf numFmtId="167" fontId="9" fillId="22" borderId="0" xfId="1" applyNumberFormat="1" applyFont="1" applyFill="1" applyProtection="1"/>
    <xf numFmtId="167" fontId="51" fillId="27" borderId="61" xfId="1" applyNumberFormat="1" applyFont="1" applyFill="1" applyBorder="1"/>
    <xf numFmtId="167" fontId="51" fillId="27" borderId="0" xfId="1" applyNumberFormat="1" applyFont="1" applyFill="1" applyBorder="1"/>
    <xf numFmtId="167" fontId="51" fillId="27" borderId="67" xfId="1" applyNumberFormat="1" applyFont="1" applyFill="1" applyBorder="1"/>
    <xf numFmtId="167" fontId="14" fillId="27" borderId="0" xfId="1" applyNumberFormat="1" applyFont="1" applyFill="1" applyBorder="1"/>
    <xf numFmtId="167" fontId="14" fillId="27" borderId="0" xfId="1" applyNumberFormat="1" applyFont="1" applyFill="1" applyBorder="1" applyAlignment="1">
      <alignment horizontal="center"/>
    </xf>
    <xf numFmtId="0" fontId="9" fillId="0" borderId="73" xfId="0" applyFont="1" applyBorder="1" applyAlignment="1">
      <alignment horizontal="left" textRotation="90" wrapText="1"/>
    </xf>
    <xf numFmtId="0" fontId="9" fillId="0" borderId="74" xfId="0" applyFont="1" applyBorder="1"/>
    <xf numFmtId="0" fontId="8" fillId="25" borderId="74" xfId="0" quotePrefix="1" applyFont="1" applyFill="1" applyBorder="1"/>
    <xf numFmtId="0" fontId="9" fillId="23" borderId="78" xfId="0" applyFont="1" applyFill="1" applyBorder="1" applyAlignment="1" applyProtection="1">
      <alignment vertical="center" wrapText="1"/>
      <protection locked="0"/>
    </xf>
    <xf numFmtId="167" fontId="9" fillId="22" borderId="74" xfId="1" applyNumberFormat="1" applyFont="1" applyFill="1" applyBorder="1" applyAlignment="1">
      <alignment wrapText="1"/>
    </xf>
    <xf numFmtId="167" fontId="9" fillId="22" borderId="74" xfId="1" applyNumberFormat="1" applyFont="1" applyFill="1" applyBorder="1"/>
    <xf numFmtId="167" fontId="9" fillId="22" borderId="74" xfId="1" applyNumberFormat="1" applyFont="1" applyFill="1" applyBorder="1" applyAlignment="1">
      <alignment horizontal="center" vertical="top"/>
    </xf>
    <xf numFmtId="167" fontId="9" fillId="22" borderId="74" xfId="1" quotePrefix="1" applyNumberFormat="1" applyFont="1" applyFill="1" applyBorder="1"/>
    <xf numFmtId="167" fontId="38" fillId="0" borderId="74" xfId="1" applyNumberFormat="1" applyFont="1" applyBorder="1"/>
    <xf numFmtId="167" fontId="38" fillId="22" borderId="75" xfId="1" quotePrefix="1" applyNumberFormat="1" applyFont="1" applyFill="1" applyBorder="1"/>
    <xf numFmtId="2" fontId="9" fillId="10" borderId="0" xfId="0" applyNumberFormat="1" applyFont="1" applyFill="1" applyAlignment="1">
      <alignment wrapText="1"/>
    </xf>
    <xf numFmtId="9" fontId="9" fillId="10" borderId="0" xfId="2" applyFont="1" applyFill="1" applyProtection="1"/>
    <xf numFmtId="1" fontId="14" fillId="10" borderId="0" xfId="0" applyNumberFormat="1" applyFont="1" applyFill="1" applyAlignment="1">
      <alignment wrapText="1"/>
    </xf>
    <xf numFmtId="0" fontId="11" fillId="0" borderId="74" xfId="0" applyFont="1" applyBorder="1"/>
    <xf numFmtId="0" fontId="38" fillId="0" borderId="0" xfId="0" applyFont="1"/>
    <xf numFmtId="2" fontId="38" fillId="0" borderId="0" xfId="0" applyNumberFormat="1" applyFont="1" applyAlignment="1">
      <alignment wrapText="1"/>
    </xf>
    <xf numFmtId="166" fontId="38" fillId="0" borderId="0" xfId="0" applyNumberFormat="1" applyFont="1"/>
    <xf numFmtId="1" fontId="38" fillId="0" borderId="0" xfId="0" applyNumberFormat="1" applyFont="1"/>
    <xf numFmtId="0" fontId="19" fillId="10" borderId="0" xfId="0" applyFont="1" applyFill="1"/>
    <xf numFmtId="2" fontId="19" fillId="22" borderId="27" xfId="0" applyNumberFormat="1" applyFont="1" applyFill="1" applyBorder="1" applyAlignment="1">
      <alignment horizontal="center" vertical="center" wrapText="1"/>
    </xf>
    <xf numFmtId="0" fontId="35" fillId="22" borderId="0" xfId="3" applyFont="1" applyFill="1" applyBorder="1" applyAlignment="1">
      <alignment horizontal="right" vertical="center" wrapText="1"/>
    </xf>
    <xf numFmtId="0" fontId="19" fillId="22" borderId="27" xfId="3" applyFont="1" applyFill="1" applyBorder="1" applyAlignment="1">
      <alignment horizontal="left" vertical="center"/>
    </xf>
    <xf numFmtId="167" fontId="52" fillId="29" borderId="27" xfId="3" applyNumberFormat="1" applyFont="1" applyFill="1" applyBorder="1" applyAlignment="1">
      <alignment horizontal="right" vertical="center" wrapText="1"/>
    </xf>
    <xf numFmtId="9" fontId="52" fillId="29" borderId="27" xfId="3" applyNumberFormat="1" applyFont="1" applyFill="1" applyBorder="1" applyAlignment="1">
      <alignment horizontal="right" vertical="center"/>
    </xf>
    <xf numFmtId="0" fontId="9" fillId="29" borderId="82" xfId="0" applyFont="1" applyFill="1" applyBorder="1"/>
    <xf numFmtId="0" fontId="9" fillId="29" borderId="83" xfId="0" applyFont="1" applyFill="1" applyBorder="1"/>
    <xf numFmtId="0" fontId="9" fillId="29" borderId="84" xfId="0" applyFont="1" applyFill="1" applyBorder="1"/>
    <xf numFmtId="0" fontId="9" fillId="29" borderId="0" xfId="0" applyFont="1" applyFill="1"/>
    <xf numFmtId="0" fontId="9" fillId="29" borderId="86" xfId="0" applyFont="1" applyFill="1" applyBorder="1"/>
    <xf numFmtId="0" fontId="9" fillId="29" borderId="88" xfId="0" applyFont="1" applyFill="1" applyBorder="1"/>
    <xf numFmtId="0" fontId="9" fillId="29" borderId="89" xfId="0" applyFont="1" applyFill="1" applyBorder="1"/>
    <xf numFmtId="0" fontId="9" fillId="29" borderId="85" xfId="0" applyFont="1" applyFill="1" applyBorder="1" applyAlignment="1">
      <alignment vertical="center"/>
    </xf>
    <xf numFmtId="0" fontId="6" fillId="29" borderId="0" xfId="6" applyFill="1" applyBorder="1" applyAlignment="1">
      <alignment vertical="center"/>
    </xf>
    <xf numFmtId="0" fontId="9" fillId="29" borderId="0" xfId="0" applyFont="1" applyFill="1" applyAlignment="1">
      <alignment vertical="center"/>
    </xf>
    <xf numFmtId="0" fontId="9" fillId="29" borderId="87" xfId="0" applyFont="1" applyFill="1" applyBorder="1" applyAlignment="1">
      <alignment vertical="center"/>
    </xf>
    <xf numFmtId="0" fontId="6" fillId="29" borderId="88" xfId="6" applyFill="1" applyBorder="1" applyAlignment="1">
      <alignment vertical="center"/>
    </xf>
    <xf numFmtId="0" fontId="9" fillId="29" borderId="88" xfId="0" applyFont="1" applyFill="1" applyBorder="1" applyAlignment="1">
      <alignment vertical="center"/>
    </xf>
    <xf numFmtId="0" fontId="3" fillId="0" borderId="2" xfId="0" applyFont="1" applyBorder="1" applyAlignment="1">
      <alignment horizontal="center" vertical="top"/>
    </xf>
    <xf numFmtId="0" fontId="20" fillId="0" borderId="27" xfId="0" applyFont="1" applyBorder="1" applyAlignment="1">
      <alignment vertical="center" wrapText="1"/>
    </xf>
    <xf numFmtId="0" fontId="20" fillId="0" borderId="27" xfId="0" applyFont="1" applyBorder="1" applyAlignment="1">
      <alignment horizontal="left" vertical="center" wrapText="1"/>
    </xf>
    <xf numFmtId="0" fontId="10" fillId="0" borderId="27" xfId="0" applyFont="1" applyBorder="1" applyAlignment="1">
      <alignment horizontal="left" vertical="center" wrapText="1"/>
    </xf>
    <xf numFmtId="43" fontId="10" fillId="0" borderId="55" xfId="0" applyNumberFormat="1" applyFont="1" applyBorder="1" applyAlignment="1">
      <alignment horizontal="center"/>
    </xf>
    <xf numFmtId="1" fontId="9" fillId="0" borderId="55" xfId="0" applyNumberFormat="1" applyFont="1" applyBorder="1" applyAlignment="1">
      <alignment horizontal="center" vertical="center"/>
    </xf>
    <xf numFmtId="43" fontId="10" fillId="0" borderId="54" xfId="0" applyNumberFormat="1" applyFont="1" applyBorder="1" applyAlignment="1">
      <alignment horizontal="center"/>
    </xf>
    <xf numFmtId="43" fontId="10" fillId="0" borderId="54" xfId="0" applyNumberFormat="1" applyFont="1" applyBorder="1" applyAlignment="1">
      <alignment horizontal="center" vertical="center"/>
    </xf>
    <xf numFmtId="43" fontId="10" fillId="0" borderId="59" xfId="0" applyNumberFormat="1" applyFont="1" applyBorder="1" applyAlignment="1">
      <alignment horizontal="center" vertical="center"/>
    </xf>
    <xf numFmtId="1" fontId="9" fillId="0" borderId="59" xfId="0" applyNumberFormat="1" applyFont="1" applyBorder="1" applyAlignment="1">
      <alignment horizontal="center" vertical="center"/>
    </xf>
    <xf numFmtId="43" fontId="10" fillId="0" borderId="57" xfId="0" applyNumberFormat="1" applyFont="1" applyBorder="1" applyAlignment="1">
      <alignment horizontal="center" vertical="center"/>
    </xf>
    <xf numFmtId="2" fontId="38" fillId="10" borderId="0" xfId="0" applyNumberFormat="1" applyFont="1" applyFill="1" applyAlignment="1">
      <alignment wrapText="1"/>
    </xf>
    <xf numFmtId="0" fontId="9" fillId="23" borderId="91" xfId="0" applyFont="1" applyFill="1" applyBorder="1" applyAlignment="1" applyProtection="1">
      <alignment vertical="center" wrapText="1"/>
      <protection locked="0"/>
    </xf>
    <xf numFmtId="0" fontId="9" fillId="23" borderId="93" xfId="0" applyFont="1" applyFill="1" applyBorder="1" applyAlignment="1" applyProtection="1">
      <alignment vertical="center" wrapText="1"/>
      <protection locked="0"/>
    </xf>
    <xf numFmtId="2" fontId="9" fillId="10" borderId="39" xfId="0" applyNumberFormat="1" applyFont="1" applyFill="1" applyBorder="1" applyAlignment="1">
      <alignment wrapText="1"/>
    </xf>
    <xf numFmtId="2" fontId="38" fillId="10" borderId="39" xfId="0" applyNumberFormat="1" applyFont="1" applyFill="1" applyBorder="1" applyAlignment="1">
      <alignment wrapText="1"/>
    </xf>
    <xf numFmtId="1" fontId="14" fillId="10" borderId="39" xfId="0" applyNumberFormat="1" applyFont="1" applyFill="1" applyBorder="1" applyAlignment="1">
      <alignment wrapText="1"/>
    </xf>
    <xf numFmtId="0" fontId="9" fillId="10" borderId="39" xfId="0" applyFont="1" applyFill="1" applyBorder="1"/>
    <xf numFmtId="2" fontId="9" fillId="0" borderId="42" xfId="0" applyNumberFormat="1" applyFont="1" applyBorder="1" applyAlignment="1">
      <alignment wrapText="1"/>
    </xf>
    <xf numFmtId="2" fontId="9" fillId="10" borderId="42" xfId="0" applyNumberFormat="1" applyFont="1" applyFill="1" applyBorder="1" applyAlignment="1">
      <alignment wrapText="1"/>
    </xf>
    <xf numFmtId="2" fontId="38" fillId="10" borderId="42" xfId="0" applyNumberFormat="1" applyFont="1" applyFill="1" applyBorder="1" applyAlignment="1">
      <alignment wrapText="1"/>
    </xf>
    <xf numFmtId="0" fontId="14" fillId="22" borderId="60" xfId="0" applyFont="1" applyFill="1" applyBorder="1" applyAlignment="1">
      <alignment vertical="center"/>
    </xf>
    <xf numFmtId="0" fontId="9" fillId="0" borderId="62" xfId="0" applyFont="1" applyBorder="1" applyAlignment="1">
      <alignment vertical="center"/>
    </xf>
    <xf numFmtId="0" fontId="9" fillId="0" borderId="61" xfId="0" applyFont="1" applyBorder="1" applyAlignment="1">
      <alignment vertical="center"/>
    </xf>
    <xf numFmtId="0" fontId="8" fillId="0" borderId="62" xfId="0" applyFont="1" applyBorder="1" applyAlignment="1">
      <alignment vertical="center" wrapText="1"/>
    </xf>
    <xf numFmtId="0" fontId="19" fillId="22" borderId="64" xfId="0" applyFont="1" applyFill="1" applyBorder="1"/>
    <xf numFmtId="0" fontId="19" fillId="22" borderId="66" xfId="0" applyFont="1" applyFill="1" applyBorder="1"/>
    <xf numFmtId="0" fontId="10" fillId="10" borderId="67" xfId="0" applyFont="1" applyFill="1" applyBorder="1"/>
    <xf numFmtId="0" fontId="9" fillId="23" borderId="67" xfId="0" applyFont="1" applyFill="1" applyBorder="1"/>
    <xf numFmtId="2" fontId="9" fillId="10" borderId="67" xfId="0" applyNumberFormat="1" applyFont="1" applyFill="1" applyBorder="1" applyAlignment="1">
      <alignment wrapText="1"/>
    </xf>
    <xf numFmtId="173" fontId="9" fillId="0" borderId="0" xfId="0" applyNumberFormat="1" applyFont="1"/>
    <xf numFmtId="0" fontId="9" fillId="0" borderId="56" xfId="0" applyFont="1" applyBorder="1" applyAlignment="1">
      <alignment horizontal="center" vertical="center"/>
    </xf>
    <xf numFmtId="169" fontId="20" fillId="24" borderId="27" xfId="8" applyNumberFormat="1" applyFont="1" applyFill="1" applyBorder="1" applyAlignment="1" applyProtection="1">
      <alignment horizontal="left" vertical="center" wrapText="1"/>
      <protection locked="0"/>
    </xf>
    <xf numFmtId="167" fontId="9" fillId="0" borderId="0" xfId="0" applyNumberFormat="1" applyFont="1" applyAlignment="1">
      <alignment horizontal="left" wrapText="1"/>
    </xf>
    <xf numFmtId="167" fontId="4" fillId="27" borderId="27" xfId="12" applyNumberFormat="1" applyBorder="1"/>
    <xf numFmtId="167" fontId="4" fillId="27" borderId="68" xfId="12" applyNumberFormat="1" applyBorder="1"/>
    <xf numFmtId="171" fontId="9" fillId="0" borderId="0" xfId="0" applyNumberFormat="1" applyFont="1"/>
    <xf numFmtId="0" fontId="10" fillId="29" borderId="57" xfId="0" applyFont="1" applyFill="1" applyBorder="1" applyAlignment="1">
      <alignment horizontal="left" vertical="center"/>
    </xf>
    <xf numFmtId="167" fontId="10" fillId="29" borderId="57" xfId="0" applyNumberFormat="1" applyFont="1" applyFill="1" applyBorder="1" applyAlignment="1">
      <alignment horizontal="left" vertical="center"/>
    </xf>
    <xf numFmtId="0" fontId="9" fillId="0" borderId="59" xfId="0" applyFont="1" applyBorder="1" applyAlignment="1">
      <alignment horizontal="center" vertical="center"/>
    </xf>
    <xf numFmtId="0" fontId="9" fillId="0" borderId="55" xfId="0" applyFont="1" applyBorder="1" applyAlignment="1">
      <alignment horizontal="center" vertical="center"/>
    </xf>
    <xf numFmtId="0" fontId="9" fillId="0" borderId="51" xfId="0" applyFont="1" applyBorder="1" applyAlignment="1">
      <alignment horizontal="center" vertical="center"/>
    </xf>
    <xf numFmtId="2" fontId="9" fillId="0" borderId="0" xfId="2" applyNumberFormat="1" applyFont="1"/>
    <xf numFmtId="0" fontId="53" fillId="0" borderId="27" xfId="0" applyFont="1" applyBorder="1" applyAlignment="1">
      <alignment horizontal="left" vertical="center" wrapText="1"/>
    </xf>
    <xf numFmtId="0" fontId="9" fillId="24" borderId="57" xfId="0" applyFont="1" applyFill="1" applyBorder="1" applyAlignment="1" applyProtection="1">
      <alignment vertical="center" wrapText="1"/>
      <protection locked="0"/>
    </xf>
    <xf numFmtId="0" fontId="35" fillId="22" borderId="31" xfId="0" applyFont="1" applyFill="1" applyBorder="1" applyAlignment="1">
      <alignment vertical="center"/>
    </xf>
    <xf numFmtId="0" fontId="55" fillId="0" borderId="0" xfId="0" applyFont="1"/>
    <xf numFmtId="0" fontId="11" fillId="0" borderId="27" xfId="0" applyFont="1" applyBorder="1" applyAlignment="1">
      <alignment vertical="center"/>
    </xf>
    <xf numFmtId="0" fontId="47" fillId="0" borderId="0" xfId="0" applyFont="1" applyAlignment="1">
      <alignment vertical="center"/>
    </xf>
    <xf numFmtId="167" fontId="9" fillId="22" borderId="62" xfId="0" applyNumberFormat="1" applyFont="1" applyFill="1" applyBorder="1" applyAlignment="1">
      <alignment vertical="center" wrapText="1"/>
    </xf>
    <xf numFmtId="0" fontId="9" fillId="0" borderId="0" xfId="0" applyFont="1" applyAlignment="1">
      <alignment horizontal="right" vertical="center"/>
    </xf>
    <xf numFmtId="0" fontId="9" fillId="0" borderId="95" xfId="0" applyFont="1" applyBorder="1" applyAlignment="1">
      <alignment horizontal="left" vertical="center"/>
    </xf>
    <xf numFmtId="0" fontId="9" fillId="0" borderId="49" xfId="0" applyFont="1" applyBorder="1" applyAlignment="1">
      <alignment horizontal="left" vertical="center"/>
    </xf>
    <xf numFmtId="0" fontId="9" fillId="23" borderId="96" xfId="0" applyFont="1" applyFill="1" applyBorder="1" applyAlignment="1" applyProtection="1">
      <alignment vertical="center" wrapText="1"/>
      <protection locked="0"/>
    </xf>
    <xf numFmtId="0" fontId="49" fillId="0" borderId="0" xfId="0" applyFont="1" applyAlignment="1">
      <alignment horizontal="right"/>
    </xf>
    <xf numFmtId="0" fontId="49" fillId="0" borderId="0" xfId="0" applyFont="1" applyAlignment="1">
      <alignment vertical="center"/>
    </xf>
    <xf numFmtId="167" fontId="49" fillId="0" borderId="0" xfId="0" applyNumberFormat="1" applyFont="1"/>
    <xf numFmtId="0" fontId="49" fillId="0" borderId="0" xfId="0" applyFont="1" applyAlignment="1">
      <alignment horizontal="right" vertical="center"/>
    </xf>
    <xf numFmtId="167" fontId="49" fillId="0" borderId="0" xfId="0" applyNumberFormat="1" applyFont="1" applyAlignment="1">
      <alignment vertical="center"/>
    </xf>
    <xf numFmtId="0" fontId="57" fillId="0" borderId="0" xfId="0" applyFont="1"/>
    <xf numFmtId="0" fontId="57" fillId="0" borderId="0" xfId="0" applyFont="1" applyAlignment="1">
      <alignment horizontal="right"/>
    </xf>
    <xf numFmtId="167" fontId="57" fillId="0" borderId="0" xfId="0" applyNumberFormat="1" applyFont="1"/>
    <xf numFmtId="167" fontId="49" fillId="23" borderId="27" xfId="0" applyNumberFormat="1" applyFont="1" applyFill="1" applyBorder="1" applyAlignment="1">
      <alignment vertical="center"/>
    </xf>
    <xf numFmtId="0" fontId="49" fillId="23" borderId="0" xfId="0" applyFont="1" applyFill="1" applyAlignment="1">
      <alignment horizontal="right" vertical="center"/>
    </xf>
    <xf numFmtId="0" fontId="9" fillId="10" borderId="0" xfId="0" applyFont="1" applyFill="1" applyAlignment="1" applyProtection="1">
      <alignment vertical="center" wrapText="1"/>
      <protection locked="0"/>
    </xf>
    <xf numFmtId="0" fontId="9" fillId="23" borderId="97" xfId="0" applyFont="1" applyFill="1" applyBorder="1" applyAlignment="1" applyProtection="1">
      <alignment vertical="center" wrapText="1"/>
      <protection locked="0"/>
    </xf>
    <xf numFmtId="0" fontId="9" fillId="0" borderId="64" xfId="0" applyFont="1" applyBorder="1" applyAlignment="1">
      <alignment vertical="top" wrapText="1"/>
    </xf>
    <xf numFmtId="0" fontId="8" fillId="25" borderId="0" xfId="0" applyFont="1" applyFill="1" applyAlignment="1">
      <alignment horizontal="center" vertical="center" wrapText="1"/>
    </xf>
    <xf numFmtId="2" fontId="9" fillId="21" borderId="0" xfId="0" applyNumberFormat="1" applyFont="1" applyFill="1" applyAlignment="1">
      <alignment vertical="top" wrapText="1"/>
    </xf>
    <xf numFmtId="2" fontId="9" fillId="21" borderId="0" xfId="0" applyNumberFormat="1" applyFont="1" applyFill="1" applyAlignment="1">
      <alignment horizontal="center" vertical="center" wrapText="1"/>
    </xf>
    <xf numFmtId="2" fontId="9" fillId="21" borderId="0" xfId="0" applyNumberFormat="1" applyFont="1" applyFill="1" applyAlignment="1">
      <alignment horizontal="center" vertical="center"/>
    </xf>
    <xf numFmtId="2" fontId="38" fillId="21" borderId="0" xfId="0" applyNumberFormat="1" applyFont="1" applyFill="1" applyAlignment="1">
      <alignment horizontal="center" vertical="center" wrapText="1"/>
    </xf>
    <xf numFmtId="167" fontId="28" fillId="12" borderId="99" xfId="0" applyNumberFormat="1" applyFont="1" applyFill="1" applyBorder="1" applyAlignment="1">
      <alignment horizontal="left" vertical="center"/>
    </xf>
    <xf numFmtId="167" fontId="28" fillId="12" borderId="100" xfId="0" applyNumberFormat="1" applyFont="1" applyFill="1" applyBorder="1" applyAlignment="1">
      <alignment horizontal="left" vertical="center"/>
    </xf>
    <xf numFmtId="0" fontId="49" fillId="23" borderId="61" xfId="0" applyFont="1" applyFill="1" applyBorder="1" applyAlignment="1">
      <alignment horizontal="right" vertical="center"/>
    </xf>
    <xf numFmtId="167" fontId="53" fillId="23" borderId="62" xfId="0" applyNumberFormat="1" applyFont="1" applyFill="1" applyBorder="1" applyAlignment="1">
      <alignment vertical="center"/>
    </xf>
    <xf numFmtId="0" fontId="49" fillId="23" borderId="70" xfId="0" applyFont="1" applyFill="1" applyBorder="1" applyAlignment="1">
      <alignment vertical="center"/>
    </xf>
    <xf numFmtId="0" fontId="49" fillId="23" borderId="71" xfId="0" applyFont="1" applyFill="1" applyBorder="1" applyAlignment="1">
      <alignment vertical="center"/>
    </xf>
    <xf numFmtId="0" fontId="0" fillId="23" borderId="64" xfId="0" applyFill="1" applyBorder="1"/>
    <xf numFmtId="0" fontId="49" fillId="23" borderId="71" xfId="0" applyFont="1" applyFill="1" applyBorder="1"/>
    <xf numFmtId="167" fontId="28" fillId="12" borderId="104" xfId="0" applyNumberFormat="1" applyFont="1" applyFill="1" applyBorder="1" applyAlignment="1">
      <alignment horizontal="left" vertical="center"/>
    </xf>
    <xf numFmtId="167" fontId="28" fillId="12" borderId="101" xfId="0" applyNumberFormat="1" applyFont="1" applyFill="1" applyBorder="1" applyAlignment="1">
      <alignment horizontal="left" vertical="center"/>
    </xf>
    <xf numFmtId="167" fontId="28" fillId="12" borderId="102" xfId="0" applyNumberFormat="1" applyFont="1" applyFill="1" applyBorder="1" applyAlignment="1">
      <alignment horizontal="left" vertical="center"/>
    </xf>
    <xf numFmtId="167" fontId="28" fillId="12" borderId="103" xfId="0" applyNumberFormat="1" applyFont="1" applyFill="1" applyBorder="1" applyAlignment="1">
      <alignment horizontal="left" vertical="center"/>
    </xf>
    <xf numFmtId="167" fontId="58" fillId="12" borderId="104" xfId="0" applyNumberFormat="1" applyFont="1" applyFill="1" applyBorder="1" applyAlignment="1">
      <alignment horizontal="left" vertical="center"/>
    </xf>
    <xf numFmtId="167" fontId="58" fillId="12" borderId="103" xfId="0" applyNumberFormat="1" applyFont="1" applyFill="1" applyBorder="1" applyAlignment="1">
      <alignment horizontal="left" vertical="center"/>
    </xf>
    <xf numFmtId="173" fontId="9" fillId="0" borderId="0" xfId="0" quotePrefix="1" applyNumberFormat="1" applyFont="1"/>
    <xf numFmtId="9" fontId="9" fillId="23" borderId="29" xfId="2" applyFont="1" applyFill="1" applyBorder="1"/>
    <xf numFmtId="9" fontId="9" fillId="23" borderId="27" xfId="2" applyFont="1" applyFill="1" applyBorder="1"/>
    <xf numFmtId="0" fontId="56" fillId="30" borderId="39" xfId="0" applyFont="1" applyFill="1" applyBorder="1" applyAlignment="1">
      <alignment vertical="center" wrapText="1"/>
    </xf>
    <xf numFmtId="0" fontId="49" fillId="0" borderId="39" xfId="0" applyFont="1" applyBorder="1"/>
    <xf numFmtId="2" fontId="9" fillId="24" borderId="27" xfId="1" applyNumberFormat="1" applyFont="1" applyFill="1" applyBorder="1" applyAlignment="1" applyProtection="1">
      <alignment vertical="center" wrapText="1"/>
      <protection locked="0"/>
    </xf>
    <xf numFmtId="0" fontId="9" fillId="23" borderId="57" xfId="0" applyFont="1" applyFill="1" applyBorder="1" applyAlignment="1" applyProtection="1">
      <alignment vertical="center" wrapText="1"/>
      <protection locked="0"/>
    </xf>
    <xf numFmtId="2" fontId="9" fillId="23" borderId="57" xfId="0" applyNumberFormat="1" applyFont="1" applyFill="1" applyBorder="1" applyAlignment="1" applyProtection="1">
      <alignment vertical="center" wrapText="1"/>
      <protection locked="0"/>
    </xf>
    <xf numFmtId="2" fontId="9" fillId="24" borderId="57" xfId="1" applyNumberFormat="1" applyFont="1" applyFill="1" applyBorder="1" applyAlignment="1" applyProtection="1">
      <alignment vertical="center" wrapText="1"/>
      <protection locked="0"/>
    </xf>
    <xf numFmtId="49" fontId="9" fillId="24" borderId="57" xfId="1" applyNumberFormat="1" applyFont="1" applyFill="1" applyBorder="1" applyAlignment="1" applyProtection="1">
      <alignment vertical="center" wrapText="1"/>
      <protection locked="0"/>
    </xf>
    <xf numFmtId="9" fontId="9" fillId="0" borderId="0" xfId="2" applyFont="1" applyAlignment="1">
      <alignment horizontal="right" vertical="center"/>
    </xf>
    <xf numFmtId="43" fontId="9" fillId="0" borderId="0" xfId="1" applyFont="1" applyAlignment="1">
      <alignment horizontal="left" vertical="center"/>
    </xf>
    <xf numFmtId="0" fontId="9" fillId="23" borderId="27" xfId="0" applyFont="1" applyFill="1" applyBorder="1" applyAlignment="1" applyProtection="1">
      <alignment horizontal="left" vertical="center" wrapText="1"/>
      <protection locked="0"/>
    </xf>
    <xf numFmtId="43" fontId="9" fillId="24" borderId="27" xfId="1" applyFont="1" applyFill="1" applyBorder="1" applyAlignment="1" applyProtection="1">
      <alignment horizontal="left" vertical="center" wrapText="1"/>
      <protection locked="0"/>
    </xf>
    <xf numFmtId="165" fontId="9" fillId="0" borderId="0" xfId="0" applyNumberFormat="1" applyFont="1" applyAlignment="1">
      <alignment horizontal="left" vertical="center"/>
    </xf>
    <xf numFmtId="9" fontId="9" fillId="0" borderId="0" xfId="0" applyNumberFormat="1" applyFont="1" applyAlignment="1">
      <alignment horizontal="left" vertical="center"/>
    </xf>
    <xf numFmtId="9" fontId="9" fillId="10" borderId="57" xfId="2" applyFont="1" applyFill="1" applyBorder="1"/>
    <xf numFmtId="0" fontId="9" fillId="0" borderId="1" xfId="0" applyFont="1" applyBorder="1" applyAlignment="1">
      <alignment wrapText="1"/>
    </xf>
    <xf numFmtId="168" fontId="9" fillId="0" borderId="95" xfId="2" applyNumberFormat="1" applyFont="1" applyBorder="1" applyAlignment="1">
      <alignment horizontal="right" vertical="center"/>
    </xf>
    <xf numFmtId="168" fontId="9" fillId="0" borderId="49" xfId="2" applyNumberFormat="1" applyFont="1" applyBorder="1" applyAlignment="1">
      <alignment horizontal="right" vertical="center"/>
    </xf>
    <xf numFmtId="168" fontId="9" fillId="23" borderId="95" xfId="2" applyNumberFormat="1" applyFont="1" applyFill="1" applyBorder="1" applyAlignment="1">
      <alignment horizontal="right" vertical="center"/>
    </xf>
    <xf numFmtId="168" fontId="9" fillId="23" borderId="49" xfId="2" applyNumberFormat="1" applyFont="1" applyFill="1" applyBorder="1" applyAlignment="1">
      <alignment horizontal="right" vertical="center"/>
    </xf>
    <xf numFmtId="43" fontId="14" fillId="31" borderId="27" xfId="1" applyFont="1" applyFill="1" applyBorder="1" applyAlignment="1" applyProtection="1">
      <alignment vertical="center" wrapText="1"/>
      <protection locked="0"/>
    </xf>
    <xf numFmtId="10" fontId="14" fillId="31" borderId="27" xfId="2" applyNumberFormat="1" applyFont="1" applyFill="1" applyBorder="1" applyAlignment="1">
      <alignment vertical="center"/>
    </xf>
    <xf numFmtId="2" fontId="14" fillId="31" borderId="57" xfId="1" applyNumberFormat="1" applyFont="1" applyFill="1" applyBorder="1" applyAlignment="1" applyProtection="1">
      <alignment vertical="center" wrapText="1"/>
      <protection locked="0"/>
    </xf>
    <xf numFmtId="10" fontId="14" fillId="31" borderId="57" xfId="2" applyNumberFormat="1" applyFont="1" applyFill="1" applyBorder="1" applyAlignment="1">
      <alignment vertical="center"/>
    </xf>
    <xf numFmtId="2" fontId="0" fillId="31" borderId="27" xfId="0" applyNumberFormat="1" applyFill="1" applyBorder="1"/>
    <xf numFmtId="168" fontId="14" fillId="31" borderId="27" xfId="2" applyNumberFormat="1" applyFont="1" applyFill="1" applyBorder="1"/>
    <xf numFmtId="2" fontId="9" fillId="31" borderId="27" xfId="0" applyNumberFormat="1" applyFont="1" applyFill="1" applyBorder="1"/>
    <xf numFmtId="2" fontId="14" fillId="31" borderId="27" xfId="0" applyNumberFormat="1" applyFont="1" applyFill="1" applyBorder="1"/>
    <xf numFmtId="1" fontId="14" fillId="31" borderId="63" xfId="1" applyNumberFormat="1" applyFont="1" applyFill="1" applyBorder="1"/>
    <xf numFmtId="167" fontId="14" fillId="31" borderId="90" xfId="1" applyNumberFormat="1" applyFont="1" applyFill="1" applyBorder="1"/>
    <xf numFmtId="167" fontId="14" fillId="31" borderId="62" xfId="1" applyNumberFormat="1" applyFont="1" applyFill="1" applyBorder="1"/>
    <xf numFmtId="1" fontId="14" fillId="31" borderId="65" xfId="1" applyNumberFormat="1" applyFont="1" applyFill="1" applyBorder="1"/>
    <xf numFmtId="167" fontId="14" fillId="31" borderId="27" xfId="1" applyNumberFormat="1" applyFont="1" applyFill="1" applyBorder="1"/>
    <xf numFmtId="1" fontId="14" fillId="31" borderId="69" xfId="1" applyNumberFormat="1" applyFont="1" applyFill="1" applyBorder="1"/>
    <xf numFmtId="167" fontId="14" fillId="31" borderId="68" xfId="1" applyNumberFormat="1" applyFont="1" applyFill="1" applyBorder="1"/>
    <xf numFmtId="1" fontId="14" fillId="31" borderId="98" xfId="1" applyNumberFormat="1" applyFont="1" applyFill="1" applyBorder="1"/>
    <xf numFmtId="167" fontId="14" fillId="31" borderId="51" xfId="1" applyNumberFormat="1" applyFont="1" applyFill="1" applyBorder="1"/>
    <xf numFmtId="1" fontId="14" fillId="31" borderId="94" xfId="1" applyNumberFormat="1" applyFont="1" applyFill="1" applyBorder="1"/>
    <xf numFmtId="167" fontId="14" fillId="31" borderId="57" xfId="1" applyNumberFormat="1" applyFont="1" applyFill="1" applyBorder="1"/>
    <xf numFmtId="1" fontId="14" fillId="31" borderId="92" xfId="1" applyNumberFormat="1" applyFont="1" applyFill="1" applyBorder="1"/>
    <xf numFmtId="1" fontId="14" fillId="31" borderId="78" xfId="1" applyNumberFormat="1" applyFont="1" applyFill="1" applyBorder="1"/>
    <xf numFmtId="167" fontId="14" fillId="31" borderId="62" xfId="0" applyNumberFormat="1" applyFont="1" applyFill="1" applyBorder="1" applyAlignment="1">
      <alignment vertical="center" wrapText="1"/>
    </xf>
    <xf numFmtId="167" fontId="14" fillId="31" borderId="0" xfId="1" applyNumberFormat="1" applyFont="1" applyFill="1" applyBorder="1" applyAlignment="1">
      <alignment wrapText="1"/>
    </xf>
    <xf numFmtId="167" fontId="14" fillId="31" borderId="67" xfId="1" applyNumberFormat="1" applyFont="1" applyFill="1" applyBorder="1" applyAlignment="1">
      <alignment wrapText="1"/>
    </xf>
    <xf numFmtId="167" fontId="14" fillId="31" borderId="78" xfId="1" applyNumberFormat="1" applyFont="1" applyFill="1" applyBorder="1"/>
    <xf numFmtId="167" fontId="8" fillId="31" borderId="79" xfId="0" applyNumberFormat="1" applyFont="1" applyFill="1" applyBorder="1" applyAlignment="1">
      <alignment vertical="center" wrapText="1"/>
    </xf>
    <xf numFmtId="167" fontId="8" fillId="31" borderId="80" xfId="1" applyNumberFormat="1" applyFont="1" applyFill="1" applyBorder="1" applyAlignment="1">
      <alignment wrapText="1"/>
    </xf>
    <xf numFmtId="167" fontId="21" fillId="31" borderId="81" xfId="1" applyNumberFormat="1" applyFont="1" applyFill="1" applyBorder="1" applyAlignment="1">
      <alignment vertical="center"/>
    </xf>
    <xf numFmtId="167" fontId="14" fillId="31" borderId="61" xfId="0" applyNumberFormat="1" applyFont="1" applyFill="1" applyBorder="1" applyAlignment="1">
      <alignment vertical="center" wrapText="1"/>
    </xf>
    <xf numFmtId="167" fontId="61" fillId="31" borderId="70" xfId="0" applyNumberFormat="1" applyFont="1" applyFill="1" applyBorder="1" applyAlignment="1">
      <alignment vertical="center" wrapText="1"/>
    </xf>
    <xf numFmtId="167" fontId="14" fillId="31" borderId="22" xfId="1" applyNumberFormat="1" applyFont="1" applyFill="1" applyBorder="1" applyAlignment="1">
      <alignment wrapText="1"/>
    </xf>
    <xf numFmtId="167" fontId="61" fillId="31" borderId="71" xfId="1" applyNumberFormat="1" applyFont="1" applyFill="1" applyBorder="1" applyAlignment="1">
      <alignment wrapText="1"/>
    </xf>
    <xf numFmtId="167" fontId="61" fillId="31" borderId="72" xfId="1" applyNumberFormat="1" applyFont="1" applyFill="1" applyBorder="1" applyAlignment="1">
      <alignment wrapText="1"/>
    </xf>
    <xf numFmtId="167" fontId="51" fillId="31" borderId="78" xfId="1" applyNumberFormat="1" applyFont="1" applyFill="1" applyBorder="1"/>
    <xf numFmtId="167" fontId="51" fillId="31" borderId="62" xfId="1" applyNumberFormat="1" applyFont="1" applyFill="1" applyBorder="1"/>
    <xf numFmtId="167" fontId="61" fillId="31" borderId="61" xfId="1" applyNumberFormat="1" applyFont="1" applyFill="1" applyBorder="1"/>
    <xf numFmtId="167" fontId="61" fillId="31" borderId="63" xfId="1" applyNumberFormat="1" applyFont="1" applyFill="1" applyBorder="1"/>
    <xf numFmtId="167" fontId="61" fillId="31" borderId="0" xfId="1" applyNumberFormat="1" applyFont="1" applyFill="1" applyBorder="1"/>
    <xf numFmtId="167" fontId="61" fillId="31" borderId="65" xfId="1" applyNumberFormat="1" applyFont="1" applyFill="1" applyBorder="1"/>
    <xf numFmtId="167" fontId="61" fillId="31" borderId="67" xfId="1" applyNumberFormat="1" applyFont="1" applyFill="1" applyBorder="1"/>
    <xf numFmtId="167" fontId="61" fillId="31" borderId="69" xfId="1" applyNumberFormat="1" applyFont="1" applyFill="1" applyBorder="1"/>
    <xf numFmtId="167" fontId="61" fillId="31" borderId="98" xfId="1" applyNumberFormat="1" applyFont="1" applyFill="1" applyBorder="1"/>
    <xf numFmtId="167" fontId="61" fillId="31" borderId="94" xfId="1" applyNumberFormat="1" applyFont="1" applyFill="1" applyBorder="1"/>
    <xf numFmtId="9" fontId="14" fillId="31" borderId="0" xfId="2" applyFont="1" applyFill="1" applyProtection="1"/>
    <xf numFmtId="2" fontId="5" fillId="31" borderId="27" xfId="0" applyNumberFormat="1" applyFont="1" applyFill="1" applyBorder="1" applyAlignment="1">
      <alignment horizontal="center"/>
    </xf>
    <xf numFmtId="1" fontId="14" fillId="31" borderId="62" xfId="0" applyNumberFormat="1" applyFont="1" applyFill="1" applyBorder="1" applyAlignment="1">
      <alignment vertical="center" wrapText="1"/>
    </xf>
    <xf numFmtId="165" fontId="35" fillId="31" borderId="28" xfId="3" applyNumberFormat="1" applyFont="1" applyFill="1" applyBorder="1" applyAlignment="1">
      <alignment horizontal="left" vertical="center"/>
    </xf>
    <xf numFmtId="0" fontId="14" fillId="31" borderId="50" xfId="0" applyFont="1" applyFill="1" applyBorder="1"/>
    <xf numFmtId="0" fontId="14" fillId="31" borderId="29" xfId="0" applyFont="1" applyFill="1" applyBorder="1"/>
    <xf numFmtId="167" fontId="35" fillId="31" borderId="27" xfId="1" applyNumberFormat="1" applyFont="1" applyFill="1" applyBorder="1" applyAlignment="1">
      <alignment horizontal="right" vertical="center"/>
    </xf>
    <xf numFmtId="43" fontId="35" fillId="31" borderId="2" xfId="1" applyFont="1" applyFill="1" applyBorder="1"/>
    <xf numFmtId="43" fontId="35" fillId="31" borderId="2" xfId="1" quotePrefix="1" applyFont="1" applyFill="1" applyBorder="1" applyAlignment="1">
      <alignment vertical="center"/>
    </xf>
    <xf numFmtId="43" fontId="35" fillId="31" borderId="2" xfId="1" quotePrefix="1" applyFont="1" applyFill="1" applyBorder="1" applyAlignment="1">
      <alignment horizontal="center" vertical="center"/>
    </xf>
    <xf numFmtId="2" fontId="0" fillId="31" borderId="51" xfId="0" applyNumberFormat="1" applyFill="1" applyBorder="1"/>
    <xf numFmtId="43" fontId="4" fillId="31" borderId="27" xfId="1" applyFont="1" applyFill="1" applyBorder="1" applyAlignment="1">
      <alignment horizontal="left" vertical="center"/>
    </xf>
    <xf numFmtId="0" fontId="14" fillId="31" borderId="0" xfId="0" applyFont="1" applyFill="1" applyAlignment="1">
      <alignment horizontal="left" vertical="center"/>
    </xf>
    <xf numFmtId="9" fontId="4" fillId="31" borderId="27" xfId="2" applyFont="1" applyFill="1" applyBorder="1" applyAlignment="1">
      <alignment horizontal="right" vertical="center"/>
    </xf>
    <xf numFmtId="2" fontId="0" fillId="31" borderId="27" xfId="0" applyNumberFormat="1" applyFill="1" applyBorder="1" applyAlignment="1">
      <alignment horizontal="left" vertical="center"/>
    </xf>
    <xf numFmtId="167" fontId="14" fillId="31" borderId="90" xfId="0" applyNumberFormat="1" applyFont="1" applyFill="1" applyBorder="1" applyAlignment="1">
      <alignment vertical="center" wrapText="1"/>
    </xf>
    <xf numFmtId="0" fontId="14" fillId="31" borderId="105" xfId="1" applyNumberFormat="1" applyFont="1" applyFill="1" applyBorder="1"/>
    <xf numFmtId="0" fontId="14" fillId="31" borderId="106" xfId="1" applyNumberFormat="1" applyFont="1" applyFill="1" applyBorder="1"/>
    <xf numFmtId="0" fontId="14" fillId="31" borderId="107" xfId="1" applyNumberFormat="1" applyFont="1" applyFill="1" applyBorder="1"/>
    <xf numFmtId="0" fontId="14" fillId="31" borderId="108" xfId="1" applyNumberFormat="1" applyFont="1" applyFill="1" applyBorder="1"/>
    <xf numFmtId="0" fontId="8" fillId="0" borderId="109" xfId="0" applyFont="1" applyBorder="1" applyAlignment="1">
      <alignment vertical="center" wrapText="1"/>
    </xf>
    <xf numFmtId="0" fontId="14" fillId="31" borderId="110" xfId="1" applyNumberFormat="1" applyFont="1" applyFill="1" applyBorder="1"/>
    <xf numFmtId="0" fontId="14" fillId="31" borderId="111" xfId="1" applyNumberFormat="1" applyFont="1" applyFill="1" applyBorder="1"/>
    <xf numFmtId="0" fontId="9" fillId="0" borderId="112" xfId="0" applyFont="1" applyBorder="1" applyAlignment="1">
      <alignment horizontal="center" vertical="center" wrapText="1"/>
    </xf>
    <xf numFmtId="0" fontId="9" fillId="23" borderId="27" xfId="0" applyFont="1" applyFill="1" applyBorder="1" applyAlignment="1">
      <alignment vertical="center"/>
    </xf>
    <xf numFmtId="0" fontId="14" fillId="0" borderId="61" xfId="0" applyFont="1" applyBorder="1"/>
    <xf numFmtId="0" fontId="14" fillId="0" borderId="0" xfId="0" applyFont="1"/>
    <xf numFmtId="0" fontId="14" fillId="10" borderId="0" xfId="0" applyFont="1" applyFill="1"/>
    <xf numFmtId="0" fontId="0" fillId="23" borderId="0" xfId="0" applyFill="1"/>
    <xf numFmtId="0" fontId="9" fillId="23" borderId="0" xfId="0" applyFont="1" applyFill="1" applyAlignment="1">
      <alignment horizontal="right"/>
    </xf>
    <xf numFmtId="43" fontId="53" fillId="23" borderId="57" xfId="0" applyNumberFormat="1" applyFont="1" applyFill="1" applyBorder="1"/>
    <xf numFmtId="0" fontId="58" fillId="12" borderId="0" xfId="0" applyFont="1" applyFill="1" applyAlignment="1">
      <alignment vertical="center"/>
    </xf>
    <xf numFmtId="167" fontId="58" fillId="12" borderId="0" xfId="0" applyNumberFormat="1" applyFont="1" applyFill="1" applyAlignment="1">
      <alignment horizontal="left" vertical="center"/>
    </xf>
    <xf numFmtId="0" fontId="57" fillId="12" borderId="0" xfId="0" applyFont="1" applyFill="1"/>
    <xf numFmtId="0" fontId="57" fillId="0" borderId="31" xfId="0" applyFont="1" applyBorder="1" applyAlignment="1">
      <alignment horizontal="right"/>
    </xf>
    <xf numFmtId="0" fontId="58" fillId="12" borderId="113" xfId="0" applyFont="1" applyFill="1" applyBorder="1" applyAlignment="1">
      <alignment vertical="center"/>
    </xf>
    <xf numFmtId="167" fontId="58" fillId="12" borderId="113" xfId="0" applyNumberFormat="1" applyFont="1" applyFill="1" applyBorder="1" applyAlignment="1">
      <alignment horizontal="left" vertical="center"/>
    </xf>
    <xf numFmtId="0" fontId="57" fillId="12" borderId="113" xfId="0" applyFont="1" applyFill="1" applyBorder="1"/>
    <xf numFmtId="0" fontId="57" fillId="12" borderId="34" xfId="0" applyFont="1" applyFill="1" applyBorder="1"/>
    <xf numFmtId="0" fontId="57" fillId="12" borderId="36" xfId="0" applyFont="1" applyFill="1" applyBorder="1"/>
    <xf numFmtId="0" fontId="58" fillId="12" borderId="114" xfId="0" applyFont="1" applyFill="1" applyBorder="1" applyAlignment="1">
      <alignment vertical="center"/>
    </xf>
    <xf numFmtId="167" fontId="58" fillId="12" borderId="114" xfId="0" applyNumberFormat="1" applyFont="1" applyFill="1" applyBorder="1" applyAlignment="1">
      <alignment horizontal="left" vertical="center"/>
    </xf>
    <xf numFmtId="0" fontId="57" fillId="12" borderId="114" xfId="0" applyFont="1" applyFill="1" applyBorder="1"/>
    <xf numFmtId="0" fontId="57" fillId="12" borderId="38" xfId="0" applyFont="1" applyFill="1" applyBorder="1"/>
    <xf numFmtId="0" fontId="0" fillId="0" borderId="0" xfId="0" applyAlignment="1">
      <alignment horizontal="center"/>
    </xf>
    <xf numFmtId="2" fontId="0" fillId="0" borderId="0" xfId="0" applyNumberFormat="1" applyAlignment="1">
      <alignment horizontal="right"/>
    </xf>
    <xf numFmtId="167" fontId="0" fillId="6" borderId="0" xfId="1" applyNumberFormat="1" applyFont="1" applyFill="1" applyAlignment="1">
      <alignment horizontal="center"/>
    </xf>
    <xf numFmtId="0" fontId="65" fillId="0" borderId="0" xfId="0" applyFont="1" applyAlignment="1">
      <alignment horizontal="center"/>
    </xf>
    <xf numFmtId="2" fontId="0" fillId="0" borderId="2" xfId="0" applyNumberFormat="1" applyBorder="1" applyAlignment="1">
      <alignment horizontal="center" wrapText="1"/>
    </xf>
    <xf numFmtId="2" fontId="0" fillId="0" borderId="0" xfId="0" applyNumberFormat="1" applyAlignment="1">
      <alignment horizontal="center"/>
    </xf>
    <xf numFmtId="0" fontId="0" fillId="0" borderId="2" xfId="0" applyBorder="1"/>
    <xf numFmtId="0" fontId="0" fillId="0" borderId="2" xfId="0" applyBorder="1" applyAlignment="1">
      <alignment horizontal="right"/>
    </xf>
    <xf numFmtId="0" fontId="0" fillId="0" borderId="2" xfId="0" applyBorder="1" applyAlignment="1">
      <alignment horizontal="center"/>
    </xf>
    <xf numFmtId="1" fontId="0" fillId="0" borderId="2" xfId="0" applyNumberFormat="1" applyBorder="1" applyAlignment="1">
      <alignment horizontal="center"/>
    </xf>
    <xf numFmtId="2" fontId="0" fillId="0" borderId="2" xfId="0" applyNumberFormat="1" applyBorder="1" applyAlignment="1">
      <alignment horizontal="center"/>
    </xf>
    <xf numFmtId="43" fontId="0" fillId="6" borderId="2" xfId="1" applyFont="1" applyFill="1" applyBorder="1" applyAlignment="1">
      <alignment horizontal="right"/>
    </xf>
    <xf numFmtId="0" fontId="0" fillId="0" borderId="0" xfId="0" applyAlignment="1">
      <alignment horizontal="left"/>
    </xf>
    <xf numFmtId="43" fontId="0" fillId="6" borderId="115" xfId="1" applyFont="1" applyFill="1" applyBorder="1" applyAlignment="1">
      <alignment horizontal="right"/>
    </xf>
    <xf numFmtId="2" fontId="0" fillId="0" borderId="10" xfId="0" applyNumberFormat="1" applyBorder="1" applyAlignment="1">
      <alignment horizontal="center"/>
    </xf>
    <xf numFmtId="0" fontId="0" fillId="0" borderId="2" xfId="0" applyBorder="1" applyAlignment="1">
      <alignment horizontal="left"/>
    </xf>
    <xf numFmtId="0" fontId="0" fillId="0" borderId="2" xfId="0" quotePrefix="1" applyBorder="1" applyAlignment="1">
      <alignment horizontal="left"/>
    </xf>
    <xf numFmtId="0" fontId="0" fillId="0" borderId="115" xfId="0" applyBorder="1"/>
    <xf numFmtId="0" fontId="0" fillId="0" borderId="115" xfId="0" applyBorder="1" applyAlignment="1">
      <alignment horizontal="right"/>
    </xf>
    <xf numFmtId="0" fontId="0" fillId="0" borderId="115" xfId="0" applyBorder="1" applyAlignment="1">
      <alignment horizontal="center"/>
    </xf>
    <xf numFmtId="2" fontId="0" fillId="0" borderId="115" xfId="0" applyNumberFormat="1" applyBorder="1" applyAlignment="1">
      <alignment horizontal="center"/>
    </xf>
    <xf numFmtId="0" fontId="65" fillId="0" borderId="0" xfId="0" applyFont="1" applyAlignment="1">
      <alignment horizontal="left"/>
    </xf>
    <xf numFmtId="0" fontId="67" fillId="0" borderId="0" xfId="0" applyFont="1" applyAlignment="1">
      <alignment horizontal="left"/>
    </xf>
    <xf numFmtId="167" fontId="0" fillId="0" borderId="0" xfId="1" applyNumberFormat="1" applyFont="1" applyFill="1" applyAlignment="1">
      <alignment horizontal="center"/>
    </xf>
    <xf numFmtId="0" fontId="0" fillId="6" borderId="2" xfId="0" applyFill="1" applyBorder="1"/>
    <xf numFmtId="0" fontId="67" fillId="6" borderId="0" xfId="0" applyFont="1" applyFill="1"/>
    <xf numFmtId="2" fontId="9" fillId="6" borderId="0" xfId="0" applyNumberFormat="1" applyFont="1" applyFill="1" applyProtection="1">
      <protection locked="0"/>
    </xf>
    <xf numFmtId="2" fontId="9" fillId="0" borderId="0" xfId="0" quotePrefix="1" applyNumberFormat="1" applyFont="1"/>
    <xf numFmtId="2" fontId="14" fillId="31" borderId="27" xfId="1" applyNumberFormat="1" applyFont="1" applyFill="1" applyBorder="1" applyAlignment="1" applyProtection="1">
      <alignment vertical="center" wrapText="1"/>
      <protection locked="0"/>
    </xf>
    <xf numFmtId="171" fontId="0" fillId="0" borderId="0" xfId="0" applyNumberFormat="1"/>
    <xf numFmtId="0" fontId="58" fillId="12" borderId="35" xfId="0" applyFont="1" applyFill="1" applyBorder="1" applyAlignment="1">
      <alignment horizontal="left" vertical="center" wrapText="1"/>
    </xf>
    <xf numFmtId="0" fontId="58" fillId="12" borderId="0" xfId="0" applyFont="1" applyFill="1" applyAlignment="1">
      <alignment horizontal="left" vertical="center" wrapText="1"/>
    </xf>
    <xf numFmtId="0" fontId="9" fillId="29" borderId="28" xfId="0" applyFont="1" applyFill="1" applyBorder="1" applyAlignment="1">
      <alignment horizontal="left" vertical="center"/>
    </xf>
    <xf numFmtId="0" fontId="9" fillId="29" borderId="50" xfId="0" applyFont="1" applyFill="1" applyBorder="1" applyAlignment="1">
      <alignment horizontal="left" vertical="center"/>
    </xf>
    <xf numFmtId="0" fontId="9" fillId="29" borderId="29" xfId="0" applyFont="1" applyFill="1" applyBorder="1" applyAlignment="1">
      <alignment horizontal="left" vertical="center"/>
    </xf>
    <xf numFmtId="0" fontId="9" fillId="0" borderId="0" xfId="0" applyFont="1" applyAlignment="1">
      <alignment horizontal="left" vertical="top" wrapText="1"/>
    </xf>
    <xf numFmtId="49" fontId="49" fillId="29" borderId="28" xfId="0" applyNumberFormat="1" applyFont="1" applyFill="1" applyBorder="1" applyAlignment="1">
      <alignment horizontal="left" vertical="center" wrapText="1"/>
    </xf>
    <xf numFmtId="49" fontId="49" fillId="29" borderId="50" xfId="0" applyNumberFormat="1" applyFont="1" applyFill="1" applyBorder="1" applyAlignment="1">
      <alignment horizontal="left" vertical="center" wrapText="1"/>
    </xf>
    <xf numFmtId="49" fontId="49" fillId="29" borderId="29" xfId="0" applyNumberFormat="1" applyFont="1" applyFill="1" applyBorder="1" applyAlignment="1">
      <alignment horizontal="left" vertical="center" wrapText="1"/>
    </xf>
    <xf numFmtId="2" fontId="9" fillId="29" borderId="28" xfId="0" applyNumberFormat="1" applyFont="1" applyFill="1" applyBorder="1" applyAlignment="1">
      <alignment horizontal="left" vertical="center"/>
    </xf>
    <xf numFmtId="2" fontId="9" fillId="29" borderId="50" xfId="0" applyNumberFormat="1" applyFont="1" applyFill="1" applyBorder="1" applyAlignment="1">
      <alignment horizontal="left" vertical="center"/>
    </xf>
    <xf numFmtId="2" fontId="9" fillId="29" borderId="29" xfId="0" applyNumberFormat="1" applyFont="1" applyFill="1" applyBorder="1" applyAlignment="1">
      <alignment horizontal="left" vertical="center"/>
    </xf>
    <xf numFmtId="167" fontId="9" fillId="29" borderId="28" xfId="1" applyNumberFormat="1" applyFont="1" applyFill="1" applyBorder="1" applyAlignment="1">
      <alignment horizontal="left" vertical="center"/>
    </xf>
    <xf numFmtId="167" fontId="9" fillId="29" borderId="50" xfId="1" applyNumberFormat="1" applyFont="1" applyFill="1" applyBorder="1" applyAlignment="1">
      <alignment horizontal="left" vertical="center"/>
    </xf>
    <xf numFmtId="167" fontId="9" fillId="29" borderId="29" xfId="1" applyNumberFormat="1" applyFont="1" applyFill="1" applyBorder="1" applyAlignment="1">
      <alignment horizontal="left" vertical="center"/>
    </xf>
    <xf numFmtId="0" fontId="9" fillId="29" borderId="28" xfId="0" applyFont="1" applyFill="1" applyBorder="1" applyAlignment="1">
      <alignment horizontal="left"/>
    </xf>
    <xf numFmtId="0" fontId="9" fillId="29" borderId="50" xfId="0" applyFont="1" applyFill="1" applyBorder="1" applyAlignment="1">
      <alignment horizontal="left"/>
    </xf>
    <xf numFmtId="0" fontId="9" fillId="29" borderId="29" xfId="0" applyFont="1" applyFill="1" applyBorder="1" applyAlignment="1">
      <alignment horizontal="left"/>
    </xf>
    <xf numFmtId="0" fontId="35" fillId="22" borderId="58" xfId="0" applyFont="1" applyFill="1" applyBorder="1" applyAlignment="1">
      <alignment horizontal="left" vertical="center" wrapText="1"/>
    </xf>
    <xf numFmtId="0" fontId="35" fillId="22" borderId="52" xfId="0" applyFont="1" applyFill="1" applyBorder="1" applyAlignment="1">
      <alignment horizontal="left" vertical="center" wrapText="1"/>
    </xf>
    <xf numFmtId="0" fontId="35" fillId="22" borderId="56" xfId="0" applyFont="1" applyFill="1" applyBorder="1" applyAlignment="1">
      <alignment horizontal="left" vertical="center" wrapText="1"/>
    </xf>
    <xf numFmtId="2" fontId="9" fillId="29" borderId="27" xfId="0" applyNumberFormat="1" applyFont="1" applyFill="1" applyBorder="1" applyAlignment="1">
      <alignment horizontal="left" vertical="center"/>
    </xf>
    <xf numFmtId="0" fontId="28" fillId="12" borderId="35" xfId="0" applyFont="1" applyFill="1" applyBorder="1" applyAlignment="1">
      <alignment horizontal="left" vertical="center" wrapText="1"/>
    </xf>
    <xf numFmtId="0" fontId="28" fillId="12" borderId="0" xfId="0" applyFont="1" applyFill="1" applyAlignment="1">
      <alignment horizontal="left" vertical="center" wrapText="1"/>
    </xf>
    <xf numFmtId="0" fontId="58" fillId="12" borderId="37" xfId="0" applyFont="1" applyFill="1" applyBorder="1" applyAlignment="1">
      <alignment horizontal="left" vertical="center" wrapText="1"/>
    </xf>
    <xf numFmtId="0" fontId="58" fillId="12" borderId="114" xfId="0" applyFont="1" applyFill="1" applyBorder="1" applyAlignment="1">
      <alignment horizontal="left" vertical="center" wrapText="1"/>
    </xf>
    <xf numFmtId="0" fontId="54" fillId="22" borderId="0" xfId="0" applyFont="1" applyFill="1" applyAlignment="1">
      <alignment horizontal="center"/>
    </xf>
    <xf numFmtId="9" fontId="59" fillId="22" borderId="0" xfId="0" applyNumberFormat="1" applyFont="1" applyFill="1" applyAlignment="1">
      <alignment horizontal="center" vertical="center"/>
    </xf>
    <xf numFmtId="0" fontId="9" fillId="0" borderId="27" xfId="0" applyFont="1" applyBorder="1" applyAlignment="1">
      <alignment horizontal="left" vertical="center"/>
    </xf>
    <xf numFmtId="0" fontId="10" fillId="29" borderId="57" xfId="0" applyFont="1" applyFill="1" applyBorder="1" applyAlignment="1">
      <alignment horizontal="left" vertical="center"/>
    </xf>
    <xf numFmtId="0" fontId="19" fillId="22" borderId="27" xfId="0" applyFont="1" applyFill="1" applyBorder="1" applyAlignment="1">
      <alignment horizontal="center" vertical="center" wrapText="1"/>
    </xf>
    <xf numFmtId="1" fontId="9" fillId="29" borderId="28" xfId="0" applyNumberFormat="1" applyFont="1" applyFill="1" applyBorder="1" applyAlignment="1">
      <alignment horizontal="left" vertical="center"/>
    </xf>
    <xf numFmtId="1" fontId="9" fillId="29" borderId="50" xfId="0" applyNumberFormat="1" applyFont="1" applyFill="1" applyBorder="1" applyAlignment="1">
      <alignment horizontal="left" vertical="center"/>
    </xf>
    <xf numFmtId="1" fontId="9" fillId="29" borderId="29" xfId="0" applyNumberFormat="1" applyFont="1" applyFill="1" applyBorder="1" applyAlignment="1">
      <alignment horizontal="left" vertical="center"/>
    </xf>
    <xf numFmtId="0" fontId="60" fillId="0" borderId="0" xfId="0" applyFont="1" applyAlignment="1">
      <alignment horizontal="left" vertical="center" wrapText="1"/>
    </xf>
    <xf numFmtId="0" fontId="54" fillId="22" borderId="58" xfId="0" applyFont="1" applyFill="1" applyBorder="1" applyAlignment="1">
      <alignment horizontal="center"/>
    </xf>
    <xf numFmtId="0" fontId="54" fillId="22" borderId="52" xfId="0" applyFont="1" applyFill="1" applyBorder="1" applyAlignment="1">
      <alignment horizontal="center"/>
    </xf>
    <xf numFmtId="0" fontId="22" fillId="22" borderId="49" xfId="0" applyFont="1" applyFill="1" applyBorder="1" applyAlignment="1">
      <alignment horizontal="left" vertical="center" wrapText="1"/>
    </xf>
    <xf numFmtId="0" fontId="22" fillId="22" borderId="0" xfId="0" applyFont="1" applyFill="1" applyAlignment="1">
      <alignment horizontal="left" vertical="center" wrapText="1"/>
    </xf>
    <xf numFmtId="0" fontId="58" fillId="12" borderId="33" xfId="0" applyFont="1" applyFill="1" applyBorder="1" applyAlignment="1">
      <alignment horizontal="left" vertical="center" wrapText="1"/>
    </xf>
    <xf numFmtId="0" fontId="58" fillId="12" borderId="113" xfId="0" applyFont="1" applyFill="1" applyBorder="1" applyAlignment="1">
      <alignment horizontal="left" vertical="center" wrapText="1"/>
    </xf>
    <xf numFmtId="0" fontId="58" fillId="22" borderId="0" xfId="0" applyFont="1" applyFill="1" applyAlignment="1">
      <alignment horizontal="center" vertical="center"/>
    </xf>
    <xf numFmtId="0" fontId="24" fillId="0" borderId="33" xfId="0" applyFont="1" applyBorder="1" applyAlignment="1">
      <alignment horizontal="center" vertical="center"/>
    </xf>
    <xf numFmtId="0" fontId="24" fillId="0" borderId="34" xfId="0" applyFont="1" applyBorder="1" applyAlignment="1">
      <alignment horizontal="center" vertical="center"/>
    </xf>
    <xf numFmtId="0" fontId="9" fillId="0" borderId="33" xfId="0" applyFont="1" applyBorder="1" applyAlignment="1">
      <alignment horizontal="left" vertical="top" wrapText="1"/>
    </xf>
    <xf numFmtId="0" fontId="9" fillId="0" borderId="34" xfId="0" applyFont="1" applyBorder="1" applyAlignment="1">
      <alignment horizontal="left" vertical="top" wrapText="1"/>
    </xf>
    <xf numFmtId="0" fontId="9" fillId="0" borderId="35" xfId="0" applyFont="1" applyBorder="1" applyAlignment="1">
      <alignment horizontal="left" vertical="top" wrapText="1"/>
    </xf>
    <xf numFmtId="0" fontId="9" fillId="0" borderId="36" xfId="0" applyFont="1" applyBorder="1" applyAlignment="1">
      <alignment horizontal="left" vertical="top" wrapText="1"/>
    </xf>
    <xf numFmtId="0" fontId="9" fillId="0" borderId="37" xfId="0" applyFont="1" applyBorder="1" applyAlignment="1">
      <alignment horizontal="left" vertical="top" wrapText="1"/>
    </xf>
    <xf numFmtId="0" fontId="9" fillId="0" borderId="38" xfId="0" applyFont="1" applyBorder="1" applyAlignment="1">
      <alignment horizontal="left" vertical="top" wrapText="1"/>
    </xf>
    <xf numFmtId="0" fontId="9" fillId="0" borderId="27" xfId="0" applyFont="1" applyBorder="1" applyAlignment="1">
      <alignment horizontal="left" vertical="top" wrapText="1"/>
    </xf>
    <xf numFmtId="0" fontId="19" fillId="28" borderId="27" xfId="0" applyFont="1" applyFill="1" applyBorder="1" applyAlignment="1">
      <alignment horizontal="center" vertical="center" wrapText="1"/>
    </xf>
    <xf numFmtId="0" fontId="19" fillId="28" borderId="35" xfId="0" applyFont="1" applyFill="1" applyBorder="1" applyAlignment="1">
      <alignment horizontal="center" vertical="center" wrapText="1"/>
    </xf>
    <xf numFmtId="0" fontId="19" fillId="28" borderId="36" xfId="0" applyFont="1" applyFill="1" applyBorder="1" applyAlignment="1">
      <alignment horizontal="center" vertical="center" wrapText="1"/>
    </xf>
    <xf numFmtId="14" fontId="14" fillId="0" borderId="0" xfId="0" applyNumberFormat="1" applyFont="1" applyAlignment="1">
      <alignment horizontal="left" wrapText="1"/>
    </xf>
    <xf numFmtId="0" fontId="9" fillId="0" borderId="128" xfId="0" applyFont="1" applyBorder="1" applyAlignment="1">
      <alignment horizontal="left" vertical="center"/>
    </xf>
    <xf numFmtId="0" fontId="9" fillId="0" borderId="129" xfId="0" applyFont="1" applyBorder="1" applyAlignment="1">
      <alignment horizontal="left" vertical="center"/>
    </xf>
    <xf numFmtId="0" fontId="9" fillId="0" borderId="130" xfId="0" applyFont="1" applyBorder="1" applyAlignment="1">
      <alignment horizontal="left" vertical="center"/>
    </xf>
    <xf numFmtId="0" fontId="9" fillId="0" borderId="46" xfId="0" applyFont="1" applyBorder="1" applyAlignment="1">
      <alignment horizontal="left" vertical="center" wrapText="1"/>
    </xf>
    <xf numFmtId="0" fontId="9" fillId="0" borderId="47" xfId="0" applyFont="1" applyBorder="1" applyAlignment="1">
      <alignment horizontal="left" vertical="center" wrapText="1"/>
    </xf>
    <xf numFmtId="0" fontId="9" fillId="0" borderId="48" xfId="0" applyFont="1" applyBorder="1" applyAlignment="1">
      <alignment horizontal="left" vertical="center" wrapText="1"/>
    </xf>
    <xf numFmtId="0" fontId="9" fillId="0" borderId="40" xfId="0" applyFont="1" applyBorder="1" applyAlignment="1">
      <alignment horizontal="left" vertical="center" wrapText="1"/>
    </xf>
    <xf numFmtId="0" fontId="9" fillId="0" borderId="39" xfId="0" applyFont="1" applyBorder="1" applyAlignment="1">
      <alignment horizontal="left" vertical="center" wrapText="1"/>
    </xf>
    <xf numFmtId="0" fontId="9" fillId="0" borderId="44" xfId="0" applyFont="1" applyBorder="1" applyAlignment="1">
      <alignment horizontal="left" vertical="center" wrapText="1"/>
    </xf>
    <xf numFmtId="0" fontId="9" fillId="0" borderId="41" xfId="0" applyFont="1" applyBorder="1" applyAlignment="1">
      <alignment horizontal="left" vertical="center" wrapText="1"/>
    </xf>
    <xf numFmtId="0" fontId="9" fillId="0" borderId="43" xfId="0" applyFont="1" applyBorder="1" applyAlignment="1">
      <alignment horizontal="left" vertical="center" wrapText="1"/>
    </xf>
    <xf numFmtId="0" fontId="9" fillId="0" borderId="45" xfId="0" applyFont="1" applyBorder="1" applyAlignment="1">
      <alignment horizontal="left" vertical="center" wrapText="1"/>
    </xf>
    <xf numFmtId="0" fontId="9" fillId="0" borderId="117" xfId="0" applyFont="1" applyBorder="1" applyAlignment="1">
      <alignment horizontal="left" vertical="center"/>
    </xf>
    <xf numFmtId="0" fontId="9" fillId="0" borderId="118" xfId="0" applyFont="1" applyBorder="1" applyAlignment="1">
      <alignment horizontal="left" vertical="center"/>
    </xf>
    <xf numFmtId="0" fontId="9" fillId="0" borderId="119" xfId="0" applyFont="1" applyBorder="1" applyAlignment="1">
      <alignment horizontal="left" vertical="center"/>
    </xf>
    <xf numFmtId="0" fontId="9" fillId="0" borderId="120" xfId="0" applyFont="1" applyBorder="1" applyAlignment="1">
      <alignment horizontal="left" vertical="top" wrapText="1"/>
    </xf>
    <xf numFmtId="0" fontId="9" fillId="0" borderId="121" xfId="0" applyFont="1" applyBorder="1" applyAlignment="1">
      <alignment horizontal="left" vertical="top" wrapText="1"/>
    </xf>
    <xf numFmtId="0" fontId="9" fillId="0" borderId="122" xfId="0" applyFont="1" applyBorder="1" applyAlignment="1">
      <alignment horizontal="left" vertical="top" wrapText="1"/>
    </xf>
    <xf numFmtId="0" fontId="9" fillId="0" borderId="123" xfId="0" applyFont="1" applyBorder="1" applyAlignment="1">
      <alignment horizontal="left" vertical="top" wrapText="1"/>
    </xf>
    <xf numFmtId="0" fontId="9" fillId="0" borderId="105" xfId="0" applyFont="1" applyBorder="1" applyAlignment="1">
      <alignment horizontal="left" vertical="top" wrapText="1"/>
    </xf>
    <xf numFmtId="0" fontId="9" fillId="0" borderId="124" xfId="0" applyFont="1" applyBorder="1" applyAlignment="1">
      <alignment horizontal="left" vertical="top" wrapText="1"/>
    </xf>
    <xf numFmtId="0" fontId="9" fillId="0" borderId="8" xfId="0" applyFont="1" applyBorder="1" applyAlignment="1">
      <alignment horizontal="left" vertical="top" wrapText="1"/>
    </xf>
    <xf numFmtId="0" fontId="9" fillId="0" borderId="125" xfId="0" applyFont="1" applyBorder="1" applyAlignment="1">
      <alignment horizontal="left" vertical="top" wrapText="1"/>
    </xf>
    <xf numFmtId="0" fontId="9" fillId="0" borderId="126" xfId="0" applyFont="1" applyBorder="1" applyAlignment="1">
      <alignment horizontal="left" vertical="top" wrapText="1"/>
    </xf>
    <xf numFmtId="0" fontId="9" fillId="0" borderId="116" xfId="0" applyFont="1" applyBorder="1" applyAlignment="1">
      <alignment horizontal="left" vertical="top" wrapText="1"/>
    </xf>
    <xf numFmtId="0" fontId="9" fillId="0" borderId="127" xfId="0" applyFont="1" applyBorder="1" applyAlignment="1">
      <alignment horizontal="left" vertical="top" wrapText="1"/>
    </xf>
    <xf numFmtId="0" fontId="9" fillId="0" borderId="53" xfId="0" applyFont="1" applyBorder="1" applyAlignment="1">
      <alignment horizontal="left" vertical="top" wrapText="1"/>
    </xf>
    <xf numFmtId="0" fontId="9" fillId="0" borderId="26" xfId="0" applyFont="1" applyBorder="1" applyAlignment="1">
      <alignment horizontal="left" vertical="top" wrapText="1"/>
    </xf>
    <xf numFmtId="0" fontId="9" fillId="0" borderId="49" xfId="0" applyFont="1" applyBorder="1" applyAlignment="1">
      <alignment horizontal="left" vertical="top" wrapText="1"/>
    </xf>
    <xf numFmtId="0" fontId="9" fillId="0" borderId="58" xfId="0" applyFont="1" applyBorder="1" applyAlignment="1">
      <alignment horizontal="left" vertical="top" wrapText="1"/>
    </xf>
    <xf numFmtId="0" fontId="9" fillId="0" borderId="52" xfId="0" applyFont="1" applyBorder="1" applyAlignment="1">
      <alignment horizontal="left" vertical="top" wrapText="1"/>
    </xf>
    <xf numFmtId="0" fontId="11" fillId="0" borderId="49" xfId="6" applyFont="1" applyBorder="1" applyAlignment="1">
      <alignment horizontal="left" vertical="center" wrapText="1"/>
    </xf>
    <xf numFmtId="0" fontId="11" fillId="0" borderId="0" xfId="6" applyFont="1" applyBorder="1" applyAlignment="1">
      <alignment horizontal="left" vertical="center" wrapText="1"/>
    </xf>
    <xf numFmtId="0" fontId="11" fillId="0" borderId="55" xfId="6" applyFont="1" applyBorder="1" applyAlignment="1">
      <alignment horizontal="left" vertical="center" wrapText="1"/>
    </xf>
    <xf numFmtId="0" fontId="29" fillId="0" borderId="58" xfId="6" applyFont="1" applyBorder="1" applyAlignment="1">
      <alignment horizontal="left" vertical="center" wrapText="1"/>
    </xf>
    <xf numFmtId="0" fontId="29" fillId="0" borderId="52" xfId="6" applyFont="1" applyBorder="1" applyAlignment="1">
      <alignment horizontal="left" vertical="center" wrapText="1"/>
    </xf>
    <xf numFmtId="0" fontId="29" fillId="0" borderId="56" xfId="6" applyFont="1" applyBorder="1" applyAlignment="1">
      <alignment horizontal="left" vertical="center" wrapText="1"/>
    </xf>
    <xf numFmtId="0" fontId="9" fillId="0" borderId="55" xfId="0" applyFont="1" applyBorder="1" applyAlignment="1">
      <alignment horizontal="left" vertical="top" wrapText="1"/>
    </xf>
    <xf numFmtId="0" fontId="9" fillId="0" borderId="56" xfId="0" applyFont="1" applyBorder="1" applyAlignment="1">
      <alignment horizontal="left" vertical="top" wrapText="1"/>
    </xf>
    <xf numFmtId="165" fontId="50" fillId="10" borderId="10" xfId="3" applyNumberFormat="1" applyFont="1" applyFill="1" applyBorder="1" applyAlignment="1">
      <alignment horizontal="left" vertical="center"/>
    </xf>
    <xf numFmtId="165" fontId="50" fillId="10" borderId="9" xfId="3" applyNumberFormat="1" applyFont="1" applyFill="1" applyBorder="1" applyAlignment="1">
      <alignment horizontal="left" vertical="center"/>
    </xf>
    <xf numFmtId="165" fontId="50" fillId="10" borderId="30" xfId="3" applyNumberFormat="1" applyFont="1" applyFill="1" applyBorder="1" applyAlignment="1">
      <alignment horizontal="left" vertical="center"/>
    </xf>
    <xf numFmtId="167" fontId="35" fillId="31" borderId="50" xfId="1" applyNumberFormat="1" applyFont="1" applyFill="1" applyBorder="1" applyAlignment="1">
      <alignment horizontal="center" vertical="center"/>
    </xf>
    <xf numFmtId="167" fontId="35" fillId="31" borderId="29" xfId="1" applyNumberFormat="1" applyFont="1" applyFill="1" applyBorder="1" applyAlignment="1">
      <alignment horizontal="center" vertical="center"/>
    </xf>
    <xf numFmtId="0" fontId="19" fillId="22" borderId="27" xfId="3" applyFont="1" applyFill="1" applyBorder="1" applyAlignment="1">
      <alignment horizontal="left" vertical="center"/>
    </xf>
    <xf numFmtId="0" fontId="19" fillId="22" borderId="27" xfId="3" applyFont="1" applyFill="1" applyBorder="1" applyAlignment="1">
      <alignment horizontal="left" vertical="center" wrapText="1"/>
    </xf>
    <xf numFmtId="0" fontId="35" fillId="22" borderId="57" xfId="3" applyFont="1" applyFill="1" applyBorder="1" applyAlignment="1">
      <alignment horizontal="left" vertical="center" wrapText="1"/>
    </xf>
    <xf numFmtId="0" fontId="35" fillId="22" borderId="27" xfId="3" applyFont="1" applyFill="1" applyBorder="1" applyAlignment="1">
      <alignment horizontal="left" vertical="center" wrapText="1"/>
    </xf>
    <xf numFmtId="0" fontId="9" fillId="0" borderId="60" xfId="0" applyFont="1" applyBorder="1" applyAlignment="1">
      <alignment horizontal="center" vertical="center" textRotation="90"/>
    </xf>
    <xf numFmtId="0" fontId="9" fillId="0" borderId="64" xfId="0" applyFont="1" applyBorder="1" applyAlignment="1">
      <alignment horizontal="center" vertical="center" textRotation="90"/>
    </xf>
    <xf numFmtId="0" fontId="9" fillId="0" borderId="66" xfId="0" applyFont="1" applyBorder="1" applyAlignment="1">
      <alignment horizontal="center" vertical="center" textRotation="90"/>
    </xf>
    <xf numFmtId="0" fontId="9" fillId="10" borderId="64" xfId="0" applyFont="1" applyFill="1" applyBorder="1" applyAlignment="1">
      <alignment horizontal="center" vertical="center" textRotation="90"/>
    </xf>
    <xf numFmtId="0" fontId="9" fillId="0" borderId="60" xfId="0" applyFont="1" applyBorder="1" applyAlignment="1">
      <alignment horizontal="left" textRotation="90" wrapText="1"/>
    </xf>
    <xf numFmtId="0" fontId="9" fillId="0" borderId="64" xfId="0" applyFont="1" applyBorder="1" applyAlignment="1">
      <alignment horizontal="left" textRotation="90" wrapText="1"/>
    </xf>
    <xf numFmtId="0" fontId="9" fillId="0" borderId="66" xfId="0" applyFont="1" applyBorder="1" applyAlignment="1">
      <alignment horizontal="left" textRotation="90" wrapText="1"/>
    </xf>
    <xf numFmtId="0" fontId="35" fillId="22" borderId="52" xfId="3" applyFont="1" applyFill="1" applyBorder="1" applyAlignment="1">
      <alignment horizontal="left" vertical="center" wrapText="1"/>
    </xf>
    <xf numFmtId="0" fontId="9" fillId="0" borderId="27" xfId="0" applyFont="1" applyBorder="1" applyAlignment="1">
      <alignment horizontal="left" vertical="center" wrapText="1"/>
    </xf>
    <xf numFmtId="0" fontId="19" fillId="30" borderId="49" xfId="0" applyFont="1" applyFill="1" applyBorder="1" applyAlignment="1">
      <alignment horizontal="left" vertical="center"/>
    </xf>
    <xf numFmtId="0" fontId="19" fillId="30" borderId="0" xfId="0" applyFont="1" applyFill="1" applyAlignment="1">
      <alignment horizontal="left" vertical="center"/>
    </xf>
    <xf numFmtId="0" fontId="0" fillId="0" borderId="0" xfId="0" applyAlignment="1">
      <alignment horizontal="left" vertical="top" wrapText="1"/>
    </xf>
    <xf numFmtId="0" fontId="22" fillId="12" borderId="8" xfId="0" applyFont="1" applyFill="1" applyBorder="1" applyAlignment="1">
      <alignment horizontal="center" vertical="center" wrapText="1"/>
    </xf>
    <xf numFmtId="167" fontId="22" fillId="12" borderId="0" xfId="1" applyNumberFormat="1" applyFont="1" applyFill="1" applyBorder="1" applyAlignment="1" applyProtection="1">
      <alignment horizontal="center" vertical="center" wrapText="1"/>
    </xf>
    <xf numFmtId="0" fontId="22" fillId="12" borderId="0" xfId="0" applyFont="1" applyFill="1" applyAlignment="1">
      <alignment horizontal="left" vertical="center" wrapText="1"/>
    </xf>
    <xf numFmtId="0" fontId="10" fillId="17" borderId="20" xfId="0" applyFont="1" applyFill="1" applyBorder="1" applyAlignment="1">
      <alignment horizontal="center"/>
    </xf>
    <xf numFmtId="0" fontId="10" fillId="17" borderId="15" xfId="0" applyFont="1" applyFill="1" applyBorder="1" applyAlignment="1">
      <alignment horizontal="center"/>
    </xf>
    <xf numFmtId="0" fontId="20" fillId="0" borderId="24"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17" xfId="0" applyFont="1" applyBorder="1" applyAlignment="1">
      <alignment horizontal="center" vertical="center" wrapText="1"/>
    </xf>
    <xf numFmtId="0" fontId="9" fillId="15" borderId="25" xfId="0" applyFont="1" applyFill="1" applyBorder="1" applyAlignment="1">
      <alignment horizontal="center" vertical="center"/>
    </xf>
    <xf numFmtId="0" fontId="9" fillId="15" borderId="19" xfId="0" applyFont="1" applyFill="1" applyBorder="1" applyAlignment="1">
      <alignment horizontal="center" vertical="center"/>
    </xf>
    <xf numFmtId="0" fontId="9" fillId="15" borderId="20" xfId="0" applyFont="1" applyFill="1" applyBorder="1" applyAlignment="1">
      <alignment horizontal="center" vertical="center"/>
    </xf>
    <xf numFmtId="0" fontId="9" fillId="15" borderId="16" xfId="0" applyFont="1" applyFill="1" applyBorder="1" applyAlignment="1">
      <alignment horizontal="center" vertical="center"/>
    </xf>
    <xf numFmtId="0" fontId="9" fillId="0" borderId="21"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5" xfId="0" applyFont="1" applyBorder="1" applyAlignment="1">
      <alignment horizontal="center" vertical="center" wrapText="1"/>
    </xf>
    <xf numFmtId="0" fontId="9" fillId="15" borderId="15" xfId="0" applyFont="1" applyFill="1" applyBorder="1" applyAlignment="1">
      <alignment horizontal="center" vertical="center"/>
    </xf>
    <xf numFmtId="0" fontId="10" fillId="0" borderId="22" xfId="0" applyFont="1" applyBorder="1" applyAlignment="1">
      <alignment horizontal="center" vertical="center" wrapText="1"/>
    </xf>
    <xf numFmtId="0" fontId="9" fillId="0" borderId="17" xfId="0" applyFont="1" applyBorder="1"/>
    <xf numFmtId="0" fontId="9" fillId="0" borderId="22" xfId="0" applyFont="1" applyBorder="1"/>
    <xf numFmtId="0" fontId="10" fillId="13" borderId="0" xfId="0" applyFont="1" applyFill="1" applyAlignment="1">
      <alignment horizontal="left"/>
    </xf>
    <xf numFmtId="0" fontId="10" fillId="0" borderId="0" xfId="0" applyFont="1" applyAlignment="1">
      <alignment horizontal="left" vertical="center" wrapText="1"/>
    </xf>
    <xf numFmtId="0" fontId="9" fillId="0" borderId="0" xfId="0" applyFont="1" applyAlignment="1">
      <alignment horizontal="left" vertical="center" wrapText="1"/>
    </xf>
    <xf numFmtId="0" fontId="9" fillId="15" borderId="18" xfId="0" applyFont="1" applyFill="1" applyBorder="1" applyAlignment="1">
      <alignment horizontal="center" vertical="center"/>
    </xf>
  </cellXfs>
  <cellStyles count="13">
    <cellStyle name="20% - Accent1" xfId="4" builtinId="30"/>
    <cellStyle name="40% - Accent4" xfId="5" builtinId="43"/>
    <cellStyle name="Accent6" xfId="12" builtinId="49"/>
    <cellStyle name="Bad" xfId="3" builtinId="27"/>
    <cellStyle name="Comma" xfId="1" builtinId="3"/>
    <cellStyle name="Comma 2" xfId="8" xr:uid="{E3F4F9F8-DF96-41A8-91CB-559B1126BB60}"/>
    <cellStyle name="Comma 3" xfId="9" xr:uid="{ECCBE7DD-C821-473A-A9BB-79EE06770DE1}"/>
    <cellStyle name="Hyperlink" xfId="6" builtinId="8"/>
    <cellStyle name="Linked (External) 2" xfId="7" xr:uid="{36A4D3BB-DBD7-47AD-852F-BC2BF44EFE2E}"/>
    <cellStyle name="Normal" xfId="0" builtinId="0"/>
    <cellStyle name="Normal 2" xfId="10" xr:uid="{45C1588A-5520-44B5-AC77-C3A5559C5130}"/>
    <cellStyle name="Normal 3" xfId="11" xr:uid="{E812B34C-8925-4DBD-BA12-E73465D31C44}"/>
    <cellStyle name="Percent" xfId="2" builtinId="5"/>
  </cellStyles>
  <dxfs count="419">
    <dxf>
      <fill>
        <patternFill>
          <bgColor rgb="FF00B050"/>
        </patternFill>
      </fill>
    </dxf>
    <dxf>
      <fill>
        <patternFill>
          <bgColor rgb="FFCCFFCC"/>
        </patternFill>
      </fill>
    </dxf>
    <dxf>
      <fill>
        <patternFill>
          <bgColor rgb="FF00B050"/>
        </patternFill>
      </fill>
    </dxf>
    <dxf>
      <fill>
        <patternFill>
          <bgColor rgb="FFCCFFCC"/>
        </patternFill>
      </fill>
    </dxf>
    <dxf>
      <fill>
        <patternFill>
          <bgColor rgb="FF00B050"/>
        </patternFill>
      </fill>
    </dxf>
    <dxf>
      <fill>
        <patternFill>
          <bgColor rgb="FFCCFFCC"/>
        </patternFill>
      </fill>
    </dxf>
    <dxf>
      <fill>
        <patternFill>
          <bgColor rgb="FF00B050"/>
        </patternFill>
      </fill>
    </dxf>
    <dxf>
      <fill>
        <patternFill>
          <bgColor rgb="FFCCFFCC"/>
        </patternFill>
      </fill>
    </dxf>
    <dxf>
      <fill>
        <patternFill>
          <bgColor rgb="FF00B050"/>
        </patternFill>
      </fill>
    </dxf>
    <dxf>
      <fill>
        <patternFill>
          <bgColor rgb="FFCCFFCC"/>
        </patternFill>
      </fill>
    </dxf>
    <dxf>
      <font>
        <color rgb="FFFF0000"/>
      </font>
    </dxf>
    <dxf>
      <font>
        <color theme="4"/>
      </font>
    </dxf>
    <dxf>
      <font>
        <color rgb="FF0070C0"/>
      </font>
    </dxf>
    <dxf>
      <font>
        <color rgb="FF00B0F0"/>
      </font>
    </dxf>
    <dxf>
      <font>
        <color rgb="FFFFC000"/>
      </font>
    </dxf>
    <dxf>
      <font>
        <color theme="9" tint="-0.24994659260841701"/>
      </font>
    </dxf>
    <dxf>
      <font>
        <color rgb="FFFF0000"/>
      </font>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0"/>
        <color theme="1"/>
        <name val="Arial"/>
        <family val="2"/>
        <scheme val="none"/>
      </font>
    </dxf>
    <dxf>
      <font>
        <strike val="0"/>
        <outline val="0"/>
        <shadow val="0"/>
        <u val="none"/>
        <vertAlign val="baseline"/>
        <sz val="10"/>
        <name val="Arial"/>
        <family val="2"/>
        <scheme val="none"/>
      </font>
      <numFmt numFmtId="0" formatCode="General"/>
      <protection locked="1" hidden="0"/>
    </dxf>
    <dxf>
      <font>
        <b val="0"/>
        <i val="0"/>
        <strike val="0"/>
        <condense val="0"/>
        <extend val="0"/>
        <outline val="0"/>
        <shadow val="0"/>
        <u val="none"/>
        <vertAlign val="baseline"/>
        <sz val="10"/>
        <color theme="1"/>
        <name val="Arial"/>
        <family val="2"/>
        <scheme val="none"/>
      </font>
    </dxf>
    <dxf>
      <font>
        <strike val="0"/>
        <outline val="0"/>
        <shadow val="0"/>
        <u val="none"/>
        <vertAlign val="baseline"/>
        <sz val="10"/>
        <name val="Arial"/>
        <family val="2"/>
        <scheme val="none"/>
      </font>
      <protection locked="1" hidden="0"/>
    </dxf>
    <dxf>
      <font>
        <b val="0"/>
        <i val="0"/>
        <strike val="0"/>
        <condense val="0"/>
        <extend val="0"/>
        <outline val="0"/>
        <shadow val="0"/>
        <u val="none"/>
        <vertAlign val="baseline"/>
        <sz val="10"/>
        <color theme="1"/>
        <name val="Arial"/>
        <family val="2"/>
        <scheme val="none"/>
      </font>
    </dxf>
    <dxf>
      <font>
        <strike val="0"/>
        <outline val="0"/>
        <shadow val="0"/>
        <u val="none"/>
        <vertAlign val="baseline"/>
        <sz val="10"/>
        <name val="Arial"/>
        <family val="2"/>
        <scheme val="none"/>
      </font>
      <fill>
        <patternFill patternType="solid">
          <fgColor indexed="64"/>
          <bgColor rgb="FFFFFF00"/>
        </patternFill>
      </fill>
      <protection locked="0" hidden="0"/>
    </dxf>
    <dxf>
      <font>
        <b val="0"/>
        <i val="0"/>
        <strike val="0"/>
        <condense val="0"/>
        <extend val="0"/>
        <outline val="0"/>
        <shadow val="0"/>
        <u val="none"/>
        <vertAlign val="baseline"/>
        <sz val="10"/>
        <color theme="1"/>
        <name val="Arial"/>
        <family val="2"/>
        <scheme val="none"/>
      </font>
    </dxf>
    <dxf>
      <font>
        <strike val="0"/>
        <outline val="0"/>
        <shadow val="0"/>
        <u val="none"/>
        <vertAlign val="baseline"/>
        <sz val="10"/>
        <name val="Arial"/>
        <family val="2"/>
        <scheme val="none"/>
      </font>
      <fill>
        <patternFill patternType="solid">
          <fgColor indexed="64"/>
          <bgColor rgb="FFFFFF00"/>
        </patternFill>
      </fill>
      <protection locked="0" hidden="0"/>
    </dxf>
    <dxf>
      <font>
        <b val="0"/>
        <i val="0"/>
        <strike val="0"/>
        <condense val="0"/>
        <extend val="0"/>
        <outline val="0"/>
        <shadow val="0"/>
        <u val="none"/>
        <vertAlign val="baseline"/>
        <sz val="10"/>
        <color theme="1"/>
        <name val="Arial"/>
        <family val="2"/>
        <scheme val="none"/>
      </font>
    </dxf>
    <dxf>
      <font>
        <strike val="0"/>
        <outline val="0"/>
        <shadow val="0"/>
        <u val="none"/>
        <vertAlign val="baseline"/>
        <sz val="10"/>
        <name val="Arial"/>
        <family val="2"/>
        <scheme val="none"/>
      </font>
      <protection locked="1" hidden="0"/>
    </dxf>
    <dxf>
      <font>
        <b val="0"/>
        <i val="0"/>
        <strike val="0"/>
        <condense val="0"/>
        <extend val="0"/>
        <outline val="0"/>
        <shadow val="0"/>
        <u val="none"/>
        <vertAlign val="baseline"/>
        <sz val="10"/>
        <color theme="1"/>
        <name val="Arial"/>
        <family val="2"/>
        <scheme val="none"/>
      </font>
    </dxf>
    <dxf>
      <font>
        <strike val="0"/>
        <outline val="0"/>
        <shadow val="0"/>
        <u val="none"/>
        <vertAlign val="baseline"/>
        <sz val="10"/>
        <name val="Arial"/>
        <family val="2"/>
        <scheme val="none"/>
      </font>
      <protection locked="1" hidden="0"/>
    </dxf>
    <dxf>
      <font>
        <b val="0"/>
        <i val="0"/>
        <strike val="0"/>
        <condense val="0"/>
        <extend val="0"/>
        <outline val="0"/>
        <shadow val="0"/>
        <u val="none"/>
        <vertAlign val="baseline"/>
        <sz val="10"/>
        <color theme="1"/>
        <name val="Arial"/>
        <family val="2"/>
        <scheme val="none"/>
      </font>
    </dxf>
    <dxf>
      <font>
        <strike val="0"/>
        <outline val="0"/>
        <shadow val="0"/>
        <u val="none"/>
        <vertAlign val="baseline"/>
        <sz val="10"/>
        <name val="Arial"/>
        <family val="2"/>
        <scheme val="none"/>
      </font>
      <protection locked="1" hidden="0"/>
    </dxf>
    <dxf>
      <font>
        <strike val="0"/>
        <outline val="0"/>
        <shadow val="0"/>
        <u val="none"/>
        <vertAlign val="baseline"/>
        <sz val="10"/>
        <name val="Arial"/>
        <family val="2"/>
        <scheme val="none"/>
      </font>
      <protection locked="1" hidden="0"/>
    </dxf>
    <dxf>
      <font>
        <strike val="0"/>
        <outline val="0"/>
        <shadow val="0"/>
        <u val="none"/>
        <vertAlign val="baseline"/>
        <sz val="10"/>
        <name val="Arial"/>
        <family val="2"/>
        <scheme val="none"/>
      </font>
      <protection locked="1" hidden="0"/>
    </dxf>
    <dxf>
      <font>
        <strike val="0"/>
        <outline val="0"/>
        <shadow val="0"/>
        <u val="none"/>
        <vertAlign val="baseline"/>
        <sz val="10"/>
        <name val="Arial"/>
        <family val="2"/>
        <scheme val="none"/>
      </font>
      <protection locked="1" hidden="0"/>
    </dxf>
    <dxf>
      <numFmt numFmtId="13" formatCode="0%"/>
    </dxf>
    <dxf>
      <numFmt numFmtId="13" formatCode="0%"/>
    </dxf>
    <dxf>
      <font>
        <b val="0"/>
        <i val="0"/>
        <strike val="0"/>
        <condense val="0"/>
        <extend val="0"/>
        <outline val="0"/>
        <shadow val="0"/>
        <u val="none"/>
        <vertAlign val="baseline"/>
        <sz val="11"/>
        <color theme="1"/>
        <name val="Calibri"/>
        <family val="2"/>
        <scheme val="minor"/>
      </font>
      <numFmt numFmtId="171" formatCode="_-* #,##0.000_-;\-* #,##0.000_-;_-* &quot;-&quot;??_-;_-@_-"/>
    </dxf>
    <dxf>
      <numFmt numFmtId="171" formatCode="_-* #,##0.000_-;\-* #,##0.000_-;_-* &quot;-&quot;??_-;_-@_-"/>
    </dxf>
    <dxf>
      <font>
        <b val="0"/>
        <i val="0"/>
        <strike val="0"/>
        <condense val="0"/>
        <extend val="0"/>
        <outline val="0"/>
        <shadow val="0"/>
        <u val="none"/>
        <vertAlign val="baseline"/>
        <sz val="11"/>
        <color theme="1"/>
        <name val="Calibri"/>
        <family val="2"/>
        <scheme val="minor"/>
      </font>
      <numFmt numFmtId="171" formatCode="_-* #,##0.000_-;\-* #,##0.000_-;_-* &quot;-&quot;??_-;_-@_-"/>
    </dxf>
    <dxf>
      <numFmt numFmtId="171" formatCode="_-* #,##0.000_-;\-* #,##0.000_-;_-* &quot;-&quot;??_-;_-@_-"/>
    </dxf>
    <dxf>
      <numFmt numFmtId="167" formatCode="_-* #,##0_-;\-* #,##0_-;_-* &quot;-&quot;??_-;_-@_-"/>
    </dxf>
    <dxf>
      <numFmt numFmtId="167" formatCode="_-* #,##0_-;\-* #,##0_-;_-* &quot;-&quot;??_-;_-@_-"/>
    </dxf>
    <dxf>
      <numFmt numFmtId="13" formatCode="0%"/>
    </dxf>
    <dxf>
      <numFmt numFmtId="164" formatCode="0.0000"/>
    </dxf>
    <dxf>
      <numFmt numFmtId="164" formatCode="0.0000"/>
    </dxf>
    <dxf>
      <numFmt numFmtId="167" formatCode="_-* #,##0_-;\-* #,##0_-;_-* &quot;-&quot;??_-;_-@_-"/>
    </dxf>
    <dxf>
      <font>
        <b val="0"/>
        <i val="0"/>
        <strike val="0"/>
        <condense val="0"/>
        <extend val="0"/>
        <outline val="0"/>
        <shadow val="0"/>
        <u val="none"/>
        <vertAlign val="baseline"/>
        <sz val="11"/>
        <color theme="1"/>
        <name val="Calibri"/>
        <family val="2"/>
        <scheme val="minor"/>
      </font>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71" formatCode="_-* #,##0.000_-;\-* #,##0.000_-;_-* &quot;-&quot;??_-;_-@_-"/>
    </dxf>
    <dxf>
      <numFmt numFmtId="167" formatCode="_-* #,##0_-;\-* #,##0_-;_-* &quot;-&quot;??_-;_-@_-"/>
    </dxf>
    <dxf>
      <numFmt numFmtId="167" formatCode="_-* #,##0_-;\-* #,##0_-;_-* &quot;-&quot;??_-;_-@_-"/>
    </dxf>
    <dxf>
      <numFmt numFmtId="167" formatCode="_-* #,##0_-;\-* #,##0_-;_-* &quot;-&quot;??_-;_-@_-"/>
    </dxf>
    <dxf>
      <numFmt numFmtId="35" formatCode="_-* #,##0.00_-;\-* #,##0.00_-;_-* &quot;-&quot;??_-;_-@_-"/>
    </dxf>
    <dxf>
      <numFmt numFmtId="167" formatCode="_-* #,##0_-;\-* #,##0_-;_-* &quot;-&quot;??_-;_-@_-"/>
    </dxf>
    <dxf>
      <numFmt numFmtId="167" formatCode="_-* #,##0_-;\-* #,##0_-;_-* &quot;-&quot;??_-;_-@_-"/>
    </dxf>
    <dxf>
      <numFmt numFmtId="0" formatCode="General"/>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0" formatCode="General"/>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0" formatCode="General"/>
    </dxf>
    <dxf>
      <numFmt numFmtId="0" formatCode="General"/>
    </dxf>
    <dxf>
      <numFmt numFmtId="167" formatCode="_-* #,##0_-;\-* #,##0_-;_-* &quot;-&quot;??_-;_-@_-"/>
    </dxf>
    <dxf>
      <numFmt numFmtId="167" formatCode="_-* #,##0_-;\-* #,##0_-;_-* &quot;-&quot;??_-;_-@_-"/>
    </dxf>
    <dxf>
      <numFmt numFmtId="0" formatCode="General"/>
    </dxf>
    <dxf>
      <numFmt numFmtId="167" formatCode="_-* #,##0_-;\-* #,##0_-;_-* &quot;-&quot;??_-;_-@_-"/>
    </dxf>
    <dxf>
      <numFmt numFmtId="167" formatCode="_-* #,##0_-;\-* #,##0_-;_-* &quot;-&quot;??_-;_-@_-"/>
    </dxf>
    <dxf>
      <numFmt numFmtId="0" formatCode="General"/>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0" formatCode="General"/>
    </dxf>
    <dxf>
      <numFmt numFmtId="0" formatCode="General"/>
    </dxf>
    <dxf>
      <alignment horizontal="right" vertical="bottom" textRotation="0" wrapText="0" indent="0" justifyLastLine="0" shrinkToFit="0" readingOrder="0"/>
    </dxf>
    <dxf>
      <numFmt numFmtId="0" formatCode="General"/>
      <alignment horizontal="right" vertical="bottom" textRotation="0" wrapText="0" indent="0" justifyLastLine="0" shrinkToFit="0" readingOrder="0"/>
    </dxf>
    <dxf>
      <font>
        <strike val="0"/>
        <outline val="0"/>
        <shadow val="0"/>
        <vertAlign val="baseline"/>
        <sz val="10"/>
        <name val="Arial"/>
        <family val="2"/>
        <scheme val="none"/>
      </font>
      <numFmt numFmtId="168" formatCode="0.0%"/>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dxf>
    <dxf>
      <border>
        <bottom style="thin">
          <color theme="9"/>
        </bottom>
      </border>
    </dxf>
    <dxf>
      <font>
        <strike val="0"/>
        <outline val="0"/>
        <shadow val="0"/>
        <vertAlign val="baseline"/>
        <sz val="10"/>
        <name val="Arial"/>
        <family val="2"/>
        <scheme val="none"/>
      </font>
      <alignment horizontal="left" vertical="center" textRotation="0" wrapText="1" indent="0" justifyLastLine="0" shrinkToFit="0" readingOrder="0"/>
      <border diagonalUp="0" diagonalDown="0" outline="0">
        <left/>
        <right/>
        <top/>
        <bottom/>
      </border>
    </dxf>
    <dxf>
      <font>
        <strike val="0"/>
        <outline val="0"/>
        <shadow val="0"/>
        <vertAlign val="baseline"/>
        <sz val="10"/>
        <name val="Arial"/>
        <family val="2"/>
        <scheme val="none"/>
      </font>
      <numFmt numFmtId="13" formatCode="0%"/>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border diagonalUp="0" diagonalDown="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dxf>
    <dxf>
      <font>
        <strike val="0"/>
        <outline val="0"/>
        <shadow val="0"/>
        <vertAlign val="baseline"/>
        <sz val="10"/>
        <name val="Arial"/>
        <family val="2"/>
        <scheme val="none"/>
      </font>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right style="thin">
          <color theme="9"/>
        </right>
        <top style="thin">
          <color theme="9"/>
        </top>
        <bottom style="thin">
          <color theme="9"/>
        </bottom>
      </border>
    </dxf>
    <dxf>
      <border>
        <top style="thin">
          <color theme="9"/>
        </top>
      </border>
    </dxf>
    <dxf>
      <border diagonalUp="0" diagonalDown="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dxf>
    <dxf>
      <border>
        <bottom style="thin">
          <color theme="9"/>
        </bottom>
      </border>
    </dxf>
    <dxf>
      <font>
        <strike val="0"/>
        <outline val="0"/>
        <shadow val="0"/>
        <vertAlign val="baseline"/>
        <sz val="10"/>
        <name val="Arial"/>
        <family val="2"/>
        <scheme val="none"/>
      </font>
      <border diagonalUp="0" diagonalDown="0">
        <left style="thin">
          <color theme="9"/>
        </left>
        <right style="thin">
          <color theme="9"/>
        </right>
        <top/>
        <bottom/>
        <vertical style="thin">
          <color theme="9"/>
        </vertical>
        <horizontal style="thin">
          <color theme="9"/>
        </horizontal>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top style="thin">
          <color theme="9"/>
        </top>
        <bottom style="thin">
          <color theme="9"/>
        </bottom>
      </border>
    </dxf>
    <dxf>
      <font>
        <strike val="0"/>
        <outline val="0"/>
        <shadow val="0"/>
        <vertAlign val="baseline"/>
        <sz val="10"/>
        <name val="Arial"/>
        <family val="2"/>
        <scheme val="none"/>
      </font>
      <numFmt numFmtId="165" formatCode="0.000"/>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right style="thin">
          <color theme="9"/>
        </right>
        <top style="thin">
          <color theme="9"/>
        </top>
        <bottom style="thin">
          <color theme="9"/>
        </bottom>
      </border>
    </dxf>
    <dxf>
      <border>
        <top style="thin">
          <color theme="9"/>
        </top>
      </border>
    </dxf>
    <dxf>
      <border diagonalUp="0" diagonalDown="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dxf>
    <dxf>
      <border>
        <bottom style="thin">
          <color theme="9"/>
        </bottom>
      </border>
    </dxf>
    <dxf>
      <font>
        <strike val="0"/>
        <outline val="0"/>
        <shadow val="0"/>
        <vertAlign val="baseline"/>
        <sz val="10"/>
        <name val="Arial"/>
        <family val="2"/>
        <scheme val="none"/>
      </font>
      <border diagonalUp="0" diagonalDown="0">
        <left style="thin">
          <color theme="9"/>
        </left>
        <right style="thin">
          <color theme="9"/>
        </right>
        <top/>
        <bottom/>
        <vertical style="thin">
          <color theme="9"/>
        </vertical>
        <horizontal style="thin">
          <color theme="9"/>
        </horizontal>
      </border>
    </dxf>
    <dxf>
      <font>
        <strike val="0"/>
        <outline val="0"/>
        <shadow val="0"/>
        <vertAlign val="baseline"/>
        <sz val="10"/>
        <name val="Arial"/>
        <family val="2"/>
        <scheme val="none"/>
      </font>
      <numFmt numFmtId="164" formatCode="0.0000"/>
      <fill>
        <patternFill patternType="solid">
          <fgColor indexed="64"/>
          <bgColor theme="0"/>
        </patternFill>
      </fill>
      <border diagonalUp="0" diagonalDown="0" outline="0">
        <left style="thin">
          <color theme="9"/>
        </left>
        <right/>
        <top style="thin">
          <color theme="9"/>
        </top>
        <bottom style="thin">
          <color theme="9"/>
        </bottom>
      </border>
    </dxf>
    <dxf>
      <font>
        <strike val="0"/>
        <outline val="0"/>
        <shadow val="0"/>
        <vertAlign val="baseline"/>
        <sz val="10"/>
        <name val="Arial"/>
        <family val="2"/>
        <scheme val="none"/>
      </font>
      <numFmt numFmtId="164" formatCode="0.0000"/>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right style="thin">
          <color theme="9"/>
        </right>
        <top style="thin">
          <color theme="9"/>
        </top>
        <bottom style="thin">
          <color theme="9"/>
        </bottom>
      </border>
    </dxf>
    <dxf>
      <border>
        <top style="thin">
          <color theme="9"/>
        </top>
      </border>
    </dxf>
    <dxf>
      <border diagonalUp="0" diagonalDown="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dxf>
    <dxf>
      <border>
        <bottom style="thin">
          <color theme="9"/>
        </bottom>
      </border>
    </dxf>
    <dxf>
      <font>
        <strike val="0"/>
        <outline val="0"/>
        <shadow val="0"/>
        <vertAlign val="baseline"/>
        <sz val="10"/>
        <name val="Arial"/>
        <family val="2"/>
        <scheme val="none"/>
      </font>
      <border diagonalUp="0" diagonalDown="0">
        <left style="thin">
          <color theme="9"/>
        </left>
        <right style="thin">
          <color theme="9"/>
        </right>
        <top/>
        <bottom/>
        <vertical style="thin">
          <color theme="9"/>
        </vertical>
        <horizontal style="thin">
          <color theme="9"/>
        </horizontal>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dxf>
    <dxf>
      <font>
        <strike val="0"/>
        <outline val="0"/>
        <shadow val="0"/>
        <vertAlign val="baseline"/>
        <sz val="10"/>
        <name val="Arial"/>
        <family val="2"/>
        <scheme val="none"/>
      </font>
      <alignment horizontal="left" vertical="center" textRotation="0" wrapText="1" indent="0" justifyLastLine="0" shrinkToFit="0" readingOrder="0"/>
    </dxf>
    <dxf>
      <font>
        <strike val="0"/>
        <outline val="0"/>
        <shadow val="0"/>
        <vertAlign val="baseline"/>
        <sz val="10"/>
        <name val="Arial"/>
        <family val="2"/>
        <scheme val="none"/>
      </font>
      <border diagonalUp="0" diagonalDown="0">
        <left style="thin">
          <color theme="9"/>
        </left>
        <right/>
        <top style="thin">
          <color theme="9"/>
        </top>
        <bottom style="thin">
          <color theme="9"/>
        </bottom>
        <vertical style="thin">
          <color theme="9"/>
        </vertical>
        <horizontal style="thin">
          <color theme="9"/>
        </horizontal>
      </border>
    </dxf>
    <dxf>
      <font>
        <strike val="0"/>
        <outline val="0"/>
        <shadow val="0"/>
        <vertAlign val="baseline"/>
        <sz val="10"/>
        <name val="Arial"/>
        <family val="2"/>
        <scheme val="none"/>
      </font>
      <border diagonalUp="0" diagonalDown="0">
        <left/>
        <right style="thin">
          <color theme="9"/>
        </right>
        <top style="thin">
          <color theme="9"/>
        </top>
        <bottom style="thin">
          <color theme="9"/>
        </bottom>
        <vertical style="thin">
          <color theme="9"/>
        </vertical>
        <horizontal style="thin">
          <color theme="9"/>
        </horizontal>
      </border>
    </dxf>
    <dxf>
      <border>
        <top style="thin">
          <color theme="9"/>
        </top>
      </border>
    </dxf>
    <dxf>
      <border diagonalUp="0" diagonalDown="0">
        <left style="thin">
          <color theme="9"/>
        </left>
        <right style="thin">
          <color theme="9"/>
        </right>
        <top style="thin">
          <color theme="9"/>
        </top>
        <bottom style="thin">
          <color theme="9"/>
        </bottom>
      </border>
    </dxf>
    <dxf>
      <font>
        <strike val="0"/>
        <outline val="0"/>
        <shadow val="0"/>
        <vertAlign val="baseline"/>
        <sz val="10"/>
        <name val="Arial"/>
        <family val="2"/>
        <scheme val="none"/>
      </font>
    </dxf>
    <dxf>
      <border>
        <bottom style="thin">
          <color theme="9"/>
        </bottom>
      </border>
    </dxf>
    <dxf>
      <font>
        <strike val="0"/>
        <outline val="0"/>
        <shadow val="0"/>
        <vertAlign val="baseline"/>
        <sz val="10"/>
        <name val="Arial"/>
        <family val="2"/>
        <scheme val="none"/>
      </font>
      <alignment horizontal="left" vertical="center" textRotation="0" wrapText="0" indent="0" justifyLastLine="0" shrinkToFit="0" readingOrder="0"/>
      <border diagonalUp="0" diagonalDown="0" outline="0">
        <left style="thin">
          <color theme="9"/>
        </left>
        <right style="thin">
          <color theme="9"/>
        </right>
        <top/>
        <bottom/>
      </border>
    </dxf>
    <dxf>
      <font>
        <strike val="0"/>
        <outline val="0"/>
        <shadow val="0"/>
        <vertAlign val="baseline"/>
        <sz val="10"/>
        <name val="Arial"/>
        <family val="2"/>
        <scheme val="none"/>
      </font>
      <numFmt numFmtId="13" formatCode="0%"/>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dxf>
    <dxf>
      <border>
        <bottom style="thin">
          <color theme="9"/>
        </bottom>
      </border>
    </dxf>
    <dxf>
      <font>
        <strike val="0"/>
        <outline val="0"/>
        <shadow val="0"/>
        <vertAlign val="baseline"/>
        <sz val="10"/>
        <name val="Arial"/>
        <family val="2"/>
        <scheme val="none"/>
      </font>
      <alignment horizontal="left" vertical="center" textRotation="0" wrapText="0" indent="0" justifyLastLine="0" shrinkToFit="0" readingOrder="0"/>
      <border diagonalUp="0" diagonalDown="0">
        <left style="thin">
          <color theme="9"/>
        </left>
        <right style="thin">
          <color theme="9"/>
        </right>
        <top/>
        <bottom/>
        <vertical style="thin">
          <color theme="9"/>
        </vertical>
        <horizontal style="thin">
          <color theme="9"/>
        </horizontal>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right style="thin">
          <color theme="9"/>
        </right>
        <top style="thin">
          <color theme="9"/>
        </top>
        <bottom style="thin">
          <color theme="9"/>
        </bottom>
      </border>
    </dxf>
    <dxf>
      <border>
        <top style="thin">
          <color theme="9"/>
        </top>
      </border>
    </dxf>
    <dxf>
      <border diagonalUp="0" diagonalDown="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dxf>
    <dxf>
      <border>
        <bottom style="thin">
          <color theme="9"/>
        </bottom>
      </border>
    </dxf>
    <dxf>
      <font>
        <strike val="0"/>
        <outline val="0"/>
        <shadow val="0"/>
        <vertAlign val="baseline"/>
        <sz val="10"/>
        <name val="Arial"/>
        <family val="2"/>
        <scheme val="none"/>
      </font>
      <border diagonalUp="0" diagonalDown="0">
        <left style="thin">
          <color theme="9"/>
        </left>
        <right style="thin">
          <color theme="9"/>
        </right>
        <top/>
        <bottom/>
        <vertical style="thin">
          <color theme="9"/>
        </vertical>
        <horizontal style="thin">
          <color theme="9"/>
        </horizontal>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right style="thin">
          <color theme="9"/>
        </right>
        <top style="thin">
          <color theme="9"/>
        </top>
        <bottom style="thin">
          <color theme="9"/>
        </bottom>
      </border>
    </dxf>
    <dxf>
      <border>
        <top style="thin">
          <color theme="9"/>
        </top>
      </border>
    </dxf>
    <dxf>
      <border diagonalUp="0" diagonalDown="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dxf>
    <dxf>
      <border>
        <bottom style="thin">
          <color theme="9"/>
        </bottom>
      </border>
    </dxf>
    <dxf>
      <font>
        <strike val="0"/>
        <outline val="0"/>
        <shadow val="0"/>
        <vertAlign val="baseline"/>
        <sz val="10"/>
        <name val="Arial"/>
        <family val="2"/>
        <scheme val="none"/>
      </font>
      <border diagonalUp="0" diagonalDown="0">
        <left style="thin">
          <color theme="9"/>
        </left>
        <right style="thin">
          <color theme="9"/>
        </right>
        <top/>
        <bottom/>
        <vertical style="thin">
          <color theme="9"/>
        </vertical>
        <horizontal style="thin">
          <color theme="9"/>
        </horizontal>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dxf>
    <dxf>
      <border>
        <bottom style="thin">
          <color theme="9"/>
        </bottom>
      </border>
    </dxf>
    <dxf>
      <font>
        <strike val="0"/>
        <outline val="0"/>
        <shadow val="0"/>
        <vertAlign val="baseline"/>
        <sz val="10"/>
        <name val="Arial"/>
        <family val="2"/>
        <scheme val="none"/>
      </font>
      <alignment horizontal="left" vertical="center" textRotation="0" wrapText="1" indent="0" justifyLastLine="0" shrinkToFit="0" readingOrder="0"/>
      <border diagonalUp="0" diagonalDown="0" outline="0">
        <left style="thin">
          <color theme="9"/>
        </left>
        <right style="thin">
          <color theme="9"/>
        </right>
        <top/>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dxf>
    <dxf>
      <border>
        <bottom style="thin">
          <color theme="9"/>
        </bottom>
      </border>
    </dxf>
    <dxf>
      <font>
        <strike val="0"/>
        <outline val="0"/>
        <shadow val="0"/>
        <vertAlign val="baseline"/>
        <sz val="10"/>
        <name val="Arial"/>
        <family val="2"/>
        <scheme val="none"/>
      </font>
      <border diagonalUp="0" diagonalDown="0">
        <left style="thin">
          <color theme="9"/>
        </left>
        <right style="thin">
          <color theme="9"/>
        </right>
        <top/>
        <bottom/>
        <vertical style="thin">
          <color theme="9"/>
        </vertical>
        <horizontal style="thin">
          <color theme="9"/>
        </horizontal>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dxf>
    <dxf>
      <border>
        <bottom style="thin">
          <color theme="9"/>
        </bottom>
      </border>
    </dxf>
    <dxf>
      <font>
        <strike val="0"/>
        <outline val="0"/>
        <shadow val="0"/>
        <vertAlign val="baseline"/>
        <sz val="10"/>
        <name val="Arial"/>
        <family val="2"/>
        <scheme val="none"/>
      </font>
      <border diagonalUp="0" diagonalDown="0">
        <left style="thin">
          <color theme="9"/>
        </left>
        <right style="thin">
          <color theme="9"/>
        </right>
        <top/>
        <bottom/>
        <vertical style="thin">
          <color theme="9"/>
        </vertical>
        <horizontal style="thin">
          <color theme="9"/>
        </horizontal>
      </border>
    </dxf>
    <dxf>
      <font>
        <strike val="0"/>
        <outline val="0"/>
        <shadow val="0"/>
        <vertAlign val="baseline"/>
        <sz val="10"/>
        <name val="Arial"/>
        <family val="2"/>
        <scheme val="none"/>
      </font>
      <border diagonalUp="0" diagonalDown="0">
        <left style="thin">
          <color theme="9"/>
        </left>
        <right style="thin">
          <color theme="9"/>
        </right>
        <top style="thin">
          <color theme="9"/>
        </top>
        <bottom style="thin">
          <color theme="9"/>
        </bottom>
        <vertical style="thin">
          <color theme="9"/>
        </vertical>
        <horizontal style="thin">
          <color theme="9"/>
        </horizontal>
      </border>
    </dxf>
    <dxf>
      <font>
        <strike val="0"/>
        <outline val="0"/>
        <shadow val="0"/>
        <vertAlign val="baseline"/>
        <sz val="10"/>
        <name val="Arial"/>
        <family val="2"/>
        <scheme val="none"/>
      </font>
      <border diagonalUp="0" diagonalDown="0">
        <left style="thin">
          <color theme="9"/>
        </left>
        <right style="thin">
          <color theme="9"/>
        </right>
        <top style="thin">
          <color theme="9"/>
        </top>
        <bottom style="thin">
          <color theme="9"/>
        </bottom>
        <vertical style="thin">
          <color theme="9"/>
        </vertical>
        <horizontal style="thin">
          <color theme="9"/>
        </horizontal>
      </border>
    </dxf>
    <dxf>
      <font>
        <strike val="0"/>
        <outline val="0"/>
        <shadow val="0"/>
        <vertAlign val="baseline"/>
        <sz val="10"/>
        <name val="Arial"/>
        <family val="2"/>
        <scheme val="none"/>
      </font>
      <border diagonalUp="0" diagonalDown="0">
        <left style="thin">
          <color theme="9"/>
        </left>
        <right style="thin">
          <color theme="9"/>
        </right>
        <top style="thin">
          <color theme="9"/>
        </top>
        <bottom style="thin">
          <color theme="9"/>
        </bottom>
        <vertical style="thin">
          <color theme="9"/>
        </vertical>
        <horizontal style="thin">
          <color theme="9"/>
        </horizontal>
      </border>
    </dxf>
    <dxf>
      <font>
        <strike val="0"/>
        <outline val="0"/>
        <shadow val="0"/>
        <vertAlign val="baseline"/>
        <sz val="10"/>
        <name val="Arial"/>
        <family val="2"/>
        <scheme val="none"/>
      </font>
    </dxf>
    <dxf>
      <border>
        <bottom style="thin">
          <color theme="9"/>
        </bottom>
      </border>
    </dxf>
    <dxf>
      <font>
        <strike val="0"/>
        <outline val="0"/>
        <shadow val="0"/>
        <vertAlign val="baseline"/>
        <sz val="10"/>
        <name val="Arial"/>
        <family val="2"/>
        <scheme val="none"/>
      </font>
      <alignment horizontal="left" vertical="center" textRotation="0" indent="0" justifyLastLine="0" shrinkToFit="0" readingOrder="0"/>
      <border diagonalUp="0" diagonalDown="0">
        <left style="thin">
          <color theme="9"/>
        </left>
        <right style="thin">
          <color theme="9"/>
        </right>
        <top/>
        <bottom/>
        <vertical style="thin">
          <color theme="9"/>
        </vertical>
        <horizontal style="thin">
          <color theme="9"/>
        </horizontal>
      </border>
    </dxf>
    <dxf>
      <font>
        <strike val="0"/>
        <outline val="0"/>
        <shadow val="0"/>
        <vertAlign val="baseline"/>
        <sz val="10"/>
        <name val="Arial"/>
        <family val="2"/>
        <scheme val="none"/>
      </font>
      <fill>
        <patternFill patternType="solid">
          <fgColor indexed="64"/>
          <bgColor theme="0"/>
        </patternFill>
      </fill>
      <border diagonalUp="0" diagonalDown="0">
        <left style="thin">
          <color theme="9"/>
        </left>
        <right style="thin">
          <color theme="9"/>
        </right>
        <top style="thin">
          <color theme="9"/>
        </top>
        <bottom style="thin">
          <color theme="9"/>
        </bottom>
        <vertical style="thin">
          <color theme="9"/>
        </vertical>
        <horizontal style="thin">
          <color theme="9"/>
        </horizontal>
      </border>
    </dxf>
    <dxf>
      <font>
        <strike val="0"/>
        <outline val="0"/>
        <shadow val="0"/>
        <vertAlign val="baseline"/>
        <sz val="10"/>
        <name val="Arial"/>
        <family val="2"/>
        <scheme val="none"/>
      </font>
      <fill>
        <patternFill patternType="solid">
          <fgColor indexed="64"/>
          <bgColor theme="0"/>
        </patternFill>
      </fill>
      <border diagonalUp="0" diagonalDown="0">
        <left style="thin">
          <color theme="9"/>
        </left>
        <right style="thin">
          <color theme="9"/>
        </right>
        <top style="thin">
          <color theme="9"/>
        </top>
        <bottom style="thin">
          <color theme="9"/>
        </bottom>
        <vertical style="thin">
          <color theme="9"/>
        </vertical>
        <horizontal style="thin">
          <color theme="9"/>
        </horizontal>
      </border>
    </dxf>
    <dxf>
      <font>
        <strike val="0"/>
        <outline val="0"/>
        <shadow val="0"/>
        <vertAlign val="baseline"/>
        <sz val="10"/>
        <name val="Arial"/>
        <family val="2"/>
        <scheme val="none"/>
      </font>
      <fill>
        <patternFill patternType="solid">
          <fgColor indexed="64"/>
          <bgColor theme="0"/>
        </patternFill>
      </fill>
      <border diagonalUp="0" diagonalDown="0">
        <left style="thin">
          <color theme="9"/>
        </left>
        <right style="thin">
          <color theme="9"/>
        </right>
        <top style="thin">
          <color theme="9"/>
        </top>
        <bottom style="thin">
          <color theme="9"/>
        </bottom>
        <vertical style="thin">
          <color theme="9"/>
        </vertical>
        <horizontal style="thin">
          <color theme="9"/>
        </horizontal>
      </border>
    </dxf>
    <dxf>
      <font>
        <strike val="0"/>
        <outline val="0"/>
        <shadow val="0"/>
        <vertAlign val="baseline"/>
        <sz val="10"/>
        <name val="Arial"/>
        <family val="2"/>
        <scheme val="none"/>
      </font>
      <fill>
        <patternFill patternType="solid">
          <fgColor indexed="64"/>
          <bgColor theme="0"/>
        </patternFill>
      </fill>
    </dxf>
    <dxf>
      <border>
        <bottom style="thin">
          <color theme="9"/>
        </bottom>
      </border>
    </dxf>
    <dxf>
      <font>
        <strike val="0"/>
        <outline val="0"/>
        <shadow val="0"/>
        <vertAlign val="baseline"/>
        <sz val="10"/>
        <name val="Arial"/>
        <family val="2"/>
        <scheme val="none"/>
      </font>
      <fill>
        <patternFill>
          <bgColor theme="9"/>
        </patternFill>
      </fill>
      <border diagonalUp="0" diagonalDown="0">
        <left style="thin">
          <color theme="0"/>
        </left>
        <right style="thin">
          <color theme="0"/>
        </right>
        <top/>
        <bottom/>
        <vertical style="thin">
          <color theme="0"/>
        </vertical>
        <horizontal style="thin">
          <color theme="0"/>
        </horizontal>
      </border>
    </dxf>
    <dxf>
      <font>
        <strike val="0"/>
        <outline val="0"/>
        <shadow val="0"/>
        <vertAlign val="baseline"/>
        <sz val="10"/>
        <name val="Arial"/>
        <family val="2"/>
        <scheme val="none"/>
      </font>
      <fill>
        <patternFill patternType="solid">
          <fgColor indexed="64"/>
          <bgColor theme="2"/>
        </patternFill>
      </fill>
      <alignment horizontal="left" vertical="center" textRotation="0" wrapText="1" indent="0" justifyLastLine="0" shrinkToFit="0" readingOrder="0"/>
      <border diagonalUp="0" diagonalDown="0" outline="0">
        <left style="thin">
          <color theme="9"/>
        </left>
        <right style="thin">
          <color theme="9"/>
        </right>
        <top style="thin">
          <color theme="9"/>
        </top>
        <bottom style="thin">
          <color theme="9"/>
        </bottom>
      </border>
      <protection locked="0" hidden="0"/>
    </dxf>
    <dxf>
      <font>
        <strike val="0"/>
        <outline val="0"/>
        <shadow val="0"/>
        <u val="none"/>
        <vertAlign val="baseline"/>
        <sz val="10"/>
        <color theme="0"/>
        <name val="Arial"/>
        <family val="2"/>
        <scheme val="none"/>
      </font>
      <fill>
        <patternFill patternType="solid">
          <fgColor indexed="64"/>
          <bgColor theme="4" tint="-0.249977111117893"/>
        </patternFill>
      </fill>
      <alignment horizontal="right" vertical="center" textRotation="0" indent="0" justifyLastLine="0" shrinkToFit="0" readingOrder="0"/>
      <border diagonalUp="0" diagonalDown="0" outline="0">
        <left style="thin">
          <color theme="9"/>
        </left>
        <right style="thin">
          <color theme="9"/>
        </right>
        <top style="thin">
          <color theme="9"/>
        </top>
        <bottom style="thin">
          <color theme="9"/>
        </bottom>
      </border>
    </dxf>
    <dxf>
      <font>
        <strike val="0"/>
        <outline val="0"/>
        <shadow val="0"/>
        <u val="none"/>
        <vertAlign val="baseline"/>
        <sz val="10"/>
        <color theme="0"/>
        <name val="Arial"/>
        <family val="2"/>
        <scheme val="none"/>
      </font>
      <fill>
        <patternFill>
          <fgColor indexed="64"/>
          <bgColor theme="4" tint="-0.249977111117893"/>
        </patternFill>
      </fill>
      <alignment horizontal="left" vertical="center" textRotation="0" indent="0" justifyLastLine="0" shrinkToFit="0" readingOrder="0"/>
    </dxf>
    <dxf>
      <font>
        <strike val="0"/>
        <outline val="0"/>
        <shadow val="0"/>
        <u val="none"/>
        <vertAlign val="baseline"/>
        <sz val="10"/>
        <color theme="0"/>
        <name val="Arial"/>
        <family val="2"/>
        <scheme val="none"/>
      </font>
      <fill>
        <patternFill patternType="solid">
          <fgColor indexed="64"/>
          <bgColor theme="4" tint="-0.249977111117893"/>
        </patternFill>
      </fill>
      <alignment horizontal="left" vertical="center" textRotation="0" indent="0" justifyLastLine="0" shrinkToFit="0" readingOrder="0"/>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2"/>
        </patternFill>
      </fill>
      <alignment horizontal="left" vertical="center" textRotation="0" wrapText="1" indent="0" justifyLastLine="0" shrinkToFit="0" readingOrder="0"/>
      <border diagonalUp="0" diagonalDown="0" outline="0">
        <left style="thin">
          <color theme="9"/>
        </left>
        <right style="thin">
          <color theme="9"/>
        </right>
        <top style="thin">
          <color theme="9"/>
        </top>
        <bottom style="thin">
          <color theme="9"/>
        </bottom>
      </border>
      <protection locked="0" hidden="0"/>
    </dxf>
    <dxf>
      <font>
        <strike val="0"/>
        <outline val="0"/>
        <shadow val="0"/>
        <u val="none"/>
        <vertAlign val="baseline"/>
        <sz val="11"/>
        <color theme="0"/>
        <name val="Calibri"/>
        <family val="2"/>
        <scheme val="minor"/>
      </font>
      <fill>
        <patternFill patternType="solid">
          <fgColor indexed="64"/>
          <bgColor theme="4" tint="-0.249977111117893"/>
        </patternFill>
      </fill>
      <alignment horizontal="left" vertical="center" textRotation="0" indent="0" justifyLastLine="0" shrinkToFit="0" readingOrder="0"/>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2"/>
        </patternFill>
      </fill>
      <alignment horizontal="left" vertical="center" textRotation="0" wrapText="1" indent="0" justifyLastLine="0" shrinkToFit="0" readingOrder="0"/>
      <border diagonalUp="0" diagonalDown="0" outline="0">
        <left style="thin">
          <color theme="9"/>
        </left>
        <right style="thin">
          <color theme="9"/>
        </right>
        <top style="thin">
          <color theme="9"/>
        </top>
        <bottom style="thin">
          <color theme="9"/>
        </bottom>
      </border>
      <protection locked="0" hidden="0"/>
    </dxf>
    <dxf>
      <font>
        <strike val="0"/>
        <outline val="0"/>
        <shadow val="0"/>
        <vertAlign val="baseline"/>
        <sz val="10"/>
        <name val="Arial"/>
        <family val="2"/>
        <scheme val="none"/>
      </font>
      <fill>
        <patternFill patternType="solid">
          <fgColor indexed="64"/>
          <bgColor theme="2"/>
        </patternFill>
      </fill>
      <alignment horizontal="left" vertical="center" textRotation="0" wrapText="1" indent="0" justifyLastLine="0" shrinkToFit="0" readingOrder="0"/>
      <border diagonalUp="0" diagonalDown="0" outline="0">
        <left style="thin">
          <color theme="9"/>
        </left>
        <right style="thin">
          <color theme="9"/>
        </right>
        <top style="thin">
          <color theme="9"/>
        </top>
        <bottom style="thin">
          <color theme="9"/>
        </bottom>
      </border>
      <protection locked="0" hidden="0"/>
    </dxf>
    <dxf>
      <font>
        <strike val="0"/>
        <outline val="0"/>
        <shadow val="0"/>
        <vertAlign val="baseline"/>
        <sz val="10"/>
        <name val="Arial"/>
        <family val="2"/>
        <scheme val="none"/>
      </font>
      <fill>
        <patternFill patternType="solid">
          <fgColor indexed="64"/>
          <bgColor theme="9" tint="0.79998168889431442"/>
        </patternFill>
      </fill>
      <alignment horizontal="left" vertical="center" textRotation="0" wrapText="1" indent="0" justifyLastLine="0" shrinkToFit="0" readingOrder="0"/>
      <border diagonalUp="0" diagonalDown="0" outline="0">
        <left style="thin">
          <color theme="9"/>
        </left>
        <right style="thin">
          <color theme="9"/>
        </right>
        <top style="thin">
          <color theme="9"/>
        </top>
        <bottom style="thin">
          <color theme="9"/>
        </bottom>
      </border>
      <protection locked="0" hidden="0"/>
    </dxf>
    <dxf>
      <font>
        <strike val="0"/>
        <outline val="0"/>
        <shadow val="0"/>
        <vertAlign val="baseline"/>
        <sz val="10"/>
        <name val="Arial"/>
        <family val="2"/>
        <scheme val="none"/>
      </font>
      <fill>
        <patternFill patternType="solid">
          <fgColor indexed="64"/>
          <bgColor theme="9" tint="0.79998168889431442"/>
        </patternFill>
      </fill>
      <alignment horizontal="left" vertical="center" textRotation="0" wrapText="1" indent="0" justifyLastLine="0" shrinkToFit="0" readingOrder="0"/>
      <border diagonalUp="0" diagonalDown="0" outline="0">
        <left style="thin">
          <color theme="9"/>
        </left>
        <right style="thin">
          <color theme="9"/>
        </right>
        <top style="thin">
          <color theme="9"/>
        </top>
        <bottom style="thin">
          <color theme="9"/>
        </bottom>
      </border>
      <protection locked="0" hidden="0"/>
    </dxf>
    <dxf>
      <font>
        <strike val="0"/>
        <outline val="0"/>
        <shadow val="0"/>
        <vertAlign val="baseline"/>
        <sz val="10"/>
        <name val="Arial"/>
        <family val="2"/>
        <scheme val="none"/>
      </font>
      <fill>
        <patternFill patternType="solid">
          <fgColor indexed="64"/>
          <bgColor theme="9" tint="0.79998168889431442"/>
        </patternFill>
      </fill>
      <alignment horizontal="left" vertical="center" textRotation="0" wrapText="1" indent="0" justifyLastLine="0" shrinkToFit="0" readingOrder="0"/>
      <border diagonalUp="0" diagonalDown="0" outline="0">
        <left style="thin">
          <color theme="9"/>
        </left>
        <right style="thin">
          <color theme="9"/>
        </right>
        <top style="thin">
          <color theme="9"/>
        </top>
        <bottom style="thin">
          <color theme="9"/>
        </bottom>
      </border>
      <protection locked="0" hidden="0"/>
    </dxf>
    <dxf>
      <font>
        <strike val="0"/>
        <outline val="0"/>
        <shadow val="0"/>
        <vertAlign val="baseline"/>
        <sz val="10"/>
        <name val="Arial"/>
        <family val="2"/>
        <scheme val="none"/>
      </font>
      <fill>
        <patternFill patternType="solid">
          <fgColor indexed="64"/>
          <bgColor theme="9" tint="0.79998168889431442"/>
        </patternFill>
      </fill>
      <alignment horizontal="left" vertical="center" textRotation="0" wrapText="1" indent="0" justifyLastLine="0" shrinkToFit="0" readingOrder="0"/>
      <border diagonalUp="0" diagonalDown="0" outline="0">
        <left style="thin">
          <color theme="9"/>
        </left>
        <right style="thin">
          <color theme="9"/>
        </right>
        <top style="thin">
          <color theme="9"/>
        </top>
        <bottom style="thin">
          <color theme="9"/>
        </bottom>
      </border>
      <protection locked="0" hidden="0"/>
    </dxf>
    <dxf>
      <font>
        <strike val="0"/>
        <outline val="0"/>
        <shadow val="0"/>
        <vertAlign val="baseline"/>
        <sz val="10"/>
        <name val="Arial"/>
        <family val="2"/>
        <scheme val="none"/>
      </font>
      <fill>
        <patternFill patternType="solid">
          <fgColor indexed="64"/>
          <bgColor theme="9" tint="0.79998168889431442"/>
        </patternFill>
      </fill>
      <alignment horizontal="left" vertical="center" textRotation="0" wrapText="1" indent="0" justifyLastLine="0" shrinkToFit="0" readingOrder="0"/>
      <border diagonalUp="0" diagonalDown="0" outline="0">
        <left style="thin">
          <color theme="9"/>
        </left>
        <right style="thin">
          <color theme="9"/>
        </right>
        <top style="thin">
          <color theme="9"/>
        </top>
        <bottom style="thin">
          <color theme="9"/>
        </bottom>
      </border>
      <protection locked="0" hidden="0"/>
    </dxf>
    <dxf>
      <font>
        <strike val="0"/>
        <outline val="0"/>
        <shadow val="0"/>
        <vertAlign val="baseline"/>
        <sz val="10"/>
        <name val="Arial"/>
        <family val="2"/>
        <scheme val="none"/>
      </font>
      <fill>
        <patternFill patternType="solid">
          <fgColor indexed="64"/>
          <bgColor theme="2"/>
        </patternFill>
      </fill>
      <alignment horizontal="left" vertical="center" textRotation="0" wrapText="1" indent="0" justifyLastLine="0" shrinkToFit="0" readingOrder="0"/>
      <border diagonalUp="0" diagonalDown="0" outline="0">
        <left style="thin">
          <color theme="9"/>
        </left>
        <right style="thin">
          <color theme="9"/>
        </right>
        <top style="thin">
          <color theme="9"/>
        </top>
        <bottom style="thin">
          <color theme="9"/>
        </bottom>
      </border>
      <protection locked="0" hidden="0"/>
    </dxf>
    <dxf>
      <font>
        <strike val="0"/>
        <outline val="0"/>
        <shadow val="0"/>
        <vertAlign val="baseline"/>
        <sz val="10"/>
        <name val="Arial"/>
        <family val="2"/>
        <scheme val="none"/>
      </font>
      <alignment horizontal="left" vertical="center" textRotation="0" indent="0" justifyLastLine="0" shrinkToFit="0" readingOrder="0"/>
    </dxf>
    <dxf>
      <font>
        <strike val="0"/>
        <outline val="0"/>
        <shadow val="0"/>
        <vertAlign val="baseline"/>
        <sz val="10"/>
        <name val="Arial"/>
        <family val="2"/>
        <scheme val="none"/>
      </font>
      <alignment horizontal="left" vertical="center" textRotation="0" wrapText="1" indent="0" justifyLastLine="0" shrinkToFit="0" readingOrder="0"/>
    </dxf>
    <dxf>
      <font>
        <b val="0"/>
        <i/>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i/>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strike val="0"/>
        <outline val="0"/>
        <shadow val="0"/>
        <u val="none"/>
        <sz val="10"/>
        <name val="Arial"/>
        <family val="2"/>
        <scheme val="none"/>
      </font>
      <numFmt numFmtId="167" formatCode="_-* #,##0_-;\-* #,##0_-;_-* &quot;-&quot;??_-;_-@_-"/>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1" formatCode="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2" formatCode="0.00"/>
      <alignment horizontal="general" vertical="bottom" textRotation="0" wrapText="1" indent="0" justifyLastLine="0" shrinkToFit="0" readingOrder="0"/>
    </dxf>
    <dxf>
      <font>
        <strike val="0"/>
        <outline val="0"/>
        <shadow val="0"/>
        <u val="none"/>
        <sz val="10"/>
        <name val="Arial"/>
        <family val="2"/>
        <scheme val="none"/>
      </font>
      <numFmt numFmtId="1" formatCode="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dxf>
    <dxf>
      <font>
        <strike val="0"/>
        <outline val="0"/>
        <shadow val="0"/>
        <u val="none"/>
        <sz val="10"/>
        <name val="Arial"/>
        <family val="2"/>
        <scheme val="none"/>
      </font>
      <fill>
        <patternFill patternType="solid">
          <fgColor indexed="64"/>
          <bgColor theme="9" tint="0.79998168889431442"/>
        </patternFill>
      </fill>
      <protection locked="1" hidden="0"/>
    </dxf>
    <dxf>
      <font>
        <b val="0"/>
        <i val="0"/>
        <strike val="0"/>
        <condense val="0"/>
        <extend val="0"/>
        <outline val="0"/>
        <shadow val="0"/>
        <u val="none"/>
        <vertAlign val="baseline"/>
        <sz val="10"/>
        <color theme="1"/>
        <name val="Arial"/>
        <family val="2"/>
        <scheme val="none"/>
      </font>
      <numFmt numFmtId="170" formatCode="0.00000%"/>
    </dxf>
    <dxf>
      <font>
        <strike val="0"/>
        <outline val="0"/>
        <shadow val="0"/>
        <u val="none"/>
        <sz val="10"/>
        <name val="Arial"/>
        <family val="2"/>
        <scheme val="none"/>
      </font>
      <numFmt numFmtId="0" formatCode="General"/>
      <protection locked="1" hidden="0"/>
    </dxf>
    <dxf>
      <font>
        <b/>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0"/>
        <name val="Arial"/>
        <family val="2"/>
        <scheme val="none"/>
      </font>
      <fill>
        <patternFill>
          <fgColor indexed="64"/>
          <bgColor theme="9"/>
        </patternFill>
      </fill>
      <protection locked="1" hidden="0"/>
    </dxf>
    <dxf>
      <font>
        <strike val="0"/>
        <outline val="0"/>
        <shadow val="0"/>
        <u val="none"/>
        <name val="Arial"/>
        <family val="2"/>
        <scheme val="none"/>
      </font>
      <numFmt numFmtId="2" formatCode="0.0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strike val="0"/>
        <condense val="0"/>
        <extend val="0"/>
        <outline val="0"/>
        <shadow val="0"/>
        <u val="none"/>
        <vertAlign val="baseline"/>
        <sz val="10"/>
        <color theme="0"/>
        <name val="Arial"/>
        <family val="2"/>
        <scheme val="none"/>
      </font>
      <numFmt numFmtId="167" formatCode="_-* #,##0_-;\-* #,##0_-;_-* &quot;-&quot;??_-;_-@_-"/>
      <fill>
        <patternFill patternType="solid">
          <fgColor indexed="64"/>
          <bgColor theme="4" tint="-0.249977111117893"/>
        </patternFill>
      </fill>
      <alignment horizontal="general" vertical="center" textRotation="0" wrapText="1" indent="0" justifyLastLine="0" shrinkToFit="0" readingOrder="0"/>
      <border diagonalUp="0" diagonalDown="0" outline="0">
        <left/>
        <right style="medium">
          <color theme="9"/>
        </right>
        <top style="medium">
          <color theme="9"/>
        </top>
        <bottom/>
      </border>
    </dxf>
    <dxf>
      <font>
        <i/>
        <strike val="0"/>
        <outline val="0"/>
        <shadow val="0"/>
        <u val="none"/>
        <sz val="10"/>
        <name val="Arial"/>
        <family val="2"/>
        <scheme val="none"/>
      </font>
      <numFmt numFmtId="2" formatCode="0.00"/>
      <protection locked="1" hidden="0"/>
    </dxf>
    <dxf>
      <font>
        <b val="0"/>
        <i val="0"/>
        <strike val="0"/>
        <condense val="0"/>
        <extend val="0"/>
        <outline val="0"/>
        <shadow val="0"/>
        <u val="none"/>
        <vertAlign val="baseline"/>
        <sz val="10"/>
        <color theme="0"/>
        <name val="Arial"/>
        <family val="2"/>
        <scheme val="none"/>
      </font>
      <numFmt numFmtId="167" formatCode="_-* #,##0_-;\-* #,##0_-;_-* &quot;-&quot;??_-;_-@_-"/>
      <fill>
        <patternFill patternType="solid">
          <fgColor indexed="64"/>
          <bgColor theme="4" tint="-0.249977111117893"/>
        </patternFill>
      </fill>
      <alignment horizontal="general" vertical="center" textRotation="0" wrapText="1" indent="0" justifyLastLine="0" shrinkToFit="0" readingOrder="0"/>
      <border diagonalUp="0" diagonalDown="0" outline="0">
        <left/>
        <right/>
        <top style="medium">
          <color theme="9"/>
        </top>
        <bottom/>
      </border>
    </dxf>
    <dxf>
      <font>
        <i/>
        <strike val="0"/>
        <outline val="0"/>
        <shadow val="0"/>
        <u val="none"/>
        <sz val="10"/>
        <name val="Arial"/>
        <family val="2"/>
        <scheme val="none"/>
      </font>
      <numFmt numFmtId="2" formatCode="0.00"/>
      <protection locked="1" hidden="0"/>
    </dxf>
    <dxf>
      <font>
        <b val="0"/>
        <i val="0"/>
        <strike val="0"/>
        <condense val="0"/>
        <extend val="0"/>
        <outline val="0"/>
        <shadow val="0"/>
        <u val="none"/>
        <vertAlign val="baseline"/>
        <sz val="10"/>
        <color rgb="FFFF0000"/>
        <name val="Arial"/>
        <family val="2"/>
        <scheme val="none"/>
      </font>
      <numFmt numFmtId="167" formatCode="_-* #,##0_-;\-* #,##0_-;_-* &quot;-&quot;??_-;_-@_-"/>
      <fill>
        <patternFill patternType="solid">
          <fgColor indexed="64"/>
          <bgColor theme="4" tint="-0.249977111117893"/>
        </patternFill>
      </fill>
      <alignment horizontal="general" vertical="center" textRotation="0" wrapText="1" indent="0" justifyLastLine="0" shrinkToFit="0" readingOrder="0"/>
      <border diagonalUp="0" diagonalDown="0" outline="0">
        <left style="medium">
          <color theme="9"/>
        </left>
        <right style="medium">
          <color theme="9"/>
        </right>
        <top style="medium">
          <color theme="9"/>
        </top>
        <bottom/>
      </border>
    </dxf>
    <dxf>
      <font>
        <strike val="0"/>
        <outline val="0"/>
        <shadow val="0"/>
        <u val="none"/>
        <sz val="10"/>
        <name val="Arial"/>
        <family val="2"/>
        <scheme val="none"/>
      </font>
      <numFmt numFmtId="2" formatCode="0.00"/>
      <protection locked="1" hidden="0"/>
    </dxf>
    <dxf>
      <font>
        <b val="0"/>
        <i val="0"/>
        <strike val="0"/>
        <condense val="0"/>
        <extend val="0"/>
        <outline val="0"/>
        <shadow val="0"/>
        <u val="none"/>
        <vertAlign val="baseline"/>
        <sz val="10"/>
        <color theme="0"/>
        <name val="Arial"/>
        <family val="2"/>
        <scheme val="none"/>
      </font>
      <numFmt numFmtId="167" formatCode="_-* #,##0_-;\-* #,##0_-;_-* &quot;-&quot;??_-;_-@_-"/>
      <fill>
        <patternFill patternType="solid">
          <fgColor indexed="64"/>
          <bgColor theme="4" tint="-0.249977111117893"/>
        </patternFill>
      </fill>
      <alignment horizontal="general" vertical="center" textRotation="0" wrapText="1" indent="0" justifyLastLine="0" shrinkToFit="0" readingOrder="0"/>
      <border diagonalUp="0" diagonalDown="0" outline="0">
        <left/>
        <right/>
        <top style="medium">
          <color theme="9"/>
        </top>
        <bottom/>
      </border>
    </dxf>
    <dxf>
      <font>
        <strike val="0"/>
        <outline val="0"/>
        <shadow val="0"/>
        <u val="none"/>
        <sz val="10"/>
        <name val="Arial"/>
        <family val="2"/>
        <scheme val="none"/>
      </font>
      <numFmt numFmtId="2" formatCode="0.00"/>
      <protection locked="1" hidden="0"/>
    </dxf>
    <dxf>
      <font>
        <b val="0"/>
        <i val="0"/>
        <strike val="0"/>
        <condense val="0"/>
        <extend val="0"/>
        <outline val="0"/>
        <shadow val="0"/>
        <u val="none"/>
        <vertAlign val="baseline"/>
        <sz val="10"/>
        <color theme="0"/>
        <name val="Arial"/>
        <family val="2"/>
        <scheme val="none"/>
      </font>
      <numFmt numFmtId="167" formatCode="_-* #,##0_-;\-* #,##0_-;_-* &quot;-&quot;??_-;_-@_-"/>
      <fill>
        <patternFill patternType="solid">
          <fgColor indexed="64"/>
          <bgColor theme="4" tint="-0.249977111117893"/>
        </patternFill>
      </fill>
      <alignment horizontal="general" vertical="center" textRotation="0" wrapText="1" indent="0" justifyLastLine="0" shrinkToFit="0" readingOrder="0"/>
      <border diagonalUp="0" diagonalDown="0" outline="0">
        <left style="thin">
          <color theme="9"/>
        </left>
        <right style="thin">
          <color theme="9"/>
        </right>
        <top style="medium">
          <color theme="9"/>
        </top>
        <bottom style="thin">
          <color theme="9"/>
        </bottom>
      </border>
    </dxf>
    <dxf>
      <font>
        <strike val="0"/>
        <outline val="0"/>
        <shadow val="0"/>
        <u val="none"/>
        <sz val="10"/>
        <name val="Arial"/>
        <family val="2"/>
        <scheme val="none"/>
      </font>
      <numFmt numFmtId="2" formatCode="0.00"/>
      <protection locked="1" hidden="0"/>
    </dxf>
    <dxf>
      <font>
        <b val="0"/>
        <i val="0"/>
        <strike val="0"/>
        <condense val="0"/>
        <extend val="0"/>
        <outline val="0"/>
        <shadow val="0"/>
        <u val="none"/>
        <vertAlign val="baseline"/>
        <sz val="10"/>
        <color theme="0"/>
        <name val="Arial"/>
        <family val="2"/>
        <scheme val="none"/>
      </font>
      <numFmt numFmtId="167" formatCode="_-* #,##0_-;\-* #,##0_-;_-* &quot;-&quot;??_-;_-@_-"/>
      <fill>
        <patternFill patternType="solid">
          <fgColor indexed="64"/>
          <bgColor theme="4" tint="-0.249977111117893"/>
        </patternFill>
      </fill>
      <alignment horizontal="general" vertical="center" textRotation="0" wrapText="1" indent="0" justifyLastLine="0" shrinkToFit="0" readingOrder="0"/>
      <border diagonalUp="0" diagonalDown="0" outline="0">
        <left style="thin">
          <color theme="9"/>
        </left>
        <right style="thin">
          <color theme="9"/>
        </right>
        <top style="medium">
          <color theme="9"/>
        </top>
        <bottom style="thin">
          <color theme="9"/>
        </bottom>
      </border>
    </dxf>
    <dxf>
      <font>
        <strike val="0"/>
        <outline val="0"/>
        <shadow val="0"/>
        <u val="none"/>
        <sz val="10"/>
        <name val="Arial"/>
        <family val="2"/>
        <scheme val="none"/>
      </font>
      <numFmt numFmtId="2" formatCode="0.00"/>
      <protection locked="1" hidden="0"/>
    </dxf>
    <dxf>
      <font>
        <b val="0"/>
        <i val="0"/>
        <strike val="0"/>
        <condense val="0"/>
        <extend val="0"/>
        <outline val="0"/>
        <shadow val="0"/>
        <u val="none"/>
        <vertAlign val="baseline"/>
        <sz val="10"/>
        <color theme="0"/>
        <name val="Arial"/>
        <family val="2"/>
        <scheme val="none"/>
      </font>
      <numFmt numFmtId="167" formatCode="_-* #,##0_-;\-* #,##0_-;_-* &quot;-&quot;??_-;_-@_-"/>
      <fill>
        <patternFill patternType="solid">
          <fgColor indexed="64"/>
          <bgColor theme="4" tint="-0.249977111117893"/>
        </patternFill>
      </fill>
      <alignment horizontal="general" vertical="center" textRotation="0" wrapText="1" indent="0" justifyLastLine="0" shrinkToFit="0" readingOrder="0"/>
      <border diagonalUp="0" diagonalDown="0" outline="0">
        <left style="thin">
          <color theme="9"/>
        </left>
        <right style="thin">
          <color theme="9"/>
        </right>
        <top style="medium">
          <color theme="9"/>
        </top>
        <bottom style="thin">
          <color theme="9"/>
        </bottom>
      </border>
    </dxf>
    <dxf>
      <font>
        <strike val="0"/>
        <outline val="0"/>
        <shadow val="0"/>
        <u val="none"/>
        <sz val="10"/>
        <name val="Arial"/>
        <family val="2"/>
        <scheme val="none"/>
      </font>
      <numFmt numFmtId="2" formatCode="0.00"/>
      <protection locked="1" hidden="0"/>
    </dxf>
    <dxf>
      <font>
        <b val="0"/>
        <i val="0"/>
        <strike val="0"/>
        <condense val="0"/>
        <extend val="0"/>
        <outline val="0"/>
        <shadow val="0"/>
        <u val="none"/>
        <vertAlign val="baseline"/>
        <sz val="10"/>
        <color theme="0"/>
        <name val="Arial"/>
        <family val="2"/>
        <scheme val="none"/>
      </font>
      <numFmt numFmtId="167" formatCode="_-* #,##0_-;\-* #,##0_-;_-* &quot;-&quot;??_-;_-@_-"/>
      <fill>
        <patternFill patternType="solid">
          <fgColor indexed="64"/>
          <bgColor theme="4" tint="-0.249977111117893"/>
        </patternFill>
      </fill>
      <alignment horizontal="general" vertical="center" textRotation="0" wrapText="1" indent="0" justifyLastLine="0" shrinkToFit="0" readingOrder="0"/>
      <border diagonalUp="0" diagonalDown="0" outline="0">
        <left style="thin">
          <color theme="9"/>
        </left>
        <right style="thin">
          <color theme="9"/>
        </right>
        <top style="medium">
          <color theme="9"/>
        </top>
        <bottom style="thin">
          <color theme="9"/>
        </bottom>
      </border>
    </dxf>
    <dxf>
      <font>
        <strike val="0"/>
        <outline val="0"/>
        <shadow val="0"/>
        <u val="none"/>
        <sz val="10"/>
        <name val="Arial"/>
        <family val="2"/>
        <scheme val="none"/>
      </font>
      <numFmt numFmtId="2" formatCode="0.00"/>
      <protection locked="1" hidden="0"/>
    </dxf>
    <dxf>
      <font>
        <b val="0"/>
        <i val="0"/>
        <strike val="0"/>
        <condense val="0"/>
        <extend val="0"/>
        <outline val="0"/>
        <shadow val="0"/>
        <u val="none"/>
        <vertAlign val="baseline"/>
        <sz val="10"/>
        <color theme="0"/>
        <name val="Arial"/>
        <family val="2"/>
        <scheme val="none"/>
      </font>
      <numFmt numFmtId="167" formatCode="_-* #,##0_-;\-* #,##0_-;_-* &quot;-&quot;??_-;_-@_-"/>
      <fill>
        <patternFill patternType="solid">
          <fgColor indexed="64"/>
          <bgColor theme="4" tint="-0.249977111117893"/>
        </patternFill>
      </fill>
      <alignment horizontal="general" vertical="center" textRotation="0" wrapText="1" indent="0" justifyLastLine="0" shrinkToFit="0" readingOrder="0"/>
      <border diagonalUp="0" diagonalDown="0" outline="0">
        <left style="thin">
          <color theme="9"/>
        </left>
        <right style="thin">
          <color theme="9"/>
        </right>
        <top style="medium">
          <color theme="9"/>
        </top>
        <bottom style="thin">
          <color theme="9"/>
        </bottom>
      </border>
    </dxf>
    <dxf>
      <font>
        <strike val="0"/>
        <outline val="0"/>
        <shadow val="0"/>
        <u val="none"/>
        <sz val="10"/>
        <name val="Arial"/>
        <family val="2"/>
        <scheme val="none"/>
      </font>
      <numFmt numFmtId="2" formatCode="0.00"/>
      <fill>
        <patternFill patternType="solid">
          <fgColor indexed="64"/>
          <bgColor theme="9"/>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167" formatCode="_-* #,##0_-;\-* #,##0_-;_-* &quot;-&quot;??_-;_-@_-"/>
      <fill>
        <patternFill patternType="solid">
          <fgColor indexed="64"/>
          <bgColor theme="9"/>
        </patternFill>
      </fill>
      <alignment horizontal="general" vertical="center" textRotation="0" wrapText="1" indent="0" justifyLastLine="0" shrinkToFit="0" readingOrder="0"/>
      <border diagonalUp="0" diagonalDown="0" outline="0">
        <left style="thin">
          <color theme="9"/>
        </left>
        <right style="thin">
          <color theme="9"/>
        </right>
        <top style="medium">
          <color theme="9"/>
        </top>
        <bottom style="thin">
          <color theme="9"/>
        </bottom>
      </border>
    </dxf>
    <dxf>
      <font>
        <strike val="0"/>
        <outline val="0"/>
        <shadow val="0"/>
        <u val="none"/>
        <sz val="10"/>
        <name val="Arial"/>
        <family val="2"/>
        <scheme val="none"/>
      </font>
      <numFmt numFmtId="2" formatCode="0.00"/>
      <protection locked="1" hidden="0"/>
    </dxf>
    <dxf>
      <font>
        <b val="0"/>
        <i val="0"/>
        <strike val="0"/>
        <condense val="0"/>
        <extend val="0"/>
        <outline val="0"/>
        <shadow val="0"/>
        <u val="none"/>
        <vertAlign val="baseline"/>
        <sz val="10"/>
        <color theme="0"/>
        <name val="Arial"/>
        <family val="2"/>
        <scheme val="none"/>
      </font>
      <numFmt numFmtId="167" formatCode="_-* #,##0_-;\-* #,##0_-;_-* &quot;-&quot;??_-;_-@_-"/>
      <fill>
        <patternFill patternType="solid">
          <fgColor indexed="64"/>
          <bgColor theme="4" tint="-0.249977111117893"/>
        </patternFill>
      </fill>
      <alignment horizontal="general" vertical="center" textRotation="0" wrapText="1" indent="0" justifyLastLine="0" shrinkToFit="0" readingOrder="0"/>
      <border diagonalUp="0" diagonalDown="0" outline="0">
        <left style="thin">
          <color theme="9"/>
        </left>
        <right style="thin">
          <color theme="9"/>
        </right>
        <top style="medium">
          <color theme="9"/>
        </top>
        <bottom style="thin">
          <color theme="9"/>
        </bottom>
      </border>
    </dxf>
    <dxf>
      <font>
        <strike val="0"/>
        <outline val="0"/>
        <shadow val="0"/>
        <u val="none"/>
        <sz val="10"/>
        <name val="Arial"/>
        <family val="2"/>
        <scheme val="none"/>
      </font>
      <numFmt numFmtId="2" formatCode="0.00"/>
      <protection locked="1" hidden="0"/>
    </dxf>
    <dxf>
      <font>
        <b val="0"/>
        <i val="0"/>
        <strike val="0"/>
        <condense val="0"/>
        <extend val="0"/>
        <outline val="0"/>
        <shadow val="0"/>
        <u val="none"/>
        <vertAlign val="baseline"/>
        <sz val="10"/>
        <color theme="1"/>
        <name val="Arial"/>
        <family val="2"/>
        <scheme val="none"/>
      </font>
      <numFmt numFmtId="167" formatCode="_-* #,##0_-;\-* #,##0_-;_-* &quot;-&quot;??_-;_-@_-"/>
      <fill>
        <patternFill patternType="solid">
          <fgColor indexed="64"/>
          <bgColor theme="9"/>
        </patternFill>
      </fill>
      <alignment horizontal="general" vertical="center" textRotation="0" wrapText="1" indent="0" justifyLastLine="0" shrinkToFit="0" readingOrder="0"/>
      <border diagonalUp="0" diagonalDown="0" outline="0">
        <left style="thin">
          <color theme="9"/>
        </left>
        <right style="thin">
          <color theme="9"/>
        </right>
        <top style="medium">
          <color theme="9"/>
        </top>
        <bottom style="thin">
          <color theme="9"/>
        </bottom>
      </border>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167" formatCode="_-* #,##0_-;\-* #,##0_-;_-* &quot;-&quot;??_-;_-@_-"/>
      <fill>
        <patternFill patternType="solid">
          <fgColor indexed="64"/>
          <bgColor theme="9"/>
        </patternFill>
      </fill>
      <alignment horizontal="general" vertical="center" textRotation="0" wrapText="1" indent="0" justifyLastLine="0" shrinkToFit="0" readingOrder="0"/>
      <border diagonalUp="0" diagonalDown="0" outline="0">
        <left style="thin">
          <color theme="9"/>
        </left>
        <right style="thin">
          <color theme="9"/>
        </right>
        <top style="medium">
          <color theme="9"/>
        </top>
        <bottom style="thin">
          <color theme="9"/>
        </bottom>
      </border>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0"/>
        <name val="Arial"/>
        <family val="2"/>
        <scheme val="none"/>
      </font>
      <numFmt numFmtId="167" formatCode="_-* #,##0_-;\-* #,##0_-;_-* &quot;-&quot;??_-;_-@_-"/>
      <fill>
        <patternFill patternType="solid">
          <fgColor indexed="64"/>
          <bgColor theme="4" tint="-0.249977111117893"/>
        </patternFill>
      </fill>
      <alignment horizontal="general" vertical="center" textRotation="0" wrapText="1" indent="0" justifyLastLine="0" shrinkToFit="0" readingOrder="0"/>
      <border diagonalUp="0" diagonalDown="0" outline="0">
        <left style="thin">
          <color theme="9"/>
        </left>
        <right style="thin">
          <color theme="9"/>
        </right>
        <top style="medium">
          <color theme="9"/>
        </top>
        <bottom style="thin">
          <color theme="9"/>
        </bottom>
      </border>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0"/>
        <name val="Arial"/>
        <family val="2"/>
        <scheme val="none"/>
      </font>
      <numFmt numFmtId="167" formatCode="_-* #,##0_-;\-* #,##0_-;_-* &quot;-&quot;??_-;_-@_-"/>
      <fill>
        <patternFill patternType="solid">
          <fgColor indexed="64"/>
          <bgColor theme="4" tint="-0.249977111117893"/>
        </patternFill>
      </fill>
      <alignment horizontal="general" vertical="center" textRotation="0" wrapText="1" indent="0" justifyLastLine="0" shrinkToFit="0" readingOrder="0"/>
      <border diagonalUp="0" diagonalDown="0" outline="0">
        <left style="thin">
          <color theme="9"/>
        </left>
        <right style="thin">
          <color theme="9"/>
        </right>
        <top style="medium">
          <color theme="9"/>
        </top>
        <bottom style="thin">
          <color theme="9"/>
        </bottom>
      </border>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0"/>
        <name val="Arial"/>
        <family val="2"/>
        <scheme val="none"/>
      </font>
      <numFmt numFmtId="167" formatCode="_-* #,##0_-;\-* #,##0_-;_-* &quot;-&quot;??_-;_-@_-"/>
      <fill>
        <patternFill patternType="solid">
          <fgColor indexed="64"/>
          <bgColor theme="4" tint="-0.249977111117893"/>
        </patternFill>
      </fill>
      <alignment horizontal="general" vertical="center" textRotation="0" wrapText="1" indent="0" justifyLastLine="0" shrinkToFit="0" readingOrder="0"/>
      <border diagonalUp="0" diagonalDown="0" outline="0">
        <left style="thin">
          <color theme="9"/>
        </left>
        <right style="thin">
          <color theme="9"/>
        </right>
        <top style="medium">
          <color theme="9"/>
        </top>
        <bottom style="thin">
          <color theme="9"/>
        </bottom>
      </border>
    </dxf>
    <dxf>
      <font>
        <strike val="0"/>
        <outline val="0"/>
        <shadow val="0"/>
        <u val="none"/>
        <sz val="10"/>
        <name val="Arial"/>
        <family val="2"/>
        <scheme val="none"/>
      </font>
      <numFmt numFmtId="2" formatCode="0.0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0"/>
        <name val="Arial"/>
        <family val="2"/>
        <scheme val="none"/>
      </font>
      <numFmt numFmtId="167" formatCode="_-* #,##0_-;\-* #,##0_-;_-* &quot;-&quot;??_-;_-@_-"/>
      <fill>
        <patternFill patternType="solid">
          <fgColor indexed="64"/>
          <bgColor theme="4" tint="-0.249977111117893"/>
        </patternFill>
      </fill>
      <alignment horizontal="general" vertical="center" textRotation="0" wrapText="1" indent="0" justifyLastLine="0" shrinkToFit="0" readingOrder="0"/>
      <border diagonalUp="0" diagonalDown="0" outline="0">
        <left/>
        <right style="thin">
          <color theme="9"/>
        </right>
        <top style="medium">
          <color theme="9"/>
        </top>
        <bottom style="thin">
          <color theme="9"/>
        </bottom>
      </border>
    </dxf>
    <dxf>
      <font>
        <strike val="0"/>
        <outline val="0"/>
        <shadow val="0"/>
        <u val="none"/>
        <sz val="10"/>
        <name val="Arial"/>
        <family val="2"/>
        <scheme val="none"/>
      </font>
      <numFmt numFmtId="2" formatCode="0.00"/>
      <alignment horizontal="general" vertical="bottom" textRotation="0" wrapText="1" indent="0" justifyLastLine="0" shrinkToFit="0" readingOrder="0"/>
      <border diagonalUp="0" diagonalDown="0">
        <left style="medium">
          <color theme="9"/>
        </left>
      </border>
      <protection locked="1" hidden="0"/>
    </dxf>
    <dxf>
      <font>
        <b val="0"/>
        <i val="0"/>
        <strike val="0"/>
        <condense val="0"/>
        <extend val="0"/>
        <outline val="0"/>
        <shadow val="0"/>
        <u val="none"/>
        <vertAlign val="baseline"/>
        <sz val="10"/>
        <color rgb="FFFF0000"/>
        <name val="Arial"/>
        <family val="2"/>
        <scheme val="none"/>
      </font>
      <alignment horizontal="general" vertical="center" textRotation="0" wrapText="1" indent="0" justifyLastLine="0" shrinkToFit="0" readingOrder="0"/>
      <border diagonalUp="0" diagonalDown="0" outline="0">
        <left style="thin">
          <color theme="9"/>
        </left>
        <right style="thin">
          <color indexed="64"/>
        </right>
        <top style="medium">
          <color theme="9"/>
        </top>
        <bottom style="thin">
          <color theme="9"/>
        </bottom>
      </border>
    </dxf>
    <dxf>
      <font>
        <strike val="0"/>
        <outline val="0"/>
        <shadow val="0"/>
        <u val="none"/>
        <sz val="10"/>
        <name val="Arial"/>
        <family val="2"/>
        <scheme val="none"/>
      </font>
      <numFmt numFmtId="2" formatCode="0.00"/>
      <protection locked="1" hidden="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theme="4" tint="-0.249977111117893"/>
        </patternFill>
      </fill>
      <alignment horizontal="general" vertical="center" textRotation="0" wrapText="1" indent="0" justifyLastLine="0" shrinkToFit="0" readingOrder="0"/>
      <border diagonalUp="0" diagonalDown="0" outline="0">
        <left style="thin">
          <color theme="9"/>
        </left>
        <right style="thin">
          <color theme="9"/>
        </right>
        <top style="medium">
          <color theme="9"/>
        </top>
        <bottom style="thin">
          <color theme="9"/>
        </bottom>
      </border>
    </dxf>
    <dxf>
      <font>
        <strike val="0"/>
        <outline val="0"/>
        <shadow val="0"/>
        <u val="none"/>
        <sz val="10"/>
        <name val="Arial"/>
        <family val="2"/>
        <scheme val="none"/>
      </font>
      <numFmt numFmtId="1" formatCode="0"/>
      <protection locked="1" hidden="0"/>
    </dxf>
    <dxf>
      <font>
        <b val="0"/>
        <i val="0"/>
        <strike val="0"/>
        <condense val="0"/>
        <extend val="0"/>
        <outline val="0"/>
        <shadow val="0"/>
        <u val="none"/>
        <vertAlign val="baseline"/>
        <sz val="10"/>
        <color rgb="FFFF0000"/>
        <name val="Arial"/>
        <family val="2"/>
        <scheme val="none"/>
      </font>
      <alignment horizontal="general" vertical="center" textRotation="0" wrapText="1" indent="0" justifyLastLine="0" shrinkToFit="0" readingOrder="0"/>
      <border diagonalUp="0" diagonalDown="0" outline="0">
        <left style="thin">
          <color theme="9"/>
        </left>
        <right style="thin">
          <color theme="9"/>
        </right>
        <top style="medium">
          <color theme="9"/>
        </top>
        <bottom style="thin">
          <color theme="9"/>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9" tint="0.59999389629810485"/>
        </patternFill>
      </fill>
      <protection locked="1" hidden="0"/>
    </dxf>
    <dxf>
      <font>
        <b val="0"/>
        <i val="0"/>
        <strike val="0"/>
        <condense val="0"/>
        <extend val="0"/>
        <outline val="0"/>
        <shadow val="0"/>
        <u val="none"/>
        <vertAlign val="baseline"/>
        <sz val="10"/>
        <color theme="1"/>
        <name val="Arial"/>
        <family val="2"/>
        <scheme val="none"/>
      </font>
      <alignment horizontal="general" vertical="center" textRotation="0" wrapText="0" indent="0" justifyLastLine="0" shrinkToFit="0" readingOrder="0"/>
      <border diagonalUp="0" diagonalDown="0" outline="0">
        <left/>
        <right/>
        <top style="medium">
          <color theme="9"/>
        </top>
        <bottom/>
      </border>
    </dxf>
    <dxf>
      <font>
        <strike val="0"/>
        <outline val="0"/>
        <shadow val="0"/>
        <u val="none"/>
        <sz val="10"/>
        <name val="Arial"/>
        <family val="2"/>
        <scheme val="none"/>
      </font>
      <fill>
        <patternFill patternType="solid">
          <fgColor indexed="64"/>
          <bgColor rgb="FFFFC000"/>
        </patternFill>
      </fill>
      <protection locked="1" hidden="0"/>
    </dxf>
    <dxf>
      <font>
        <b val="0"/>
        <i val="0"/>
        <strike val="0"/>
        <condense val="0"/>
        <extend val="0"/>
        <outline val="0"/>
        <shadow val="0"/>
        <u val="none"/>
        <vertAlign val="baseline"/>
        <sz val="10"/>
        <color theme="1"/>
        <name val="Arial"/>
        <family val="2"/>
        <scheme val="none"/>
      </font>
      <alignment horizontal="general" vertical="center" textRotation="0" wrapText="0" indent="0" justifyLastLine="0" shrinkToFit="0" readingOrder="0"/>
      <border diagonalUp="0" diagonalDown="0" outline="0">
        <left style="thin">
          <color theme="9"/>
        </left>
        <right style="thin">
          <color theme="9"/>
        </right>
        <top style="medium">
          <color theme="9"/>
        </top>
        <bottom style="thin">
          <color theme="9"/>
        </bottom>
      </border>
    </dxf>
    <dxf>
      <font>
        <strike val="0"/>
        <outline val="0"/>
        <shadow val="0"/>
        <u val="none"/>
        <sz val="10"/>
        <name val="Arial"/>
        <family val="2"/>
        <scheme val="none"/>
      </font>
      <protection locked="1" hidden="0"/>
    </dxf>
    <dxf>
      <font>
        <b val="0"/>
        <i val="0"/>
        <strike val="0"/>
        <condense val="0"/>
        <extend val="0"/>
        <outline val="0"/>
        <shadow val="0"/>
        <u val="none"/>
        <vertAlign val="baseline"/>
        <sz val="10"/>
        <color theme="0"/>
        <name val="Arial"/>
        <family val="2"/>
        <scheme val="none"/>
      </font>
      <fill>
        <patternFill patternType="solid">
          <fgColor indexed="64"/>
          <bgColor theme="9"/>
        </patternFill>
      </fill>
      <alignment horizontal="general" vertical="center" textRotation="0" wrapText="0" indent="0" justifyLastLine="0" shrinkToFit="0" readingOrder="0"/>
      <border diagonalUp="0" diagonalDown="0" outline="0">
        <left style="medium">
          <color theme="9"/>
        </left>
        <right/>
        <top style="medium">
          <color theme="9"/>
        </top>
        <bottom/>
      </border>
    </dxf>
    <dxf>
      <font>
        <strike val="0"/>
        <outline val="0"/>
        <shadow val="0"/>
        <u val="none"/>
        <sz val="10"/>
        <name val="Arial"/>
        <family val="2"/>
        <scheme val="none"/>
      </font>
      <protection locked="1" hidden="0"/>
    </dxf>
    <dxf>
      <border>
        <top style="medium">
          <color theme="9"/>
        </top>
      </border>
    </dxf>
    <dxf>
      <font>
        <strike val="0"/>
        <outline val="0"/>
        <shadow val="0"/>
        <u val="none"/>
        <sz val="10"/>
        <name val="Arial"/>
        <family val="2"/>
        <scheme val="none"/>
      </font>
      <alignment horizontal="general" vertical="center" textRotation="0" indent="0" justifyLastLine="0" shrinkToFit="0" readingOrder="0"/>
      <protection locked="1" hidden="0"/>
    </dxf>
    <dxf>
      <font>
        <strike val="0"/>
        <outline val="0"/>
        <shadow val="0"/>
        <u val="none"/>
        <sz val="10"/>
        <name val="Arial"/>
        <family val="2"/>
        <scheme val="none"/>
      </font>
      <protection locked="1" hidden="0"/>
    </dxf>
    <dxf>
      <border>
        <bottom style="medium">
          <color theme="9"/>
        </bottom>
      </border>
    </dxf>
    <dxf>
      <font>
        <strike val="0"/>
        <outline val="0"/>
        <shadow val="0"/>
        <u val="none"/>
        <sz val="10"/>
        <name val="Arial"/>
        <family val="2"/>
        <scheme val="none"/>
      </font>
      <alignment horizontal="left" vertical="center" textRotation="0" wrapText="1" indent="0" justifyLastLine="0" shrinkToFit="0" readingOrder="0"/>
      <border diagonalUp="0" diagonalDown="0">
        <left/>
        <right/>
        <top/>
        <bottom/>
        <vertical/>
        <horizontal/>
      </border>
      <protection locked="1" hidden="0"/>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theme="9"/>
        </left>
        <right/>
        <top style="thin">
          <color theme="9"/>
        </top>
        <bottom style="thin">
          <color theme="9"/>
        </bottom>
      </border>
      <protection locked="0" hidden="0"/>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dxf>
    <dxf>
      <border>
        <bottom style="thin">
          <color theme="9"/>
        </bottom>
      </border>
    </dxf>
    <dxf>
      <font>
        <strike val="0"/>
        <outline val="0"/>
        <shadow val="0"/>
        <vertAlign val="baseline"/>
        <sz val="10"/>
        <name val="Arial"/>
        <family val="2"/>
        <scheme val="none"/>
      </font>
      <alignment vertical="center" textRotation="0" indent="0" justifyLastLine="0" shrinkToFit="0" readingOrder="0"/>
      <border diagonalUp="0" diagonalDown="0" outline="0">
        <left style="thin">
          <color theme="9"/>
        </left>
        <right style="thin">
          <color theme="9"/>
        </right>
        <top/>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theme="9"/>
        </left>
        <right/>
        <top style="thin">
          <color theme="9"/>
        </top>
        <bottom style="thin">
          <color theme="9"/>
        </bottom>
      </border>
      <protection locked="0" hidden="0"/>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dxf>
    <dxf>
      <border>
        <bottom style="thin">
          <color theme="9"/>
        </bottom>
      </border>
    </dxf>
    <dxf>
      <font>
        <strike val="0"/>
        <outline val="0"/>
        <shadow val="0"/>
        <vertAlign val="baseline"/>
        <sz val="10"/>
        <name val="Arial"/>
        <family val="2"/>
        <scheme val="none"/>
      </font>
      <alignment horizontal="left" vertical="center" textRotation="0" wrapText="1" indent="0" justifyLastLine="0" shrinkToFit="0" readingOrder="0"/>
      <border diagonalUp="0" diagonalDown="0" outline="0">
        <left style="thin">
          <color theme="9"/>
        </left>
        <right style="thin">
          <color theme="9"/>
        </right>
        <top/>
        <bottom/>
      </border>
    </dxf>
    <dxf>
      <font>
        <strike val="0"/>
        <outline val="0"/>
        <shadow val="0"/>
        <u val="none"/>
        <vertAlign val="baseline"/>
        <sz val="10"/>
        <name val="Arial"/>
        <family val="2"/>
        <scheme val="none"/>
      </font>
      <fill>
        <patternFill patternType="solid">
          <fgColor indexed="64"/>
          <bgColor theme="0"/>
        </patternFill>
      </fill>
      <border diagonalUp="0" diagonalDown="0">
        <left style="thin">
          <color theme="9"/>
        </left>
        <right style="thin">
          <color theme="9"/>
        </right>
        <top style="thin">
          <color theme="9"/>
        </top>
        <bottom style="thin">
          <color theme="9"/>
        </bottom>
        <vertical style="thin">
          <color theme="9"/>
        </vertical>
        <horizontal style="thin">
          <color theme="9"/>
        </horizontal>
      </border>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theme="9"/>
        </left>
        <right/>
        <top style="thin">
          <color theme="9"/>
        </top>
        <bottom style="thin">
          <color theme="9"/>
        </bottom>
      </border>
      <protection locked="0" hidden="0"/>
    </dxf>
    <dxf>
      <font>
        <strike val="0"/>
        <outline val="0"/>
        <shadow val="0"/>
        <u val="none"/>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u val="none"/>
        <vertAlign val="baseline"/>
        <sz val="10"/>
        <name val="Arial"/>
        <family val="2"/>
        <scheme val="none"/>
      </font>
    </dxf>
    <dxf>
      <border>
        <bottom style="thin">
          <color theme="9"/>
        </bottom>
      </border>
    </dxf>
    <dxf>
      <font>
        <strike val="0"/>
        <outline val="0"/>
        <shadow val="0"/>
        <u val="none"/>
        <vertAlign val="baseline"/>
        <sz val="10"/>
        <name val="Arial"/>
        <family val="2"/>
        <scheme val="none"/>
      </font>
      <alignment vertical="center" textRotation="0" wrapText="1" indent="0" justifyLastLine="0" shrinkToFit="0" readingOrder="0"/>
      <border diagonalUp="0" diagonalDown="0">
        <left style="thin">
          <color theme="9"/>
        </left>
        <right style="thin">
          <color theme="9"/>
        </right>
        <top/>
        <bottom/>
        <vertical style="thin">
          <color theme="9"/>
        </vertical>
        <horizontal style="thin">
          <color theme="9"/>
        </horizontal>
      </border>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numFmt numFmtId="0" formatCode="General"/>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numFmt numFmtId="0" formatCode="General"/>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numFmt numFmtId="0" formatCode="General"/>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numFmt numFmtId="2" formatCode="0.00"/>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numFmt numFmtId="0" formatCode="General"/>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numFmt numFmtId="2" formatCode="0.00"/>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numFmt numFmtId="2" formatCode="0.00"/>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protection locked="1" hidden="0"/>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rgb="FFFFFF00"/>
        </patternFill>
      </fill>
      <protection locked="0" hidden="0"/>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border diagonalUp="0" diagonalDown="0" outline="0">
        <left style="thin">
          <color auto="1"/>
        </left>
        <right/>
        <top style="thin">
          <color auto="1"/>
        </top>
        <bottom style="thin">
          <color auto="1"/>
        </bottom>
      </border>
      <protection locked="0" hidden="0"/>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strike val="0"/>
        <outline val="0"/>
        <shadow val="0"/>
        <u val="none"/>
        <vertAlign val="baseline"/>
        <sz val="10"/>
        <name val="Arial"/>
        <family val="2"/>
        <scheme val="none"/>
      </font>
    </dxf>
    <dxf>
      <font>
        <b val="0"/>
        <i val="0"/>
        <strike val="0"/>
        <condense val="0"/>
        <extend val="0"/>
        <outline val="0"/>
        <shadow val="0"/>
        <u val="none"/>
        <vertAlign val="baseline"/>
        <sz val="10"/>
        <color rgb="FF000000"/>
        <name val="Arial"/>
        <family val="2"/>
        <scheme val="none"/>
      </font>
    </dxf>
    <dxf>
      <font>
        <b val="0"/>
        <i val="0"/>
        <strike val="0"/>
        <condense val="0"/>
        <extend val="0"/>
        <outline val="0"/>
        <shadow val="0"/>
        <u val="none"/>
        <vertAlign val="baseline"/>
        <sz val="10"/>
        <color theme="1"/>
        <name val="Arial"/>
        <family val="2"/>
        <scheme val="none"/>
      </font>
      <alignment horizontal="general" vertical="top" textRotation="0" wrapText="1" indent="0" justifyLastLine="0" shrinkToFit="0" readingOrder="0"/>
    </dxf>
    <dxf>
      <numFmt numFmtId="167" formatCode="_-* #,##0_-;\-* #,##0_-;_-* &quot;-&quot;??_-;_-@_-"/>
      <fill>
        <patternFill patternType="solid">
          <fgColor indexed="64"/>
          <bgColor rgb="FFFFFF00"/>
        </patternFill>
      </fill>
      <alignment horizontal="center"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border outline="0">
        <left style="thin">
          <color indexed="64"/>
        </left>
      </border>
    </dxf>
    <dxf>
      <fill>
        <patternFill patternType="solid">
          <fgColor indexed="64"/>
          <bgColor rgb="FFFFFF0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numFmt numFmtId="2" formatCode="0.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2" formatCode="0.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auto="1"/>
        </left>
        <right style="thin">
          <color auto="1"/>
        </right>
        <top style="thin">
          <color auto="1"/>
        </top>
        <bottom style="thin">
          <color auto="1"/>
        </bottom>
        <vertical/>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0"/>
        <name val="Arial"/>
        <family val="2"/>
        <scheme val="none"/>
      </font>
      <numFmt numFmtId="168" formatCode="0.0%"/>
      <fill>
        <patternFill patternType="solid">
          <fgColor indexed="64"/>
          <bgColor theme="4" tint="-0.249977111117893"/>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b val="0"/>
        <i val="0"/>
        <strike val="0"/>
        <condense val="0"/>
        <extend val="0"/>
        <outline val="0"/>
        <shadow val="0"/>
        <u val="none"/>
        <vertAlign val="baseline"/>
        <sz val="10"/>
        <color theme="1"/>
        <name val="Arial"/>
        <family val="2"/>
        <scheme val="none"/>
      </font>
      <numFmt numFmtId="35" formatCode="_-* #,##0.00_-;\-* #,##0.00_-;_-* &quot;-&quot;??_-;_-@_-"/>
      <fill>
        <patternFill patternType="solid">
          <fgColor indexed="64"/>
          <bgColor theme="2"/>
        </patternFill>
      </fill>
      <alignment horizontal="general" vertical="center" textRotation="0" wrapText="1" indent="0" justifyLastLine="0" shrinkToFit="0" readingOrder="0"/>
      <border diagonalUp="0" diagonalDown="0" outline="0">
        <left/>
        <right style="thin">
          <color theme="9"/>
        </right>
        <top style="thin">
          <color theme="9"/>
        </top>
        <bottom style="thin">
          <color theme="9"/>
        </bottom>
      </border>
      <protection locked="0" hidden="0"/>
    </dxf>
    <dxf>
      <font>
        <strike val="0"/>
        <outline val="0"/>
        <shadow val="0"/>
        <vertAlign val="baseline"/>
        <sz val="10"/>
        <name val="Arial"/>
        <family val="2"/>
        <scheme val="none"/>
      </font>
      <fill>
        <patternFill patternType="solid">
          <fgColor indexed="64"/>
          <bgColor theme="0"/>
        </patternFill>
      </fill>
      <border diagonalUp="0" diagonalDown="0" outline="0">
        <left style="thin">
          <color theme="9"/>
        </left>
        <right style="thin">
          <color theme="9"/>
        </right>
        <top style="thin">
          <color theme="9"/>
        </top>
        <bottom style="thin">
          <color theme="9"/>
        </bottom>
      </border>
    </dxf>
    <dxf>
      <font>
        <strike val="0"/>
        <outline val="0"/>
        <shadow val="0"/>
        <vertAlign val="baseline"/>
        <sz val="10"/>
        <name val="Arial"/>
        <family val="2"/>
        <scheme val="none"/>
      </font>
    </dxf>
    <dxf>
      <border>
        <bottom style="thin">
          <color theme="9"/>
        </bottom>
      </border>
    </dxf>
    <dxf>
      <font>
        <strike val="0"/>
        <outline val="0"/>
        <shadow val="0"/>
        <vertAlign val="baseline"/>
        <sz val="10"/>
        <name val="Arial"/>
        <family val="2"/>
        <scheme val="none"/>
      </font>
      <alignment horizontal="left" vertical="center" textRotation="0" wrapText="1" indent="0" justifyLastLine="0" shrinkToFit="0" readingOrder="0"/>
      <border diagonalUp="0" diagonalDown="0">
        <left style="thin">
          <color theme="9"/>
        </left>
        <right style="thin">
          <color theme="9"/>
        </right>
        <top/>
        <bottom/>
        <vertical style="thin">
          <color theme="9"/>
        </vertical>
        <horizontal style="thin">
          <color theme="9"/>
        </horizontal>
      </border>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theme="9"/>
        </left>
        <right style="thin">
          <color theme="9"/>
        </right>
        <top style="thin">
          <color theme="9"/>
        </top>
        <bottom style="thin">
          <color theme="9"/>
        </bottom>
      </border>
      <protection locked="0" hidden="0"/>
    </dxf>
    <dxf>
      <font>
        <strike val="0"/>
        <outline val="0"/>
        <shadow val="0"/>
        <u val="none"/>
        <vertAlign val="baseline"/>
        <sz val="10"/>
        <color theme="0"/>
        <name val="Arial"/>
        <family val="2"/>
        <scheme val="none"/>
      </font>
      <numFmt numFmtId="14" formatCode="0.00%"/>
      <fill>
        <patternFill patternType="solid">
          <fgColor indexed="64"/>
          <bgColor theme="4" tint="-0.249977111117893"/>
        </patternFill>
      </fill>
      <alignment horizontal="general" vertical="center" textRotation="0" indent="0" justifyLastLine="0" shrinkToFit="0" readingOrder="0"/>
      <border diagonalUp="0" diagonalDown="0" outline="0">
        <left style="thin">
          <color theme="9"/>
        </left>
        <right style="thin">
          <color theme="9"/>
        </right>
        <top style="thin">
          <color theme="9"/>
        </top>
        <bottom style="thin">
          <color theme="9"/>
        </bottom>
      </border>
    </dxf>
    <dxf>
      <font>
        <strike val="0"/>
        <outline val="0"/>
        <shadow val="0"/>
        <u val="none"/>
        <vertAlign val="baseline"/>
        <sz val="10"/>
        <color theme="0"/>
        <name val="Arial"/>
        <family val="2"/>
        <scheme val="none"/>
      </font>
      <numFmt numFmtId="2" formatCode="0.00"/>
      <fill>
        <patternFill patternType="solid">
          <fgColor indexed="64"/>
          <bgColor theme="4" tint="-0.249977111117893"/>
        </patternFill>
      </fill>
      <alignment horizontal="general" vertical="center" textRotation="0" wrapText="1" indent="0" justifyLastLine="0" shrinkToFit="0" readingOrder="0"/>
      <border diagonalUp="0" diagonalDown="0" outline="0">
        <left style="thin">
          <color theme="9"/>
        </left>
        <right style="thin">
          <color theme="9"/>
        </right>
        <top style="thin">
          <color theme="9"/>
        </top>
        <bottom style="thin">
          <color theme="9"/>
        </bottom>
      </border>
      <protection locked="0" hidden="0"/>
    </dxf>
    <dxf>
      <font>
        <strike val="0"/>
        <outline val="0"/>
        <shadow val="0"/>
        <u val="none"/>
        <vertAlign val="baseline"/>
        <sz val="10"/>
        <name val="Arial"/>
        <family val="2"/>
        <scheme val="none"/>
      </font>
      <numFmt numFmtId="2" formatCode="0.00"/>
      <fill>
        <patternFill patternType="solid">
          <fgColor indexed="64"/>
          <bgColor theme="2"/>
        </patternFill>
      </fill>
      <alignment horizontal="general" vertical="center" textRotation="0" wrapText="1" indent="0" justifyLastLine="0" shrinkToFit="0" readingOrder="0"/>
      <border diagonalUp="0" diagonalDown="0" outline="0">
        <left style="thin">
          <color theme="9"/>
        </left>
        <right style="thin">
          <color theme="9"/>
        </right>
        <top style="thin">
          <color theme="9"/>
        </top>
        <bottom style="thin">
          <color theme="9"/>
        </bottom>
      </border>
      <protection locked="0" hidden="0"/>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theme="2"/>
        </patternFill>
      </fill>
      <alignment horizontal="general" vertical="center" textRotation="0" wrapText="1" indent="0" justifyLastLine="0" shrinkToFit="0" readingOrder="0"/>
      <border diagonalUp="0" diagonalDown="0">
        <left style="thin">
          <color theme="9"/>
        </left>
        <right style="thin">
          <color theme="9"/>
        </right>
        <top style="thin">
          <color theme="9"/>
        </top>
        <bottom style="thin">
          <color theme="9"/>
        </bottom>
        <vertical style="thin">
          <color theme="9"/>
        </vertical>
        <horizontal style="thin">
          <color theme="9"/>
        </horizontal>
      </border>
      <protection locked="0" hidden="0"/>
    </dxf>
    <dxf>
      <font>
        <strike val="0"/>
        <outline val="0"/>
        <shadow val="0"/>
        <u val="none"/>
        <vertAlign val="baseline"/>
        <sz val="10"/>
        <name val="Arial"/>
        <family val="2"/>
        <scheme val="none"/>
      </font>
      <numFmt numFmtId="2" formatCode="0.00"/>
      <fill>
        <patternFill patternType="solid">
          <fgColor indexed="64"/>
          <bgColor theme="2"/>
        </patternFill>
      </fill>
      <alignment horizontal="general" vertical="center" textRotation="0" wrapText="1" indent="0" justifyLastLine="0" shrinkToFit="0" readingOrder="0"/>
      <border diagonalUp="0" diagonalDown="0">
        <left style="thin">
          <color theme="9"/>
        </left>
        <right style="thin">
          <color theme="9"/>
        </right>
        <top style="thin">
          <color theme="9"/>
        </top>
        <bottom style="thin">
          <color theme="9"/>
        </bottom>
        <vertical style="thin">
          <color theme="9"/>
        </vertical>
        <horizontal style="thin">
          <color theme="9"/>
        </horizontal>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theme="9"/>
        </left>
        <right style="thin">
          <color theme="9"/>
        </right>
        <top style="thin">
          <color theme="9"/>
        </top>
        <bottom style="thin">
          <color theme="9"/>
        </bottom>
        <vertical style="thin">
          <color theme="9"/>
        </vertical>
        <horizontal style="thin">
          <color theme="9"/>
        </horizontal>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theme="9"/>
        </left>
        <right style="thin">
          <color theme="9"/>
        </right>
        <top style="thin">
          <color theme="9"/>
        </top>
        <bottom style="thin">
          <color theme="9"/>
        </bottom>
        <vertical style="thin">
          <color theme="9"/>
        </vertical>
        <horizontal style="thin">
          <color theme="9"/>
        </horizontal>
      </border>
      <protection locked="0" hidden="0"/>
    </dxf>
    <dxf>
      <font>
        <strike val="0"/>
        <outline val="0"/>
        <shadow val="0"/>
        <u val="none"/>
        <vertAlign val="baseline"/>
        <sz val="10"/>
        <name val="Arial"/>
        <family val="2"/>
        <scheme val="none"/>
      </font>
      <alignment horizontal="general" vertical="center" textRotation="0" indent="0" justifyLastLine="0" shrinkToFit="0" readingOrder="0"/>
    </dxf>
    <dxf>
      <border>
        <bottom style="thin">
          <color theme="9"/>
        </bottom>
      </border>
    </dxf>
    <dxf>
      <font>
        <strike val="0"/>
        <outline val="0"/>
        <shadow val="0"/>
        <u val="none"/>
        <vertAlign val="baseline"/>
        <sz val="10"/>
        <color theme="1"/>
        <name val="Arial"/>
        <family val="2"/>
        <scheme val="none"/>
      </font>
      <alignment horizontal="general" vertical="center" textRotation="0" wrapText="1" indent="0" justifyLastLine="0" shrinkToFit="0" readingOrder="0"/>
      <border diagonalUp="0" diagonalDown="0">
        <left style="thin">
          <color theme="9"/>
        </left>
        <right style="thin">
          <color theme="9"/>
        </right>
        <top/>
        <bottom/>
        <vertical style="thin">
          <color theme="9"/>
        </vertical>
        <horizontal style="thin">
          <color theme="9"/>
        </horizontal>
      </border>
    </dxf>
  </dxfs>
  <tableStyles count="0" defaultTableStyle="TableStyleMedium2" defaultPivotStyle="PivotStyleLight16"/>
  <colors>
    <mruColors>
      <color rgb="FFFF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50 Year Energy Carbon Profile </a:t>
            </a:r>
          </a:p>
          <a:p>
            <a:pPr>
              <a:defRPr sz="1100"/>
            </a:pPr>
            <a:r>
              <a:rPr lang="en-US" sz="1100"/>
              <a:t>(Decarbonising Grid)</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1609507607111715E-2"/>
          <c:y val="0.22923959536841135"/>
          <c:w val="0.66036870193127606"/>
          <c:h val="0.56030599665053127"/>
        </c:manualLayout>
      </c:layout>
      <c:lineChart>
        <c:grouping val="standard"/>
        <c:varyColors val="0"/>
        <c:ser>
          <c:idx val="0"/>
          <c:order val="0"/>
          <c:tx>
            <c:strRef>
              <c:f>'5-Operational B6'!$F$21</c:f>
              <c:strCache>
                <c:ptCount val="1"/>
                <c:pt idx="0">
                  <c:v>Electricity Grid (forecast)</c:v>
                </c:pt>
              </c:strCache>
            </c:strRef>
          </c:tx>
          <c:spPr>
            <a:ln w="28575" cap="rnd">
              <a:solidFill>
                <a:schemeClr val="accent1"/>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B6'!$F$22:$F$72</c:f>
              <c:numCache>
                <c:formatCode>0.0</c:formatCode>
                <c:ptCount val="51"/>
                <c:pt idx="0">
                  <c:v>0.62076765866301442</c:v>
                </c:pt>
                <c:pt idx="1">
                  <c:v>0.5753795375734384</c:v>
                </c:pt>
                <c:pt idx="2">
                  <c:v>0.46449132616590993</c:v>
                </c:pt>
                <c:pt idx="3">
                  <c:v>0.42156118000380904</c:v>
                </c:pt>
                <c:pt idx="4">
                  <c:v>0.31496614421032859</c:v>
                </c:pt>
                <c:pt idx="5">
                  <c:v>0.24797132846087275</c:v>
                </c:pt>
                <c:pt idx="6">
                  <c:v>0.20013470077065984</c:v>
                </c:pt>
                <c:pt idx="7">
                  <c:v>0.16074877790838613</c:v>
                </c:pt>
                <c:pt idx="8">
                  <c:v>0.13628643726120762</c:v>
                </c:pt>
                <c:pt idx="9">
                  <c:v>0.13108801421812805</c:v>
                </c:pt>
                <c:pt idx="10">
                  <c:v>0.10775003566329119</c:v>
                </c:pt>
                <c:pt idx="11">
                  <c:v>0.10501882296731371</c:v>
                </c:pt>
                <c:pt idx="12">
                  <c:v>0.10987278509288442</c:v>
                </c:pt>
                <c:pt idx="13">
                  <c:v>0.10950762176560115</c:v>
                </c:pt>
                <c:pt idx="14">
                  <c:v>9.0204392168592218E-2</c:v>
                </c:pt>
                <c:pt idx="15">
                  <c:v>8.3562352559006361E-2</c:v>
                </c:pt>
                <c:pt idx="16">
                  <c:v>9.2139817986296488E-2</c:v>
                </c:pt>
                <c:pt idx="17">
                  <c:v>8.6893558512980168E-2</c:v>
                </c:pt>
                <c:pt idx="18">
                  <c:v>7.3716034975026171E-2</c:v>
                </c:pt>
                <c:pt idx="19">
                  <c:v>7.1753027061131375E-2</c:v>
                </c:pt>
                <c:pt idx="20">
                  <c:v>6.9687701712275826E-2</c:v>
                </c:pt>
                <c:pt idx="21">
                  <c:v>7.5157737165648053E-2</c:v>
                </c:pt>
                <c:pt idx="22">
                  <c:v>7.2880245983003938E-2</c:v>
                </c:pt>
                <c:pt idx="23">
                  <c:v>8.1940110530714844E-2</c:v>
                </c:pt>
                <c:pt idx="24">
                  <c:v>6.2826933562672715E-2</c:v>
                </c:pt>
                <c:pt idx="25">
                  <c:v>6.8002496845196062E-2</c:v>
                </c:pt>
                <c:pt idx="26">
                  <c:v>6.5595765406824602E-2</c:v>
                </c:pt>
                <c:pt idx="27">
                  <c:v>6.7208775779206073E-2</c:v>
                </c:pt>
                <c:pt idx="28">
                  <c:v>6.6086000719477636E-2</c:v>
                </c:pt>
                <c:pt idx="29">
                  <c:v>6.4967065320092901E-2</c:v>
                </c:pt>
                <c:pt idx="30">
                  <c:v>6.3851969581051868E-2</c:v>
                </c:pt>
                <c:pt idx="31">
                  <c:v>6.2862709448995815E-2</c:v>
                </c:pt>
                <c:pt idx="32">
                  <c:v>6.1873449316939763E-2</c:v>
                </c:pt>
                <c:pt idx="33">
                  <c:v>6.0884189184883711E-2</c:v>
                </c:pt>
                <c:pt idx="34">
                  <c:v>5.9894929052827658E-2</c:v>
                </c:pt>
                <c:pt idx="35">
                  <c:v>5.8905668920771606E-2</c:v>
                </c:pt>
                <c:pt idx="36">
                  <c:v>5.7916408788715554E-2</c:v>
                </c:pt>
                <c:pt idx="37">
                  <c:v>5.6927148656659494E-2</c:v>
                </c:pt>
                <c:pt idx="38">
                  <c:v>5.5937888524603442E-2</c:v>
                </c:pt>
                <c:pt idx="39">
                  <c:v>5.494862839254739E-2</c:v>
                </c:pt>
                <c:pt idx="40">
                  <c:v>5.3959368260491337E-2</c:v>
                </c:pt>
                <c:pt idx="41">
                  <c:v>5.2970108128435285E-2</c:v>
                </c:pt>
                <c:pt idx="42">
                  <c:v>5.1980847996379233E-2</c:v>
                </c:pt>
                <c:pt idx="43">
                  <c:v>5.099158786432318E-2</c:v>
                </c:pt>
                <c:pt idx="44">
                  <c:v>5.0002327732267128E-2</c:v>
                </c:pt>
                <c:pt idx="45">
                  <c:v>4.9013067600211076E-2</c:v>
                </c:pt>
                <c:pt idx="46">
                  <c:v>4.8023807468155023E-2</c:v>
                </c:pt>
                <c:pt idx="47">
                  <c:v>4.7034547336098964E-2</c:v>
                </c:pt>
                <c:pt idx="48">
                  <c:v>4.6045287204042905E-2</c:v>
                </c:pt>
                <c:pt idx="49">
                  <c:v>4.5056027071986852E-2</c:v>
                </c:pt>
                <c:pt idx="50">
                  <c:v>4.4066766939930786E-2</c:v>
                </c:pt>
              </c:numCache>
            </c:numRef>
          </c:val>
          <c:smooth val="0"/>
          <c:extLst>
            <c:ext xmlns:c16="http://schemas.microsoft.com/office/drawing/2014/chart" uri="{C3380CC4-5D6E-409C-BE32-E72D297353CC}">
              <c16:uniqueId val="{00000000-A9FE-45B6-9D2C-3E338CC8730F}"/>
            </c:ext>
          </c:extLst>
        </c:ser>
        <c:ser>
          <c:idx val="1"/>
          <c:order val="1"/>
          <c:tx>
            <c:strRef>
              <c:f>'5-Operational B6'!$B$87</c:f>
              <c:strCache>
                <c:ptCount val="1"/>
                <c:pt idx="0">
                  <c:v>Gasoil / Diesel</c:v>
                </c:pt>
              </c:strCache>
            </c:strRef>
          </c:tx>
          <c:spPr>
            <a:ln w="28575" cap="rnd">
              <a:solidFill>
                <a:schemeClr val="accent2"/>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B6'!$B$88:$B$138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1-A9FE-45B6-9D2C-3E338CC8730F}"/>
            </c:ext>
          </c:extLst>
        </c:ser>
        <c:ser>
          <c:idx val="2"/>
          <c:order val="2"/>
          <c:tx>
            <c:strRef>
              <c:f>'5-Operational B6'!$C$87</c:f>
              <c:strCache>
                <c:ptCount val="1"/>
                <c:pt idx="0">
                  <c:v>Residual Oil / Fuel Oil</c:v>
                </c:pt>
              </c:strCache>
            </c:strRef>
          </c:tx>
          <c:spPr>
            <a:ln w="28575" cap="rnd">
              <a:solidFill>
                <a:schemeClr val="accent3"/>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B6'!$C$88:$C$138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2-A9FE-45B6-9D2C-3E338CC8730F}"/>
            </c:ext>
          </c:extLst>
        </c:ser>
        <c:ser>
          <c:idx val="3"/>
          <c:order val="3"/>
          <c:tx>
            <c:strRef>
              <c:f>'5-Operational B6'!$D$87</c:f>
              <c:strCache>
                <c:ptCount val="1"/>
                <c:pt idx="0">
                  <c:v>LPG</c:v>
                </c:pt>
              </c:strCache>
            </c:strRef>
          </c:tx>
          <c:spPr>
            <a:ln w="28575" cap="rnd">
              <a:solidFill>
                <a:schemeClr val="accent4"/>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B6'!$D$88:$D$138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3-A9FE-45B6-9D2C-3E338CC8730F}"/>
            </c:ext>
          </c:extLst>
        </c:ser>
        <c:ser>
          <c:idx val="4"/>
          <c:order val="4"/>
          <c:tx>
            <c:strRef>
              <c:f>'5-Operational B6'!$E$87</c:f>
              <c:strCache>
                <c:ptCount val="1"/>
                <c:pt idx="0">
                  <c:v>Naphta</c:v>
                </c:pt>
              </c:strCache>
            </c:strRef>
          </c:tx>
          <c:spPr>
            <a:ln w="28575" cap="rnd">
              <a:solidFill>
                <a:schemeClr val="accent5"/>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B6'!$E$88:$E$138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4-A9FE-45B6-9D2C-3E338CC8730F}"/>
            </c:ext>
          </c:extLst>
        </c:ser>
        <c:ser>
          <c:idx val="5"/>
          <c:order val="5"/>
          <c:tx>
            <c:strRef>
              <c:f>'5-Operational B6'!$F$87</c:f>
              <c:strCache>
                <c:ptCount val="1"/>
                <c:pt idx="0">
                  <c:v>Petroleum Coke 2020</c:v>
                </c:pt>
              </c:strCache>
            </c:strRef>
          </c:tx>
          <c:spPr>
            <a:ln w="28575" cap="rnd">
              <a:solidFill>
                <a:schemeClr val="accent6"/>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B6'!$F$88:$F$138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5-A9FE-45B6-9D2C-3E338CC8730F}"/>
            </c:ext>
          </c:extLst>
        </c:ser>
        <c:ser>
          <c:idx val="6"/>
          <c:order val="6"/>
          <c:tx>
            <c:strRef>
              <c:f>'5-Operational B6'!$G$87</c:f>
              <c:strCache>
                <c:ptCount val="1"/>
                <c:pt idx="0">
                  <c:v>Coal</c:v>
                </c:pt>
              </c:strCache>
            </c:strRef>
          </c:tx>
          <c:spPr>
            <a:ln w="28575" cap="rnd">
              <a:solidFill>
                <a:schemeClr val="accent1">
                  <a:lumMod val="60000"/>
                </a:schemeClr>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B6'!$G$88:$G$138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6-A9FE-45B6-9D2C-3E338CC8730F}"/>
            </c:ext>
          </c:extLst>
        </c:ser>
        <c:ser>
          <c:idx val="7"/>
          <c:order val="7"/>
          <c:tx>
            <c:strRef>
              <c:f>'5-Operational B6'!$H$87</c:f>
              <c:strCache>
                <c:ptCount val="1"/>
                <c:pt idx="0">
                  <c:v>Milled Peat 2020</c:v>
                </c:pt>
              </c:strCache>
            </c:strRef>
          </c:tx>
          <c:spPr>
            <a:ln w="28575" cap="rnd">
              <a:solidFill>
                <a:schemeClr val="accent2">
                  <a:lumMod val="60000"/>
                </a:schemeClr>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B6'!$H$88:$H$138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7-A9FE-45B6-9D2C-3E338CC8730F}"/>
            </c:ext>
          </c:extLst>
        </c:ser>
        <c:ser>
          <c:idx val="8"/>
          <c:order val="8"/>
          <c:tx>
            <c:strRef>
              <c:f>'5-Operational B6'!$I$87</c:f>
              <c:strCache>
                <c:ptCount val="1"/>
                <c:pt idx="0">
                  <c:v>Sod Peat</c:v>
                </c:pt>
              </c:strCache>
            </c:strRef>
          </c:tx>
          <c:spPr>
            <a:ln w="28575" cap="rnd">
              <a:solidFill>
                <a:schemeClr val="accent3">
                  <a:lumMod val="60000"/>
                </a:schemeClr>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B6'!$I$88:$I$138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8-A9FE-45B6-9D2C-3E338CC8730F}"/>
            </c:ext>
          </c:extLst>
        </c:ser>
        <c:ser>
          <c:idx val="9"/>
          <c:order val="9"/>
          <c:tx>
            <c:strRef>
              <c:f>'5-Operational B6'!$J$87</c:f>
              <c:strCache>
                <c:ptCount val="1"/>
                <c:pt idx="0">
                  <c:v>Peat Briquettes</c:v>
                </c:pt>
              </c:strCache>
            </c:strRef>
          </c:tx>
          <c:spPr>
            <a:ln w="28575" cap="rnd">
              <a:solidFill>
                <a:schemeClr val="accent4">
                  <a:lumMod val="60000"/>
                </a:schemeClr>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B6'!$J$88:$J$138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9-A9FE-45B6-9D2C-3E338CC8730F}"/>
            </c:ext>
          </c:extLst>
        </c:ser>
        <c:ser>
          <c:idx val="10"/>
          <c:order val="10"/>
          <c:tx>
            <c:strRef>
              <c:f>'5-Operational B6'!$K$87</c:f>
              <c:strCache>
                <c:ptCount val="1"/>
                <c:pt idx="0">
                  <c:v>Natural Gas 2021</c:v>
                </c:pt>
              </c:strCache>
            </c:strRef>
          </c:tx>
          <c:spPr>
            <a:ln w="28575" cap="rnd">
              <a:solidFill>
                <a:schemeClr val="accent5">
                  <a:lumMod val="60000"/>
                </a:schemeClr>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B6'!$K$88:$K$138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A-A9FE-45B6-9D2C-3E338CC8730F}"/>
            </c:ext>
          </c:extLst>
        </c:ser>
        <c:ser>
          <c:idx val="11"/>
          <c:order val="11"/>
          <c:tx>
            <c:strRef>
              <c:f>'5-Operational B6'!$L$87</c:f>
              <c:strCache>
                <c:ptCount val="1"/>
                <c:pt idx="0">
                  <c:v>Wood Pellets</c:v>
                </c:pt>
              </c:strCache>
            </c:strRef>
          </c:tx>
          <c:spPr>
            <a:ln w="28575" cap="rnd">
              <a:solidFill>
                <a:schemeClr val="accent6">
                  <a:lumMod val="60000"/>
                </a:schemeClr>
              </a:solidFill>
              <a:round/>
            </a:ln>
            <a:effectLst/>
          </c:spPr>
          <c:marker>
            <c:symbol val="none"/>
          </c:marker>
          <c:val>
            <c:numRef>
              <c:f>'5-Operational B6'!$L$88:$L$138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B-A9FE-45B6-9D2C-3E338CC8730F}"/>
            </c:ext>
          </c:extLst>
        </c:ser>
        <c:dLbls>
          <c:showLegendKey val="0"/>
          <c:showVal val="0"/>
          <c:showCatName val="0"/>
          <c:showSerName val="0"/>
          <c:showPercent val="0"/>
          <c:showBubbleSize val="0"/>
        </c:dLbls>
        <c:smooth val="0"/>
        <c:axId val="248869071"/>
        <c:axId val="248871567"/>
      </c:lineChart>
      <c:catAx>
        <c:axId val="2488690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IE"/>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8871567"/>
        <c:crosses val="autoZero"/>
        <c:auto val="1"/>
        <c:lblAlgn val="ctr"/>
        <c:lblOffset val="100"/>
        <c:noMultiLvlLbl val="0"/>
      </c:catAx>
      <c:valAx>
        <c:axId val="24887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IE" sz="900"/>
                  <a:t>KgCO2e/year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8869071"/>
        <c:crosses val="autoZero"/>
        <c:crossBetween val="between"/>
      </c:valAx>
      <c:spPr>
        <a:noFill/>
        <a:ln>
          <a:noFill/>
        </a:ln>
        <a:effectLst/>
      </c:spPr>
    </c:plotArea>
    <c:legend>
      <c:legendPos val="r"/>
      <c:layout>
        <c:manualLayout>
          <c:xMode val="edge"/>
          <c:yMode val="edge"/>
          <c:x val="0.76082370480030104"/>
          <c:y val="7.6966195808438531E-3"/>
          <c:w val="0.22861107241446949"/>
          <c:h val="0.991760970205357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a:latin typeface="Arial" panose="020B0604020202020204" pitchFamily="34" charset="0"/>
                <a:cs typeface="Arial" panose="020B0604020202020204" pitchFamily="34" charset="0"/>
              </a:rPr>
              <a:t>Most impactful to manufacture (A1-3)</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3"/>
          <c:order val="3"/>
          <c:tx>
            <c:strRef>
              <c:f>Results!$N$62</c:f>
              <c:strCache>
                <c:ptCount val="1"/>
                <c:pt idx="0">
                  <c:v>kgCO2e</c:v>
                </c:pt>
              </c:strCache>
            </c:strRef>
          </c:tx>
          <c:spPr>
            <a:solidFill>
              <a:schemeClr val="accent4"/>
            </a:solidFill>
            <a:ln>
              <a:noFill/>
            </a:ln>
            <a:effectLst/>
          </c:spPr>
          <c:invertIfNegative val="0"/>
          <c:cat>
            <c:strRef>
              <c:f>Results!$J$63:$J$67</c:f>
              <c:strCache>
                <c:ptCount val="5"/>
                <c:pt idx="0">
                  <c:v>Cement - CEM II/B-S (&lt;35% GGBS)</c:v>
                </c:pt>
                <c:pt idx="1">
                  <c:v>Insulation - Cork</c:v>
                </c:pt>
                <c:pt idx="2">
                  <c:v>Concrete - In-situ, 35/45 MPa</c:v>
                </c:pt>
                <c:pt idx="3">
                  <c:v>Metals - Reinforcing steel </c:v>
                </c:pt>
                <c:pt idx="4">
                  <c:v>Metals - Steel, Section</c:v>
                </c:pt>
              </c:strCache>
            </c:strRef>
          </c:cat>
          <c:val>
            <c:numRef>
              <c:f>Results!$N$63:$N$67</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E0B6-4877-86A1-390F7C185AE2}"/>
            </c:ext>
          </c:extLst>
        </c:ser>
        <c:dLbls>
          <c:showLegendKey val="0"/>
          <c:showVal val="0"/>
          <c:showCatName val="0"/>
          <c:showSerName val="0"/>
          <c:showPercent val="0"/>
          <c:showBubbleSize val="0"/>
        </c:dLbls>
        <c:gapWidth val="182"/>
        <c:axId val="427255199"/>
        <c:axId val="542915871"/>
        <c:extLst>
          <c:ext xmlns:c15="http://schemas.microsoft.com/office/drawing/2012/chart" uri="{02D57815-91ED-43cb-92C2-25804820EDAC}">
            <c15:filteredBarSeries>
              <c15:ser>
                <c:idx val="0"/>
                <c:order val="0"/>
                <c:tx>
                  <c:strRef>
                    <c:extLst>
                      <c:ext uri="{02D57815-91ED-43cb-92C2-25804820EDAC}">
                        <c15:formulaRef>
                          <c15:sqref>Results!$K$62</c15:sqref>
                        </c15:formulaRef>
                      </c:ext>
                    </c:extLst>
                    <c:strCache>
                      <c:ptCount val="1"/>
                    </c:strCache>
                  </c:strRef>
                </c:tx>
                <c:spPr>
                  <a:solidFill>
                    <a:schemeClr val="accent1"/>
                  </a:solidFill>
                  <a:ln>
                    <a:noFill/>
                  </a:ln>
                  <a:effectLst/>
                </c:spPr>
                <c:invertIfNegative val="0"/>
                <c:cat>
                  <c:strRef>
                    <c:extLst>
                      <c:ext uri="{02D57815-91ED-43cb-92C2-25804820EDAC}">
                        <c15:formulaRef>
                          <c15:sqref>Results!$J$63:$J$67</c15:sqref>
                        </c15:formulaRef>
                      </c:ext>
                    </c:extLst>
                    <c:strCache>
                      <c:ptCount val="5"/>
                      <c:pt idx="0">
                        <c:v>Cement - CEM II/B-S (&lt;35% GGBS)</c:v>
                      </c:pt>
                      <c:pt idx="1">
                        <c:v>Insulation - Cork</c:v>
                      </c:pt>
                      <c:pt idx="2">
                        <c:v>Concrete - In-situ, 35/45 MPa</c:v>
                      </c:pt>
                      <c:pt idx="3">
                        <c:v>Metals - Reinforcing steel </c:v>
                      </c:pt>
                      <c:pt idx="4">
                        <c:v>Metals - Steel, Section</c:v>
                      </c:pt>
                    </c:strCache>
                  </c:strRef>
                </c:cat>
                <c:val>
                  <c:numRef>
                    <c:extLst>
                      <c:ext uri="{02D57815-91ED-43cb-92C2-25804820EDAC}">
                        <c15:formulaRef>
                          <c15:sqref>Results!$K$63:$K$67</c15:sqref>
                        </c15:formulaRef>
                      </c:ext>
                    </c:extLst>
                    <c:numCache>
                      <c:formatCode>General</c:formatCode>
                      <c:ptCount val="5"/>
                    </c:numCache>
                  </c:numRef>
                </c:val>
                <c:extLst>
                  <c:ext xmlns:c16="http://schemas.microsoft.com/office/drawing/2014/chart" uri="{C3380CC4-5D6E-409C-BE32-E72D297353CC}">
                    <c16:uniqueId val="{00000001-E0B6-4877-86A1-390F7C185AE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Results!$L$62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Results!$J$63:$J$67</c15:sqref>
                        </c15:formulaRef>
                      </c:ext>
                    </c:extLst>
                    <c:strCache>
                      <c:ptCount val="5"/>
                      <c:pt idx="0">
                        <c:v>Cement - CEM II/B-S (&lt;35% GGBS)</c:v>
                      </c:pt>
                      <c:pt idx="1">
                        <c:v>Insulation - Cork</c:v>
                      </c:pt>
                      <c:pt idx="2">
                        <c:v>Concrete - In-situ, 35/45 MPa</c:v>
                      </c:pt>
                      <c:pt idx="3">
                        <c:v>Metals - Reinforcing steel </c:v>
                      </c:pt>
                      <c:pt idx="4">
                        <c:v>Metals - Steel, Section</c:v>
                      </c:pt>
                    </c:strCache>
                  </c:strRef>
                </c:cat>
                <c:val>
                  <c:numRef>
                    <c:extLst xmlns:c15="http://schemas.microsoft.com/office/drawing/2012/chart">
                      <c:ext xmlns:c15="http://schemas.microsoft.com/office/drawing/2012/chart" uri="{02D57815-91ED-43cb-92C2-25804820EDAC}">
                        <c15:formulaRef>
                          <c15:sqref>Results!$L$63:$L$67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2-E0B6-4877-86A1-390F7C185AE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Results!$M$62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Results!$J$63:$J$67</c15:sqref>
                        </c15:formulaRef>
                      </c:ext>
                    </c:extLst>
                    <c:strCache>
                      <c:ptCount val="5"/>
                      <c:pt idx="0">
                        <c:v>Cement - CEM II/B-S (&lt;35% GGBS)</c:v>
                      </c:pt>
                      <c:pt idx="1">
                        <c:v>Insulation - Cork</c:v>
                      </c:pt>
                      <c:pt idx="2">
                        <c:v>Concrete - In-situ, 35/45 MPa</c:v>
                      </c:pt>
                      <c:pt idx="3">
                        <c:v>Metals - Reinforcing steel </c:v>
                      </c:pt>
                      <c:pt idx="4">
                        <c:v>Metals - Steel, Section</c:v>
                      </c:pt>
                    </c:strCache>
                  </c:strRef>
                </c:cat>
                <c:val>
                  <c:numRef>
                    <c:extLst xmlns:c15="http://schemas.microsoft.com/office/drawing/2012/chart">
                      <c:ext xmlns:c15="http://schemas.microsoft.com/office/drawing/2012/chart" uri="{02D57815-91ED-43cb-92C2-25804820EDAC}">
                        <c15:formulaRef>
                          <c15:sqref>Results!$M$63:$M$67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E0B6-4877-86A1-390F7C185AE2}"/>
                  </c:ext>
                </c:extLst>
              </c15:ser>
            </c15:filteredBarSeries>
          </c:ext>
        </c:extLst>
      </c:barChart>
      <c:catAx>
        <c:axId val="4272551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42915871"/>
        <c:crosses val="autoZero"/>
        <c:auto val="1"/>
        <c:lblAlgn val="ctr"/>
        <c:lblOffset val="100"/>
        <c:noMultiLvlLbl val="0"/>
      </c:catAx>
      <c:valAx>
        <c:axId val="5429158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E"/>
                  <a:t>KgCO2e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72551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IE" sz="1100"/>
              <a:t>Lifetime Emissions by Stage Only</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F0C-4746-BC05-3CE1A88AEFC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F0C-4746-BC05-3CE1A88AEFC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F0C-4746-BC05-3CE1A88AEFC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F0C-4746-BC05-3CE1A88AEFC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F0C-4746-BC05-3CE1A88AEFC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F0C-4746-BC05-3CE1A88AEFC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F0C-4746-BC05-3CE1A88AEFC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F0C-4746-BC05-3CE1A88AEFC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F0C-4746-BC05-3CE1A88AEFC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0F0C-4746-BC05-3CE1A88AEFC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F0C-4746-BC05-3CE1A88AEFC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Results!$AR$6:$AR$19</c15:sqref>
                  </c15:fullRef>
                </c:ext>
              </c:extLst>
              <c:f>(Results!$AR$6:$AR$9,Results!$AR$12,Results!$AR$14:$AR$19)</c:f>
              <c:strCache>
                <c:ptCount val="11"/>
                <c:pt idx="0">
                  <c:v>A1 - A3 Manufacture</c:v>
                </c:pt>
                <c:pt idx="1">
                  <c:v>A4 Transport</c:v>
                </c:pt>
                <c:pt idx="2">
                  <c:v>A5 Construction</c:v>
                </c:pt>
                <c:pt idx="3">
                  <c:v>B1 Use</c:v>
                </c:pt>
                <c:pt idx="4">
                  <c:v>B4 Replacements</c:v>
                </c:pt>
                <c:pt idx="5">
                  <c:v>B6 Operational Energy</c:v>
                </c:pt>
                <c:pt idx="6">
                  <c:v>B7 Water</c:v>
                </c:pt>
                <c:pt idx="7">
                  <c:v>C1 Deconstruction</c:v>
                </c:pt>
                <c:pt idx="8">
                  <c:v>C2 Transport </c:v>
                </c:pt>
                <c:pt idx="9">
                  <c:v>C3 Recycle/Re-use</c:v>
                </c:pt>
                <c:pt idx="10">
                  <c:v>C4 Landfill / Incineration</c:v>
                </c:pt>
              </c:strCache>
            </c:strRef>
          </c:cat>
          <c:val>
            <c:numRef>
              <c:extLst>
                <c:ext xmlns:c15="http://schemas.microsoft.com/office/drawing/2012/chart" uri="{02D57815-91ED-43cb-92C2-25804820EDAC}">
                  <c15:fullRef>
                    <c15:sqref>Results!$AS$6:$AS$19</c15:sqref>
                  </c15:fullRef>
                </c:ext>
              </c:extLst>
              <c:f>(Results!$AS$6:$AS$9,Results!$AS$12,Results!$AS$14:$AS$19)</c:f>
              <c:numCache>
                <c:formatCode>_-* #,##0.0_-;\-* #,##0.0_-;_-* "-"??_-;_-@_-</c:formatCode>
                <c:ptCount val="11"/>
                <c:pt idx="0">
                  <c:v>0</c:v>
                </c:pt>
                <c:pt idx="1">
                  <c:v>0</c:v>
                </c:pt>
                <c:pt idx="2">
                  <c:v>0</c:v>
                </c:pt>
                <c:pt idx="3">
                  <c:v>0</c:v>
                </c:pt>
                <c:pt idx="4">
                  <c:v>0</c:v>
                </c:pt>
                <c:pt idx="5">
                  <c:v>5.9872463535433768E-3</c:v>
                </c:pt>
                <c:pt idx="6">
                  <c:v>0</c:v>
                </c:pt>
                <c:pt idx="7">
                  <c:v>0.10879999999999999</c:v>
                </c:pt>
                <c:pt idx="8">
                  <c:v>0</c:v>
                </c:pt>
                <c:pt idx="9">
                  <c:v>0</c:v>
                </c:pt>
                <c:pt idx="10">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6-0F0C-4746-BC05-3CE1A88AEFC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6808130247139474"/>
          <c:y val="0.24400130439494103"/>
          <c:w val="0.27162831733062343"/>
          <c:h val="0.560213238904660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50 Year Energy Profile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28337348235362E-2"/>
          <c:y val="0.22923959536841135"/>
          <c:w val="0.86639095176366776"/>
          <c:h val="0.56030599665053127"/>
        </c:manualLayout>
      </c:layout>
      <c:lineChart>
        <c:grouping val="standard"/>
        <c:varyColors val="0"/>
        <c:ser>
          <c:idx val="0"/>
          <c:order val="0"/>
          <c:tx>
            <c:strRef>
              <c:f>'5-Operational B6'!$F$21</c:f>
              <c:strCache>
                <c:ptCount val="1"/>
                <c:pt idx="0">
                  <c:v>Electricity Grid (forecast)</c:v>
                </c:pt>
              </c:strCache>
            </c:strRef>
          </c:tx>
          <c:spPr>
            <a:ln w="28575" cap="rnd">
              <a:solidFill>
                <a:schemeClr val="accent1"/>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B6'!$F$22:$F$72</c:f>
              <c:numCache>
                <c:formatCode>0.0</c:formatCode>
                <c:ptCount val="51"/>
                <c:pt idx="0">
                  <c:v>0.62076765866301442</c:v>
                </c:pt>
                <c:pt idx="1">
                  <c:v>0.5753795375734384</c:v>
                </c:pt>
                <c:pt idx="2">
                  <c:v>0.46449132616590993</c:v>
                </c:pt>
                <c:pt idx="3">
                  <c:v>0.42156118000380904</c:v>
                </c:pt>
                <c:pt idx="4">
                  <c:v>0.31496614421032859</c:v>
                </c:pt>
                <c:pt idx="5">
                  <c:v>0.24797132846087275</c:v>
                </c:pt>
                <c:pt idx="6">
                  <c:v>0.20013470077065984</c:v>
                </c:pt>
                <c:pt idx="7">
                  <c:v>0.16074877790838613</c:v>
                </c:pt>
                <c:pt idx="8">
                  <c:v>0.13628643726120762</c:v>
                </c:pt>
                <c:pt idx="9">
                  <c:v>0.13108801421812805</c:v>
                </c:pt>
                <c:pt idx="10">
                  <c:v>0.10775003566329119</c:v>
                </c:pt>
                <c:pt idx="11">
                  <c:v>0.10501882296731371</c:v>
                </c:pt>
                <c:pt idx="12">
                  <c:v>0.10987278509288442</c:v>
                </c:pt>
                <c:pt idx="13">
                  <c:v>0.10950762176560115</c:v>
                </c:pt>
                <c:pt idx="14">
                  <c:v>9.0204392168592218E-2</c:v>
                </c:pt>
                <c:pt idx="15">
                  <c:v>8.3562352559006361E-2</c:v>
                </c:pt>
                <c:pt idx="16">
                  <c:v>9.2139817986296488E-2</c:v>
                </c:pt>
                <c:pt idx="17">
                  <c:v>8.6893558512980168E-2</c:v>
                </c:pt>
                <c:pt idx="18">
                  <c:v>7.3716034975026171E-2</c:v>
                </c:pt>
                <c:pt idx="19">
                  <c:v>7.1753027061131375E-2</c:v>
                </c:pt>
                <c:pt idx="20">
                  <c:v>6.9687701712275826E-2</c:v>
                </c:pt>
                <c:pt idx="21">
                  <c:v>7.5157737165648053E-2</c:v>
                </c:pt>
                <c:pt idx="22">
                  <c:v>7.2880245983003938E-2</c:v>
                </c:pt>
                <c:pt idx="23">
                  <c:v>8.1940110530714844E-2</c:v>
                </c:pt>
                <c:pt idx="24">
                  <c:v>6.2826933562672715E-2</c:v>
                </c:pt>
                <c:pt idx="25">
                  <c:v>6.8002496845196062E-2</c:v>
                </c:pt>
                <c:pt idx="26">
                  <c:v>6.5595765406824602E-2</c:v>
                </c:pt>
                <c:pt idx="27">
                  <c:v>6.7208775779206073E-2</c:v>
                </c:pt>
                <c:pt idx="28">
                  <c:v>6.6086000719477636E-2</c:v>
                </c:pt>
                <c:pt idx="29">
                  <c:v>6.4967065320092901E-2</c:v>
                </c:pt>
                <c:pt idx="30">
                  <c:v>6.3851969581051868E-2</c:v>
                </c:pt>
                <c:pt idx="31">
                  <c:v>6.2862709448995815E-2</c:v>
                </c:pt>
                <c:pt idx="32">
                  <c:v>6.1873449316939763E-2</c:v>
                </c:pt>
                <c:pt idx="33">
                  <c:v>6.0884189184883711E-2</c:v>
                </c:pt>
                <c:pt idx="34">
                  <c:v>5.9894929052827658E-2</c:v>
                </c:pt>
                <c:pt idx="35">
                  <c:v>5.8905668920771606E-2</c:v>
                </c:pt>
                <c:pt idx="36">
                  <c:v>5.7916408788715554E-2</c:v>
                </c:pt>
                <c:pt idx="37">
                  <c:v>5.6927148656659494E-2</c:v>
                </c:pt>
                <c:pt idx="38">
                  <c:v>5.5937888524603442E-2</c:v>
                </c:pt>
                <c:pt idx="39">
                  <c:v>5.494862839254739E-2</c:v>
                </c:pt>
                <c:pt idx="40">
                  <c:v>5.3959368260491337E-2</c:v>
                </c:pt>
                <c:pt idx="41">
                  <c:v>5.2970108128435285E-2</c:v>
                </c:pt>
                <c:pt idx="42">
                  <c:v>5.1980847996379233E-2</c:v>
                </c:pt>
                <c:pt idx="43">
                  <c:v>5.099158786432318E-2</c:v>
                </c:pt>
                <c:pt idx="44">
                  <c:v>5.0002327732267128E-2</c:v>
                </c:pt>
                <c:pt idx="45">
                  <c:v>4.9013067600211076E-2</c:v>
                </c:pt>
                <c:pt idx="46">
                  <c:v>4.8023807468155023E-2</c:v>
                </c:pt>
                <c:pt idx="47">
                  <c:v>4.7034547336098964E-2</c:v>
                </c:pt>
                <c:pt idx="48">
                  <c:v>4.6045287204042905E-2</c:v>
                </c:pt>
                <c:pt idx="49">
                  <c:v>4.5056027071986852E-2</c:v>
                </c:pt>
                <c:pt idx="50">
                  <c:v>4.4066766939930786E-2</c:v>
                </c:pt>
              </c:numCache>
            </c:numRef>
          </c:val>
          <c:smooth val="0"/>
          <c:extLst>
            <c:ext xmlns:c16="http://schemas.microsoft.com/office/drawing/2014/chart" uri="{C3380CC4-5D6E-409C-BE32-E72D297353CC}">
              <c16:uniqueId val="{00000000-0D85-476A-9A43-FD491FD3E33E}"/>
            </c:ext>
          </c:extLst>
        </c:ser>
        <c:ser>
          <c:idx val="1"/>
          <c:order val="1"/>
          <c:tx>
            <c:strRef>
              <c:f>'5-Operational B6'!$B$87</c:f>
              <c:strCache>
                <c:ptCount val="1"/>
                <c:pt idx="0">
                  <c:v>Gasoil / Diesel</c:v>
                </c:pt>
              </c:strCache>
            </c:strRef>
          </c:tx>
          <c:spPr>
            <a:ln w="28575" cap="rnd">
              <a:solidFill>
                <a:schemeClr val="accent2"/>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B6'!$B$88:$B$138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1-0D85-476A-9A43-FD491FD3E33E}"/>
            </c:ext>
          </c:extLst>
        </c:ser>
        <c:ser>
          <c:idx val="2"/>
          <c:order val="2"/>
          <c:tx>
            <c:strRef>
              <c:f>'5-Operational B6'!$C$87</c:f>
              <c:strCache>
                <c:ptCount val="1"/>
                <c:pt idx="0">
                  <c:v>Residual Oil / Fuel Oil</c:v>
                </c:pt>
              </c:strCache>
            </c:strRef>
          </c:tx>
          <c:spPr>
            <a:ln w="28575" cap="rnd">
              <a:solidFill>
                <a:schemeClr val="accent3"/>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B6'!$C$88:$C$138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2-0D85-476A-9A43-FD491FD3E33E}"/>
            </c:ext>
          </c:extLst>
        </c:ser>
        <c:ser>
          <c:idx val="3"/>
          <c:order val="3"/>
          <c:tx>
            <c:strRef>
              <c:f>'5-Operational B6'!$D$87</c:f>
              <c:strCache>
                <c:ptCount val="1"/>
                <c:pt idx="0">
                  <c:v>LPG</c:v>
                </c:pt>
              </c:strCache>
            </c:strRef>
          </c:tx>
          <c:spPr>
            <a:ln w="28575" cap="rnd">
              <a:solidFill>
                <a:schemeClr val="accent4"/>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B6'!$D$88:$D$138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3-0D85-476A-9A43-FD491FD3E33E}"/>
            </c:ext>
          </c:extLst>
        </c:ser>
        <c:ser>
          <c:idx val="4"/>
          <c:order val="4"/>
          <c:tx>
            <c:strRef>
              <c:f>'5-Operational B6'!$E$87</c:f>
              <c:strCache>
                <c:ptCount val="1"/>
                <c:pt idx="0">
                  <c:v>Naphta</c:v>
                </c:pt>
              </c:strCache>
            </c:strRef>
          </c:tx>
          <c:spPr>
            <a:ln w="28575" cap="rnd">
              <a:solidFill>
                <a:schemeClr val="accent5"/>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B6'!$E$88:$E$138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4-0D85-476A-9A43-FD491FD3E33E}"/>
            </c:ext>
          </c:extLst>
        </c:ser>
        <c:ser>
          <c:idx val="5"/>
          <c:order val="5"/>
          <c:tx>
            <c:strRef>
              <c:f>'5-Operational B6'!$F$87</c:f>
              <c:strCache>
                <c:ptCount val="1"/>
                <c:pt idx="0">
                  <c:v>Petroleum Coke 2020</c:v>
                </c:pt>
              </c:strCache>
            </c:strRef>
          </c:tx>
          <c:spPr>
            <a:ln w="28575" cap="rnd">
              <a:solidFill>
                <a:schemeClr val="accent6"/>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B6'!$F$88:$F$138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5-0D85-476A-9A43-FD491FD3E33E}"/>
            </c:ext>
          </c:extLst>
        </c:ser>
        <c:ser>
          <c:idx val="6"/>
          <c:order val="6"/>
          <c:tx>
            <c:strRef>
              <c:f>'5-Operational B6'!$G$87</c:f>
              <c:strCache>
                <c:ptCount val="1"/>
                <c:pt idx="0">
                  <c:v>Coal</c:v>
                </c:pt>
              </c:strCache>
            </c:strRef>
          </c:tx>
          <c:spPr>
            <a:ln w="28575" cap="rnd">
              <a:solidFill>
                <a:schemeClr val="accent1">
                  <a:lumMod val="60000"/>
                </a:schemeClr>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B6'!$G$88:$G$138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6-0D85-476A-9A43-FD491FD3E33E}"/>
            </c:ext>
          </c:extLst>
        </c:ser>
        <c:ser>
          <c:idx val="7"/>
          <c:order val="7"/>
          <c:tx>
            <c:strRef>
              <c:f>'5-Operational B6'!$H$87</c:f>
              <c:strCache>
                <c:ptCount val="1"/>
                <c:pt idx="0">
                  <c:v>Milled Peat 2020</c:v>
                </c:pt>
              </c:strCache>
            </c:strRef>
          </c:tx>
          <c:spPr>
            <a:ln w="28575" cap="rnd">
              <a:solidFill>
                <a:schemeClr val="accent2">
                  <a:lumMod val="60000"/>
                </a:schemeClr>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B6'!$H$88:$H$138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7-0D85-476A-9A43-FD491FD3E33E}"/>
            </c:ext>
          </c:extLst>
        </c:ser>
        <c:ser>
          <c:idx val="8"/>
          <c:order val="8"/>
          <c:tx>
            <c:strRef>
              <c:f>'5-Operational B6'!$I$87</c:f>
              <c:strCache>
                <c:ptCount val="1"/>
                <c:pt idx="0">
                  <c:v>Sod Peat</c:v>
                </c:pt>
              </c:strCache>
            </c:strRef>
          </c:tx>
          <c:spPr>
            <a:ln w="28575" cap="rnd">
              <a:solidFill>
                <a:schemeClr val="accent3">
                  <a:lumMod val="60000"/>
                </a:schemeClr>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B6'!$I$88:$I$138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8-0D85-476A-9A43-FD491FD3E33E}"/>
            </c:ext>
          </c:extLst>
        </c:ser>
        <c:ser>
          <c:idx val="9"/>
          <c:order val="9"/>
          <c:tx>
            <c:strRef>
              <c:f>'5-Operational B6'!$J$87</c:f>
              <c:strCache>
                <c:ptCount val="1"/>
                <c:pt idx="0">
                  <c:v>Peat Briquettes</c:v>
                </c:pt>
              </c:strCache>
            </c:strRef>
          </c:tx>
          <c:spPr>
            <a:ln w="28575" cap="rnd">
              <a:solidFill>
                <a:schemeClr val="accent4">
                  <a:lumMod val="60000"/>
                </a:schemeClr>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B6'!$J$88:$J$138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9-0D85-476A-9A43-FD491FD3E33E}"/>
            </c:ext>
          </c:extLst>
        </c:ser>
        <c:ser>
          <c:idx val="10"/>
          <c:order val="10"/>
          <c:tx>
            <c:strRef>
              <c:f>'5-Operational B6'!$K$87</c:f>
              <c:strCache>
                <c:ptCount val="1"/>
                <c:pt idx="0">
                  <c:v>Natural Gas 2021</c:v>
                </c:pt>
              </c:strCache>
            </c:strRef>
          </c:tx>
          <c:spPr>
            <a:ln w="28575" cap="rnd">
              <a:solidFill>
                <a:schemeClr val="accent5">
                  <a:lumMod val="60000"/>
                </a:schemeClr>
              </a:solidFill>
              <a:round/>
            </a:ln>
            <a:effectLst/>
          </c:spPr>
          <c:marker>
            <c:symbol val="none"/>
          </c:marker>
          <c:cat>
            <c:numRef>
              <c:f>'5-Operational B6'!$A$22:$A$72</c:f>
              <c:numCache>
                <c:formatCode>General</c:formatCode>
                <c:ptCount val="5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numCache>
            </c:numRef>
          </c:cat>
          <c:val>
            <c:numRef>
              <c:f>'5-Operational B6'!$K$88:$K$138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A-0D85-476A-9A43-FD491FD3E33E}"/>
            </c:ext>
          </c:extLst>
        </c:ser>
        <c:ser>
          <c:idx val="11"/>
          <c:order val="11"/>
          <c:tx>
            <c:strRef>
              <c:f>'5-Operational B6'!$L$87</c:f>
              <c:strCache>
                <c:ptCount val="1"/>
                <c:pt idx="0">
                  <c:v>Wood Pellets</c:v>
                </c:pt>
              </c:strCache>
            </c:strRef>
          </c:tx>
          <c:spPr>
            <a:ln w="28575" cap="rnd">
              <a:solidFill>
                <a:schemeClr val="accent6">
                  <a:lumMod val="60000"/>
                </a:schemeClr>
              </a:solidFill>
              <a:round/>
            </a:ln>
            <a:effectLst/>
          </c:spPr>
          <c:marker>
            <c:symbol val="none"/>
          </c:marker>
          <c:val>
            <c:numRef>
              <c:f>'5-Operational B6'!$L$88:$L$138</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B-0D85-476A-9A43-FD491FD3E33E}"/>
            </c:ext>
          </c:extLst>
        </c:ser>
        <c:dLbls>
          <c:showLegendKey val="0"/>
          <c:showVal val="0"/>
          <c:showCatName val="0"/>
          <c:showSerName val="0"/>
          <c:showPercent val="0"/>
          <c:showBubbleSize val="0"/>
        </c:dLbls>
        <c:smooth val="0"/>
        <c:axId val="248869071"/>
        <c:axId val="248871567"/>
      </c:lineChart>
      <c:catAx>
        <c:axId val="2488690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E"/>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8871567"/>
        <c:crosses val="autoZero"/>
        <c:auto val="1"/>
        <c:lblAlgn val="ctr"/>
        <c:lblOffset val="100"/>
        <c:noMultiLvlLbl val="0"/>
      </c:catAx>
      <c:valAx>
        <c:axId val="24887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E"/>
                  <a:t>KgCO2e/year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8869071"/>
        <c:crosses val="autoZero"/>
        <c:crossBetween val="between"/>
      </c:valAx>
      <c:spPr>
        <a:noFill/>
        <a:ln>
          <a:noFill/>
        </a:ln>
        <a:effectLst/>
      </c:spPr>
    </c:plotArea>
    <c:legend>
      <c:legendPos val="b"/>
      <c:layout>
        <c:manualLayout>
          <c:xMode val="edge"/>
          <c:yMode val="edge"/>
          <c:x val="0.15384713506074085"/>
          <c:y val="8.3906073239606596E-2"/>
          <c:w val="0.84615286493925912"/>
          <c:h val="0.13604784215992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&amp; potable water consumption split by m</a:t>
            </a:r>
            <a:r>
              <a:rPr lang="en-US" baseline="30000"/>
              <a:t>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2305446194225723"/>
          <c:y val="0.17171296296296296"/>
          <c:w val="0.61790398075240593"/>
          <c:h val="0.52896507728200637"/>
        </c:manualLayout>
      </c:layout>
      <c:barChart>
        <c:barDir val="bar"/>
        <c:grouping val="stacked"/>
        <c:varyColors val="0"/>
        <c:ser>
          <c:idx val="0"/>
          <c:order val="0"/>
          <c:tx>
            <c:strRef>
              <c:f>'6-Water B7'!$M$24</c:f>
              <c:strCache>
                <c:ptCount val="1"/>
                <c:pt idx="0">
                  <c:v>Toilets</c:v>
                </c:pt>
              </c:strCache>
            </c:strRef>
          </c:tx>
          <c:spPr>
            <a:solidFill>
              <a:srgbClr val="002060"/>
            </a:solidFill>
            <a:ln>
              <a:solidFill>
                <a:schemeClr val="tx1"/>
              </a:solidFill>
            </a:ln>
            <a:effectLst/>
          </c:spPr>
          <c:invertIfNegative val="0"/>
          <c:cat>
            <c:strRef>
              <c:f>'6-Water B7'!$N$23:$O$23</c:f>
              <c:strCache>
                <c:ptCount val="2"/>
                <c:pt idx="0">
                  <c:v>Total water consumed m3/o/a</c:v>
                </c:pt>
                <c:pt idx="1">
                  <c:v>Potable water consumed m3/o/a</c:v>
                </c:pt>
              </c:strCache>
            </c:strRef>
          </c:cat>
          <c:val>
            <c:numRef>
              <c:f>'6-Water B7'!$N$24:$O$24</c:f>
              <c:numCache>
                <c:formatCode>0.00</c:formatCode>
                <c:ptCount val="2"/>
                <c:pt idx="0">
                  <c:v>0</c:v>
                </c:pt>
                <c:pt idx="1">
                  <c:v>0</c:v>
                </c:pt>
              </c:numCache>
            </c:numRef>
          </c:val>
          <c:extLst>
            <c:ext xmlns:c16="http://schemas.microsoft.com/office/drawing/2014/chart" uri="{C3380CC4-5D6E-409C-BE32-E72D297353CC}">
              <c16:uniqueId val="{00000000-1055-45CC-9AAA-2B6E4743AE9A}"/>
            </c:ext>
          </c:extLst>
        </c:ser>
        <c:ser>
          <c:idx val="1"/>
          <c:order val="1"/>
          <c:tx>
            <c:strRef>
              <c:f>'6-Water B7'!$M$25</c:f>
              <c:strCache>
                <c:ptCount val="1"/>
                <c:pt idx="0">
                  <c:v>Bathroom taps</c:v>
                </c:pt>
              </c:strCache>
            </c:strRef>
          </c:tx>
          <c:spPr>
            <a:solidFill>
              <a:srgbClr val="00B0F0"/>
            </a:solidFill>
            <a:ln>
              <a:solidFill>
                <a:schemeClr val="tx1"/>
              </a:solidFill>
            </a:ln>
            <a:effectLst/>
          </c:spPr>
          <c:invertIfNegative val="0"/>
          <c:cat>
            <c:strRef>
              <c:f>'6-Water B7'!$N$23:$O$23</c:f>
              <c:strCache>
                <c:ptCount val="2"/>
                <c:pt idx="0">
                  <c:v>Total water consumed m3/o/a</c:v>
                </c:pt>
                <c:pt idx="1">
                  <c:v>Potable water consumed m3/o/a</c:v>
                </c:pt>
              </c:strCache>
            </c:strRef>
          </c:cat>
          <c:val>
            <c:numRef>
              <c:f>'6-Water B7'!$N$25:$O$25</c:f>
              <c:numCache>
                <c:formatCode>0.00</c:formatCode>
                <c:ptCount val="2"/>
                <c:pt idx="0">
                  <c:v>0</c:v>
                </c:pt>
                <c:pt idx="1">
                  <c:v>0</c:v>
                </c:pt>
              </c:numCache>
            </c:numRef>
          </c:val>
          <c:extLst>
            <c:ext xmlns:c16="http://schemas.microsoft.com/office/drawing/2014/chart" uri="{C3380CC4-5D6E-409C-BE32-E72D297353CC}">
              <c16:uniqueId val="{00000001-1055-45CC-9AAA-2B6E4743AE9A}"/>
            </c:ext>
          </c:extLst>
        </c:ser>
        <c:ser>
          <c:idx val="2"/>
          <c:order val="2"/>
          <c:tx>
            <c:strRef>
              <c:f>'6-Water B7'!$M$26</c:f>
              <c:strCache>
                <c:ptCount val="1"/>
                <c:pt idx="0">
                  <c:v>Showers</c:v>
                </c:pt>
              </c:strCache>
            </c:strRef>
          </c:tx>
          <c:spPr>
            <a:solidFill>
              <a:schemeClr val="accent1">
                <a:lumMod val="60000"/>
                <a:lumOff val="40000"/>
              </a:schemeClr>
            </a:solidFill>
            <a:ln>
              <a:solidFill>
                <a:schemeClr val="tx1"/>
              </a:solidFill>
            </a:ln>
            <a:effectLst/>
          </c:spPr>
          <c:invertIfNegative val="0"/>
          <c:cat>
            <c:strRef>
              <c:f>'6-Water B7'!$N$23:$O$23</c:f>
              <c:strCache>
                <c:ptCount val="2"/>
                <c:pt idx="0">
                  <c:v>Total water consumed m3/o/a</c:v>
                </c:pt>
                <c:pt idx="1">
                  <c:v>Potable water consumed m3/o/a</c:v>
                </c:pt>
              </c:strCache>
            </c:strRef>
          </c:cat>
          <c:val>
            <c:numRef>
              <c:f>'6-Water B7'!$N$26:$O$26</c:f>
              <c:numCache>
                <c:formatCode>0.00</c:formatCode>
                <c:ptCount val="2"/>
                <c:pt idx="0">
                  <c:v>0</c:v>
                </c:pt>
                <c:pt idx="1">
                  <c:v>0</c:v>
                </c:pt>
              </c:numCache>
            </c:numRef>
          </c:val>
          <c:extLst>
            <c:ext xmlns:c16="http://schemas.microsoft.com/office/drawing/2014/chart" uri="{C3380CC4-5D6E-409C-BE32-E72D297353CC}">
              <c16:uniqueId val="{00000002-1055-45CC-9AAA-2B6E4743AE9A}"/>
            </c:ext>
          </c:extLst>
        </c:ser>
        <c:ser>
          <c:idx val="3"/>
          <c:order val="3"/>
          <c:tx>
            <c:strRef>
              <c:f>'6-Water B7'!$M$27</c:f>
              <c:strCache>
                <c:ptCount val="1"/>
                <c:pt idx="0">
                  <c:v>Bath-tub</c:v>
                </c:pt>
              </c:strCache>
            </c:strRef>
          </c:tx>
          <c:spPr>
            <a:solidFill>
              <a:schemeClr val="accent1">
                <a:lumMod val="40000"/>
                <a:lumOff val="60000"/>
              </a:schemeClr>
            </a:solidFill>
            <a:ln>
              <a:solidFill>
                <a:schemeClr val="tx1"/>
              </a:solidFill>
            </a:ln>
            <a:effectLst/>
          </c:spPr>
          <c:invertIfNegative val="0"/>
          <c:cat>
            <c:strRef>
              <c:f>'6-Water B7'!$N$23:$O$23</c:f>
              <c:strCache>
                <c:ptCount val="2"/>
                <c:pt idx="0">
                  <c:v>Total water consumed m3/o/a</c:v>
                </c:pt>
                <c:pt idx="1">
                  <c:v>Potable water consumed m3/o/a</c:v>
                </c:pt>
              </c:strCache>
            </c:strRef>
          </c:cat>
          <c:val>
            <c:numRef>
              <c:f>'6-Water B7'!$N$27:$O$27</c:f>
              <c:numCache>
                <c:formatCode>0.00</c:formatCode>
                <c:ptCount val="2"/>
                <c:pt idx="0">
                  <c:v>0</c:v>
                </c:pt>
                <c:pt idx="1">
                  <c:v>0</c:v>
                </c:pt>
              </c:numCache>
            </c:numRef>
          </c:val>
          <c:extLst>
            <c:ext xmlns:c16="http://schemas.microsoft.com/office/drawing/2014/chart" uri="{C3380CC4-5D6E-409C-BE32-E72D297353CC}">
              <c16:uniqueId val="{00000003-1055-45CC-9AAA-2B6E4743AE9A}"/>
            </c:ext>
          </c:extLst>
        </c:ser>
        <c:ser>
          <c:idx val="4"/>
          <c:order val="4"/>
          <c:tx>
            <c:strRef>
              <c:f>'6-Water B7'!$M$28</c:f>
              <c:strCache>
                <c:ptCount val="1"/>
                <c:pt idx="0">
                  <c:v>Kitchen taps</c:v>
                </c:pt>
              </c:strCache>
            </c:strRef>
          </c:tx>
          <c:spPr>
            <a:solidFill>
              <a:schemeClr val="accent1">
                <a:lumMod val="20000"/>
                <a:lumOff val="80000"/>
              </a:schemeClr>
            </a:solidFill>
            <a:ln>
              <a:solidFill>
                <a:schemeClr val="tx1"/>
              </a:solidFill>
            </a:ln>
            <a:effectLst/>
          </c:spPr>
          <c:invertIfNegative val="0"/>
          <c:cat>
            <c:strRef>
              <c:f>'6-Water B7'!$N$23:$O$23</c:f>
              <c:strCache>
                <c:ptCount val="2"/>
                <c:pt idx="0">
                  <c:v>Total water consumed m3/o/a</c:v>
                </c:pt>
                <c:pt idx="1">
                  <c:v>Potable water consumed m3/o/a</c:v>
                </c:pt>
              </c:strCache>
            </c:strRef>
          </c:cat>
          <c:val>
            <c:numRef>
              <c:f>'6-Water B7'!$N$28:$O$28</c:f>
              <c:numCache>
                <c:formatCode>0.00</c:formatCode>
                <c:ptCount val="2"/>
                <c:pt idx="0">
                  <c:v>0</c:v>
                </c:pt>
                <c:pt idx="1">
                  <c:v>0</c:v>
                </c:pt>
              </c:numCache>
            </c:numRef>
          </c:val>
          <c:extLst>
            <c:ext xmlns:c16="http://schemas.microsoft.com/office/drawing/2014/chart" uri="{C3380CC4-5D6E-409C-BE32-E72D297353CC}">
              <c16:uniqueId val="{00000004-1055-45CC-9AAA-2B6E4743AE9A}"/>
            </c:ext>
          </c:extLst>
        </c:ser>
        <c:ser>
          <c:idx val="5"/>
          <c:order val="5"/>
          <c:tx>
            <c:strRef>
              <c:f>'6-Water B7'!$M$29</c:f>
              <c:strCache>
                <c:ptCount val="1"/>
                <c:pt idx="0">
                  <c:v>Dishwashers</c:v>
                </c:pt>
              </c:strCache>
            </c:strRef>
          </c:tx>
          <c:spPr>
            <a:solidFill>
              <a:schemeClr val="accent6">
                <a:lumMod val="75000"/>
              </a:schemeClr>
            </a:solidFill>
            <a:ln>
              <a:solidFill>
                <a:schemeClr val="tx1"/>
              </a:solidFill>
            </a:ln>
            <a:effectLst/>
          </c:spPr>
          <c:invertIfNegative val="0"/>
          <c:cat>
            <c:strRef>
              <c:f>'6-Water B7'!$N$23:$O$23</c:f>
              <c:strCache>
                <c:ptCount val="2"/>
                <c:pt idx="0">
                  <c:v>Total water consumed m3/o/a</c:v>
                </c:pt>
                <c:pt idx="1">
                  <c:v>Potable water consumed m3/o/a</c:v>
                </c:pt>
              </c:strCache>
            </c:strRef>
          </c:cat>
          <c:val>
            <c:numRef>
              <c:f>'6-Water B7'!$N$29:$O$29</c:f>
              <c:numCache>
                <c:formatCode>0.00</c:formatCode>
                <c:ptCount val="2"/>
                <c:pt idx="0">
                  <c:v>0</c:v>
                </c:pt>
                <c:pt idx="1">
                  <c:v>0</c:v>
                </c:pt>
              </c:numCache>
            </c:numRef>
          </c:val>
          <c:extLst>
            <c:ext xmlns:c16="http://schemas.microsoft.com/office/drawing/2014/chart" uri="{C3380CC4-5D6E-409C-BE32-E72D297353CC}">
              <c16:uniqueId val="{00000005-1055-45CC-9AAA-2B6E4743AE9A}"/>
            </c:ext>
          </c:extLst>
        </c:ser>
        <c:ser>
          <c:idx val="6"/>
          <c:order val="6"/>
          <c:tx>
            <c:strRef>
              <c:f>'6-Water B7'!$M$30</c:f>
              <c:strCache>
                <c:ptCount val="1"/>
                <c:pt idx="0">
                  <c:v>Washing machines</c:v>
                </c:pt>
              </c:strCache>
            </c:strRef>
          </c:tx>
          <c:spPr>
            <a:solidFill>
              <a:schemeClr val="accent6">
                <a:lumMod val="40000"/>
                <a:lumOff val="60000"/>
              </a:schemeClr>
            </a:solidFill>
            <a:ln>
              <a:solidFill>
                <a:schemeClr val="tx1"/>
              </a:solidFill>
            </a:ln>
            <a:effectLst/>
          </c:spPr>
          <c:invertIfNegative val="0"/>
          <c:cat>
            <c:strRef>
              <c:f>'6-Water B7'!$N$23:$O$23</c:f>
              <c:strCache>
                <c:ptCount val="2"/>
                <c:pt idx="0">
                  <c:v>Total water consumed m3/o/a</c:v>
                </c:pt>
                <c:pt idx="1">
                  <c:v>Potable water consumed m3/o/a</c:v>
                </c:pt>
              </c:strCache>
            </c:strRef>
          </c:cat>
          <c:val>
            <c:numRef>
              <c:f>'6-Water B7'!$N$30:$O$30</c:f>
              <c:numCache>
                <c:formatCode>0.00</c:formatCode>
                <c:ptCount val="2"/>
                <c:pt idx="0">
                  <c:v>0</c:v>
                </c:pt>
                <c:pt idx="1">
                  <c:v>0</c:v>
                </c:pt>
              </c:numCache>
            </c:numRef>
          </c:val>
          <c:extLst>
            <c:ext xmlns:c16="http://schemas.microsoft.com/office/drawing/2014/chart" uri="{C3380CC4-5D6E-409C-BE32-E72D297353CC}">
              <c16:uniqueId val="{00000006-1055-45CC-9AAA-2B6E4743AE9A}"/>
            </c:ext>
          </c:extLst>
        </c:ser>
        <c:ser>
          <c:idx val="7"/>
          <c:order val="7"/>
          <c:tx>
            <c:strRef>
              <c:f>'6-Water B7'!$M$31</c:f>
              <c:strCache>
                <c:ptCount val="1"/>
                <c:pt idx="0">
                  <c:v>Irrigation</c:v>
                </c:pt>
              </c:strCache>
            </c:strRef>
          </c:tx>
          <c:spPr>
            <a:solidFill>
              <a:srgbClr val="92D050"/>
            </a:solidFill>
            <a:ln>
              <a:solidFill>
                <a:schemeClr val="tx1"/>
              </a:solidFill>
            </a:ln>
            <a:effectLst/>
          </c:spPr>
          <c:invertIfNegative val="0"/>
          <c:cat>
            <c:strRef>
              <c:f>'6-Water B7'!$N$23:$O$23</c:f>
              <c:strCache>
                <c:ptCount val="2"/>
                <c:pt idx="0">
                  <c:v>Total water consumed m3/o/a</c:v>
                </c:pt>
                <c:pt idx="1">
                  <c:v>Potable water consumed m3/o/a</c:v>
                </c:pt>
              </c:strCache>
            </c:strRef>
          </c:cat>
          <c:val>
            <c:numRef>
              <c:f>'6-Water B7'!$N$31:$O$31</c:f>
              <c:numCache>
                <c:formatCode>0.00</c:formatCode>
                <c:ptCount val="2"/>
                <c:pt idx="0">
                  <c:v>0</c:v>
                </c:pt>
                <c:pt idx="1">
                  <c:v>0</c:v>
                </c:pt>
              </c:numCache>
            </c:numRef>
          </c:val>
          <c:extLst>
            <c:ext xmlns:c16="http://schemas.microsoft.com/office/drawing/2014/chart" uri="{C3380CC4-5D6E-409C-BE32-E72D297353CC}">
              <c16:uniqueId val="{00000007-1055-45CC-9AAA-2B6E4743AE9A}"/>
            </c:ext>
          </c:extLst>
        </c:ser>
        <c:dLbls>
          <c:showLegendKey val="0"/>
          <c:showVal val="0"/>
          <c:showCatName val="0"/>
          <c:showSerName val="0"/>
          <c:showPercent val="0"/>
          <c:showBubbleSize val="0"/>
        </c:dLbls>
        <c:gapWidth val="150"/>
        <c:overlap val="100"/>
        <c:axId val="1092547224"/>
        <c:axId val="1092549848"/>
      </c:barChart>
      <c:catAx>
        <c:axId val="1092547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2549848"/>
        <c:crosses val="autoZero"/>
        <c:auto val="1"/>
        <c:lblAlgn val="ctr"/>
        <c:lblOffset val="100"/>
        <c:noMultiLvlLbl val="0"/>
      </c:catAx>
      <c:valAx>
        <c:axId val="10925498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m3/o/a</a:t>
                </a:r>
              </a:p>
            </c:rich>
          </c:tx>
          <c:layout>
            <c:manualLayout>
              <c:xMode val="edge"/>
              <c:yMode val="edge"/>
              <c:x val="0.58083289588801401"/>
              <c:y val="0.77104039078448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2547224"/>
        <c:crosses val="autoZero"/>
        <c:crossBetween val="between"/>
        <c:majorUnit val="5"/>
      </c:valAx>
      <c:spPr>
        <a:noFill/>
        <a:ln>
          <a:noFill/>
        </a:ln>
        <a:effectLst/>
      </c:spPr>
    </c:plotArea>
    <c:legend>
      <c:legendPos val="b"/>
      <c:layout>
        <c:manualLayout>
          <c:xMode val="edge"/>
          <c:yMode val="edge"/>
          <c:x val="6.4740157480314961E-2"/>
          <c:y val="0.85532298046077571"/>
          <c:w val="0.90385301837270349"/>
          <c:h val="0.1168992417614464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&amp; potable water consumption split by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034550251265613"/>
          <c:y val="0.12175098538437412"/>
          <c:w val="0.65509164415360843"/>
          <c:h val="0.63806092520448898"/>
        </c:manualLayout>
      </c:layout>
      <c:barChart>
        <c:barDir val="bar"/>
        <c:grouping val="percentStacked"/>
        <c:varyColors val="0"/>
        <c:ser>
          <c:idx val="0"/>
          <c:order val="0"/>
          <c:tx>
            <c:strRef>
              <c:f>'6-Water B7'!$M$24</c:f>
              <c:strCache>
                <c:ptCount val="1"/>
                <c:pt idx="0">
                  <c:v>Toilets</c:v>
                </c:pt>
              </c:strCache>
            </c:strRef>
          </c:tx>
          <c:spPr>
            <a:solidFill>
              <a:srgbClr val="002060"/>
            </a:solidFill>
            <a:ln>
              <a:solidFill>
                <a:schemeClr val="tx1"/>
              </a:solidFill>
            </a:ln>
            <a:effectLst/>
          </c:spPr>
          <c:invertIfNegative val="0"/>
          <c:dLbls>
            <c:dLbl>
              <c:idx val="0"/>
              <c:layout>
                <c:manualLayout>
                  <c:x val="1.3888888888888888E-2"/>
                  <c:y val="0.131718379452648"/>
                </c:manualLayout>
              </c:layout>
              <c:spPr>
                <a:solidFill>
                  <a:sysClr val="window" lastClr="FFFFFF"/>
                </a:solidFill>
                <a:ln>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30-4FF8-83EA-8F3FA5FB754E}"/>
                </c:ext>
              </c:extLst>
            </c:dLbl>
            <c:dLbl>
              <c:idx val="1"/>
              <c:layout>
                <c:manualLayout>
                  <c:x val="3.888888888888889E-2"/>
                  <c:y val="0.11555131634334329"/>
                </c:manualLayout>
              </c:layout>
              <c:spPr>
                <a:solidFill>
                  <a:sysClr val="window" lastClr="FFFFFF"/>
                </a:solidFill>
                <a:ln>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30-4FF8-83EA-8F3FA5FB75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'6-Water B7'!$N$23:$O$23</c:f>
              <c:strCache>
                <c:ptCount val="2"/>
                <c:pt idx="0">
                  <c:v>Total water consumed m3/o/a</c:v>
                </c:pt>
                <c:pt idx="1">
                  <c:v>Potable water consumed m3/o/a</c:v>
                </c:pt>
              </c:strCache>
            </c:strRef>
          </c:cat>
          <c:val>
            <c:numRef>
              <c:f>'6-Water B7'!$P$24:$Q$24</c:f>
              <c:numCache>
                <c:formatCode>0.0%</c:formatCode>
                <c:ptCount val="2"/>
                <c:pt idx="0">
                  <c:v>0</c:v>
                </c:pt>
                <c:pt idx="1">
                  <c:v>0</c:v>
                </c:pt>
              </c:numCache>
            </c:numRef>
          </c:val>
          <c:extLst>
            <c:ext xmlns:c16="http://schemas.microsoft.com/office/drawing/2014/chart" uri="{C3380CC4-5D6E-409C-BE32-E72D297353CC}">
              <c16:uniqueId val="{00000002-C530-4FF8-83EA-8F3FA5FB754E}"/>
            </c:ext>
          </c:extLst>
        </c:ser>
        <c:ser>
          <c:idx val="1"/>
          <c:order val="1"/>
          <c:tx>
            <c:strRef>
              <c:f>'6-Water B7'!$M$25</c:f>
              <c:strCache>
                <c:ptCount val="1"/>
                <c:pt idx="0">
                  <c:v>Bathroom taps</c:v>
                </c:pt>
              </c:strCache>
            </c:strRef>
          </c:tx>
          <c:spPr>
            <a:solidFill>
              <a:srgbClr val="00B0F0"/>
            </a:solidFill>
            <a:ln>
              <a:solidFill>
                <a:schemeClr val="tx1"/>
              </a:solidFill>
            </a:ln>
            <a:effectLst/>
          </c:spPr>
          <c:invertIfNegative val="0"/>
          <c:dLbls>
            <c:dLbl>
              <c:idx val="0"/>
              <c:layout>
                <c:manualLayout>
                  <c:x val="5.5555555555555046E-3"/>
                  <c:y val="-0.104466300945203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30-4FF8-83EA-8F3FA5FB754E}"/>
                </c:ext>
              </c:extLst>
            </c:dLbl>
            <c:dLbl>
              <c:idx val="1"/>
              <c:layout>
                <c:manualLayout>
                  <c:x val="2.7777777777777776E-2"/>
                  <c:y val="-0.122634353283499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30-4FF8-83EA-8F3FA5FB754E}"/>
                </c:ext>
              </c:extLst>
            </c:dLbl>
            <c:spPr>
              <a:solidFill>
                <a:sysClr val="window" lastClr="FFFFFF"/>
              </a:solidFill>
              <a:ln>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'6-Water B7'!$N$23:$O$23</c:f>
              <c:strCache>
                <c:ptCount val="2"/>
                <c:pt idx="0">
                  <c:v>Total water consumed m3/o/a</c:v>
                </c:pt>
                <c:pt idx="1">
                  <c:v>Potable water consumed m3/o/a</c:v>
                </c:pt>
              </c:strCache>
            </c:strRef>
          </c:cat>
          <c:val>
            <c:numRef>
              <c:f>'6-Water B7'!$P$25:$Q$25</c:f>
              <c:numCache>
                <c:formatCode>0.0%</c:formatCode>
                <c:ptCount val="2"/>
                <c:pt idx="0">
                  <c:v>0</c:v>
                </c:pt>
                <c:pt idx="1">
                  <c:v>0</c:v>
                </c:pt>
              </c:numCache>
            </c:numRef>
          </c:val>
          <c:extLst>
            <c:ext xmlns:c16="http://schemas.microsoft.com/office/drawing/2014/chart" uri="{C3380CC4-5D6E-409C-BE32-E72D297353CC}">
              <c16:uniqueId val="{00000005-C530-4FF8-83EA-8F3FA5FB754E}"/>
            </c:ext>
          </c:extLst>
        </c:ser>
        <c:ser>
          <c:idx val="2"/>
          <c:order val="2"/>
          <c:tx>
            <c:strRef>
              <c:f>'6-Water B7'!$M$26</c:f>
              <c:strCache>
                <c:ptCount val="1"/>
                <c:pt idx="0">
                  <c:v>Showers</c:v>
                </c:pt>
              </c:strCache>
            </c:strRef>
          </c:tx>
          <c:spPr>
            <a:solidFill>
              <a:schemeClr val="accent1">
                <a:lumMod val="60000"/>
                <a:lumOff val="40000"/>
              </a:schemeClr>
            </a:solidFill>
            <a:ln>
              <a:solidFill>
                <a:schemeClr val="tx1"/>
              </a:solidFill>
            </a:ln>
            <a:effectLst/>
          </c:spPr>
          <c:invertIfNegative val="0"/>
          <c:dLbls>
            <c:dLbl>
              <c:idx val="0"/>
              <c:layout>
                <c:manualLayout>
                  <c:x val="-3.3333333333333437E-2"/>
                  <c:y val="0.1317183794526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30-4FF8-83EA-8F3FA5FB754E}"/>
                </c:ext>
              </c:extLst>
            </c:dLbl>
            <c:dLbl>
              <c:idx val="1"/>
              <c:layout>
                <c:manualLayout>
                  <c:x val="1.9444444444444445E-2"/>
                  <c:y val="0.11355032711435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530-4FF8-83EA-8F3FA5FB754E}"/>
                </c:ext>
              </c:extLst>
            </c:dLbl>
            <c:spPr>
              <a:solidFill>
                <a:sysClr val="window" lastClr="FFFFFF"/>
              </a:solidFill>
              <a:ln>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'6-Water B7'!$N$23:$O$23</c:f>
              <c:strCache>
                <c:ptCount val="2"/>
                <c:pt idx="0">
                  <c:v>Total water consumed m3/o/a</c:v>
                </c:pt>
                <c:pt idx="1">
                  <c:v>Potable water consumed m3/o/a</c:v>
                </c:pt>
              </c:strCache>
            </c:strRef>
          </c:cat>
          <c:val>
            <c:numRef>
              <c:f>'6-Water B7'!$P$26:$Q$26</c:f>
              <c:numCache>
                <c:formatCode>0.0%</c:formatCode>
                <c:ptCount val="2"/>
                <c:pt idx="0">
                  <c:v>0</c:v>
                </c:pt>
                <c:pt idx="1">
                  <c:v>0</c:v>
                </c:pt>
              </c:numCache>
            </c:numRef>
          </c:val>
          <c:extLst>
            <c:ext xmlns:c16="http://schemas.microsoft.com/office/drawing/2014/chart" uri="{C3380CC4-5D6E-409C-BE32-E72D297353CC}">
              <c16:uniqueId val="{00000008-C530-4FF8-83EA-8F3FA5FB754E}"/>
            </c:ext>
          </c:extLst>
        </c:ser>
        <c:ser>
          <c:idx val="3"/>
          <c:order val="3"/>
          <c:tx>
            <c:strRef>
              <c:f>'6-Water B7'!$M$27</c:f>
              <c:strCache>
                <c:ptCount val="1"/>
                <c:pt idx="0">
                  <c:v>Bath-tub</c:v>
                </c:pt>
              </c:strCache>
            </c:strRef>
          </c:tx>
          <c:spPr>
            <a:solidFill>
              <a:schemeClr val="accent1">
                <a:lumMod val="40000"/>
                <a:lumOff val="60000"/>
              </a:schemeClr>
            </a:solidFill>
            <a:ln>
              <a:solidFill>
                <a:schemeClr val="tx1"/>
              </a:solidFill>
            </a:ln>
            <a:effectLst/>
          </c:spPr>
          <c:invertIfNegative val="0"/>
          <c:dLbls>
            <c:dLbl>
              <c:idx val="0"/>
              <c:layout>
                <c:manualLayout>
                  <c:x val="-1.1111111111111212E-2"/>
                  <c:y val="-0.10446630094520373"/>
                </c:manualLayout>
              </c:layout>
              <c:tx>
                <c:rich>
                  <a:bodyPr/>
                  <a:lstStyle/>
                  <a:p>
                    <a:fld id="{7B9FCCBC-328E-4CBF-B30A-FB41581CF754}" type="VALUE">
                      <a:rPr lang="en-US">
                        <a:solidFill>
                          <a:schemeClr val="tx2">
                            <a:lumMod val="40000"/>
                            <a:lumOff val="60000"/>
                          </a:schemeClr>
                        </a:solidFill>
                      </a:rPr>
                      <a:pPr/>
                      <a:t>[VALUE]</a:t>
                    </a:fld>
                    <a:endParaRPr lang="en-I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C530-4FF8-83EA-8F3FA5FB754E}"/>
                </c:ext>
              </c:extLst>
            </c:dLbl>
            <c:dLbl>
              <c:idx val="1"/>
              <c:layout>
                <c:manualLayout>
                  <c:x val="-1.1111111111111112E-2"/>
                  <c:y val="-0.122634353283499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530-4FF8-83EA-8F3FA5FB754E}"/>
                </c:ext>
              </c:extLst>
            </c:dLbl>
            <c:spPr>
              <a:solidFill>
                <a:sysClr val="window" lastClr="FFFFFF"/>
              </a:solidFill>
              <a:ln>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40000"/>
                        <a:lumOff val="6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'6-Water B7'!$N$23:$O$23</c:f>
              <c:strCache>
                <c:ptCount val="2"/>
                <c:pt idx="0">
                  <c:v>Total water consumed m3/o/a</c:v>
                </c:pt>
                <c:pt idx="1">
                  <c:v>Potable water consumed m3/o/a</c:v>
                </c:pt>
              </c:strCache>
            </c:strRef>
          </c:cat>
          <c:val>
            <c:numRef>
              <c:f>'6-Water B7'!$P$27:$Q$27</c:f>
              <c:numCache>
                <c:formatCode>0.0%</c:formatCode>
                <c:ptCount val="2"/>
                <c:pt idx="0">
                  <c:v>0</c:v>
                </c:pt>
                <c:pt idx="1">
                  <c:v>0</c:v>
                </c:pt>
              </c:numCache>
            </c:numRef>
          </c:val>
          <c:extLst>
            <c:ext xmlns:c16="http://schemas.microsoft.com/office/drawing/2014/chart" uri="{C3380CC4-5D6E-409C-BE32-E72D297353CC}">
              <c16:uniqueId val="{0000000B-C530-4FF8-83EA-8F3FA5FB754E}"/>
            </c:ext>
          </c:extLst>
        </c:ser>
        <c:ser>
          <c:idx val="4"/>
          <c:order val="4"/>
          <c:tx>
            <c:strRef>
              <c:f>'6-Water B7'!$M$28</c:f>
              <c:strCache>
                <c:ptCount val="1"/>
                <c:pt idx="0">
                  <c:v>Kitchen taps</c:v>
                </c:pt>
              </c:strCache>
            </c:strRef>
          </c:tx>
          <c:spPr>
            <a:solidFill>
              <a:schemeClr val="accent1">
                <a:lumMod val="20000"/>
                <a:lumOff val="80000"/>
              </a:schemeClr>
            </a:solidFill>
            <a:ln>
              <a:solidFill>
                <a:schemeClr val="tx1"/>
              </a:solidFill>
            </a:ln>
            <a:effectLst/>
          </c:spPr>
          <c:invertIfNegative val="0"/>
          <c:dLbls>
            <c:dLbl>
              <c:idx val="0"/>
              <c:layout>
                <c:manualLayout>
                  <c:x val="-5.5555555555555558E-3"/>
                  <c:y val="0.1317183794526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530-4FF8-83EA-8F3FA5FB754E}"/>
                </c:ext>
              </c:extLst>
            </c:dLbl>
            <c:dLbl>
              <c:idx val="1"/>
              <c:layout>
                <c:manualLayout>
                  <c:x val="-5.5555555555556572E-3"/>
                  <c:y val="0.109008314029777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530-4FF8-83EA-8F3FA5FB754E}"/>
                </c:ext>
              </c:extLst>
            </c:dLbl>
            <c:spPr>
              <a:solidFill>
                <a:sysClr val="window" lastClr="FFFFFF"/>
              </a:solidFill>
              <a:ln>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40000"/>
                        <a:lumOff val="6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'6-Water B7'!$N$23:$O$23</c:f>
              <c:strCache>
                <c:ptCount val="2"/>
                <c:pt idx="0">
                  <c:v>Total water consumed m3/o/a</c:v>
                </c:pt>
                <c:pt idx="1">
                  <c:v>Potable water consumed m3/o/a</c:v>
                </c:pt>
              </c:strCache>
            </c:strRef>
          </c:cat>
          <c:val>
            <c:numRef>
              <c:f>'6-Water B7'!$P$28:$Q$28</c:f>
              <c:numCache>
                <c:formatCode>0.0%</c:formatCode>
                <c:ptCount val="2"/>
                <c:pt idx="0">
                  <c:v>0</c:v>
                </c:pt>
                <c:pt idx="1">
                  <c:v>0</c:v>
                </c:pt>
              </c:numCache>
            </c:numRef>
          </c:val>
          <c:extLst>
            <c:ext xmlns:c16="http://schemas.microsoft.com/office/drawing/2014/chart" uri="{C3380CC4-5D6E-409C-BE32-E72D297353CC}">
              <c16:uniqueId val="{0000000E-C530-4FF8-83EA-8F3FA5FB754E}"/>
            </c:ext>
          </c:extLst>
        </c:ser>
        <c:ser>
          <c:idx val="5"/>
          <c:order val="5"/>
          <c:tx>
            <c:strRef>
              <c:f>'6-Water B7'!$M$29</c:f>
              <c:strCache>
                <c:ptCount val="1"/>
                <c:pt idx="0">
                  <c:v>Dishwashers</c:v>
                </c:pt>
              </c:strCache>
            </c:strRef>
          </c:tx>
          <c:spPr>
            <a:solidFill>
              <a:schemeClr val="accent6">
                <a:lumMod val="75000"/>
              </a:schemeClr>
            </a:solidFill>
            <a:ln>
              <a:solidFill>
                <a:schemeClr val="tx1"/>
              </a:solidFill>
            </a:ln>
            <a:effectLst/>
          </c:spPr>
          <c:invertIfNegative val="0"/>
          <c:dLbls>
            <c:dLbl>
              <c:idx val="0"/>
              <c:layout>
                <c:manualLayout>
                  <c:x val="-2.2222222222222223E-2"/>
                  <c:y val="-0.104466300945203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530-4FF8-83EA-8F3FA5FB754E}"/>
                </c:ext>
              </c:extLst>
            </c:dLbl>
            <c:dLbl>
              <c:idx val="1"/>
              <c:layout>
                <c:manualLayout>
                  <c:x val="-2.2222222222222223E-2"/>
                  <c:y val="-0.118092340198925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530-4FF8-83EA-8F3FA5FB754E}"/>
                </c:ext>
              </c:extLst>
            </c:dLbl>
            <c:spPr>
              <a:solidFill>
                <a:sysClr val="window" lastClr="FFFFFF"/>
              </a:solidFill>
              <a:ln>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'6-Water B7'!$N$23:$O$23</c:f>
              <c:strCache>
                <c:ptCount val="2"/>
                <c:pt idx="0">
                  <c:v>Total water consumed m3/o/a</c:v>
                </c:pt>
                <c:pt idx="1">
                  <c:v>Potable water consumed m3/o/a</c:v>
                </c:pt>
              </c:strCache>
            </c:strRef>
          </c:cat>
          <c:val>
            <c:numRef>
              <c:f>'6-Water B7'!$P$29:$Q$29</c:f>
              <c:numCache>
                <c:formatCode>0.0%</c:formatCode>
                <c:ptCount val="2"/>
                <c:pt idx="0">
                  <c:v>0</c:v>
                </c:pt>
                <c:pt idx="1">
                  <c:v>0</c:v>
                </c:pt>
              </c:numCache>
            </c:numRef>
          </c:val>
          <c:extLst>
            <c:ext xmlns:c16="http://schemas.microsoft.com/office/drawing/2014/chart" uri="{C3380CC4-5D6E-409C-BE32-E72D297353CC}">
              <c16:uniqueId val="{00000011-C530-4FF8-83EA-8F3FA5FB754E}"/>
            </c:ext>
          </c:extLst>
        </c:ser>
        <c:ser>
          <c:idx val="6"/>
          <c:order val="6"/>
          <c:tx>
            <c:strRef>
              <c:f>'6-Water B7'!$M$30</c:f>
              <c:strCache>
                <c:ptCount val="1"/>
                <c:pt idx="0">
                  <c:v>Washing machines</c:v>
                </c:pt>
              </c:strCache>
            </c:strRef>
          </c:tx>
          <c:spPr>
            <a:solidFill>
              <a:schemeClr val="accent6">
                <a:lumMod val="40000"/>
                <a:lumOff val="60000"/>
              </a:schemeClr>
            </a:solidFill>
            <a:ln>
              <a:solidFill>
                <a:schemeClr val="tx1"/>
              </a:solidFill>
            </a:ln>
            <a:effectLst/>
          </c:spPr>
          <c:invertIfNegative val="0"/>
          <c:dLbls>
            <c:dLbl>
              <c:idx val="0"/>
              <c:layout>
                <c:manualLayout>
                  <c:x val="-5.5555555555555558E-3"/>
                  <c:y val="0.136260392537222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530-4FF8-83EA-8F3FA5FB754E}"/>
                </c:ext>
              </c:extLst>
            </c:dLbl>
            <c:dLbl>
              <c:idx val="1"/>
              <c:layout>
                <c:manualLayout>
                  <c:x val="-5.5555555555556572E-3"/>
                  <c:y val="0.109008314029777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530-4FF8-83EA-8F3FA5FB754E}"/>
                </c:ext>
              </c:extLst>
            </c:dLbl>
            <c:spPr>
              <a:solidFill>
                <a:sysClr val="window" lastClr="FFFFFF"/>
              </a:solidFill>
              <a:ln>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60000"/>
                        <a:lumOff val="4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'6-Water B7'!$N$23:$O$23</c:f>
              <c:strCache>
                <c:ptCount val="2"/>
                <c:pt idx="0">
                  <c:v>Total water consumed m3/o/a</c:v>
                </c:pt>
                <c:pt idx="1">
                  <c:v>Potable water consumed m3/o/a</c:v>
                </c:pt>
              </c:strCache>
            </c:strRef>
          </c:cat>
          <c:val>
            <c:numRef>
              <c:f>'6-Water B7'!$P$30:$Q$30</c:f>
              <c:numCache>
                <c:formatCode>0.0%</c:formatCode>
                <c:ptCount val="2"/>
                <c:pt idx="0">
                  <c:v>0</c:v>
                </c:pt>
                <c:pt idx="1">
                  <c:v>0</c:v>
                </c:pt>
              </c:numCache>
            </c:numRef>
          </c:val>
          <c:extLst>
            <c:ext xmlns:c16="http://schemas.microsoft.com/office/drawing/2014/chart" uri="{C3380CC4-5D6E-409C-BE32-E72D297353CC}">
              <c16:uniqueId val="{00000014-C530-4FF8-83EA-8F3FA5FB754E}"/>
            </c:ext>
          </c:extLst>
        </c:ser>
        <c:ser>
          <c:idx val="7"/>
          <c:order val="7"/>
          <c:tx>
            <c:strRef>
              <c:f>'6-Water B7'!$M$31</c:f>
              <c:strCache>
                <c:ptCount val="1"/>
                <c:pt idx="0">
                  <c:v>Irrigation</c:v>
                </c:pt>
              </c:strCache>
            </c:strRef>
          </c:tx>
          <c:spPr>
            <a:solidFill>
              <a:srgbClr val="92D050"/>
            </a:solidFill>
            <a:ln>
              <a:solidFill>
                <a:schemeClr val="tx1"/>
              </a:solidFill>
            </a:ln>
            <a:effectLst/>
          </c:spPr>
          <c:invertIfNegative val="0"/>
          <c:cat>
            <c:strRef>
              <c:f>'6-Water B7'!$N$23:$O$23</c:f>
              <c:strCache>
                <c:ptCount val="2"/>
                <c:pt idx="0">
                  <c:v>Total water consumed m3/o/a</c:v>
                </c:pt>
                <c:pt idx="1">
                  <c:v>Potable water consumed m3/o/a</c:v>
                </c:pt>
              </c:strCache>
            </c:strRef>
          </c:cat>
          <c:val>
            <c:numRef>
              <c:f>'6-Water B7'!$P$31:$Q$31</c:f>
              <c:numCache>
                <c:formatCode>0.0%</c:formatCode>
                <c:ptCount val="2"/>
                <c:pt idx="0">
                  <c:v>0</c:v>
                </c:pt>
                <c:pt idx="1">
                  <c:v>0</c:v>
                </c:pt>
              </c:numCache>
            </c:numRef>
          </c:val>
          <c:extLst>
            <c:ext xmlns:c16="http://schemas.microsoft.com/office/drawing/2014/chart" uri="{C3380CC4-5D6E-409C-BE32-E72D297353CC}">
              <c16:uniqueId val="{00000015-C530-4FF8-83EA-8F3FA5FB754E}"/>
            </c:ext>
          </c:extLst>
        </c:ser>
        <c:dLbls>
          <c:showLegendKey val="0"/>
          <c:showVal val="0"/>
          <c:showCatName val="0"/>
          <c:showSerName val="0"/>
          <c:showPercent val="0"/>
          <c:showBubbleSize val="0"/>
        </c:dLbls>
        <c:gapWidth val="250"/>
        <c:overlap val="100"/>
        <c:axId val="1092547224"/>
        <c:axId val="1092549848"/>
      </c:barChart>
      <c:catAx>
        <c:axId val="1092547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2549848"/>
        <c:crosses val="autoZero"/>
        <c:auto val="1"/>
        <c:lblAlgn val="ctr"/>
        <c:lblOffset val="100"/>
        <c:noMultiLvlLbl val="0"/>
      </c:catAx>
      <c:valAx>
        <c:axId val="1092549848"/>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2547224"/>
        <c:crosses val="autoZero"/>
        <c:crossBetween val="between"/>
        <c:majorUnit val="0.1"/>
      </c:valAx>
      <c:spPr>
        <a:noFill/>
        <a:ln>
          <a:noFill/>
        </a:ln>
        <a:effectLst/>
      </c:spPr>
    </c:plotArea>
    <c:legend>
      <c:legendPos val="b"/>
      <c:layout>
        <c:manualLayout>
          <c:xMode val="edge"/>
          <c:yMode val="edge"/>
          <c:x val="3.1406824146981628E-2"/>
          <c:y val="0.86388123243769843"/>
          <c:w val="0.95107524059492565"/>
          <c:h val="0.110144890217397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&amp; potable water consumption split by m</a:t>
            </a:r>
            <a:r>
              <a:rPr lang="en-US" baseline="30000"/>
              <a:t>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2305446194225723"/>
          <c:y val="0.17171296296296296"/>
          <c:w val="0.64358899010280646"/>
          <c:h val="0.52896507728200637"/>
        </c:manualLayout>
      </c:layout>
      <c:barChart>
        <c:barDir val="bar"/>
        <c:grouping val="stacked"/>
        <c:varyColors val="0"/>
        <c:ser>
          <c:idx val="0"/>
          <c:order val="0"/>
          <c:tx>
            <c:strRef>
              <c:f>'6-Water B7'!$M$78</c:f>
              <c:strCache>
                <c:ptCount val="1"/>
                <c:pt idx="0">
                  <c:v>Toilets &amp; urinals</c:v>
                </c:pt>
              </c:strCache>
            </c:strRef>
          </c:tx>
          <c:spPr>
            <a:solidFill>
              <a:srgbClr val="002060"/>
            </a:solidFill>
            <a:ln>
              <a:solidFill>
                <a:schemeClr val="tx1"/>
              </a:solidFill>
            </a:ln>
            <a:effectLst/>
          </c:spPr>
          <c:invertIfNegative val="0"/>
          <c:cat>
            <c:strRef>
              <c:f>'6-Water B7'!$N$77:$O$77</c:f>
              <c:strCache>
                <c:ptCount val="2"/>
                <c:pt idx="0">
                  <c:v>Total water consumed m3/o/a</c:v>
                </c:pt>
                <c:pt idx="1">
                  <c:v>Potable water consumed m3/o/a</c:v>
                </c:pt>
              </c:strCache>
            </c:strRef>
          </c:cat>
          <c:val>
            <c:numRef>
              <c:f>'6-Water B7'!$N$78:$O$78</c:f>
              <c:numCache>
                <c:formatCode>0.00</c:formatCode>
                <c:ptCount val="2"/>
                <c:pt idx="0">
                  <c:v>3.75</c:v>
                </c:pt>
                <c:pt idx="1">
                  <c:v>0</c:v>
                </c:pt>
              </c:numCache>
            </c:numRef>
          </c:val>
          <c:extLst>
            <c:ext xmlns:c16="http://schemas.microsoft.com/office/drawing/2014/chart" uri="{C3380CC4-5D6E-409C-BE32-E72D297353CC}">
              <c16:uniqueId val="{00000000-ED48-44F1-B961-D0BE7EECDB7D}"/>
            </c:ext>
          </c:extLst>
        </c:ser>
        <c:ser>
          <c:idx val="1"/>
          <c:order val="1"/>
          <c:tx>
            <c:strRef>
              <c:f>'6-Water B7'!$M$79</c:f>
              <c:strCache>
                <c:ptCount val="1"/>
                <c:pt idx="0">
                  <c:v>Bathroom taps</c:v>
                </c:pt>
              </c:strCache>
            </c:strRef>
          </c:tx>
          <c:spPr>
            <a:solidFill>
              <a:srgbClr val="00B0F0"/>
            </a:solidFill>
            <a:ln>
              <a:solidFill>
                <a:schemeClr val="tx1"/>
              </a:solidFill>
            </a:ln>
            <a:effectLst/>
          </c:spPr>
          <c:invertIfNegative val="0"/>
          <c:cat>
            <c:strRef>
              <c:f>'6-Water B7'!$N$77:$O$77</c:f>
              <c:strCache>
                <c:ptCount val="2"/>
                <c:pt idx="0">
                  <c:v>Total water consumed m3/o/a</c:v>
                </c:pt>
                <c:pt idx="1">
                  <c:v>Potable water consumed m3/o/a</c:v>
                </c:pt>
              </c:strCache>
            </c:strRef>
          </c:cat>
          <c:val>
            <c:numRef>
              <c:f>'6-Water B7'!$N$79:$O$79</c:f>
              <c:numCache>
                <c:formatCode>0.00</c:formatCode>
                <c:ptCount val="2"/>
                <c:pt idx="0">
                  <c:v>1.875</c:v>
                </c:pt>
                <c:pt idx="1">
                  <c:v>1.875</c:v>
                </c:pt>
              </c:numCache>
            </c:numRef>
          </c:val>
          <c:extLst>
            <c:ext xmlns:c16="http://schemas.microsoft.com/office/drawing/2014/chart" uri="{C3380CC4-5D6E-409C-BE32-E72D297353CC}">
              <c16:uniqueId val="{00000001-ED48-44F1-B961-D0BE7EECDB7D}"/>
            </c:ext>
          </c:extLst>
        </c:ser>
        <c:ser>
          <c:idx val="2"/>
          <c:order val="2"/>
          <c:tx>
            <c:strRef>
              <c:f>'6-Water B7'!$M$80</c:f>
              <c:strCache>
                <c:ptCount val="1"/>
                <c:pt idx="0">
                  <c:v>Showers</c:v>
                </c:pt>
              </c:strCache>
            </c:strRef>
          </c:tx>
          <c:spPr>
            <a:solidFill>
              <a:schemeClr val="accent1">
                <a:lumMod val="60000"/>
                <a:lumOff val="40000"/>
              </a:schemeClr>
            </a:solidFill>
            <a:ln>
              <a:solidFill>
                <a:schemeClr val="tx1"/>
              </a:solidFill>
            </a:ln>
            <a:effectLst/>
          </c:spPr>
          <c:invertIfNegative val="0"/>
          <c:cat>
            <c:strRef>
              <c:f>'6-Water B7'!$N$77:$O$77</c:f>
              <c:strCache>
                <c:ptCount val="2"/>
                <c:pt idx="0">
                  <c:v>Total water consumed m3/o/a</c:v>
                </c:pt>
                <c:pt idx="1">
                  <c:v>Potable water consumed m3/o/a</c:v>
                </c:pt>
              </c:strCache>
            </c:strRef>
          </c:cat>
          <c:val>
            <c:numRef>
              <c:f>'6-Water B7'!$N$80:$O$80</c:f>
              <c:numCache>
                <c:formatCode>0.00</c:formatCode>
                <c:ptCount val="2"/>
                <c:pt idx="0">
                  <c:v>1.5</c:v>
                </c:pt>
                <c:pt idx="1">
                  <c:v>1.5</c:v>
                </c:pt>
              </c:numCache>
            </c:numRef>
          </c:val>
          <c:extLst>
            <c:ext xmlns:c16="http://schemas.microsoft.com/office/drawing/2014/chart" uri="{C3380CC4-5D6E-409C-BE32-E72D297353CC}">
              <c16:uniqueId val="{00000002-ED48-44F1-B961-D0BE7EECDB7D}"/>
            </c:ext>
          </c:extLst>
        </c:ser>
        <c:ser>
          <c:idx val="3"/>
          <c:order val="3"/>
          <c:tx>
            <c:strRef>
              <c:f>'6-Water B7'!$M$81</c:f>
              <c:strCache>
                <c:ptCount val="1"/>
                <c:pt idx="0">
                  <c:v>Kitchenette taps</c:v>
                </c:pt>
              </c:strCache>
            </c:strRef>
          </c:tx>
          <c:spPr>
            <a:solidFill>
              <a:schemeClr val="accent1">
                <a:lumMod val="40000"/>
                <a:lumOff val="60000"/>
              </a:schemeClr>
            </a:solidFill>
            <a:ln>
              <a:solidFill>
                <a:schemeClr val="tx1"/>
              </a:solidFill>
            </a:ln>
            <a:effectLst/>
          </c:spPr>
          <c:invertIfNegative val="0"/>
          <c:cat>
            <c:strRef>
              <c:f>'6-Water B7'!$N$77:$O$77</c:f>
              <c:strCache>
                <c:ptCount val="2"/>
                <c:pt idx="0">
                  <c:v>Total water consumed m3/o/a</c:v>
                </c:pt>
                <c:pt idx="1">
                  <c:v>Potable water consumed m3/o/a</c:v>
                </c:pt>
              </c:strCache>
            </c:strRef>
          </c:cat>
          <c:val>
            <c:numRef>
              <c:f>'6-Water B7'!$N$81:$O$81</c:f>
              <c:numCache>
                <c:formatCode>0.00</c:formatCode>
                <c:ptCount val="2"/>
                <c:pt idx="0">
                  <c:v>1.5</c:v>
                </c:pt>
                <c:pt idx="1">
                  <c:v>1.5</c:v>
                </c:pt>
              </c:numCache>
            </c:numRef>
          </c:val>
          <c:extLst>
            <c:ext xmlns:c16="http://schemas.microsoft.com/office/drawing/2014/chart" uri="{C3380CC4-5D6E-409C-BE32-E72D297353CC}">
              <c16:uniqueId val="{00000003-ED48-44F1-B961-D0BE7EECDB7D}"/>
            </c:ext>
          </c:extLst>
        </c:ser>
        <c:ser>
          <c:idx val="4"/>
          <c:order val="4"/>
          <c:tx>
            <c:strRef>
              <c:f>'6-Water B7'!$M$82</c:f>
              <c:strCache>
                <c:ptCount val="1"/>
                <c:pt idx="0">
                  <c:v>Floor cleaning</c:v>
                </c:pt>
              </c:strCache>
            </c:strRef>
          </c:tx>
          <c:spPr>
            <a:solidFill>
              <a:srgbClr val="F79646">
                <a:lumMod val="40000"/>
                <a:lumOff val="60000"/>
              </a:srgbClr>
            </a:solidFill>
            <a:ln>
              <a:solidFill>
                <a:schemeClr val="tx1"/>
              </a:solidFill>
            </a:ln>
            <a:effectLst/>
          </c:spPr>
          <c:invertIfNegative val="0"/>
          <c:cat>
            <c:strRef>
              <c:f>'6-Water B7'!$N$77:$O$77</c:f>
              <c:strCache>
                <c:ptCount val="2"/>
                <c:pt idx="0">
                  <c:v>Total water consumed m3/o/a</c:v>
                </c:pt>
                <c:pt idx="1">
                  <c:v>Potable water consumed m3/o/a</c:v>
                </c:pt>
              </c:strCache>
            </c:strRef>
          </c:cat>
          <c:val>
            <c:numRef>
              <c:f>'6-Water B7'!$N$82:$O$82</c:f>
              <c:numCache>
                <c:formatCode>0.00</c:formatCode>
                <c:ptCount val="2"/>
                <c:pt idx="0">
                  <c:v>0.15625</c:v>
                </c:pt>
                <c:pt idx="1">
                  <c:v>0.15625</c:v>
                </c:pt>
              </c:numCache>
            </c:numRef>
          </c:val>
          <c:extLst>
            <c:ext xmlns:c16="http://schemas.microsoft.com/office/drawing/2014/chart" uri="{C3380CC4-5D6E-409C-BE32-E72D297353CC}">
              <c16:uniqueId val="{00000004-ED48-44F1-B961-D0BE7EECDB7D}"/>
            </c:ext>
          </c:extLst>
        </c:ser>
        <c:ser>
          <c:idx val="5"/>
          <c:order val="5"/>
          <c:tx>
            <c:strRef>
              <c:f>'6-Water B7'!$M$83</c:f>
              <c:strCache>
                <c:ptCount val="1"/>
                <c:pt idx="0">
                  <c:v>Window cleaning</c:v>
                </c:pt>
              </c:strCache>
            </c:strRef>
          </c:tx>
          <c:spPr>
            <a:solidFill>
              <a:schemeClr val="accent6">
                <a:lumMod val="75000"/>
              </a:schemeClr>
            </a:solidFill>
            <a:ln>
              <a:solidFill>
                <a:schemeClr val="tx1"/>
              </a:solidFill>
            </a:ln>
            <a:effectLst/>
          </c:spPr>
          <c:invertIfNegative val="0"/>
          <c:cat>
            <c:strRef>
              <c:f>'6-Water B7'!$N$77:$O$77</c:f>
              <c:strCache>
                <c:ptCount val="2"/>
                <c:pt idx="0">
                  <c:v>Total water consumed m3/o/a</c:v>
                </c:pt>
                <c:pt idx="1">
                  <c:v>Potable water consumed m3/o/a</c:v>
                </c:pt>
              </c:strCache>
            </c:strRef>
          </c:cat>
          <c:val>
            <c:numRef>
              <c:f>'6-Water B7'!$N$83:$O$83</c:f>
              <c:numCache>
                <c:formatCode>0.00</c:formatCode>
                <c:ptCount val="2"/>
                <c:pt idx="0">
                  <c:v>1.7999999999999999E-2</c:v>
                </c:pt>
                <c:pt idx="1">
                  <c:v>1.7999999999999999E-2</c:v>
                </c:pt>
              </c:numCache>
            </c:numRef>
          </c:val>
          <c:extLst>
            <c:ext xmlns:c16="http://schemas.microsoft.com/office/drawing/2014/chart" uri="{C3380CC4-5D6E-409C-BE32-E72D297353CC}">
              <c16:uniqueId val="{00000005-ED48-44F1-B961-D0BE7EECDB7D}"/>
            </c:ext>
          </c:extLst>
        </c:ser>
        <c:ser>
          <c:idx val="6"/>
          <c:order val="6"/>
          <c:tx>
            <c:strRef>
              <c:f>'6-Water B7'!$M$84</c:f>
              <c:strCache>
                <c:ptCount val="1"/>
                <c:pt idx="0">
                  <c:v>Irrigation</c:v>
                </c:pt>
              </c:strCache>
            </c:strRef>
          </c:tx>
          <c:spPr>
            <a:solidFill>
              <a:srgbClr val="92D050"/>
            </a:solidFill>
            <a:ln>
              <a:solidFill>
                <a:schemeClr val="tx1"/>
              </a:solidFill>
            </a:ln>
            <a:effectLst/>
          </c:spPr>
          <c:invertIfNegative val="0"/>
          <c:cat>
            <c:strRef>
              <c:f>'6-Water B7'!$N$77:$O$77</c:f>
              <c:strCache>
                <c:ptCount val="2"/>
                <c:pt idx="0">
                  <c:v>Total water consumed m3/o/a</c:v>
                </c:pt>
                <c:pt idx="1">
                  <c:v>Potable water consumed m3/o/a</c:v>
                </c:pt>
              </c:strCache>
            </c:strRef>
          </c:cat>
          <c:val>
            <c:numRef>
              <c:f>'6-Water B7'!$N$84:$O$84</c:f>
              <c:numCache>
                <c:formatCode>0.00</c:formatCode>
                <c:ptCount val="2"/>
                <c:pt idx="0">
                  <c:v>11.492767530488457</c:v>
                </c:pt>
                <c:pt idx="1">
                  <c:v>0</c:v>
                </c:pt>
              </c:numCache>
            </c:numRef>
          </c:val>
          <c:extLst>
            <c:ext xmlns:c16="http://schemas.microsoft.com/office/drawing/2014/chart" uri="{C3380CC4-5D6E-409C-BE32-E72D297353CC}">
              <c16:uniqueId val="{00000006-ED48-44F1-B961-D0BE7EECDB7D}"/>
            </c:ext>
          </c:extLst>
        </c:ser>
        <c:ser>
          <c:idx val="7"/>
          <c:order val="7"/>
          <c:tx>
            <c:strRef>
              <c:f>'6-Water B7'!$M$85</c:f>
              <c:strCache>
                <c:ptCount val="1"/>
                <c:pt idx="0">
                  <c:v>Other-1 (please specify)</c:v>
                </c:pt>
              </c:strCache>
            </c:strRef>
          </c:tx>
          <c:spPr>
            <a:solidFill>
              <a:srgbClr val="FFFF00"/>
            </a:solidFill>
            <a:ln>
              <a:solidFill>
                <a:schemeClr val="tx1"/>
              </a:solidFill>
            </a:ln>
            <a:effectLst/>
          </c:spPr>
          <c:invertIfNegative val="0"/>
          <c:cat>
            <c:strRef>
              <c:f>'6-Water B7'!$N$77:$O$77</c:f>
              <c:strCache>
                <c:ptCount val="2"/>
                <c:pt idx="0">
                  <c:v>Total water consumed m3/o/a</c:v>
                </c:pt>
                <c:pt idx="1">
                  <c:v>Potable water consumed m3/o/a</c:v>
                </c:pt>
              </c:strCache>
            </c:strRef>
          </c:cat>
          <c:val>
            <c:numRef>
              <c:f>'6-Water B7'!$N$85:$O$85</c:f>
              <c:numCache>
                <c:formatCode>0.00</c:formatCode>
                <c:ptCount val="2"/>
                <c:pt idx="0">
                  <c:v>0</c:v>
                </c:pt>
                <c:pt idx="1">
                  <c:v>0</c:v>
                </c:pt>
              </c:numCache>
            </c:numRef>
          </c:val>
          <c:extLst>
            <c:ext xmlns:c16="http://schemas.microsoft.com/office/drawing/2014/chart" uri="{C3380CC4-5D6E-409C-BE32-E72D297353CC}">
              <c16:uniqueId val="{00000007-ED48-44F1-B961-D0BE7EECDB7D}"/>
            </c:ext>
          </c:extLst>
        </c:ser>
        <c:ser>
          <c:idx val="8"/>
          <c:order val="8"/>
          <c:tx>
            <c:strRef>
              <c:f>'6-Water B7'!$M$86</c:f>
              <c:strCache>
                <c:ptCount val="1"/>
                <c:pt idx="0">
                  <c:v>Other-2 (please specify)</c:v>
                </c:pt>
              </c:strCache>
            </c:strRef>
          </c:tx>
          <c:spPr>
            <a:solidFill>
              <a:srgbClr val="FFFF99"/>
            </a:solidFill>
            <a:ln>
              <a:solidFill>
                <a:sysClr val="windowText" lastClr="000000"/>
              </a:solidFill>
            </a:ln>
            <a:effectLst/>
          </c:spPr>
          <c:invertIfNegative val="0"/>
          <c:cat>
            <c:strRef>
              <c:f>'6-Water B7'!$N$77:$O$77</c:f>
              <c:strCache>
                <c:ptCount val="2"/>
                <c:pt idx="0">
                  <c:v>Total water consumed m3/o/a</c:v>
                </c:pt>
                <c:pt idx="1">
                  <c:v>Potable water consumed m3/o/a</c:v>
                </c:pt>
              </c:strCache>
            </c:strRef>
          </c:cat>
          <c:val>
            <c:numRef>
              <c:f>'6-Water B7'!$N$86:$O$86</c:f>
              <c:numCache>
                <c:formatCode>0.00</c:formatCode>
                <c:ptCount val="2"/>
                <c:pt idx="0">
                  <c:v>0</c:v>
                </c:pt>
                <c:pt idx="1">
                  <c:v>0</c:v>
                </c:pt>
              </c:numCache>
            </c:numRef>
          </c:val>
          <c:extLst>
            <c:ext xmlns:c16="http://schemas.microsoft.com/office/drawing/2014/chart" uri="{C3380CC4-5D6E-409C-BE32-E72D297353CC}">
              <c16:uniqueId val="{00000008-ED48-44F1-B961-D0BE7EECDB7D}"/>
            </c:ext>
          </c:extLst>
        </c:ser>
        <c:ser>
          <c:idx val="9"/>
          <c:order val="9"/>
          <c:tx>
            <c:strRef>
              <c:f>'6-Water B7'!$M$87</c:f>
              <c:strCache>
                <c:ptCount val="1"/>
                <c:pt idx="0">
                  <c:v>Other-3 (please specify)</c:v>
                </c:pt>
              </c:strCache>
            </c:strRef>
          </c:tx>
          <c:spPr>
            <a:solidFill>
              <a:sysClr val="window" lastClr="FFFFFF"/>
            </a:solidFill>
            <a:ln>
              <a:solidFill>
                <a:sysClr val="windowText" lastClr="000000"/>
              </a:solidFill>
            </a:ln>
            <a:effectLst/>
          </c:spPr>
          <c:invertIfNegative val="0"/>
          <c:cat>
            <c:strRef>
              <c:f>'6-Water B7'!$N$77:$O$77</c:f>
              <c:strCache>
                <c:ptCount val="2"/>
                <c:pt idx="0">
                  <c:v>Total water consumed m3/o/a</c:v>
                </c:pt>
                <c:pt idx="1">
                  <c:v>Potable water consumed m3/o/a</c:v>
                </c:pt>
              </c:strCache>
            </c:strRef>
          </c:cat>
          <c:val>
            <c:numRef>
              <c:f>'6-Water B7'!$N$87:$O$87</c:f>
              <c:numCache>
                <c:formatCode>0.00</c:formatCode>
                <c:ptCount val="2"/>
                <c:pt idx="0">
                  <c:v>0</c:v>
                </c:pt>
                <c:pt idx="1">
                  <c:v>0</c:v>
                </c:pt>
              </c:numCache>
            </c:numRef>
          </c:val>
          <c:extLst>
            <c:ext xmlns:c16="http://schemas.microsoft.com/office/drawing/2014/chart" uri="{C3380CC4-5D6E-409C-BE32-E72D297353CC}">
              <c16:uniqueId val="{00000009-ED48-44F1-B961-D0BE7EECDB7D}"/>
            </c:ext>
          </c:extLst>
        </c:ser>
        <c:dLbls>
          <c:showLegendKey val="0"/>
          <c:showVal val="0"/>
          <c:showCatName val="0"/>
          <c:showSerName val="0"/>
          <c:showPercent val="0"/>
          <c:showBubbleSize val="0"/>
        </c:dLbls>
        <c:gapWidth val="150"/>
        <c:overlap val="100"/>
        <c:axId val="1092547224"/>
        <c:axId val="1092549848"/>
      </c:barChart>
      <c:catAx>
        <c:axId val="1092547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2549848"/>
        <c:crosses val="autoZero"/>
        <c:auto val="1"/>
        <c:lblAlgn val="ctr"/>
        <c:lblOffset val="100"/>
        <c:noMultiLvlLbl val="0"/>
      </c:catAx>
      <c:valAx>
        <c:axId val="10925498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m3/o/a</a:t>
                </a:r>
              </a:p>
            </c:rich>
          </c:tx>
          <c:layout>
            <c:manualLayout>
              <c:xMode val="edge"/>
              <c:yMode val="edge"/>
              <c:x val="0.58083289588801401"/>
              <c:y val="0.77104039078448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2547224"/>
        <c:crosses val="autoZero"/>
        <c:crossBetween val="between"/>
        <c:majorUnit val="2"/>
      </c:valAx>
      <c:spPr>
        <a:noFill/>
        <a:ln>
          <a:noFill/>
        </a:ln>
        <a:effectLst/>
      </c:spPr>
    </c:plotArea>
    <c:legend>
      <c:legendPos val="b"/>
      <c:layout>
        <c:manualLayout>
          <c:xMode val="edge"/>
          <c:yMode val="edge"/>
          <c:x val="2.8781282276809567E-2"/>
          <c:y val="0.84632740869652678"/>
          <c:w val="0.93809061442202935"/>
          <c:h val="0.1446770879926676"/>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&amp; potable water consumption split by %</a:t>
            </a:r>
            <a:endParaRPr lang="en-US" baseline="30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50993288951658"/>
          <c:y val="0.17171296296296296"/>
          <c:w val="0.81824653612383624"/>
          <c:h val="0.56494700267350606"/>
        </c:manualLayout>
      </c:layout>
      <c:barChart>
        <c:barDir val="bar"/>
        <c:grouping val="stacked"/>
        <c:varyColors val="0"/>
        <c:ser>
          <c:idx val="0"/>
          <c:order val="0"/>
          <c:tx>
            <c:strRef>
              <c:f>'6-Water B7'!$M$78</c:f>
              <c:strCache>
                <c:ptCount val="1"/>
                <c:pt idx="0">
                  <c:v>Toilets &amp; urinals</c:v>
                </c:pt>
              </c:strCache>
            </c:strRef>
          </c:tx>
          <c:spPr>
            <a:solidFill>
              <a:srgbClr val="002060"/>
            </a:solidFill>
            <a:ln>
              <a:solidFill>
                <a:schemeClr val="tx1"/>
              </a:solidFill>
            </a:ln>
            <a:effectLst/>
          </c:spPr>
          <c:invertIfNegative val="0"/>
          <c:cat>
            <c:strRef>
              <c:f>'6-Water B7'!$P$77:$Q$77</c:f>
              <c:strCache>
                <c:ptCount val="2"/>
                <c:pt idx="0">
                  <c:v>Total %</c:v>
                </c:pt>
                <c:pt idx="1">
                  <c:v>Potable %</c:v>
                </c:pt>
              </c:strCache>
            </c:strRef>
          </c:cat>
          <c:val>
            <c:numRef>
              <c:f>'6-Water B7'!$P$78:$Q$78</c:f>
              <c:numCache>
                <c:formatCode>0.0%</c:formatCode>
                <c:ptCount val="2"/>
                <c:pt idx="0">
                  <c:v>0.18480173271906947</c:v>
                </c:pt>
                <c:pt idx="1">
                  <c:v>0</c:v>
                </c:pt>
              </c:numCache>
            </c:numRef>
          </c:val>
          <c:extLst>
            <c:ext xmlns:c16="http://schemas.microsoft.com/office/drawing/2014/chart" uri="{C3380CC4-5D6E-409C-BE32-E72D297353CC}">
              <c16:uniqueId val="{00000000-72D5-4E25-8821-1D3EDFBBDE66}"/>
            </c:ext>
          </c:extLst>
        </c:ser>
        <c:ser>
          <c:idx val="1"/>
          <c:order val="1"/>
          <c:tx>
            <c:strRef>
              <c:f>'6-Water B7'!$M$79</c:f>
              <c:strCache>
                <c:ptCount val="1"/>
                <c:pt idx="0">
                  <c:v>Bathroom taps</c:v>
                </c:pt>
              </c:strCache>
            </c:strRef>
          </c:tx>
          <c:spPr>
            <a:solidFill>
              <a:srgbClr val="00B0F0"/>
            </a:solidFill>
            <a:ln>
              <a:solidFill>
                <a:schemeClr val="tx1"/>
              </a:solidFill>
            </a:ln>
            <a:effectLst/>
          </c:spPr>
          <c:invertIfNegative val="0"/>
          <c:cat>
            <c:strRef>
              <c:f>'6-Water B7'!$P$77:$Q$77</c:f>
              <c:strCache>
                <c:ptCount val="2"/>
                <c:pt idx="0">
                  <c:v>Total %</c:v>
                </c:pt>
                <c:pt idx="1">
                  <c:v>Potable %</c:v>
                </c:pt>
              </c:strCache>
            </c:strRef>
          </c:cat>
          <c:val>
            <c:numRef>
              <c:f>'6-Water B7'!$P$79:$Q$79</c:f>
              <c:numCache>
                <c:formatCode>0.0%</c:formatCode>
                <c:ptCount val="2"/>
                <c:pt idx="0">
                  <c:v>9.2400866359534733E-2</c:v>
                </c:pt>
                <c:pt idx="1">
                  <c:v>0.37134227855622126</c:v>
                </c:pt>
              </c:numCache>
            </c:numRef>
          </c:val>
          <c:extLst>
            <c:ext xmlns:c16="http://schemas.microsoft.com/office/drawing/2014/chart" uri="{C3380CC4-5D6E-409C-BE32-E72D297353CC}">
              <c16:uniqueId val="{00000001-72D5-4E25-8821-1D3EDFBBDE66}"/>
            </c:ext>
          </c:extLst>
        </c:ser>
        <c:ser>
          <c:idx val="2"/>
          <c:order val="2"/>
          <c:tx>
            <c:strRef>
              <c:f>'6-Water B7'!$M$80</c:f>
              <c:strCache>
                <c:ptCount val="1"/>
                <c:pt idx="0">
                  <c:v>Showers</c:v>
                </c:pt>
              </c:strCache>
            </c:strRef>
          </c:tx>
          <c:spPr>
            <a:solidFill>
              <a:schemeClr val="accent1">
                <a:lumMod val="60000"/>
                <a:lumOff val="40000"/>
              </a:schemeClr>
            </a:solidFill>
            <a:ln>
              <a:solidFill>
                <a:schemeClr val="tx1"/>
              </a:solidFill>
            </a:ln>
            <a:effectLst/>
          </c:spPr>
          <c:invertIfNegative val="0"/>
          <c:cat>
            <c:strRef>
              <c:f>'6-Water B7'!$P$77:$Q$77</c:f>
              <c:strCache>
                <c:ptCount val="2"/>
                <c:pt idx="0">
                  <c:v>Total %</c:v>
                </c:pt>
                <c:pt idx="1">
                  <c:v>Potable %</c:v>
                </c:pt>
              </c:strCache>
            </c:strRef>
          </c:cat>
          <c:val>
            <c:numRef>
              <c:f>'6-Water B7'!$P$80:$Q$80</c:f>
              <c:numCache>
                <c:formatCode>0.0%</c:formatCode>
                <c:ptCount val="2"/>
                <c:pt idx="0">
                  <c:v>7.392069308762779E-2</c:v>
                </c:pt>
                <c:pt idx="1">
                  <c:v>0.29707382284497696</c:v>
                </c:pt>
              </c:numCache>
            </c:numRef>
          </c:val>
          <c:extLst>
            <c:ext xmlns:c16="http://schemas.microsoft.com/office/drawing/2014/chart" uri="{C3380CC4-5D6E-409C-BE32-E72D297353CC}">
              <c16:uniqueId val="{00000002-72D5-4E25-8821-1D3EDFBBDE66}"/>
            </c:ext>
          </c:extLst>
        </c:ser>
        <c:ser>
          <c:idx val="3"/>
          <c:order val="3"/>
          <c:tx>
            <c:strRef>
              <c:f>'6-Water B7'!$M$81</c:f>
              <c:strCache>
                <c:ptCount val="1"/>
                <c:pt idx="0">
                  <c:v>Kitchenette taps</c:v>
                </c:pt>
              </c:strCache>
            </c:strRef>
          </c:tx>
          <c:spPr>
            <a:solidFill>
              <a:schemeClr val="accent1">
                <a:lumMod val="40000"/>
                <a:lumOff val="60000"/>
              </a:schemeClr>
            </a:solidFill>
            <a:ln>
              <a:solidFill>
                <a:schemeClr val="tx1"/>
              </a:solidFill>
            </a:ln>
            <a:effectLst/>
          </c:spPr>
          <c:invertIfNegative val="0"/>
          <c:cat>
            <c:strRef>
              <c:f>'6-Water B7'!$P$77:$Q$77</c:f>
              <c:strCache>
                <c:ptCount val="2"/>
                <c:pt idx="0">
                  <c:v>Total %</c:v>
                </c:pt>
                <c:pt idx="1">
                  <c:v>Potable %</c:v>
                </c:pt>
              </c:strCache>
            </c:strRef>
          </c:cat>
          <c:val>
            <c:numRef>
              <c:f>'6-Water B7'!$P$81:$Q$81</c:f>
              <c:numCache>
                <c:formatCode>0.0%</c:formatCode>
                <c:ptCount val="2"/>
                <c:pt idx="0">
                  <c:v>7.392069308762779E-2</c:v>
                </c:pt>
                <c:pt idx="1">
                  <c:v>0.29707382284497696</c:v>
                </c:pt>
              </c:numCache>
            </c:numRef>
          </c:val>
          <c:extLst>
            <c:ext xmlns:c16="http://schemas.microsoft.com/office/drawing/2014/chart" uri="{C3380CC4-5D6E-409C-BE32-E72D297353CC}">
              <c16:uniqueId val="{00000003-72D5-4E25-8821-1D3EDFBBDE66}"/>
            </c:ext>
          </c:extLst>
        </c:ser>
        <c:ser>
          <c:idx val="4"/>
          <c:order val="4"/>
          <c:tx>
            <c:strRef>
              <c:f>'6-Water B7'!$M$82</c:f>
              <c:strCache>
                <c:ptCount val="1"/>
                <c:pt idx="0">
                  <c:v>Floor cleaning</c:v>
                </c:pt>
              </c:strCache>
            </c:strRef>
          </c:tx>
          <c:spPr>
            <a:solidFill>
              <a:srgbClr val="F79646">
                <a:lumMod val="40000"/>
                <a:lumOff val="60000"/>
              </a:srgbClr>
            </a:solidFill>
            <a:ln>
              <a:solidFill>
                <a:schemeClr val="tx1"/>
              </a:solidFill>
            </a:ln>
            <a:effectLst/>
          </c:spPr>
          <c:invertIfNegative val="0"/>
          <c:cat>
            <c:strRef>
              <c:f>'6-Water B7'!$P$77:$Q$77</c:f>
              <c:strCache>
                <c:ptCount val="2"/>
                <c:pt idx="0">
                  <c:v>Total %</c:v>
                </c:pt>
                <c:pt idx="1">
                  <c:v>Potable %</c:v>
                </c:pt>
              </c:strCache>
            </c:strRef>
          </c:cat>
          <c:val>
            <c:numRef>
              <c:f>'6-Water B7'!$P$82:$Q$82</c:f>
              <c:numCache>
                <c:formatCode>0.0%</c:formatCode>
                <c:ptCount val="2"/>
                <c:pt idx="0">
                  <c:v>7.7000721966278942E-3</c:v>
                </c:pt>
                <c:pt idx="1">
                  <c:v>3.0945189879685104E-2</c:v>
                </c:pt>
              </c:numCache>
            </c:numRef>
          </c:val>
          <c:extLst>
            <c:ext xmlns:c16="http://schemas.microsoft.com/office/drawing/2014/chart" uri="{C3380CC4-5D6E-409C-BE32-E72D297353CC}">
              <c16:uniqueId val="{00000004-72D5-4E25-8821-1D3EDFBBDE66}"/>
            </c:ext>
          </c:extLst>
        </c:ser>
        <c:ser>
          <c:idx val="5"/>
          <c:order val="5"/>
          <c:tx>
            <c:strRef>
              <c:f>'6-Water B7'!$M$83</c:f>
              <c:strCache>
                <c:ptCount val="1"/>
                <c:pt idx="0">
                  <c:v>Window cleaning</c:v>
                </c:pt>
              </c:strCache>
            </c:strRef>
          </c:tx>
          <c:spPr>
            <a:solidFill>
              <a:schemeClr val="accent6">
                <a:lumMod val="75000"/>
              </a:schemeClr>
            </a:solidFill>
            <a:ln>
              <a:solidFill>
                <a:schemeClr val="tx1"/>
              </a:solidFill>
            </a:ln>
            <a:effectLst/>
          </c:spPr>
          <c:invertIfNegative val="0"/>
          <c:cat>
            <c:strRef>
              <c:f>'6-Water B7'!$P$77:$Q$77</c:f>
              <c:strCache>
                <c:ptCount val="2"/>
                <c:pt idx="0">
                  <c:v>Total %</c:v>
                </c:pt>
                <c:pt idx="1">
                  <c:v>Potable %</c:v>
                </c:pt>
              </c:strCache>
            </c:strRef>
          </c:cat>
          <c:val>
            <c:numRef>
              <c:f>'6-Water B7'!$P$83:$Q$83</c:f>
              <c:numCache>
                <c:formatCode>0.0%</c:formatCode>
                <c:ptCount val="2"/>
                <c:pt idx="0">
                  <c:v>8.8704831705153334E-4</c:v>
                </c:pt>
                <c:pt idx="1">
                  <c:v>3.5648858741397236E-3</c:v>
                </c:pt>
              </c:numCache>
            </c:numRef>
          </c:val>
          <c:extLst>
            <c:ext xmlns:c16="http://schemas.microsoft.com/office/drawing/2014/chart" uri="{C3380CC4-5D6E-409C-BE32-E72D297353CC}">
              <c16:uniqueId val="{00000005-72D5-4E25-8821-1D3EDFBBDE66}"/>
            </c:ext>
          </c:extLst>
        </c:ser>
        <c:ser>
          <c:idx val="6"/>
          <c:order val="6"/>
          <c:tx>
            <c:strRef>
              <c:f>'6-Water B7'!$M$84</c:f>
              <c:strCache>
                <c:ptCount val="1"/>
                <c:pt idx="0">
                  <c:v>Irrigation</c:v>
                </c:pt>
              </c:strCache>
            </c:strRef>
          </c:tx>
          <c:spPr>
            <a:solidFill>
              <a:srgbClr val="92D050"/>
            </a:solidFill>
            <a:ln>
              <a:solidFill>
                <a:schemeClr val="tx1"/>
              </a:solidFill>
            </a:ln>
            <a:effectLst/>
          </c:spPr>
          <c:invertIfNegative val="0"/>
          <c:cat>
            <c:strRef>
              <c:f>'6-Water B7'!$P$77:$Q$77</c:f>
              <c:strCache>
                <c:ptCount val="2"/>
                <c:pt idx="0">
                  <c:v>Total %</c:v>
                </c:pt>
                <c:pt idx="1">
                  <c:v>Potable %</c:v>
                </c:pt>
              </c:strCache>
            </c:strRef>
          </c:cat>
          <c:val>
            <c:numRef>
              <c:f>'6-Water B7'!$P$84:$Q$84</c:f>
              <c:numCache>
                <c:formatCode>0.0%</c:formatCode>
                <c:ptCount val="2"/>
                <c:pt idx="0">
                  <c:v>0.56636889423246073</c:v>
                </c:pt>
                <c:pt idx="1">
                  <c:v>0</c:v>
                </c:pt>
              </c:numCache>
            </c:numRef>
          </c:val>
          <c:extLst>
            <c:ext xmlns:c16="http://schemas.microsoft.com/office/drawing/2014/chart" uri="{C3380CC4-5D6E-409C-BE32-E72D297353CC}">
              <c16:uniqueId val="{00000006-72D5-4E25-8821-1D3EDFBBDE66}"/>
            </c:ext>
          </c:extLst>
        </c:ser>
        <c:ser>
          <c:idx val="7"/>
          <c:order val="7"/>
          <c:tx>
            <c:strRef>
              <c:f>'6-Water B7'!$M$85</c:f>
              <c:strCache>
                <c:ptCount val="1"/>
                <c:pt idx="0">
                  <c:v>Other-1 (please specify)</c:v>
                </c:pt>
              </c:strCache>
            </c:strRef>
          </c:tx>
          <c:spPr>
            <a:solidFill>
              <a:srgbClr val="FFFF00"/>
            </a:solidFill>
            <a:ln>
              <a:solidFill>
                <a:schemeClr val="tx1"/>
              </a:solidFill>
            </a:ln>
            <a:effectLst/>
          </c:spPr>
          <c:invertIfNegative val="0"/>
          <c:cat>
            <c:strRef>
              <c:f>'6-Water B7'!$P$77:$Q$77</c:f>
              <c:strCache>
                <c:ptCount val="2"/>
                <c:pt idx="0">
                  <c:v>Total %</c:v>
                </c:pt>
                <c:pt idx="1">
                  <c:v>Potable %</c:v>
                </c:pt>
              </c:strCache>
            </c:strRef>
          </c:cat>
          <c:val>
            <c:numRef>
              <c:f>'6-Water B7'!$P$85:$Q$85</c:f>
              <c:numCache>
                <c:formatCode>0.0%</c:formatCode>
                <c:ptCount val="2"/>
                <c:pt idx="0">
                  <c:v>0</c:v>
                </c:pt>
                <c:pt idx="1">
                  <c:v>0</c:v>
                </c:pt>
              </c:numCache>
            </c:numRef>
          </c:val>
          <c:extLst>
            <c:ext xmlns:c16="http://schemas.microsoft.com/office/drawing/2014/chart" uri="{C3380CC4-5D6E-409C-BE32-E72D297353CC}">
              <c16:uniqueId val="{00000007-72D5-4E25-8821-1D3EDFBBDE66}"/>
            </c:ext>
          </c:extLst>
        </c:ser>
        <c:ser>
          <c:idx val="8"/>
          <c:order val="8"/>
          <c:tx>
            <c:strRef>
              <c:f>'6-Water B7'!$M$86</c:f>
              <c:strCache>
                <c:ptCount val="1"/>
                <c:pt idx="0">
                  <c:v>Other-2 (please specify)</c:v>
                </c:pt>
              </c:strCache>
            </c:strRef>
          </c:tx>
          <c:spPr>
            <a:solidFill>
              <a:srgbClr val="FFFF99"/>
            </a:solidFill>
            <a:ln>
              <a:solidFill>
                <a:sysClr val="windowText" lastClr="000000"/>
              </a:solidFill>
            </a:ln>
            <a:effectLst/>
          </c:spPr>
          <c:invertIfNegative val="0"/>
          <c:cat>
            <c:strRef>
              <c:f>'6-Water B7'!$P$77:$Q$77</c:f>
              <c:strCache>
                <c:ptCount val="2"/>
                <c:pt idx="0">
                  <c:v>Total %</c:v>
                </c:pt>
                <c:pt idx="1">
                  <c:v>Potable %</c:v>
                </c:pt>
              </c:strCache>
            </c:strRef>
          </c:cat>
          <c:val>
            <c:numRef>
              <c:f>'6-Water B7'!$P$86:$Q$86</c:f>
              <c:numCache>
                <c:formatCode>0.0%</c:formatCode>
                <c:ptCount val="2"/>
                <c:pt idx="0">
                  <c:v>0</c:v>
                </c:pt>
                <c:pt idx="1">
                  <c:v>0</c:v>
                </c:pt>
              </c:numCache>
            </c:numRef>
          </c:val>
          <c:extLst>
            <c:ext xmlns:c16="http://schemas.microsoft.com/office/drawing/2014/chart" uri="{C3380CC4-5D6E-409C-BE32-E72D297353CC}">
              <c16:uniqueId val="{00000008-72D5-4E25-8821-1D3EDFBBDE66}"/>
            </c:ext>
          </c:extLst>
        </c:ser>
        <c:ser>
          <c:idx val="9"/>
          <c:order val="9"/>
          <c:tx>
            <c:strRef>
              <c:f>'6-Water B7'!$M$87</c:f>
              <c:strCache>
                <c:ptCount val="1"/>
                <c:pt idx="0">
                  <c:v>Other-3 (please specify)</c:v>
                </c:pt>
              </c:strCache>
            </c:strRef>
          </c:tx>
          <c:spPr>
            <a:solidFill>
              <a:sysClr val="window" lastClr="FFFFFF"/>
            </a:solidFill>
            <a:ln>
              <a:solidFill>
                <a:sysClr val="windowText" lastClr="000000"/>
              </a:solidFill>
            </a:ln>
            <a:effectLst/>
          </c:spPr>
          <c:invertIfNegative val="0"/>
          <c:cat>
            <c:strRef>
              <c:f>'6-Water B7'!$P$77:$Q$77</c:f>
              <c:strCache>
                <c:ptCount val="2"/>
                <c:pt idx="0">
                  <c:v>Total %</c:v>
                </c:pt>
                <c:pt idx="1">
                  <c:v>Potable %</c:v>
                </c:pt>
              </c:strCache>
            </c:strRef>
          </c:cat>
          <c:val>
            <c:numRef>
              <c:f>'6-Water B7'!$P$87:$Q$87</c:f>
              <c:numCache>
                <c:formatCode>0.0%</c:formatCode>
                <c:ptCount val="2"/>
                <c:pt idx="0">
                  <c:v>0</c:v>
                </c:pt>
                <c:pt idx="1">
                  <c:v>0</c:v>
                </c:pt>
              </c:numCache>
            </c:numRef>
          </c:val>
          <c:extLst>
            <c:ext xmlns:c16="http://schemas.microsoft.com/office/drawing/2014/chart" uri="{C3380CC4-5D6E-409C-BE32-E72D297353CC}">
              <c16:uniqueId val="{00000009-72D5-4E25-8821-1D3EDFBBDE66}"/>
            </c:ext>
          </c:extLst>
        </c:ser>
        <c:dLbls>
          <c:showLegendKey val="0"/>
          <c:showVal val="0"/>
          <c:showCatName val="0"/>
          <c:showSerName val="0"/>
          <c:showPercent val="0"/>
          <c:showBubbleSize val="0"/>
        </c:dLbls>
        <c:gapWidth val="150"/>
        <c:overlap val="100"/>
        <c:axId val="1092547224"/>
        <c:axId val="1092549848"/>
      </c:barChart>
      <c:catAx>
        <c:axId val="1092547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2549848"/>
        <c:crosses val="autoZero"/>
        <c:auto val="1"/>
        <c:lblAlgn val="ctr"/>
        <c:lblOffset val="100"/>
        <c:noMultiLvlLbl val="0"/>
      </c:catAx>
      <c:valAx>
        <c:axId val="1092549848"/>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2547224"/>
        <c:crosses val="autoZero"/>
        <c:crossBetween val="between"/>
        <c:majorUnit val="0.1"/>
      </c:valAx>
      <c:spPr>
        <a:noFill/>
        <a:ln>
          <a:noFill/>
        </a:ln>
        <a:effectLst/>
      </c:spPr>
    </c:plotArea>
    <c:legend>
      <c:legendPos val="b"/>
      <c:layout>
        <c:manualLayout>
          <c:xMode val="edge"/>
          <c:yMode val="edge"/>
          <c:x val="2.8781282276809567E-2"/>
          <c:y val="0.84632740869652678"/>
          <c:w val="0.93809061442202935"/>
          <c:h val="0.1446770879926676"/>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E"/>
              <a:t>Annual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Results!$D$211</c:f>
              <c:strCache>
                <c:ptCount val="1"/>
                <c:pt idx="0">
                  <c:v>Material manufacture and construction (currently not regulated)</c:v>
                </c:pt>
              </c:strCache>
            </c:strRef>
          </c:tx>
          <c:spPr>
            <a:solidFill>
              <a:srgbClr val="FF0000"/>
            </a:solidFill>
            <a:ln>
              <a:solidFill>
                <a:srgbClr val="FF0000"/>
              </a:solidFill>
            </a:ln>
            <a:effectLst/>
          </c:spPr>
          <c:invertIfNegative val="0"/>
          <c:cat>
            <c:numRef>
              <c:f>Results!$E$217:$BD$217</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Results!$E$211:$BD$211</c:f>
              <c:numCache>
                <c:formatCode>General</c:formatCode>
                <c:ptCount val="51"/>
                <c:pt idx="0" formatCode="_-* #,##0_-;\-* #,##0_-;_-* &quot;-&quot;??_-;_-@_-">
                  <c:v>0</c:v>
                </c:pt>
              </c:numCache>
            </c:numRef>
          </c:val>
          <c:extLst>
            <c:ext xmlns:c16="http://schemas.microsoft.com/office/drawing/2014/chart" uri="{C3380CC4-5D6E-409C-BE32-E72D297353CC}">
              <c16:uniqueId val="{00000000-4924-4A6E-90AE-74EE1159CF29}"/>
            </c:ext>
          </c:extLst>
        </c:ser>
        <c:ser>
          <c:idx val="1"/>
          <c:order val="1"/>
          <c:tx>
            <c:strRef>
              <c:f>Results!$D$212</c:f>
              <c:strCache>
                <c:ptCount val="1"/>
                <c:pt idx="0">
                  <c:v>B1</c:v>
                </c:pt>
              </c:strCache>
            </c:strRef>
          </c:tx>
          <c:spPr>
            <a:solidFill>
              <a:schemeClr val="accent2"/>
            </a:solidFill>
            <a:ln>
              <a:noFill/>
            </a:ln>
            <a:effectLst/>
          </c:spPr>
          <c:invertIfNegative val="0"/>
          <c:cat>
            <c:numRef>
              <c:f>Results!$E$217:$BD$217</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Results!$E$212:$BD$212</c:f>
              <c:numCache>
                <c:formatCode>General</c:formatCode>
                <c:ptCount val="5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4924-4A6E-90AE-74EE1159CF29}"/>
            </c:ext>
          </c:extLst>
        </c:ser>
        <c:ser>
          <c:idx val="2"/>
          <c:order val="2"/>
          <c:tx>
            <c:strRef>
              <c:f>Results!$D$214</c:f>
              <c:strCache>
                <c:ptCount val="1"/>
                <c:pt idx="0">
                  <c:v>Heating, Cooling, Lighting (Regulated)</c:v>
                </c:pt>
              </c:strCache>
            </c:strRef>
          </c:tx>
          <c:spPr>
            <a:solidFill>
              <a:schemeClr val="accent3"/>
            </a:solidFill>
            <a:ln>
              <a:noFill/>
            </a:ln>
            <a:effectLst/>
          </c:spPr>
          <c:invertIfNegative val="0"/>
          <c:cat>
            <c:numRef>
              <c:f>Results!$E$217:$BD$217</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Results!$E$214:$BD$214</c:f>
              <c:numCache>
                <c:formatCode>0.0</c:formatCode>
                <c:ptCount val="51"/>
                <c:pt idx="1">
                  <c:v>0.62076765866301442</c:v>
                </c:pt>
                <c:pt idx="2">
                  <c:v>0.5753795375734384</c:v>
                </c:pt>
                <c:pt idx="3">
                  <c:v>0.46449132616590993</c:v>
                </c:pt>
                <c:pt idx="4">
                  <c:v>0.42156118000380904</c:v>
                </c:pt>
                <c:pt idx="5">
                  <c:v>0.31496614421032859</c:v>
                </c:pt>
                <c:pt idx="6">
                  <c:v>0.24797132846087275</c:v>
                </c:pt>
                <c:pt idx="7">
                  <c:v>0.20013470077065984</c:v>
                </c:pt>
                <c:pt idx="8">
                  <c:v>0.16074877790838613</c:v>
                </c:pt>
                <c:pt idx="9">
                  <c:v>0.13628643726120762</c:v>
                </c:pt>
                <c:pt idx="10">
                  <c:v>0.13108801421812805</c:v>
                </c:pt>
                <c:pt idx="11">
                  <c:v>0.10775003566329119</c:v>
                </c:pt>
                <c:pt idx="12">
                  <c:v>0.10501882296731371</c:v>
                </c:pt>
                <c:pt idx="13">
                  <c:v>0.10987278509288442</c:v>
                </c:pt>
                <c:pt idx="14">
                  <c:v>0.10950762176560115</c:v>
                </c:pt>
                <c:pt idx="15">
                  <c:v>9.0204392168592218E-2</c:v>
                </c:pt>
                <c:pt idx="16">
                  <c:v>8.3562352559006361E-2</c:v>
                </c:pt>
                <c:pt idx="17">
                  <c:v>9.2139817986296488E-2</c:v>
                </c:pt>
                <c:pt idx="18">
                  <c:v>8.6893558512980168E-2</c:v>
                </c:pt>
                <c:pt idx="19">
                  <c:v>7.1753027061131375E-2</c:v>
                </c:pt>
                <c:pt idx="20">
                  <c:v>6.9687701712275826E-2</c:v>
                </c:pt>
                <c:pt idx="21">
                  <c:v>7.5157737165648053E-2</c:v>
                </c:pt>
                <c:pt idx="22">
                  <c:v>7.2880245983003938E-2</c:v>
                </c:pt>
                <c:pt idx="23">
                  <c:v>8.1940110530714844E-2</c:v>
                </c:pt>
                <c:pt idx="24">
                  <c:v>6.2826933562672715E-2</c:v>
                </c:pt>
                <c:pt idx="25">
                  <c:v>6.8002496845196062E-2</c:v>
                </c:pt>
                <c:pt idx="26">
                  <c:v>6.5595765406824602E-2</c:v>
                </c:pt>
                <c:pt idx="27">
                  <c:v>6.7208775779206073E-2</c:v>
                </c:pt>
                <c:pt idx="28">
                  <c:v>6.6086000719477636E-2</c:v>
                </c:pt>
                <c:pt idx="29">
                  <c:v>6.4967065320092901E-2</c:v>
                </c:pt>
                <c:pt idx="30">
                  <c:v>6.3851969581051868E-2</c:v>
                </c:pt>
                <c:pt idx="31">
                  <c:v>6.2862709448995815E-2</c:v>
                </c:pt>
                <c:pt idx="32">
                  <c:v>6.1873449316939763E-2</c:v>
                </c:pt>
                <c:pt idx="33">
                  <c:v>6.0884189184883711E-2</c:v>
                </c:pt>
                <c:pt idx="34">
                  <c:v>5.9894929052827658E-2</c:v>
                </c:pt>
                <c:pt idx="35">
                  <c:v>5.8905668920771606E-2</c:v>
                </c:pt>
                <c:pt idx="36">
                  <c:v>5.7916408788715554E-2</c:v>
                </c:pt>
                <c:pt idx="37">
                  <c:v>5.6927148656659494E-2</c:v>
                </c:pt>
                <c:pt idx="38">
                  <c:v>5.5937888524603442E-2</c:v>
                </c:pt>
                <c:pt idx="39">
                  <c:v>5.494862839254739E-2</c:v>
                </c:pt>
                <c:pt idx="40">
                  <c:v>5.3959368260491337E-2</c:v>
                </c:pt>
                <c:pt idx="41">
                  <c:v>5.2970108128435285E-2</c:v>
                </c:pt>
                <c:pt idx="42">
                  <c:v>5.1980847996379233E-2</c:v>
                </c:pt>
                <c:pt idx="43">
                  <c:v>5.099158786432318E-2</c:v>
                </c:pt>
                <c:pt idx="44">
                  <c:v>5.0002327732267128E-2</c:v>
                </c:pt>
                <c:pt idx="45">
                  <c:v>4.9013067600211076E-2</c:v>
                </c:pt>
                <c:pt idx="46">
                  <c:v>4.8023807468155023E-2</c:v>
                </c:pt>
                <c:pt idx="47">
                  <c:v>4.7034547336098964E-2</c:v>
                </c:pt>
                <c:pt idx="48">
                  <c:v>4.6045287204042905E-2</c:v>
                </c:pt>
                <c:pt idx="49">
                  <c:v>4.5056027071986852E-2</c:v>
                </c:pt>
                <c:pt idx="50">
                  <c:v>4.4066766939930786E-2</c:v>
                </c:pt>
              </c:numCache>
            </c:numRef>
          </c:val>
          <c:extLst>
            <c:ext xmlns:c16="http://schemas.microsoft.com/office/drawing/2014/chart" uri="{C3380CC4-5D6E-409C-BE32-E72D297353CC}">
              <c16:uniqueId val="{00000002-4924-4A6E-90AE-74EE1159CF29}"/>
            </c:ext>
          </c:extLst>
        </c:ser>
        <c:ser>
          <c:idx val="3"/>
          <c:order val="3"/>
          <c:tx>
            <c:strRef>
              <c:f>Results!$D$215</c:f>
              <c:strCache>
                <c:ptCount val="1"/>
                <c:pt idx="0">
                  <c:v>B7</c:v>
                </c:pt>
              </c:strCache>
            </c:strRef>
          </c:tx>
          <c:spPr>
            <a:solidFill>
              <a:schemeClr val="accent4"/>
            </a:solidFill>
            <a:ln>
              <a:noFill/>
            </a:ln>
            <a:effectLst/>
          </c:spPr>
          <c:invertIfNegative val="0"/>
          <c:cat>
            <c:numRef>
              <c:f>Results!$E$217:$BD$217</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Results!$E$215:$BD$215</c:f>
              <c:numCache>
                <c:formatCode>0</c:formatCode>
                <c:ptCount val="5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3-4924-4A6E-90AE-74EE1159CF29}"/>
            </c:ext>
          </c:extLst>
        </c:ser>
        <c:ser>
          <c:idx val="4"/>
          <c:order val="4"/>
          <c:tx>
            <c:strRef>
              <c:f>Results!$D$216</c:f>
              <c:strCache>
                <c:ptCount val="1"/>
                <c:pt idx="0">
                  <c:v>Demolition / deconstruction</c:v>
                </c:pt>
              </c:strCache>
            </c:strRef>
          </c:tx>
          <c:spPr>
            <a:solidFill>
              <a:schemeClr val="accent5"/>
            </a:solidFill>
            <a:ln>
              <a:noFill/>
            </a:ln>
            <a:effectLst/>
          </c:spPr>
          <c:invertIfNegative val="0"/>
          <c:cat>
            <c:numRef>
              <c:f>Results!$E$217:$BD$217</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Results!$E$216:$BD$216</c:f>
              <c:numCache>
                <c:formatCode>General</c:formatCode>
                <c:ptCount val="51"/>
                <c:pt idx="50" formatCode="_-* #,##0_-;\-* #,##0_-;_-* &quot;-&quot;??_-;_-@_-">
                  <c:v>108.8</c:v>
                </c:pt>
              </c:numCache>
            </c:numRef>
          </c:val>
          <c:extLst>
            <c:ext xmlns:c16="http://schemas.microsoft.com/office/drawing/2014/chart" uri="{C3380CC4-5D6E-409C-BE32-E72D297353CC}">
              <c16:uniqueId val="{00000004-4924-4A6E-90AE-74EE1159CF29}"/>
            </c:ext>
          </c:extLst>
        </c:ser>
        <c:dLbls>
          <c:showLegendKey val="0"/>
          <c:showVal val="0"/>
          <c:showCatName val="0"/>
          <c:showSerName val="0"/>
          <c:showPercent val="0"/>
          <c:showBubbleSize val="0"/>
        </c:dLbls>
        <c:gapWidth val="150"/>
        <c:overlap val="100"/>
        <c:axId val="1317535440"/>
        <c:axId val="1488188384"/>
        <c:extLst>
          <c:ext xmlns:c15="http://schemas.microsoft.com/office/drawing/2012/chart" uri="{02D57815-91ED-43cb-92C2-25804820EDAC}">
            <c15:filteredBarSeries>
              <c15:ser>
                <c:idx val="5"/>
                <c:order val="5"/>
                <c:tx>
                  <c:strRef>
                    <c:extLst>
                      <c:ext uri="{02D57815-91ED-43cb-92C2-25804820EDAC}">
                        <c15:formulaRef>
                          <c15:sqref>Results!$D$217</c15:sqref>
                        </c15:formulaRef>
                      </c:ext>
                    </c:extLst>
                    <c:strCache>
                      <c:ptCount val="1"/>
                      <c:pt idx="0">
                        <c:v>Year</c:v>
                      </c:pt>
                    </c:strCache>
                  </c:strRef>
                </c:tx>
                <c:spPr>
                  <a:solidFill>
                    <a:schemeClr val="accent6"/>
                  </a:solidFill>
                  <a:ln>
                    <a:noFill/>
                  </a:ln>
                  <a:effectLst/>
                </c:spPr>
                <c:invertIfNegative val="0"/>
                <c:cat>
                  <c:numRef>
                    <c:extLst>
                      <c:ext uri="{02D57815-91ED-43cb-92C2-25804820EDAC}">
                        <c15:formulaRef>
                          <c15:sqref>Results!$E$217:$BD$217</c15:sqref>
                        </c15:formulaRef>
                      </c:ext>
                    </c:extLst>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extLst>
                      <c:ext uri="{02D57815-91ED-43cb-92C2-25804820EDAC}">
                        <c15:formulaRef>
                          <c15:sqref>Results!$E$217:$BD$217</c15:sqref>
                        </c15:formulaRef>
                      </c:ext>
                    </c:extLst>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val>
                <c:extLst>
                  <c:ext xmlns:c16="http://schemas.microsoft.com/office/drawing/2014/chart" uri="{C3380CC4-5D6E-409C-BE32-E72D297353CC}">
                    <c16:uniqueId val="{00000005-4924-4A6E-90AE-74EE1159CF29}"/>
                  </c:ext>
                </c:extLst>
              </c15:ser>
            </c15:filteredBarSeries>
          </c:ext>
        </c:extLst>
      </c:barChart>
      <c:catAx>
        <c:axId val="131753544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IE" sz="1100"/>
                  <a:t>Year</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88188384"/>
        <c:crosses val="autoZero"/>
        <c:auto val="1"/>
        <c:lblAlgn val="ctr"/>
        <c:lblOffset val="100"/>
        <c:noMultiLvlLbl val="0"/>
      </c:catAx>
      <c:valAx>
        <c:axId val="1488188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E"/>
                  <a:t>KgCO2e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7535440"/>
        <c:crosses val="autoZero"/>
        <c:crossBetween val="between"/>
      </c:valAx>
      <c:spPr>
        <a:noFill/>
        <a:ln>
          <a:noFill/>
        </a:ln>
        <a:effectLst/>
      </c:spPr>
    </c:plotArea>
    <c:legend>
      <c:legendPos val="t"/>
      <c:legendEntry>
        <c:idx val="1"/>
        <c:delete val="1"/>
      </c:legendEntry>
      <c:legendEntry>
        <c:idx val="3"/>
        <c:delete val="1"/>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IE"/>
              <a:t>Proportion by building element</a:t>
            </a:r>
          </a:p>
        </c:rich>
      </c:tx>
      <c:layout>
        <c:manualLayout>
          <c:xMode val="edge"/>
          <c:yMode val="edge"/>
          <c:x val="7.6306559178691852E-3"/>
          <c:y val="1.286846754283705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Results!$W$5:$W$49</c:f>
              <c:strCache>
                <c:ptCount val="45"/>
                <c:pt idx="0">
                  <c:v> -   </c:v>
                </c:pt>
                <c:pt idx="1">
                  <c:v> -   </c:v>
                </c:pt>
                <c:pt idx="2">
                  <c:v> -   </c:v>
                </c:pt>
                <c:pt idx="3">
                  <c:v> -   </c:v>
                </c:pt>
                <c:pt idx="4">
                  <c:v> -   </c:v>
                </c:pt>
                <c:pt idx="5">
                  <c:v> -   </c:v>
                </c:pt>
                <c:pt idx="6">
                  <c:v> -   </c:v>
                </c:pt>
                <c:pt idx="7">
                  <c:v> -   </c:v>
                </c:pt>
                <c:pt idx="8">
                  <c:v> -   </c:v>
                </c:pt>
                <c:pt idx="9">
                  <c:v> -   </c:v>
                </c:pt>
                <c:pt idx="10">
                  <c:v> -   </c:v>
                </c:pt>
                <c:pt idx="11">
                  <c:v> -   </c:v>
                </c:pt>
                <c:pt idx="12">
                  <c:v> -   </c:v>
                </c:pt>
                <c:pt idx="13">
                  <c:v> -   </c:v>
                </c:pt>
                <c:pt idx="14">
                  <c:v> -   </c:v>
                </c:pt>
                <c:pt idx="15">
                  <c:v> -   </c:v>
                </c:pt>
                <c:pt idx="16">
                  <c:v> -   </c:v>
                </c:pt>
                <c:pt idx="17">
                  <c:v> -   </c:v>
                </c:pt>
                <c:pt idx="18">
                  <c:v> -   </c:v>
                </c:pt>
                <c:pt idx="19">
                  <c:v> -   </c:v>
                </c:pt>
                <c:pt idx="20">
                  <c:v> -   </c:v>
                </c:pt>
                <c:pt idx="21">
                  <c:v> -   </c:v>
                </c:pt>
                <c:pt idx="22">
                  <c:v> -   </c:v>
                </c:pt>
                <c:pt idx="23">
                  <c:v> -   </c:v>
                </c:pt>
                <c:pt idx="24">
                  <c:v> -   </c:v>
                </c:pt>
                <c:pt idx="25">
                  <c:v> -   </c:v>
                </c:pt>
                <c:pt idx="26">
                  <c:v> -   </c:v>
                </c:pt>
                <c:pt idx="27">
                  <c:v> -   </c:v>
                </c:pt>
                <c:pt idx="28">
                  <c:v> -   </c:v>
                </c:pt>
                <c:pt idx="29">
                  <c:v> -   </c:v>
                </c:pt>
                <c:pt idx="30">
                  <c:v> -   </c:v>
                </c:pt>
                <c:pt idx="31">
                  <c:v> -   </c:v>
                </c:pt>
                <c:pt idx="32">
                  <c:v> -   </c:v>
                </c:pt>
                <c:pt idx="33">
                  <c:v> -   </c:v>
                </c:pt>
                <c:pt idx="34">
                  <c:v> -   </c:v>
                </c:pt>
                <c:pt idx="35">
                  <c:v> -   </c:v>
                </c:pt>
                <c:pt idx="36">
                  <c:v> -   </c:v>
                </c:pt>
                <c:pt idx="37">
                  <c:v> -   </c:v>
                </c:pt>
                <c:pt idx="38">
                  <c:v> -   </c:v>
                </c:pt>
                <c:pt idx="39">
                  <c:v> -   </c:v>
                </c:pt>
                <c:pt idx="40">
                  <c:v> -   </c:v>
                </c:pt>
                <c:pt idx="41">
                  <c:v> -   </c:v>
                </c:pt>
                <c:pt idx="44">
                  <c:v> 109 </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592-4BC5-AC8C-79BF2B664DA8}"/>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4-EF4F-497E-A9F8-C79EFD11728F}"/>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5-EF4F-497E-A9F8-C79EFD11728F}"/>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592-4BC5-AC8C-79BF2B664DA8}"/>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6-EF4F-497E-A9F8-C79EFD11728F}"/>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7-EF4F-497E-A9F8-C79EFD11728F}"/>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8-EF4F-497E-A9F8-C79EFD11728F}"/>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B592-4BC5-AC8C-79BF2B664DA8}"/>
              </c:ext>
            </c:extLst>
          </c:dPt>
          <c:dPt>
            <c:idx val="8"/>
            <c:bubble3D val="0"/>
            <c:spPr>
              <a:solidFill>
                <a:schemeClr val="accent3">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E-1902-4BEF-9D4C-E8569DA33387}"/>
              </c:ext>
            </c:extLst>
          </c:dPt>
          <c:dPt>
            <c:idx val="9"/>
            <c:bubble3D val="0"/>
            <c:spPr>
              <a:solidFill>
                <a:schemeClr val="accent4">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F-1902-4BEF-9D4C-E8569DA33387}"/>
              </c:ext>
            </c:extLst>
          </c:dPt>
          <c:dPt>
            <c:idx val="10"/>
            <c:bubble3D val="0"/>
            <c:spPr>
              <a:solidFill>
                <a:schemeClr val="accent5">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B592-4BC5-AC8C-79BF2B664DA8}"/>
              </c:ext>
            </c:extLst>
          </c:dPt>
          <c:dPt>
            <c:idx val="11"/>
            <c:bubble3D val="0"/>
            <c:spPr>
              <a:solidFill>
                <a:schemeClr val="accent6">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0-1902-4BEF-9D4C-E8569DA33387}"/>
              </c:ext>
            </c:extLst>
          </c:dPt>
          <c:dPt>
            <c:idx val="12"/>
            <c:bubble3D val="0"/>
            <c:spPr>
              <a:solidFill>
                <a:schemeClr val="accent1">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1-1902-4BEF-9D4C-E8569DA33387}"/>
              </c:ext>
            </c:extLst>
          </c:dPt>
          <c:dPt>
            <c:idx val="13"/>
            <c:bubble3D val="0"/>
            <c:spPr>
              <a:solidFill>
                <a:schemeClr val="accent2">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B592-4BC5-AC8C-79BF2B664DA8}"/>
              </c:ext>
            </c:extLst>
          </c:dPt>
          <c:dPt>
            <c:idx val="14"/>
            <c:bubble3D val="0"/>
            <c:spPr>
              <a:solidFill>
                <a:schemeClr val="accent3">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2-1902-4BEF-9D4C-E8569DA33387}"/>
              </c:ext>
            </c:extLst>
          </c:dPt>
          <c:dPt>
            <c:idx val="15"/>
            <c:bubble3D val="0"/>
            <c:spPr>
              <a:solidFill>
                <a:schemeClr val="accent4">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B592-4BC5-AC8C-79BF2B664DA8}"/>
              </c:ext>
            </c:extLst>
          </c:dPt>
          <c:dPt>
            <c:idx val="16"/>
            <c:bubble3D val="0"/>
            <c:spPr>
              <a:solidFill>
                <a:schemeClr val="accent5">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B592-4BC5-AC8C-79BF2B664DA8}"/>
              </c:ext>
            </c:extLst>
          </c:dPt>
          <c:dPt>
            <c:idx val="17"/>
            <c:bubble3D val="0"/>
            <c:spPr>
              <a:solidFill>
                <a:schemeClr val="accent6">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3-1902-4BEF-9D4C-E8569DA33387}"/>
              </c:ext>
            </c:extLst>
          </c:dPt>
          <c:dPt>
            <c:idx val="18"/>
            <c:bubble3D val="0"/>
            <c:spPr>
              <a:solidFill>
                <a:schemeClr val="accent1">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4-1902-4BEF-9D4C-E8569DA33387}"/>
              </c:ext>
            </c:extLst>
          </c:dPt>
          <c:dPt>
            <c:idx val="19"/>
            <c:bubble3D val="0"/>
            <c:spPr>
              <a:solidFill>
                <a:schemeClr val="accent2">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5-1902-4BEF-9D4C-E8569DA33387}"/>
              </c:ext>
            </c:extLst>
          </c:dPt>
          <c:dPt>
            <c:idx val="20"/>
            <c:bubble3D val="0"/>
            <c:spPr>
              <a:solidFill>
                <a:schemeClr val="accent3">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6-1902-4BEF-9D4C-E8569DA33387}"/>
              </c:ext>
            </c:extLst>
          </c:dPt>
          <c:dPt>
            <c:idx val="21"/>
            <c:bubble3D val="0"/>
            <c:spPr>
              <a:solidFill>
                <a:schemeClr val="accent4">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F-B592-4BC5-AC8C-79BF2B664DA8}"/>
              </c:ext>
            </c:extLst>
          </c:dPt>
          <c:dPt>
            <c:idx val="22"/>
            <c:bubble3D val="0"/>
            <c:spPr>
              <a:solidFill>
                <a:schemeClr val="accent5">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1-B592-4BC5-AC8C-79BF2B664DA8}"/>
              </c:ext>
            </c:extLst>
          </c:dPt>
          <c:dPt>
            <c:idx val="23"/>
            <c:bubble3D val="0"/>
            <c:spPr>
              <a:solidFill>
                <a:schemeClr val="accent6">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7-1902-4BEF-9D4C-E8569DA33387}"/>
              </c:ext>
            </c:extLst>
          </c:dPt>
          <c:dPt>
            <c:idx val="24"/>
            <c:bubble3D val="0"/>
            <c:spPr>
              <a:solidFill>
                <a:schemeClr val="accent1">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3-B592-4BC5-AC8C-79BF2B664DA8}"/>
              </c:ext>
            </c:extLst>
          </c:dPt>
          <c:dPt>
            <c:idx val="25"/>
            <c:bubble3D val="0"/>
            <c:spPr>
              <a:solidFill>
                <a:schemeClr val="accent2">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8-1902-4BEF-9D4C-E8569DA33387}"/>
              </c:ext>
            </c:extLst>
          </c:dPt>
          <c:dPt>
            <c:idx val="26"/>
            <c:bubble3D val="0"/>
            <c:spPr>
              <a:solidFill>
                <a:schemeClr val="accent3">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5-B592-4BC5-AC8C-79BF2B664DA8}"/>
              </c:ext>
            </c:extLst>
          </c:dPt>
          <c:dPt>
            <c:idx val="27"/>
            <c:bubble3D val="0"/>
            <c:spPr>
              <a:solidFill>
                <a:schemeClr val="accent4">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9-1902-4BEF-9D4C-E8569DA33387}"/>
              </c:ext>
            </c:extLst>
          </c:dPt>
          <c:dPt>
            <c:idx val="28"/>
            <c:bubble3D val="0"/>
            <c:spPr>
              <a:solidFill>
                <a:schemeClr val="accent5">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7-B592-4BC5-AC8C-79BF2B664DA8}"/>
              </c:ext>
            </c:extLst>
          </c:dPt>
          <c:dPt>
            <c:idx val="29"/>
            <c:bubble3D val="0"/>
            <c:spPr>
              <a:solidFill>
                <a:schemeClr val="accent6">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A-1902-4BEF-9D4C-E8569DA33387}"/>
              </c:ext>
            </c:extLst>
          </c:dPt>
          <c:dPt>
            <c:idx val="30"/>
            <c:bubble3D val="0"/>
            <c:spPr>
              <a:solidFill>
                <a:schemeClr val="accent1">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B-1902-4BEF-9D4C-E8569DA33387}"/>
              </c:ext>
            </c:extLst>
          </c:dPt>
          <c:dPt>
            <c:idx val="31"/>
            <c:bubble3D val="0"/>
            <c:spPr>
              <a:solidFill>
                <a:schemeClr val="accent2">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9-B592-4BC5-AC8C-79BF2B664DA8}"/>
              </c:ext>
            </c:extLst>
          </c:dPt>
          <c:dPt>
            <c:idx val="32"/>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C-1902-4BEF-9D4C-E8569DA33387}"/>
              </c:ext>
            </c:extLst>
          </c:dPt>
          <c:dPt>
            <c:idx val="33"/>
            <c:bubble3D val="0"/>
            <c:spPr>
              <a:solidFill>
                <a:schemeClr val="accent4">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B-B592-4BC5-AC8C-79BF2B664DA8}"/>
              </c:ext>
            </c:extLst>
          </c:dPt>
          <c:dPt>
            <c:idx val="34"/>
            <c:bubble3D val="0"/>
            <c:spPr>
              <a:solidFill>
                <a:schemeClr val="accent5">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D-1902-4BEF-9D4C-E8569DA33387}"/>
              </c:ext>
            </c:extLst>
          </c:dPt>
          <c:dPt>
            <c:idx val="35"/>
            <c:bubble3D val="0"/>
            <c:spPr>
              <a:solidFill>
                <a:schemeClr val="accent6">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E-1902-4BEF-9D4C-E8569DA33387}"/>
              </c:ext>
            </c:extLst>
          </c:dPt>
          <c:dPt>
            <c:idx val="36"/>
            <c:bubble3D val="0"/>
            <c:spPr>
              <a:solidFill>
                <a:schemeClr val="accent1">
                  <a:lumMod val="70000"/>
                  <a:lumOff val="3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F-1902-4BEF-9D4C-E8569DA33387}"/>
              </c:ext>
            </c:extLst>
          </c:dPt>
          <c:dPt>
            <c:idx val="37"/>
            <c:bubble3D val="0"/>
            <c:spPr>
              <a:solidFill>
                <a:schemeClr val="accent2">
                  <a:lumMod val="70000"/>
                  <a:lumOff val="3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D-B592-4BC5-AC8C-79BF2B664DA8}"/>
              </c:ext>
            </c:extLst>
          </c:dPt>
          <c:dPt>
            <c:idx val="38"/>
            <c:bubble3D val="0"/>
            <c:spPr>
              <a:solidFill>
                <a:schemeClr val="accent3">
                  <a:lumMod val="70000"/>
                  <a:lumOff val="3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40-1902-4BEF-9D4C-E8569DA33387}"/>
              </c:ext>
            </c:extLst>
          </c:dPt>
          <c:dPt>
            <c:idx val="39"/>
            <c:bubble3D val="0"/>
            <c:spPr>
              <a:solidFill>
                <a:schemeClr val="accent4">
                  <a:lumMod val="70000"/>
                  <a:lumOff val="3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41-1902-4BEF-9D4C-E8569DA33387}"/>
              </c:ext>
            </c:extLst>
          </c:dPt>
          <c:dPt>
            <c:idx val="40"/>
            <c:bubble3D val="0"/>
            <c:spPr>
              <a:solidFill>
                <a:schemeClr val="accent5">
                  <a:lumMod val="70000"/>
                  <a:lumOff val="3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42-1902-4BEF-9D4C-E8569DA33387}"/>
              </c:ext>
            </c:extLst>
          </c:dPt>
          <c:dPt>
            <c:idx val="41"/>
            <c:bubble3D val="0"/>
            <c:spPr>
              <a:solidFill>
                <a:schemeClr val="accent6">
                  <a:lumMod val="70000"/>
                  <a:lumOff val="3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F-B592-4BC5-AC8C-79BF2B664DA8}"/>
              </c:ext>
            </c:extLst>
          </c:dPt>
          <c:dPt>
            <c:idx val="42"/>
            <c:bubble3D val="0"/>
            <c:spPr>
              <a:solidFill>
                <a:schemeClr val="accent1">
                  <a:lumMod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1-B592-4BC5-AC8C-79BF2B664DA8}"/>
              </c:ext>
            </c:extLst>
          </c:dPt>
          <c:dPt>
            <c:idx val="43"/>
            <c:bubble3D val="0"/>
            <c:spPr>
              <a:solidFill>
                <a:schemeClr val="accent2">
                  <a:lumMod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3-B592-4BC5-AC8C-79BF2B664DA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B592-4BC5-AC8C-79BF2B664DA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24-EF4F-497E-A9F8-C79EFD11728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25-EF4F-497E-A9F8-C79EFD11728F}"/>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B592-4BC5-AC8C-79BF2B664DA8}"/>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26-EF4F-497E-A9F8-C79EFD11728F}"/>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27-EF4F-497E-A9F8-C79EFD11728F}"/>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28-EF4F-497E-A9F8-C79EFD11728F}"/>
                </c:ext>
              </c:extLst>
            </c:dLbl>
            <c:dLbl>
              <c:idx val="7"/>
              <c:layout>
                <c:manualLayout>
                  <c:x val="-5.7196545371047021E-2"/>
                  <c:y val="-3.544946148918442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92-4BC5-AC8C-79BF2B664DA8}"/>
                </c:ext>
              </c:extLst>
            </c:dLbl>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2E-1902-4BEF-9D4C-E8569DA33387}"/>
                </c:ext>
              </c:extLst>
            </c:dLbl>
            <c:dLbl>
              <c:idx val="9"/>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lumMod val="6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2F-1902-4BEF-9D4C-E8569DA33387}"/>
                </c:ext>
              </c:extLst>
            </c:dLbl>
            <c:dLbl>
              <c:idx val="1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lumMod val="6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B592-4BC5-AC8C-79BF2B664DA8}"/>
                </c:ext>
              </c:extLst>
            </c:dLbl>
            <c:dLbl>
              <c:idx val="1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6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30-1902-4BEF-9D4C-E8569DA33387}"/>
                </c:ext>
              </c:extLst>
            </c:dLbl>
            <c:dLbl>
              <c:idx val="1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80000"/>
                          <a:lumOff val="2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31-1902-4BEF-9D4C-E8569DA33387}"/>
                </c:ext>
              </c:extLst>
            </c:dLbl>
            <c:dLbl>
              <c:idx val="1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80000"/>
                          <a:lumOff val="2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B592-4BC5-AC8C-79BF2B664DA8}"/>
                </c:ext>
              </c:extLst>
            </c:dLbl>
            <c:dLbl>
              <c:idx val="1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80000"/>
                          <a:lumOff val="2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32-1902-4BEF-9D4C-E8569DA33387}"/>
                </c:ext>
              </c:extLst>
            </c:dLbl>
            <c:dLbl>
              <c:idx val="1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lumMod val="80000"/>
                          <a:lumOff val="2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B592-4BC5-AC8C-79BF2B664DA8}"/>
                </c:ext>
              </c:extLst>
            </c:dLbl>
            <c:dLbl>
              <c:idx val="1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lumMod val="80000"/>
                          <a:lumOff val="2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D-B592-4BC5-AC8C-79BF2B664DA8}"/>
                </c:ext>
              </c:extLst>
            </c:dLbl>
            <c:dLbl>
              <c:idx val="1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80000"/>
                          <a:lumOff val="2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33-1902-4BEF-9D4C-E8569DA33387}"/>
                </c:ext>
              </c:extLst>
            </c:dLbl>
            <c:dLbl>
              <c:idx val="1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8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34-1902-4BEF-9D4C-E8569DA33387}"/>
                </c:ext>
              </c:extLst>
            </c:dLbl>
            <c:dLbl>
              <c:idx val="19"/>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8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35-1902-4BEF-9D4C-E8569DA33387}"/>
                </c:ext>
              </c:extLst>
            </c:dLbl>
            <c:dLbl>
              <c:idx val="2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8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36-1902-4BEF-9D4C-E8569DA33387}"/>
                </c:ext>
              </c:extLst>
            </c:dLbl>
            <c:dLbl>
              <c:idx val="2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lumMod val="8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F-B592-4BC5-AC8C-79BF2B664DA8}"/>
                </c:ext>
              </c:extLst>
            </c:dLbl>
            <c:dLbl>
              <c:idx val="2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lumMod val="8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1-B592-4BC5-AC8C-79BF2B664DA8}"/>
                </c:ext>
              </c:extLst>
            </c:dLbl>
            <c:dLbl>
              <c:idx val="2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8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37-1902-4BEF-9D4C-E8569DA33387}"/>
                </c:ext>
              </c:extLst>
            </c:dLbl>
            <c:dLbl>
              <c:idx val="2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lumOff val="4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3-B592-4BC5-AC8C-79BF2B664DA8}"/>
                </c:ext>
              </c:extLst>
            </c:dLbl>
            <c:dLbl>
              <c:idx val="2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lumOff val="4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38-1902-4BEF-9D4C-E8569DA33387}"/>
                </c:ext>
              </c:extLst>
            </c:dLbl>
            <c:dLbl>
              <c:idx val="2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lumOff val="4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5-B592-4BC5-AC8C-79BF2B664DA8}"/>
                </c:ext>
              </c:extLst>
            </c:dLbl>
            <c:dLbl>
              <c:idx val="2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lumMod val="60000"/>
                          <a:lumOff val="4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39-1902-4BEF-9D4C-E8569DA33387}"/>
                </c:ext>
              </c:extLst>
            </c:dLbl>
            <c:dLbl>
              <c:idx val="2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lumMod val="60000"/>
                          <a:lumOff val="4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7-B592-4BC5-AC8C-79BF2B664DA8}"/>
                </c:ext>
              </c:extLst>
            </c:dLbl>
            <c:dLbl>
              <c:idx val="29"/>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60000"/>
                          <a:lumOff val="4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3A-1902-4BEF-9D4C-E8569DA33387}"/>
                </c:ext>
              </c:extLst>
            </c:dLbl>
            <c:dLbl>
              <c:idx val="3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5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3B-1902-4BEF-9D4C-E8569DA33387}"/>
                </c:ext>
              </c:extLst>
            </c:dLbl>
            <c:dLbl>
              <c:idx val="3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5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9-B592-4BC5-AC8C-79BF2B664DA8}"/>
                </c:ext>
              </c:extLst>
            </c:dLbl>
            <c:dLbl>
              <c:idx val="3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5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3C-1902-4BEF-9D4C-E8569DA33387}"/>
                </c:ext>
              </c:extLst>
            </c:dLbl>
            <c:dLbl>
              <c:idx val="3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lumMod val="5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B-B592-4BC5-AC8C-79BF2B664DA8}"/>
                </c:ext>
              </c:extLst>
            </c:dLbl>
            <c:dLbl>
              <c:idx val="3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lumMod val="5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3D-1902-4BEF-9D4C-E8569DA33387}"/>
                </c:ext>
              </c:extLst>
            </c:dLbl>
            <c:dLbl>
              <c:idx val="3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5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3E-1902-4BEF-9D4C-E8569DA33387}"/>
                </c:ext>
              </c:extLst>
            </c:dLbl>
            <c:dLbl>
              <c:idx val="3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70000"/>
                          <a:lumOff val="3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3F-1902-4BEF-9D4C-E8569DA33387}"/>
                </c:ext>
              </c:extLst>
            </c:dLbl>
            <c:dLbl>
              <c:idx val="3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70000"/>
                          <a:lumOff val="3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D-B592-4BC5-AC8C-79BF2B664DA8}"/>
                </c:ext>
              </c:extLst>
            </c:dLbl>
            <c:dLbl>
              <c:idx val="3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70000"/>
                          <a:lumOff val="3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40-1902-4BEF-9D4C-E8569DA33387}"/>
                </c:ext>
              </c:extLst>
            </c:dLbl>
            <c:dLbl>
              <c:idx val="39"/>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lumMod val="70000"/>
                          <a:lumOff val="3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41-1902-4BEF-9D4C-E8569DA33387}"/>
                </c:ext>
              </c:extLst>
            </c:dLbl>
            <c:dLbl>
              <c:idx val="4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lumMod val="70000"/>
                          <a:lumOff val="3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42-1902-4BEF-9D4C-E8569DA33387}"/>
                </c:ext>
              </c:extLst>
            </c:dLbl>
            <c:dLbl>
              <c:idx val="4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70000"/>
                          <a:lumOff val="3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F-B592-4BC5-AC8C-79BF2B664DA8}"/>
                </c:ext>
              </c:extLst>
            </c:dLbl>
            <c:dLbl>
              <c:idx val="4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7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21-B592-4BC5-AC8C-79BF2B664DA8}"/>
                </c:ext>
              </c:extLst>
            </c:dLbl>
            <c:dLbl>
              <c:idx val="4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70000"/>
                        </a:schemeClr>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23-B592-4BC5-AC8C-79BF2B664DA8}"/>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Results!$D$5:$D$48</c:f>
              <c:strCache>
                <c:ptCount val="44"/>
                <c:pt idx="0">
                  <c:v>Piles</c:v>
                </c:pt>
                <c:pt idx="1">
                  <c:v>Basements</c:v>
                </c:pt>
                <c:pt idx="2">
                  <c:v>Retaining walls</c:v>
                </c:pt>
                <c:pt idx="3">
                  <c:v>Frame (beams, columns and slabs)</c:v>
                </c:pt>
                <c:pt idx="4">
                  <c:v>Upper floors</c:v>
                </c:pt>
                <c:pt idx="5">
                  <c:v>External walls</c:v>
                </c:pt>
                <c:pt idx="6">
                  <c:v>Balconies</c:v>
                </c:pt>
                <c:pt idx="7">
                  <c:v>Ground floor slab</c:v>
                </c:pt>
                <c:pt idx="8">
                  <c:v>Internal walls, partitions and doors</c:v>
                </c:pt>
                <c:pt idx="9">
                  <c:v>Stairs and ramps</c:v>
                </c:pt>
                <c:pt idx="10">
                  <c:v>External wall systems, cladding and shading devices</c:v>
                </c:pt>
                <c:pt idx="11">
                  <c:v>Façade openings (including windows and external doors)</c:v>
                </c:pt>
                <c:pt idx="12">
                  <c:v>External render</c:v>
                </c:pt>
                <c:pt idx="13">
                  <c:v>RoofStructure</c:v>
                </c:pt>
                <c:pt idx="14">
                  <c:v>Weatherproofing</c:v>
                </c:pt>
                <c:pt idx="15">
                  <c:v>Above ground and underground (within the curtilage of the building and servicing the building occupiers)</c:v>
                </c:pt>
                <c:pt idx="16">
                  <c:v>Sanitary fittings</c:v>
                </c:pt>
                <c:pt idx="17">
                  <c:v>Cupboards, wardbrobes and worktops (where provided in residential property)</c:v>
                </c:pt>
                <c:pt idx="18">
                  <c:v>Ceilings finish</c:v>
                </c:pt>
                <c:pt idx="19">
                  <c:v>Wall finish</c:v>
                </c:pt>
                <c:pt idx="20">
                  <c:v>Floor coverings and finishes</c:v>
                </c:pt>
                <c:pt idx="21">
                  <c:v>Drainage system</c:v>
                </c:pt>
                <c:pt idx="22">
                  <c:v>Connections and diversions</c:v>
                </c:pt>
                <c:pt idx="23">
                  <c:v>Substations and equipment</c:v>
                </c:pt>
                <c:pt idx="24">
                  <c:v>Paving and other hard surfacing</c:v>
                </c:pt>
                <c:pt idx="25">
                  <c:v>Fencing, railings and walls</c:v>
                </c:pt>
                <c:pt idx="26">
                  <c:v>Light fittings</c:v>
                </c:pt>
                <c:pt idx="27">
                  <c:v>Control systems and sensors</c:v>
                </c:pt>
                <c:pt idx="28">
                  <c:v>Heating plant and distribution</c:v>
                </c:pt>
                <c:pt idx="29">
                  <c:v>Cooling plant and distribution</c:v>
                </c:pt>
                <c:pt idx="30">
                  <c:v>Electricity generation and distribution</c:v>
                </c:pt>
                <c:pt idx="31">
                  <c:v>Air handling units</c:v>
                </c:pt>
                <c:pt idx="32">
                  <c:v>Ductwork and distribution</c:v>
                </c:pt>
                <c:pt idx="33">
                  <c:v>Cold water distribution</c:v>
                </c:pt>
                <c:pt idx="34">
                  <c:v>Hot water distribution</c:v>
                </c:pt>
                <c:pt idx="35">
                  <c:v>Water treatment systems</c:v>
                </c:pt>
                <c:pt idx="36">
                  <c:v>Drainage system</c:v>
                </c:pt>
                <c:pt idx="37">
                  <c:v>Lifts and escalators</c:v>
                </c:pt>
                <c:pt idx="38">
                  <c:v>Firefighting installations</c:v>
                </c:pt>
                <c:pt idx="39">
                  <c:v>Communication and security installations</c:v>
                </c:pt>
                <c:pt idx="40">
                  <c:v>Telecoms and data installations</c:v>
                </c:pt>
                <c:pt idx="41">
                  <c:v>Refrigerants</c:v>
                </c:pt>
                <c:pt idx="42">
                  <c:v>Operational Energy (B6)</c:v>
                </c:pt>
                <c:pt idx="43">
                  <c:v>Water usage (excl. heating)</c:v>
                </c:pt>
              </c:strCache>
            </c:strRef>
          </c:cat>
          <c:val>
            <c:numRef>
              <c:f>Results!$W$5:$W$48</c:f>
              <c:numCache>
                <c:formatCode>_-* #,##0_-;\-* #,##0_-;_-* "-"??_-;_-@_-</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24-B592-4BC5-AC8C-79BF2B664DA8}"/>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E"/>
              <a:t>Top</a:t>
            </a:r>
            <a:r>
              <a:rPr lang="en-IE" baseline="0"/>
              <a:t> 10 materials by mass and CO2 emissions</a:t>
            </a:r>
            <a:endParaRPr lang="en-IE"/>
          </a:p>
        </c:rich>
      </c:tx>
      <c:layout>
        <c:manualLayout>
          <c:xMode val="edge"/>
          <c:yMode val="edge"/>
          <c:x val="0.30765972940908271"/>
          <c:y val="7.56319627062780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IE"/>
        </a:p>
      </c:txPr>
    </c:title>
    <c:autoTitleDeleted val="0"/>
    <c:plotArea>
      <c:layout>
        <c:manualLayout>
          <c:layoutTarget val="inner"/>
          <c:xMode val="edge"/>
          <c:yMode val="edge"/>
          <c:x val="0.30386156046092389"/>
          <c:y val="0.22698168015578574"/>
          <c:w val="0.63636502026127406"/>
          <c:h val="0.50935037584375065"/>
        </c:manualLayout>
      </c:layout>
      <c:barChart>
        <c:barDir val="bar"/>
        <c:grouping val="clustered"/>
        <c:varyColors val="0"/>
        <c:ser>
          <c:idx val="2"/>
          <c:order val="0"/>
          <c:tx>
            <c:strRef>
              <c:f>'Materials Rank'!$G$1</c:f>
              <c:strCache>
                <c:ptCount val="1"/>
                <c:pt idx="0">
                  <c:v>Kg Mass</c:v>
                </c:pt>
              </c:strCache>
            </c:strRef>
          </c:tx>
          <c:spPr>
            <a:solidFill>
              <a:schemeClr val="accent3"/>
            </a:solidFill>
            <a:ln>
              <a:noFill/>
            </a:ln>
            <a:effectLst/>
          </c:spPr>
          <c:invertIfNegative val="0"/>
          <c:cat>
            <c:strRef>
              <c:f>'Materials Rank'!$F$2:$F$6</c:f>
              <c:strCache>
                <c:ptCount val="5"/>
                <c:pt idx="0">
                  <c:v>Cement - CEM II/B-S (&lt;35% GGBS)</c:v>
                </c:pt>
                <c:pt idx="1">
                  <c:v>Insulation - Cork</c:v>
                </c:pt>
                <c:pt idx="2">
                  <c:v>Concrete - In-situ, 35/45 MPa</c:v>
                </c:pt>
                <c:pt idx="3">
                  <c:v>Metals - Reinforcing steel </c:v>
                </c:pt>
                <c:pt idx="4">
                  <c:v>Metals - Steel, Section</c:v>
                </c:pt>
              </c:strCache>
            </c:strRef>
          </c:cat>
          <c:val>
            <c:numRef>
              <c:f>'Materials Rank'!$G$2:$G$6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618E-400E-A9D4-CB4CD5AE9D2C}"/>
            </c:ext>
          </c:extLst>
        </c:ser>
        <c:ser>
          <c:idx val="1"/>
          <c:order val="1"/>
          <c:tx>
            <c:strRef>
              <c:f>'Materials Rank'!$H$1</c:f>
              <c:strCache>
                <c:ptCount val="1"/>
                <c:pt idx="0">
                  <c:v>KgCO2e (A1-3)</c:v>
                </c:pt>
              </c:strCache>
            </c:strRef>
          </c:tx>
          <c:spPr>
            <a:solidFill>
              <a:schemeClr val="accent2"/>
            </a:solidFill>
            <a:ln>
              <a:noFill/>
            </a:ln>
            <a:effectLst/>
          </c:spPr>
          <c:invertIfNegative val="0"/>
          <c:cat>
            <c:strRef>
              <c:f>'Materials Rank'!$F$2:$F$6</c:f>
              <c:strCache>
                <c:ptCount val="5"/>
                <c:pt idx="0">
                  <c:v>Cement - CEM II/B-S (&lt;35% GGBS)</c:v>
                </c:pt>
                <c:pt idx="1">
                  <c:v>Insulation - Cork</c:v>
                </c:pt>
                <c:pt idx="2">
                  <c:v>Concrete - In-situ, 35/45 MPa</c:v>
                </c:pt>
                <c:pt idx="3">
                  <c:v>Metals - Reinforcing steel </c:v>
                </c:pt>
                <c:pt idx="4">
                  <c:v>Metals - Steel, Section</c:v>
                </c:pt>
              </c:strCache>
            </c:strRef>
          </c:cat>
          <c:val>
            <c:numRef>
              <c:f>'Materials Rank'!$H$2:$H$6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618E-400E-A9D4-CB4CD5AE9D2C}"/>
            </c:ext>
          </c:extLst>
        </c:ser>
        <c:ser>
          <c:idx val="0"/>
          <c:order val="2"/>
          <c:tx>
            <c:strRef>
              <c:f>'Materials Rank'!$I$1</c:f>
              <c:strCache>
                <c:ptCount val="1"/>
                <c:pt idx="0">
                  <c:v>KgCO2e (Total)</c:v>
                </c:pt>
              </c:strCache>
            </c:strRef>
          </c:tx>
          <c:spPr>
            <a:solidFill>
              <a:schemeClr val="accent1"/>
            </a:solidFill>
            <a:ln>
              <a:noFill/>
            </a:ln>
            <a:effectLst/>
          </c:spPr>
          <c:invertIfNegative val="0"/>
          <c:cat>
            <c:strRef>
              <c:f>'Materials Rank'!$F$2:$F$6</c:f>
              <c:strCache>
                <c:ptCount val="5"/>
                <c:pt idx="0">
                  <c:v>Cement - CEM II/B-S (&lt;35% GGBS)</c:v>
                </c:pt>
                <c:pt idx="1">
                  <c:v>Insulation - Cork</c:v>
                </c:pt>
                <c:pt idx="2">
                  <c:v>Concrete - In-situ, 35/45 MPa</c:v>
                </c:pt>
                <c:pt idx="3">
                  <c:v>Metals - Reinforcing steel </c:v>
                </c:pt>
                <c:pt idx="4">
                  <c:v>Metals - Steel, Section</c:v>
                </c:pt>
              </c:strCache>
            </c:strRef>
          </c:cat>
          <c:val>
            <c:numRef>
              <c:f>'Materials Rank'!$I$2:$I$6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618E-400E-A9D4-CB4CD5AE9D2C}"/>
            </c:ext>
          </c:extLst>
        </c:ser>
        <c:dLbls>
          <c:showLegendKey val="0"/>
          <c:showVal val="0"/>
          <c:showCatName val="0"/>
          <c:showSerName val="0"/>
          <c:showPercent val="0"/>
          <c:showBubbleSize val="0"/>
        </c:dLbls>
        <c:gapWidth val="150"/>
        <c:axId val="704241280"/>
        <c:axId val="738305120"/>
      </c:barChart>
      <c:catAx>
        <c:axId val="7042412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38305120"/>
        <c:crosses val="autoZero"/>
        <c:auto val="1"/>
        <c:lblAlgn val="ctr"/>
        <c:lblOffset val="100"/>
        <c:noMultiLvlLbl val="0"/>
      </c:catAx>
      <c:valAx>
        <c:axId val="738305120"/>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042412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E"/>
              <a:t>Emissions by element &amp; lifecycle stage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4"/>
          <c:order val="0"/>
          <c:tx>
            <c:strRef>
              <c:f>Results!$AP$1</c:f>
              <c:strCache>
                <c:ptCount val="1"/>
                <c:pt idx="0">
                  <c:v>Seq. Total</c:v>
                </c:pt>
              </c:strCache>
            </c:strRef>
          </c:tx>
          <c:spPr>
            <a:solidFill>
              <a:schemeClr val="accent3">
                <a:lumMod val="80000"/>
                <a:lumOff val="20000"/>
              </a:schemeClr>
            </a:solidFill>
            <a:ln>
              <a:noFill/>
            </a:ln>
            <a:effectLst/>
          </c:spPr>
          <c:invertIfNegative val="0"/>
          <c:cat>
            <c:strRef>
              <c:f>Results!$AA$6:$AA$25</c:f>
              <c:strCache>
                <c:ptCount val="20"/>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C1 Deconstruction </c:v>
                </c:pt>
                <c:pt idx="19">
                  <c:v>Seq. Total</c:v>
                </c:pt>
              </c:strCache>
            </c:strRef>
          </c:cat>
          <c:val>
            <c:numRef>
              <c:f>Results!$AP$6:$AP$25</c:f>
              <c:numCache>
                <c:formatCode>_-* #,##0_-;\-* #,##0_-;_-* "-"??_-;_-@_-</c:formatCode>
                <c:ptCount val="20"/>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formatCode="_-* #,##0.0_-;\-* #,##0.0_-;_-* &quot;-&quot;??_-;_-@_-">
                  <c:v>0</c:v>
                </c:pt>
              </c:numCache>
            </c:numRef>
          </c:val>
          <c:extLst>
            <c:ext xmlns:c16="http://schemas.microsoft.com/office/drawing/2014/chart" uri="{C3380CC4-5D6E-409C-BE32-E72D297353CC}">
              <c16:uniqueId val="{00000000-6109-4CE4-B2A1-BA62172AC8C0}"/>
            </c:ext>
          </c:extLst>
        </c:ser>
        <c:ser>
          <c:idx val="13"/>
          <c:order val="1"/>
          <c:tx>
            <c:strRef>
              <c:f>Results!$AO$1</c:f>
              <c:strCache>
                <c:ptCount val="1"/>
                <c:pt idx="0">
                  <c:v>C4 Landfill / Incineration</c:v>
                </c:pt>
              </c:strCache>
            </c:strRef>
          </c:tx>
          <c:spPr>
            <a:solidFill>
              <a:schemeClr val="accent2">
                <a:lumMod val="80000"/>
                <a:lumOff val="20000"/>
              </a:schemeClr>
            </a:solidFill>
            <a:ln>
              <a:noFill/>
            </a:ln>
            <a:effectLst/>
          </c:spPr>
          <c:invertIfNegative val="0"/>
          <c:cat>
            <c:strRef>
              <c:f>Results!$AA$6:$AA$25</c:f>
              <c:strCache>
                <c:ptCount val="20"/>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C1 Deconstruction </c:v>
                </c:pt>
                <c:pt idx="19">
                  <c:v>Seq. Total</c:v>
                </c:pt>
              </c:strCache>
            </c:strRef>
          </c:cat>
          <c:val>
            <c:numRef>
              <c:f>Results!$AO$6:$AO$25</c:f>
              <c:numCache>
                <c:formatCode>_-* #,##0_-;\-* #,##0_-;_-* "-"??_-;_-@_-</c:formatCode>
                <c:ptCount val="20"/>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D-8408-4EB0-9DB4-E752E68D227E}"/>
            </c:ext>
          </c:extLst>
        </c:ser>
        <c:ser>
          <c:idx val="12"/>
          <c:order val="2"/>
          <c:tx>
            <c:strRef>
              <c:f>Results!$AN$1</c:f>
              <c:strCache>
                <c:ptCount val="1"/>
                <c:pt idx="0">
                  <c:v>C3 Recycle/Re-use</c:v>
                </c:pt>
              </c:strCache>
            </c:strRef>
          </c:tx>
          <c:spPr>
            <a:solidFill>
              <a:schemeClr val="accent1">
                <a:lumMod val="80000"/>
                <a:lumOff val="20000"/>
              </a:schemeClr>
            </a:solidFill>
            <a:ln>
              <a:noFill/>
            </a:ln>
            <a:effectLst/>
          </c:spPr>
          <c:invertIfNegative val="0"/>
          <c:cat>
            <c:strRef>
              <c:f>Results!$AA$6:$AA$25</c:f>
              <c:strCache>
                <c:ptCount val="20"/>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C1 Deconstruction </c:v>
                </c:pt>
                <c:pt idx="19">
                  <c:v>Seq. Total</c:v>
                </c:pt>
              </c:strCache>
            </c:strRef>
          </c:cat>
          <c:val>
            <c:numRef>
              <c:f>Results!$AN$6:$AN$25</c:f>
              <c:numCache>
                <c:formatCode>_-* #,##0_-;\-* #,##0_-;_-* "-"??_-;_-@_-</c:formatCode>
                <c:ptCount val="20"/>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C-8408-4EB0-9DB4-E752E68D227E}"/>
            </c:ext>
          </c:extLst>
        </c:ser>
        <c:ser>
          <c:idx val="11"/>
          <c:order val="3"/>
          <c:tx>
            <c:strRef>
              <c:f>Results!$AM$1</c:f>
              <c:strCache>
                <c:ptCount val="1"/>
                <c:pt idx="0">
                  <c:v>C2 Transport </c:v>
                </c:pt>
              </c:strCache>
            </c:strRef>
          </c:tx>
          <c:spPr>
            <a:solidFill>
              <a:schemeClr val="accent6">
                <a:lumMod val="60000"/>
              </a:schemeClr>
            </a:solidFill>
            <a:ln>
              <a:noFill/>
            </a:ln>
            <a:effectLst/>
          </c:spPr>
          <c:invertIfNegative val="0"/>
          <c:cat>
            <c:strRef>
              <c:f>Results!$AA$6:$AA$25</c:f>
              <c:strCache>
                <c:ptCount val="20"/>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C1 Deconstruction </c:v>
                </c:pt>
                <c:pt idx="19">
                  <c:v>Seq. Total</c:v>
                </c:pt>
              </c:strCache>
            </c:strRef>
          </c:cat>
          <c:val>
            <c:numRef>
              <c:f>Results!$AM$6:$AM$25</c:f>
              <c:numCache>
                <c:formatCode>_-* #,##0_-;\-* #,##0_-;_-* "-"??_-;_-@_-</c:formatCode>
                <c:ptCount val="20"/>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B-8408-4EB0-9DB4-E752E68D227E}"/>
            </c:ext>
          </c:extLst>
        </c:ser>
        <c:ser>
          <c:idx val="10"/>
          <c:order val="4"/>
          <c:tx>
            <c:strRef>
              <c:f>Results!$AL$1</c:f>
              <c:strCache>
                <c:ptCount val="1"/>
                <c:pt idx="0">
                  <c:v>C1 Deconstruction</c:v>
                </c:pt>
              </c:strCache>
            </c:strRef>
          </c:tx>
          <c:spPr>
            <a:solidFill>
              <a:schemeClr val="accent5">
                <a:lumMod val="60000"/>
              </a:schemeClr>
            </a:solidFill>
            <a:ln>
              <a:noFill/>
            </a:ln>
            <a:effectLst/>
          </c:spPr>
          <c:invertIfNegative val="0"/>
          <c:cat>
            <c:strRef>
              <c:f>Results!$AA$6:$AA$25</c:f>
              <c:strCache>
                <c:ptCount val="20"/>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C1 Deconstruction </c:v>
                </c:pt>
                <c:pt idx="19">
                  <c:v>Seq. Total</c:v>
                </c:pt>
              </c:strCache>
            </c:strRef>
          </c:cat>
          <c:val>
            <c:numRef>
              <c:f>Results!$AL$6:$AL$25</c:f>
              <c:numCache>
                <c:formatCode>_-* #,##0_-;\-* #,##0_-;_-* "-"??_-;_-@_-</c:formatCode>
                <c:ptCount val="20"/>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0.10879999999999999</c:v>
                </c:pt>
              </c:numCache>
            </c:numRef>
          </c:val>
          <c:extLst>
            <c:ext xmlns:c16="http://schemas.microsoft.com/office/drawing/2014/chart" uri="{C3380CC4-5D6E-409C-BE32-E72D297353CC}">
              <c16:uniqueId val="{0000000A-8408-4EB0-9DB4-E752E68D227E}"/>
            </c:ext>
          </c:extLst>
        </c:ser>
        <c:ser>
          <c:idx val="9"/>
          <c:order val="5"/>
          <c:tx>
            <c:strRef>
              <c:f>Results!$AK$1</c:f>
              <c:strCache>
                <c:ptCount val="1"/>
                <c:pt idx="0">
                  <c:v>B7 Water</c:v>
                </c:pt>
              </c:strCache>
            </c:strRef>
          </c:tx>
          <c:spPr>
            <a:solidFill>
              <a:schemeClr val="accent4">
                <a:lumMod val="60000"/>
              </a:schemeClr>
            </a:solidFill>
            <a:ln>
              <a:noFill/>
            </a:ln>
            <a:effectLst/>
          </c:spPr>
          <c:invertIfNegative val="0"/>
          <c:cat>
            <c:strRef>
              <c:f>Results!$AA$6:$AA$25</c:f>
              <c:strCache>
                <c:ptCount val="20"/>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C1 Deconstruction </c:v>
                </c:pt>
                <c:pt idx="19">
                  <c:v>Seq. Total</c:v>
                </c:pt>
              </c:strCache>
            </c:strRef>
          </c:cat>
          <c:val>
            <c:numRef>
              <c:f>Results!$AK$6:$AK$25</c:f>
              <c:numCache>
                <c:formatCode>_-* #,##0_-;\-* #,##0_-;_-* "-"??_-;_-@_-</c:formatCode>
                <c:ptCount val="20"/>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5="http://schemas.microsoft.com/office/drawing/2012/chart">
            <c:ext xmlns:c16="http://schemas.microsoft.com/office/drawing/2014/chart" uri="{C3380CC4-5D6E-409C-BE32-E72D297353CC}">
              <c16:uniqueId val="{00000009-8408-4EB0-9DB4-E752E68D227E}"/>
            </c:ext>
          </c:extLst>
        </c:ser>
        <c:ser>
          <c:idx val="8"/>
          <c:order val="6"/>
          <c:tx>
            <c:strRef>
              <c:f>Results!$AJ$1</c:f>
              <c:strCache>
                <c:ptCount val="1"/>
                <c:pt idx="0">
                  <c:v>B6 Operational Energy</c:v>
                </c:pt>
              </c:strCache>
            </c:strRef>
          </c:tx>
          <c:spPr>
            <a:solidFill>
              <a:schemeClr val="accent3">
                <a:lumMod val="60000"/>
              </a:schemeClr>
            </a:solidFill>
            <a:ln>
              <a:noFill/>
            </a:ln>
            <a:effectLst/>
          </c:spPr>
          <c:invertIfNegative val="0"/>
          <c:cat>
            <c:strRef>
              <c:f>Results!$AA$6:$AA$25</c:f>
              <c:strCache>
                <c:ptCount val="20"/>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C1 Deconstruction </c:v>
                </c:pt>
                <c:pt idx="19">
                  <c:v>Seq. Total</c:v>
                </c:pt>
              </c:strCache>
            </c:strRef>
          </c:cat>
          <c:val>
            <c:numRef>
              <c:f>Results!$AJ$6:$AJ$25</c:f>
              <c:numCache>
                <c:formatCode>_-* #,##0_-;\-* #,##0_-;_-* "-"??_-;_-@_-</c:formatCode>
                <c:ptCount val="20"/>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5.9872463535433768E-3</c:v>
                </c:pt>
                <c:pt idx="17">
                  <c:v>0</c:v>
                </c:pt>
                <c:pt idx="18">
                  <c:v>0</c:v>
                </c:pt>
              </c:numCache>
            </c:numRef>
          </c:val>
          <c:extLst xmlns:c15="http://schemas.microsoft.com/office/drawing/2012/chart">
            <c:ext xmlns:c16="http://schemas.microsoft.com/office/drawing/2014/chart" uri="{C3380CC4-5D6E-409C-BE32-E72D297353CC}">
              <c16:uniqueId val="{00000008-8408-4EB0-9DB4-E752E68D227E}"/>
            </c:ext>
          </c:extLst>
        </c:ser>
        <c:ser>
          <c:idx val="6"/>
          <c:order val="8"/>
          <c:tx>
            <c:strRef>
              <c:f>Results!$AH$1</c:f>
              <c:strCache>
                <c:ptCount val="1"/>
                <c:pt idx="0">
                  <c:v>B4 Replacements</c:v>
                </c:pt>
              </c:strCache>
            </c:strRef>
          </c:tx>
          <c:spPr>
            <a:solidFill>
              <a:schemeClr val="accent1">
                <a:lumMod val="60000"/>
              </a:schemeClr>
            </a:solidFill>
            <a:ln>
              <a:noFill/>
            </a:ln>
            <a:effectLst/>
          </c:spPr>
          <c:invertIfNegative val="0"/>
          <c:cat>
            <c:strRef>
              <c:f>Results!$AA$6:$AA$25</c:f>
              <c:strCache>
                <c:ptCount val="20"/>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C1 Deconstruction </c:v>
                </c:pt>
                <c:pt idx="19">
                  <c:v>Seq. Total</c:v>
                </c:pt>
              </c:strCache>
            </c:strRef>
          </c:cat>
          <c:val>
            <c:numRef>
              <c:f>Results!$AH$6:$AH$25</c:f>
              <c:numCache>
                <c:formatCode>_-* #,##0_-;\-* #,##0_-;_-* "-"??_-;_-@_-</c:formatCode>
                <c:ptCount val="20"/>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5="http://schemas.microsoft.com/office/drawing/2012/chart">
            <c:ext xmlns:c16="http://schemas.microsoft.com/office/drawing/2014/chart" uri="{C3380CC4-5D6E-409C-BE32-E72D297353CC}">
              <c16:uniqueId val="{00000006-8408-4EB0-9DB4-E752E68D227E}"/>
            </c:ext>
          </c:extLst>
        </c:ser>
        <c:ser>
          <c:idx val="3"/>
          <c:order val="11"/>
          <c:tx>
            <c:strRef>
              <c:f>Results!$AE$1</c:f>
              <c:strCache>
                <c:ptCount val="1"/>
                <c:pt idx="0">
                  <c:v>B1 Use</c:v>
                </c:pt>
              </c:strCache>
            </c:strRef>
          </c:tx>
          <c:spPr>
            <a:solidFill>
              <a:schemeClr val="accent4"/>
            </a:solidFill>
            <a:ln>
              <a:noFill/>
            </a:ln>
            <a:effectLst/>
          </c:spPr>
          <c:invertIfNegative val="0"/>
          <c:cat>
            <c:strRef>
              <c:f>Results!$AA$6:$AA$25</c:f>
              <c:strCache>
                <c:ptCount val="20"/>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C1 Deconstruction </c:v>
                </c:pt>
                <c:pt idx="19">
                  <c:v>Seq. Total</c:v>
                </c:pt>
              </c:strCache>
            </c:strRef>
          </c:cat>
          <c:val>
            <c:numRef>
              <c:f>Results!$AE$6:$AE$25</c:f>
              <c:numCache>
                <c:formatCode>_-* #,##0_-;\-* #,##0_-;_-* "-"??_-;_-@_-</c:formatCode>
                <c:ptCount val="20"/>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3-8408-4EB0-9DB4-E752E68D227E}"/>
            </c:ext>
          </c:extLst>
        </c:ser>
        <c:ser>
          <c:idx val="2"/>
          <c:order val="12"/>
          <c:tx>
            <c:strRef>
              <c:f>Results!$AD$1</c:f>
              <c:strCache>
                <c:ptCount val="1"/>
                <c:pt idx="0">
                  <c:v>A5 Construction</c:v>
                </c:pt>
              </c:strCache>
            </c:strRef>
          </c:tx>
          <c:spPr>
            <a:solidFill>
              <a:schemeClr val="accent3"/>
            </a:solidFill>
            <a:ln>
              <a:noFill/>
            </a:ln>
            <a:effectLst/>
          </c:spPr>
          <c:invertIfNegative val="0"/>
          <c:cat>
            <c:strRef>
              <c:f>Results!$AA$6:$AA$25</c:f>
              <c:strCache>
                <c:ptCount val="20"/>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C1 Deconstruction </c:v>
                </c:pt>
                <c:pt idx="19">
                  <c:v>Seq. Total</c:v>
                </c:pt>
              </c:strCache>
            </c:strRef>
          </c:cat>
          <c:val>
            <c:numRef>
              <c:f>Results!$AD$6:$AD$25</c:f>
              <c:numCache>
                <c:formatCode>_-* #,##0_-;\-* #,##0_-;_-* "-"??_-;_-@_-</c:formatCode>
                <c:ptCount val="20"/>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8408-4EB0-9DB4-E752E68D227E}"/>
            </c:ext>
          </c:extLst>
        </c:ser>
        <c:ser>
          <c:idx val="1"/>
          <c:order val="13"/>
          <c:tx>
            <c:strRef>
              <c:f>Results!$AC$1</c:f>
              <c:strCache>
                <c:ptCount val="1"/>
                <c:pt idx="0">
                  <c:v>A4 Transport</c:v>
                </c:pt>
              </c:strCache>
            </c:strRef>
          </c:tx>
          <c:spPr>
            <a:solidFill>
              <a:schemeClr val="accent2"/>
            </a:solidFill>
            <a:ln>
              <a:noFill/>
            </a:ln>
            <a:effectLst/>
          </c:spPr>
          <c:invertIfNegative val="0"/>
          <c:cat>
            <c:strRef>
              <c:f>Results!$AA$6:$AA$25</c:f>
              <c:strCache>
                <c:ptCount val="20"/>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C1 Deconstruction </c:v>
                </c:pt>
                <c:pt idx="19">
                  <c:v>Seq. Total</c:v>
                </c:pt>
              </c:strCache>
            </c:strRef>
          </c:cat>
          <c:val>
            <c:numRef>
              <c:f>Results!$AC$6:$AC$25</c:f>
              <c:numCache>
                <c:formatCode>_-* #,##0_-;\-* #,##0_-;_-* "-"??_-;_-@_-</c:formatCode>
                <c:ptCount val="20"/>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8408-4EB0-9DB4-E752E68D227E}"/>
            </c:ext>
          </c:extLst>
        </c:ser>
        <c:ser>
          <c:idx val="0"/>
          <c:order val="14"/>
          <c:tx>
            <c:strRef>
              <c:f>Results!$AB$1</c:f>
              <c:strCache>
                <c:ptCount val="1"/>
                <c:pt idx="0">
                  <c:v>A1 - A3 Manufacture</c:v>
                </c:pt>
              </c:strCache>
            </c:strRef>
          </c:tx>
          <c:spPr>
            <a:solidFill>
              <a:schemeClr val="accent1"/>
            </a:solidFill>
            <a:ln>
              <a:noFill/>
            </a:ln>
            <a:effectLst/>
          </c:spPr>
          <c:invertIfNegative val="0"/>
          <c:cat>
            <c:strRef>
              <c:f>Results!$AA$6:$AA$25</c:f>
              <c:strCache>
                <c:ptCount val="20"/>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C1 Deconstruction </c:v>
                </c:pt>
                <c:pt idx="19">
                  <c:v>Seq. Total</c:v>
                </c:pt>
              </c:strCache>
            </c:strRef>
          </c:cat>
          <c:val>
            <c:numRef>
              <c:f>Results!$AB$6:$AB$25</c:f>
              <c:numCache>
                <c:formatCode>_-* #,##0_-;\-* #,##0_-;_-* "-"??_-;_-@_-</c:formatCode>
                <c:ptCount val="20"/>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8408-4EB0-9DB4-E752E68D227E}"/>
            </c:ext>
          </c:extLst>
        </c:ser>
        <c:dLbls>
          <c:showLegendKey val="0"/>
          <c:showVal val="0"/>
          <c:showCatName val="0"/>
          <c:showSerName val="0"/>
          <c:showPercent val="0"/>
          <c:showBubbleSize val="0"/>
        </c:dLbls>
        <c:gapWidth val="150"/>
        <c:overlap val="100"/>
        <c:axId val="1575567728"/>
        <c:axId val="1540919136"/>
        <c:extLst>
          <c:ext xmlns:c15="http://schemas.microsoft.com/office/drawing/2012/chart" uri="{02D57815-91ED-43cb-92C2-25804820EDAC}">
            <c15:filteredBarSeries>
              <c15:ser>
                <c:idx val="7"/>
                <c:order val="7"/>
                <c:tx>
                  <c:strRef>
                    <c:extLst>
                      <c:ext uri="{02D57815-91ED-43cb-92C2-25804820EDAC}">
                        <c15:formulaRef>
                          <c15:sqref>Results!$AI$1</c15:sqref>
                        </c15:formulaRef>
                      </c:ext>
                    </c:extLst>
                    <c:strCache>
                      <c:ptCount val="1"/>
                      <c:pt idx="0">
                        <c:v>B5</c:v>
                      </c:pt>
                    </c:strCache>
                  </c:strRef>
                </c:tx>
                <c:spPr>
                  <a:solidFill>
                    <a:schemeClr val="accent2">
                      <a:lumMod val="60000"/>
                    </a:schemeClr>
                  </a:solidFill>
                  <a:ln>
                    <a:noFill/>
                  </a:ln>
                  <a:effectLst/>
                </c:spPr>
                <c:invertIfNegative val="0"/>
                <c:cat>
                  <c:strRef>
                    <c:extLst>
                      <c:ext uri="{02D57815-91ED-43cb-92C2-25804820EDAC}">
                        <c15:formulaRef>
                          <c15:sqref>Results!$AA$6:$AA$25</c15:sqref>
                        </c15:formulaRef>
                      </c:ext>
                    </c:extLst>
                    <c:strCache>
                      <c:ptCount val="20"/>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C1 Deconstruction </c:v>
                      </c:pt>
                      <c:pt idx="19">
                        <c:v>Seq. Total</c:v>
                      </c:pt>
                    </c:strCache>
                  </c:strRef>
                </c:cat>
                <c:val>
                  <c:numRef>
                    <c:extLst>
                      <c:ext uri="{02D57815-91ED-43cb-92C2-25804820EDAC}">
                        <c15:formulaRef>
                          <c15:sqref>Results!$AI$6:$AI$25</c15:sqref>
                        </c15:formulaRef>
                      </c:ext>
                    </c:extLst>
                    <c:numCache>
                      <c:formatCode>_-* #,##0_-;\-* #,##0_-;_-* "-"??_-;_-@_-</c:formatCode>
                      <c:ptCount val="20"/>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7-8408-4EB0-9DB4-E752E68D227E}"/>
                  </c:ext>
                </c:extLst>
              </c15:ser>
            </c15:filteredBarSeries>
            <c15:filteredBarSeries>
              <c15:ser>
                <c:idx val="5"/>
                <c:order val="9"/>
                <c:tx>
                  <c:strRef>
                    <c:extLst xmlns:c15="http://schemas.microsoft.com/office/drawing/2012/chart">
                      <c:ext xmlns:c15="http://schemas.microsoft.com/office/drawing/2012/chart" uri="{02D57815-91ED-43cb-92C2-25804820EDAC}">
                        <c15:formulaRef>
                          <c15:sqref>Results!$AG$1</c15:sqref>
                        </c15:formulaRef>
                      </c:ext>
                    </c:extLst>
                    <c:strCache>
                      <c:ptCount val="1"/>
                      <c:pt idx="0">
                        <c:v>B3</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Results!$AA$6:$AA$25</c15:sqref>
                        </c15:formulaRef>
                      </c:ext>
                    </c:extLst>
                    <c:strCache>
                      <c:ptCount val="20"/>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C1 Deconstruction </c:v>
                      </c:pt>
                      <c:pt idx="19">
                        <c:v>Seq. Total</c:v>
                      </c:pt>
                    </c:strCache>
                  </c:strRef>
                </c:cat>
                <c:val>
                  <c:numRef>
                    <c:extLst xmlns:c15="http://schemas.microsoft.com/office/drawing/2012/chart">
                      <c:ext xmlns:c15="http://schemas.microsoft.com/office/drawing/2012/chart" uri="{02D57815-91ED-43cb-92C2-25804820EDAC}">
                        <c15:formulaRef>
                          <c15:sqref>Results!$AG$6:$AG$25</c15:sqref>
                        </c15:formulaRef>
                      </c:ext>
                    </c:extLst>
                    <c:numCache>
                      <c:formatCode>_-* #,##0_-;\-* #,##0_-;_-* "-"??_-;_-@_-</c:formatCode>
                      <c:ptCount val="20"/>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5="http://schemas.microsoft.com/office/drawing/2012/chart">
                  <c:ext xmlns:c16="http://schemas.microsoft.com/office/drawing/2014/chart" uri="{C3380CC4-5D6E-409C-BE32-E72D297353CC}">
                    <c16:uniqueId val="{00000005-8408-4EB0-9DB4-E752E68D227E}"/>
                  </c:ext>
                </c:extLst>
              </c15:ser>
            </c15:filteredBarSeries>
            <c15:filteredBarSeries>
              <c15:ser>
                <c:idx val="4"/>
                <c:order val="10"/>
                <c:tx>
                  <c:strRef>
                    <c:extLst xmlns:c15="http://schemas.microsoft.com/office/drawing/2012/chart">
                      <c:ext xmlns:c15="http://schemas.microsoft.com/office/drawing/2012/chart" uri="{02D57815-91ED-43cb-92C2-25804820EDAC}">
                        <c15:formulaRef>
                          <c15:sqref>Results!$AF$1</c15:sqref>
                        </c15:formulaRef>
                      </c:ext>
                    </c:extLst>
                    <c:strCache>
                      <c:ptCount val="1"/>
                      <c:pt idx="0">
                        <c:v>B2</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Results!$AA$6:$AA$25</c15:sqref>
                        </c15:formulaRef>
                      </c:ext>
                    </c:extLst>
                    <c:strCache>
                      <c:ptCount val="20"/>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C1 Deconstruction </c:v>
                      </c:pt>
                      <c:pt idx="19">
                        <c:v>Seq. Total</c:v>
                      </c:pt>
                    </c:strCache>
                  </c:strRef>
                </c:cat>
                <c:val>
                  <c:numRef>
                    <c:extLst xmlns:c15="http://schemas.microsoft.com/office/drawing/2012/chart">
                      <c:ext xmlns:c15="http://schemas.microsoft.com/office/drawing/2012/chart" uri="{02D57815-91ED-43cb-92C2-25804820EDAC}">
                        <c15:formulaRef>
                          <c15:sqref>Results!$AF$6:$AF$25</c15:sqref>
                        </c15:formulaRef>
                      </c:ext>
                    </c:extLst>
                    <c:numCache>
                      <c:formatCode>_-* #,##0_-;\-* #,##0_-;_-* "-"??_-;_-@_-</c:formatCode>
                      <c:ptCount val="20"/>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5="http://schemas.microsoft.com/office/drawing/2012/chart">
                  <c:ext xmlns:c16="http://schemas.microsoft.com/office/drawing/2014/chart" uri="{C3380CC4-5D6E-409C-BE32-E72D297353CC}">
                    <c16:uniqueId val="{00000004-8408-4EB0-9DB4-E752E68D227E}"/>
                  </c:ext>
                </c:extLst>
              </c15:ser>
            </c15:filteredBarSeries>
          </c:ext>
        </c:extLst>
      </c:barChart>
      <c:catAx>
        <c:axId val="1575567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E"/>
                  <a:t>Measured elements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0919136"/>
        <c:crosses val="autoZero"/>
        <c:auto val="1"/>
        <c:lblAlgn val="ctr"/>
        <c:lblOffset val="100"/>
        <c:noMultiLvlLbl val="0"/>
      </c:catAx>
      <c:valAx>
        <c:axId val="1540919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E"/>
                  <a:t>Tonnes 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5567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3"/>
          <c:order val="3"/>
          <c:tx>
            <c:strRef>
              <c:f>Results!$N$62</c:f>
              <c:strCache>
                <c:ptCount val="1"/>
                <c:pt idx="0">
                  <c:v>kgCO2e</c:v>
                </c:pt>
              </c:strCache>
            </c:strRef>
          </c:tx>
          <c:spPr>
            <a:solidFill>
              <a:schemeClr val="accent4"/>
            </a:solidFill>
            <a:ln>
              <a:noFill/>
            </a:ln>
            <a:effectLst/>
          </c:spPr>
          <c:invertIfNegative val="0"/>
          <c:cat>
            <c:strRef>
              <c:f>Results!$J$63:$J$67</c:f>
              <c:strCache>
                <c:ptCount val="5"/>
                <c:pt idx="0">
                  <c:v>Cement - CEM II/B-S (&lt;35% GGBS)</c:v>
                </c:pt>
                <c:pt idx="1">
                  <c:v>Insulation - Cork</c:v>
                </c:pt>
                <c:pt idx="2">
                  <c:v>Concrete - In-situ, 35/45 MPa</c:v>
                </c:pt>
                <c:pt idx="3">
                  <c:v>Metals - Reinforcing steel </c:v>
                </c:pt>
                <c:pt idx="4">
                  <c:v>Metals - Steel, Section</c:v>
                </c:pt>
              </c:strCache>
            </c:strRef>
          </c:cat>
          <c:val>
            <c:numRef>
              <c:f>Results!$N$63:$N$67</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3-9AC0-44F1-819D-3B67092459F1}"/>
            </c:ext>
          </c:extLst>
        </c:ser>
        <c:dLbls>
          <c:showLegendKey val="0"/>
          <c:showVal val="0"/>
          <c:showCatName val="0"/>
          <c:showSerName val="0"/>
          <c:showPercent val="0"/>
          <c:showBubbleSize val="0"/>
        </c:dLbls>
        <c:gapWidth val="182"/>
        <c:axId val="427255199"/>
        <c:axId val="542915871"/>
        <c:extLst>
          <c:ext xmlns:c15="http://schemas.microsoft.com/office/drawing/2012/chart" uri="{02D57815-91ED-43cb-92C2-25804820EDAC}">
            <c15:filteredBarSeries>
              <c15:ser>
                <c:idx val="0"/>
                <c:order val="0"/>
                <c:tx>
                  <c:strRef>
                    <c:extLst>
                      <c:ext uri="{02D57815-91ED-43cb-92C2-25804820EDAC}">
                        <c15:formulaRef>
                          <c15:sqref>Results!$K$62</c15:sqref>
                        </c15:formulaRef>
                      </c:ext>
                    </c:extLst>
                    <c:strCache>
                      <c:ptCount val="1"/>
                    </c:strCache>
                  </c:strRef>
                </c:tx>
                <c:spPr>
                  <a:solidFill>
                    <a:schemeClr val="accent1"/>
                  </a:solidFill>
                  <a:ln>
                    <a:noFill/>
                  </a:ln>
                  <a:effectLst/>
                </c:spPr>
                <c:invertIfNegative val="0"/>
                <c:cat>
                  <c:strRef>
                    <c:extLst>
                      <c:ext uri="{02D57815-91ED-43cb-92C2-25804820EDAC}">
                        <c15:formulaRef>
                          <c15:sqref>Results!$J$63:$J$67</c15:sqref>
                        </c15:formulaRef>
                      </c:ext>
                    </c:extLst>
                    <c:strCache>
                      <c:ptCount val="5"/>
                      <c:pt idx="0">
                        <c:v>Cement - CEM II/B-S (&lt;35% GGBS)</c:v>
                      </c:pt>
                      <c:pt idx="1">
                        <c:v>Insulation - Cork</c:v>
                      </c:pt>
                      <c:pt idx="2">
                        <c:v>Concrete - In-situ, 35/45 MPa</c:v>
                      </c:pt>
                      <c:pt idx="3">
                        <c:v>Metals - Reinforcing steel </c:v>
                      </c:pt>
                      <c:pt idx="4">
                        <c:v>Metals - Steel, Section</c:v>
                      </c:pt>
                    </c:strCache>
                  </c:strRef>
                </c:cat>
                <c:val>
                  <c:numRef>
                    <c:extLst>
                      <c:ext uri="{02D57815-91ED-43cb-92C2-25804820EDAC}">
                        <c15:formulaRef>
                          <c15:sqref>Results!$K$63:$K$67</c15:sqref>
                        </c15:formulaRef>
                      </c:ext>
                    </c:extLst>
                    <c:numCache>
                      <c:formatCode>General</c:formatCode>
                      <c:ptCount val="5"/>
                    </c:numCache>
                  </c:numRef>
                </c:val>
                <c:extLst>
                  <c:ext xmlns:c16="http://schemas.microsoft.com/office/drawing/2014/chart" uri="{C3380CC4-5D6E-409C-BE32-E72D297353CC}">
                    <c16:uniqueId val="{00000000-9AC0-44F1-819D-3B67092459F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Results!$L$62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Results!$J$63:$J$67</c15:sqref>
                        </c15:formulaRef>
                      </c:ext>
                    </c:extLst>
                    <c:strCache>
                      <c:ptCount val="5"/>
                      <c:pt idx="0">
                        <c:v>Cement - CEM II/B-S (&lt;35% GGBS)</c:v>
                      </c:pt>
                      <c:pt idx="1">
                        <c:v>Insulation - Cork</c:v>
                      </c:pt>
                      <c:pt idx="2">
                        <c:v>Concrete - In-situ, 35/45 MPa</c:v>
                      </c:pt>
                      <c:pt idx="3">
                        <c:v>Metals - Reinforcing steel </c:v>
                      </c:pt>
                      <c:pt idx="4">
                        <c:v>Metals - Steel, Section</c:v>
                      </c:pt>
                    </c:strCache>
                  </c:strRef>
                </c:cat>
                <c:val>
                  <c:numRef>
                    <c:extLst xmlns:c15="http://schemas.microsoft.com/office/drawing/2012/chart">
                      <c:ext xmlns:c15="http://schemas.microsoft.com/office/drawing/2012/chart" uri="{02D57815-91ED-43cb-92C2-25804820EDAC}">
                        <c15:formulaRef>
                          <c15:sqref>Results!$L$63:$L$67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9AC0-44F1-819D-3B67092459F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Results!$M$62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Results!$J$63:$J$67</c15:sqref>
                        </c15:formulaRef>
                      </c:ext>
                    </c:extLst>
                    <c:strCache>
                      <c:ptCount val="5"/>
                      <c:pt idx="0">
                        <c:v>Cement - CEM II/B-S (&lt;35% GGBS)</c:v>
                      </c:pt>
                      <c:pt idx="1">
                        <c:v>Insulation - Cork</c:v>
                      </c:pt>
                      <c:pt idx="2">
                        <c:v>Concrete - In-situ, 35/45 MPa</c:v>
                      </c:pt>
                      <c:pt idx="3">
                        <c:v>Metals - Reinforcing steel </c:v>
                      </c:pt>
                      <c:pt idx="4">
                        <c:v>Metals - Steel, Section</c:v>
                      </c:pt>
                    </c:strCache>
                  </c:strRef>
                </c:cat>
                <c:val>
                  <c:numRef>
                    <c:extLst xmlns:c15="http://schemas.microsoft.com/office/drawing/2012/chart">
                      <c:ext xmlns:c15="http://schemas.microsoft.com/office/drawing/2012/chart" uri="{02D57815-91ED-43cb-92C2-25804820EDAC}">
                        <c15:formulaRef>
                          <c15:sqref>Results!$M$63:$M$67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2-9AC0-44F1-819D-3B67092459F1}"/>
                  </c:ext>
                </c:extLst>
              </c15:ser>
            </c15:filteredBarSeries>
          </c:ext>
        </c:extLst>
      </c:barChart>
      <c:catAx>
        <c:axId val="4272551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2915871"/>
        <c:crosses val="autoZero"/>
        <c:auto val="1"/>
        <c:lblAlgn val="ctr"/>
        <c:lblOffset val="100"/>
        <c:noMultiLvlLbl val="0"/>
      </c:catAx>
      <c:valAx>
        <c:axId val="542915871"/>
        <c:scaling>
          <c:orientation val="minMax"/>
        </c:scaling>
        <c:delete val="0"/>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2551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IE"/>
              <a:t>Emissions by Stage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137-4D6F-909F-B2C64397743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137-4D6F-909F-B2C64397743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137-4D6F-909F-B2C64397743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137-4D6F-909F-B2C64397743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137-4D6F-909F-B2C64397743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137-4D6F-909F-B2C64397743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137-4D6F-909F-B2C64397743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137-4D6F-909F-B2C64397743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137-4D6F-909F-B2C64397743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137-4D6F-909F-B2C64397743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4137-4D6F-909F-B2C64397743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Results!$AR$6:$AR$19</c15:sqref>
                  </c15:fullRef>
                </c:ext>
              </c:extLst>
              <c:f>(Results!$AR$6:$AR$9,Results!$AR$12,Results!$AR$14:$AR$19)</c:f>
              <c:strCache>
                <c:ptCount val="11"/>
                <c:pt idx="0">
                  <c:v>A1 - A3 Manufacture</c:v>
                </c:pt>
                <c:pt idx="1">
                  <c:v>A4 Transport</c:v>
                </c:pt>
                <c:pt idx="2">
                  <c:v>A5 Construction</c:v>
                </c:pt>
                <c:pt idx="3">
                  <c:v>B1 Use</c:v>
                </c:pt>
                <c:pt idx="4">
                  <c:v>B4 Replacements</c:v>
                </c:pt>
                <c:pt idx="5">
                  <c:v>B6 Operational Energy</c:v>
                </c:pt>
                <c:pt idx="6">
                  <c:v>B7 Water</c:v>
                </c:pt>
                <c:pt idx="7">
                  <c:v>C1 Deconstruction</c:v>
                </c:pt>
                <c:pt idx="8">
                  <c:v>C2 Transport </c:v>
                </c:pt>
                <c:pt idx="9">
                  <c:v>C3 Recycle/Re-use</c:v>
                </c:pt>
                <c:pt idx="10">
                  <c:v>C4 Landfill / Incineration</c:v>
                </c:pt>
              </c:strCache>
            </c:strRef>
          </c:cat>
          <c:val>
            <c:numRef>
              <c:extLst>
                <c:ext xmlns:c15="http://schemas.microsoft.com/office/drawing/2012/chart" uri="{02D57815-91ED-43cb-92C2-25804820EDAC}">
                  <c15:fullRef>
                    <c15:sqref>Results!$AS$6:$AS$19</c15:sqref>
                  </c15:fullRef>
                </c:ext>
              </c:extLst>
              <c:f>(Results!$AS$6:$AS$9,Results!$AS$12,Results!$AS$14:$AS$19)</c:f>
              <c:numCache>
                <c:formatCode>_-* #,##0.0_-;\-* #,##0.0_-;_-* "-"??_-;_-@_-</c:formatCode>
                <c:ptCount val="11"/>
                <c:pt idx="0">
                  <c:v>0</c:v>
                </c:pt>
                <c:pt idx="1">
                  <c:v>0</c:v>
                </c:pt>
                <c:pt idx="2">
                  <c:v>0</c:v>
                </c:pt>
                <c:pt idx="3">
                  <c:v>0</c:v>
                </c:pt>
                <c:pt idx="4">
                  <c:v>0</c:v>
                </c:pt>
                <c:pt idx="5">
                  <c:v>5.9872463535433768E-3</c:v>
                </c:pt>
                <c:pt idx="6">
                  <c:v>0</c:v>
                </c:pt>
                <c:pt idx="7">
                  <c:v>0.10879999999999999</c:v>
                </c:pt>
                <c:pt idx="8">
                  <c:v>0</c:v>
                </c:pt>
                <c:pt idx="9">
                  <c:v>0</c:v>
                </c:pt>
                <c:pt idx="10">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0C90-4172-9BE0-85A93791AF4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6808130247139474"/>
          <c:y val="0.24400130439494103"/>
          <c:w val="0.15459653918545907"/>
          <c:h val="0.560213238904660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IE" sz="1000"/>
              <a:t>A1 - A5 Embodied</a:t>
            </a:r>
            <a:r>
              <a:rPr lang="en-IE" sz="1000" baseline="0"/>
              <a:t> Carbon</a:t>
            </a:r>
            <a:r>
              <a:rPr lang="en-IE" sz="1000"/>
              <a:t> by building element</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632454982506989"/>
          <c:y val="0.12548680409643856"/>
          <c:w val="0.65836753345237808"/>
          <c:h val="0.64423811276627174"/>
        </c:manualLayout>
      </c:layout>
      <c:barChart>
        <c:barDir val="col"/>
        <c:grouping val="stacked"/>
        <c:varyColors val="0"/>
        <c:ser>
          <c:idx val="14"/>
          <c:order val="0"/>
          <c:tx>
            <c:strRef>
              <c:f>Results!$AP$1</c:f>
              <c:strCache>
                <c:ptCount val="1"/>
                <c:pt idx="0">
                  <c:v>Seq. Total</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Results!$AA$6:$AA$25</c15:sqref>
                  </c15:fullRef>
                </c:ext>
              </c:extLst>
              <c:f>(Results!$AA$6:$AA$20,Results!$AA$25)</c:f>
              <c:strCache>
                <c:ptCount val="16"/>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Seq. Total</c:v>
                </c:pt>
              </c:strCache>
            </c:strRef>
          </c:cat>
          <c:val>
            <c:numRef>
              <c:extLst>
                <c:ext xmlns:c15="http://schemas.microsoft.com/office/drawing/2012/chart" uri="{02D57815-91ED-43cb-92C2-25804820EDAC}">
                  <c15:fullRef>
                    <c15:sqref>Results!$AP$6:$AP$25</c15:sqref>
                  </c15:fullRef>
                </c:ext>
              </c:extLst>
              <c:f>(Results!$AP$6:$AP$20,Results!$AP$25)</c:f>
              <c:numCache>
                <c:formatCode>_-* #,##0_-;\-* #,##0_-;_-* "-"??_-;_-@_-</c:formatCode>
                <c:ptCount val="16"/>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formatCode="_-* #,##0.0_-;\-* #,##0.0_-;_-* &quot;-&quot;??_-;_-@_-">
                  <c:v>0</c:v>
                </c:pt>
              </c:numCache>
            </c:numRef>
          </c:val>
          <c:extLst>
            <c:ext xmlns:c16="http://schemas.microsoft.com/office/drawing/2014/chart" uri="{C3380CC4-5D6E-409C-BE32-E72D297353CC}">
              <c16:uniqueId val="{00000000-4D5A-41B7-B8C4-7B6C3FBF043A}"/>
            </c:ext>
          </c:extLst>
        </c:ser>
        <c:ser>
          <c:idx val="8"/>
          <c:order val="6"/>
          <c:tx>
            <c:strRef>
              <c:f>Results!$AJ$1</c:f>
              <c:strCache>
                <c:ptCount val="1"/>
                <c:pt idx="0">
                  <c:v>B6 Operational Energy</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Results!$AA$6:$AA$25</c15:sqref>
                  </c15:fullRef>
                </c:ext>
              </c:extLst>
              <c:f>(Results!$AA$6:$AA$20,Results!$AA$25)</c:f>
              <c:strCache>
                <c:ptCount val="16"/>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Seq. Total</c:v>
                </c:pt>
              </c:strCache>
            </c:strRef>
          </c:cat>
          <c:val>
            <c:numRef>
              <c:extLst>
                <c:ext xmlns:c15="http://schemas.microsoft.com/office/drawing/2012/chart" uri="{02D57815-91ED-43cb-92C2-25804820EDAC}">
                  <c15:fullRef>
                    <c15:sqref>Results!$AJ$6:$AJ$25</c15:sqref>
                  </c15:fullRef>
                </c:ext>
              </c:extLst>
              <c:f>(Results!$AJ$6:$AJ$20,Results!$AJ$25)</c:f>
              <c:numCache>
                <c:formatCode>_-* #,##0_-;\-* #,##0_-;_-* "-"??_-;_-@_-</c:formatCode>
                <c:ptCount val="16"/>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6="http://schemas.microsoft.com/office/drawing/2014/chart" uri="{C3380CC4-5D6E-409C-BE32-E72D297353CC}">
              <c16:uniqueId val="{00000006-4D5A-41B7-B8C4-7B6C3FBF043A}"/>
            </c:ext>
          </c:extLst>
        </c:ser>
        <c:ser>
          <c:idx val="2"/>
          <c:order val="12"/>
          <c:tx>
            <c:strRef>
              <c:f>Results!$AD$1</c:f>
              <c:strCache>
                <c:ptCount val="1"/>
                <c:pt idx="0">
                  <c:v>A5 Construction</c:v>
                </c:pt>
              </c:strCache>
            </c:strRef>
          </c:tx>
          <c:spPr>
            <a:solidFill>
              <a:schemeClr val="accent3"/>
            </a:solidFill>
            <a:ln>
              <a:noFill/>
            </a:ln>
            <a:effectLst/>
          </c:spPr>
          <c:invertIfNegative val="0"/>
          <c:cat>
            <c:strRef>
              <c:extLst>
                <c:ext xmlns:c15="http://schemas.microsoft.com/office/drawing/2012/chart" uri="{02D57815-91ED-43cb-92C2-25804820EDAC}">
                  <c15:fullRef>
                    <c15:sqref>Results!$AA$6:$AA$25</c15:sqref>
                  </c15:fullRef>
                </c:ext>
              </c:extLst>
              <c:f>(Results!$AA$6:$AA$20,Results!$AA$25)</c:f>
              <c:strCache>
                <c:ptCount val="16"/>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Seq. Total</c:v>
                </c:pt>
              </c:strCache>
            </c:strRef>
          </c:cat>
          <c:val>
            <c:numRef>
              <c:extLst>
                <c:ext xmlns:c15="http://schemas.microsoft.com/office/drawing/2012/chart" uri="{02D57815-91ED-43cb-92C2-25804820EDAC}">
                  <c15:fullRef>
                    <c15:sqref>Results!$AD$6:$AD$25</c15:sqref>
                  </c15:fullRef>
                </c:ext>
              </c:extLst>
              <c:f>(Results!$AD$6:$AD$20,Results!$AD$25)</c:f>
              <c:numCache>
                <c:formatCode>_-* #,##0_-;\-* #,##0_-;_-* "-"??_-;_-@_-</c:formatCode>
                <c:ptCount val="16"/>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9-4D5A-41B7-B8C4-7B6C3FBF043A}"/>
            </c:ext>
          </c:extLst>
        </c:ser>
        <c:ser>
          <c:idx val="1"/>
          <c:order val="13"/>
          <c:tx>
            <c:strRef>
              <c:f>Results!$AC$1</c:f>
              <c:strCache>
                <c:ptCount val="1"/>
                <c:pt idx="0">
                  <c:v>A4 Transport</c:v>
                </c:pt>
              </c:strCache>
            </c:strRef>
          </c:tx>
          <c:spPr>
            <a:solidFill>
              <a:schemeClr val="accent2"/>
            </a:solidFill>
            <a:ln>
              <a:noFill/>
            </a:ln>
            <a:effectLst/>
          </c:spPr>
          <c:invertIfNegative val="0"/>
          <c:cat>
            <c:strRef>
              <c:extLst>
                <c:ext xmlns:c15="http://schemas.microsoft.com/office/drawing/2012/chart" uri="{02D57815-91ED-43cb-92C2-25804820EDAC}">
                  <c15:fullRef>
                    <c15:sqref>Results!$AA$6:$AA$25</c15:sqref>
                  </c15:fullRef>
                </c:ext>
              </c:extLst>
              <c:f>(Results!$AA$6:$AA$20,Results!$AA$25)</c:f>
              <c:strCache>
                <c:ptCount val="16"/>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Seq. Total</c:v>
                </c:pt>
              </c:strCache>
            </c:strRef>
          </c:cat>
          <c:val>
            <c:numRef>
              <c:extLst>
                <c:ext xmlns:c15="http://schemas.microsoft.com/office/drawing/2012/chart" uri="{02D57815-91ED-43cb-92C2-25804820EDAC}">
                  <c15:fullRef>
                    <c15:sqref>Results!$AC$6:$AC$25</c15:sqref>
                  </c15:fullRef>
                </c:ext>
              </c:extLst>
              <c:f>(Results!$AC$6:$AC$20,Results!$AC$25)</c:f>
              <c:numCache>
                <c:formatCode>_-* #,##0_-;\-* #,##0_-;_-* "-"??_-;_-@_-</c:formatCode>
                <c:ptCount val="16"/>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4D5A-41B7-B8C4-7B6C3FBF043A}"/>
            </c:ext>
          </c:extLst>
        </c:ser>
        <c:ser>
          <c:idx val="0"/>
          <c:order val="14"/>
          <c:tx>
            <c:strRef>
              <c:f>Results!$AB$1</c:f>
              <c:strCache>
                <c:ptCount val="1"/>
                <c:pt idx="0">
                  <c:v>A1 - A3 Manufacture</c:v>
                </c:pt>
              </c:strCache>
            </c:strRef>
          </c:tx>
          <c:spPr>
            <a:solidFill>
              <a:schemeClr val="accent1"/>
            </a:solidFill>
            <a:ln>
              <a:noFill/>
            </a:ln>
            <a:effectLst/>
          </c:spPr>
          <c:invertIfNegative val="0"/>
          <c:cat>
            <c:strRef>
              <c:extLst>
                <c:ext xmlns:c15="http://schemas.microsoft.com/office/drawing/2012/chart" uri="{02D57815-91ED-43cb-92C2-25804820EDAC}">
                  <c15:fullRef>
                    <c15:sqref>Results!$AA$6:$AA$25</c15:sqref>
                  </c15:fullRef>
                </c:ext>
              </c:extLst>
              <c:f>(Results!$AA$6:$AA$20,Results!$AA$25)</c:f>
              <c:strCache>
                <c:ptCount val="16"/>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Seq. Total</c:v>
                </c:pt>
              </c:strCache>
            </c:strRef>
          </c:cat>
          <c:val>
            <c:numRef>
              <c:extLst>
                <c:ext xmlns:c15="http://schemas.microsoft.com/office/drawing/2012/chart" uri="{02D57815-91ED-43cb-92C2-25804820EDAC}">
                  <c15:fullRef>
                    <c15:sqref>Results!$AB$6:$AB$25</c15:sqref>
                  </c15:fullRef>
                </c:ext>
              </c:extLst>
              <c:f>(Results!$AB$6:$AB$20,Results!$AB$25)</c:f>
              <c:numCache>
                <c:formatCode>_-* #,##0_-;\-* #,##0_-;_-* "-"??_-;_-@_-</c:formatCode>
                <c:ptCount val="16"/>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B-4D5A-41B7-B8C4-7B6C3FBF043A}"/>
            </c:ext>
          </c:extLst>
        </c:ser>
        <c:dLbls>
          <c:showLegendKey val="0"/>
          <c:showVal val="0"/>
          <c:showCatName val="0"/>
          <c:showSerName val="0"/>
          <c:showPercent val="0"/>
          <c:showBubbleSize val="0"/>
        </c:dLbls>
        <c:gapWidth val="150"/>
        <c:overlap val="100"/>
        <c:axId val="1575567728"/>
        <c:axId val="1540919136"/>
        <c:extLst>
          <c:ext xmlns:c15="http://schemas.microsoft.com/office/drawing/2012/chart" uri="{02D57815-91ED-43cb-92C2-25804820EDAC}">
            <c15:filteredBarSeries>
              <c15:ser>
                <c:idx val="13"/>
                <c:order val="1"/>
                <c:tx>
                  <c:strRef>
                    <c:extLst>
                      <c:ext uri="{02D57815-91ED-43cb-92C2-25804820EDAC}">
                        <c15:formulaRef>
                          <c15:sqref>Results!$AO$1</c15:sqref>
                        </c15:formulaRef>
                      </c:ext>
                    </c:extLst>
                    <c:strCache>
                      <c:ptCount val="1"/>
                      <c:pt idx="0">
                        <c:v>C4 Landfill / Incineration</c:v>
                      </c:pt>
                    </c:strCache>
                  </c:strRef>
                </c:tx>
                <c:spPr>
                  <a:solidFill>
                    <a:schemeClr val="accent2">
                      <a:lumMod val="80000"/>
                      <a:lumOff val="20000"/>
                    </a:schemeClr>
                  </a:solidFill>
                  <a:ln>
                    <a:noFill/>
                  </a:ln>
                  <a:effectLst/>
                </c:spPr>
                <c:invertIfNegative val="0"/>
                <c:cat>
                  <c:strRef>
                    <c:extLst>
                      <c:ext uri="{02D57815-91ED-43cb-92C2-25804820EDAC}">
                        <c15:fullRef>
                          <c15:sqref>Results!$AA$6:$AA$25</c15:sqref>
                        </c15:fullRef>
                        <c15:formulaRef>
                          <c15:sqref>(Results!$AA$6:$AA$20,Results!$AA$25)</c15:sqref>
                        </c15:formulaRef>
                      </c:ext>
                    </c:extLst>
                    <c:strCache>
                      <c:ptCount val="16"/>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Seq. Total</c:v>
                      </c:pt>
                    </c:strCache>
                  </c:strRef>
                </c:cat>
                <c:val>
                  <c:numRef>
                    <c:extLst>
                      <c:ext uri="{02D57815-91ED-43cb-92C2-25804820EDAC}">
                        <c15:fullRef>
                          <c15:sqref>Results!$AO$6:$AO$25</c15:sqref>
                        </c15:fullRef>
                        <c15:formulaRef>
                          <c15:sqref>(Results!$AO$6:$AO$20,Results!$AO$25)</c15:sqref>
                        </c15:formulaRef>
                      </c:ext>
                    </c:extLst>
                    <c:numCache>
                      <c:formatCode>_-* #,##0_-;\-* #,##0_-;_-* "-"??_-;_-@_-</c:formatCode>
                      <c:ptCount val="16"/>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4D5A-41B7-B8C4-7B6C3FBF043A}"/>
                  </c:ext>
                </c:extLst>
              </c15:ser>
            </c15:filteredBarSeries>
            <c15:filteredBarSeries>
              <c15:ser>
                <c:idx val="12"/>
                <c:order val="2"/>
                <c:tx>
                  <c:strRef>
                    <c:extLst xmlns:c15="http://schemas.microsoft.com/office/drawing/2012/chart">
                      <c:ext xmlns:c15="http://schemas.microsoft.com/office/drawing/2012/chart" uri="{02D57815-91ED-43cb-92C2-25804820EDAC}">
                        <c15:formulaRef>
                          <c15:sqref>Results!$AN$1</c15:sqref>
                        </c15:formulaRef>
                      </c:ext>
                    </c:extLst>
                    <c:strCache>
                      <c:ptCount val="1"/>
                      <c:pt idx="0">
                        <c:v>C3 Recycle/Re-use</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Results!$AA$6:$AA$25</c15:sqref>
                        </c15:fullRef>
                        <c15:formulaRef>
                          <c15:sqref>(Results!$AA$6:$AA$20,Results!$AA$25)</c15:sqref>
                        </c15:formulaRef>
                      </c:ext>
                    </c:extLst>
                    <c:strCache>
                      <c:ptCount val="16"/>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Seq. Total</c:v>
                      </c:pt>
                    </c:strCache>
                  </c:strRef>
                </c:cat>
                <c:val>
                  <c:numRef>
                    <c:extLst>
                      <c:ext xmlns:c15="http://schemas.microsoft.com/office/drawing/2012/chart" uri="{02D57815-91ED-43cb-92C2-25804820EDAC}">
                        <c15:fullRef>
                          <c15:sqref>Results!$AN$6:$AN$25</c15:sqref>
                        </c15:fullRef>
                        <c15:formulaRef>
                          <c15:sqref>(Results!$AN$6:$AN$20,Results!$AN$25)</c15:sqref>
                        </c15:formulaRef>
                      </c:ext>
                    </c:extLst>
                    <c:numCache>
                      <c:formatCode>_-* #,##0_-;\-* #,##0_-;_-* "-"??_-;_-@_-</c:formatCode>
                      <c:ptCount val="16"/>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6="http://schemas.microsoft.com/office/drawing/2014/chart" uri="{C3380CC4-5D6E-409C-BE32-E72D297353CC}">
                    <c16:uniqueId val="{00000002-4D5A-41B7-B8C4-7B6C3FBF043A}"/>
                  </c:ext>
                </c:extLst>
              </c15:ser>
            </c15:filteredBarSeries>
            <c15:filteredBarSeries>
              <c15:ser>
                <c:idx val="11"/>
                <c:order val="3"/>
                <c:tx>
                  <c:strRef>
                    <c:extLst xmlns:c15="http://schemas.microsoft.com/office/drawing/2012/chart">
                      <c:ext xmlns:c15="http://schemas.microsoft.com/office/drawing/2012/chart" uri="{02D57815-91ED-43cb-92C2-25804820EDAC}">
                        <c15:formulaRef>
                          <c15:sqref>Results!$AM$1</c15:sqref>
                        </c15:formulaRef>
                      </c:ext>
                    </c:extLst>
                    <c:strCache>
                      <c:ptCount val="1"/>
                      <c:pt idx="0">
                        <c:v>C2 Transport </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Results!$AA$6:$AA$25</c15:sqref>
                        </c15:fullRef>
                        <c15:formulaRef>
                          <c15:sqref>(Results!$AA$6:$AA$20,Results!$AA$25)</c15:sqref>
                        </c15:formulaRef>
                      </c:ext>
                    </c:extLst>
                    <c:strCache>
                      <c:ptCount val="16"/>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Seq. Total</c:v>
                      </c:pt>
                    </c:strCache>
                  </c:strRef>
                </c:cat>
                <c:val>
                  <c:numRef>
                    <c:extLst>
                      <c:ext xmlns:c15="http://schemas.microsoft.com/office/drawing/2012/chart" uri="{02D57815-91ED-43cb-92C2-25804820EDAC}">
                        <c15:fullRef>
                          <c15:sqref>Results!$AM$6:$AM$25</c15:sqref>
                        </c15:fullRef>
                        <c15:formulaRef>
                          <c15:sqref>(Results!$AM$6:$AM$20,Results!$AM$25)</c15:sqref>
                        </c15:formulaRef>
                      </c:ext>
                    </c:extLst>
                    <c:numCache>
                      <c:formatCode>_-* #,##0_-;\-* #,##0_-;_-* "-"??_-;_-@_-</c:formatCode>
                      <c:ptCount val="16"/>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6="http://schemas.microsoft.com/office/drawing/2014/chart" uri="{C3380CC4-5D6E-409C-BE32-E72D297353CC}">
                    <c16:uniqueId val="{00000003-4D5A-41B7-B8C4-7B6C3FBF043A}"/>
                  </c:ext>
                </c:extLst>
              </c15:ser>
            </c15:filteredBarSeries>
            <c15:filteredBarSeries>
              <c15:ser>
                <c:idx val="10"/>
                <c:order val="4"/>
                <c:tx>
                  <c:strRef>
                    <c:extLst xmlns:c15="http://schemas.microsoft.com/office/drawing/2012/chart">
                      <c:ext xmlns:c15="http://schemas.microsoft.com/office/drawing/2012/chart" uri="{02D57815-91ED-43cb-92C2-25804820EDAC}">
                        <c15:formulaRef>
                          <c15:sqref>Results!$AL$1</c15:sqref>
                        </c15:formulaRef>
                      </c:ext>
                    </c:extLst>
                    <c:strCache>
                      <c:ptCount val="1"/>
                      <c:pt idx="0">
                        <c:v>C1 Deconstruction</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Results!$AA$6:$AA$25</c15:sqref>
                        </c15:fullRef>
                        <c15:formulaRef>
                          <c15:sqref>(Results!$AA$6:$AA$20,Results!$AA$25)</c15:sqref>
                        </c15:formulaRef>
                      </c:ext>
                    </c:extLst>
                    <c:strCache>
                      <c:ptCount val="16"/>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Seq. Total</c:v>
                      </c:pt>
                    </c:strCache>
                  </c:strRef>
                </c:cat>
                <c:val>
                  <c:numRef>
                    <c:extLst>
                      <c:ext xmlns:c15="http://schemas.microsoft.com/office/drawing/2012/chart" uri="{02D57815-91ED-43cb-92C2-25804820EDAC}">
                        <c15:fullRef>
                          <c15:sqref>Results!$AL$6:$AL$25</c15:sqref>
                        </c15:fullRef>
                        <c15:formulaRef>
                          <c15:sqref>(Results!$AL$6:$AL$20,Results!$AL$25)</c15:sqref>
                        </c15:formulaRef>
                      </c:ext>
                    </c:extLst>
                    <c:numCache>
                      <c:formatCode>_-* #,##0_-;\-* #,##0_-;_-* "-"??_-;_-@_-</c:formatCode>
                      <c:ptCount val="16"/>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6="http://schemas.microsoft.com/office/drawing/2014/chart" uri="{C3380CC4-5D6E-409C-BE32-E72D297353CC}">
                    <c16:uniqueId val="{00000004-4D5A-41B7-B8C4-7B6C3FBF043A}"/>
                  </c:ext>
                </c:extLst>
              </c15:ser>
            </c15:filteredBarSeries>
            <c15:filteredBarSeries>
              <c15:ser>
                <c:idx val="9"/>
                <c:order val="5"/>
                <c:tx>
                  <c:strRef>
                    <c:extLst xmlns:c15="http://schemas.microsoft.com/office/drawing/2012/chart">
                      <c:ext xmlns:c15="http://schemas.microsoft.com/office/drawing/2012/chart" uri="{02D57815-91ED-43cb-92C2-25804820EDAC}">
                        <c15:formulaRef>
                          <c15:sqref>Results!$AK$1</c15:sqref>
                        </c15:formulaRef>
                      </c:ext>
                    </c:extLst>
                    <c:strCache>
                      <c:ptCount val="1"/>
                      <c:pt idx="0">
                        <c:v>B7 Water</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Results!$AA$6:$AA$25</c15:sqref>
                        </c15:fullRef>
                        <c15:formulaRef>
                          <c15:sqref>(Results!$AA$6:$AA$20,Results!$AA$25)</c15:sqref>
                        </c15:formulaRef>
                      </c:ext>
                    </c:extLst>
                    <c:strCache>
                      <c:ptCount val="16"/>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Seq. Total</c:v>
                      </c:pt>
                    </c:strCache>
                  </c:strRef>
                </c:cat>
                <c:val>
                  <c:numRef>
                    <c:extLst>
                      <c:ext xmlns:c15="http://schemas.microsoft.com/office/drawing/2012/chart" uri="{02D57815-91ED-43cb-92C2-25804820EDAC}">
                        <c15:fullRef>
                          <c15:sqref>Results!$AK$6:$AK$25</c15:sqref>
                        </c15:fullRef>
                        <c15:formulaRef>
                          <c15:sqref>(Results!$AK$6:$AK$20,Results!$AK$25)</c15:sqref>
                        </c15:formulaRef>
                      </c:ext>
                    </c:extLst>
                    <c:numCache>
                      <c:formatCode>_-* #,##0_-;\-* #,##0_-;_-* "-"??_-;_-@_-</c:formatCode>
                      <c:ptCount val="16"/>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6="http://schemas.microsoft.com/office/drawing/2014/chart" uri="{C3380CC4-5D6E-409C-BE32-E72D297353CC}">
                    <c16:uniqueId val="{00000005-4D5A-41B7-B8C4-7B6C3FBF043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Results!$AI$1</c15:sqref>
                        </c15:formulaRef>
                      </c:ext>
                    </c:extLst>
                    <c:strCache>
                      <c:ptCount val="1"/>
                      <c:pt idx="0">
                        <c:v>B5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Results!$AA$6:$AA$25</c15:sqref>
                        </c15:fullRef>
                        <c15:formulaRef>
                          <c15:sqref>(Results!$AA$6:$AA$20,Results!$AA$25)</c15:sqref>
                        </c15:formulaRef>
                      </c:ext>
                    </c:extLst>
                    <c:strCache>
                      <c:ptCount val="16"/>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Seq. Total</c:v>
                      </c:pt>
                    </c:strCache>
                  </c:strRef>
                </c:cat>
                <c:val>
                  <c:numRef>
                    <c:extLst>
                      <c:ext xmlns:c15="http://schemas.microsoft.com/office/drawing/2012/chart" uri="{02D57815-91ED-43cb-92C2-25804820EDAC}">
                        <c15:fullRef>
                          <c15:sqref>Results!$AI$6:$AI$25</c15:sqref>
                        </c15:fullRef>
                        <c15:formulaRef>
                          <c15:sqref>(Results!$AI$6:$AI$20,Results!$AI$25)</c15:sqref>
                        </c15:formulaRef>
                      </c:ext>
                    </c:extLst>
                    <c:numCache>
                      <c:formatCode>_-* #,##0_-;\-* #,##0_-;_-* "-"??_-;_-@_-</c:formatCode>
                      <c:ptCount val="16"/>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6="http://schemas.microsoft.com/office/drawing/2014/chart" uri="{C3380CC4-5D6E-409C-BE32-E72D297353CC}">
                    <c16:uniqueId val="{0000000C-4D5A-41B7-B8C4-7B6C3FBF043A}"/>
                  </c:ext>
                </c:extLst>
              </c15:ser>
            </c15:filteredBarSeries>
            <c15:filteredBarSeries>
              <c15:ser>
                <c:idx val="6"/>
                <c:order val="8"/>
                <c:tx>
                  <c:strRef>
                    <c:extLst xmlns:c15="http://schemas.microsoft.com/office/drawing/2012/chart">
                      <c:ext xmlns:c15="http://schemas.microsoft.com/office/drawing/2012/chart" uri="{02D57815-91ED-43cb-92C2-25804820EDAC}">
                        <c15:formulaRef>
                          <c15:sqref>Results!$AH$1</c15:sqref>
                        </c15:formulaRef>
                      </c:ext>
                    </c:extLst>
                    <c:strCache>
                      <c:ptCount val="1"/>
                      <c:pt idx="0">
                        <c:v>B4 Replacements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Results!$AA$6:$AA$25</c15:sqref>
                        </c15:fullRef>
                        <c15:formulaRef>
                          <c15:sqref>(Results!$AA$6:$AA$20,Results!$AA$25)</c15:sqref>
                        </c15:formulaRef>
                      </c:ext>
                    </c:extLst>
                    <c:strCache>
                      <c:ptCount val="16"/>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Seq. Total</c:v>
                      </c:pt>
                    </c:strCache>
                  </c:strRef>
                </c:cat>
                <c:val>
                  <c:numRef>
                    <c:extLst>
                      <c:ext xmlns:c15="http://schemas.microsoft.com/office/drawing/2012/chart" uri="{02D57815-91ED-43cb-92C2-25804820EDAC}">
                        <c15:fullRef>
                          <c15:sqref>Results!$AH$6:$AH$25</c15:sqref>
                        </c15:fullRef>
                        <c15:formulaRef>
                          <c15:sqref>(Results!$AH$6:$AH$20,Results!$AH$25)</c15:sqref>
                        </c15:formulaRef>
                      </c:ext>
                    </c:extLst>
                    <c:numCache>
                      <c:formatCode>_-* #,##0_-;\-* #,##0_-;_-* "-"??_-;_-@_-</c:formatCode>
                      <c:ptCount val="16"/>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6="http://schemas.microsoft.com/office/drawing/2014/chart" uri="{C3380CC4-5D6E-409C-BE32-E72D297353CC}">
                    <c16:uniqueId val="{00000007-4D5A-41B7-B8C4-7B6C3FBF043A}"/>
                  </c:ext>
                </c:extLst>
              </c15:ser>
            </c15:filteredBarSeries>
            <c15:filteredBarSeries>
              <c15:ser>
                <c:idx val="5"/>
                <c:order val="9"/>
                <c:tx>
                  <c:strRef>
                    <c:extLst xmlns:c15="http://schemas.microsoft.com/office/drawing/2012/chart">
                      <c:ext xmlns:c15="http://schemas.microsoft.com/office/drawing/2012/chart" uri="{02D57815-91ED-43cb-92C2-25804820EDAC}">
                        <c15:formulaRef>
                          <c15:sqref>Results!$AG$1</c15:sqref>
                        </c15:formulaRef>
                      </c:ext>
                    </c:extLst>
                    <c:strCache>
                      <c:ptCount val="1"/>
                      <c:pt idx="0">
                        <c:v>B3</c:v>
                      </c:pt>
                    </c:strCache>
                  </c:strRef>
                </c:tx>
                <c:spPr>
                  <a:solidFill>
                    <a:schemeClr val="accent6"/>
                  </a:solidFill>
                  <a:ln>
                    <a:noFill/>
                  </a:ln>
                  <a:effectLst/>
                </c:spPr>
                <c:invertIfNegative val="0"/>
                <c:cat>
                  <c:strRef>
                    <c:extLst>
                      <c:ext xmlns:c15="http://schemas.microsoft.com/office/drawing/2012/chart" uri="{02D57815-91ED-43cb-92C2-25804820EDAC}">
                        <c15:fullRef>
                          <c15:sqref>Results!$AA$6:$AA$25</c15:sqref>
                        </c15:fullRef>
                        <c15:formulaRef>
                          <c15:sqref>(Results!$AA$6:$AA$20,Results!$AA$25)</c15:sqref>
                        </c15:formulaRef>
                      </c:ext>
                    </c:extLst>
                    <c:strCache>
                      <c:ptCount val="16"/>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Seq. Total</c:v>
                      </c:pt>
                    </c:strCache>
                  </c:strRef>
                </c:cat>
                <c:val>
                  <c:numRef>
                    <c:extLst>
                      <c:ext xmlns:c15="http://schemas.microsoft.com/office/drawing/2012/chart" uri="{02D57815-91ED-43cb-92C2-25804820EDAC}">
                        <c15:fullRef>
                          <c15:sqref>Results!$AG$6:$AG$25</c15:sqref>
                        </c15:fullRef>
                        <c15:formulaRef>
                          <c15:sqref>(Results!$AG$6:$AG$20,Results!$AG$25)</c15:sqref>
                        </c15:formulaRef>
                      </c:ext>
                    </c:extLst>
                    <c:numCache>
                      <c:formatCode>_-* #,##0_-;\-* #,##0_-;_-* "-"??_-;_-@_-</c:formatCode>
                      <c:ptCount val="16"/>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6="http://schemas.microsoft.com/office/drawing/2014/chart" uri="{C3380CC4-5D6E-409C-BE32-E72D297353CC}">
                    <c16:uniqueId val="{0000000D-4D5A-41B7-B8C4-7B6C3FBF043A}"/>
                  </c:ext>
                </c:extLst>
              </c15:ser>
            </c15:filteredBarSeries>
            <c15:filteredBarSeries>
              <c15:ser>
                <c:idx val="4"/>
                <c:order val="10"/>
                <c:tx>
                  <c:strRef>
                    <c:extLst xmlns:c15="http://schemas.microsoft.com/office/drawing/2012/chart">
                      <c:ext xmlns:c15="http://schemas.microsoft.com/office/drawing/2012/chart" uri="{02D57815-91ED-43cb-92C2-25804820EDAC}">
                        <c15:formulaRef>
                          <c15:sqref>Results!$AF$1</c15:sqref>
                        </c15:formulaRef>
                      </c:ext>
                    </c:extLst>
                    <c:strCache>
                      <c:ptCount val="1"/>
                      <c:pt idx="0">
                        <c:v>B2</c:v>
                      </c:pt>
                    </c:strCache>
                  </c:strRef>
                </c:tx>
                <c:spPr>
                  <a:solidFill>
                    <a:schemeClr val="accent5"/>
                  </a:solidFill>
                  <a:ln>
                    <a:noFill/>
                  </a:ln>
                  <a:effectLst/>
                </c:spPr>
                <c:invertIfNegative val="0"/>
                <c:cat>
                  <c:strRef>
                    <c:extLst>
                      <c:ext xmlns:c15="http://schemas.microsoft.com/office/drawing/2012/chart" uri="{02D57815-91ED-43cb-92C2-25804820EDAC}">
                        <c15:fullRef>
                          <c15:sqref>Results!$AA$6:$AA$25</c15:sqref>
                        </c15:fullRef>
                        <c15:formulaRef>
                          <c15:sqref>(Results!$AA$6:$AA$20,Results!$AA$25)</c15:sqref>
                        </c15:formulaRef>
                      </c:ext>
                    </c:extLst>
                    <c:strCache>
                      <c:ptCount val="16"/>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Seq. Total</c:v>
                      </c:pt>
                    </c:strCache>
                  </c:strRef>
                </c:cat>
                <c:val>
                  <c:numRef>
                    <c:extLst>
                      <c:ext xmlns:c15="http://schemas.microsoft.com/office/drawing/2012/chart" uri="{02D57815-91ED-43cb-92C2-25804820EDAC}">
                        <c15:fullRef>
                          <c15:sqref>Results!$AF$6:$AF$25</c15:sqref>
                        </c15:fullRef>
                        <c15:formulaRef>
                          <c15:sqref>(Results!$AF$6:$AF$20,Results!$AF$25)</c15:sqref>
                        </c15:formulaRef>
                      </c:ext>
                    </c:extLst>
                    <c:numCache>
                      <c:formatCode>_-* #,##0_-;\-* #,##0_-;_-* "-"??_-;_-@_-</c:formatCode>
                      <c:ptCount val="16"/>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6="http://schemas.microsoft.com/office/drawing/2014/chart" uri="{C3380CC4-5D6E-409C-BE32-E72D297353CC}">
                    <c16:uniqueId val="{0000000E-4D5A-41B7-B8C4-7B6C3FBF043A}"/>
                  </c:ext>
                </c:extLst>
              </c15:ser>
            </c15:filteredBarSeries>
            <c15:filteredBarSeries>
              <c15:ser>
                <c:idx val="3"/>
                <c:order val="11"/>
                <c:tx>
                  <c:strRef>
                    <c:extLst xmlns:c15="http://schemas.microsoft.com/office/drawing/2012/chart">
                      <c:ext xmlns:c15="http://schemas.microsoft.com/office/drawing/2012/chart" uri="{02D57815-91ED-43cb-92C2-25804820EDAC}">
                        <c15:formulaRef>
                          <c15:sqref>Results!$AE$1</c15:sqref>
                        </c15:formulaRef>
                      </c:ext>
                    </c:extLst>
                    <c:strCache>
                      <c:ptCount val="1"/>
                      <c:pt idx="0">
                        <c:v>B1 Use</c:v>
                      </c:pt>
                    </c:strCache>
                  </c:strRef>
                </c:tx>
                <c:spPr>
                  <a:solidFill>
                    <a:schemeClr val="accent4"/>
                  </a:solidFill>
                  <a:ln>
                    <a:noFill/>
                  </a:ln>
                  <a:effectLst/>
                </c:spPr>
                <c:invertIfNegative val="0"/>
                <c:cat>
                  <c:strRef>
                    <c:extLst>
                      <c:ext xmlns:c15="http://schemas.microsoft.com/office/drawing/2012/chart" uri="{02D57815-91ED-43cb-92C2-25804820EDAC}">
                        <c15:fullRef>
                          <c15:sqref>Results!$AA$6:$AA$25</c15:sqref>
                        </c15:fullRef>
                        <c15:formulaRef>
                          <c15:sqref>(Results!$AA$6:$AA$20,Results!$AA$25)</c15:sqref>
                        </c15:formulaRef>
                      </c:ext>
                    </c:extLst>
                    <c:strCache>
                      <c:ptCount val="16"/>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Seq. Total</c:v>
                      </c:pt>
                    </c:strCache>
                  </c:strRef>
                </c:cat>
                <c:val>
                  <c:numRef>
                    <c:extLst>
                      <c:ext xmlns:c15="http://schemas.microsoft.com/office/drawing/2012/chart" uri="{02D57815-91ED-43cb-92C2-25804820EDAC}">
                        <c15:fullRef>
                          <c15:sqref>Results!$AE$6:$AE$25</c15:sqref>
                        </c15:fullRef>
                        <c15:formulaRef>
                          <c15:sqref>(Results!$AE$6:$AE$20,Results!$AE$25)</c15:sqref>
                        </c15:formulaRef>
                      </c:ext>
                    </c:extLst>
                    <c:numCache>
                      <c:formatCode>_-* #,##0_-;\-* #,##0_-;_-* "-"??_-;_-@_-</c:formatCode>
                      <c:ptCount val="16"/>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6="http://schemas.microsoft.com/office/drawing/2014/chart" uri="{C3380CC4-5D6E-409C-BE32-E72D297353CC}">
                    <c16:uniqueId val="{00000008-4D5A-41B7-B8C4-7B6C3FBF043A}"/>
                  </c:ext>
                </c:extLst>
              </c15:ser>
            </c15:filteredBarSeries>
          </c:ext>
        </c:extLst>
      </c:barChart>
      <c:catAx>
        <c:axId val="157556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40919136"/>
        <c:crosses val="autoZero"/>
        <c:auto val="1"/>
        <c:lblAlgn val="ctr"/>
        <c:lblOffset val="100"/>
        <c:noMultiLvlLbl val="0"/>
      </c:catAx>
      <c:valAx>
        <c:axId val="1540919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IE"/>
                  <a:t>Tonnes CO2e</a:t>
                </a:r>
              </a:p>
            </c:rich>
          </c:tx>
          <c:layout>
            <c:manualLayout>
              <c:xMode val="edge"/>
              <c:yMode val="edge"/>
              <c:x val="1.8822438599574998E-3"/>
              <c:y val="0.1669473657261876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75567728"/>
        <c:crosses val="autoZero"/>
        <c:crossBetween val="between"/>
      </c:valAx>
      <c:spPr>
        <a:noFill/>
        <a:ln>
          <a:noFill/>
        </a:ln>
        <a:effectLst/>
      </c:spPr>
    </c:plotArea>
    <c:legend>
      <c:legendPos val="r"/>
      <c:legendEntry>
        <c:idx val="3"/>
        <c:delete val="1"/>
      </c:legendEntry>
      <c:layout>
        <c:manualLayout>
          <c:xMode val="edge"/>
          <c:yMode val="edge"/>
          <c:x val="0.80861893476155322"/>
          <c:y val="0.23144642129730192"/>
          <c:w val="0.18247788366394949"/>
          <c:h val="0.378983328878424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IE" sz="1100" b="0"/>
              <a:t>Lifetime Emissions by Element &amp; Stage</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5386408499294361E-2"/>
          <c:y val="0.12548680409643856"/>
          <c:w val="0.78955345683226763"/>
          <c:h val="0.54242757748183212"/>
        </c:manualLayout>
      </c:layout>
      <c:barChart>
        <c:barDir val="col"/>
        <c:grouping val="stacked"/>
        <c:varyColors val="0"/>
        <c:ser>
          <c:idx val="14"/>
          <c:order val="0"/>
          <c:tx>
            <c:strRef>
              <c:f>Results!$AP$1</c:f>
              <c:strCache>
                <c:ptCount val="1"/>
                <c:pt idx="0">
                  <c:v>Seq. Total</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Results!$AA$6:$AA$25</c15:sqref>
                  </c15:fullRef>
                </c:ext>
              </c:extLst>
              <c:f>(Results!$AA$6:$AA$23,Results!$AA$25)</c:f>
              <c:strCache>
                <c:ptCount val="19"/>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Seq. Total</c:v>
                </c:pt>
              </c:strCache>
            </c:strRef>
          </c:cat>
          <c:val>
            <c:numRef>
              <c:extLst>
                <c:ext xmlns:c15="http://schemas.microsoft.com/office/drawing/2012/chart" uri="{02D57815-91ED-43cb-92C2-25804820EDAC}">
                  <c15:fullRef>
                    <c15:sqref>Results!$AP$6:$AP$25</c15:sqref>
                  </c15:fullRef>
                </c:ext>
              </c:extLst>
              <c:f>(Results!$AP$6:$AP$23,Results!$AP$25)</c:f>
              <c:numCache>
                <c:formatCode>_-* #,##0_-;\-* #,##0_-;_-* "-"??_-;_-@_-</c:formatCode>
                <c:ptCount val="19"/>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formatCode="_-* #,##0.0_-;\-* #,##0.0_-;_-* &quot;-&quot;??_-;_-@_-">
                  <c:v>0</c:v>
                </c:pt>
              </c:numCache>
            </c:numRef>
          </c:val>
          <c:extLst>
            <c:ext xmlns:c16="http://schemas.microsoft.com/office/drawing/2014/chart" uri="{C3380CC4-5D6E-409C-BE32-E72D297353CC}">
              <c16:uniqueId val="{00000000-8B77-433D-8527-1135E5261D92}"/>
            </c:ext>
          </c:extLst>
        </c:ser>
        <c:ser>
          <c:idx val="13"/>
          <c:order val="1"/>
          <c:tx>
            <c:strRef>
              <c:f>Results!$AO$1</c:f>
              <c:strCache>
                <c:ptCount val="1"/>
                <c:pt idx="0">
                  <c:v>C4 Landfill / Incineration</c:v>
                </c:pt>
              </c:strCache>
              <c:extLst xmlns:c15="http://schemas.microsoft.com/office/drawing/2012/chart"/>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Results!$AA$6:$AA$25</c15:sqref>
                  </c15:fullRef>
                </c:ext>
              </c:extLst>
              <c:f>(Results!$AA$6:$AA$23,Results!$AA$25)</c:f>
              <c:strCache>
                <c:ptCount val="19"/>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Seq. Total</c:v>
                </c:pt>
              </c:strCache>
            </c:strRef>
          </c:cat>
          <c:val>
            <c:numRef>
              <c:extLst>
                <c:ext xmlns:c15="http://schemas.microsoft.com/office/drawing/2012/chart" uri="{02D57815-91ED-43cb-92C2-25804820EDAC}">
                  <c15:fullRef>
                    <c15:sqref>Results!$AO$6:$AO$25</c15:sqref>
                  </c15:fullRef>
                </c:ext>
              </c:extLst>
              <c:f>(Results!$AO$6:$AO$23,Results!$AO$25)</c:f>
              <c:numCache>
                <c:formatCode>_-* #,##0_-;\-* #,##0_-;_-* "-"??_-;_-@_-</c:formatCode>
                <c:ptCount val="19"/>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5="http://schemas.microsoft.com/office/drawing/2012/chart">
            <c:ext xmlns:c16="http://schemas.microsoft.com/office/drawing/2014/chart" uri="{C3380CC4-5D6E-409C-BE32-E72D297353CC}">
              <c16:uniqueId val="{00000005-8B77-433D-8527-1135E5261D92}"/>
            </c:ext>
          </c:extLst>
        </c:ser>
        <c:ser>
          <c:idx val="12"/>
          <c:order val="2"/>
          <c:tx>
            <c:strRef>
              <c:f>Results!$AN$1</c:f>
              <c:strCache>
                <c:ptCount val="1"/>
                <c:pt idx="0">
                  <c:v>C3 Recycle/Re-use</c:v>
                </c:pt>
              </c:strCache>
              <c:extLst xmlns:c15="http://schemas.microsoft.com/office/drawing/2012/chart"/>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Results!$AA$6:$AA$25</c15:sqref>
                  </c15:fullRef>
                </c:ext>
              </c:extLst>
              <c:f>(Results!$AA$6:$AA$23,Results!$AA$25)</c:f>
              <c:strCache>
                <c:ptCount val="19"/>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Seq. Total</c:v>
                </c:pt>
              </c:strCache>
            </c:strRef>
          </c:cat>
          <c:val>
            <c:numRef>
              <c:extLst>
                <c:ext xmlns:c15="http://schemas.microsoft.com/office/drawing/2012/chart" uri="{02D57815-91ED-43cb-92C2-25804820EDAC}">
                  <c15:fullRef>
                    <c15:sqref>Results!$AN$6:$AN$25</c15:sqref>
                  </c15:fullRef>
                </c:ext>
              </c:extLst>
              <c:f>(Results!$AN$6:$AN$23,Results!$AN$25)</c:f>
              <c:numCache>
                <c:formatCode>_-* #,##0_-;\-* #,##0_-;_-* "-"??_-;_-@_-</c:formatCode>
                <c:ptCount val="19"/>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5="http://schemas.microsoft.com/office/drawing/2012/chart">
            <c:ext xmlns:c16="http://schemas.microsoft.com/office/drawing/2014/chart" uri="{C3380CC4-5D6E-409C-BE32-E72D297353CC}">
              <c16:uniqueId val="{00000006-8B77-433D-8527-1135E5261D92}"/>
            </c:ext>
          </c:extLst>
        </c:ser>
        <c:ser>
          <c:idx val="11"/>
          <c:order val="3"/>
          <c:tx>
            <c:strRef>
              <c:f>Results!$AM$1</c:f>
              <c:strCache>
                <c:ptCount val="1"/>
                <c:pt idx="0">
                  <c:v>C2 Transport </c:v>
                </c:pt>
              </c:strCache>
              <c:extLst xmlns:c15="http://schemas.microsoft.com/office/drawing/2012/chart"/>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Results!$AA$6:$AA$25</c15:sqref>
                  </c15:fullRef>
                </c:ext>
              </c:extLst>
              <c:f>(Results!$AA$6:$AA$23,Results!$AA$25)</c:f>
              <c:strCache>
                <c:ptCount val="19"/>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Seq. Total</c:v>
                </c:pt>
              </c:strCache>
            </c:strRef>
          </c:cat>
          <c:val>
            <c:numRef>
              <c:extLst>
                <c:ext xmlns:c15="http://schemas.microsoft.com/office/drawing/2012/chart" uri="{02D57815-91ED-43cb-92C2-25804820EDAC}">
                  <c15:fullRef>
                    <c15:sqref>Results!$AM$6:$AM$25</c15:sqref>
                  </c15:fullRef>
                </c:ext>
              </c:extLst>
              <c:f>(Results!$AM$6:$AM$23,Results!$AM$25)</c:f>
              <c:numCache>
                <c:formatCode>_-* #,##0_-;\-* #,##0_-;_-* "-"??_-;_-@_-</c:formatCode>
                <c:ptCount val="19"/>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5="http://schemas.microsoft.com/office/drawing/2012/chart">
            <c:ext xmlns:c16="http://schemas.microsoft.com/office/drawing/2014/chart" uri="{C3380CC4-5D6E-409C-BE32-E72D297353CC}">
              <c16:uniqueId val="{00000007-8B77-433D-8527-1135E5261D92}"/>
            </c:ext>
          </c:extLst>
        </c:ser>
        <c:ser>
          <c:idx val="10"/>
          <c:order val="4"/>
          <c:tx>
            <c:strRef>
              <c:f>Results!$AL$1</c:f>
              <c:strCache>
                <c:ptCount val="1"/>
                <c:pt idx="0">
                  <c:v>C1 Deconstruction</c:v>
                </c:pt>
              </c:strCache>
              <c:extLst xmlns:c15="http://schemas.microsoft.com/office/drawing/2012/chart"/>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Results!$AA$6:$AA$25</c15:sqref>
                  </c15:fullRef>
                </c:ext>
              </c:extLst>
              <c:f>(Results!$AA$6:$AA$23,Results!$AA$25)</c:f>
              <c:strCache>
                <c:ptCount val="19"/>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Seq. Total</c:v>
                </c:pt>
              </c:strCache>
            </c:strRef>
          </c:cat>
          <c:val>
            <c:numRef>
              <c:extLst>
                <c:ext xmlns:c15="http://schemas.microsoft.com/office/drawing/2012/chart" uri="{02D57815-91ED-43cb-92C2-25804820EDAC}">
                  <c15:fullRef>
                    <c15:sqref>Results!$AL$6:$AL$25</c15:sqref>
                  </c15:fullRef>
                </c:ext>
              </c:extLst>
              <c:f>(Results!$AL$6:$AL$23,Results!$AL$25)</c:f>
              <c:numCache>
                <c:formatCode>_-* #,##0_-;\-* #,##0_-;_-* "-"??_-;_-@_-</c:formatCode>
                <c:ptCount val="19"/>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5="http://schemas.microsoft.com/office/drawing/2012/chart">
            <c:ext xmlns:c16="http://schemas.microsoft.com/office/drawing/2014/chart" uri="{C3380CC4-5D6E-409C-BE32-E72D297353CC}">
              <c16:uniqueId val="{00000008-8B77-433D-8527-1135E5261D92}"/>
            </c:ext>
          </c:extLst>
        </c:ser>
        <c:ser>
          <c:idx val="9"/>
          <c:order val="5"/>
          <c:tx>
            <c:strRef>
              <c:f>Results!$AK$1</c:f>
              <c:strCache>
                <c:ptCount val="1"/>
                <c:pt idx="0">
                  <c:v>B7 Water</c:v>
                </c:pt>
              </c:strCache>
              <c:extLst xmlns:c15="http://schemas.microsoft.com/office/drawing/2012/chart"/>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Results!$AA$6:$AA$25</c15:sqref>
                  </c15:fullRef>
                </c:ext>
              </c:extLst>
              <c:f>(Results!$AA$6:$AA$23,Results!$AA$25)</c:f>
              <c:strCache>
                <c:ptCount val="19"/>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Seq. Total</c:v>
                </c:pt>
              </c:strCache>
            </c:strRef>
          </c:cat>
          <c:val>
            <c:numRef>
              <c:extLst>
                <c:ext xmlns:c15="http://schemas.microsoft.com/office/drawing/2012/chart" uri="{02D57815-91ED-43cb-92C2-25804820EDAC}">
                  <c15:fullRef>
                    <c15:sqref>Results!$AK$6:$AK$25</c15:sqref>
                  </c15:fullRef>
                </c:ext>
              </c:extLst>
              <c:f>(Results!$AK$6:$AK$23,Results!$AK$25)</c:f>
              <c:numCache>
                <c:formatCode>_-* #,##0_-;\-* #,##0_-;_-* "-"??_-;_-@_-</c:formatCode>
                <c:ptCount val="19"/>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5="http://schemas.microsoft.com/office/drawing/2012/chart">
            <c:ext xmlns:c16="http://schemas.microsoft.com/office/drawing/2014/chart" uri="{C3380CC4-5D6E-409C-BE32-E72D297353CC}">
              <c16:uniqueId val="{00000009-8B77-433D-8527-1135E5261D92}"/>
            </c:ext>
          </c:extLst>
        </c:ser>
        <c:ser>
          <c:idx val="8"/>
          <c:order val="6"/>
          <c:tx>
            <c:strRef>
              <c:f>Results!$AJ$1</c:f>
              <c:strCache>
                <c:ptCount val="1"/>
                <c:pt idx="0">
                  <c:v>B6 Operational Energy</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Results!$AA$6:$AA$25</c15:sqref>
                  </c15:fullRef>
                </c:ext>
              </c:extLst>
              <c:f>(Results!$AA$6:$AA$23,Results!$AA$25)</c:f>
              <c:strCache>
                <c:ptCount val="19"/>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Seq. Total</c:v>
                </c:pt>
              </c:strCache>
            </c:strRef>
          </c:cat>
          <c:val>
            <c:numRef>
              <c:extLst>
                <c:ext xmlns:c15="http://schemas.microsoft.com/office/drawing/2012/chart" uri="{02D57815-91ED-43cb-92C2-25804820EDAC}">
                  <c15:fullRef>
                    <c15:sqref>Results!$AJ$6:$AJ$25</c15:sqref>
                  </c15:fullRef>
                </c:ext>
              </c:extLst>
              <c:f>(Results!$AJ$6:$AJ$23,Results!$AJ$25)</c:f>
              <c:numCache>
                <c:formatCode>_-* #,##0_-;\-* #,##0_-;_-* "-"??_-;_-@_-</c:formatCode>
                <c:ptCount val="19"/>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5.9872463535433768E-3</c:v>
                </c:pt>
                <c:pt idx="17">
                  <c:v>0</c:v>
                </c:pt>
              </c:numCache>
            </c:numRef>
          </c:val>
          <c:extLst xmlns:c15="http://schemas.microsoft.com/office/drawing/2012/chart">
            <c:ext xmlns:c16="http://schemas.microsoft.com/office/drawing/2014/chart" uri="{C3380CC4-5D6E-409C-BE32-E72D297353CC}">
              <c16:uniqueId val="{00000001-8B77-433D-8527-1135E5261D92}"/>
            </c:ext>
          </c:extLst>
        </c:ser>
        <c:ser>
          <c:idx val="6"/>
          <c:order val="8"/>
          <c:tx>
            <c:strRef>
              <c:f>Results!$AH$1</c:f>
              <c:strCache>
                <c:ptCount val="1"/>
                <c:pt idx="0">
                  <c:v>B4 Replacements</c:v>
                </c:pt>
              </c:strCache>
              <c:extLst xmlns:c15="http://schemas.microsoft.com/office/drawing/2012/chart"/>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Results!$AA$6:$AA$25</c15:sqref>
                  </c15:fullRef>
                </c:ext>
              </c:extLst>
              <c:f>(Results!$AA$6:$AA$23,Results!$AA$25)</c:f>
              <c:strCache>
                <c:ptCount val="19"/>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Seq. Total</c:v>
                </c:pt>
              </c:strCache>
            </c:strRef>
          </c:cat>
          <c:val>
            <c:numRef>
              <c:extLst>
                <c:ext xmlns:c15="http://schemas.microsoft.com/office/drawing/2012/chart" uri="{02D57815-91ED-43cb-92C2-25804820EDAC}">
                  <c15:fullRef>
                    <c15:sqref>Results!$AH$6:$AH$25</c15:sqref>
                  </c15:fullRef>
                </c:ext>
              </c:extLst>
              <c:f>(Results!$AH$6:$AH$23,Results!$AH$25)</c:f>
              <c:numCache>
                <c:formatCode>_-* #,##0_-;\-* #,##0_-;_-* "-"??_-;_-@_-</c:formatCode>
                <c:ptCount val="19"/>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5="http://schemas.microsoft.com/office/drawing/2012/chart">
            <c:ext xmlns:c16="http://schemas.microsoft.com/office/drawing/2014/chart" uri="{C3380CC4-5D6E-409C-BE32-E72D297353CC}">
              <c16:uniqueId val="{0000000B-8B77-433D-8527-1135E5261D92}"/>
            </c:ext>
          </c:extLst>
        </c:ser>
        <c:ser>
          <c:idx val="3"/>
          <c:order val="11"/>
          <c:tx>
            <c:strRef>
              <c:f>Results!$AE$1</c:f>
              <c:strCache>
                <c:ptCount val="1"/>
                <c:pt idx="0">
                  <c:v>B1 Use</c:v>
                </c:pt>
              </c:strCache>
              <c:extLst xmlns:c15="http://schemas.microsoft.com/office/drawing/2012/chart"/>
            </c:strRef>
          </c:tx>
          <c:spPr>
            <a:solidFill>
              <a:schemeClr val="accent4"/>
            </a:solidFill>
            <a:ln>
              <a:noFill/>
            </a:ln>
            <a:effectLst/>
          </c:spPr>
          <c:invertIfNegative val="0"/>
          <c:cat>
            <c:strRef>
              <c:extLst>
                <c:ext xmlns:c15="http://schemas.microsoft.com/office/drawing/2012/chart" uri="{02D57815-91ED-43cb-92C2-25804820EDAC}">
                  <c15:fullRef>
                    <c15:sqref>Results!$AA$6:$AA$25</c15:sqref>
                  </c15:fullRef>
                </c:ext>
              </c:extLst>
              <c:f>(Results!$AA$6:$AA$23,Results!$AA$25)</c:f>
              <c:strCache>
                <c:ptCount val="19"/>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Seq. Total</c:v>
                </c:pt>
              </c:strCache>
            </c:strRef>
          </c:cat>
          <c:val>
            <c:numRef>
              <c:extLst>
                <c:ext xmlns:c15="http://schemas.microsoft.com/office/drawing/2012/chart" uri="{02D57815-91ED-43cb-92C2-25804820EDAC}">
                  <c15:fullRef>
                    <c15:sqref>Results!$AE$6:$AE$25</c15:sqref>
                  </c15:fullRef>
                </c:ext>
              </c:extLst>
              <c:f>(Results!$AE$6:$AE$23,Results!$AE$25)</c:f>
              <c:numCache>
                <c:formatCode>_-* #,##0_-;\-* #,##0_-;_-* "-"??_-;_-@_-</c:formatCode>
                <c:ptCount val="19"/>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5="http://schemas.microsoft.com/office/drawing/2012/chart">
            <c:ext xmlns:c16="http://schemas.microsoft.com/office/drawing/2014/chart" uri="{C3380CC4-5D6E-409C-BE32-E72D297353CC}">
              <c16:uniqueId val="{0000000E-8B77-433D-8527-1135E5261D92}"/>
            </c:ext>
          </c:extLst>
        </c:ser>
        <c:ser>
          <c:idx val="2"/>
          <c:order val="12"/>
          <c:tx>
            <c:strRef>
              <c:f>Results!$AD$1</c:f>
              <c:strCache>
                <c:ptCount val="1"/>
                <c:pt idx="0">
                  <c:v>A5 Construction</c:v>
                </c:pt>
              </c:strCache>
            </c:strRef>
          </c:tx>
          <c:spPr>
            <a:solidFill>
              <a:schemeClr val="accent3"/>
            </a:solidFill>
            <a:ln>
              <a:noFill/>
            </a:ln>
            <a:effectLst/>
          </c:spPr>
          <c:invertIfNegative val="0"/>
          <c:cat>
            <c:strRef>
              <c:extLst>
                <c:ext xmlns:c15="http://schemas.microsoft.com/office/drawing/2012/chart" uri="{02D57815-91ED-43cb-92C2-25804820EDAC}">
                  <c15:fullRef>
                    <c15:sqref>Results!$AA$6:$AA$25</c15:sqref>
                  </c15:fullRef>
                </c:ext>
              </c:extLst>
              <c:f>(Results!$AA$6:$AA$23,Results!$AA$25)</c:f>
              <c:strCache>
                <c:ptCount val="19"/>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Seq. Total</c:v>
                </c:pt>
              </c:strCache>
            </c:strRef>
          </c:cat>
          <c:val>
            <c:numRef>
              <c:extLst>
                <c:ext xmlns:c15="http://schemas.microsoft.com/office/drawing/2012/chart" uri="{02D57815-91ED-43cb-92C2-25804820EDAC}">
                  <c15:fullRef>
                    <c15:sqref>Results!$AD$6:$AD$25</c15:sqref>
                  </c15:fullRef>
                </c:ext>
              </c:extLst>
              <c:f>(Results!$AD$6:$AD$23,Results!$AD$25)</c:f>
              <c:numCache>
                <c:formatCode>_-* #,##0_-;\-* #,##0_-;_-* "-"??_-;_-@_-</c:formatCode>
                <c:ptCount val="19"/>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8B77-433D-8527-1135E5261D92}"/>
            </c:ext>
          </c:extLst>
        </c:ser>
        <c:ser>
          <c:idx val="1"/>
          <c:order val="13"/>
          <c:tx>
            <c:strRef>
              <c:f>Results!$AC$1</c:f>
              <c:strCache>
                <c:ptCount val="1"/>
                <c:pt idx="0">
                  <c:v>A4 Transport</c:v>
                </c:pt>
              </c:strCache>
            </c:strRef>
          </c:tx>
          <c:spPr>
            <a:solidFill>
              <a:schemeClr val="accent2"/>
            </a:solidFill>
            <a:ln>
              <a:noFill/>
            </a:ln>
            <a:effectLst/>
          </c:spPr>
          <c:invertIfNegative val="0"/>
          <c:cat>
            <c:strRef>
              <c:extLst>
                <c:ext xmlns:c15="http://schemas.microsoft.com/office/drawing/2012/chart" uri="{02D57815-91ED-43cb-92C2-25804820EDAC}">
                  <c15:fullRef>
                    <c15:sqref>Results!$AA$6:$AA$25</c15:sqref>
                  </c15:fullRef>
                </c:ext>
              </c:extLst>
              <c:f>(Results!$AA$6:$AA$23,Results!$AA$25)</c:f>
              <c:strCache>
                <c:ptCount val="19"/>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Seq. Total</c:v>
                </c:pt>
              </c:strCache>
            </c:strRef>
          </c:cat>
          <c:val>
            <c:numRef>
              <c:extLst>
                <c:ext xmlns:c15="http://schemas.microsoft.com/office/drawing/2012/chart" uri="{02D57815-91ED-43cb-92C2-25804820EDAC}">
                  <c15:fullRef>
                    <c15:sqref>Results!$AC$6:$AC$25</c15:sqref>
                  </c15:fullRef>
                </c:ext>
              </c:extLst>
              <c:f>(Results!$AC$6:$AC$23,Results!$AC$25)</c:f>
              <c:numCache>
                <c:formatCode>_-* #,##0_-;\-* #,##0_-;_-* "-"??_-;_-@_-</c:formatCode>
                <c:ptCount val="19"/>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8B77-433D-8527-1135E5261D92}"/>
            </c:ext>
          </c:extLst>
        </c:ser>
        <c:ser>
          <c:idx val="0"/>
          <c:order val="14"/>
          <c:tx>
            <c:strRef>
              <c:f>Results!$AB$1</c:f>
              <c:strCache>
                <c:ptCount val="1"/>
                <c:pt idx="0">
                  <c:v>A1 - A3 Manufacture</c:v>
                </c:pt>
              </c:strCache>
            </c:strRef>
          </c:tx>
          <c:spPr>
            <a:solidFill>
              <a:schemeClr val="accent1"/>
            </a:solidFill>
            <a:ln>
              <a:noFill/>
            </a:ln>
            <a:effectLst/>
          </c:spPr>
          <c:invertIfNegative val="0"/>
          <c:cat>
            <c:strRef>
              <c:extLst>
                <c:ext xmlns:c15="http://schemas.microsoft.com/office/drawing/2012/chart" uri="{02D57815-91ED-43cb-92C2-25804820EDAC}">
                  <c15:fullRef>
                    <c15:sqref>Results!$AA$6:$AA$25</c15:sqref>
                  </c15:fullRef>
                </c:ext>
              </c:extLst>
              <c:f>(Results!$AA$6:$AA$23,Results!$AA$25)</c:f>
              <c:strCache>
                <c:ptCount val="19"/>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Seq. Total</c:v>
                </c:pt>
              </c:strCache>
            </c:strRef>
          </c:cat>
          <c:val>
            <c:numRef>
              <c:extLst>
                <c:ext xmlns:c15="http://schemas.microsoft.com/office/drawing/2012/chart" uri="{02D57815-91ED-43cb-92C2-25804820EDAC}">
                  <c15:fullRef>
                    <c15:sqref>Results!$AB$6:$AB$25</c15:sqref>
                  </c15:fullRef>
                </c:ext>
              </c:extLst>
              <c:f>(Results!$AB$6:$AB$23,Results!$AB$25)</c:f>
              <c:numCache>
                <c:formatCode>_-* #,##0_-;\-* #,##0_-;_-* "-"??_-;_-@_-</c:formatCode>
                <c:ptCount val="19"/>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8B77-433D-8527-1135E5261D92}"/>
            </c:ext>
          </c:extLst>
        </c:ser>
        <c:dLbls>
          <c:showLegendKey val="0"/>
          <c:showVal val="0"/>
          <c:showCatName val="0"/>
          <c:showSerName val="0"/>
          <c:showPercent val="0"/>
          <c:showBubbleSize val="0"/>
        </c:dLbls>
        <c:gapWidth val="150"/>
        <c:overlap val="100"/>
        <c:axId val="1575567728"/>
        <c:axId val="1540919136"/>
        <c:extLst>
          <c:ext xmlns:c15="http://schemas.microsoft.com/office/drawing/2012/chart" uri="{02D57815-91ED-43cb-92C2-25804820EDAC}">
            <c15:filteredBarSeries>
              <c15:ser>
                <c:idx val="7"/>
                <c:order val="7"/>
                <c:tx>
                  <c:strRef>
                    <c:extLst>
                      <c:ext uri="{02D57815-91ED-43cb-92C2-25804820EDAC}">
                        <c15:formulaRef>
                          <c15:sqref>Results!$AI$1</c15:sqref>
                        </c15:formulaRef>
                      </c:ext>
                    </c:extLst>
                    <c:strCache>
                      <c:ptCount val="1"/>
                      <c:pt idx="0">
                        <c:v>B5</c:v>
                      </c:pt>
                    </c:strCache>
                  </c:strRef>
                </c:tx>
                <c:spPr>
                  <a:solidFill>
                    <a:schemeClr val="accent2">
                      <a:lumMod val="60000"/>
                    </a:schemeClr>
                  </a:solidFill>
                  <a:ln>
                    <a:noFill/>
                  </a:ln>
                  <a:effectLst/>
                </c:spPr>
                <c:invertIfNegative val="0"/>
                <c:cat>
                  <c:strRef>
                    <c:extLst>
                      <c:ext uri="{02D57815-91ED-43cb-92C2-25804820EDAC}">
                        <c15:fullRef>
                          <c15:sqref>Results!$AA$6:$AA$25</c15:sqref>
                        </c15:fullRef>
                        <c15:formulaRef>
                          <c15:sqref>(Results!$AA$6:$AA$23,Results!$AA$25)</c15:sqref>
                        </c15:formulaRef>
                      </c:ext>
                    </c:extLst>
                    <c:strCache>
                      <c:ptCount val="19"/>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Seq. Total</c:v>
                      </c:pt>
                    </c:strCache>
                  </c:strRef>
                </c:cat>
                <c:val>
                  <c:numRef>
                    <c:extLst>
                      <c:ext uri="{02D57815-91ED-43cb-92C2-25804820EDAC}">
                        <c15:fullRef>
                          <c15:sqref>Results!$AI$6:$AI$25</c15:sqref>
                        </c15:fullRef>
                        <c15:formulaRef>
                          <c15:sqref>(Results!$AI$6:$AI$23,Results!$AI$25)</c15:sqref>
                        </c15:formulaRef>
                      </c:ext>
                    </c:extLst>
                    <c:numCache>
                      <c:formatCode>_-* #,##0_-;\-* #,##0_-;_-* "-"??_-;_-@_-</c:formatCode>
                      <c:ptCount val="19"/>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A-8B77-433D-8527-1135E5261D92}"/>
                  </c:ext>
                </c:extLst>
              </c15:ser>
            </c15:filteredBarSeries>
            <c15:filteredBarSeries>
              <c15:ser>
                <c:idx val="5"/>
                <c:order val="9"/>
                <c:tx>
                  <c:strRef>
                    <c:extLst xmlns:c15="http://schemas.microsoft.com/office/drawing/2012/chart">
                      <c:ext xmlns:c15="http://schemas.microsoft.com/office/drawing/2012/chart" uri="{02D57815-91ED-43cb-92C2-25804820EDAC}">
                        <c15:formulaRef>
                          <c15:sqref>Results!$AG$1</c15:sqref>
                        </c15:formulaRef>
                      </c:ext>
                    </c:extLst>
                    <c:strCache>
                      <c:ptCount val="1"/>
                      <c:pt idx="0">
                        <c:v>B3</c:v>
                      </c:pt>
                    </c:strCache>
                  </c:strRef>
                </c:tx>
                <c:spPr>
                  <a:solidFill>
                    <a:schemeClr val="accent6"/>
                  </a:solidFill>
                  <a:ln>
                    <a:noFill/>
                  </a:ln>
                  <a:effectLst/>
                </c:spPr>
                <c:invertIfNegative val="0"/>
                <c:cat>
                  <c:strRef>
                    <c:extLst>
                      <c:ext xmlns:c15="http://schemas.microsoft.com/office/drawing/2012/chart" uri="{02D57815-91ED-43cb-92C2-25804820EDAC}">
                        <c15:fullRef>
                          <c15:sqref>Results!$AA$6:$AA$25</c15:sqref>
                        </c15:fullRef>
                        <c15:formulaRef>
                          <c15:sqref>(Results!$AA$6:$AA$23,Results!$AA$25)</c15:sqref>
                        </c15:formulaRef>
                      </c:ext>
                    </c:extLst>
                    <c:strCache>
                      <c:ptCount val="19"/>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Seq. Total</c:v>
                      </c:pt>
                    </c:strCache>
                  </c:strRef>
                </c:cat>
                <c:val>
                  <c:numRef>
                    <c:extLst>
                      <c:ext xmlns:c15="http://schemas.microsoft.com/office/drawing/2012/chart" uri="{02D57815-91ED-43cb-92C2-25804820EDAC}">
                        <c15:fullRef>
                          <c15:sqref>Results!$AG$6:$AG$25</c15:sqref>
                        </c15:fullRef>
                        <c15:formulaRef>
                          <c15:sqref>(Results!$AG$6:$AG$23,Results!$AG$25)</c15:sqref>
                        </c15:formulaRef>
                      </c:ext>
                    </c:extLst>
                    <c:numCache>
                      <c:formatCode>_-* #,##0_-;\-* #,##0_-;_-* "-"??_-;_-@_-</c:formatCode>
                      <c:ptCount val="19"/>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5="http://schemas.microsoft.com/office/drawing/2012/chart">
                  <c:ext xmlns:c16="http://schemas.microsoft.com/office/drawing/2014/chart" uri="{C3380CC4-5D6E-409C-BE32-E72D297353CC}">
                    <c16:uniqueId val="{0000000C-8B77-433D-8527-1135E5261D92}"/>
                  </c:ext>
                </c:extLst>
              </c15:ser>
            </c15:filteredBarSeries>
            <c15:filteredBarSeries>
              <c15:ser>
                <c:idx val="4"/>
                <c:order val="10"/>
                <c:tx>
                  <c:strRef>
                    <c:extLst xmlns:c15="http://schemas.microsoft.com/office/drawing/2012/chart">
                      <c:ext xmlns:c15="http://schemas.microsoft.com/office/drawing/2012/chart" uri="{02D57815-91ED-43cb-92C2-25804820EDAC}">
                        <c15:formulaRef>
                          <c15:sqref>Results!$AF$1</c15:sqref>
                        </c15:formulaRef>
                      </c:ext>
                    </c:extLst>
                    <c:strCache>
                      <c:ptCount val="1"/>
                      <c:pt idx="0">
                        <c:v>B2</c:v>
                      </c:pt>
                    </c:strCache>
                  </c:strRef>
                </c:tx>
                <c:spPr>
                  <a:solidFill>
                    <a:schemeClr val="accent5"/>
                  </a:solidFill>
                  <a:ln>
                    <a:noFill/>
                  </a:ln>
                  <a:effectLst/>
                </c:spPr>
                <c:invertIfNegative val="0"/>
                <c:cat>
                  <c:strRef>
                    <c:extLst>
                      <c:ext xmlns:c15="http://schemas.microsoft.com/office/drawing/2012/chart" uri="{02D57815-91ED-43cb-92C2-25804820EDAC}">
                        <c15:fullRef>
                          <c15:sqref>Results!$AA$6:$AA$25</c15:sqref>
                        </c15:fullRef>
                        <c15:formulaRef>
                          <c15:sqref>(Results!$AA$6:$AA$23,Results!$AA$25)</c15:sqref>
                        </c15:formulaRef>
                      </c:ext>
                    </c:extLst>
                    <c:strCache>
                      <c:ptCount val="19"/>
                      <c:pt idx="0">
                        <c:v>Substructure</c:v>
                      </c:pt>
                      <c:pt idx="1">
                        <c:v>Structure</c:v>
                      </c:pt>
                      <c:pt idx="2">
                        <c:v>Non-load bearing elements</c:v>
                      </c:pt>
                      <c:pt idx="3">
                        <c:v>Facades </c:v>
                      </c:pt>
                      <c:pt idx="4">
                        <c:v>Roof </c:v>
                      </c:pt>
                      <c:pt idx="5">
                        <c:v>Parking</c:v>
                      </c:pt>
                      <c:pt idx="6">
                        <c:v>Fittings</c:v>
                      </c:pt>
                      <c:pt idx="7">
                        <c:v>Drainage</c:v>
                      </c:pt>
                      <c:pt idx="8">
                        <c:v>Utilities </c:v>
                      </c:pt>
                      <c:pt idx="9">
                        <c:v>Landscaping</c:v>
                      </c:pt>
                      <c:pt idx="10">
                        <c:v>Lighting</c:v>
                      </c:pt>
                      <c:pt idx="11">
                        <c:v>Energy system </c:v>
                      </c:pt>
                      <c:pt idx="12">
                        <c:v>Ventilation</c:v>
                      </c:pt>
                      <c:pt idx="13">
                        <c:v>Sanitary</c:v>
                      </c:pt>
                      <c:pt idx="14">
                        <c:v>Other systems</c:v>
                      </c:pt>
                      <c:pt idx="15">
                        <c:v>B1 Refrigerants</c:v>
                      </c:pt>
                      <c:pt idx="16">
                        <c:v>B6 Operational Energy</c:v>
                      </c:pt>
                      <c:pt idx="17">
                        <c:v>B7 Operational Water</c:v>
                      </c:pt>
                      <c:pt idx="18">
                        <c:v>Seq. Total</c:v>
                      </c:pt>
                    </c:strCache>
                  </c:strRef>
                </c:cat>
                <c:val>
                  <c:numRef>
                    <c:extLst>
                      <c:ext xmlns:c15="http://schemas.microsoft.com/office/drawing/2012/chart" uri="{02D57815-91ED-43cb-92C2-25804820EDAC}">
                        <c15:fullRef>
                          <c15:sqref>Results!$AF$6:$AF$25</c15:sqref>
                        </c15:fullRef>
                        <c15:formulaRef>
                          <c15:sqref>(Results!$AF$6:$AF$23,Results!$AF$25)</c15:sqref>
                        </c15:formulaRef>
                      </c:ext>
                    </c:extLst>
                    <c:numCache>
                      <c:formatCode>_-* #,##0_-;\-* #,##0_-;_-* "-"??_-;_-@_-</c:formatCode>
                      <c:ptCount val="19"/>
                      <c:pt idx="0" formatCode="_-* #,##0.000_-;\-* #,##0.000_-;_-* &quot;-&quot;??_-;_-@_-">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5="http://schemas.microsoft.com/office/drawing/2012/chart">
                  <c:ext xmlns:c16="http://schemas.microsoft.com/office/drawing/2014/chart" uri="{C3380CC4-5D6E-409C-BE32-E72D297353CC}">
                    <c16:uniqueId val="{0000000D-8B77-433D-8527-1135E5261D92}"/>
                  </c:ext>
                </c:extLst>
              </c15:ser>
            </c15:filteredBarSeries>
          </c:ext>
        </c:extLst>
      </c:barChart>
      <c:catAx>
        <c:axId val="1575567728"/>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IE"/>
                  <a:t>Measured elements</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40919136"/>
        <c:crosses val="autoZero"/>
        <c:auto val="1"/>
        <c:lblAlgn val="ctr"/>
        <c:lblOffset val="100"/>
        <c:noMultiLvlLbl val="0"/>
      </c:catAx>
      <c:valAx>
        <c:axId val="1540919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IE"/>
                  <a:t>Tonnes CO2e</a:t>
                </a:r>
              </a:p>
            </c:rich>
          </c:tx>
          <c:layout>
            <c:manualLayout>
              <c:xMode val="edge"/>
              <c:yMode val="edge"/>
              <c:x val="1.8822438599574998E-3"/>
              <c:y val="0.1669473657261876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75567728"/>
        <c:crosses val="autoZero"/>
        <c:crossBetween val="between"/>
      </c:valAx>
      <c:spPr>
        <a:noFill/>
        <a:ln>
          <a:noFill/>
        </a:ln>
        <a:effectLst/>
      </c:spPr>
    </c:plotArea>
    <c:legend>
      <c:legendPos val="r"/>
      <c:layout>
        <c:manualLayout>
          <c:xMode val="edge"/>
          <c:yMode val="edge"/>
          <c:x val="0.86005491680440538"/>
          <c:y val="6.9211231065361103E-2"/>
          <c:w val="0.13280475542081596"/>
          <c:h val="0.869123357603146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image" Target="../media/image4.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chart" Target="../charts/chart11.xml"/><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chart" Target="../charts/chart10.xml"/><Relationship Id="rId5" Type="http://schemas.openxmlformats.org/officeDocument/2006/relationships/image" Target="../media/image9.png"/><Relationship Id="rId10" Type="http://schemas.openxmlformats.org/officeDocument/2006/relationships/chart" Target="../charts/chart9.xml"/><Relationship Id="rId4" Type="http://schemas.openxmlformats.org/officeDocument/2006/relationships/image" Target="../media/image8.png"/><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4</xdr:col>
      <xdr:colOff>1404</xdr:colOff>
      <xdr:row>1</xdr:row>
      <xdr:rowOff>310815</xdr:rowOff>
    </xdr:from>
    <xdr:to>
      <xdr:col>8</xdr:col>
      <xdr:colOff>969976</xdr:colOff>
      <xdr:row>26</xdr:row>
      <xdr:rowOff>36174</xdr:rowOff>
    </xdr:to>
    <xdr:pic>
      <xdr:nvPicPr>
        <xdr:cNvPr id="2" name="Picture 1">
          <a:extLst>
            <a:ext uri="{FF2B5EF4-FFF2-40B4-BE49-F238E27FC236}">
              <a16:creationId xmlns:a16="http://schemas.microsoft.com/office/drawing/2014/main" id="{A3D5D788-C0A1-47E8-A00E-96F99DB37393}"/>
            </a:ext>
          </a:extLst>
        </xdr:cNvPr>
        <xdr:cNvPicPr>
          <a:picLocks noChangeAspect="1"/>
        </xdr:cNvPicPr>
      </xdr:nvPicPr>
      <xdr:blipFill>
        <a:blip xmlns:r="http://schemas.openxmlformats.org/officeDocument/2006/relationships" r:embed="rId1"/>
        <a:stretch>
          <a:fillRect/>
        </a:stretch>
      </xdr:blipFill>
      <xdr:spPr>
        <a:xfrm>
          <a:off x="7360720" y="491289"/>
          <a:ext cx="4979098" cy="43174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543828</xdr:colOff>
      <xdr:row>20</xdr:row>
      <xdr:rowOff>42013</xdr:rowOff>
    </xdr:from>
    <xdr:to>
      <xdr:col>12</xdr:col>
      <xdr:colOff>533300</xdr:colOff>
      <xdr:row>25</xdr:row>
      <xdr:rowOff>209154</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5887854" y="7481539"/>
          <a:ext cx="5313446" cy="1359772"/>
        </a:xfrm>
        <a:prstGeom prst="rect">
          <a:avLst/>
        </a:prstGeom>
      </xdr:spPr>
    </xdr:pic>
    <xdr:clientData/>
  </xdr:twoCellAnchor>
  <xdr:twoCellAnchor>
    <xdr:from>
      <xdr:col>2</xdr:col>
      <xdr:colOff>403459</xdr:colOff>
      <xdr:row>15</xdr:row>
      <xdr:rowOff>196715</xdr:rowOff>
    </xdr:from>
    <xdr:to>
      <xdr:col>4</xdr:col>
      <xdr:colOff>19050</xdr:colOff>
      <xdr:row>15</xdr:row>
      <xdr:rowOff>196716</xdr:rowOff>
    </xdr:to>
    <xdr:cxnSp macro="">
      <xdr:nvCxnSpPr>
        <xdr:cNvPr id="6" name="Straight Arrow Connector 5">
          <a:extLst>
            <a:ext uri="{FF2B5EF4-FFF2-40B4-BE49-F238E27FC236}">
              <a16:creationId xmlns:a16="http://schemas.microsoft.com/office/drawing/2014/main" id="{00000000-0008-0000-0100-000006000000}"/>
            </a:ext>
          </a:extLst>
        </xdr:cNvPr>
        <xdr:cNvCxnSpPr>
          <a:cxnSpLocks/>
        </xdr:cNvCxnSpPr>
      </xdr:nvCxnSpPr>
      <xdr:spPr>
        <a:xfrm flipH="1">
          <a:off x="1937485" y="6042057"/>
          <a:ext cx="4177565" cy="1"/>
        </a:xfrm>
        <a:prstGeom prst="straightConnector1">
          <a:avLst/>
        </a:prstGeom>
        <a:ln>
          <a:solidFill>
            <a:srgbClr val="FF0000"/>
          </a:solidFill>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475047</xdr:colOff>
      <xdr:row>22</xdr:row>
      <xdr:rowOff>92639</xdr:rowOff>
    </xdr:from>
    <xdr:to>
      <xdr:col>4</xdr:col>
      <xdr:colOff>40105</xdr:colOff>
      <xdr:row>22</xdr:row>
      <xdr:rowOff>110289</xdr:rowOff>
    </xdr:to>
    <xdr:cxnSp macro="">
      <xdr:nvCxnSpPr>
        <xdr:cNvPr id="2" name="Straight Arrow Connector 1">
          <a:extLst>
            <a:ext uri="{FF2B5EF4-FFF2-40B4-BE49-F238E27FC236}">
              <a16:creationId xmlns:a16="http://schemas.microsoft.com/office/drawing/2014/main" id="{BC17F280-9742-4ED5-9D25-12F62874639A}"/>
            </a:ext>
          </a:extLst>
        </xdr:cNvPr>
        <xdr:cNvCxnSpPr>
          <a:cxnSpLocks/>
        </xdr:cNvCxnSpPr>
      </xdr:nvCxnSpPr>
      <xdr:spPr>
        <a:xfrm flipH="1" flipV="1">
          <a:off x="2009073" y="7572271"/>
          <a:ext cx="4127032" cy="17650"/>
        </a:xfrm>
        <a:prstGeom prst="straightConnector1">
          <a:avLst/>
        </a:prstGeom>
        <a:ln>
          <a:solidFill>
            <a:srgbClr val="FF0000"/>
          </a:solidFill>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xdr:col>
      <xdr:colOff>280737</xdr:colOff>
      <xdr:row>13</xdr:row>
      <xdr:rowOff>90237</xdr:rowOff>
    </xdr:from>
    <xdr:to>
      <xdr:col>3</xdr:col>
      <xdr:colOff>590550</xdr:colOff>
      <xdr:row>13</xdr:row>
      <xdr:rowOff>94547</xdr:rowOff>
    </xdr:to>
    <xdr:cxnSp macro="">
      <xdr:nvCxnSpPr>
        <xdr:cNvPr id="3" name="Straight Arrow Connector 2">
          <a:extLst>
            <a:ext uri="{FF2B5EF4-FFF2-40B4-BE49-F238E27FC236}">
              <a16:creationId xmlns:a16="http://schemas.microsoft.com/office/drawing/2014/main" id="{A9BA260C-9866-4956-8CFA-6A15EDBFB52E}"/>
            </a:ext>
          </a:extLst>
        </xdr:cNvPr>
        <xdr:cNvCxnSpPr>
          <a:cxnSpLocks/>
        </xdr:cNvCxnSpPr>
      </xdr:nvCxnSpPr>
      <xdr:spPr>
        <a:xfrm flipH="1" flipV="1">
          <a:off x="5765132" y="4010526"/>
          <a:ext cx="309813" cy="4310"/>
        </a:xfrm>
        <a:prstGeom prst="straightConnector1">
          <a:avLst/>
        </a:prstGeom>
        <a:ln>
          <a:solidFill>
            <a:srgbClr val="FF0000"/>
          </a:solidFill>
          <a:tailEnd type="triangle"/>
        </a:ln>
      </xdr:spPr>
      <xdr:style>
        <a:lnRef idx="3">
          <a:schemeClr val="accent6"/>
        </a:lnRef>
        <a:fillRef idx="0">
          <a:schemeClr val="accent6"/>
        </a:fillRef>
        <a:effectRef idx="2">
          <a:schemeClr val="accent6"/>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50734</xdr:colOff>
      <xdr:row>60</xdr:row>
      <xdr:rowOff>22057</xdr:rowOff>
    </xdr:from>
    <xdr:to>
      <xdr:col>14</xdr:col>
      <xdr:colOff>706809</xdr:colOff>
      <xdr:row>79</xdr:row>
      <xdr:rowOff>78494</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9134576" y="11000873"/>
          <a:ext cx="6396843" cy="32949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190499</xdr:colOff>
      <xdr:row>19</xdr:row>
      <xdr:rowOff>104775</xdr:rowOff>
    </xdr:from>
    <xdr:to>
      <xdr:col>11</xdr:col>
      <xdr:colOff>478154</xdr:colOff>
      <xdr:row>37</xdr:row>
      <xdr:rowOff>120015</xdr:rowOff>
    </xdr:to>
    <xdr:graphicFrame macro="">
      <xdr:nvGraphicFramePr>
        <xdr:cNvPr id="2" name="Chart 1">
          <a:extLst>
            <a:ext uri="{FF2B5EF4-FFF2-40B4-BE49-F238E27FC236}">
              <a16:creationId xmlns:a16="http://schemas.microsoft.com/office/drawing/2014/main" id="{DCB54771-9668-41C3-8DDF-64DEA8FE5F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467446</xdr:colOff>
      <xdr:row>229</xdr:row>
      <xdr:rowOff>42022</xdr:rowOff>
    </xdr:from>
    <xdr:to>
      <xdr:col>13</xdr:col>
      <xdr:colOff>437404</xdr:colOff>
      <xdr:row>236</xdr:row>
      <xdr:rowOff>111225</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8521674" y="11345956"/>
          <a:ext cx="5359912" cy="1232487"/>
        </a:xfrm>
        <a:prstGeom prst="rect">
          <a:avLst/>
        </a:prstGeom>
      </xdr:spPr>
    </xdr:pic>
    <xdr:clientData/>
  </xdr:twoCellAnchor>
  <xdr:twoCellAnchor>
    <xdr:from>
      <xdr:col>5</xdr:col>
      <xdr:colOff>507951</xdr:colOff>
      <xdr:row>187</xdr:row>
      <xdr:rowOff>63682</xdr:rowOff>
    </xdr:from>
    <xdr:to>
      <xdr:col>19</xdr:col>
      <xdr:colOff>868361</xdr:colOff>
      <xdr:row>207</xdr:row>
      <xdr:rowOff>118459</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583134</xdr:colOff>
      <xdr:row>81</xdr:row>
      <xdr:rowOff>144601</xdr:rowOff>
    </xdr:from>
    <xdr:to>
      <xdr:col>26</xdr:col>
      <xdr:colOff>49415</xdr:colOff>
      <xdr:row>112</xdr:row>
      <xdr:rowOff>127000</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568257</xdr:colOff>
      <xdr:row>113</xdr:row>
      <xdr:rowOff>142439</xdr:rowOff>
    </xdr:from>
    <xdr:to>
      <xdr:col>24</xdr:col>
      <xdr:colOff>85230</xdr:colOff>
      <xdr:row>146</xdr:row>
      <xdr:rowOff>15426</xdr:rowOff>
    </xdr:to>
    <xdr:graphicFrame macro="">
      <xdr:nvGraphicFramePr>
        <xdr:cNvPr id="6" name="Chart 5">
          <a:extLst>
            <a:ext uri="{FF2B5EF4-FFF2-40B4-BE49-F238E27FC236}">
              <a16:creationId xmlns:a16="http://schemas.microsoft.com/office/drawing/2014/main" id="{44017CB6-2414-E4F3-CC3B-94808A9A6A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27940</xdr:colOff>
      <xdr:row>30</xdr:row>
      <xdr:rowOff>148272</xdr:rowOff>
    </xdr:from>
    <xdr:to>
      <xdr:col>41</xdr:col>
      <xdr:colOff>111125</xdr:colOff>
      <xdr:row>56</xdr:row>
      <xdr:rowOff>137160</xdr:rowOff>
    </xdr:to>
    <xdr:graphicFrame macro="">
      <xdr:nvGraphicFramePr>
        <xdr:cNvPr id="8" name="Chart 7">
          <a:extLst>
            <a:ext uri="{FF2B5EF4-FFF2-40B4-BE49-F238E27FC236}">
              <a16:creationId xmlns:a16="http://schemas.microsoft.com/office/drawing/2014/main" id="{8C754529-F59C-DFC9-3508-21283D1E6A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198755</xdr:colOff>
      <xdr:row>76</xdr:row>
      <xdr:rowOff>167957</xdr:rowOff>
    </xdr:from>
    <xdr:to>
      <xdr:col>3</xdr:col>
      <xdr:colOff>2571750</xdr:colOff>
      <xdr:row>92</xdr:row>
      <xdr:rowOff>105727</xdr:rowOff>
    </xdr:to>
    <xdr:graphicFrame macro="">
      <xdr:nvGraphicFramePr>
        <xdr:cNvPr id="7" name="Chart 6">
          <a:extLst>
            <a:ext uri="{FF2B5EF4-FFF2-40B4-BE49-F238E27FC236}">
              <a16:creationId xmlns:a16="http://schemas.microsoft.com/office/drawing/2014/main" id="{1A64C3C6-274A-8C03-01DF-4A60C883C2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434975</xdr:colOff>
      <xdr:row>58</xdr:row>
      <xdr:rowOff>68897</xdr:rowOff>
    </xdr:from>
    <xdr:to>
      <xdr:col>35</xdr:col>
      <xdr:colOff>238125</xdr:colOff>
      <xdr:row>80</xdr:row>
      <xdr:rowOff>63500</xdr:rowOff>
    </xdr:to>
    <xdr:graphicFrame macro="">
      <xdr:nvGraphicFramePr>
        <xdr:cNvPr id="11" name="Chart 10">
          <a:extLst>
            <a:ext uri="{FF2B5EF4-FFF2-40B4-BE49-F238E27FC236}">
              <a16:creationId xmlns:a16="http://schemas.microsoft.com/office/drawing/2014/main" id="{451474F9-5A4F-AE89-98F2-C6A30DDC4F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171329</xdr:colOff>
      <xdr:row>7</xdr:row>
      <xdr:rowOff>95533</xdr:rowOff>
    </xdr:from>
    <xdr:to>
      <xdr:col>10</xdr:col>
      <xdr:colOff>537044</xdr:colOff>
      <xdr:row>9</xdr:row>
      <xdr:rowOff>88224</xdr:rowOff>
    </xdr:to>
    <xdr:grpSp>
      <xdr:nvGrpSpPr>
        <xdr:cNvPr id="4" name="Group 3">
          <a:extLst>
            <a:ext uri="{FF2B5EF4-FFF2-40B4-BE49-F238E27FC236}">
              <a16:creationId xmlns:a16="http://schemas.microsoft.com/office/drawing/2014/main" id="{15D62683-31F2-424C-82BB-1A1060CE5280}"/>
            </a:ext>
          </a:extLst>
        </xdr:cNvPr>
        <xdr:cNvGrpSpPr>
          <a:grpSpLocks/>
        </xdr:cNvGrpSpPr>
      </xdr:nvGrpSpPr>
      <xdr:grpSpPr>
        <a:xfrm>
          <a:off x="11534955" y="1425223"/>
          <a:ext cx="361905" cy="341206"/>
          <a:chOff x="422537" y="8072794"/>
          <a:chExt cx="508000" cy="502920"/>
        </a:xfrm>
      </xdr:grpSpPr>
      <xdr:sp macro="" textlink="">
        <xdr:nvSpPr>
          <xdr:cNvPr id="5" name="Oval 4">
            <a:extLst>
              <a:ext uri="{FF2B5EF4-FFF2-40B4-BE49-F238E27FC236}">
                <a16:creationId xmlns:a16="http://schemas.microsoft.com/office/drawing/2014/main" id="{19ED31F5-8509-584D-2F93-0C70945B1244}"/>
              </a:ext>
            </a:extLst>
          </xdr:cNvPr>
          <xdr:cNvSpPr/>
        </xdr:nvSpPr>
        <xdr:spPr>
          <a:xfrm>
            <a:off x="422537" y="8072794"/>
            <a:ext cx="508000" cy="502920"/>
          </a:xfrm>
          <a:prstGeom prst="ellipse">
            <a:avLst/>
          </a:prstGeom>
          <a:solidFill>
            <a:schemeClr val="accent1">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90000" bIns="90000" rtlCol="0" anchor="t"/>
          <a:lstStyle/>
          <a:p>
            <a:pPr algn="l"/>
            <a:endParaRPr lang="en-US" sz="1100"/>
          </a:p>
        </xdr:txBody>
      </xdr:sp>
      <xdr:pic>
        <xdr:nvPicPr>
          <xdr:cNvPr id="6" name="Picture 5">
            <a:extLst>
              <a:ext uri="{FF2B5EF4-FFF2-40B4-BE49-F238E27FC236}">
                <a16:creationId xmlns:a16="http://schemas.microsoft.com/office/drawing/2014/main" id="{0A737155-8B25-E7AD-A978-2BF9EF31FF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2024" y="8123292"/>
            <a:ext cx="345141" cy="345241"/>
          </a:xfrm>
          <a:prstGeom prst="rect">
            <a:avLst/>
          </a:prstGeom>
          <a:noFill/>
          <a:ln>
            <a:noFill/>
          </a:ln>
        </xdr:spPr>
      </xdr:pic>
    </xdr:grpSp>
    <xdr:clientData/>
  </xdr:twoCellAnchor>
  <xdr:twoCellAnchor>
    <xdr:from>
      <xdr:col>10</xdr:col>
      <xdr:colOff>168459</xdr:colOff>
      <xdr:row>10</xdr:row>
      <xdr:rowOff>96474</xdr:rowOff>
    </xdr:from>
    <xdr:to>
      <xdr:col>10</xdr:col>
      <xdr:colOff>536079</xdr:colOff>
      <xdr:row>12</xdr:row>
      <xdr:rowOff>102500</xdr:rowOff>
    </xdr:to>
    <xdr:grpSp>
      <xdr:nvGrpSpPr>
        <xdr:cNvPr id="7" name="Group 6">
          <a:extLst>
            <a:ext uri="{FF2B5EF4-FFF2-40B4-BE49-F238E27FC236}">
              <a16:creationId xmlns:a16="http://schemas.microsoft.com/office/drawing/2014/main" id="{F1950875-DD45-487F-B49C-FC744930F353}"/>
            </a:ext>
          </a:extLst>
        </xdr:cNvPr>
        <xdr:cNvGrpSpPr>
          <a:grpSpLocks/>
        </xdr:cNvGrpSpPr>
      </xdr:nvGrpSpPr>
      <xdr:grpSpPr>
        <a:xfrm>
          <a:off x="11532085" y="1967585"/>
          <a:ext cx="363810" cy="366973"/>
          <a:chOff x="422537" y="8599843"/>
          <a:chExt cx="508000" cy="502920"/>
        </a:xfrm>
      </xdr:grpSpPr>
      <xdr:sp macro="" textlink="">
        <xdr:nvSpPr>
          <xdr:cNvPr id="8" name="Oval 7">
            <a:extLst>
              <a:ext uri="{FF2B5EF4-FFF2-40B4-BE49-F238E27FC236}">
                <a16:creationId xmlns:a16="http://schemas.microsoft.com/office/drawing/2014/main" id="{143E1A65-E28F-2000-791F-5CAE79576C98}"/>
              </a:ext>
            </a:extLst>
          </xdr:cNvPr>
          <xdr:cNvSpPr/>
        </xdr:nvSpPr>
        <xdr:spPr>
          <a:xfrm>
            <a:off x="422537" y="8599843"/>
            <a:ext cx="508000" cy="502920"/>
          </a:xfrm>
          <a:prstGeom prst="ellipse">
            <a:avLst/>
          </a:prstGeom>
          <a:solidFill>
            <a:schemeClr val="accent1">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90000" bIns="90000" rtlCol="0" anchor="t"/>
          <a:lstStyle/>
          <a:p>
            <a:pPr algn="l"/>
            <a:endParaRPr lang="en-US" sz="1100"/>
          </a:p>
        </xdr:txBody>
      </xdr:sp>
      <xdr:pic>
        <xdr:nvPicPr>
          <xdr:cNvPr id="9" name="Picture 8">
            <a:extLst>
              <a:ext uri="{FF2B5EF4-FFF2-40B4-BE49-F238E27FC236}">
                <a16:creationId xmlns:a16="http://schemas.microsoft.com/office/drawing/2014/main" id="{0399B6B2-3259-3DBB-E8BF-2212C197A3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4615" y="8628175"/>
            <a:ext cx="427374" cy="421821"/>
          </a:xfrm>
          <a:prstGeom prst="rect">
            <a:avLst/>
          </a:prstGeom>
          <a:noFill/>
          <a:ln>
            <a:noFill/>
          </a:ln>
        </xdr:spPr>
      </xdr:pic>
    </xdr:grpSp>
    <xdr:clientData/>
  </xdr:twoCellAnchor>
  <xdr:twoCellAnchor>
    <xdr:from>
      <xdr:col>12</xdr:col>
      <xdr:colOff>159472</xdr:colOff>
      <xdr:row>13</xdr:row>
      <xdr:rowOff>125027</xdr:rowOff>
    </xdr:from>
    <xdr:to>
      <xdr:col>12</xdr:col>
      <xdr:colOff>513757</xdr:colOff>
      <xdr:row>15</xdr:row>
      <xdr:rowOff>121528</xdr:rowOff>
    </xdr:to>
    <xdr:grpSp>
      <xdr:nvGrpSpPr>
        <xdr:cNvPr id="10" name="Group 9">
          <a:extLst>
            <a:ext uri="{FF2B5EF4-FFF2-40B4-BE49-F238E27FC236}">
              <a16:creationId xmlns:a16="http://schemas.microsoft.com/office/drawing/2014/main" id="{100C5146-8AC4-4F64-94C9-8186E47C0413}"/>
            </a:ext>
          </a:extLst>
        </xdr:cNvPr>
        <xdr:cNvGrpSpPr/>
      </xdr:nvGrpSpPr>
      <xdr:grpSpPr>
        <a:xfrm>
          <a:off x="14318535" y="2563327"/>
          <a:ext cx="356190" cy="357448"/>
          <a:chOff x="3291990" y="9126892"/>
          <a:chExt cx="508000" cy="502920"/>
        </a:xfrm>
      </xdr:grpSpPr>
      <xdr:sp macro="" textlink="">
        <xdr:nvSpPr>
          <xdr:cNvPr id="11" name="Oval 10">
            <a:extLst>
              <a:ext uri="{FF2B5EF4-FFF2-40B4-BE49-F238E27FC236}">
                <a16:creationId xmlns:a16="http://schemas.microsoft.com/office/drawing/2014/main" id="{8E69CF5E-111D-0B29-E623-C81F4236DE67}"/>
              </a:ext>
            </a:extLst>
          </xdr:cNvPr>
          <xdr:cNvSpPr/>
        </xdr:nvSpPr>
        <xdr:spPr>
          <a:xfrm>
            <a:off x="3291990" y="9126892"/>
            <a:ext cx="508000" cy="502920"/>
          </a:xfrm>
          <a:prstGeom prst="ellipse">
            <a:avLst/>
          </a:prstGeom>
          <a:solidFill>
            <a:schemeClr val="accent1">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2" name="Picture 11">
            <a:extLst>
              <a:ext uri="{FF2B5EF4-FFF2-40B4-BE49-F238E27FC236}">
                <a16:creationId xmlns:a16="http://schemas.microsoft.com/office/drawing/2014/main" id="{58B5920A-C8B4-E3EB-B22A-325A2B3682C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63535" y="9180061"/>
            <a:ext cx="366529" cy="358095"/>
          </a:xfrm>
          <a:prstGeom prst="rect">
            <a:avLst/>
          </a:prstGeom>
          <a:noFill/>
          <a:ln>
            <a:noFill/>
          </a:ln>
        </xdr:spPr>
      </xdr:pic>
    </xdr:grpSp>
    <xdr:clientData/>
  </xdr:twoCellAnchor>
  <xdr:twoCellAnchor>
    <xdr:from>
      <xdr:col>12</xdr:col>
      <xdr:colOff>153217</xdr:colOff>
      <xdr:row>4</xdr:row>
      <xdr:rowOff>113888</xdr:rowOff>
    </xdr:from>
    <xdr:to>
      <xdr:col>12</xdr:col>
      <xdr:colOff>520837</xdr:colOff>
      <xdr:row>6</xdr:row>
      <xdr:rowOff>37119</xdr:rowOff>
    </xdr:to>
    <xdr:grpSp>
      <xdr:nvGrpSpPr>
        <xdr:cNvPr id="13" name="Group 12">
          <a:extLst>
            <a:ext uri="{FF2B5EF4-FFF2-40B4-BE49-F238E27FC236}">
              <a16:creationId xmlns:a16="http://schemas.microsoft.com/office/drawing/2014/main" id="{43BA384A-F03E-4BEB-A428-35C6D9131E30}"/>
            </a:ext>
          </a:extLst>
        </xdr:cNvPr>
        <xdr:cNvGrpSpPr/>
      </xdr:nvGrpSpPr>
      <xdr:grpSpPr>
        <a:xfrm>
          <a:off x="14310375" y="835783"/>
          <a:ext cx="363810" cy="274152"/>
          <a:chOff x="3300954" y="7541260"/>
          <a:chExt cx="508000" cy="502920"/>
        </a:xfrm>
      </xdr:grpSpPr>
      <xdr:sp macro="" textlink="">
        <xdr:nvSpPr>
          <xdr:cNvPr id="14" name="Oval 13">
            <a:extLst>
              <a:ext uri="{FF2B5EF4-FFF2-40B4-BE49-F238E27FC236}">
                <a16:creationId xmlns:a16="http://schemas.microsoft.com/office/drawing/2014/main" id="{058D6523-F117-9292-9CFD-566344431551}"/>
              </a:ext>
            </a:extLst>
          </xdr:cNvPr>
          <xdr:cNvSpPr/>
        </xdr:nvSpPr>
        <xdr:spPr>
          <a:xfrm>
            <a:off x="3300954" y="7541260"/>
            <a:ext cx="508000" cy="502920"/>
          </a:xfrm>
          <a:prstGeom prst="ellipse">
            <a:avLst/>
          </a:prstGeom>
          <a:solidFill>
            <a:schemeClr val="accent1">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 name="Picture 14">
            <a:extLst>
              <a:ext uri="{FF2B5EF4-FFF2-40B4-BE49-F238E27FC236}">
                <a16:creationId xmlns:a16="http://schemas.microsoft.com/office/drawing/2014/main" id="{569CD2FE-C658-9F64-968F-61EF98A116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87362" y="7612902"/>
            <a:ext cx="337716" cy="332019"/>
          </a:xfrm>
          <a:prstGeom prst="rect">
            <a:avLst/>
          </a:prstGeom>
          <a:noFill/>
          <a:ln>
            <a:noFill/>
          </a:ln>
        </xdr:spPr>
      </xdr:pic>
    </xdr:grpSp>
    <xdr:clientData/>
  </xdr:twoCellAnchor>
  <xdr:twoCellAnchor>
    <xdr:from>
      <xdr:col>12</xdr:col>
      <xdr:colOff>168998</xdr:colOff>
      <xdr:row>7</xdr:row>
      <xdr:rowOff>112658</xdr:rowOff>
    </xdr:from>
    <xdr:to>
      <xdr:col>12</xdr:col>
      <xdr:colOff>511853</xdr:colOff>
      <xdr:row>9</xdr:row>
      <xdr:rowOff>107254</xdr:rowOff>
    </xdr:to>
    <xdr:grpSp>
      <xdr:nvGrpSpPr>
        <xdr:cNvPr id="16" name="Group 15">
          <a:extLst>
            <a:ext uri="{FF2B5EF4-FFF2-40B4-BE49-F238E27FC236}">
              <a16:creationId xmlns:a16="http://schemas.microsoft.com/office/drawing/2014/main" id="{4A70519D-89AF-49E5-AE8E-FF7C2767FBFD}"/>
            </a:ext>
          </a:extLst>
        </xdr:cNvPr>
        <xdr:cNvGrpSpPr/>
      </xdr:nvGrpSpPr>
      <xdr:grpSpPr>
        <a:xfrm>
          <a:off x="14329966" y="1446158"/>
          <a:ext cx="342855" cy="333586"/>
          <a:chOff x="3291990" y="8072794"/>
          <a:chExt cx="508000" cy="502920"/>
        </a:xfrm>
      </xdr:grpSpPr>
      <xdr:sp macro="" textlink="">
        <xdr:nvSpPr>
          <xdr:cNvPr id="17" name="Oval 16">
            <a:extLst>
              <a:ext uri="{FF2B5EF4-FFF2-40B4-BE49-F238E27FC236}">
                <a16:creationId xmlns:a16="http://schemas.microsoft.com/office/drawing/2014/main" id="{5569FF29-4575-6A86-D929-2973024D3E9A}"/>
              </a:ext>
            </a:extLst>
          </xdr:cNvPr>
          <xdr:cNvSpPr/>
        </xdr:nvSpPr>
        <xdr:spPr>
          <a:xfrm>
            <a:off x="3291990" y="8072794"/>
            <a:ext cx="508000" cy="502920"/>
          </a:xfrm>
          <a:prstGeom prst="ellipse">
            <a:avLst/>
          </a:prstGeom>
          <a:solidFill>
            <a:schemeClr val="accent1">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8" name="Picture 17">
            <a:extLst>
              <a:ext uri="{FF2B5EF4-FFF2-40B4-BE49-F238E27FC236}">
                <a16:creationId xmlns:a16="http://schemas.microsoft.com/office/drawing/2014/main" id="{F9E387F9-537F-88E5-7462-77F74C9FBA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48825" y="8117583"/>
            <a:ext cx="392604" cy="380365"/>
          </a:xfrm>
          <a:prstGeom prst="rect">
            <a:avLst/>
          </a:prstGeom>
          <a:noFill/>
          <a:ln>
            <a:noFill/>
          </a:ln>
        </xdr:spPr>
      </xdr:pic>
    </xdr:grpSp>
    <xdr:clientData/>
  </xdr:twoCellAnchor>
  <xdr:twoCellAnchor>
    <xdr:from>
      <xdr:col>12</xdr:col>
      <xdr:colOff>165187</xdr:colOff>
      <xdr:row>10</xdr:row>
      <xdr:rowOff>134553</xdr:rowOff>
    </xdr:from>
    <xdr:to>
      <xdr:col>12</xdr:col>
      <xdr:colOff>517567</xdr:colOff>
      <xdr:row>12</xdr:row>
      <xdr:rowOff>131054</xdr:rowOff>
    </xdr:to>
    <xdr:grpSp>
      <xdr:nvGrpSpPr>
        <xdr:cNvPr id="19" name="Group 18">
          <a:extLst>
            <a:ext uri="{FF2B5EF4-FFF2-40B4-BE49-F238E27FC236}">
              <a16:creationId xmlns:a16="http://schemas.microsoft.com/office/drawing/2014/main" id="{B67C5ED1-124E-4B99-9DCC-97CA754CD502}"/>
            </a:ext>
          </a:extLst>
        </xdr:cNvPr>
        <xdr:cNvGrpSpPr/>
      </xdr:nvGrpSpPr>
      <xdr:grpSpPr>
        <a:xfrm>
          <a:off x="14326155" y="2005664"/>
          <a:ext cx="344760" cy="365068"/>
          <a:chOff x="3291990" y="8599843"/>
          <a:chExt cx="508000" cy="502920"/>
        </a:xfrm>
      </xdr:grpSpPr>
      <xdr:sp macro="" textlink="">
        <xdr:nvSpPr>
          <xdr:cNvPr id="20" name="Oval 19">
            <a:extLst>
              <a:ext uri="{FF2B5EF4-FFF2-40B4-BE49-F238E27FC236}">
                <a16:creationId xmlns:a16="http://schemas.microsoft.com/office/drawing/2014/main" id="{D64C712D-6CB5-F7C8-3983-EF9594A2B4B3}"/>
              </a:ext>
            </a:extLst>
          </xdr:cNvPr>
          <xdr:cNvSpPr/>
        </xdr:nvSpPr>
        <xdr:spPr>
          <a:xfrm>
            <a:off x="3291990" y="8599843"/>
            <a:ext cx="508000" cy="502920"/>
          </a:xfrm>
          <a:prstGeom prst="ellipse">
            <a:avLst/>
          </a:prstGeom>
          <a:solidFill>
            <a:schemeClr val="accent1">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1" name="Picture 20">
            <a:extLst>
              <a:ext uri="{FF2B5EF4-FFF2-40B4-BE49-F238E27FC236}">
                <a16:creationId xmlns:a16="http://schemas.microsoft.com/office/drawing/2014/main" id="{44FE2A19-87A8-43F9-DB04-CC8E442D28D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75859" y="8662515"/>
            <a:ext cx="354994" cy="347703"/>
          </a:xfrm>
          <a:prstGeom prst="rect">
            <a:avLst/>
          </a:prstGeom>
          <a:noFill/>
          <a:ln>
            <a:noFill/>
          </a:ln>
        </xdr:spPr>
      </xdr:pic>
    </xdr:grpSp>
    <xdr:clientData/>
  </xdr:twoCellAnchor>
  <xdr:twoCellAnchor>
    <xdr:from>
      <xdr:col>10</xdr:col>
      <xdr:colOff>164979</xdr:colOff>
      <xdr:row>4</xdr:row>
      <xdr:rowOff>98463</xdr:rowOff>
    </xdr:from>
    <xdr:to>
      <xdr:col>10</xdr:col>
      <xdr:colOff>517400</xdr:colOff>
      <xdr:row>6</xdr:row>
      <xdr:rowOff>21694</xdr:rowOff>
    </xdr:to>
    <xdr:grpSp>
      <xdr:nvGrpSpPr>
        <xdr:cNvPr id="23" name="Group 22">
          <a:extLst>
            <a:ext uri="{FF2B5EF4-FFF2-40B4-BE49-F238E27FC236}">
              <a16:creationId xmlns:a16="http://schemas.microsoft.com/office/drawing/2014/main" id="{A33C4B0D-4497-4D19-98BC-32BC64F567C8}"/>
            </a:ext>
          </a:extLst>
        </xdr:cNvPr>
        <xdr:cNvGrpSpPr>
          <a:grpSpLocks/>
        </xdr:cNvGrpSpPr>
      </xdr:nvGrpSpPr>
      <xdr:grpSpPr>
        <a:xfrm>
          <a:off x="11528605" y="816548"/>
          <a:ext cx="344801" cy="274152"/>
          <a:chOff x="422537" y="7541260"/>
          <a:chExt cx="508000" cy="502920"/>
        </a:xfrm>
      </xdr:grpSpPr>
      <xdr:sp macro="" textlink="">
        <xdr:nvSpPr>
          <xdr:cNvPr id="24" name="Oval 23">
            <a:extLst>
              <a:ext uri="{FF2B5EF4-FFF2-40B4-BE49-F238E27FC236}">
                <a16:creationId xmlns:a16="http://schemas.microsoft.com/office/drawing/2014/main" id="{1A22509C-9D27-D0E0-3DC9-A1E7A69B9D0D}"/>
              </a:ext>
            </a:extLst>
          </xdr:cNvPr>
          <xdr:cNvSpPr/>
        </xdr:nvSpPr>
        <xdr:spPr>
          <a:xfrm>
            <a:off x="422537" y="7541260"/>
            <a:ext cx="508000" cy="502920"/>
          </a:xfrm>
          <a:prstGeom prst="ellipse">
            <a:avLst/>
          </a:prstGeom>
          <a:solidFill>
            <a:schemeClr val="accent1">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90000" bIns="90000" rtlCol="0" anchor="t"/>
          <a:lstStyle/>
          <a:p>
            <a:pPr algn="l"/>
            <a:endParaRPr lang="en-US" sz="1100"/>
          </a:p>
        </xdr:txBody>
      </xdr:sp>
      <xdr:pic>
        <xdr:nvPicPr>
          <xdr:cNvPr id="25" name="Picture 24">
            <a:extLst>
              <a:ext uri="{FF2B5EF4-FFF2-40B4-BE49-F238E27FC236}">
                <a16:creationId xmlns:a16="http://schemas.microsoft.com/office/drawing/2014/main" id="{46011B35-5E81-15D0-81A9-E0C391097F3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2440" y="7608040"/>
            <a:ext cx="346817" cy="346249"/>
          </a:xfrm>
          <a:prstGeom prst="rect">
            <a:avLst/>
          </a:prstGeom>
          <a:noFill/>
          <a:ln>
            <a:noFill/>
          </a:ln>
        </xdr:spPr>
      </xdr:pic>
    </xdr:grpSp>
    <xdr:clientData/>
  </xdr:twoCellAnchor>
  <xdr:twoCellAnchor>
    <xdr:from>
      <xdr:col>10</xdr:col>
      <xdr:colOff>171328</xdr:colOff>
      <xdr:row>13</xdr:row>
      <xdr:rowOff>116465</xdr:rowOff>
    </xdr:from>
    <xdr:to>
      <xdr:col>10</xdr:col>
      <xdr:colOff>531328</xdr:colOff>
      <xdr:row>15</xdr:row>
      <xdr:rowOff>126301</xdr:rowOff>
    </xdr:to>
    <xdr:grpSp>
      <xdr:nvGrpSpPr>
        <xdr:cNvPr id="26" name="Group 25">
          <a:extLst>
            <a:ext uri="{FF2B5EF4-FFF2-40B4-BE49-F238E27FC236}">
              <a16:creationId xmlns:a16="http://schemas.microsoft.com/office/drawing/2014/main" id="{4F720AC2-9F90-4B6C-8FDF-276523A2D72A}"/>
            </a:ext>
          </a:extLst>
        </xdr:cNvPr>
        <xdr:cNvGrpSpPr>
          <a:grpSpLocks/>
        </xdr:cNvGrpSpPr>
      </xdr:nvGrpSpPr>
      <xdr:grpSpPr>
        <a:xfrm>
          <a:off x="11534954" y="2552860"/>
          <a:ext cx="356190" cy="374593"/>
          <a:chOff x="422537" y="9126892"/>
          <a:chExt cx="508000" cy="502920"/>
        </a:xfrm>
      </xdr:grpSpPr>
      <xdr:sp macro="" textlink="">
        <xdr:nvSpPr>
          <xdr:cNvPr id="27" name="Oval 26">
            <a:extLst>
              <a:ext uri="{FF2B5EF4-FFF2-40B4-BE49-F238E27FC236}">
                <a16:creationId xmlns:a16="http://schemas.microsoft.com/office/drawing/2014/main" id="{57C8381D-F066-CA71-C981-33CF3C3A73D4}"/>
              </a:ext>
            </a:extLst>
          </xdr:cNvPr>
          <xdr:cNvSpPr/>
        </xdr:nvSpPr>
        <xdr:spPr>
          <a:xfrm>
            <a:off x="422537" y="9126892"/>
            <a:ext cx="508000" cy="502920"/>
          </a:xfrm>
          <a:prstGeom prst="ellipse">
            <a:avLst/>
          </a:prstGeom>
          <a:solidFill>
            <a:schemeClr val="accent1">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90000" bIns="90000" rtlCol="0" anchor="t"/>
          <a:lstStyle/>
          <a:p>
            <a:pPr algn="l"/>
            <a:endParaRPr lang="en-US" sz="1100"/>
          </a:p>
        </xdr:txBody>
      </xdr:sp>
      <xdr:pic>
        <xdr:nvPicPr>
          <xdr:cNvPr id="28" name="Picture 27">
            <a:extLst>
              <a:ext uri="{FF2B5EF4-FFF2-40B4-BE49-F238E27FC236}">
                <a16:creationId xmlns:a16="http://schemas.microsoft.com/office/drawing/2014/main" id="{E6F4B076-DA65-E3E3-47CD-D3D931222A2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98171" y="9179485"/>
            <a:ext cx="357958" cy="352611"/>
          </a:xfrm>
          <a:prstGeom prst="rect">
            <a:avLst/>
          </a:prstGeom>
          <a:noFill/>
          <a:ln>
            <a:noFill/>
          </a:ln>
        </xdr:spPr>
      </xdr:pic>
    </xdr:grpSp>
    <xdr:clientData/>
  </xdr:twoCellAnchor>
  <xdr:twoCellAnchor>
    <xdr:from>
      <xdr:col>0</xdr:col>
      <xdr:colOff>54561</xdr:colOff>
      <xdr:row>9</xdr:row>
      <xdr:rowOff>73270</xdr:rowOff>
    </xdr:from>
    <xdr:to>
      <xdr:col>6</xdr:col>
      <xdr:colOff>720481</xdr:colOff>
      <xdr:row>27</xdr:row>
      <xdr:rowOff>53439</xdr:rowOff>
    </xdr:to>
    <xdr:graphicFrame macro="">
      <xdr:nvGraphicFramePr>
        <xdr:cNvPr id="30" name="Chart 29">
          <a:extLst>
            <a:ext uri="{FF2B5EF4-FFF2-40B4-BE49-F238E27FC236}">
              <a16:creationId xmlns:a16="http://schemas.microsoft.com/office/drawing/2014/main" id="{7AA0B2AB-9098-4E45-B3E7-38F8D91A2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42521</xdr:colOff>
      <xdr:row>87</xdr:row>
      <xdr:rowOff>218706</xdr:rowOff>
    </xdr:from>
    <xdr:to>
      <xdr:col>9</xdr:col>
      <xdr:colOff>825816</xdr:colOff>
      <xdr:row>118</xdr:row>
      <xdr:rowOff>153461</xdr:rowOff>
    </xdr:to>
    <xdr:graphicFrame macro="">
      <xdr:nvGraphicFramePr>
        <xdr:cNvPr id="31" name="Chart 30">
          <a:extLst>
            <a:ext uri="{FF2B5EF4-FFF2-40B4-BE49-F238E27FC236}">
              <a16:creationId xmlns:a16="http://schemas.microsoft.com/office/drawing/2014/main" id="{78EA2980-AA72-4F0F-A039-661BD866E2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708269</xdr:colOff>
      <xdr:row>9</xdr:row>
      <xdr:rowOff>75174</xdr:rowOff>
    </xdr:from>
    <xdr:to>
      <xdr:col>9</xdr:col>
      <xdr:colOff>931887</xdr:colOff>
      <xdr:row>27</xdr:row>
      <xdr:rowOff>53438</xdr:rowOff>
    </xdr:to>
    <xdr:graphicFrame macro="">
      <xdr:nvGraphicFramePr>
        <xdr:cNvPr id="32" name="Chart 31">
          <a:extLst>
            <a:ext uri="{FF2B5EF4-FFF2-40B4-BE49-F238E27FC236}">
              <a16:creationId xmlns:a16="http://schemas.microsoft.com/office/drawing/2014/main" id="{A387BD27-9E8E-41ED-9B17-4967D1B1B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80465</xdr:colOff>
      <xdr:row>70</xdr:row>
      <xdr:rowOff>216676</xdr:rowOff>
    </xdr:from>
    <xdr:to>
      <xdr:col>5</xdr:col>
      <xdr:colOff>805193</xdr:colOff>
      <xdr:row>87</xdr:row>
      <xdr:rowOff>10239</xdr:rowOff>
    </xdr:to>
    <xdr:graphicFrame macro="">
      <xdr:nvGraphicFramePr>
        <xdr:cNvPr id="38" name="Chart 37">
          <a:extLst>
            <a:ext uri="{FF2B5EF4-FFF2-40B4-BE49-F238E27FC236}">
              <a16:creationId xmlns:a16="http://schemas.microsoft.com/office/drawing/2014/main" id="{AD934407-8B72-4A3F-8313-BA4E64B26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40556</xdr:colOff>
      <xdr:row>9</xdr:row>
      <xdr:rowOff>116005</xdr:rowOff>
    </xdr:from>
    <xdr:to>
      <xdr:col>24</xdr:col>
      <xdr:colOff>501216</xdr:colOff>
      <xdr:row>36</xdr:row>
      <xdr:rowOff>57752</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17</xdr:col>
      <xdr:colOff>444500</xdr:colOff>
      <xdr:row>16</xdr:row>
      <xdr:rowOff>44450</xdr:rowOff>
    </xdr:from>
    <xdr:ext cx="3530600" cy="2722284"/>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23914100" y="3115310"/>
          <a:ext cx="3530600" cy="2722284"/>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The</a:t>
          </a:r>
          <a:r>
            <a:rPr lang="en-GB" sz="1400" b="1" baseline="0">
              <a:solidFill>
                <a:srgbClr val="FF0000"/>
              </a:solidFill>
            </a:rPr>
            <a:t> numbers in cells N20 and N21 are key to optimising the greywater (GW) and rainwater (RW) collection systems. If N20 is much greater than 1, it is likely that there will be a considerable excess of GW/RW collected. Play around with the inputs in the green cells in columns M, N and Q in order to optimise the system.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GW going in is = cell M19</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RW going in is = cell Q16</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GW/RW needed = cell N19</a:t>
          </a:r>
        </a:p>
        <a:p>
          <a:endParaRPr lang="en-GB" sz="1400" b="1">
            <a:solidFill>
              <a:srgbClr val="FF0000"/>
            </a:solidFill>
          </a:endParaRPr>
        </a:p>
      </xdr:txBody>
    </xdr:sp>
    <xdr:clientData/>
  </xdr:oneCellAnchor>
  <xdr:twoCellAnchor>
    <xdr:from>
      <xdr:col>14</xdr:col>
      <xdr:colOff>12700</xdr:colOff>
      <xdr:row>18</xdr:row>
      <xdr:rowOff>63500</xdr:rowOff>
    </xdr:from>
    <xdr:to>
      <xdr:col>17</xdr:col>
      <xdr:colOff>423333</xdr:colOff>
      <xdr:row>20</xdr:row>
      <xdr:rowOff>13636</xdr:rowOff>
    </xdr:to>
    <xdr:cxnSp macro="">
      <xdr:nvCxnSpPr>
        <xdr:cNvPr id="3" name="Straight Arrow Connector 2">
          <a:extLst>
            <a:ext uri="{FF2B5EF4-FFF2-40B4-BE49-F238E27FC236}">
              <a16:creationId xmlns:a16="http://schemas.microsoft.com/office/drawing/2014/main" id="{00000000-0008-0000-1000-000003000000}"/>
            </a:ext>
          </a:extLst>
        </xdr:cNvPr>
        <xdr:cNvCxnSpPr/>
      </xdr:nvCxnSpPr>
      <xdr:spPr>
        <a:xfrm flipH="1">
          <a:off x="18803620" y="3500120"/>
          <a:ext cx="5089313" cy="315896"/>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533400</xdr:colOff>
      <xdr:row>70</xdr:row>
      <xdr:rowOff>46567</xdr:rowOff>
    </xdr:from>
    <xdr:ext cx="8534400" cy="1407308"/>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19324320" y="13473007"/>
          <a:ext cx="8534400" cy="1407308"/>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*The</a:t>
          </a:r>
          <a:r>
            <a:rPr lang="en-GB" sz="1400" b="1" baseline="0">
              <a:solidFill>
                <a:srgbClr val="FF0000"/>
              </a:solidFill>
            </a:rPr>
            <a:t> numbers in cells N72 and N73 are key to optimising the greywater (GW) and rainwater (RW) collection systems. If N72 is much greater than 1, it is likely that there will be a considerable excess of GW/RW collected. Play around with the inputs in the green cells in columns M, N and Q in order to optimise the system.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GW going in is = cell M71</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RW going in is = cell Q65</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GW/RW needed = cell N71</a:t>
          </a:r>
        </a:p>
      </xdr:txBody>
    </xdr:sp>
    <xdr:clientData/>
  </xdr:oneCellAnchor>
  <xdr:twoCellAnchor>
    <xdr:from>
      <xdr:col>13</xdr:col>
      <xdr:colOff>2218267</xdr:colOff>
      <xdr:row>72</xdr:row>
      <xdr:rowOff>16933</xdr:rowOff>
    </xdr:from>
    <xdr:to>
      <xdr:col>14</xdr:col>
      <xdr:colOff>491066</xdr:colOff>
      <xdr:row>72</xdr:row>
      <xdr:rowOff>16933</xdr:rowOff>
    </xdr:to>
    <xdr:cxnSp macro="">
      <xdr:nvCxnSpPr>
        <xdr:cNvPr id="5" name="Straight Arrow Connector 4">
          <a:extLst>
            <a:ext uri="{FF2B5EF4-FFF2-40B4-BE49-F238E27FC236}">
              <a16:creationId xmlns:a16="http://schemas.microsoft.com/office/drawing/2014/main" id="{00000000-0008-0000-1000-000005000000}"/>
            </a:ext>
          </a:extLst>
        </xdr:cNvPr>
        <xdr:cNvCxnSpPr/>
      </xdr:nvCxnSpPr>
      <xdr:spPr>
        <a:xfrm flipH="1">
          <a:off x="18791767" y="13809133"/>
          <a:ext cx="490219" cy="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495300</xdr:colOff>
      <xdr:row>91</xdr:row>
      <xdr:rowOff>9524</xdr:rowOff>
    </xdr:from>
    <xdr:ext cx="3543300" cy="530658"/>
    <xdr:sp macro="" textlink="">
      <xdr:nvSpPr>
        <xdr:cNvPr id="6" name="TextBox 5">
          <a:extLst>
            <a:ext uri="{FF2B5EF4-FFF2-40B4-BE49-F238E27FC236}">
              <a16:creationId xmlns:a16="http://schemas.microsoft.com/office/drawing/2014/main" id="{00000000-0008-0000-1000-000006000000}"/>
            </a:ext>
          </a:extLst>
        </xdr:cNvPr>
        <xdr:cNvSpPr txBox="1"/>
      </xdr:nvSpPr>
      <xdr:spPr>
        <a:xfrm>
          <a:off x="10256520" y="17764124"/>
          <a:ext cx="3543300" cy="530658"/>
        </a:xfrm>
        <a:prstGeom prst="rect">
          <a:avLst/>
        </a:prstGeom>
        <a:solidFill>
          <a:srgbClr val="FFFF99"/>
        </a:solidFill>
        <a:ln>
          <a:solidFill>
            <a:sysClr val="windowText" lastClr="000000"/>
          </a:solid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Calibri"/>
              <a:ea typeface="+mn-ea"/>
              <a:cs typeface="+mn-cs"/>
            </a:rPr>
            <a:t>How much potable water did you manage to substitute for non-potable water?</a:t>
          </a:r>
        </a:p>
      </xdr:txBody>
    </xdr:sp>
    <xdr:clientData/>
  </xdr:oneCellAnchor>
  <xdr:twoCellAnchor>
    <xdr:from>
      <xdr:col>9</xdr:col>
      <xdr:colOff>546100</xdr:colOff>
      <xdr:row>89</xdr:row>
      <xdr:rowOff>190500</xdr:rowOff>
    </xdr:from>
    <xdr:to>
      <xdr:col>9</xdr:col>
      <xdr:colOff>596900</xdr:colOff>
      <xdr:row>91</xdr:row>
      <xdr:rowOff>38100</xdr:rowOff>
    </xdr:to>
    <xdr:cxnSp macro="">
      <xdr:nvCxnSpPr>
        <xdr:cNvPr id="7" name="Straight Arrow Connector 6">
          <a:extLst>
            <a:ext uri="{FF2B5EF4-FFF2-40B4-BE49-F238E27FC236}">
              <a16:creationId xmlns:a16="http://schemas.microsoft.com/office/drawing/2014/main" id="{00000000-0008-0000-1000-000007000000}"/>
            </a:ext>
          </a:extLst>
        </xdr:cNvPr>
        <xdr:cNvCxnSpPr/>
      </xdr:nvCxnSpPr>
      <xdr:spPr>
        <a:xfrm flipH="1" flipV="1">
          <a:off x="12166600" y="17579340"/>
          <a:ext cx="50800" cy="213360"/>
        </a:xfrm>
        <a:prstGeom prst="straightConnector1">
          <a:avLst/>
        </a:prstGeom>
        <a:noFill/>
        <a:ln w="25400" cap="flat" cmpd="sng" algn="ctr">
          <a:solidFill>
            <a:srgbClr val="FF0000"/>
          </a:solidFill>
          <a:prstDash val="solid"/>
          <a:tailEnd type="arrow"/>
        </a:ln>
        <a:effectLst/>
      </xdr:spPr>
    </xdr:cxnSp>
    <xdr:clientData/>
  </xdr:twoCellAnchor>
  <xdr:oneCellAnchor>
    <xdr:from>
      <xdr:col>8</xdr:col>
      <xdr:colOff>495300</xdr:colOff>
      <xdr:row>35</xdr:row>
      <xdr:rowOff>34924</xdr:rowOff>
    </xdr:from>
    <xdr:ext cx="2540000" cy="749821"/>
    <xdr:sp macro="" textlink="">
      <xdr:nvSpPr>
        <xdr:cNvPr id="8" name="TextBox 7">
          <a:extLst>
            <a:ext uri="{FF2B5EF4-FFF2-40B4-BE49-F238E27FC236}">
              <a16:creationId xmlns:a16="http://schemas.microsoft.com/office/drawing/2014/main" id="{00000000-0008-0000-1000-000008000000}"/>
            </a:ext>
          </a:extLst>
        </xdr:cNvPr>
        <xdr:cNvSpPr txBox="1"/>
      </xdr:nvSpPr>
      <xdr:spPr>
        <a:xfrm>
          <a:off x="11353800" y="6999604"/>
          <a:ext cx="2540000" cy="749821"/>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How</a:t>
          </a:r>
          <a:r>
            <a:rPr lang="en-GB" sz="1400" b="1" baseline="0">
              <a:solidFill>
                <a:srgbClr val="FF0000"/>
              </a:solidFill>
            </a:rPr>
            <a:t> much potable water did you manage to substitute for non-potable water?</a:t>
          </a:r>
          <a:endParaRPr lang="en-GB" sz="1400" b="1">
            <a:solidFill>
              <a:srgbClr val="FF0000"/>
            </a:solidFill>
          </a:endParaRPr>
        </a:p>
      </xdr:txBody>
    </xdr:sp>
    <xdr:clientData/>
  </xdr:oneCellAnchor>
  <xdr:twoCellAnchor>
    <xdr:from>
      <xdr:col>9</xdr:col>
      <xdr:colOff>558800</xdr:colOff>
      <xdr:row>33</xdr:row>
      <xdr:rowOff>12700</xdr:rowOff>
    </xdr:from>
    <xdr:to>
      <xdr:col>9</xdr:col>
      <xdr:colOff>558800</xdr:colOff>
      <xdr:row>35</xdr:row>
      <xdr:rowOff>34924</xdr:rowOff>
    </xdr:to>
    <xdr:cxnSp macro="">
      <xdr:nvCxnSpPr>
        <xdr:cNvPr id="9" name="Straight Arrow Connector 8">
          <a:extLst>
            <a:ext uri="{FF2B5EF4-FFF2-40B4-BE49-F238E27FC236}">
              <a16:creationId xmlns:a16="http://schemas.microsoft.com/office/drawing/2014/main" id="{00000000-0008-0000-1000-000009000000}"/>
            </a:ext>
          </a:extLst>
        </xdr:cNvPr>
        <xdr:cNvCxnSpPr/>
      </xdr:nvCxnSpPr>
      <xdr:spPr>
        <a:xfrm flipV="1">
          <a:off x="12179300" y="6626860"/>
          <a:ext cx="0" cy="372744"/>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673100</xdr:colOff>
      <xdr:row>34</xdr:row>
      <xdr:rowOff>0</xdr:rowOff>
    </xdr:from>
    <xdr:ext cx="1536700" cy="749821"/>
    <xdr:sp macro="" textlink="">
      <xdr:nvSpPr>
        <xdr:cNvPr id="10" name="TextBox 9">
          <a:extLst>
            <a:ext uri="{FF2B5EF4-FFF2-40B4-BE49-F238E27FC236}">
              <a16:creationId xmlns:a16="http://schemas.microsoft.com/office/drawing/2014/main" id="{00000000-0008-0000-1000-00000A000000}"/>
            </a:ext>
          </a:extLst>
        </xdr:cNvPr>
        <xdr:cNvSpPr txBox="1"/>
      </xdr:nvSpPr>
      <xdr:spPr>
        <a:xfrm>
          <a:off x="7813040" y="6789420"/>
          <a:ext cx="1536700" cy="749821"/>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How much water does</a:t>
          </a:r>
          <a:r>
            <a:rPr lang="en-GB" sz="1400" b="1" baseline="0">
              <a:solidFill>
                <a:srgbClr val="FF0000"/>
              </a:solidFill>
            </a:rPr>
            <a:t> each person consume:</a:t>
          </a:r>
          <a:endParaRPr lang="en-GB" sz="1400" b="1">
            <a:solidFill>
              <a:srgbClr val="FF0000"/>
            </a:solidFill>
          </a:endParaRPr>
        </a:p>
      </xdr:txBody>
    </xdr:sp>
    <xdr:clientData/>
  </xdr:oneCellAnchor>
  <xdr:twoCellAnchor>
    <xdr:from>
      <xdr:col>6</xdr:col>
      <xdr:colOff>690033</xdr:colOff>
      <xdr:row>33</xdr:row>
      <xdr:rowOff>46567</xdr:rowOff>
    </xdr:from>
    <xdr:to>
      <xdr:col>7</xdr:col>
      <xdr:colOff>486833</xdr:colOff>
      <xdr:row>35</xdr:row>
      <xdr:rowOff>105833</xdr:rowOff>
    </xdr:to>
    <xdr:cxnSp macro="">
      <xdr:nvCxnSpPr>
        <xdr:cNvPr id="11" name="Straight Arrow Connector 10">
          <a:extLst>
            <a:ext uri="{FF2B5EF4-FFF2-40B4-BE49-F238E27FC236}">
              <a16:creationId xmlns:a16="http://schemas.microsoft.com/office/drawing/2014/main" id="{00000000-0008-0000-1000-00000B000000}"/>
            </a:ext>
          </a:extLst>
        </xdr:cNvPr>
        <xdr:cNvCxnSpPr/>
      </xdr:nvCxnSpPr>
      <xdr:spPr>
        <a:xfrm flipV="1">
          <a:off x="9262533" y="6660727"/>
          <a:ext cx="985520" cy="409786"/>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241300</xdr:colOff>
      <xdr:row>90</xdr:row>
      <xdr:rowOff>127000</xdr:rowOff>
    </xdr:from>
    <xdr:ext cx="1993900" cy="530658"/>
    <xdr:sp macro="" textlink="">
      <xdr:nvSpPr>
        <xdr:cNvPr id="12" name="TextBox 11">
          <a:extLst>
            <a:ext uri="{FF2B5EF4-FFF2-40B4-BE49-F238E27FC236}">
              <a16:creationId xmlns:a16="http://schemas.microsoft.com/office/drawing/2014/main" id="{00000000-0008-0000-1000-00000C000000}"/>
            </a:ext>
          </a:extLst>
        </xdr:cNvPr>
        <xdr:cNvSpPr txBox="1"/>
      </xdr:nvSpPr>
      <xdr:spPr>
        <a:xfrm>
          <a:off x="7381240" y="17706340"/>
          <a:ext cx="1993900" cy="530658"/>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How much water does</a:t>
          </a:r>
          <a:r>
            <a:rPr lang="en-GB" sz="1400" b="1" baseline="0">
              <a:solidFill>
                <a:srgbClr val="FF0000"/>
              </a:solidFill>
            </a:rPr>
            <a:t> each person consume?</a:t>
          </a:r>
          <a:endParaRPr lang="en-GB" sz="1400" b="1">
            <a:solidFill>
              <a:srgbClr val="FF0000"/>
            </a:solidFill>
          </a:endParaRPr>
        </a:p>
      </xdr:txBody>
    </xdr:sp>
    <xdr:clientData/>
  </xdr:oneCellAnchor>
  <xdr:twoCellAnchor>
    <xdr:from>
      <xdr:col>6</xdr:col>
      <xdr:colOff>601133</xdr:colOff>
      <xdr:row>90</xdr:row>
      <xdr:rowOff>105834</xdr:rowOff>
    </xdr:from>
    <xdr:to>
      <xdr:col>7</xdr:col>
      <xdr:colOff>296333</xdr:colOff>
      <xdr:row>93</xdr:row>
      <xdr:rowOff>21167</xdr:rowOff>
    </xdr:to>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flipV="1">
          <a:off x="9173633" y="17685174"/>
          <a:ext cx="883920" cy="44111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88900</xdr:colOff>
      <xdr:row>4</xdr:row>
      <xdr:rowOff>12700</xdr:rowOff>
    </xdr:from>
    <xdr:to>
      <xdr:col>17</xdr:col>
      <xdr:colOff>876300</xdr:colOff>
      <xdr:row>8</xdr:row>
      <xdr:rowOff>1</xdr:rowOff>
    </xdr:to>
    <xdr:cxnSp macro="">
      <xdr:nvCxnSpPr>
        <xdr:cNvPr id="14" name="Straight Arrow Connector 13">
          <a:extLst>
            <a:ext uri="{FF2B5EF4-FFF2-40B4-BE49-F238E27FC236}">
              <a16:creationId xmlns:a16="http://schemas.microsoft.com/office/drawing/2014/main" id="{00000000-0008-0000-1000-00000E000000}"/>
            </a:ext>
          </a:extLst>
        </xdr:cNvPr>
        <xdr:cNvCxnSpPr/>
      </xdr:nvCxnSpPr>
      <xdr:spPr>
        <a:xfrm flipH="1">
          <a:off x="23558500" y="889000"/>
          <a:ext cx="787400" cy="718821"/>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876301</xdr:colOff>
      <xdr:row>1</xdr:row>
      <xdr:rowOff>165100</xdr:rowOff>
    </xdr:from>
    <xdr:ext cx="2171699" cy="2064796"/>
    <xdr:sp macro="" textlink="">
      <xdr:nvSpPr>
        <xdr:cNvPr id="15" name="TextBox 14">
          <a:extLst>
            <a:ext uri="{FF2B5EF4-FFF2-40B4-BE49-F238E27FC236}">
              <a16:creationId xmlns:a16="http://schemas.microsoft.com/office/drawing/2014/main" id="{00000000-0008-0000-1000-00000F000000}"/>
            </a:ext>
          </a:extLst>
        </xdr:cNvPr>
        <xdr:cNvSpPr txBox="1"/>
      </xdr:nvSpPr>
      <xdr:spPr>
        <a:xfrm>
          <a:off x="24345901" y="347980"/>
          <a:ext cx="2171699" cy="2064796"/>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Number</a:t>
          </a:r>
          <a:r>
            <a:rPr lang="en-GB" sz="1400" b="1" baseline="0">
              <a:solidFill>
                <a:srgbClr val="FF0000"/>
              </a:solidFill>
            </a:rPr>
            <a:t> automatically generated based on river basin defined in cells B1 and B2 of the Irrigation Calc. sheet.</a:t>
          </a:r>
        </a:p>
        <a:p>
          <a:r>
            <a:rPr lang="en-GB" sz="1400" b="1" baseline="0">
              <a:solidFill>
                <a:srgbClr val="FF0000"/>
              </a:solidFill>
            </a:rPr>
            <a:t>Make sure it is the same river basin as defined in B1 and B2 of this worksheet  </a:t>
          </a:r>
          <a:endParaRPr lang="en-GB" sz="1400" b="1">
            <a:solidFill>
              <a:srgbClr val="FF0000"/>
            </a:solidFill>
          </a:endParaRPr>
        </a:p>
      </xdr:txBody>
    </xdr:sp>
    <xdr:clientData/>
  </xdr:oneCellAnchor>
  <xdr:twoCellAnchor>
    <xdr:from>
      <xdr:col>12</xdr:col>
      <xdr:colOff>195792</xdr:colOff>
      <xdr:row>31</xdr:row>
      <xdr:rowOff>189441</xdr:rowOff>
    </xdr:from>
    <xdr:to>
      <xdr:col>14</xdr:col>
      <xdr:colOff>703792</xdr:colOff>
      <xdr:row>46</xdr:row>
      <xdr:rowOff>159808</xdr:rowOff>
    </xdr:to>
    <xdr:graphicFrame macro="">
      <xdr:nvGraphicFramePr>
        <xdr:cNvPr id="16" name="Chart 15">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762000</xdr:colOff>
      <xdr:row>31</xdr:row>
      <xdr:rowOff>201083</xdr:rowOff>
    </xdr:from>
    <xdr:to>
      <xdr:col>17</xdr:col>
      <xdr:colOff>698500</xdr:colOff>
      <xdr:row>46</xdr:row>
      <xdr:rowOff>171450</xdr:rowOff>
    </xdr:to>
    <xdr:graphicFrame macro="">
      <xdr:nvGraphicFramePr>
        <xdr:cNvPr id="17" name="Chart 16">
          <a:extLst>
            <a:ext uri="{FF2B5EF4-FFF2-40B4-BE49-F238E27FC236}">
              <a16:creationId xmlns:a16="http://schemas.microsoft.com/office/drawing/2014/main" id="{00000000-0008-0000-1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89</xdr:row>
      <xdr:rowOff>0</xdr:rowOff>
    </xdr:from>
    <xdr:to>
      <xdr:col>14</xdr:col>
      <xdr:colOff>787401</xdr:colOff>
      <xdr:row>103</xdr:row>
      <xdr:rowOff>182033</xdr:rowOff>
    </xdr:to>
    <xdr:graphicFrame macro="">
      <xdr:nvGraphicFramePr>
        <xdr:cNvPr id="18" name="Chart 17">
          <a:extLst>
            <a:ext uri="{FF2B5EF4-FFF2-40B4-BE49-F238E27FC236}">
              <a16:creationId xmlns:a16="http://schemas.microsoft.com/office/drawing/2014/main" id="{00000000-0008-0000-1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753534</xdr:colOff>
      <xdr:row>89</xdr:row>
      <xdr:rowOff>8466</xdr:rowOff>
    </xdr:from>
    <xdr:to>
      <xdr:col>17</xdr:col>
      <xdr:colOff>922867</xdr:colOff>
      <xdr:row>104</xdr:row>
      <xdr:rowOff>4232</xdr:rowOff>
    </xdr:to>
    <xdr:graphicFrame macro="">
      <xdr:nvGraphicFramePr>
        <xdr:cNvPr id="19" name="Chart 18">
          <a:extLst>
            <a:ext uri="{FF2B5EF4-FFF2-40B4-BE49-F238E27FC236}">
              <a16:creationId xmlns:a16="http://schemas.microsoft.com/office/drawing/2014/main" id="{00000000-0008-0000-1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17</xdr:col>
      <xdr:colOff>736600</xdr:colOff>
      <xdr:row>28</xdr:row>
      <xdr:rowOff>93133</xdr:rowOff>
    </xdr:from>
    <xdr:ext cx="3530600" cy="1188146"/>
    <xdr:sp macro="" textlink="">
      <xdr:nvSpPr>
        <xdr:cNvPr id="20" name="TextBox 19">
          <a:extLst>
            <a:ext uri="{FF2B5EF4-FFF2-40B4-BE49-F238E27FC236}">
              <a16:creationId xmlns:a16="http://schemas.microsoft.com/office/drawing/2014/main" id="{00000000-0008-0000-1000-000014000000}"/>
            </a:ext>
          </a:extLst>
        </xdr:cNvPr>
        <xdr:cNvSpPr txBox="1"/>
      </xdr:nvSpPr>
      <xdr:spPr>
        <a:xfrm>
          <a:off x="24206200" y="5770033"/>
          <a:ext cx="3530600" cy="1188146"/>
        </a:xfrm>
        <a:prstGeom prst="rect">
          <a:avLst/>
        </a:prstGeom>
        <a:solidFill>
          <a:srgbClr val="FFFF99"/>
        </a:solidFill>
        <a:ln>
          <a:solidFill>
            <a:sysClr val="windowText" lastClr="000000"/>
          </a:solid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Calibri" panose="020F0502020204030204"/>
              <a:ea typeface="+mn-ea"/>
              <a:cs typeface="+mn-cs"/>
            </a:rPr>
            <a:t>If you want to compare the results of potable water consumption for different design options, copy-paste the values from cells O24-O31 to the "L2 comparison" worksheet.</a:t>
          </a:r>
        </a:p>
      </xdr:txBody>
    </xdr:sp>
    <xdr:clientData/>
  </xdr:oneCellAnchor>
  <xdr:twoCellAnchor>
    <xdr:from>
      <xdr:col>14</xdr:col>
      <xdr:colOff>1794933</xdr:colOff>
      <xdr:row>23</xdr:row>
      <xdr:rowOff>8467</xdr:rowOff>
    </xdr:from>
    <xdr:to>
      <xdr:col>14</xdr:col>
      <xdr:colOff>2023534</xdr:colOff>
      <xdr:row>30</xdr:row>
      <xdr:rowOff>186268</xdr:rowOff>
    </xdr:to>
    <xdr:cxnSp macro="">
      <xdr:nvCxnSpPr>
        <xdr:cNvPr id="21" name="Straight Arrow Connector 20">
          <a:extLst>
            <a:ext uri="{FF2B5EF4-FFF2-40B4-BE49-F238E27FC236}">
              <a16:creationId xmlns:a16="http://schemas.microsoft.com/office/drawing/2014/main" id="{00000000-0008-0000-1000-000015000000}"/>
            </a:ext>
          </a:extLst>
        </xdr:cNvPr>
        <xdr:cNvCxnSpPr/>
      </xdr:nvCxnSpPr>
      <xdr:spPr>
        <a:xfrm flipH="1" flipV="1">
          <a:off x="20585853" y="4778587"/>
          <a:ext cx="228601" cy="1450341"/>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2023533</xdr:colOff>
      <xdr:row>31</xdr:row>
      <xdr:rowOff>0</xdr:rowOff>
    </xdr:from>
    <xdr:to>
      <xdr:col>17</xdr:col>
      <xdr:colOff>751418</xdr:colOff>
      <xdr:row>31</xdr:row>
      <xdr:rowOff>97834</xdr:rowOff>
    </xdr:to>
    <xdr:cxnSp macro="">
      <xdr:nvCxnSpPr>
        <xdr:cNvPr id="22" name="Straight Arrow Connector 21">
          <a:extLst>
            <a:ext uri="{FF2B5EF4-FFF2-40B4-BE49-F238E27FC236}">
              <a16:creationId xmlns:a16="http://schemas.microsoft.com/office/drawing/2014/main" id="{00000000-0008-0000-1000-000016000000}"/>
            </a:ext>
          </a:extLst>
        </xdr:cNvPr>
        <xdr:cNvCxnSpPr/>
      </xdr:nvCxnSpPr>
      <xdr:spPr>
        <a:xfrm flipH="1" flipV="1">
          <a:off x="20814453" y="6225540"/>
          <a:ext cx="3406565" cy="97834"/>
        </a:xfrm>
        <a:prstGeom prst="straightConnector1">
          <a:avLst/>
        </a:prstGeom>
        <a:noFill/>
        <a:ln w="25400" cap="flat" cmpd="sng" algn="ctr">
          <a:solidFill>
            <a:srgbClr val="FF0000"/>
          </a:solidFill>
          <a:prstDash val="solid"/>
          <a:tailEnd type="none"/>
        </a:ln>
        <a:effectLst/>
      </xdr:spPr>
    </xdr:cxnSp>
    <xdr:clientData/>
  </xdr:twoCellAnchor>
  <xdr:oneCellAnchor>
    <xdr:from>
      <xdr:col>2</xdr:col>
      <xdr:colOff>1468437</xdr:colOff>
      <xdr:row>0</xdr:row>
      <xdr:rowOff>0</xdr:rowOff>
    </xdr:from>
    <xdr:ext cx="13374687" cy="264560"/>
    <xdr:sp macro="" textlink="">
      <xdr:nvSpPr>
        <xdr:cNvPr id="23" name="TextBox 22">
          <a:extLst>
            <a:ext uri="{FF2B5EF4-FFF2-40B4-BE49-F238E27FC236}">
              <a16:creationId xmlns:a16="http://schemas.microsoft.com/office/drawing/2014/main" id="{00000000-0008-0000-1000-000017000000}"/>
            </a:ext>
          </a:extLst>
        </xdr:cNvPr>
        <xdr:cNvSpPr txBox="1"/>
      </xdr:nvSpPr>
      <xdr:spPr>
        <a:xfrm>
          <a:off x="4158297" y="0"/>
          <a:ext cx="13374687" cy="264560"/>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a:solidFill>
                <a:sysClr val="windowText" lastClr="000000"/>
              </a:solidFill>
            </a:rPr>
            <a:t>This is the Levels indicator 3.1 water use estimation tool. I have added in a carbon factor for water from Irish Water (cell B21)</a:t>
          </a:r>
          <a:r>
            <a:rPr lang="en-GB" sz="1100" b="0" baseline="0">
              <a:solidFill>
                <a:sysClr val="windowText" lastClr="000000"/>
              </a:solidFill>
            </a:rPr>
            <a:t> which includes energy to pump and treat water. Energy for heating water is accounted for in B6, not here. </a:t>
          </a:r>
          <a:endParaRPr lang="en-GB" sz="1100" b="0">
            <a:solidFill>
              <a:sysClr val="windowText" lastClr="000000"/>
            </a:solidFill>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12</xdr:col>
      <xdr:colOff>430631</xdr:colOff>
      <xdr:row>7</xdr:row>
      <xdr:rowOff>29076</xdr:rowOff>
    </xdr:from>
    <xdr:to>
      <xdr:col>22</xdr:col>
      <xdr:colOff>587383</xdr:colOff>
      <xdr:row>23</xdr:row>
      <xdr:rowOff>101669</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0092791" y="1202556"/>
          <a:ext cx="6252752" cy="33997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tephen" id="{C84DF3ED-582B-418E-A9CD-1457D34EDC5C}" userId="Stephen" providerId="None"/>
  <person displayName="Shane Donatello" id="{D3DB6D00-83E3-4087-B598-5A4B85D504F6}" userId="Shane Donatello" providerId="None"/>
  <person displayName="Stephen Barrett" id="{DFE12A91-7CDE-4773-90E7-23997D621840}" userId="Stephen Barrett" providerId="None"/>
  <person displayName="Stephen Barrett" id="{D56AB781-34CA-473A-B565-93282281BA12}" userId="061fa71108d74f96" providerId="Windows Live"/>
  <person displayName="DONATELLO Shane (JRC-SEVILLA)" id="{68B00957-AFEC-4514-AACD-B93AE7A0CB8D}" userId="DONATELLO Shane (JRC-SEVILLA)"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3116ADA-AC25-4DC1-B024-DD6250A8030B}" name="MaterialsBoQ" displayName="MaterialsBoQ" ref="B2:I296" totalsRowShown="0" headerRowDxfId="418" dataDxfId="416" headerRowBorderDxfId="417">
  <autoFilter ref="B2:I296" xr:uid="{B3116ADA-AC25-4DC1-B024-DD6250A8030B}"/>
  <sortState xmlns:xlrd2="http://schemas.microsoft.com/office/spreadsheetml/2017/richdata2" ref="B3:I295">
    <sortCondition descending="1" ref="H2:H295"/>
  </sortState>
  <tableColumns count="8">
    <tableColumn id="2" xr3:uid="{864E31FB-8E13-4C2A-80A9-F66ACA2B618D}" name="Material " dataDxfId="415"/>
    <tableColumn id="1" xr3:uid="{3732CFDD-D53A-41F3-B9E3-529CD893F85F}" name="Scope Element" dataDxfId="414"/>
    <tableColumn id="3" xr3:uid="{4C1138DD-82B7-40CA-A0D9-25E70090A1B6}" name="Number" dataDxfId="413" dataCellStyle="Comma"/>
    <tableColumn id="4" xr3:uid="{A98886B8-F93E-41F3-A6BE-3E24CB35E286}" name="Unit" dataDxfId="412" dataCellStyle="Comma"/>
    <tableColumn id="5" xr3:uid="{EAD00776-BEB3-4B1D-9BBC-E03E83BBD396}" name="Kg per unit" dataDxfId="411" dataCellStyle="Comma"/>
    <tableColumn id="6" xr3:uid="{D9C8120B-21BC-4999-AEAA-F14313504F5F}" name="Total Kg" dataDxfId="410" dataCellStyle="Comma">
      <calculatedColumnFormula>IFERROR(MaterialsBoQ[[#This Row],[Number]]*MaterialsBoQ[[#This Row],[Kg per unit]],"")</calculatedColumnFormula>
    </tableColumn>
    <tableColumn id="7" xr3:uid="{38EE05FD-F25F-4A08-9744-CD89F593655B}" name="% of total mass" dataDxfId="409" dataCellStyle="Percent">
      <calculatedColumnFormula>IFERROR(MaterialsBoQ[[#This Row],[Total Kg]]/SUM(MaterialsBoQ[Total Kg],MEPBoQ[Kg estimate]),0)</calculatedColumnFormula>
    </tableColumn>
    <tableColumn id="8" xr3:uid="{E07B54EE-252B-460A-B521-E056187F1687}" name="Optional Comments" dataDxfId="408"/>
  </tableColumns>
  <tableStyleInfo name="TableStyleMedium2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2781C24-28F6-4267-A784-A5D12F1CC0F2}" name="ResultCompletenessDataQuality" displayName="ResultCompletenessDataQuality" ref="C51:Y54" totalsRowShown="0" headerRowDxfId="276" dataDxfId="275" totalsRowDxfId="274">
  <autoFilter ref="C51:Y54" xr:uid="{A5D4922A-EEFD-49FF-BC88-CDB22E82A9C5}"/>
  <tableColumns count="23">
    <tableColumn id="1" xr3:uid="{A51B7272-118B-47F1-BC7E-043465CB01F2}" name="Column1" dataDxfId="273" totalsRowDxfId="272"/>
    <tableColumn id="2" xr3:uid="{03EB125E-238D-45BE-A01E-7C096F1BF349}" name="Column2" dataDxfId="271" totalsRowDxfId="270"/>
    <tableColumn id="3" xr3:uid="{6678039D-E21B-4C93-A265-17333752F01A}" name="Column3" dataDxfId="269" totalsRowDxfId="268"/>
    <tableColumn id="4" xr3:uid="{FB92EF80-9019-49F4-AA18-0E70AEFF4A7B}" name="Column4" dataDxfId="267" totalsRowDxfId="266">
      <calculatedColumnFormula>COUNTIF(F3:F46, "Yes")</calculatedColumnFormula>
    </tableColumn>
    <tableColumn id="5" xr3:uid="{5B7E58E5-6607-437E-B6D0-40AED2370175}" name="Column5" dataDxfId="265" totalsRowDxfId="264"/>
    <tableColumn id="6" xr3:uid="{EFF4CD4C-51D8-457A-94DE-7D2523369756}" name="Column6" dataDxfId="263" totalsRowDxfId="262">
      <calculatedColumnFormula>COUNTIF(H3:H46,"Yes")</calculatedColumnFormula>
    </tableColumn>
    <tableColumn id="7" xr3:uid="{5261DBD6-3F47-45A3-BB3F-A8B732F99618}" name="Column7" dataDxfId="261" totalsRowDxfId="260">
      <calculatedColumnFormula>ResultTable[[#Totals],[A1 - A3]]/'Project Details'!$C$16</calculatedColumnFormula>
    </tableColumn>
    <tableColumn id="8" xr3:uid="{99185009-60FA-4015-9942-62E586DCB3C2}" name="Column8" dataDxfId="259" totalsRowDxfId="258"/>
    <tableColumn id="9" xr3:uid="{7C9EA60C-E087-4415-BF6A-DA786452ECDF}" name="Column9" dataDxfId="257" totalsRowDxfId="256">
      <calculatedColumnFormula>ResultTable[[#Totals],[A5]]/'Project Details'!$C$16</calculatedColumnFormula>
    </tableColumn>
    <tableColumn id="10" xr3:uid="{D2AB30CB-8D8A-4CE6-8353-99C0A4016A4F}" name="Column10" dataDxfId="255" totalsRowDxfId="254">
      <calculatedColumnFormula>ResultTable[[#Totals],[B1]]/'Project Details'!$C$16</calculatedColumnFormula>
    </tableColumn>
    <tableColumn id="11" xr3:uid="{694215BE-061D-41C7-B0ED-B3F0A5256D73}" name="Column11" dataDxfId="253" totalsRowDxfId="252"/>
    <tableColumn id="12" xr3:uid="{B52B7436-CCD5-4E29-9494-4A42D4B0FD22}" name="Column12" dataDxfId="251" totalsRowDxfId="250"/>
    <tableColumn id="13" xr3:uid="{587ECED6-93CD-45A8-851B-0582198CF4B9}" name="Column13" dataDxfId="249" totalsRowDxfId="248"/>
    <tableColumn id="14" xr3:uid="{5A599CC4-6580-45BF-AD91-C35288D76CF5}" name="Column14" dataDxfId="247" totalsRowDxfId="246"/>
    <tableColumn id="15" xr3:uid="{A1015F2C-6326-4285-9ADD-050C4EC30E21}" name="Column15" dataDxfId="245" totalsRowDxfId="244"/>
    <tableColumn id="16" xr3:uid="{FBAF3336-BE7A-43C6-A23E-7B70F2E87EFD}" name="Column16" dataDxfId="243" totalsRowDxfId="242"/>
    <tableColumn id="17" xr3:uid="{F41F7F2B-C813-4551-9125-2A0801461BA7}" name="Column17" dataDxfId="241" totalsRowDxfId="240"/>
    <tableColumn id="18" xr3:uid="{4E39BFC3-4901-4B02-8316-99F9D3ABC3AF}" name="Column18" dataDxfId="239" totalsRowDxfId="238"/>
    <tableColumn id="19" xr3:uid="{A9B07311-C486-48BE-82A5-E356FAA060D3}" name="Column19" dataDxfId="237" totalsRowDxfId="236"/>
    <tableColumn id="20" xr3:uid="{73ED22D7-143F-4FC1-B74B-B91E06614CBB}" name="Column20" dataDxfId="235" totalsRowDxfId="234"/>
    <tableColumn id="21" xr3:uid="{DF1C5D2E-CF65-4592-9756-23248E76A3AA}" name="Column21" dataDxfId="233">
      <calculatedColumnFormula>ResultTable[[#Totals],[TOTAL Embodied Carbon]]/'Project Details'!C16</calculatedColumnFormula>
    </tableColumn>
    <tableColumn id="22" xr3:uid="{E74A6F0B-A477-405F-874B-F6811508B884}" name="Column22" dataDxfId="232" totalsRowDxfId="231">
      <calculatedColumnFormula>SUM(X5:X49)</calculatedColumnFormula>
    </tableColumn>
    <tableColumn id="23" xr3:uid="{7954F9EB-AA16-49D4-9B17-48EDB3CEA9F3}" name="Column23" dataDxfId="230" totalsRowDxfId="229">
      <calculatedColumnFormula>SUM(Y5:Y45)</calculatedColumnFormula>
    </tableColumn>
  </tableColumns>
  <tableStyleInfo name="TableStyleLight2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F0D64ED-2F1B-4964-8207-3BD2D8B5D1FF}" name="EPDInput" displayName="EPDInput" ref="B2:O151" totalsRowShown="0" headerRowDxfId="228" dataDxfId="227">
  <tableColumns count="14">
    <tableColumn id="1" xr3:uid="{C178F86E-E69F-4B32-8E55-D6CEEBEA8088}" name="Product Name" dataDxfId="226"/>
    <tableColumn id="14" xr3:uid="{6E332BD8-2728-481E-861A-46C4E5862153}" name="A5 Product Type Type" dataDxfId="225"/>
    <tableColumn id="2" xr3:uid="{DE8CD3AE-A1CE-43FE-89AD-9D51E2FF88CE}" name="Type &amp; Location" dataDxfId="224"/>
    <tableColumn id="3" xr3:uid="{1D286599-0832-4F69-BFE0-D0CF02345CB8}" name="Waste Type 1" dataDxfId="223"/>
    <tableColumn id="4" xr3:uid="{3B07AC07-635D-407D-A4B9-6ED8529DFF77}" name="Waste Type 2" dataDxfId="222"/>
    <tableColumn id="5" xr3:uid="{E264F071-EE85-4FF9-96B7-06AD4CD43A9D}" name="EPD Type" dataDxfId="221"/>
    <tableColumn id="6" xr3:uid="{E743A0D9-9A2C-440F-840B-5067AD9D746B}" name="Fossil Fuel A1-3 GWP (kgCO2e/FU)" dataDxfId="220" dataCellStyle="Comma"/>
    <tableColumn id="12" xr3:uid="{F6AADD3B-0FCB-4787-9927-935E24713D93}" name="Mass (kg/FU)" dataDxfId="219" dataCellStyle="Comma"/>
    <tableColumn id="13" xr3:uid="{CBD2A3C1-EA62-453A-9298-403188E4E07C}" name="kgCO2e/kg" dataDxfId="218" dataCellStyle="Comma">
      <calculatedColumnFormula>IFERROR(EPDInput[[#This Row],[Fossil Fuel A1-3 GWP (kgCO2e/FU)]]/EPDInput[[#This Row],[Mass (kg/FU)]],"-")</calculatedColumnFormula>
    </tableColumn>
    <tableColumn id="15" xr3:uid="{DCCAF846-AF0A-43B1-8848-B4C935E92221}" name="Sequestration per FU" dataDxfId="217" dataCellStyle="Comma"/>
    <tableColumn id="7" xr3:uid="{EFC5CB3F-2C76-461B-99A3-5148D5CA44B7}" name="Seq. (kgCO2e/kg)" dataDxfId="216" dataCellStyle="Comma">
      <calculatedColumnFormula>IFERROR(EPDInput[[#This Row],[Sequestration per FU]]/EPDInput[[#This Row],[Mass (kg/FU)]],"-")</calculatedColumnFormula>
    </tableColumn>
    <tableColumn id="8" xr3:uid="{0CAB9912-6B0A-4117-B2A5-EEB3A7C60AFD}" name="Data Source" dataDxfId="215">
      <calculatedColumnFormula>G3</calculatedColumnFormula>
    </tableColumn>
    <tableColumn id="9" xr3:uid="{9D2D1CCA-6201-4037-B375-5C2CDE6B9324}" name="Data Quality Score" dataDxfId="214" dataCellStyle="Percent">
      <calculatedColumnFormula>IFERROR(VLOOKUP(EPDInput[[#This Row],[EPD Type]],DataQuality[], 2, FALSE),"-")</calculatedColumnFormula>
    </tableColumn>
    <tableColumn id="10" xr3:uid="{0B65B108-26D9-4CE3-912D-AECC958AB75A}" name="EPD Link" dataDxfId="213"/>
  </tableColumns>
  <tableStyleInfo name="TableStyleLight14"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0D26E2B-CD05-4B0F-8D82-95A97D229750}" name="TransportDistance" displayName="TransportDistance" ref="B5:D8" totalsRowShown="0" headerRowDxfId="212" dataDxfId="210" headerRowBorderDxfId="211">
  <tableColumns count="3">
    <tableColumn id="1" xr3:uid="{E2BB4DAA-868F-475C-87E5-3C45EBABBE8F}" name="Materials" dataDxfId="209"/>
    <tableColumn id="2" xr3:uid="{FCB8BFBD-6080-4224-A86A-8E740295E798}" name="One-way (km)" dataDxfId="208"/>
    <tableColumn id="3" xr3:uid="{8F2E0504-C592-497A-823A-305FE7C9034C}" name="One-way (km)2" dataDxfId="207"/>
  </tableColumns>
  <tableStyleInfo name="TableStyleMedium2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0CAA722-8025-45D0-8F39-F7164E455379}" name="TransportMethod" displayName="TransportMethod" ref="B10:D12" totalsRowShown="0" headerRowDxfId="206" dataDxfId="204" headerRowBorderDxfId="205">
  <tableColumns count="3">
    <tableColumn id="1" xr3:uid="{17C6D9C1-95A7-47B8-9B19-33911335A017}" name="Transport Method" dataDxfId="203"/>
    <tableColumn id="2" xr3:uid="{4FBBAC9C-B774-4879-9008-0F4892494BFC}" name="Emissions Factor_x000a_kgCO2e/kg.km" dataDxfId="202"/>
    <tableColumn id="3" xr3:uid="{4D2E4E27-2D59-4015-A337-6A32B95758FA}" name="Source" dataDxfId="201"/>
  </tableColumns>
  <tableStyleInfo name="TableStyleMedium2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2D9E459-0402-4778-AF98-CAB444B98098}" name="B1refrigerants" displayName="B1refrigerants" ref="B48:E61" totalsRowShown="0" headerRowDxfId="200" dataDxfId="198" headerRowBorderDxfId="199">
  <tableColumns count="4">
    <tableColumn id="1" xr3:uid="{DF617E68-6695-4BD9-955F-14D9B69D1DA7}" name="Type" dataDxfId="197"/>
    <tableColumn id="2" xr3:uid="{59CB834D-4E04-481B-A93D-2FB10D59FB45}" name="Refrigerant" dataDxfId="196"/>
    <tableColumn id="3" xr3:uid="{78591B39-DA42-4D93-A342-3C39B43B3BA2}" name="GWP over 100 years (kg CO2eq)" dataDxfId="195"/>
    <tableColumn id="4" xr3:uid="{020C4C95-DECA-4F41-973A-F1542FF4670D}" name="Leakage Rate (%p.a)" dataDxfId="194" dataCellStyle="Percent"/>
  </tableColumns>
  <tableStyleInfo name="TableStyleMedium2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6BD0399-8B15-4DAF-A569-AB124EFCD8FA}" name="B6FuelType" displayName="B6FuelType" ref="B119:D130" totalsRowShown="0" headerRowDxfId="193" dataDxfId="191" headerRowBorderDxfId="192">
  <tableColumns count="3">
    <tableColumn id="1" xr3:uid="{57A96B71-9EF7-4664-B6F8-FFF1657AF6CA}" name="Fuel" dataDxfId="190"/>
    <tableColumn id="2" xr3:uid="{2CA46953-339D-4B09-8E74-171237DCBAFE}" name="Primary  Factor Forecast" dataDxfId="189"/>
    <tableColumn id="3" xr3:uid="{D787CA4D-7892-4E72-B631-2B160D1EB2A6}" name="Carbon Factor (g/kWh)" dataDxfId="188"/>
  </tableColumns>
  <tableStyleInfo name="TableStyleMedium2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372D8AF-0302-42C7-A410-66DF0F68CB7D}" name="B6ElectricityYears" displayName="B6ElectricityYears" ref="B134:D185" totalsRowShown="0" headerRowDxfId="187" dataDxfId="185" headerRowBorderDxfId="186">
  <tableColumns count="3">
    <tableColumn id="1" xr3:uid="{AFC43AD6-90F1-4C29-87B3-45E179FA1322}" name="Year" dataDxfId="184"/>
    <tableColumn id="2" xr3:uid="{D5C8FF6E-F1DC-491E-9F65-F8EE4C99F898}" name="Primary  Factor Forecast" dataDxfId="183"/>
    <tableColumn id="3" xr3:uid="{7F4D9F8C-1A63-4DFA-848D-CD0C065449F9}" name="Carbon Factor Forecast (g/kWh)" dataDxfId="182"/>
  </tableColumns>
  <tableStyleInfo name="TableStyleMedium2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69F251D-98EB-43DA-888A-903D869509B2}" name="WaterCarbonFactor" displayName="WaterCarbonFactor" ref="B198:C199" totalsRowShown="0" headerRowDxfId="181" dataDxfId="179" headerRowBorderDxfId="180" tableBorderDxfId="178" totalsRowBorderDxfId="177">
  <tableColumns count="2">
    <tableColumn id="1" xr3:uid="{EAB2F028-04AD-41A6-946A-EC684C51FE55}" name="Carbon Factor" dataDxfId="176"/>
    <tableColumn id="2" xr3:uid="{02728714-3C25-4366-98BC-584384A7BFAC}" name="kgCO2e/m3 " dataDxfId="175"/>
  </tableColumns>
  <tableStyleInfo name="TableStyleMedium2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3C4EEF3-9B5F-4F01-916B-A3281181D412}" name="B7waterFactor" displayName="B7waterFactor" ref="B204:C205" totalsRowShown="0" headerRowDxfId="174" dataDxfId="172" headerRowBorderDxfId="173" tableBorderDxfId="171" totalsRowBorderDxfId="170">
  <tableColumns count="2">
    <tableColumn id="1" xr3:uid="{AE62C4AD-965C-47D3-82AD-5D4B5CDD7CA8}" name="Carbon Factor:" dataDxfId="169"/>
    <tableColumn id="2" xr3:uid="{6BE5478A-155C-4F4A-BD4E-9D030A892869}" name="kgCO2e/m2" dataDxfId="168"/>
  </tableColumns>
  <tableStyleInfo name="TableStyleMedium2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FD0A1D0-62AB-4852-B270-3017621CA96F}" name="WasteScenario" displayName="WasteScenario" ref="B211:G218" totalsRowShown="0" headerRowDxfId="167" dataDxfId="165" headerRowBorderDxfId="166">
  <tableColumns count="6">
    <tableColumn id="1" xr3:uid="{588DBD95-BAF3-48A7-A3F3-5437A81EA4F5}" name="Waste type 1" dataDxfId="164"/>
    <tableColumn id="2" xr3:uid="{F03944FB-8C19-42B5-9A78-8DD7624FFD18}" name="Recycling (off-site)" dataDxfId="163" dataCellStyle="Percent"/>
    <tableColumn id="3" xr3:uid="{7B4431FA-3383-40D6-B5BB-6D3A366E7D8E}" name="Energy recovery" dataDxfId="162" dataCellStyle="Percent"/>
    <tableColumn id="4" xr3:uid="{4D80C1B7-826D-472F-BF7D-EAD25DBE965E}" name="Disposal (landfill)" dataDxfId="161" dataCellStyle="Percent"/>
    <tableColumn id="5" xr3:uid="{2F77CC97-2A36-4A19-A7BE-0B5B56138F99}" name="Reused (backfill on site)" dataDxfId="160" dataCellStyle="Percent"/>
    <tableColumn id="6" xr3:uid="{408A0796-4570-420D-B0D0-AF389CD7C3BE}" name="Total" dataDxfId="159" dataCellStyle="Percent">
      <calculatedColumnFormula>SUM(WasteScenario[[#This Row],[Recycling (off-site)]:[Reused (backfill on site)]])</calculatedColumnFormula>
    </tableColumn>
  </tableColumns>
  <tableStyleInfo name="TableStyleMedium2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1D9201D-D780-4F71-8F0F-150F27FD91A4}" name="MEPBoQ" displayName="MEPBoQ" ref="B2:F28" totalsRowShown="0" headerRowDxfId="407" dataDxfId="405" headerRowBorderDxfId="406">
  <autoFilter ref="B2:F28" xr:uid="{F1D9201D-D780-4F71-8F0F-150F27FD91A4}"/>
  <tableColumns count="5">
    <tableColumn id="1" xr3:uid="{10B3069B-CD6A-43A9-A59A-6D65E568CA3C}" name="TM65 Categories" dataDxfId="404"/>
    <tableColumn id="3" xr3:uid="{5F5FF238-C8B1-41DD-947C-0C516F986ACC}" name="Kg estimate" dataDxfId="403" dataCellStyle="Comma"/>
    <tableColumn id="4" xr3:uid="{B38132A0-C804-41BA-813F-B1EC7137DCBF}" name="Unit (kg)" dataDxfId="402"/>
    <tableColumn id="2" xr3:uid="{83CD7D2F-4373-461A-95FF-8398BD98C900}" name="MEP category" dataDxfId="401"/>
    <tableColumn id="5" xr3:uid="{1026F045-4BD8-48A8-96B9-6E7F422B143D}" name="% of total mass" dataDxfId="400" dataCellStyle="Percent">
      <calculatedColumnFormula>IFERROR(MEPBoQ[[#This Row],[Kg estimate]]/SUM(MEPBoQ[Kg estimate],'Materials BoQ'!G:G),"-")</calculatedColumnFormula>
    </tableColumn>
  </tableColumns>
  <tableStyleInfo name="TableStyleMedium2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60A9B1C-274E-4323-A7A6-22F815DE72D8}" name="WasteTransportDistance" displayName="WasteTransportDistance" ref="B222:C226" totalsRowShown="0" headerRowDxfId="158" dataDxfId="156" headerRowBorderDxfId="157" tableBorderDxfId="155" totalsRowBorderDxfId="154">
  <tableColumns count="2">
    <tableColumn id="1" xr3:uid="{35705897-EE7B-4A65-9F71-AE350852B2A4}" name="Final disposal method" dataDxfId="153"/>
    <tableColumn id="2" xr3:uid="{7A0B1C7A-06FA-4987-8529-18A378D327B6}" name="One-way (km)" dataDxfId="152"/>
  </tableColumns>
  <tableStyleInfo name="TableStyleMedium2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77B9003-562A-4F55-B8BA-C140687E29BE}" name="WasteTransportMethod" displayName="WasteTransportMethod" ref="B230:C231" totalsRowShown="0" headerRowDxfId="151" dataDxfId="150">
  <tableColumns count="2">
    <tableColumn id="1" xr3:uid="{9BA95D71-615A-4381-A664-9AEE91FD7C48}" name="Transport Method" dataDxfId="149"/>
    <tableColumn id="2" xr3:uid="{6FCCE212-9CA9-42A1-88C5-FEC8D3049B03}" name="Emissions Factor_x000a_kgCO2e/kg.km" dataDxfId="148"/>
  </tableColumns>
  <tableStyleInfo name="TableStyleMedium2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77B442F-14EF-4927-BAAA-ED8A9D26A433}" name="WasteDisposalEmissions" displayName="WasteDisposalEmissions" ref="B236:D247" totalsRowShown="0" headerRowDxfId="147" dataDxfId="145" headerRowBorderDxfId="146" tableBorderDxfId="144" totalsRowBorderDxfId="143">
  <tableColumns count="3">
    <tableColumn id="1" xr3:uid="{1C912794-7D28-432F-9580-2F281D5E25F8}" name="Material" dataDxfId="142"/>
    <tableColumn id="2" xr3:uid="{A6898829-71B4-48D8-B852-2245842C2995}" name="Recycle EF (Closed Loop)" dataDxfId="141"/>
    <tableColumn id="3" xr3:uid="{345DEE7B-5FEF-4AF6-AB97-802D76A33680}" name="Incineration EF" dataDxfId="140"/>
  </tableColumns>
  <tableStyleInfo name="TableStyleMedium2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85792F2-0C76-494C-AD57-906883DE4AE2}" name="WasteLandfillEmissions" displayName="WasteLandfillEmissions" ref="B252:D263" totalsRowShown="0" headerRowDxfId="139" dataDxfId="137" headerRowBorderDxfId="138" tableBorderDxfId="136" totalsRowBorderDxfId="135">
  <tableColumns count="3">
    <tableColumn id="1" xr3:uid="{D7277F55-1B96-4D56-9CE2-8446D8173A29}" name="Material" dataDxfId="134"/>
    <tableColumn id="2" xr3:uid="{C18CFCE1-1619-4146-8D80-9A3CFDA89C6B}" name="Landfill EF" dataDxfId="133"/>
    <tableColumn id="3" xr3:uid="{A39B1871-D22A-4B63-B1F0-EEBC476E9569}" name="Backfilling EF" dataDxfId="132"/>
  </tableColumns>
  <tableStyleInfo name="TableStyleMedium2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E077333-521E-472C-A442-8847AFF675C8}" name="B4referenceServiceLife" displayName="B4referenceServiceLife" ref="B65:D113" totalsRowShown="0" headerRowDxfId="131" dataDxfId="129" headerRowBorderDxfId="130" tableBorderDxfId="128" totalsRowBorderDxfId="127">
  <tableColumns count="3">
    <tableColumn id="1" xr3:uid="{4903F020-F4C1-4FBE-B755-E14CE0B502D7}" name="Tier 1 element" dataDxfId="126"/>
    <tableColumn id="2" xr3:uid="{DD32BC49-DFF3-4DFC-B998-D38D6EA855A2}" name="Tier 2 element" dataDxfId="125"/>
    <tableColumn id="3" xr3:uid="{FC87D2D6-F3A0-4174-82E3-6AB14924749A}" name="Default Service Life" dataDxfId="124"/>
  </tableColumns>
  <tableStyleInfo name="TableStyleMedium2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76D042F-5ABA-4FA5-9B1D-2ED9D0075546}" name="DataQuality" displayName="DataQuality" ref="B270:C275" totalsRowShown="0" headerRowDxfId="123" dataDxfId="122" tableBorderDxfId="121">
  <tableColumns count="2">
    <tableColumn id="1" xr3:uid="{E96E47F7-1558-4ED9-8C96-E3586226E041}" name="Data Source" dataDxfId="120"/>
    <tableColumn id="2" xr3:uid="{08F3E920-D976-46F3-A841-82D208A0A1B0}" name="Confidence Score (%)" dataDxfId="119"/>
  </tableColumns>
  <tableStyleInfo name="TableStyleMedium7"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6E35485-27AA-462C-8F80-BBAFA19216BA}" name="A5WastageRate" displayName="A5WastageRate" ref="B18:C42" totalsRowShown="0" headerRowDxfId="118" dataDxfId="116" headerRowBorderDxfId="117">
  <tableColumns count="2">
    <tableColumn id="1" xr3:uid="{A51E869F-ABE3-441F-9A88-F77189B682B1}" name="Waste Rates by Category" dataDxfId="115"/>
    <tableColumn id="2" xr3:uid="{E0C9A21C-0A83-44EA-A6F5-73DBF76DE3EA}" name="Applied wastage/ over-ordering rate" dataDxfId="114"/>
  </tableColumns>
  <tableStyleInfo name="TableStyleMedium2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6420470-2513-40BA-9051-A3AEC48B2F4E}" name="MaterialData32" displayName="MaterialData32" ref="A1:D1499" totalsRowCount="1">
  <autoFilter ref="A1:D1498" xr:uid="{033DB0F6-6CCE-475F-B626-E4F3E01C8789}"/>
  <sortState xmlns:xlrd2="http://schemas.microsoft.com/office/spreadsheetml/2017/richdata2" ref="A2:D1498">
    <sortCondition descending="1" ref="C1:C1498"/>
  </sortState>
  <tableColumns count="4">
    <tableColumn id="1" xr3:uid="{EF8C3E61-897E-49E4-8CE3-3ABEA7FCEDD6}" name="Material"/>
    <tableColumn id="2" xr3:uid="{D3C41D45-B26C-43B9-AF13-0EEB594212B7}" name="Kg Mass" dataCellStyle="Comma" totalsRowCellStyle="Comma"/>
    <tableColumn id="3" xr3:uid="{03F16A7B-4194-404B-B562-5835906272D5}" name="KgCO2e (A1-3)" dataCellStyle="Comma" totalsRowCellStyle="Comma"/>
    <tableColumn id="4" xr3:uid="{F27BBD64-08B3-4913-8D42-59FD6936D96B}" name="KgCO2e (Total)" dataCellStyle="Comma" totalsRowCellStyle="Comma"/>
  </tableColumns>
  <tableStyleInfo name="TableStyleMedium2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584896B-E9B9-406A-9513-F6283B026E02}" name="Tier2elementDropdown" displayName="Tier2elementDropdown" ref="B1:B27" totalsRowShown="0">
  <autoFilter ref="B1:B27" xr:uid="{4584896B-E9B9-406A-9513-F6283B026E02}"/>
  <tableColumns count="1">
    <tableColumn id="1" xr3:uid="{877E7B83-3279-45F9-A3D4-5D557BE07A32}" name="Scope Element"/>
  </tableColumns>
  <tableStyleInfo name="TableStyleMedium2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D77ADF5-FDF9-464A-BAB0-C179F8085F07}" name="Calculations" displayName="Calculations" ref="A1:AL1500" totalsRowCount="1">
  <autoFilter ref="A1:AL1499" xr:uid="{9D77ADF5-FDF9-464A-BAB0-C179F8085F07}"/>
  <tableColumns count="38">
    <tableColumn id="1" xr3:uid="{BC51A4E1-209F-41A2-A405-A87629638447}" name="Scope Element" dataDxfId="113" totalsRowDxfId="112">
      <calculatedColumnFormula>IFERROR(MaterialsBoQ[[#This Row],[Scope Element]],0)</calculatedColumnFormula>
    </tableColumn>
    <tableColumn id="2" xr3:uid="{88B79120-34EC-4611-B600-F2D67FBA079C}" name="Material (choose from dropdown" dataDxfId="111">
      <calculatedColumnFormula>IFERROR(MaterialsBoQ[[#This Row],[Material ]],"")</calculatedColumnFormula>
    </tableColumn>
    <tableColumn id="3" xr3:uid="{A5EFE624-F7CC-41EE-A821-CE31F932B878}" name="Unit" dataDxfId="110">
      <calculatedColumnFormula>IFERROR(MaterialsBoQ[[#This Row],[Unit]],"")</calculatedColumnFormula>
    </tableColumn>
    <tableColumn id="4" xr3:uid="{44CA0480-B83A-42A9-9442-9F7F199866F1}" name="Number" dataDxfId="109" totalsRowDxfId="108" dataCellStyle="Comma">
      <calculatedColumnFormula>IFERROR(MaterialsBoQ[[#This Row],[Number]],0)</calculatedColumnFormula>
    </tableColumn>
    <tableColumn id="5" xr3:uid="{20FA9E18-4489-44E3-A1F3-8EE32601A501}" name="Conversion factor" dataDxfId="107" totalsRowDxfId="106" dataCellStyle="Comma">
      <calculatedColumnFormula>IFERROR(MaterialsBoQ[[#This Row],[Kg per unit]],0)</calculatedColumnFormula>
    </tableColumn>
    <tableColumn id="6" xr3:uid="{76604CAA-51B5-45C4-B12B-FC32253C2A83}" name="Total Kg" totalsRowFunction="custom" dataDxfId="105" totalsRowDxfId="104" dataCellStyle="Comma">
      <calculatedColumnFormula>IFERROR(Calculations[[#This Row],[Number]]*Calculations[[#This Row],[Conversion factor]],0)</calculatedColumnFormula>
      <totalsRowFormula>SUM(Calculations[Total Kg])</totalsRowFormula>
    </tableColumn>
    <tableColumn id="7" xr3:uid="{2536B936-6C73-4EAC-95FE-CC8A1B6514AE}" name="Carbon Factor" dataDxfId="103" totalsRowDxfId="102" dataCellStyle="Comma">
      <calculatedColumnFormula>IFERROR(VLOOKUP(Calculations[[#This Row],[Material (choose from dropdown]],MaterialData[#All],7,FALSE),0)</calculatedColumnFormula>
    </tableColumn>
    <tableColumn id="8" xr3:uid="{BDDF10EE-905A-4205-B3E4-517627401A5D}" name="A1-3" dataDxfId="101" totalsRowDxfId="100" dataCellStyle="Comma">
      <calculatedColumnFormula>Calculations[[#This Row],[Total Kg]]*Calculations[[#This Row],[Carbon Factor]]</calculatedColumnFormula>
    </tableColumn>
    <tableColumn id="9" xr3:uid="{42A660DC-84FB-46D0-BA47-381FCC15435B}" name="TransportSource" dataDxfId="99">
      <calculatedColumnFormula>IFERROR(VLOOKUP(Calculations[[#This Row],[Material (choose from dropdown]],MaterialData[#All],2,FALSE),"")</calculatedColumnFormula>
    </tableColumn>
    <tableColumn id="21" xr3:uid="{F3F8C51D-0664-4989-AF7C-1AC89EE71E40}" name="A4" dataDxfId="98" totalsRowDxfId="97" dataCellStyle="Comma">
      <calculatedColumnFormula>IFERROR(((VLOOKUP(Calculations[[#This Row],[TransportSource]],TransportDistance[],2,FALSE)*'Stage assumptions'!$C$11)+VLOOKUP(Calculations[[#This Row],[TransportSource]],TransportDistance[],3,FALSE)*'Stage assumptions'!$C$12)*Calculations[[#This Row],[Total Kg]],0)</calculatedColumnFormula>
    </tableColumn>
    <tableColumn id="10" xr3:uid="{F815FE25-0EBF-496A-89A4-294BD5E646E1}" name="A5type" dataDxfId="96">
      <calculatedColumnFormula>IFERROR(VLOOKUP(Calculations[[#This Row],[Material (choose from dropdown]], MaterialData[#All],3, FALSE),0)</calculatedColumnFormula>
    </tableColumn>
    <tableColumn id="37" xr3:uid="{E6FF9328-AE34-4955-8461-8F2B3A4F772C}" name="A5" dataDxfId="95" totalsRowDxfId="94" dataCellStyle="Comma">
      <calculatedColumnFormula>IFERROR(VLOOKUP(Calculations[[#This Row],[A5type]],A5WastageRate[#All],2,FALSE)*Calculations[[#This Row],[A1-3]],0)</calculatedColumnFormula>
    </tableColumn>
    <tableColumn id="11" xr3:uid="{99F53298-3998-4813-BC0E-F6E77901319D}" name="B1" dataDxfId="93"/>
    <tableColumn id="32" xr3:uid="{D20FAB70-900F-43E3-9E38-10347021D420}" name="Replacements" dataDxfId="92">
      <calculatedColumnFormula>IFERROR(ROUNDUP(50/VLOOKUP(Calculations[[#This Row],[Scope Element]],B4referenceServiceLife[[Tier 2 element]:[Default Service Life]],2, FALSE)-1,0),0)</calculatedColumnFormula>
    </tableColumn>
    <tableColumn id="12" xr3:uid="{2B743564-ACC6-4803-9729-2E8DED01E786}" name="B4" dataDxfId="91" totalsRowDxfId="90" dataCellStyle="Comma">
      <calculatedColumnFormula>IFERROR((Calculations[[#This Row],[A1-3]]+Calculations[[#This Row],[A4]]+Calculations[[#This Row],[A5]]+Calculations[[#This Row],[C2 total]]+Calculations[[#This Row],[C3 total]]+Calculations[[#This Row],[C4 total]])*Calculations[[#This Row],[Replacements]],0)</calculatedColumnFormula>
    </tableColumn>
    <tableColumn id="13" xr3:uid="{FC03BC3E-7F08-4F2E-BABC-2FBF2300EE1C}" name="B6" dataDxfId="89" totalsRowDxfId="88" dataCellStyle="Comma"/>
    <tableColumn id="14" xr3:uid="{62B64DC7-320C-481F-BA76-F06199857CBD}" name="B7" dataDxfId="87" totalsRowDxfId="86" dataCellStyle="Comma"/>
    <tableColumn id="15" xr3:uid="{43C9D434-2DDA-47BA-B0D8-124CAD35653C}" name="C1" dataDxfId="85" totalsRowDxfId="84" dataCellStyle="Comma"/>
    <tableColumn id="16" xr3:uid="{0DC52DB9-91EE-4F0A-9FEB-DD190FEF7757}" name="Waste 1" dataDxfId="83">
      <calculatedColumnFormula>IFERROR(VLOOKUP(Calculations[[#This Row],[Material (choose from dropdown]],MaterialData[#All],4,FALSE),"")</calculatedColumnFormula>
    </tableColumn>
    <tableColumn id="22" xr3:uid="{63656077-74FC-4164-8DF3-4CBFB5F60B40}" name="C2 Recycle" dataDxfId="82" totalsRowDxfId="81" dataCellStyle="Comma">
      <calculatedColumnFormula array="1">IFERROR(VLOOKUP(Calculations[[#This Row],[Waste 1]],WasteScenario[#All],2,FALSE)*'Stage assumptions'!$C$225*WasteTransportMethod[Emissions Factor
kgCO2e/kg.km]*Calculations[[#This Row],[Total Kg]],0)</calculatedColumnFormula>
    </tableColumn>
    <tableColumn id="23" xr3:uid="{DDBD292C-99DF-455E-900A-22E3EFF2AFA7}" name="C2 Energy Recovery" dataDxfId="80" totalsRowDxfId="79" dataCellStyle="Comma">
      <calculatedColumnFormula array="1">IFERROR(VLOOKUP(Calculations[[#This Row],[Waste 1]],WasteScenario[#All],3,FALSE)*'Stage assumptions'!$C$224*WasteTransportMethod[Emissions Factor
kgCO2e/kg.km]*Calculations[[#This Row],[Total Kg]],0)</calculatedColumnFormula>
    </tableColumn>
    <tableColumn id="24" xr3:uid="{8E84F174-0FE4-4862-8F7F-91BBC6242C22}" name="C2 Landfill" dataDxfId="78" totalsRowDxfId="77" dataCellStyle="Comma">
      <calculatedColumnFormula array="1">IFERROR(VLOOKUP(Calculations[[#This Row],[Waste 1]],WasteScenario[#All],4,FALSE)*'Stage assumptions'!$C$223*WasteTransportMethod[Emissions Factor
kgCO2e/kg.km]*Calculations[[#This Row],[Total Kg]],0)</calculatedColumnFormula>
    </tableColumn>
    <tableColumn id="25" xr3:uid="{C15D7F5E-AAC3-41A0-BAFE-163F18B65308}" name="C2 Reuse" dataDxfId="76" totalsRowDxfId="75" dataCellStyle="Comma">
      <calculatedColumnFormula array="1">IFERROR(VLOOKUP(Calculations[[#This Row],[Waste 1]],WasteScenario[#All],5,FALSE)*'Stage assumptions'!$C$226*WasteTransportMethod[Emissions Factor
kgCO2e/kg.km]*Calculations[[#This Row],[Total Kg]],0)</calculatedColumnFormula>
    </tableColumn>
    <tableColumn id="26" xr3:uid="{F990FC00-4A87-434B-BE75-5A9733D2529C}" name="C2 total" dataDxfId="74" totalsRowDxfId="73" dataCellStyle="Comma">
      <calculatedColumnFormula>SUM(Calculations[[#This Row],[C2 Recycle]:[C2 Reuse]])</calculatedColumnFormula>
    </tableColumn>
    <tableColumn id="28" xr3:uid="{63245256-5A7E-4DF8-8D81-E1978AF678D5}" name="Waste type 2" dataDxfId="72">
      <calculatedColumnFormula>IFERROR(VLOOKUP(Calculations[[#This Row],[Material (choose from dropdown]],MaterialData[#All],5,FALSE),"")</calculatedColumnFormula>
    </tableColumn>
    <tableColumn id="17" xr3:uid="{D4874C2A-3A6F-4117-BC68-BDFF1E009DBF}" name="C3 recyc" dataDxfId="71" totalsRowDxfId="70" dataCellStyle="Comma">
      <calculatedColumnFormula>IFERROR(((VLOOKUP(Calculations[[#This Row],[Waste type 2]],WasteDisposalEmissions[#All],2,FALSE))*Calculations[[#This Row],[Total Kg]])*VLOOKUP(Calculations[[#This Row],[Waste 1]],WasteScenario[#All],2,FALSE),0)</calculatedColumnFormula>
    </tableColumn>
    <tableColumn id="27" xr3:uid="{E32F1197-4F6D-4557-BE2C-4F39C4D4B830}" name="C3 incin" dataDxfId="69" totalsRowDxfId="68" dataCellStyle="Comma">
      <calculatedColumnFormula>IFERROR((VLOOKUP(Calculations[[#This Row],[Waste type 2]],WasteDisposalEmissions[#All],3,FALSE))*Calculations[[#This Row],[Total Kg]]*VLOOKUP(Calculations[[#This Row],[Waste 1]],WasteScenario[#All],3,FALSE),0)</calculatedColumnFormula>
    </tableColumn>
    <tableColumn id="29" xr3:uid="{BBAFC579-1142-4F70-A6AC-3B4863D8DC58}" name="C3 total" dataDxfId="67" totalsRowDxfId="66" dataCellStyle="Comma">
      <calculatedColumnFormula>SUM(Calculations[[#This Row],[C3 recyc]:[C3 incin]])</calculatedColumnFormula>
    </tableColumn>
    <tableColumn id="18" xr3:uid="{FC9BD3DA-16B7-418B-A12A-062166414ECA}" name="C4 landfill" dataDxfId="65" totalsRowDxfId="64" dataCellStyle="Comma">
      <calculatedColumnFormula>IFERROR((VLOOKUP(Calculations[[#This Row],[Waste type 2]],WasteLandfillEmissions[#All],2,FALSE))*Calculations[[#This Row],[Total Kg]]*VLOOKUP(Calculations[[#This Row],[Waste 1]],WasteScenario[#All],4,FALSE),0)</calculatedColumnFormula>
    </tableColumn>
    <tableColumn id="30" xr3:uid="{9EB24131-1729-4DFB-95A7-58958411A849}" name="C4 re-use" dataDxfId="63" totalsRowDxfId="62" dataCellStyle="Comma">
      <calculatedColumnFormula>IFERROR((VLOOKUP(Calculations[[#This Row],[Waste type 2]],WasteLandfillEmissions[#All],3,FALSE))*Calculations[[#This Row],[Total Kg]]*VLOOKUP(Calculations[[#This Row],[Waste 1]],WasteScenario[#All],4,FALSE),0)</calculatedColumnFormula>
    </tableColumn>
    <tableColumn id="31" xr3:uid="{EC516625-FC5B-4FAA-B190-208313C6DC32}" name="C4 total" dataDxfId="61" totalsRowDxfId="60" dataCellStyle="Comma">
      <calculatedColumnFormula>SUM(Calculations[[#This Row],[C4 landfill]:[C4 re-use]])</calculatedColumnFormula>
    </tableColumn>
    <tableColumn id="36" xr3:uid="{EF1C9693-EB10-4313-80B1-C7A5061FC0AA}" name="Seq factor" dataDxfId="59" totalsRowDxfId="58" dataCellStyle="Comma">
      <calculatedColumnFormula>IFERROR(VLOOKUP(Calculations[[#This Row],[Material (choose from dropdown]],MaterialData[#All],8,FALSE),0)</calculatedColumnFormula>
    </tableColumn>
    <tableColumn id="19" xr3:uid="{2CF8767C-03AC-4540-8537-24A0FE0B732D}" name="Sequestration" dataDxfId="57" totalsRowDxfId="56" dataCellStyle="Comma">
      <calculatedColumnFormula>IFERROR(Calculations[[#This Row],[Total Kg]]*Calculations[[#This Row],[Seq factor]],0)</calculatedColumnFormula>
    </tableColumn>
    <tableColumn id="20" xr3:uid="{A7D92B64-33E3-46CB-B7D0-A0CB44D388F6}" name="Module D" dataDxfId="55" totalsRowDxfId="54" dataCellStyle="Comma"/>
    <tableColumn id="38" xr3:uid="{45E65293-779C-43EE-B0D0-9590B28FB479}" name="TOTAL EC" dataDxfId="53" totalsRowDxfId="52" dataCellStyle="Comma">
      <calculatedColumnFormula>Calculations[[#This Row],[A1-3]]+Calculations[[#This Row],[A4]]+Calculations[[#This Row],[A5]]+Calculations[[#This Row],[B4]]+Calculations[[#This Row],[C2 total]]+Calculations[[#This Row],[C3 total]]+Calculations[[#This Row],[C4 total]]</calculatedColumnFormula>
    </tableColumn>
    <tableColumn id="33" xr3:uid="{5A958212-0D2B-4B97-852F-905BA0B9481B}" name="Data Source (for Data Quality Assessment)" dataDxfId="51" totalsRowDxfId="50">
      <calculatedColumnFormula>IFERROR(VLOOKUP(Calculations[[#This Row],[Material (choose from dropdown]],MaterialData[[#Headers],[#Data]],9,FALSE),0)</calculatedColumnFormula>
    </tableColumn>
    <tableColumn id="34" xr3:uid="{F6BE9304-CBC9-4DAB-A1CE-0A1438F785AC}" name="Data Quality Score" totalsRowDxfId="49" dataCellStyle="Percent">
      <calculatedColumnFormula>IFERROR(VLOOKUP(Calculations[[#This Row],[Material (choose from dropdown]],MaterialData[[#Headers],[#Data]],10,FALSE),0)</calculatedColumnFormula>
    </tableColumn>
    <tableColumn id="35" xr3:uid="{A03B52C7-CD4D-4F54-88C1-1CABD27F5DA5}" name="Weighted DQS * KG" totalsRowFunction="custom" dataDxfId="48" totalsRowDxfId="47" dataCellStyle="Comma">
      <calculatedColumnFormula>IFERROR(Calculations[[#This Row],[Data Quality Score]]*Calculations[[#This Row],[Total Kg]],0)</calculatedColumnFormula>
      <totalsRowFormula>SUM(Calculations[Weighted DQS * KG])</totalsRowFormula>
    </tableColumn>
  </tableColumns>
  <tableStyleInfo name="TableStyleMedium2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DE21FE2-B92C-459C-898F-2E1D070F160C}" name="Table1" displayName="Table1" ref="A9:P32" totalsRowShown="0" headerRowDxfId="399" dataDxfId="398">
  <tableColumns count="16">
    <tableColumn id="1" xr3:uid="{901E0836-EA1C-47E6-8320-E72FD4BA5D67}" name="MEP Category" dataDxfId="397"/>
    <tableColumn id="2" xr3:uid="{CC7071F9-1D66-4C0A-BBFF-F9A22085F91E}" name="TYPE" dataDxfId="396"/>
    <tableColumn id="16" xr3:uid="{4D8B3B1D-87B6-4FF5-95B2-4D582536068D}" name="DOES IT EXIST IN THIS BUILDING?" dataDxfId="395"/>
    <tableColumn id="3" xr3:uid="{E5B99827-435C-4F13-94B8-62094E21E65B}" name="AMOUNT" dataDxfId="394"/>
    <tableColumn id="4" xr3:uid="{AEAF053A-5F6C-486F-A5A6-FE27B8FD4992}" name="UNIT" dataDxfId="393"/>
    <tableColumn id="5" xr3:uid="{F755A92A-004D-417A-A64D-B55A3507257F}" name="M2 FA per unit" dataDxfId="392"/>
    <tableColumn id="6" xr3:uid="{8DF89AA9-57C0-4111-AED5-96929D9EBFAD}" name="TOTAL" dataDxfId="391"/>
    <tableColumn id="7" xr3:uid="{F98980E6-54ED-4350-BBC8-BAA28F95A175}" name="UNITS" dataDxfId="390"/>
    <tableColumn id="8" xr3:uid="{414C68E3-D1B4-4220-81B1-2137EC129E87}" name="CONVERSION TO KG" dataDxfId="389"/>
    <tableColumn id="9" xr3:uid="{C943A90D-B9E5-4490-883C-AB90F705B6B3}" name="TOTAL KG" dataDxfId="388" dataCellStyle="Comma"/>
    <tableColumn id="10" xr3:uid="{A1545680-25B2-4E96-8352-8D2672FB05C5}" name="TM65 CATEGORIES" dataDxfId="387"/>
    <tableColumn id="11" xr3:uid="{0F05EF26-4450-415C-A35C-7F2AFC61E201}" name="Column1" dataDxfId="386"/>
    <tableColumn id="12" xr3:uid="{9347569E-7EC9-4A88-B671-B3995620E2F8}" name="Column3" dataDxfId="385"/>
    <tableColumn id="13" xr3:uid="{1EDEA609-2741-42B5-96F4-BAC2EEC3AEAA}" name="Column2" dataDxfId="384"/>
    <tableColumn id="14" xr3:uid="{C3DD935A-90D8-4760-92AF-DE24D1155453}" name="Column4" dataDxfId="383"/>
    <tableColumn id="15" xr3:uid="{A6C26524-AFEC-4E75-8D9E-8AF4CF13ABC5}" name="Column5" dataDxfId="382"/>
  </tableColumns>
  <tableStyleInfo name="TableStyleLight8"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33DB0F6-6CCE-475F-B626-E4F3E01C8789}" name="MaterialData" displayName="MaterialData" ref="A1:J1494" totalsRowCount="1">
  <autoFilter ref="A1:J1493" xr:uid="{033DB0F6-6CCE-475F-B626-E4F3E01C8789}"/>
  <sortState xmlns:xlrd2="http://schemas.microsoft.com/office/spreadsheetml/2017/richdata2" ref="A2:J1493">
    <sortCondition descending="1" ref="G1:G1493"/>
  </sortState>
  <tableColumns count="10">
    <tableColumn id="1" xr3:uid="{48DAF5E4-FE0E-46A9-8B9C-CBE08A059DA5}" name="Material"/>
    <tableColumn id="2" xr3:uid="{D29A9A20-A822-4910-9B7C-57710333D151}" name="Material Type"/>
    <tableColumn id="10" xr3:uid="{607C8D7D-4AD8-4F99-B6FD-97DB89AFC066}" name="A5 Material Type"/>
    <tableColumn id="3" xr3:uid="{7479D84D-1412-42F0-B181-4469DA57510D}" name="C1 Waste Type 1"/>
    <tableColumn id="4" xr3:uid="{1A49AB40-0EB3-4B06-8260-236BEFA6A119}" name="C2 Waste Type 2"/>
    <tableColumn id="5" xr3:uid="{8A023B05-85F2-4C1A-8BE0-6CAA87DD783B}" name="Data Type"/>
    <tableColumn id="6" xr3:uid="{E4986B46-40B1-4B5D-8A1A-A2BCFFD9DBD2}" name="A1-3 GWP (kgCO2e/kg)" dataDxfId="46" totalsRowDxfId="45" dataCellStyle="Comma"/>
    <tableColumn id="7" xr3:uid="{A90BEB75-D154-4FDD-BC50-ECC220642D52}" name="Sequestration (kgCO2e/kg)" dataDxfId="44" totalsRowDxfId="43" dataCellStyle="Comma"/>
    <tableColumn id="8" xr3:uid="{8FD9AF86-128A-4019-9361-7811DD073DDB}" name="Data Source"/>
    <tableColumn id="9" xr3:uid="{298B24E7-C2CD-4063-9F7C-2D7914E08F6C}" name="Data Quality Score" dataDxfId="42" totalsRowDxfId="41" dataCellStyle="Percent"/>
  </tableColumns>
  <tableStyleInfo name="TableStyleMedium2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D1E426B-9681-4C90-B880-55DE9D1224F1}" name="MEPGenericCarbonFactor" displayName="MEPGenericCarbonFactor" ref="A1:F8" totalsRowShown="0">
  <autoFilter ref="A1:F8" xr:uid="{1D1E426B-9681-4C90-B880-55DE9D1224F1}"/>
  <tableColumns count="6">
    <tableColumn id="1" xr3:uid="{0C346657-EA40-46A8-B4B8-82A4F1F5F9F7}" name="CIBSE TM65 ESTIMATES"/>
    <tableColumn id="7" xr3:uid="{937002D4-A706-469D-B168-4B2E25434B6E}" name="Material Type"/>
    <tableColumn id="2" xr3:uid="{CD34752E-971D-432C-92CF-84FE41D0B312}" name="Average kgCO2e/kg (A1–A4, B3, C2–C4) without refrigerant"/>
    <tableColumn id="4" xr3:uid="{E2484D3C-117C-46EA-BE9A-D33066F07D8D}" name="DATA TYPE"/>
    <tableColumn id="5" xr3:uid="{94E3DC61-576D-4EDD-BDCC-B13E7358E802}" name="DATA SOURCE"/>
    <tableColumn id="6" xr3:uid="{1C35D39C-201E-4C56-A016-3FFDFCDA0363}" name="DATA QUALITY SCORE" dataCellStyle="Percent"/>
  </tableColumns>
  <tableStyleInfo name="TableStyleMedium2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B4284B7-BD8C-45A8-9AA5-C2D3F6A024AD}" name="RefrigerantCalculation" displayName="RefrigerantCalculation" ref="A8:G23" totalsRowCount="1" headerRowDxfId="40" dataDxfId="39" totalsRowDxfId="38">
  <tableColumns count="7">
    <tableColumn id="1" xr3:uid="{28406B08-BF68-40C9-A728-A328E11D825B}" name="Type" dataDxfId="37" totalsRowDxfId="36"/>
    <tableColumn id="2" xr3:uid="{027E1D02-EC89-442F-90B9-DE3CDE244E38}" name="Refrigerant" dataDxfId="35" totalsRowDxfId="34"/>
    <tableColumn id="4" xr3:uid="{CA774980-288B-4556-B088-00BACE198B76}" name="Global warming potential over 100 years (kg CO2eq) (Source:CIBSE TM65)" dataDxfId="33" totalsRowDxfId="32"/>
    <tableColumn id="6" xr3:uid="{2BDF4BFA-3265-4691-B77D-09C09D5C8152}" name="Charge (kg)" dataDxfId="31" totalsRowDxfId="30">
      <calculatedColumnFormula>Refrigerants!C3</calculatedColumnFormula>
    </tableColumn>
    <tableColumn id="5" xr3:uid="{F167434D-999F-42D8-8206-16CCB7B99925}" name="Leakage Rate (%p.a)" dataDxfId="29" totalsRowDxfId="28">
      <calculatedColumnFormula>'Stage assumptions'!E49</calculatedColumnFormula>
    </tableColumn>
    <tableColumn id="8" xr3:uid="{7955B367-7E93-4808-B5EA-CB5DD05A4D2A}" name="Years" dataDxfId="27" totalsRowDxfId="26"/>
    <tableColumn id="7" xr3:uid="{AED877D4-AEB2-4357-AA58-D01BF40BC1CF}" name="B1 GWP (kgCO2e)" totalsRowFunction="custom" dataDxfId="25" totalsRowDxfId="24">
      <calculatedColumnFormula>RefrigerantCalculation[[#This Row],[Global warming potential over 100 years (kg CO2eq) (Source:CIBSE TM65)]]*RefrigerantCalculation[[#This Row],[Charge (kg)]]*RefrigerantCalculation[[#This Row],[Leakage Rate (%p.a)]]*RefrigerantCalculation[[#This Row],[Years]]</calculatedColumnFormula>
      <totalsRowFormula>SUM(RefrigerantCalculation[B1 GWP (kgCO2e)])</totalsRowFormula>
    </tableColumn>
  </tableColumns>
  <tableStyleInfo name="TableStyleLight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F798D16F-1290-4C26-876A-2F9B7F54C0BA}" name="Table2" displayName="Table2" ref="A5:B7" totalsRowShown="0">
  <tableColumns count="2">
    <tableColumn id="1" xr3:uid="{1E45DEFF-46D9-4523-9409-2D9A892515EB}" name="Column1"/>
    <tableColumn id="3" xr3:uid="{363AC0CC-4886-4EBD-9DB1-6494777DC285}" name="Column2" dataDxfId="381" dataCellStyle="Comma">
      <calculatedColumnFormula>'Project Details'!C16</calculatedColumnFormula>
    </tableColumn>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28A7E2A-2325-43E4-B794-0BA581D32B87}" name="MEPCalculation" displayName="MEPCalculation" ref="B9:Q38" totalsRowCount="1" headerRowDxfId="380" dataDxfId="379" totalsRowDxfId="378">
  <tableColumns count="16">
    <tableColumn id="1" xr3:uid="{691908F8-76B8-466A-A9C2-979F26A8D8A5}" name="SCOPE Tier 1 building element" dataDxfId="377" totalsRowDxfId="376"/>
    <tableColumn id="2" xr3:uid="{85CCD070-E946-4CE6-A18F-54E3EF728945}" name="SCOPE Tier 2 building element" dataDxfId="375" totalsRowDxfId="374"/>
    <tableColumn id="3" xr3:uid="{71CF7126-5669-45AA-967F-AF2C767B363B}" name="ICMS L2.L3.L4 Code " dataDxfId="373" totalsRowDxfId="372"/>
    <tableColumn id="18" xr3:uid="{51C2DA51-4192-4245-8900-59D54EA26EF4}" name="TM65 Categories" dataDxfId="371" totalsRowDxfId="370">
      <calculatedColumnFormula>MEP!B3</calculatedColumnFormula>
    </tableColumn>
    <tableColumn id="4" xr3:uid="{46C1AA9A-1642-4844-ADB9-6DE51927E02F}" name="MEP category (choose from dropdown)" dataDxfId="369" totalsRowDxfId="368"/>
    <tableColumn id="5" xr3:uid="{F29A03F1-3578-438B-BAB5-A54BF7A27F3B}" name="Kg estimate" dataDxfId="367" totalsRowDxfId="366">
      <calculatedColumnFormula>MEP!C3</calculatedColumnFormula>
    </tableColumn>
    <tableColumn id="6" xr3:uid="{EA16202C-F19D-4161-A9AE-92FCE2418A97}" name="Unit (kg)" dataDxfId="365" totalsRowDxfId="364"/>
    <tableColumn id="20" xr3:uid="{3BD355BB-E170-4D52-9518-6C92E315D2DD}" name="Reference Service Life" dataDxfId="363" totalsRowDxfId="362"/>
    <tableColumn id="10" xr3:uid="{71B5BB47-132C-487D-9D7F-E32CCFC7DFD0}" name="A1-A3, B3, C1-4" totalsRowFunction="sum" dataDxfId="361" totalsRowDxfId="360">
      <calculatedColumnFormula>MEPCalculation[[#This Row],[Kg estimate]]*VLOOKUP(MEPCalculation[[#This Row],[MEP category (choose from dropdown)]],MEPGenericCarbonFactor[#All],3,FALSE)</calculatedColumnFormula>
    </tableColumn>
    <tableColumn id="8" xr3:uid="{FC782F91-786D-48E9-A0D4-912634EDD42D}" name="TransportSource" dataDxfId="359" totalsRowDxfId="358"/>
    <tableColumn id="7" xr3:uid="{6224D50A-557F-407A-BDF4-66F4C4C39284}" name="A4 Transport" totalsRowFunction="sum" dataDxfId="357" totalsRowDxfId="356">
      <calculatedColumnFormula>((VLOOKUP(MEPCalculation[[#This Row],[TransportSource]],TransportDistance[],2,FALSE)*'Stage assumptions'!$C$11)+VLOOKUP(MEPCalculation[[#This Row],[TransportSource]],TransportDistance[],3,FALSE)*'Stage assumptions'!$C$12)*MEPCalculation[[#This Row],[Kg estimate]]</calculatedColumnFormula>
    </tableColumn>
    <tableColumn id="13" xr3:uid="{E618A6F3-5E53-4AE8-B3A8-5EDD76DF582B}" name="Replacement cycles in 50 yrs" dataDxfId="355" totalsRowDxfId="354">
      <calculatedColumnFormula>IF(MEPCalculation[[#This Row],[Reference Service Life]]=25,1,(IFERROR(ROUNDDOWN(50/MEPCalculation[[#This Row],[Reference Service Life]],0),0)))</calculatedColumnFormula>
    </tableColumn>
    <tableColumn id="19" xr3:uid="{5F34637D-E487-4A85-9DA4-DE5E449BCA4E}" name="B4 Replacements" totalsRowFunction="sum" dataDxfId="353" totalsRowDxfId="352">
      <calculatedColumnFormula>MEPCalculation[[#This Row],[Replacement cycles in 50 yrs]]*(MEPCalculation[[#This Row],[A1-A3, B3, C1-4]]+MEPCalculation[[#This Row],[A4 Transport]])</calculatedColumnFormula>
    </tableColumn>
    <tableColumn id="14" xr3:uid="{83FDBDCC-D917-491E-AB10-C2146CDD549D}" name="Data Source (for Data Quality Assessment)" dataDxfId="351" totalsRowDxfId="350"/>
    <tableColumn id="15" xr3:uid="{61F858AD-F2AD-459A-B8C2-5EE26E4C9749}" name="Data Quality Score" dataDxfId="349" totalsRowDxfId="348"/>
    <tableColumn id="16" xr3:uid="{6B3DE1ED-3A71-46C1-BE66-1FD0CDAC622C}" name="Weighted DQS * KG" dataDxfId="347" totalsRowDxfId="346">
      <calculatedColumnFormula>MEPCalculation[[#This Row],[Kg estimate]]*MEPCalculation[[#This Row],[Data Quality Score]]</calculatedColumnFormula>
    </tableColumn>
  </tableColumns>
  <tableStyleInfo name="TableStyleMedium2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EC433DA-63FC-4C18-B711-AACA99B8E49A}" name="EnergyBoQ" displayName="EnergyBoQ" ref="B2:D14" totalsRowShown="0" headerRowDxfId="345" dataDxfId="343" headerRowBorderDxfId="344">
  <tableColumns count="3">
    <tableColumn id="1" xr3:uid="{92BD09E6-C112-458E-882C-A0BB07DD77F4}" name="Energy source" dataDxfId="342"/>
    <tableColumn id="2" xr3:uid="{075182C3-A5BA-4A7A-AEC6-6890246E6DCF}" name="Annual Demand" dataDxfId="341"/>
    <tableColumn id="3" xr3:uid="{A8DBFE2C-A1C3-4226-BEAC-6684EDE572D1}" name="Unit" dataDxfId="340"/>
  </tableColumns>
  <tableStyleInfo name="TableStyleMedium2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6717AAB-5839-4FBE-9B79-8C3876014B97}" name="RefrigerantBoQ" displayName="RefrigerantBoQ" ref="B2:D16" totalsRowShown="0" headerRowDxfId="339" dataDxfId="337" headerRowBorderDxfId="338">
  <tableColumns count="3">
    <tableColumn id="1" xr3:uid="{93104213-303F-4CE5-B352-9C22A87926AC}" name="Refrigerant" dataDxfId="336"/>
    <tableColumn id="2" xr3:uid="{05C2F3FC-08CC-49C5-8C92-744A426CB6AC}" name="Charge (kg)" dataDxfId="335"/>
    <tableColumn id="3" xr3:uid="{3DD3977A-12CB-4F94-8172-404BD3485169}" name="Unit" dataDxfId="334"/>
  </tableColumns>
  <tableStyleInfo name="TableStyleMedium2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F4F8DFA-11B6-460B-84E2-37CF5D9E6413}" name="WaterBoQ" displayName="WaterBoQ" ref="B2:D11" totalsRowShown="0" headerRowDxfId="333" dataDxfId="331" headerRowBorderDxfId="332">
  <tableColumns count="3">
    <tableColumn id="1" xr3:uid="{B43F7C04-68EE-45B8-8597-030DFC8142D2}" name="Usage" dataDxfId="330"/>
    <tableColumn id="4" xr3:uid="{6701B9EA-78EE-45BD-A9C7-8ACAD7DB6F2F}" name="number" dataDxfId="329"/>
    <tableColumn id="5" xr3:uid="{032AF60D-2904-441D-A9C0-731F42E2A601}" name="unit" dataDxfId="328"/>
  </tableColumns>
  <tableStyleInfo name="TableStyleMedium2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C6FC358-5805-41A5-B053-8FFCCCBC2009}" name="ResultTable" displayName="ResultTable" ref="C3:Y50" totalsRowCount="1" headerRowDxfId="327" dataDxfId="325" totalsRowDxfId="324" headerRowBorderDxfId="326" totalsRowBorderDxfId="323">
  <tableColumns count="23">
    <tableColumn id="1" xr3:uid="{38ABA9D2-462B-4AC4-88CF-565A845CA4C7}" name="SCOPE Tier 1 building element" totalsRowLabel="TOTAL" dataDxfId="322" totalsRowDxfId="321"/>
    <tableColumn id="2" xr3:uid="{5A27DCF2-364D-4D9C-A04A-7A7691AA7DEE}" name="SCOPE Tier 2 building element" dataDxfId="320" totalsRowDxfId="319"/>
    <tableColumn id="3" xr3:uid="{9A7A4618-AFCB-42D7-8E5E-C4C835BFB7CC}" name="ICMS L3 &amp; L4 Code " dataDxfId="318" totalsRowDxfId="317"/>
    <tableColumn id="25" xr3:uid="{F04170C9-DE81-43F2-9C12-6FA4F210BD87}" name="Required?" dataDxfId="316" totalsRowDxfId="315"/>
    <tableColumn id="22" xr3:uid="{6F87FE2D-9546-46D5-9215-0A457FEF20F3}" name="n. of data lines" totalsRowFunction="custom" dataDxfId="314" totalsRowDxfId="313">
      <totalsRowFormula>SUM(G5:G49)</totalsRowFormula>
    </tableColumn>
    <tableColumn id="23" xr3:uid="{66CA24F8-F3E2-4E2A-84E9-883FFF38ACF0}" name="Included (completeness)" dataDxfId="312" totalsRowDxfId="311">
      <calculatedColumnFormula>IF(ResultTable[[#This Row],[n. of data lines]]&gt;0,"Yes","No")</calculatedColumnFormula>
    </tableColumn>
    <tableColumn id="4" xr3:uid="{AB60FEF6-78B3-4EC5-8F4A-64857A422F77}" name="A1 - A3" totalsRowFunction="custom" dataDxfId="310" totalsRowDxfId="309">
      <totalsRowFormula>SUM(I5:I49)</totalsRowFormula>
    </tableColumn>
    <tableColumn id="5" xr3:uid="{0A4E114D-4F1F-4FB2-BCEC-AFD819261784}" name="A4" totalsRowFunction="custom" dataDxfId="308" totalsRowDxfId="307">
      <totalsRowFormula>SUM(ResultTable[A4])</totalsRowFormula>
    </tableColumn>
    <tableColumn id="6" xr3:uid="{6D2265B4-E5BD-4F56-B6EC-7E878B131001}" name="A5" totalsRowFunction="custom" dataDxfId="306" totalsRowDxfId="305">
      <totalsRowFormula>SUM(ResultTable[A5])</totalsRowFormula>
    </tableColumn>
    <tableColumn id="7" xr3:uid="{7271B00A-8D22-45A6-9876-3B05128E98BC}" name="B1" totalsRowFunction="custom" dataDxfId="304" totalsRowDxfId="303">
      <totalsRowFormula>SUM(ResultTable[B1])</totalsRowFormula>
    </tableColumn>
    <tableColumn id="8" xr3:uid="{179C536C-8E95-4CF2-8CA7-06949A2C6DC2}" name="B2" dataDxfId="302" totalsRowDxfId="301"/>
    <tableColumn id="9" xr3:uid="{D6671413-63D0-41F1-9D60-CB72AD2449A0}" name="B3" dataDxfId="300" totalsRowDxfId="299"/>
    <tableColumn id="10" xr3:uid="{9850DFBD-6BD6-4DF8-8232-A002934CFAC4}" name="B4" totalsRowFunction="custom" dataDxfId="298" totalsRowDxfId="297">
      <totalsRowFormula>SUM(ResultTable[B4])</totalsRowFormula>
    </tableColumn>
    <tableColumn id="11" xr3:uid="{19DAB7DD-E77D-4092-B364-EDD76EEAF6C4}" name="B5" dataDxfId="296" totalsRowDxfId="295"/>
    <tableColumn id="12" xr3:uid="{89CC812E-3F97-4E35-95FF-77DCD04C8B62}" name="B6" totalsRowFunction="custom" dataDxfId="294" totalsRowDxfId="293">
      <totalsRowFormula>SUM(ResultTable[B6])</totalsRowFormula>
    </tableColumn>
    <tableColumn id="13" xr3:uid="{9A54D85D-E31A-419C-84B3-8B66F64DF04A}" name="B7" totalsRowFunction="custom" dataDxfId="292" totalsRowDxfId="291">
      <totalsRowFormula>SUM(ResultTable[B7])</totalsRowFormula>
    </tableColumn>
    <tableColumn id="14" xr3:uid="{32D761CC-543A-49A0-BF82-43CA7A084836}" name="C1" totalsRowFunction="custom" dataDxfId="290" totalsRowDxfId="289">
      <totalsRowFormula>SUM(ResultTable[C1])</totalsRowFormula>
    </tableColumn>
    <tableColumn id="15" xr3:uid="{72AA2E01-FB45-4C80-BF07-7B81E48B156D}" name="C2" totalsRowFunction="custom" dataDxfId="288" totalsRowDxfId="287">
      <totalsRowFormula>SUM(ResultTable[C2])</totalsRowFormula>
    </tableColumn>
    <tableColumn id="16" xr3:uid="{BC9F56CC-9B1F-46EF-855B-796F6ACFAA5B}" name="C3" totalsRowFunction="custom" dataDxfId="286" totalsRowDxfId="285">
      <totalsRowFormula>SUM(ResultTable[C3])</totalsRowFormula>
    </tableColumn>
    <tableColumn id="17" xr3:uid="{400A608E-E8C2-4D9A-8913-FC8095CA3D83}" name="C4" totalsRowFunction="custom" dataDxfId="284" totalsRowDxfId="283">
      <totalsRowFormula>SUM(ResultTable[C4])</totalsRowFormula>
    </tableColumn>
    <tableColumn id="20" xr3:uid="{F9B5781D-EEAE-44BC-9235-E239C2325E39}" name="TOTAL Embodied Carbon" totalsRowFunction="custom" dataDxfId="282" totalsRowDxfId="281">
      <calculatedColumnFormula>SUM(ResultTable[[#This Row],[A1 - A3]:[C4]])</calculatedColumnFormula>
      <totalsRowFormula>SUM(W5:W46)+W49</totalsRowFormula>
    </tableColumn>
    <tableColumn id="18" xr3:uid="{985811DF-B718-4435-9658-27222167F459}" name="Module D" totalsRowFunction="custom" dataDxfId="280" totalsRowDxfId="279">
      <totalsRowFormula>SUM(ResultTable[Module D])</totalsRowFormula>
    </tableColumn>
    <tableColumn id="19" xr3:uid="{ED419D70-ED10-4567-B894-32B73B828C24}" name="Sequestration" totalsRowFunction="custom" dataDxfId="278" totalsRowDxfId="277">
      <totalsRowFormula>SUM(ResultTable[Sequestration])</totalsRowFormula>
    </tableColumn>
  </tableColumns>
  <tableStyleInfo name="TableStyleLight14"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C33" dT="2023-11-02T10:39:42.39" personId="{D56AB781-34CA-473A-B565-93282281BA12}" id="{8E4B970B-E82B-4F3B-876F-551055FD7CDD}">
    <text>https://susproc.jrc.ec.europa.eu/product-bureau//sites/default/files/2021-01/UM2_Setting_up_a_project_to_use_Level(s)_v1.1_26pp.pdf</text>
    <extLst>
      <x:ext xmlns:xltc2="http://schemas.microsoft.com/office/spreadsheetml/2020/threadedcomments2" uri="{F7C98A9C-CBB3-438F-8F68-D28B6AF4A901}">
        <xltc2:checksum>1883383279</xltc2:checksum>
        <xltc2:hyperlink startIndex="0" length="131" url="https://susproc.jrc.ec.europa.eu/product-bureau//sites/default/files/2021-01/UM2_Setting_up_a_project_to_use_Level(s)_v1.1_26pp.pdf"/>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G9" personId="{C84DF3ED-582B-418E-A9CD-1457D34EDC5C}" id="{EE44B342-11CE-4A82-BDC7-BE8DE55D160B}">
    <text xml:space="preserve">Estimate the mass in kg of the systems in your model here. </text>
  </threadedComment>
  <threadedComment ref="I9" dT="2022-12-09T09:49:15.50" personId="{DFE12A91-7CDE-4773-90E7-23997D621840}" id="{FD528774-3C58-4AD8-9D53-8B2569DC2C8C}">
    <text>These are defined in Levels. Please do not change unless you are doing a more detailed study using actual product information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F3" personId="{C84DF3ED-582B-418E-A9CD-1457D34EDC5C}" id="{34922EEA-083B-4AFB-8081-7F3B1802C7BC}">
    <text>If an element does not feature in your design (for example, you have no balconies), select "No" in the dropdown.</text>
  </threadedComment>
  <threadedComment ref="W52" personId="{C84DF3ED-582B-418E-A9CD-1457D34EDC5C}" id="{1A2957FA-DDC3-471D-BC8E-BF54C68DA995}">
    <text>Excludes Operational and Water (B6 &amp; B7)</text>
  </threadedComment>
</ThreadedComments>
</file>

<file path=xl/threadedComments/threadedComment4.xml><?xml version="1.0" encoding="utf-8"?>
<ThreadedComments xmlns="http://schemas.microsoft.com/office/spreadsheetml/2018/threadedcomments" xmlns:x="http://schemas.openxmlformats.org/spreadsheetml/2006/main">
  <threadedComment ref="A3" personId="{68B00957-AFEC-4514-AACD-B93AE7A0CB8D}" id="{8305F79B-6A84-4A1A-83E9-9114709621D3}">
    <text xml:space="preserve">Based on EEA data for summer quarter averaged over years 2002-2014.
</text>
  </threadedComment>
  <threadedComment ref="A4" personId="{68B00957-AFEC-4514-AACD-B93AE7A0CB8D}" id="{FBB8B89C-E47F-453B-A4C1-E47AEA3A664D}">
    <text xml:space="preserve">Ranking from most water scarce (#1) to least water scarce (#105) of the data that was collected for 105 EU river basins.
</text>
  </threadedComment>
  <threadedComment ref="G5" personId="{68B00957-AFEC-4514-AACD-B93AE7A0CB8D}" id="{B04F7656-A680-4AD2-AA14-D389DEB9F676}">
    <text xml:space="preserve">In the absence of a specific building use factor - a default factor of 335 days/annum is suggested.
</text>
  </threadedComment>
  <threadedComment ref="Q6" personId="{68B00957-AFEC-4514-AACD-B93AE7A0CB8D}" id="{D4F337F4-1961-4E42-B1DA-33330B34013F}">
    <text xml:space="preserve">The rainwater calculation is simplified due to the need to have a single value to plug into the calculations - so annual data is used instead of monthly. It is assumed that the size of the rainwater storage tank is sufficient so as not to overflow at any point.
</text>
  </threadedComment>
  <threadedComment ref="G7" personId="{68B00957-AFEC-4514-AACD-B93AE7A0CB8D}" id="{8585C15B-346F-4144-BC39-378F8AFE6B26}">
    <text>In absence of specific data, a default value of 7.5 L/full flush is suggested.
Note that default values for building assessment schemes vary from 6 to 10 L/full flush.</text>
  </threadedComment>
  <threadedComment ref="I7" personId="{68B00957-AFEC-4514-AACD-B93AE7A0CB8D}" id="{0993320D-E355-4051-A29C-95ECFB432445}">
    <text xml:space="preserve">A default usage rate of 1 full flush/o/day is suggested.
</text>
  </threadedComment>
  <threadedComment ref="G8" personId="{68B00957-AFEC-4514-AACD-B93AE7A0CB8D}" id="{E3182772-2735-4448-B248-5EDB4818D30D}">
    <text xml:space="preserve">If the toilet does not have a dual flush function, simply enter the same number that is used for the full flush.
If there is no specific data for the dual flush toilet, a default value of 4.5L is suggested.
</text>
  </threadedComment>
  <threadedComment ref="I8" personId="{68B00957-AFEC-4514-AACD-B93AE7A0CB8D}" id="{00A35328-16C5-4B63-AFF1-1AA58AE25D7E}">
    <text>A default usage rate of 4 half-flushes/o/day is suggested.</text>
  </threadedComment>
  <threadedComment ref="G9" personId="{68B00957-AFEC-4514-AACD-B93AE7A0CB8D}" id="{DC243EBB-630F-4A17-9AFB-15CDCB7D4A5E}">
    <text>In the absence of specific data, a default value of 10L/min is suggested.
Note that default values for building assessment schemes vary from 9 to 12 L/min.</text>
  </threadedComment>
  <threadedComment ref="I9" personId="{68B00957-AFEC-4514-AACD-B93AE7A0CB8D}" id="{E758251A-9F4B-482E-9621-9C90CCEFD48A}">
    <text>A default usage rate of 75 seconds/o/day is suggested.</text>
  </threadedComment>
  <threadedComment ref="Q9" personId="{68B00957-AFEC-4514-AACD-B93AE7A0CB8D}" id="{04C67229-1A0C-4FCC-AA59-6C4A12FA19AD}">
    <text xml:space="preserve">If you select the relevant Member State and river basin (cells B1  and B2 in the "Irrigation Calc" worksheet) then a value will automatically appear here. Alternatively you can enter you own value here if considered more accurate.
</text>
  </threadedComment>
  <threadedComment ref="G10" personId="{68B00957-AFEC-4514-AACD-B93AE7A0CB8D}" id="{3D29A315-215F-4E15-B1FD-F92C9DFF0AA5}">
    <text>In the absence of specific data, a default value of 12L/min is suggested.
Note that default values for building assessment schemes vary from 9.5 to 15 L/min.</text>
  </threadedComment>
  <threadedComment ref="I10" personId="{68B00957-AFEC-4514-AACD-B93AE7A0CB8D}" id="{624C57E9-DEED-48FC-AC6E-5E3BF006584C}">
    <text>A usage rate of 360 seconds/o/day (i.e. 6 minutes) is suggested.
Note that building assessment schemes have usage rates that vary from 300 to 369 seconds/o/day.</text>
  </threadedComment>
  <threadedComment ref="G11" personId="{68B00957-AFEC-4514-AACD-B93AE7A0CB8D}" id="{8113FDFD-E907-4619-B89C-7893253056D2}">
    <text xml:space="preserve">In the absence of specific data, a full bath volume of 185L should be used
</text>
  </threadedComment>
  <threadedComment ref="I11" personId="{68B00957-AFEC-4514-AACD-B93AE7A0CB8D}" id="{53082C85-B929-41AC-85B8-61D6A07969F5}">
    <text>A usage rate of 0.11 baths/o/d is suggested (i.e. one bath every 9 days).</text>
  </threadedComment>
  <threadedComment ref="Q11" personId="{68B00957-AFEC-4514-AACD-B93AE7A0CB8D}" id="{5936F777-5CF8-4A82-AB66-B02312A4738C}">
    <text xml:space="preserve">If rainwater is not collected, enter the value 0 here. Enter the total impermeable area over which rainfall is collected. This will most commonly only be the roof but may also include other paved areas.
</text>
  </threadedComment>
  <threadedComment ref="G12" personId="{68B00957-AFEC-4514-AACD-B93AE7A0CB8D}" id="{F6166A1B-5633-44E7-B2B2-B726F360A767}">
    <text>In the absence of specific data, a default value of 12L/min is suggested.
Note that default values for building assessment schemes vary from 8.3 to 15 L/min.</text>
  </threadedComment>
  <threadedComment ref="I12" personId="{68B00957-AFEC-4514-AACD-B93AE7A0CB8D}" id="{BBD35D4C-BD1C-4668-A636-4E6C6A45148B}">
    <text xml:space="preserve">A default usage rate of 240 seconds/o/day is suggested.
</text>
  </threadedComment>
  <threadedComment ref="G15" personId="{68B00957-AFEC-4514-AACD-B93AE7A0CB8D}" id="{78CE5EEC-160E-41C7-B1C7-E30ED2D20E8E}">
    <text>In absence of specific data, a default value of 11.5 L/cycle is suggested.</text>
  </threadedComment>
  <threadedComment ref="I15" personId="{68B00957-AFEC-4514-AACD-B93AE7A0CB8D}" id="{FD95C338-27B1-4D20-8FE0-C9680271EA3F}">
    <text xml:space="preserve">In absence of specific data, a default value of 0.4 cycles/o/day is suggested.
</text>
  </threadedComment>
  <threadedComment ref="G16" personId="{68B00957-AFEC-4514-AACD-B93AE7A0CB8D}" id="{20701B3E-C3CA-4D8E-8DB2-2C54A16D5313}">
    <text>In absence of specific data, a default value of 43.5 L/cycle is suggested.</text>
  </threadedComment>
  <threadedComment ref="I16" personId="{68B00957-AFEC-4514-AACD-B93AE7A0CB8D}" id="{BD9CE421-4110-4D42-A9A0-8C631C0A82A7}">
    <text xml:space="preserve">In absence of specific data, a default value of 0.3 cycles/o/day is suggested.
</text>
  </threadedComment>
  <threadedComment ref="Q17" personId="{68B00957-AFEC-4514-AACD-B93AE7A0CB8D}" id="{499646AC-8D17-41A1-AA8E-990B092DA511}">
    <text xml:space="preserve">To account for factors such as first flush diversion and evaporation of small quantities of rainfall on the collection surface. A yield factor of 0.7 (i.e. 70%) is suggested in line with the suggestion in the UK Government Water Efficiency Calculator. However, alternative yield factors can be specified here (1.00 &gt; 0.01).
</text>
  </threadedComment>
  <threadedComment ref="F18" personId="{68B00957-AFEC-4514-AACD-B93AE7A0CB8D}" id="{5A518CB4-EA27-454D-9807-679D4E09413D}">
    <text>If water consumed by irrigation is deemed relevant and users wish to report on this - calculations should be made using the worksheet titled "Irrigation Calc." to generate the number required here.</text>
  </threadedComment>
  <threadedComment ref="G18" personId="{68B00957-AFEC-4514-AACD-B93AE7A0CB8D}" id="{4CC906C2-BD9B-4B11-89CD-F37D5B5747DD}">
    <text>Directly imported from the "Irrigation Calc." worksheet. Note that this "daily" value is taken from the annual irrigation value, being split evenly over the 365 days for ease of reporting.
Can be overwritten if the estimate can be done in a preferred way.</text>
  </threadedComment>
  <threadedComment ref="K18" personId="{68B00957-AFEC-4514-AACD-B93AE7A0CB8D}" id="{B0AD1FE7-B75C-4EC5-9844-D2CD424A03B7}">
    <text>Directly imported from the "Irrigation Calc." worksheet. The total number of users that share the irrigated area is defined there (it may not always be the same number as the house/flat occupants. This allows the L/d value to be converted to L/o/d.
If not calculated via the "Irrigation Calc." worksheet, the value here should be G18 divided by the number of occupants served by the irrigated area(s).</text>
  </threadedComment>
  <threadedComment ref="N21" personId="{68B00957-AFEC-4514-AACD-B93AE7A0CB8D}" id="{3C2ABC25-6238-478C-8B89-A1CF06714CF2}">
    <text xml:space="preserve">If the total greywater collected exceeds that which is needed, then the factor is reduced to 1.0 - since 100% of greywater demand will be met. 
If total greywater collected is not enough to meet greywater demand, then the factor will be less than 1.0. </text>
  </threadedComment>
  <threadedComment ref="G53" personId="{68B00957-AFEC-4514-AACD-B93AE7A0CB8D}" id="{8A2DFCCE-AE30-4DC2-B748-041755B44C5A}">
    <text xml:space="preserve">Enter value as a decimal, i.e. 100% male occupants =1.0; 90% = 0.9; 50% = 0.5 etc. 
</text>
  </threadedComment>
  <threadedComment ref="I53" personId="{68B00957-AFEC-4514-AACD-B93AE7A0CB8D}" id="{66961097-93DA-4026-B6F9-FE65FF40B71B}">
    <text xml:space="preserve">Enter value as a decimal, i.e. 100% female occupants =1.0; 90% = 0.9; 50% = 0.5 etc.
</text>
  </threadedComment>
  <threadedComment ref="L53" personId="{68B00957-AFEC-4514-AACD-B93AE7A0CB8D}" id="{600B3799-698F-4FB4-B43F-C4DFF491741D}">
    <text xml:space="preserve">Must be 1.0
</text>
  </threadedComment>
  <threadedComment ref="G54" personId="{68B00957-AFEC-4514-AACD-B93AE7A0CB8D}" id="{FE812C3F-F284-44F5-96B1-42AD41E87D7D}">
    <text xml:space="preserve">In the absence of a specific building use factor - a default factor of 250 days/annum is suggested.
</text>
  </threadedComment>
  <threadedComment ref="L54" personId="{68B00957-AFEC-4514-AACD-B93AE7A0CB8D}" id="{8A005FAF-1A36-43F7-BE7F-7DA4CC909AA8}">
    <text xml:space="preserve">The average % of occupants that use the shower at the office.
</text>
  </threadedComment>
  <threadedComment ref="Q55" personId="{68B00957-AFEC-4514-AACD-B93AE7A0CB8D}" id="{A69D02E1-1CC1-4F3A-AE92-F15EB1746BF4}">
    <text xml:space="preserve">The rainwater calculation is simplified due to the need to have a single value to plug into the calculations - so annual data is used instead of monthly. It is assumed that the size of the rainwater storage tank is sufficient so as not to overflow at any point.
</text>
  </threadedComment>
  <threadedComment ref="G56" personId="{68B00957-AFEC-4514-AACD-B93AE7A0CB8D}" id="{D4C6C0EA-8FA2-46D3-8810-E1628E06DC71}">
    <text xml:space="preserve">In absence of specific data, a default value of 7.5 L/full flush is suggested.
Note that default values for building assessment schemes vary from 6 to 10 L/full flush.
</text>
  </threadedComment>
  <threadedComment ref="I56" personId="{68B00957-AFEC-4514-AACD-B93AE7A0CB8D}" id="{678538D3-32D4-447E-82F7-B7BAD1469EF5}">
    <text xml:space="preserve">In the absence of specific information about usage rates, a rate of 1 full flush/o/d is suggested
</text>
  </threadedComment>
  <threadedComment ref="G57" personId="{68B00957-AFEC-4514-AACD-B93AE7A0CB8D}" id="{F6139FA1-D263-4297-AD83-42D56425CF6B}">
    <text xml:space="preserve">If the toilet does not have a dual flush function, simply enter the same number that is used for the full flush.
If there is no specific data for the dual flush toilet, a default value of 4.5L is suggested.
</text>
  </threadedComment>
  <threadedComment ref="I57" personId="{68B00957-AFEC-4514-AACD-B93AE7A0CB8D}" id="{B14BE147-C386-4A9E-94FC-808C7281BD47}">
    <text xml:space="preserve">In the absence of specific usage rate data, a value of 2 small flushes per female occupant is suggested.
</text>
  </threadedComment>
  <threadedComment ref="G58" personId="{68B00957-AFEC-4514-AACD-B93AE7A0CB8D}" id="{41CC49A7-FE33-4146-BB8E-9C3924E7B9F8}">
    <text xml:space="preserve">In absence of specific data, a default value of 3.0 L/flush is suggested.
Note that default values for building assessment schemes vary from 3 to 3.8 L/flush and in one case reports water consumption rate as 7.5-10L/hour.
</text>
  </threadedComment>
  <threadedComment ref="I58" personId="{68B00957-AFEC-4514-AACD-B93AE7A0CB8D}" id="{BDC69F3E-AB57-4E19-A76A-43AFBAA0450F}">
    <text>In the absence of specific usage rate data, a value of 2 urinal flushes per male occupant is suggested.</text>
  </threadedComment>
  <threadedComment ref="Q58" personId="{68B00957-AFEC-4514-AACD-B93AE7A0CB8D}" id="{C67F1DAA-D132-4222-A1F2-5B06A116FA2F}">
    <text xml:space="preserve">If you select the relevant Member State and river basin (cells B1  and B2 in the "Irrigation Calc" worksheet) then a value will automatically appear here. Alternatively you can enter you own value here if considered more accurate.
</text>
  </threadedComment>
  <threadedComment ref="G59" personId="{68B00957-AFEC-4514-AACD-B93AE7A0CB8D}" id="{D96A6B60-1593-4191-B913-3C89E5B22E7A}">
    <text xml:space="preserve">In the absence of specific data, a default value of 10L/min is suggested.
Note that default values for building assessment schemes vary from 9 to 12 L/min.
</text>
  </threadedComment>
  <threadedComment ref="I59" personId="{68B00957-AFEC-4514-AACD-B93AE7A0CB8D}" id="{1D92796C-4CD8-4B6D-90A8-DE259DBC6186}">
    <text xml:space="preserve">In the absence of specific usage rates, a default rate of 45 s/o/d is suggested.
</text>
  </threadedComment>
  <threadedComment ref="G60" personId="{68B00957-AFEC-4514-AACD-B93AE7A0CB8D}" id="{65A12C95-EC31-4FE0-9722-16D3D754108D}">
    <text xml:space="preserve">In the absence of specific data, a default value of 12L/min is suggested.
Note that default values for building assessment schemes vary from 9.5 to 15 L/min.
</text>
  </threadedComment>
  <threadedComment ref="I60" personId="{68B00957-AFEC-4514-AACD-B93AE7A0CB8D}" id="{AD2E61F6-6722-4B49-95DE-A2A1707475BB}">
    <text xml:space="preserve">In the absence of specifc usage rates, a default rate of 30 second/o/d based on the assumption of 10% of occupants using the shower and taking 5 minutes (300 seconds) each.
</text>
  </threadedComment>
  <threadedComment ref="Q60" personId="{68B00957-AFEC-4514-AACD-B93AE7A0CB8D}" id="{71CB3487-B264-45D9-BF06-7B469040D548}">
    <text xml:space="preserve">If rainwater is not collected, enter the value 0 here. 
If rainwater is collected, enter the total impermeable area over which rainfall is collected. This will most commonly only be the roof but may also include other paved areas.
</text>
  </threadedComment>
  <threadedComment ref="G61" personId="{68B00957-AFEC-4514-AACD-B93AE7A0CB8D}" id="{26BD3AC2-698A-4E87-92DD-AD82D1DA6415}">
    <text xml:space="preserve">In the absence of specific data, a default value of 12L/min is suggested.
Note that default values for building assessment schemes vary from 8.3 to 15 L/min.
</text>
  </threadedComment>
  <threadedComment ref="I61" personId="{68B00957-AFEC-4514-AACD-B93AE7A0CB8D}" id="{F18457E3-215B-4C40-BD77-8BD27707F69B}">
    <text xml:space="preserve">In the absence of specific usage rates, a default rate of 30 s/o/d is suggested.
</text>
  </threadedComment>
  <threadedComment ref="F63" personId="{68B00957-AFEC-4514-AACD-B93AE7A0CB8D}" id="{482DA8F1-610D-4942-BE1E-340FECDFFD41}">
    <text xml:space="preserve">If water consumed by irrigation is deemed relevant and users wish to report on this - calculations should be made using the worksheet titled "Irrigation Calc." to generate the number required here.
</text>
  </threadedComment>
  <threadedComment ref="G63" personId="{68B00957-AFEC-4514-AACD-B93AE7A0CB8D}" id="{75B91F57-81BD-4C77-875E-13938644F308}">
    <text xml:space="preserve">Note that this "daily" value is taken from the annual value, which in turn is calculated by data on a monthly time resolution (as detailed in the "Irrigation Calc." worksheet).
</text>
  </threadedComment>
  <threadedComment ref="K63" personId="{68B00957-AFEC-4514-AACD-B93AE7A0CB8D}" id="{B1B0468E-F23E-4F62-B81F-3C92114E980B}">
    <text xml:space="preserve">If water consumed by irrigation is deemed relevant and users wish to report on this - calculations should be made using the worksheet titled "Irrigation Calc." to generate the number required here.
</text>
  </threadedComment>
  <threadedComment ref="G64" personId="{68B00957-AFEC-4514-AACD-B93AE7A0CB8D}" id="{03308451-8B2D-4DA7-BD58-FC3A88358E8D}">
    <text>Should equate to the number of full time equivalent users of the building that is cleaned.
A default value &gt;0 is necessary even if cleaning water consumption is not to be calculated.</text>
  </threadedComment>
  <threadedComment ref="Q64" personId="{68B00957-AFEC-4514-AACD-B93AE7A0CB8D}" id="{AF9DDC99-CF16-4C2E-A732-7D44D0CABD6E}">
    <text xml:space="preserve">To account for factors such as first flush diversion and evaporation of small quantities of rainfall on the collection surface. A yield factor of 0.7 is suggested in line with the suggestion in the UK Government Water Efficiency Calculator 
</text>
  </threadedComment>
  <threadedComment ref="G65" personId="{68B00957-AFEC-4514-AACD-B93AE7A0CB8D}" id="{AA70706C-DE81-4B53-BC77-676BE9E9BBCB}">
    <text xml:space="preserve">Corresponds to floor area with hard coverings - i.e. not carpeted.
</text>
  </threadedComment>
  <threadedComment ref="I65" personId="{68B00957-AFEC-4514-AACD-B93AE7A0CB8D}" id="{DB3833D1-8785-49CF-A4C1-CE215CBA2D26}">
    <text xml:space="preserve">Based on a simplified version of DGNB approach – that all washable floors are washed once per week, consuming 6.25 L/m2/yr
</text>
  </threadedComment>
  <threadedComment ref="I66" personId="{68B00957-AFEC-4514-AACD-B93AE7A0CB8D}" id="{BFE9405A-4A91-4721-AC04-0DB2464D960A}">
    <text xml:space="preserve">Based on a simplified version of DGNB approach – that all windows are washed twice per year (on inside and on outside) consuming a total of 1.2 L/m2/yr
</text>
  </threadedComment>
  <threadedComment ref="Q66" personId="{68B00957-AFEC-4514-AACD-B93AE7A0CB8D}" id="{DDD73127-8A02-40F3-9DF5-7F7E46B4C9FD}">
    <text xml:space="preserve">To account for factors such as first flush diversion and evaporation of small quantities of rainfall on the collection surface. A yield factor of 0.7 (i.e. 70%) is suggested in line with the suggestion in the UK Government Water Efficiency Calculator. However, alternative yield factors can be specified here (1.00 &gt; 0.01).
</text>
  </threadedComment>
  <threadedComment ref="K67" personId="{D3DB6D00-83E3-4087-B598-5A4B85D504F6}" id="{DCB06BE2-AD80-4915-8DC7-C0A6FFDD2B92}">
    <text>Make sure that a value &gt;0 has been entered in cell G64 to prevent the DIV/0! appearing</text>
  </threadedComment>
  <threadedComment ref="J68" personId="{68B00957-AFEC-4514-AACD-B93AE7A0CB8D}" id="{63317CC3-6375-4946-881B-2FCAEA1FED90}">
    <text xml:space="preserve">Should equate to the number of full time equivalent users of the other water consuming feature.
A default value &gt;0 is necessary even if no other consumption is defined.
</text>
  </threadedComment>
  <threadedComment ref="J69" personId="{68B00957-AFEC-4514-AACD-B93AE7A0CB8D}" id="{D94C0110-7953-4527-ABA0-1C8255C0CF53}">
    <text xml:space="preserve">Should equate to the number of full time equivalent users of the other water consuming feature.
A default value &gt;0 is necessary even if no other consumption is defined.
</text>
  </threadedComment>
  <threadedComment ref="J70" personId="{68B00957-AFEC-4514-AACD-B93AE7A0CB8D}" id="{C50CFA85-2256-488D-AB6C-3AB3CB21C693}">
    <text xml:space="preserve">Should equate to the number of full time equivalent users of the other water consuming feature.
A default value &gt;0 is necessary even if no other consumption is defined.
</text>
  </threadedComment>
  <threadedComment ref="K71" personId="{D3DB6D00-83E3-4087-B598-5A4B85D504F6}" id="{70EDE8BD-CF3E-4E83-ACFC-4DCAFF053E83}">
    <text>Make sure that a value &gt;0 has been entered in cell J68, 69 and 70 to prevent the DIV/0! appearing</text>
  </threadedComment>
  <threadedComment ref="N73" personId="{68B00957-AFEC-4514-AACD-B93AE7A0CB8D}" id="{B40F14C3-EDA1-4AF9-8FEC-102A1F6781A1}">
    <text xml:space="preserve">If the total greywater collected exceeds that which is needed, then the factor is reduced to 1.0 - since 100% of greywater demand will be met. 
If total greywater collected is not enough to meet greywater demand, then the factor will be less than 1.0. 
</text>
  </threadedComment>
</ThreadedComments>
</file>

<file path=xl/threadedComments/threadedComment5.xml><?xml version="1.0" encoding="utf-8"?>
<ThreadedComments xmlns="http://schemas.microsoft.com/office/spreadsheetml/2018/threadedcomments" xmlns:x="http://schemas.openxmlformats.org/spreadsheetml/2006/main">
  <threadedComment ref="D8" personId="{C84DF3ED-582B-418E-A9CD-1457D34EDC5C}" id="{A717AD6C-6363-45C3-9D12-E015BAB1A465}">
    <text>Estimate the charge for each refrigerant here. Leave as '0' if not used.</text>
  </threadedComment>
  <threadedComment ref="E8" personId="{C84DF3ED-582B-418E-A9CD-1457D34EDC5C}" id="{AE7D0475-3A5A-42BB-810E-B19BB7668BBC}">
    <text>Estimate leakage rate here and explain the assumption in the Scenarios, Assumptions tab.</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ie/en/publication/6223e-climate-action-plan-2021/"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hyperlink" Target="http://www.thewatercalculator.org.uk/login.asp" TargetMode="External"/><Relationship Id="rId1" Type="http://schemas.openxmlformats.org/officeDocument/2006/relationships/hyperlink" Target="https://www.bsria.com/doc/rQV5xn"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7" Type="http://schemas.microsoft.com/office/2017/10/relationships/threadedComment" Target="../threadedComments/threadedComment3.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table" Target="../tables/table10.xml"/><Relationship Id="rId4"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16.xml"/><Relationship Id="rId13" Type="http://schemas.openxmlformats.org/officeDocument/2006/relationships/table" Target="../tables/table21.xml"/><Relationship Id="rId18" Type="http://schemas.openxmlformats.org/officeDocument/2006/relationships/table" Target="../tables/table26.xml"/><Relationship Id="rId3" Type="http://schemas.openxmlformats.org/officeDocument/2006/relationships/printerSettings" Target="../printerSettings/printerSettings7.bin"/><Relationship Id="rId7" Type="http://schemas.openxmlformats.org/officeDocument/2006/relationships/table" Target="../tables/table15.xml"/><Relationship Id="rId12" Type="http://schemas.openxmlformats.org/officeDocument/2006/relationships/table" Target="../tables/table20.xml"/><Relationship Id="rId17" Type="http://schemas.openxmlformats.org/officeDocument/2006/relationships/table" Target="../tables/table25.xml"/><Relationship Id="rId2" Type="http://schemas.openxmlformats.org/officeDocument/2006/relationships/hyperlink" Target="https://www.epa.ie/our-services/monitoring--assessment/waste/national-waste-statistics/construction--demolition/" TargetMode="External"/><Relationship Id="rId16" Type="http://schemas.openxmlformats.org/officeDocument/2006/relationships/table" Target="../tables/table24.xml"/><Relationship Id="rId1" Type="http://schemas.openxmlformats.org/officeDocument/2006/relationships/hyperlink" Target="https://www.seai.ie/data-and-insights/seai-statistics/conversion-factors" TargetMode="External"/><Relationship Id="rId6" Type="http://schemas.openxmlformats.org/officeDocument/2006/relationships/table" Target="../tables/table14.xml"/><Relationship Id="rId11" Type="http://schemas.openxmlformats.org/officeDocument/2006/relationships/table" Target="../tables/table19.xml"/><Relationship Id="rId5" Type="http://schemas.openxmlformats.org/officeDocument/2006/relationships/table" Target="../tables/table13.xml"/><Relationship Id="rId15" Type="http://schemas.openxmlformats.org/officeDocument/2006/relationships/table" Target="../tables/table23.xml"/><Relationship Id="rId10" Type="http://schemas.openxmlformats.org/officeDocument/2006/relationships/table" Target="../tables/table18.xml"/><Relationship Id="rId4" Type="http://schemas.openxmlformats.org/officeDocument/2006/relationships/table" Target="../tables/table12.xml"/><Relationship Id="rId9" Type="http://schemas.openxmlformats.org/officeDocument/2006/relationships/table" Target="../tables/table17.xml"/><Relationship Id="rId14" Type="http://schemas.openxmlformats.org/officeDocument/2006/relationships/table" Target="../tables/table22.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19.xml.rels><?xml version="1.0" encoding="UTF-8" standalone="yes"?>
<Relationships xmlns="http://schemas.openxmlformats.org/package/2006/relationships"><Relationship Id="rId3" Type="http://schemas.openxmlformats.org/officeDocument/2006/relationships/hyperlink" Target="https://www.igbc.ie/wp-content/uploads/2019/11/EPD-MEDITE-SMARTPLY-EPDIE-19-17_reissue-29-10-2021.pdf" TargetMode="External"/><Relationship Id="rId2" Type="http://schemas.openxmlformats.org/officeDocument/2006/relationships/hyperlink" Target="https://www.igbc.ie/wp-content/uploads/2022/03/EPD-CMI-CEM-II-11-03-2022-EPDIE-21-53.pdf" TargetMode="External"/><Relationship Id="rId1" Type="http://schemas.openxmlformats.org/officeDocument/2006/relationships/hyperlink" Target="https://www.igbc.ie/wp-content/uploads/2022/03/EPD-CMI-CEM-I-11-03-2022-EPDIE-21-52.pdf" TargetMode="External"/><Relationship Id="rId6" Type="http://schemas.openxmlformats.org/officeDocument/2006/relationships/table" Target="../tables/table30.xml"/><Relationship Id="rId5" Type="http://schemas.openxmlformats.org/officeDocument/2006/relationships/hyperlink" Target="https://www.igbc.ie/wp-content/uploads/2021/03/EPD-Medite-Exterior-12-03-2021-EPDIE-21-32.pdf" TargetMode="External"/><Relationship Id="rId4" Type="http://schemas.openxmlformats.org/officeDocument/2006/relationships/hyperlink" Target="https://www.igbc.ie/wp-content/uploads/2021/03/EPD-Medite-Trade-12-03-2021-EPDIE-21-38.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usproc.jrc.ec.europa.eu/product-bureau/product-groups/412/documents" TargetMode="External"/><Relationship Id="rId1" Type="http://schemas.openxmlformats.org/officeDocument/2006/relationships/hyperlink" Target="mailto:stephen@igbc.ie"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seai.ie/data-and-insights/seai-statistics/conversion-factors"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cso.ie/en/releasesandpublications/er/dmwc/domesticmeteredpublicwaterconsumption2018/" TargetMode="External"/><Relationship Id="rId6" Type="http://schemas.microsoft.com/office/2017/10/relationships/threadedComment" Target="../threadedComments/threadedComment4.xm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2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24.xml.rels><?xml version="1.0" encoding="UTF-8" standalone="yes"?>
<Relationships xmlns="http://schemas.openxmlformats.org/package/2006/relationships"><Relationship Id="rId8" Type="http://schemas.microsoft.com/office/2017/10/relationships/threadedComment" Target="../threadedComments/threadedComment5.xml"/><Relationship Id="rId3" Type="http://schemas.openxmlformats.org/officeDocument/2006/relationships/printerSettings" Target="../printerSettings/printerSettings9.bin"/><Relationship Id="rId7" Type="http://schemas.openxmlformats.org/officeDocument/2006/relationships/comments" Target="../comments5.xml"/><Relationship Id="rId2" Type="http://schemas.openxmlformats.org/officeDocument/2006/relationships/hyperlink" Target="https://www.sinteco-srl.com/en/products/refrigerant-gases/r600a" TargetMode="External"/><Relationship Id="rId1" Type="http://schemas.openxmlformats.org/officeDocument/2006/relationships/hyperlink" Target="https://www.kaltra.com/r-513a" TargetMode="External"/><Relationship Id="rId6" Type="http://schemas.openxmlformats.org/officeDocument/2006/relationships/table" Target="../tables/table32.xml"/><Relationship Id="rId5" Type="http://schemas.openxmlformats.org/officeDocument/2006/relationships/vmlDrawing" Target="../drawings/vmlDrawing5.vml"/><Relationship Id="rId4"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microsoft.com/office/2017/10/relationships/threadedComment" Target="../threadedComments/threadedComment1.xml"/><Relationship Id="rId2" Type="http://schemas.openxmlformats.org/officeDocument/2006/relationships/hyperlink" Target="https://www.seai.ie/home-energy/building-energy-rating-ber/support-for-ber-assessors/software/neap/NEAP-Guidance-Document.pdf" TargetMode="External"/><Relationship Id="rId1" Type="http://schemas.openxmlformats.org/officeDocument/2006/relationships/hyperlink" Target="https://www.seai.ie/publications/DEAP_Manual.pdf"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consultations.rics.org/whole_life_carbon_standard/viewCompoundDoc?docid=13626324&amp;sessionid=&amp;voteid=&amp;partId=13633076"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hyperlink" Target="https://www.rics.org/profession-standards/rics-standards-and-guidance/sector-standards/construction-standards/whole-life-carbon-assessment"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hyperlink" Target="https://carbonleadershipforum.org/mep-2040/" TargetMode="External"/><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58AD5-1C04-4212-B898-F476E30C1295}">
  <sheetPr>
    <tabColor rgb="FFFF0000"/>
  </sheetPr>
  <dimension ref="B1:E52"/>
  <sheetViews>
    <sheetView showGridLines="0" tabSelected="1" zoomScale="95" zoomScaleNormal="95" workbookViewId="0">
      <selection activeCell="J11" sqref="J11"/>
    </sheetView>
  </sheetViews>
  <sheetFormatPr defaultColWidth="8.88671875" defaultRowHeight="13.8" x14ac:dyDescent="0.25"/>
  <cols>
    <col min="1" max="1" width="2.5546875" style="85" customWidth="1"/>
    <col min="2" max="3" width="50.109375" style="85" customWidth="1"/>
    <col min="4" max="4" width="4.5546875" style="85" customWidth="1"/>
    <col min="5" max="9" width="14.5546875" style="85" customWidth="1"/>
    <col min="10" max="16384" width="8.88671875" style="85"/>
  </cols>
  <sheetData>
    <row r="1" spans="2:5" ht="14.4" thickBot="1" x14ac:dyDescent="0.3"/>
    <row r="2" spans="2:5" ht="28.2" customHeight="1" thickBot="1" x14ac:dyDescent="0.3">
      <c r="B2" s="568" t="s">
        <v>1590</v>
      </c>
      <c r="C2" s="341" t="s">
        <v>1306</v>
      </c>
      <c r="E2" s="297" t="s">
        <v>1433</v>
      </c>
    </row>
    <row r="3" spans="2:5" ht="23.4" customHeight="1" thickBot="1" x14ac:dyDescent="0.3">
      <c r="B3" s="790" t="s">
        <v>1305</v>
      </c>
      <c r="C3" s="791"/>
    </row>
    <row r="4" spans="2:5" ht="15" customHeight="1" x14ac:dyDescent="0.25">
      <c r="B4" s="792" t="s">
        <v>1129</v>
      </c>
      <c r="C4" s="793"/>
    </row>
    <row r="5" spans="2:5" x14ac:dyDescent="0.25">
      <c r="B5" s="794"/>
      <c r="C5" s="795"/>
    </row>
    <row r="6" spans="2:5" x14ac:dyDescent="0.25">
      <c r="B6" s="794"/>
      <c r="C6" s="795"/>
    </row>
    <row r="7" spans="2:5" x14ac:dyDescent="0.25">
      <c r="B7" s="794"/>
      <c r="C7" s="795"/>
    </row>
    <row r="8" spans="2:5" x14ac:dyDescent="0.25">
      <c r="B8" s="794"/>
      <c r="C8" s="795"/>
    </row>
    <row r="9" spans="2:5" x14ac:dyDescent="0.25">
      <c r="B9" s="794"/>
      <c r="C9" s="795"/>
    </row>
    <row r="10" spans="2:5" x14ac:dyDescent="0.25">
      <c r="B10" s="794"/>
      <c r="C10" s="795"/>
    </row>
    <row r="11" spans="2:5" x14ac:dyDescent="0.25">
      <c r="B11" s="794"/>
      <c r="C11" s="795"/>
    </row>
    <row r="12" spans="2:5" x14ac:dyDescent="0.25">
      <c r="B12" s="794"/>
      <c r="C12" s="795"/>
    </row>
    <row r="13" spans="2:5" x14ac:dyDescent="0.25">
      <c r="B13" s="794"/>
      <c r="C13" s="795"/>
    </row>
    <row r="14" spans="2:5" x14ac:dyDescent="0.25">
      <c r="B14" s="794"/>
      <c r="C14" s="795"/>
    </row>
    <row r="15" spans="2:5" x14ac:dyDescent="0.25">
      <c r="B15" s="794"/>
      <c r="C15" s="795"/>
    </row>
    <row r="16" spans="2:5" x14ac:dyDescent="0.25">
      <c r="B16" s="794"/>
      <c r="C16" s="795"/>
    </row>
    <row r="17" spans="2:5" x14ac:dyDescent="0.25">
      <c r="B17" s="794"/>
      <c r="C17" s="795"/>
    </row>
    <row r="18" spans="2:5" x14ac:dyDescent="0.25">
      <c r="B18" s="794"/>
      <c r="C18" s="795"/>
    </row>
    <row r="19" spans="2:5" x14ac:dyDescent="0.25">
      <c r="B19" s="794"/>
      <c r="C19" s="795"/>
    </row>
    <row r="20" spans="2:5" x14ac:dyDescent="0.25">
      <c r="B20" s="794"/>
      <c r="C20" s="795"/>
    </row>
    <row r="21" spans="2:5" x14ac:dyDescent="0.25">
      <c r="B21" s="794"/>
      <c r="C21" s="795"/>
    </row>
    <row r="22" spans="2:5" x14ac:dyDescent="0.25">
      <c r="B22" s="794"/>
      <c r="C22" s="795"/>
    </row>
    <row r="23" spans="2:5" x14ac:dyDescent="0.25">
      <c r="B23" s="794"/>
      <c r="C23" s="795"/>
    </row>
    <row r="24" spans="2:5" x14ac:dyDescent="0.25">
      <c r="B24" s="794"/>
      <c r="C24" s="795"/>
    </row>
    <row r="25" spans="2:5" x14ac:dyDescent="0.25">
      <c r="B25" s="794"/>
      <c r="C25" s="795"/>
    </row>
    <row r="26" spans="2:5" x14ac:dyDescent="0.25">
      <c r="B26" s="794"/>
      <c r="C26" s="795"/>
    </row>
    <row r="27" spans="2:5" x14ac:dyDescent="0.25">
      <c r="B27" s="794"/>
      <c r="C27" s="795"/>
      <c r="E27" s="8" t="s">
        <v>786</v>
      </c>
    </row>
    <row r="28" spans="2:5" x14ac:dyDescent="0.25">
      <c r="B28" s="794"/>
      <c r="C28" s="795"/>
    </row>
    <row r="29" spans="2:5" x14ac:dyDescent="0.25">
      <c r="B29" s="794"/>
      <c r="C29" s="795"/>
    </row>
    <row r="30" spans="2:5" x14ac:dyDescent="0.25">
      <c r="B30" s="794"/>
      <c r="C30" s="795"/>
    </row>
    <row r="31" spans="2:5" x14ac:dyDescent="0.25">
      <c r="B31" s="794"/>
      <c r="C31" s="795"/>
    </row>
    <row r="32" spans="2:5" x14ac:dyDescent="0.25">
      <c r="B32" s="794"/>
      <c r="C32" s="795"/>
    </row>
    <row r="33" spans="2:3" x14ac:dyDescent="0.25">
      <c r="B33" s="794"/>
      <c r="C33" s="795"/>
    </row>
    <row r="34" spans="2:3" x14ac:dyDescent="0.25">
      <c r="B34" s="794"/>
      <c r="C34" s="795"/>
    </row>
    <row r="35" spans="2:3" x14ac:dyDescent="0.25">
      <c r="B35" s="794"/>
      <c r="C35" s="795"/>
    </row>
    <row r="36" spans="2:3" x14ac:dyDescent="0.25">
      <c r="B36" s="794"/>
      <c r="C36" s="795"/>
    </row>
    <row r="37" spans="2:3" x14ac:dyDescent="0.25">
      <c r="B37" s="794"/>
      <c r="C37" s="795"/>
    </row>
    <row r="38" spans="2:3" x14ac:dyDescent="0.25">
      <c r="B38" s="794"/>
      <c r="C38" s="795"/>
    </row>
    <row r="39" spans="2:3" x14ac:dyDescent="0.25">
      <c r="B39" s="794"/>
      <c r="C39" s="795"/>
    </row>
    <row r="40" spans="2:3" ht="14.4" thickBot="1" x14ac:dyDescent="0.3">
      <c r="B40" s="796"/>
      <c r="C40" s="797"/>
    </row>
    <row r="41" spans="2:3" customFormat="1" ht="14.4" x14ac:dyDescent="0.3"/>
    <row r="42" spans="2:3" customFormat="1" ht="14.4" x14ac:dyDescent="0.3"/>
    <row r="43" spans="2:3" customFormat="1" ht="14.4" x14ac:dyDescent="0.3"/>
    <row r="44" spans="2:3" customFormat="1" ht="14.4" x14ac:dyDescent="0.3"/>
    <row r="45" spans="2:3" customFormat="1" ht="14.4" x14ac:dyDescent="0.3"/>
    <row r="46" spans="2:3" customFormat="1" ht="14.4" x14ac:dyDescent="0.3"/>
    <row r="47" spans="2:3" customFormat="1" ht="14.4" x14ac:dyDescent="0.3"/>
    <row r="48" spans="2:3" customFormat="1" ht="14.4" x14ac:dyDescent="0.3"/>
    <row r="49" customFormat="1" ht="14.4" x14ac:dyDescent="0.3"/>
    <row r="50" customFormat="1" ht="14.4" x14ac:dyDescent="0.3"/>
    <row r="51" customFormat="1" ht="14.4" x14ac:dyDescent="0.3"/>
    <row r="52" customFormat="1" ht="14.4" x14ac:dyDescent="0.3"/>
  </sheetData>
  <sheetProtection algorithmName="SHA-512" hashValue="ahSRsH8yLZ83AzfvyIxeOjtYkJMk/r2o/+3h2rYivFmZp1ODUNMooLV8vrf1bGHIN/hjzy3s8U0RN5AtSBseKQ==" saltValue="iXLXcLkuLMIBh1h4kWEfFg==" spinCount="100000" sheet="1" objects="1" scenarios="1"/>
  <dataConsolidate/>
  <mergeCells count="2">
    <mergeCell ref="B3:C3"/>
    <mergeCell ref="B4:C40"/>
  </mergeCells>
  <hyperlinks>
    <hyperlink ref="E27" r:id="rId1" xr:uid="{C23317BD-4180-4B59-8E8C-71F776ABDD3B}"/>
  </hyperlinks>
  <pageMargins left="0.7" right="0.7" top="0.75" bottom="0.75" header="0.3" footer="0.3"/>
  <pageSetup paperSize="11" scale="53" orientation="portrait" r:id="rId2"/>
  <colBreaks count="1" manualBreakCount="1">
    <brk id="3" max="99"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5FAF2-A080-430C-A1E5-60F8CACA6E1F}">
  <sheetPr codeName="Sheet18">
    <tabColor rgb="FFFFC000"/>
  </sheetPr>
  <dimension ref="B1:M14"/>
  <sheetViews>
    <sheetView showGridLines="0" workbookViewId="0">
      <selection activeCell="Q33" sqref="Q33"/>
    </sheetView>
  </sheetViews>
  <sheetFormatPr defaultColWidth="8.88671875" defaultRowHeight="13.2" x14ac:dyDescent="0.25"/>
  <cols>
    <col min="1" max="1" width="2.6640625" style="8" customWidth="1"/>
    <col min="2" max="2" width="22.33203125" style="8" customWidth="1"/>
    <col min="3" max="3" width="8.33203125" style="8" customWidth="1"/>
    <col min="4" max="4" width="19.44140625" style="8" customWidth="1"/>
    <col min="5" max="5" width="2.6640625" style="8" customWidth="1"/>
    <col min="6" max="16384" width="8.88671875" style="8"/>
  </cols>
  <sheetData>
    <row r="1" spans="2:13" ht="15" customHeight="1" x14ac:dyDescent="0.25"/>
    <row r="2" spans="2:13" s="297" customFormat="1" ht="30" customHeight="1" x14ac:dyDescent="0.3">
      <c r="B2" s="392" t="s">
        <v>1351</v>
      </c>
      <c r="C2" s="392" t="s">
        <v>1352</v>
      </c>
      <c r="D2" s="392" t="s">
        <v>1353</v>
      </c>
      <c r="F2" s="389" t="s">
        <v>1323</v>
      </c>
    </row>
    <row r="3" spans="2:13" ht="14.4" customHeight="1" x14ac:dyDescent="0.25">
      <c r="B3" s="375" t="s">
        <v>673</v>
      </c>
      <c r="C3" s="347">
        <v>0</v>
      </c>
      <c r="D3" s="375" t="s">
        <v>1489</v>
      </c>
      <c r="F3" s="798" t="s">
        <v>1354</v>
      </c>
      <c r="G3" s="798"/>
      <c r="H3" s="798"/>
      <c r="I3" s="798"/>
      <c r="J3" s="798"/>
      <c r="K3" s="798"/>
      <c r="L3" s="798"/>
      <c r="M3" s="798"/>
    </row>
    <row r="4" spans="2:13" x14ac:dyDescent="0.25">
      <c r="B4" s="375" t="s">
        <v>681</v>
      </c>
      <c r="C4" s="347">
        <v>0</v>
      </c>
      <c r="D4" s="375" t="s">
        <v>675</v>
      </c>
      <c r="F4" s="798"/>
      <c r="G4" s="798"/>
      <c r="H4" s="798"/>
      <c r="I4" s="798"/>
      <c r="J4" s="798"/>
      <c r="K4" s="798"/>
      <c r="L4" s="798"/>
      <c r="M4" s="798"/>
    </row>
    <row r="5" spans="2:13" x14ac:dyDescent="0.25">
      <c r="B5" s="375" t="s">
        <v>684</v>
      </c>
      <c r="C5" s="347">
        <v>0</v>
      </c>
      <c r="D5" s="375" t="s">
        <v>686</v>
      </c>
      <c r="F5" s="798"/>
      <c r="G5" s="798"/>
      <c r="H5" s="798"/>
      <c r="I5" s="798"/>
      <c r="J5" s="798"/>
      <c r="K5" s="798"/>
      <c r="L5" s="798"/>
      <c r="M5" s="798"/>
    </row>
    <row r="6" spans="2:13" x14ac:dyDescent="0.25">
      <c r="B6" s="375" t="s">
        <v>689</v>
      </c>
      <c r="C6" s="347">
        <v>0</v>
      </c>
      <c r="D6" s="375" t="s">
        <v>686</v>
      </c>
      <c r="F6" s="798"/>
      <c r="G6" s="798"/>
      <c r="H6" s="798"/>
      <c r="I6" s="798"/>
      <c r="J6" s="798"/>
      <c r="K6" s="798"/>
      <c r="L6" s="798"/>
      <c r="M6" s="798"/>
    </row>
    <row r="7" spans="2:13" x14ac:dyDescent="0.25">
      <c r="B7" s="375" t="s">
        <v>692</v>
      </c>
      <c r="C7" s="347">
        <v>0</v>
      </c>
      <c r="D7" s="375" t="s">
        <v>694</v>
      </c>
      <c r="F7" s="380" t="s">
        <v>914</v>
      </c>
      <c r="G7" s="376"/>
      <c r="H7" s="376"/>
      <c r="I7" s="376"/>
      <c r="J7" s="376"/>
      <c r="K7" s="376"/>
      <c r="L7" s="376"/>
      <c r="M7" s="377"/>
    </row>
    <row r="8" spans="2:13" x14ac:dyDescent="0.25">
      <c r="B8" s="375" t="s">
        <v>695</v>
      </c>
      <c r="C8" s="347">
        <v>0</v>
      </c>
      <c r="D8" s="375" t="s">
        <v>686</v>
      </c>
      <c r="F8" s="390" t="s">
        <v>913</v>
      </c>
      <c r="M8" s="350"/>
    </row>
    <row r="9" spans="2:13" x14ac:dyDescent="0.25">
      <c r="B9" s="375" t="s">
        <v>701</v>
      </c>
      <c r="C9" s="347">
        <v>0</v>
      </c>
      <c r="D9" s="375" t="s">
        <v>703</v>
      </c>
      <c r="F9" s="380" t="s">
        <v>1355</v>
      </c>
      <c r="G9" s="376"/>
      <c r="H9" s="376"/>
      <c r="I9" s="376"/>
      <c r="J9" s="376"/>
      <c r="K9" s="376"/>
      <c r="L9" s="376"/>
      <c r="M9" s="377"/>
    </row>
    <row r="10" spans="2:13" x14ac:dyDescent="0.25">
      <c r="B10" s="375" t="s">
        <v>705</v>
      </c>
      <c r="C10" s="347">
        <v>0</v>
      </c>
      <c r="D10" s="375" t="s">
        <v>703</v>
      </c>
      <c r="F10" s="391" t="s">
        <v>1356</v>
      </c>
      <c r="G10" s="345"/>
      <c r="H10" s="345"/>
      <c r="I10" s="345"/>
      <c r="J10" s="345"/>
      <c r="K10" s="345"/>
      <c r="L10" s="345"/>
      <c r="M10" s="378"/>
    </row>
    <row r="11" spans="2:13" x14ac:dyDescent="0.25">
      <c r="B11" s="375" t="s">
        <v>708</v>
      </c>
      <c r="C11" s="347">
        <v>0</v>
      </c>
      <c r="D11" s="375" t="s">
        <v>764</v>
      </c>
    </row>
    <row r="13" spans="2:13" ht="14.4" x14ac:dyDescent="0.3">
      <c r="C13"/>
      <c r="D13"/>
      <c r="F13" s="8" t="s">
        <v>1496</v>
      </c>
    </row>
    <row r="14" spans="2:13" x14ac:dyDescent="0.25">
      <c r="F14" s="347"/>
      <c r="G14" s="8" t="s">
        <v>1309</v>
      </c>
    </row>
  </sheetData>
  <sheetProtection algorithmName="SHA-512" hashValue="ATg9FkkMk/JV8IYtZWi2QIj8dCMMLaVi3uHSupaYsw4/+hglfvzrN8r76WfRVz20bbAtIXXDpx4L6cvXJ9PZIA==" saltValue="YSm6yo0g+hpaXJ5+HCsxtQ==" spinCount="100000" sheet="1" objects="1" scenarios="1"/>
  <mergeCells count="1">
    <mergeCell ref="F3:M6"/>
  </mergeCells>
  <dataValidations xWindow="441" yWindow="393" count="1">
    <dataValidation allowBlank="1" showInputMessage="1" showErrorMessage="1" promptTitle="Estimate daily use" prompt="If the demand is not present in your project leave as zero." sqref="C3:C11" xr:uid="{D05A4E4C-CCC9-49DE-9F56-5D14D2ADADED}"/>
  </dataValidations>
  <hyperlinks>
    <hyperlink ref="F8" r:id="rId1" xr:uid="{011968EC-1881-4D56-8280-5CAF654CCF33}"/>
    <hyperlink ref="F10" r:id="rId2" xr:uid="{A2EE8C00-8B3C-40E9-B810-26CACE67BE01}"/>
  </hyperlinks>
  <pageMargins left="0.7" right="0.7" top="0.75" bottom="0.75" header="0.3" footer="0.3"/>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02B21-EF3D-4353-AB74-D3F8F4E77737}">
  <sheetPr codeName="Sheet12">
    <tabColor rgb="FF00B050"/>
  </sheetPr>
  <dimension ref="B1:BD268"/>
  <sheetViews>
    <sheetView showGridLines="0" topLeftCell="A37" zoomScale="88" zoomScaleNormal="73" workbookViewId="0">
      <selection activeCell="I13" sqref="I13"/>
    </sheetView>
  </sheetViews>
  <sheetFormatPr defaultColWidth="8.88671875" defaultRowHeight="13.8" x14ac:dyDescent="0.25"/>
  <cols>
    <col min="1" max="1" width="2.6640625" style="8" customWidth="1"/>
    <col min="2" max="2" width="3.33203125" style="8" customWidth="1"/>
    <col min="3" max="3" width="28.88671875" style="8" customWidth="1"/>
    <col min="4" max="4" width="57.6640625" style="8" customWidth="1"/>
    <col min="5" max="5" width="10.5546875" style="8" customWidth="1"/>
    <col min="6" max="6" width="14.33203125" style="8" customWidth="1"/>
    <col min="7" max="7" width="13.33203125" style="8" customWidth="1"/>
    <col min="8" max="8" width="11.5546875" style="8" customWidth="1"/>
    <col min="9" max="9" width="14.6640625" style="8" customWidth="1"/>
    <col min="10" max="14" width="13" style="8" customWidth="1"/>
    <col min="15" max="15" width="14.109375" style="8" customWidth="1"/>
    <col min="16" max="16" width="13" style="8" customWidth="1"/>
    <col min="17" max="17" width="13.88671875" style="8" customWidth="1"/>
    <col min="18" max="22" width="13" style="8" customWidth="1"/>
    <col min="23" max="23" width="16.109375" style="8" customWidth="1"/>
    <col min="24" max="24" width="13" style="8" hidden="1" customWidth="1"/>
    <col min="25" max="25" width="13" style="500" customWidth="1"/>
    <col min="26" max="26" width="6.33203125" style="8" bestFit="1" customWidth="1"/>
    <col min="27" max="27" width="28.33203125" style="85" customWidth="1"/>
    <col min="28" max="41" width="12.6640625" style="8" customWidth="1"/>
    <col min="42" max="42" width="8.88671875" style="8" customWidth="1"/>
    <col min="43" max="43" width="17.33203125" style="8" customWidth="1"/>
    <col min="44" max="48" width="8.88671875" style="8" customWidth="1"/>
    <col min="49" max="16384" width="8.88671875" style="8"/>
  </cols>
  <sheetData>
    <row r="1" spans="2:45" ht="14.4" thickBot="1" x14ac:dyDescent="0.3">
      <c r="AB1" s="8" t="s">
        <v>1444</v>
      </c>
      <c r="AC1" s="8" t="s">
        <v>595</v>
      </c>
      <c r="AD1" s="8" t="s">
        <v>1420</v>
      </c>
      <c r="AE1" s="8" t="s">
        <v>1421</v>
      </c>
      <c r="AF1" s="8" t="str">
        <f>ResultTable[[#Headers],[B2]]</f>
        <v>B2</v>
      </c>
      <c r="AG1" s="8" t="str">
        <f>ResultTable[[#Headers],[B3]]</f>
        <v>B3</v>
      </c>
      <c r="AH1" s="8" t="s">
        <v>573</v>
      </c>
      <c r="AI1" s="8" t="str">
        <f>ResultTable[[#Headers],[B5]]</f>
        <v>B5</v>
      </c>
      <c r="AJ1" s="8" t="s">
        <v>651</v>
      </c>
      <c r="AK1" s="8" t="s">
        <v>1422</v>
      </c>
      <c r="AL1" s="8" t="s">
        <v>1423</v>
      </c>
      <c r="AM1" s="8" t="s">
        <v>1424</v>
      </c>
      <c r="AN1" s="8" t="s">
        <v>1425</v>
      </c>
      <c r="AO1" s="8" t="s">
        <v>1426</v>
      </c>
      <c r="AP1" s="8" t="s">
        <v>1445</v>
      </c>
    </row>
    <row r="2" spans="2:45" ht="14.4" hidden="1" thickBot="1" x14ac:dyDescent="0.3">
      <c r="C2" s="27" t="s">
        <v>791</v>
      </c>
      <c r="E2" s="315" t="s">
        <v>792</v>
      </c>
      <c r="F2" s="315"/>
      <c r="G2" s="315"/>
      <c r="H2" s="315"/>
      <c r="I2" s="315">
        <v>2</v>
      </c>
      <c r="J2" s="315">
        <v>2</v>
      </c>
      <c r="K2" s="315">
        <v>2</v>
      </c>
      <c r="L2" s="315">
        <v>5</v>
      </c>
      <c r="M2" s="315">
        <v>5</v>
      </c>
      <c r="N2" s="315">
        <v>5</v>
      </c>
      <c r="O2" s="315">
        <v>3</v>
      </c>
      <c r="P2" s="315">
        <v>3</v>
      </c>
      <c r="Q2" s="315">
        <v>4</v>
      </c>
      <c r="R2" s="315">
        <v>4</v>
      </c>
      <c r="S2" s="315">
        <v>6</v>
      </c>
      <c r="T2" s="315">
        <v>6</v>
      </c>
      <c r="U2" s="315">
        <v>6</v>
      </c>
      <c r="V2" s="315">
        <v>6</v>
      </c>
    </row>
    <row r="3" spans="2:45" s="336" customFormat="1" ht="40.200000000000003" customHeight="1" thickBot="1" x14ac:dyDescent="0.35">
      <c r="B3" s="467"/>
      <c r="C3" s="468" t="s">
        <v>567</v>
      </c>
      <c r="D3" s="468" t="s">
        <v>568</v>
      </c>
      <c r="E3" s="469" t="s">
        <v>793</v>
      </c>
      <c r="F3" s="475" t="s">
        <v>794</v>
      </c>
      <c r="G3" s="468" t="s">
        <v>795</v>
      </c>
      <c r="H3" s="468" t="s">
        <v>796</v>
      </c>
      <c r="I3" s="697" t="s">
        <v>797</v>
      </c>
      <c r="J3" s="470" t="s">
        <v>434</v>
      </c>
      <c r="K3" s="470" t="s">
        <v>435</v>
      </c>
      <c r="L3" s="470" t="s">
        <v>436</v>
      </c>
      <c r="M3" s="470" t="s">
        <v>502</v>
      </c>
      <c r="N3" s="470" t="s">
        <v>798</v>
      </c>
      <c r="O3" s="470" t="s">
        <v>437</v>
      </c>
      <c r="P3" s="470" t="s">
        <v>799</v>
      </c>
      <c r="Q3" s="470" t="s">
        <v>438</v>
      </c>
      <c r="R3" s="470" t="s">
        <v>439</v>
      </c>
      <c r="S3" s="470" t="s">
        <v>440</v>
      </c>
      <c r="T3" s="470" t="s">
        <v>441</v>
      </c>
      <c r="U3" s="470" t="s">
        <v>442</v>
      </c>
      <c r="V3" s="470" t="s">
        <v>443</v>
      </c>
      <c r="W3" s="468" t="s">
        <v>1383</v>
      </c>
      <c r="X3" s="471" t="s">
        <v>445</v>
      </c>
      <c r="Y3" s="472" t="s">
        <v>444</v>
      </c>
    </row>
    <row r="4" spans="2:45" s="12" customFormat="1" ht="28.2" customHeight="1" thickBot="1" x14ac:dyDescent="0.35">
      <c r="B4" s="589"/>
      <c r="E4" s="590"/>
      <c r="F4" s="476"/>
      <c r="G4" s="591"/>
      <c r="H4" s="477"/>
      <c r="I4" s="473" t="s">
        <v>801</v>
      </c>
      <c r="J4" s="592" t="s">
        <v>802</v>
      </c>
      <c r="K4" s="592" t="s">
        <v>802</v>
      </c>
      <c r="L4" s="592" t="s">
        <v>803</v>
      </c>
      <c r="M4" s="592" t="s">
        <v>804</v>
      </c>
      <c r="N4" s="592" t="s">
        <v>804</v>
      </c>
      <c r="O4" s="592" t="s">
        <v>805</v>
      </c>
      <c r="P4" s="592" t="s">
        <v>805</v>
      </c>
      <c r="Q4" s="593" t="s">
        <v>803</v>
      </c>
      <c r="R4" s="592" t="s">
        <v>803</v>
      </c>
      <c r="S4" s="592" t="s">
        <v>806</v>
      </c>
      <c r="T4" s="592" t="s">
        <v>806</v>
      </c>
      <c r="U4" s="592" t="s">
        <v>806</v>
      </c>
      <c r="V4" s="592" t="s">
        <v>806</v>
      </c>
      <c r="W4" s="592"/>
      <c r="X4" s="594"/>
      <c r="Y4" s="474"/>
    </row>
    <row r="5" spans="2:45" ht="14.4" customHeight="1" thickBot="1" x14ac:dyDescent="0.35">
      <c r="B5" s="851" t="s">
        <v>808</v>
      </c>
      <c r="C5" s="452" t="s">
        <v>504</v>
      </c>
      <c r="D5" s="452" t="str">
        <f>Dropdowns!B2</f>
        <v>Piles</v>
      </c>
      <c r="E5" s="443" t="s">
        <v>809</v>
      </c>
      <c r="F5" s="536" t="s">
        <v>678</v>
      </c>
      <c r="G5" s="639">
        <f>COUNTIFS('Materials Calculations'!A:A,ResultTable[[#This Row],[SCOPE Tier 2 building element]],'Materials Calculations'!F:F,"&gt;0")</f>
        <v>1</v>
      </c>
      <c r="H5" s="695" t="str">
        <f>IF(ResultTable[[#This Row],[n. of data lines]]&gt;0,"Yes","No")</f>
        <v>Yes</v>
      </c>
      <c r="I5" s="640">
        <f>IF(ResultTable[[#This Row],[Required?]]="No", "N/A", SUMIF('Materials Calculations'!A:A,ResultTable[[#This Row],[SCOPE Tier 2 building element]],'Materials Calculations'!H:H))</f>
        <v>0</v>
      </c>
      <c r="J5" s="641">
        <f>SUMIF('Materials Calculations'!A:A,ResultTable[[#This Row],[SCOPE Tier 2 building element]],'Materials Calculations'!J:J)</f>
        <v>0</v>
      </c>
      <c r="K5" s="641">
        <f>SUMIF('Materials Calculations'!A:A,ResultTable[[#This Row],[SCOPE Tier 2 building element]],'Materials Calculations'!L:L)</f>
        <v>0</v>
      </c>
      <c r="L5" s="481"/>
      <c r="M5" s="481"/>
      <c r="N5" s="481"/>
      <c r="O5" s="641">
        <f>SUMIF('Materials Calculations'!A:A,ResultTable[[#This Row],[SCOPE Tier 2 building element]],'Materials Calculations'!O:O)</f>
        <v>0</v>
      </c>
      <c r="P5" s="481"/>
      <c r="Q5" s="444"/>
      <c r="R5" s="445"/>
      <c r="S5" s="445"/>
      <c r="T5" s="641">
        <f>SUMIF('Materials Calculations'!A:A,ResultTable[[#This Row],[SCOPE Tier 2 building element]],'Materials Calculations'!X:X)</f>
        <v>0</v>
      </c>
      <c r="U5" s="641">
        <f ca="1">SUMIF('Materials Calculations'!A:A,ResultTable[[#This Row],[SCOPE Tier 2 building element]],Calculations[[#Headers],[C3 total]])</f>
        <v>0</v>
      </c>
      <c r="V5" s="641">
        <f>SUMIF('Materials Calculations'!A:A,ResultTable[[#This Row],[SCOPE Tier 2 building element]],'Materials Calculations'!AE:AE)</f>
        <v>0</v>
      </c>
      <c r="W5" s="641">
        <f ca="1">SUM(ResultTable[[#This Row],[A1 - A3]:[C4]])</f>
        <v>0</v>
      </c>
      <c r="X5" s="666"/>
      <c r="Y5" s="667">
        <f>SUMIF('Materials Calculations'!A:A,ResultTable[[#This Row],[SCOPE Tier 2 building element]],'Materials Calculations'!AG:AG)</f>
        <v>0</v>
      </c>
      <c r="Z5" s="85"/>
      <c r="AA5" s="8"/>
      <c r="AB5" s="556"/>
      <c r="AC5" s="556"/>
      <c r="AD5" s="556"/>
      <c r="AE5" s="556"/>
      <c r="AF5" s="556"/>
      <c r="AG5" s="556"/>
      <c r="AH5" s="556"/>
      <c r="AI5" s="556"/>
      <c r="AJ5" s="556"/>
      <c r="AK5" s="556"/>
      <c r="AL5" s="556"/>
      <c r="AM5" s="556"/>
      <c r="AN5" s="556"/>
      <c r="AO5" s="556"/>
    </row>
    <row r="6" spans="2:45" ht="15" thickBot="1" x14ac:dyDescent="0.35">
      <c r="B6" s="852"/>
      <c r="C6" s="699" t="s">
        <v>504</v>
      </c>
      <c r="D6" s="8" t="str">
        <f>Dropdowns!B3</f>
        <v>Basements</v>
      </c>
      <c r="E6" s="446" t="s">
        <v>811</v>
      </c>
      <c r="F6" s="588" t="s">
        <v>678</v>
      </c>
      <c r="G6" s="642">
        <f>COUNTIFS('Materials Calculations'!A:A,ResultTable[[#This Row],[SCOPE Tier 2 building element]],'Materials Calculations'!F:F,"&gt;0")</f>
        <v>0</v>
      </c>
      <c r="H6" s="695" t="str">
        <f>IF(ResultTable[[#This Row],[n. of data lines]]&gt;0,"Yes","No")</f>
        <v>No</v>
      </c>
      <c r="I6" s="640">
        <f>IF(ResultTable[[#This Row],[Required?]]="No", "N/A", SUMIF('Materials Calculations'!A:A,ResultTable[[#This Row],[SCOPE Tier 2 building element]],'Materials Calculations'!H:H))</f>
        <v>0</v>
      </c>
      <c r="J6" s="643">
        <f>SUMIF('Materials Calculations'!A:A,ResultTable[[#This Row],[SCOPE Tier 2 building element]],'Materials Calculations'!J:J)</f>
        <v>0</v>
      </c>
      <c r="K6" s="643">
        <f>SUMIF('Materials Calculations'!A:A,ResultTable[[#This Row],[SCOPE Tier 2 building element]],'Materials Calculations'!L:L)</f>
        <v>0</v>
      </c>
      <c r="L6" s="482"/>
      <c r="M6" s="482"/>
      <c r="N6" s="482"/>
      <c r="O6" s="643">
        <f>SUMIF('Materials Calculations'!A:A,ResultTable[[#This Row],[SCOPE Tier 2 building element]],'Materials Calculations'!O:O)</f>
        <v>0</v>
      </c>
      <c r="P6" s="482"/>
      <c r="Q6" s="447"/>
      <c r="R6" s="448"/>
      <c r="S6" s="448"/>
      <c r="T6" s="643">
        <f>SUMIF('Materials Calculations'!A:A,ResultTable[[#This Row],[SCOPE Tier 2 building element]],'Materials Calculations'!X:X)</f>
        <v>0</v>
      </c>
      <c r="U6" s="643">
        <f>SUMIF('Materials Calculations'!A:A,ResultTable[[#This Row],[SCOPE Tier 2 building element]],'Materials Calculations'!AB:AB)</f>
        <v>0</v>
      </c>
      <c r="V6" s="643">
        <f>SUMIF('Materials Calculations'!A:A,ResultTable[[#This Row],[SCOPE Tier 2 building element]],'Materials Calculations'!AE:AE)</f>
        <v>0</v>
      </c>
      <c r="W6" s="643">
        <f>SUM(ResultTable[[#This Row],[A1 - A3]:[C4]])</f>
        <v>0</v>
      </c>
      <c r="X6" s="668"/>
      <c r="Y6" s="669">
        <f>SUMIF('Materials Calculations'!A:A,ResultTable[[#This Row],[SCOPE Tier 2 building element]],'Materials Calculations'!AG:AG)</f>
        <v>0</v>
      </c>
      <c r="Z6" s="85"/>
      <c r="AA6" s="8" t="s">
        <v>1446</v>
      </c>
      <c r="AB6" s="559">
        <f>SUM(I5:I7)/1000</f>
        <v>0</v>
      </c>
      <c r="AC6" s="559">
        <f t="shared" ref="AC6:AO6" si="0">SUM(J5:J7)/1000</f>
        <v>0</v>
      </c>
      <c r="AD6" s="559">
        <f t="shared" si="0"/>
        <v>0</v>
      </c>
      <c r="AE6" s="559">
        <f t="shared" si="0"/>
        <v>0</v>
      </c>
      <c r="AF6" s="559">
        <f t="shared" si="0"/>
        <v>0</v>
      </c>
      <c r="AG6" s="559">
        <f t="shared" si="0"/>
        <v>0</v>
      </c>
      <c r="AH6" s="559">
        <f t="shared" si="0"/>
        <v>0</v>
      </c>
      <c r="AI6" s="559">
        <f t="shared" si="0"/>
        <v>0</v>
      </c>
      <c r="AJ6" s="559">
        <f t="shared" si="0"/>
        <v>0</v>
      </c>
      <c r="AK6" s="559">
        <f t="shared" si="0"/>
        <v>0</v>
      </c>
      <c r="AL6" s="559">
        <f t="shared" si="0"/>
        <v>0</v>
      </c>
      <c r="AM6" s="559">
        <f t="shared" si="0"/>
        <v>0</v>
      </c>
      <c r="AN6" s="559">
        <f t="shared" ca="1" si="0"/>
        <v>0</v>
      </c>
      <c r="AO6" s="559">
        <f t="shared" si="0"/>
        <v>0</v>
      </c>
      <c r="AP6" s="559">
        <f>SUM(Y5:Y7)/1000</f>
        <v>0</v>
      </c>
      <c r="AR6" s="8" t="str">
        <f>AB1</f>
        <v>A1 - A3 Manufacture</v>
      </c>
      <c r="AS6" s="609">
        <f>AB26</f>
        <v>0</v>
      </c>
    </row>
    <row r="7" spans="2:45" ht="14.4" customHeight="1" thickBot="1" x14ac:dyDescent="0.35">
      <c r="B7" s="852"/>
      <c r="C7" s="699" t="s">
        <v>504</v>
      </c>
      <c r="D7" s="8" t="str">
        <f>Dropdowns!B4</f>
        <v>Retaining walls</v>
      </c>
      <c r="E7" s="446" t="s">
        <v>811</v>
      </c>
      <c r="F7" s="479" t="s">
        <v>678</v>
      </c>
      <c r="G7" s="642">
        <f>COUNTIFS('Materials Calculations'!A:A,ResultTable[[#This Row],[SCOPE Tier 2 building element]],'Materials Calculations'!F:F,"&gt;0")</f>
        <v>0</v>
      </c>
      <c r="H7" s="695" t="str">
        <f>IF(ResultTable[[#This Row],[n. of data lines]]&gt;0,"Yes","No")</f>
        <v>No</v>
      </c>
      <c r="I7" s="640">
        <f>IF(ResultTable[[#This Row],[Required?]]="No", "N/A", SUMIF('Materials Calculations'!A:A,ResultTable[[#This Row],[SCOPE Tier 2 building element]],'Materials Calculations'!H:H))</f>
        <v>0</v>
      </c>
      <c r="J7" s="643">
        <f>SUMIF('Materials Calculations'!A:A,ResultTable[[#This Row],[SCOPE Tier 2 building element]],'Materials Calculations'!J:J)</f>
        <v>0</v>
      </c>
      <c r="K7" s="643">
        <f>SUMIF('Materials Calculations'!A:A,ResultTable[[#This Row],[SCOPE Tier 2 building element]],'Materials Calculations'!L:L)</f>
        <v>0</v>
      </c>
      <c r="L7" s="482"/>
      <c r="M7" s="482"/>
      <c r="N7" s="482"/>
      <c r="O7" s="643">
        <f>SUMIF('Materials Calculations'!A:A,ResultTable[[#This Row],[SCOPE Tier 2 building element]],'Materials Calculations'!O:O)</f>
        <v>0</v>
      </c>
      <c r="P7" s="482"/>
      <c r="Q7" s="447"/>
      <c r="R7" s="448"/>
      <c r="S7" s="448"/>
      <c r="T7" s="643">
        <f>SUMIF('Materials Calculations'!A:A,ResultTable[[#This Row],[SCOPE Tier 2 building element]],'Materials Calculations'!X:X)</f>
        <v>0</v>
      </c>
      <c r="U7" s="643">
        <f>SUMIF('Materials Calculations'!A:A,ResultTable[[#This Row],[SCOPE Tier 2 building element]],'Materials Calculations'!AB:AB)</f>
        <v>0</v>
      </c>
      <c r="V7" s="643">
        <f>SUMIF('Materials Calculations'!A:A,ResultTable[[#This Row],[SCOPE Tier 2 building element]],'Materials Calculations'!AE:AE)</f>
        <v>0</v>
      </c>
      <c r="W7" s="643">
        <f>SUM(ResultTable[[#This Row],[A1 - A3]:[C4]])</f>
        <v>0</v>
      </c>
      <c r="X7" s="668"/>
      <c r="Y7" s="669">
        <f>SUMIF('Materials Calculations'!A:A,ResultTable[[#This Row],[SCOPE Tier 2 building element]],'Materials Calculations'!AG:AG)</f>
        <v>0</v>
      </c>
      <c r="Z7" s="85"/>
      <c r="AA7" s="8" t="s">
        <v>1447</v>
      </c>
      <c r="AB7" s="306">
        <f>SUM(I8:I11)/1000</f>
        <v>0</v>
      </c>
      <c r="AC7" s="306">
        <f t="shared" ref="AC7:AO7" si="1">SUM(J8:J11)/1000</f>
        <v>0</v>
      </c>
      <c r="AD7" s="306">
        <f t="shared" si="1"/>
        <v>0</v>
      </c>
      <c r="AE7" s="306">
        <f t="shared" si="1"/>
        <v>0</v>
      </c>
      <c r="AF7" s="306">
        <f t="shared" si="1"/>
        <v>0</v>
      </c>
      <c r="AG7" s="306">
        <f t="shared" si="1"/>
        <v>0</v>
      </c>
      <c r="AH7" s="306">
        <f t="shared" si="1"/>
        <v>0</v>
      </c>
      <c r="AI7" s="306">
        <f t="shared" si="1"/>
        <v>0</v>
      </c>
      <c r="AJ7" s="306">
        <f t="shared" si="1"/>
        <v>0</v>
      </c>
      <c r="AK7" s="306">
        <f t="shared" si="1"/>
        <v>0</v>
      </c>
      <c r="AL7" s="306">
        <f t="shared" si="1"/>
        <v>0</v>
      </c>
      <c r="AM7" s="306">
        <f t="shared" si="1"/>
        <v>0</v>
      </c>
      <c r="AN7" s="306">
        <f t="shared" si="1"/>
        <v>0</v>
      </c>
      <c r="AO7" s="306">
        <f t="shared" si="1"/>
        <v>0</v>
      </c>
      <c r="AP7" s="306">
        <f>SUM(Y8:Y11)/1000</f>
        <v>0</v>
      </c>
      <c r="AR7" s="8" t="str">
        <f>AC1</f>
        <v>A4 Transport</v>
      </c>
      <c r="AS7" s="609">
        <f>AC26</f>
        <v>0</v>
      </c>
    </row>
    <row r="8" spans="2:45" ht="15" thickBot="1" x14ac:dyDescent="0.35">
      <c r="B8" s="852"/>
      <c r="C8" s="8" t="s">
        <v>812</v>
      </c>
      <c r="D8" s="8" t="str">
        <f>Dropdowns!B5</f>
        <v>Frame (beams, columns and slabs)</v>
      </c>
      <c r="E8" s="446" t="s">
        <v>813</v>
      </c>
      <c r="F8" s="479" t="s">
        <v>678</v>
      </c>
      <c r="G8" s="642">
        <f>COUNTIFS('Materials Calculations'!A:A,ResultTable[[#This Row],[SCOPE Tier 2 building element]],'Materials Calculations'!F:F,"&gt;0")</f>
        <v>0</v>
      </c>
      <c r="H8" s="695" t="str">
        <f>IF(ResultTable[[#This Row],[n. of data lines]]&gt;0,"Yes","No")</f>
        <v>No</v>
      </c>
      <c r="I8" s="640">
        <f>IF(ResultTable[[#This Row],[Required?]]="No", "N/A", SUMIF('Materials Calculations'!A:A,ResultTable[[#This Row],[SCOPE Tier 2 building element]],'Materials Calculations'!H:H))</f>
        <v>0</v>
      </c>
      <c r="J8" s="643">
        <f>SUMIF('Materials Calculations'!A:A,ResultTable[[#This Row],[SCOPE Tier 2 building element]],'Materials Calculations'!J:J)</f>
        <v>0</v>
      </c>
      <c r="K8" s="643">
        <f>SUMIF('Materials Calculations'!A:A,ResultTable[[#This Row],[SCOPE Tier 2 building element]],'Materials Calculations'!L:L)</f>
        <v>0</v>
      </c>
      <c r="L8" s="482"/>
      <c r="M8" s="482"/>
      <c r="N8" s="482"/>
      <c r="O8" s="643">
        <f>SUMIF('Materials Calculations'!A:A,ResultTable[[#This Row],[SCOPE Tier 2 building element]],'Materials Calculations'!O:O)</f>
        <v>0</v>
      </c>
      <c r="P8" s="482"/>
      <c r="Q8" s="447"/>
      <c r="R8" s="448"/>
      <c r="S8" s="448"/>
      <c r="T8" s="643">
        <f>SUMIF('Materials Calculations'!A:A,ResultTable[[#This Row],[SCOPE Tier 2 building element]],'Materials Calculations'!X:X)</f>
        <v>0</v>
      </c>
      <c r="U8" s="643">
        <f>SUMIF('Materials Calculations'!A:A,ResultTable[[#This Row],[SCOPE Tier 2 building element]],'Materials Calculations'!AB:AB)</f>
        <v>0</v>
      </c>
      <c r="V8" s="643">
        <f>SUMIF('Materials Calculations'!A:A,ResultTable[[#This Row],[SCOPE Tier 2 building element]],'Materials Calculations'!AE:AE)</f>
        <v>0</v>
      </c>
      <c r="W8" s="643">
        <f>SUM(ResultTable[[#This Row],[A1 - A3]:[C4]])</f>
        <v>0</v>
      </c>
      <c r="X8" s="668"/>
      <c r="Y8" s="669">
        <f>SUMIF('Materials Calculations'!A:A,ResultTable[[#This Row],[SCOPE Tier 2 building element]],'Materials Calculations'!AG:AG)</f>
        <v>0</v>
      </c>
      <c r="Z8" s="85"/>
      <c r="AA8" s="8" t="s">
        <v>507</v>
      </c>
      <c r="AB8" s="306">
        <f>SUM(I12:I14)/1000</f>
        <v>0</v>
      </c>
      <c r="AC8" s="306">
        <f t="shared" ref="AC8:AO8" si="2">SUM(J12:J14)/1000</f>
        <v>0</v>
      </c>
      <c r="AD8" s="306">
        <f t="shared" si="2"/>
        <v>0</v>
      </c>
      <c r="AE8" s="306">
        <f t="shared" si="2"/>
        <v>0</v>
      </c>
      <c r="AF8" s="306">
        <f t="shared" si="2"/>
        <v>0</v>
      </c>
      <c r="AG8" s="306">
        <f t="shared" si="2"/>
        <v>0</v>
      </c>
      <c r="AH8" s="306">
        <f t="shared" si="2"/>
        <v>0</v>
      </c>
      <c r="AI8" s="306">
        <f t="shared" si="2"/>
        <v>0</v>
      </c>
      <c r="AJ8" s="306">
        <f t="shared" si="2"/>
        <v>0</v>
      </c>
      <c r="AK8" s="306">
        <f t="shared" si="2"/>
        <v>0</v>
      </c>
      <c r="AL8" s="306">
        <f t="shared" si="2"/>
        <v>0</v>
      </c>
      <c r="AM8" s="306">
        <f t="shared" si="2"/>
        <v>0</v>
      </c>
      <c r="AN8" s="306">
        <f t="shared" si="2"/>
        <v>0</v>
      </c>
      <c r="AO8" s="306">
        <f t="shared" si="2"/>
        <v>0</v>
      </c>
      <c r="AP8" s="306">
        <f>SUM(Y12:Y14)/1000</f>
        <v>0</v>
      </c>
      <c r="AR8" s="8" t="str">
        <f>AD1</f>
        <v>A5 Construction</v>
      </c>
      <c r="AS8" s="609">
        <f>AD26</f>
        <v>0</v>
      </c>
    </row>
    <row r="9" spans="2:45" ht="15" thickBot="1" x14ac:dyDescent="0.35">
      <c r="B9" s="852"/>
      <c r="C9" s="700" t="s">
        <v>812</v>
      </c>
      <c r="D9" s="8" t="str">
        <f>Dropdowns!B6</f>
        <v>Upper floors</v>
      </c>
      <c r="E9" s="446" t="s">
        <v>813</v>
      </c>
      <c r="F9" s="479" t="s">
        <v>678</v>
      </c>
      <c r="G9" s="642">
        <f>COUNTIFS('Materials Calculations'!A:A,ResultTable[[#This Row],[SCOPE Tier 2 building element]],'Materials Calculations'!F:F,"&gt;0")</f>
        <v>0</v>
      </c>
      <c r="H9" s="695" t="str">
        <f>IF(ResultTable[[#This Row],[n. of data lines]]&gt;0,"Yes","No")</f>
        <v>No</v>
      </c>
      <c r="I9" s="640">
        <f>IF(ResultTable[[#This Row],[Required?]]="No", "N/A", SUMIF('Materials Calculations'!A:A,ResultTable[[#This Row],[SCOPE Tier 2 building element]],'Materials Calculations'!H:H))</f>
        <v>0</v>
      </c>
      <c r="J9" s="643">
        <f>SUMIF('Materials Calculations'!A:A,ResultTable[[#This Row],[SCOPE Tier 2 building element]],'Materials Calculations'!J:J)</f>
        <v>0</v>
      </c>
      <c r="K9" s="643">
        <f>SUMIF('Materials Calculations'!A:A,ResultTable[[#This Row],[SCOPE Tier 2 building element]],'Materials Calculations'!L:L)</f>
        <v>0</v>
      </c>
      <c r="L9" s="482"/>
      <c r="M9" s="482"/>
      <c r="N9" s="482"/>
      <c r="O9" s="643">
        <f>SUMIF('Materials Calculations'!A:A,ResultTable[[#This Row],[SCOPE Tier 2 building element]],'Materials Calculations'!O:O)</f>
        <v>0</v>
      </c>
      <c r="P9" s="482"/>
      <c r="Q9" s="447"/>
      <c r="R9" s="448"/>
      <c r="S9" s="448"/>
      <c r="T9" s="643">
        <f>SUMIF('Materials Calculations'!A:A,ResultTable[[#This Row],[SCOPE Tier 2 building element]],'Materials Calculations'!X:X)</f>
        <v>0</v>
      </c>
      <c r="U9" s="643">
        <f>SUMIF('Materials Calculations'!A:A,ResultTable[[#This Row],[SCOPE Tier 2 building element]],'Materials Calculations'!AB:AB)</f>
        <v>0</v>
      </c>
      <c r="V9" s="643">
        <f>SUMIF('Materials Calculations'!A:A,ResultTable[[#This Row],[SCOPE Tier 2 building element]],'Materials Calculations'!AE:AE)</f>
        <v>0</v>
      </c>
      <c r="W9" s="643">
        <f>SUM(ResultTable[[#This Row],[A1 - A3]:[C4]])</f>
        <v>0</v>
      </c>
      <c r="X9" s="668"/>
      <c r="Y9" s="669">
        <f>SUMIF('Materials Calculations'!A:A,ResultTable[[#This Row],[SCOPE Tier 2 building element]],'Materials Calculations'!AG:AG)</f>
        <v>0</v>
      </c>
      <c r="Z9" s="85"/>
      <c r="AA9" s="8" t="str">
        <f>C15</f>
        <v xml:space="preserve">Facades </v>
      </c>
      <c r="AB9" s="306">
        <f>SUM(I15:I17)/1000</f>
        <v>0</v>
      </c>
      <c r="AC9" s="306">
        <f t="shared" ref="AC9:AO9" si="3">SUM(J15:J17)/1000</f>
        <v>0</v>
      </c>
      <c r="AD9" s="306">
        <f t="shared" si="3"/>
        <v>0</v>
      </c>
      <c r="AE9" s="306">
        <f t="shared" si="3"/>
        <v>0</v>
      </c>
      <c r="AF9" s="306">
        <f t="shared" si="3"/>
        <v>0</v>
      </c>
      <c r="AG9" s="306">
        <f t="shared" si="3"/>
        <v>0</v>
      </c>
      <c r="AH9" s="306">
        <f t="shared" si="3"/>
        <v>0</v>
      </c>
      <c r="AI9" s="306">
        <f t="shared" si="3"/>
        <v>0</v>
      </c>
      <c r="AJ9" s="306">
        <f t="shared" si="3"/>
        <v>0</v>
      </c>
      <c r="AK9" s="306">
        <f t="shared" si="3"/>
        <v>0</v>
      </c>
      <c r="AL9" s="306">
        <f t="shared" si="3"/>
        <v>0</v>
      </c>
      <c r="AM9" s="306">
        <f t="shared" si="3"/>
        <v>0</v>
      </c>
      <c r="AN9" s="306">
        <f t="shared" si="3"/>
        <v>0</v>
      </c>
      <c r="AO9" s="306">
        <f t="shared" si="3"/>
        <v>0</v>
      </c>
      <c r="AP9" s="306">
        <f>SUM(Y15:Y17)/1000</f>
        <v>0</v>
      </c>
      <c r="AR9" s="8" t="str">
        <f>AE1</f>
        <v>B1 Use</v>
      </c>
      <c r="AS9" s="609">
        <f>AE26</f>
        <v>0</v>
      </c>
    </row>
    <row r="10" spans="2:45" ht="15" thickBot="1" x14ac:dyDescent="0.35">
      <c r="B10" s="852"/>
      <c r="C10" s="700" t="s">
        <v>812</v>
      </c>
      <c r="D10" s="8" t="str">
        <f>Dropdowns!B7</f>
        <v>External walls</v>
      </c>
      <c r="E10" s="446" t="s">
        <v>814</v>
      </c>
      <c r="F10" s="479" t="s">
        <v>678</v>
      </c>
      <c r="G10" s="642">
        <f>COUNTIFS('Materials Calculations'!A:A,ResultTable[[#This Row],[SCOPE Tier 2 building element]],'Materials Calculations'!F:F,"&gt;0")</f>
        <v>0</v>
      </c>
      <c r="H10" s="695" t="str">
        <f>IF(ResultTable[[#This Row],[n. of data lines]]&gt;0,"Yes","No")</f>
        <v>No</v>
      </c>
      <c r="I10" s="640">
        <f>IF(ResultTable[[#This Row],[Required?]]="No", "N/A", SUMIF('Materials Calculations'!A:A,ResultTable[[#This Row],[SCOPE Tier 2 building element]],'Materials Calculations'!H:H))</f>
        <v>0</v>
      </c>
      <c r="J10" s="643">
        <f>SUMIF('Materials Calculations'!A:A,ResultTable[[#This Row],[SCOPE Tier 2 building element]],'Materials Calculations'!J:J)</f>
        <v>0</v>
      </c>
      <c r="K10" s="643">
        <f>SUMIF('Materials Calculations'!A:A,ResultTable[[#This Row],[SCOPE Tier 2 building element]],'Materials Calculations'!L:L)</f>
        <v>0</v>
      </c>
      <c r="L10" s="482"/>
      <c r="M10" s="482"/>
      <c r="N10" s="482"/>
      <c r="O10" s="643">
        <f>SUMIF('Materials Calculations'!A:A,ResultTable[[#This Row],[SCOPE Tier 2 building element]],'Materials Calculations'!O:O)</f>
        <v>0</v>
      </c>
      <c r="P10" s="482"/>
      <c r="Q10" s="447"/>
      <c r="R10" s="448"/>
      <c r="S10" s="448"/>
      <c r="T10" s="643">
        <f>SUMIF('Materials Calculations'!A:A,ResultTable[[#This Row],[SCOPE Tier 2 building element]],'Materials Calculations'!X:X)</f>
        <v>0</v>
      </c>
      <c r="U10" s="643">
        <f>SUMIF('Materials Calculations'!A:A,ResultTable[[#This Row],[SCOPE Tier 2 building element]],'Materials Calculations'!AB:AB)</f>
        <v>0</v>
      </c>
      <c r="V10" s="643">
        <f>SUMIF('Materials Calculations'!A:A,ResultTable[[#This Row],[SCOPE Tier 2 building element]],'Materials Calculations'!AE:AE)</f>
        <v>0</v>
      </c>
      <c r="W10" s="643">
        <f>SUM(ResultTable[[#This Row],[A1 - A3]:[C4]])</f>
        <v>0</v>
      </c>
      <c r="X10" s="668"/>
      <c r="Y10" s="669">
        <f>SUMIF('Materials Calculations'!A:A,ResultTable[[#This Row],[SCOPE Tier 2 building element]],'Materials Calculations'!AG:AG)</f>
        <v>0</v>
      </c>
      <c r="Z10" s="85"/>
      <c r="AA10" s="8" t="str">
        <f>C18</f>
        <v xml:space="preserve">Roof </v>
      </c>
      <c r="AB10" s="306">
        <f>SUM(I18:I19)/1000</f>
        <v>0</v>
      </c>
      <c r="AC10" s="306">
        <f t="shared" ref="AC10:AO10" si="4">SUM(J18:J19)/1000</f>
        <v>0</v>
      </c>
      <c r="AD10" s="306">
        <f t="shared" si="4"/>
        <v>0</v>
      </c>
      <c r="AE10" s="306">
        <f t="shared" si="4"/>
        <v>0</v>
      </c>
      <c r="AF10" s="306">
        <f t="shared" si="4"/>
        <v>0</v>
      </c>
      <c r="AG10" s="306">
        <f t="shared" si="4"/>
        <v>0</v>
      </c>
      <c r="AH10" s="306">
        <f t="shared" si="4"/>
        <v>0</v>
      </c>
      <c r="AI10" s="306">
        <f t="shared" si="4"/>
        <v>0</v>
      </c>
      <c r="AJ10" s="306">
        <f t="shared" si="4"/>
        <v>0</v>
      </c>
      <c r="AK10" s="306">
        <f t="shared" si="4"/>
        <v>0</v>
      </c>
      <c r="AL10" s="306">
        <f t="shared" si="4"/>
        <v>0</v>
      </c>
      <c r="AM10" s="306">
        <f t="shared" si="4"/>
        <v>0</v>
      </c>
      <c r="AN10" s="306">
        <f t="shared" si="4"/>
        <v>0</v>
      </c>
      <c r="AO10" s="306">
        <f t="shared" si="4"/>
        <v>0</v>
      </c>
      <c r="AP10" s="306">
        <f>SUM(Y18:Y19)/1000</f>
        <v>0</v>
      </c>
      <c r="AR10" s="8" t="str">
        <f>AF1</f>
        <v>B2</v>
      </c>
      <c r="AS10" s="609">
        <f>AF26</f>
        <v>0</v>
      </c>
    </row>
    <row r="11" spans="2:45" ht="15" thickBot="1" x14ac:dyDescent="0.35">
      <c r="B11" s="852"/>
      <c r="C11" s="700" t="s">
        <v>812</v>
      </c>
      <c r="D11" s="8" t="str">
        <f>Dropdowns!B8</f>
        <v>Balconies</v>
      </c>
      <c r="E11" s="446" t="s">
        <v>815</v>
      </c>
      <c r="F11" s="536" t="s">
        <v>678</v>
      </c>
      <c r="G11" s="642">
        <f>COUNTIFS('Materials Calculations'!A:A,ResultTable[[#This Row],[SCOPE Tier 2 building element]],'Materials Calculations'!F:F,"&gt;0")</f>
        <v>0</v>
      </c>
      <c r="H11" s="695" t="str">
        <f>IF(ResultTable[[#This Row],[n. of data lines]]&gt;0,"Yes","No")</f>
        <v>No</v>
      </c>
      <c r="I11" s="640">
        <f>IF(ResultTable[[#This Row],[Required?]]="No", "N/A", SUMIF('Materials Calculations'!A:A,ResultTable[[#This Row],[SCOPE Tier 2 building element]],'Materials Calculations'!H:H))</f>
        <v>0</v>
      </c>
      <c r="J11" s="643">
        <f>SUMIF('Materials Calculations'!A:A,ResultTable[[#This Row],[SCOPE Tier 2 building element]],'Materials Calculations'!J:J)</f>
        <v>0</v>
      </c>
      <c r="K11" s="643">
        <f>SUMIF('Materials Calculations'!A:A,ResultTable[[#This Row],[SCOPE Tier 2 building element]],'Materials Calculations'!L:L)</f>
        <v>0</v>
      </c>
      <c r="L11" s="482"/>
      <c r="M11" s="482"/>
      <c r="N11" s="482"/>
      <c r="O11" s="643">
        <f>SUMIF('Materials Calculations'!A:A,ResultTable[[#This Row],[SCOPE Tier 2 building element]],'Materials Calculations'!O:O)</f>
        <v>0</v>
      </c>
      <c r="P11" s="482"/>
      <c r="Q11" s="447"/>
      <c r="R11" s="448"/>
      <c r="S11" s="448"/>
      <c r="T11" s="643">
        <f>SUMIF('Materials Calculations'!A:A,ResultTable[[#This Row],[SCOPE Tier 2 building element]],'Materials Calculations'!X:X)</f>
        <v>0</v>
      </c>
      <c r="U11" s="643">
        <f>SUMIF('Materials Calculations'!A:A,ResultTable[[#This Row],[SCOPE Tier 2 building element]],'Materials Calculations'!AB:AB)</f>
        <v>0</v>
      </c>
      <c r="V11" s="643">
        <f>SUMIF('Materials Calculations'!A:A,ResultTable[[#This Row],[SCOPE Tier 2 building element]],'Materials Calculations'!AE:AE)</f>
        <v>0</v>
      </c>
      <c r="W11" s="643">
        <f>SUM(ResultTable[[#This Row],[A1 - A3]:[C4]])</f>
        <v>0</v>
      </c>
      <c r="X11" s="668"/>
      <c r="Y11" s="669">
        <f>SUMIF('Materials Calculations'!A:A,ResultTable[[#This Row],[SCOPE Tier 2 building element]],'Materials Calculations'!AG:AG)</f>
        <v>0</v>
      </c>
      <c r="Z11" s="85"/>
      <c r="AA11" s="8" t="s">
        <v>1448</v>
      </c>
      <c r="AB11" s="306">
        <f>IF(I20="N/A",0,I20/1000)</f>
        <v>0</v>
      </c>
      <c r="AC11" s="306">
        <f t="shared" ref="AC11:AO11" si="5">J20/1000</f>
        <v>0</v>
      </c>
      <c r="AD11" s="306">
        <f t="shared" si="5"/>
        <v>0</v>
      </c>
      <c r="AE11" s="306">
        <f t="shared" si="5"/>
        <v>0</v>
      </c>
      <c r="AF11" s="306">
        <f t="shared" si="5"/>
        <v>0</v>
      </c>
      <c r="AG11" s="306">
        <f t="shared" si="5"/>
        <v>0</v>
      </c>
      <c r="AH11" s="306">
        <f t="shared" si="5"/>
        <v>0</v>
      </c>
      <c r="AI11" s="306">
        <f t="shared" si="5"/>
        <v>0</v>
      </c>
      <c r="AJ11" s="306">
        <f t="shared" si="5"/>
        <v>0</v>
      </c>
      <c r="AK11" s="306">
        <f t="shared" si="5"/>
        <v>0</v>
      </c>
      <c r="AL11" s="306">
        <f t="shared" si="5"/>
        <v>0</v>
      </c>
      <c r="AM11" s="306">
        <f t="shared" si="5"/>
        <v>0</v>
      </c>
      <c r="AN11" s="306">
        <f t="shared" si="5"/>
        <v>0</v>
      </c>
      <c r="AO11" s="306">
        <f t="shared" si="5"/>
        <v>0</v>
      </c>
      <c r="AP11" s="306">
        <f>Y20/1000</f>
        <v>0</v>
      </c>
      <c r="AR11" s="8" t="str">
        <f>AG1</f>
        <v>B3</v>
      </c>
      <c r="AS11" s="609">
        <f>AG26</f>
        <v>0</v>
      </c>
    </row>
    <row r="12" spans="2:45" ht="15" thickBot="1" x14ac:dyDescent="0.35">
      <c r="B12" s="852"/>
      <c r="C12" s="8" t="s">
        <v>507</v>
      </c>
      <c r="D12" s="8" t="str">
        <f>Dropdowns!B9</f>
        <v>Ground floor slab</v>
      </c>
      <c r="E12" s="446" t="s">
        <v>814</v>
      </c>
      <c r="F12" s="536" t="s">
        <v>678</v>
      </c>
      <c r="G12" s="642">
        <f>COUNTIFS('Materials Calculations'!A:A,ResultTable[[#This Row],[SCOPE Tier 2 building element]],'Materials Calculations'!F:F,"&gt;0")</f>
        <v>0</v>
      </c>
      <c r="H12" s="695" t="str">
        <f>IF(ResultTable[[#This Row],[n. of data lines]]&gt;0,"Yes","No")</f>
        <v>No</v>
      </c>
      <c r="I12" s="640">
        <f>IF(ResultTable[[#This Row],[Required?]]="No", "N/A", SUMIF('Materials Calculations'!A:A,ResultTable[[#This Row],[SCOPE Tier 2 building element]],'Materials Calculations'!H:H))</f>
        <v>0</v>
      </c>
      <c r="J12" s="643">
        <f>SUMIF('Materials Calculations'!A:A,ResultTable[[#This Row],[SCOPE Tier 2 building element]],'Materials Calculations'!J:J)</f>
        <v>0</v>
      </c>
      <c r="K12" s="643">
        <f>SUMIF('Materials Calculations'!A:A,ResultTable[[#This Row],[SCOPE Tier 2 building element]],'Materials Calculations'!L:L)</f>
        <v>0</v>
      </c>
      <c r="L12" s="482"/>
      <c r="M12" s="482"/>
      <c r="N12" s="482"/>
      <c r="O12" s="643">
        <f>SUMIF('Materials Calculations'!A:A,ResultTable[[#This Row],[SCOPE Tier 2 building element]],'Materials Calculations'!O:O)</f>
        <v>0</v>
      </c>
      <c r="P12" s="482"/>
      <c r="Q12" s="447"/>
      <c r="R12" s="448"/>
      <c r="S12" s="448"/>
      <c r="T12" s="643">
        <f>SUMIF('Materials Calculations'!A:A,ResultTable[[#This Row],[SCOPE Tier 2 building element]],'Materials Calculations'!X:X)</f>
        <v>0</v>
      </c>
      <c r="U12" s="643">
        <f>SUMIF('Materials Calculations'!A:A,ResultTable[[#This Row],[SCOPE Tier 2 building element]],'Materials Calculations'!AB:AB)</f>
        <v>0</v>
      </c>
      <c r="V12" s="643">
        <f>SUMIF('Materials Calculations'!A:A,ResultTable[[#This Row],[SCOPE Tier 2 building element]],'Materials Calculations'!AE:AE)</f>
        <v>0</v>
      </c>
      <c r="W12" s="643">
        <f>SUM(ResultTable[[#This Row],[A1 - A3]:[C4]])</f>
        <v>0</v>
      </c>
      <c r="X12" s="668"/>
      <c r="Y12" s="669">
        <f>SUMIF('Materials Calculations'!A:A,ResultTable[[#This Row],[SCOPE Tier 2 building element]],'Materials Calculations'!AG:AG)</f>
        <v>0</v>
      </c>
      <c r="Z12" s="85"/>
      <c r="AA12" s="8" t="s">
        <v>1449</v>
      </c>
      <c r="AB12" s="306">
        <f>SUM(I21:I25)/1000</f>
        <v>0</v>
      </c>
      <c r="AC12" s="306">
        <f t="shared" ref="AC12:AO12" si="6">SUM(J21:J25)/1000</f>
        <v>0</v>
      </c>
      <c r="AD12" s="306">
        <f t="shared" si="6"/>
        <v>0</v>
      </c>
      <c r="AE12" s="306">
        <f t="shared" si="6"/>
        <v>0</v>
      </c>
      <c r="AF12" s="306">
        <f t="shared" si="6"/>
        <v>0</v>
      </c>
      <c r="AG12" s="306">
        <f t="shared" si="6"/>
        <v>0</v>
      </c>
      <c r="AH12" s="306">
        <f t="shared" si="6"/>
        <v>0</v>
      </c>
      <c r="AI12" s="306">
        <f t="shared" si="6"/>
        <v>0</v>
      </c>
      <c r="AJ12" s="306">
        <f t="shared" si="6"/>
        <v>0</v>
      </c>
      <c r="AK12" s="306">
        <f t="shared" si="6"/>
        <v>0</v>
      </c>
      <c r="AL12" s="306">
        <f t="shared" si="6"/>
        <v>0</v>
      </c>
      <c r="AM12" s="306">
        <f t="shared" si="6"/>
        <v>0</v>
      </c>
      <c r="AN12" s="306">
        <f t="shared" si="6"/>
        <v>0</v>
      </c>
      <c r="AO12" s="306">
        <f t="shared" si="6"/>
        <v>0</v>
      </c>
      <c r="AP12" s="306">
        <f>SUM(Y21:Y25)/1000</f>
        <v>0</v>
      </c>
      <c r="AQ12" s="306"/>
      <c r="AR12" s="8" t="str">
        <f>AH1</f>
        <v>B4 Replacements</v>
      </c>
      <c r="AS12" s="609">
        <f>AH26</f>
        <v>0</v>
      </c>
    </row>
    <row r="13" spans="2:45" ht="15" thickBot="1" x14ac:dyDescent="0.35">
      <c r="B13" s="852"/>
      <c r="C13" s="700" t="s">
        <v>507</v>
      </c>
      <c r="D13" s="8" t="str">
        <f>Dropdowns!B10</f>
        <v>Internal walls, partitions and doors</v>
      </c>
      <c r="E13" s="446" t="s">
        <v>816</v>
      </c>
      <c r="F13" s="588" t="s">
        <v>678</v>
      </c>
      <c r="G13" s="642">
        <f>COUNTIFS('Materials Calculations'!A:A,ResultTable[[#This Row],[SCOPE Tier 2 building element]],'Materials Calculations'!F:F,"&gt;0")</f>
        <v>0</v>
      </c>
      <c r="H13" s="695" t="str">
        <f>IF(ResultTable[[#This Row],[n. of data lines]]&gt;0,"Yes","No")</f>
        <v>No</v>
      </c>
      <c r="I13" s="640">
        <f>IF(ResultTable[[#This Row],[Required?]]="No", "N/A", SUMIF('Materials Calculations'!A:A,ResultTable[[#This Row],[SCOPE Tier 2 building element]],'Materials Calculations'!H:H))</f>
        <v>0</v>
      </c>
      <c r="J13" s="643">
        <f>SUMIF('Materials Calculations'!A:A,ResultTable[[#This Row],[SCOPE Tier 2 building element]],'Materials Calculations'!J:J)</f>
        <v>0</v>
      </c>
      <c r="K13" s="643">
        <f>SUMIF('Materials Calculations'!A:A,ResultTable[[#This Row],[SCOPE Tier 2 building element]],'Materials Calculations'!L:L)</f>
        <v>0</v>
      </c>
      <c r="L13" s="482"/>
      <c r="M13" s="482"/>
      <c r="N13" s="482"/>
      <c r="O13" s="643">
        <f>SUMIF('Materials Calculations'!A:A,ResultTable[[#This Row],[SCOPE Tier 2 building element]],'Materials Calculations'!O:O)</f>
        <v>0</v>
      </c>
      <c r="P13" s="482"/>
      <c r="Q13" s="447"/>
      <c r="R13" s="448"/>
      <c r="S13" s="448"/>
      <c r="T13" s="643">
        <f>SUMIF('Materials Calculations'!A:A,ResultTable[[#This Row],[SCOPE Tier 2 building element]],'Materials Calculations'!X:X)</f>
        <v>0</v>
      </c>
      <c r="U13" s="643">
        <f>SUMIF('Materials Calculations'!A:A,ResultTable[[#This Row],[SCOPE Tier 2 building element]],'Materials Calculations'!AB:AB)</f>
        <v>0</v>
      </c>
      <c r="V13" s="643">
        <f>SUMIF('Materials Calculations'!A:A,ResultTable[[#This Row],[SCOPE Tier 2 building element]],'Materials Calculations'!AE:AE)</f>
        <v>0</v>
      </c>
      <c r="W13" s="643">
        <f>SUM(ResultTable[[#This Row],[A1 - A3]:[C4]])</f>
        <v>0</v>
      </c>
      <c r="X13" s="668"/>
      <c r="Y13" s="669">
        <f>SUMIF('Materials Calculations'!A:A,ResultTable[[#This Row],[SCOPE Tier 2 building element]],'Materials Calculations'!AG:AG)</f>
        <v>0</v>
      </c>
      <c r="Z13" s="85"/>
      <c r="AA13" s="8" t="s">
        <v>1450</v>
      </c>
      <c r="AB13" s="306">
        <f>I26/1000</f>
        <v>0</v>
      </c>
      <c r="AC13" s="306">
        <f t="shared" ref="AC13:AO13" si="7">J26/1000</f>
        <v>0</v>
      </c>
      <c r="AD13" s="306">
        <f t="shared" si="7"/>
        <v>0</v>
      </c>
      <c r="AE13" s="306">
        <f t="shared" si="7"/>
        <v>0</v>
      </c>
      <c r="AF13" s="306">
        <f t="shared" si="7"/>
        <v>0</v>
      </c>
      <c r="AG13" s="306">
        <f t="shared" si="7"/>
        <v>0</v>
      </c>
      <c r="AH13" s="306">
        <f t="shared" si="7"/>
        <v>0</v>
      </c>
      <c r="AI13" s="306">
        <f t="shared" si="7"/>
        <v>0</v>
      </c>
      <c r="AJ13" s="306">
        <f t="shared" si="7"/>
        <v>0</v>
      </c>
      <c r="AK13" s="306">
        <f t="shared" si="7"/>
        <v>0</v>
      </c>
      <c r="AL13" s="306">
        <f t="shared" si="7"/>
        <v>0</v>
      </c>
      <c r="AM13" s="306">
        <f t="shared" si="7"/>
        <v>0</v>
      </c>
      <c r="AN13" s="306">
        <f t="shared" si="7"/>
        <v>0</v>
      </c>
      <c r="AO13" s="306">
        <f t="shared" si="7"/>
        <v>0</v>
      </c>
      <c r="AP13" s="306">
        <f>Y26/1000</f>
        <v>0</v>
      </c>
      <c r="AR13" s="8" t="str">
        <f>AI1</f>
        <v>B5</v>
      </c>
      <c r="AS13" s="609">
        <f>AI26</f>
        <v>0</v>
      </c>
    </row>
    <row r="14" spans="2:45" ht="15" thickBot="1" x14ac:dyDescent="0.35">
      <c r="B14" s="852"/>
      <c r="C14" s="700" t="s">
        <v>507</v>
      </c>
      <c r="D14" s="8" t="str">
        <f>Dropdowns!B11</f>
        <v>Stairs and ramps</v>
      </c>
      <c r="E14" s="446" t="s">
        <v>813</v>
      </c>
      <c r="F14" s="479" t="s">
        <v>678</v>
      </c>
      <c r="G14" s="642">
        <f>COUNTIFS('Materials Calculations'!A:A,ResultTable[[#This Row],[SCOPE Tier 2 building element]],'Materials Calculations'!F:F,"&gt;0")</f>
        <v>0</v>
      </c>
      <c r="H14" s="695" t="str">
        <f>IF(ResultTable[[#This Row],[n. of data lines]]&gt;0,"Yes","No")</f>
        <v>No</v>
      </c>
      <c r="I14" s="640">
        <f>IF(ResultTable[[#This Row],[Required?]]="No", "N/A", SUMIF('Materials Calculations'!A:A,ResultTable[[#This Row],[SCOPE Tier 2 building element]],'Materials Calculations'!H:H))</f>
        <v>0</v>
      </c>
      <c r="J14" s="643">
        <f>SUMIF('Materials Calculations'!A:A,ResultTable[[#This Row],[SCOPE Tier 2 building element]],'Materials Calculations'!J:J)</f>
        <v>0</v>
      </c>
      <c r="K14" s="643">
        <f>SUMIF('Materials Calculations'!A:A,ResultTable[[#This Row],[SCOPE Tier 2 building element]],'Materials Calculations'!L:L)</f>
        <v>0</v>
      </c>
      <c r="L14" s="482"/>
      <c r="M14" s="482"/>
      <c r="N14" s="482"/>
      <c r="O14" s="643">
        <f>SUMIF('Materials Calculations'!A:A,ResultTable[[#This Row],[SCOPE Tier 2 building element]],'Materials Calculations'!O:O)</f>
        <v>0</v>
      </c>
      <c r="P14" s="482"/>
      <c r="Q14" s="447"/>
      <c r="R14" s="448"/>
      <c r="S14" s="448"/>
      <c r="T14" s="643">
        <f>SUMIF('Materials Calculations'!A:A,ResultTable[[#This Row],[SCOPE Tier 2 building element]],'Materials Calculations'!X:X)</f>
        <v>0</v>
      </c>
      <c r="U14" s="643">
        <f>SUMIF('Materials Calculations'!A:A,ResultTable[[#This Row],[SCOPE Tier 2 building element]],'Materials Calculations'!AB:AB)</f>
        <v>0</v>
      </c>
      <c r="V14" s="643">
        <f>SUMIF('Materials Calculations'!A:A,ResultTable[[#This Row],[SCOPE Tier 2 building element]],'Materials Calculations'!AE:AE)</f>
        <v>0</v>
      </c>
      <c r="W14" s="643">
        <f>SUM(ResultTable[[#This Row],[A1 - A3]:[C4]])</f>
        <v>0</v>
      </c>
      <c r="X14" s="668"/>
      <c r="Y14" s="669">
        <f>SUMIF('Materials Calculations'!A:A,ResultTable[[#This Row],[SCOPE Tier 2 building element]],'Materials Calculations'!AG:AG)</f>
        <v>0</v>
      </c>
      <c r="Z14" s="85"/>
      <c r="AA14" s="85" t="str">
        <f>C27</f>
        <v xml:space="preserve">Utilities </v>
      </c>
      <c r="AB14" s="306">
        <f>SUM(I27:I28)/1000</f>
        <v>0</v>
      </c>
      <c r="AC14" s="306">
        <f t="shared" ref="AC14:AO14" si="8">SUM(J27:J28)/1000</f>
        <v>0</v>
      </c>
      <c r="AD14" s="306">
        <f t="shared" si="8"/>
        <v>0</v>
      </c>
      <c r="AE14" s="306">
        <f t="shared" si="8"/>
        <v>0</v>
      </c>
      <c r="AF14" s="306">
        <f t="shared" si="8"/>
        <v>0</v>
      </c>
      <c r="AG14" s="306">
        <f t="shared" si="8"/>
        <v>0</v>
      </c>
      <c r="AH14" s="306">
        <f t="shared" si="8"/>
        <v>0</v>
      </c>
      <c r="AI14" s="306">
        <f t="shared" si="8"/>
        <v>0</v>
      </c>
      <c r="AJ14" s="306">
        <f t="shared" si="8"/>
        <v>0</v>
      </c>
      <c r="AK14" s="306">
        <f t="shared" si="8"/>
        <v>0</v>
      </c>
      <c r="AL14" s="306">
        <f t="shared" si="8"/>
        <v>0</v>
      </c>
      <c r="AM14" s="306">
        <f t="shared" si="8"/>
        <v>0</v>
      </c>
      <c r="AN14" s="306">
        <f t="shared" si="8"/>
        <v>0</v>
      </c>
      <c r="AO14" s="306">
        <f t="shared" si="8"/>
        <v>0</v>
      </c>
      <c r="AP14" s="306">
        <f>SUM(Y27:Y28)/1000</f>
        <v>0</v>
      </c>
      <c r="AR14" s="8" t="str">
        <f>AJ1</f>
        <v>B6 Operational Energy</v>
      </c>
      <c r="AS14" s="609">
        <f>AJ26</f>
        <v>5.9872463535433768E-3</v>
      </c>
    </row>
    <row r="15" spans="2:45" ht="15" thickBot="1" x14ac:dyDescent="0.35">
      <c r="B15" s="852"/>
      <c r="C15" s="8" t="s">
        <v>817</v>
      </c>
      <c r="D15" s="8" t="str">
        <f>Dropdowns!B12</f>
        <v>External wall systems, cladding and shading devices</v>
      </c>
      <c r="E15" s="446" t="s">
        <v>815</v>
      </c>
      <c r="F15" s="479" t="s">
        <v>678</v>
      </c>
      <c r="G15" s="642">
        <f>COUNTIFS('Materials Calculations'!A:A,ResultTable[[#This Row],[SCOPE Tier 2 building element]],'Materials Calculations'!F:F,"&gt;0")</f>
        <v>0</v>
      </c>
      <c r="H15" s="695" t="str">
        <f>IF(ResultTable[[#This Row],[n. of data lines]]&gt;0,"Yes","No")</f>
        <v>No</v>
      </c>
      <c r="I15" s="640">
        <f>IF(ResultTable[[#This Row],[Required?]]="No", "N/A", SUMIF('Materials Calculations'!A:A,ResultTable[[#This Row],[SCOPE Tier 2 building element]],'Materials Calculations'!H:H))</f>
        <v>0</v>
      </c>
      <c r="J15" s="643">
        <f>SUMIF('Materials Calculations'!A:A,ResultTable[[#This Row],[SCOPE Tier 2 building element]],'Materials Calculations'!J:J)</f>
        <v>0</v>
      </c>
      <c r="K15" s="643">
        <f>SUMIF('Materials Calculations'!A:A,ResultTable[[#This Row],[SCOPE Tier 2 building element]],'Materials Calculations'!L:L)</f>
        <v>0</v>
      </c>
      <c r="L15" s="482"/>
      <c r="M15" s="482"/>
      <c r="N15" s="482"/>
      <c r="O15" s="643">
        <f>SUMIF('Materials Calculations'!A:A,ResultTable[[#This Row],[SCOPE Tier 2 building element]],'Materials Calculations'!O:O)</f>
        <v>0</v>
      </c>
      <c r="P15" s="482"/>
      <c r="Q15" s="447"/>
      <c r="R15" s="448"/>
      <c r="S15" s="448"/>
      <c r="T15" s="643">
        <f>SUMIF('Materials Calculations'!A:A,ResultTable[[#This Row],[SCOPE Tier 2 building element]],'Materials Calculations'!X:X)</f>
        <v>0</v>
      </c>
      <c r="U15" s="643">
        <f>SUMIF('Materials Calculations'!A:A,ResultTable[[#This Row],[SCOPE Tier 2 building element]],'Materials Calculations'!AB:AB)</f>
        <v>0</v>
      </c>
      <c r="V15" s="643">
        <f>SUMIF('Materials Calculations'!A:A,ResultTable[[#This Row],[SCOPE Tier 2 building element]],'Materials Calculations'!AE:AE)</f>
        <v>0</v>
      </c>
      <c r="W15" s="643">
        <f>SUM(ResultTable[[#This Row],[A1 - A3]:[C4]])</f>
        <v>0</v>
      </c>
      <c r="X15" s="668"/>
      <c r="Y15" s="669">
        <f>SUMIF('Materials Calculations'!A:A,ResultTable[[#This Row],[SCOPE Tier 2 building element]],'Materials Calculations'!AG:AG)</f>
        <v>0</v>
      </c>
      <c r="Z15" s="85"/>
      <c r="AA15" s="85" t="str">
        <f>C29</f>
        <v>Landscaping</v>
      </c>
      <c r="AB15" s="306">
        <f>SUM(I29:I30)/1000</f>
        <v>0</v>
      </c>
      <c r="AC15" s="306">
        <f t="shared" ref="AC15:AO15" si="9">SUM(J29:J30)/1000</f>
        <v>0</v>
      </c>
      <c r="AD15" s="306">
        <f t="shared" si="9"/>
        <v>0</v>
      </c>
      <c r="AE15" s="306">
        <f t="shared" si="9"/>
        <v>0</v>
      </c>
      <c r="AF15" s="306">
        <f t="shared" si="9"/>
        <v>0</v>
      </c>
      <c r="AG15" s="306">
        <f t="shared" si="9"/>
        <v>0</v>
      </c>
      <c r="AH15" s="306">
        <f t="shared" si="9"/>
        <v>0</v>
      </c>
      <c r="AI15" s="306">
        <f t="shared" si="9"/>
        <v>0</v>
      </c>
      <c r="AJ15" s="306">
        <f t="shared" si="9"/>
        <v>0</v>
      </c>
      <c r="AK15" s="306">
        <f t="shared" si="9"/>
        <v>0</v>
      </c>
      <c r="AL15" s="306">
        <f t="shared" si="9"/>
        <v>0</v>
      </c>
      <c r="AM15" s="306">
        <f t="shared" si="9"/>
        <v>0</v>
      </c>
      <c r="AN15" s="306">
        <f t="shared" si="9"/>
        <v>0</v>
      </c>
      <c r="AO15" s="306">
        <f t="shared" si="9"/>
        <v>0</v>
      </c>
      <c r="AP15" s="306">
        <f>SUM(Y29:Y30)/1000</f>
        <v>0</v>
      </c>
      <c r="AR15" s="8" t="str">
        <f>AK1</f>
        <v>B7 Water</v>
      </c>
      <c r="AS15" s="609">
        <f>AK26</f>
        <v>0</v>
      </c>
    </row>
    <row r="16" spans="2:45" ht="15" thickBot="1" x14ac:dyDescent="0.35">
      <c r="B16" s="852"/>
      <c r="C16" s="700" t="s">
        <v>817</v>
      </c>
      <c r="D16" s="8" t="str">
        <f>Dropdowns!B13</f>
        <v>Façade openings (including windows and external doors)</v>
      </c>
      <c r="E16" s="446" t="s">
        <v>815</v>
      </c>
      <c r="F16" s="479" t="s">
        <v>678</v>
      </c>
      <c r="G16" s="642">
        <f>COUNTIFS('Materials Calculations'!A:A,ResultTable[[#This Row],[SCOPE Tier 2 building element]],'Materials Calculations'!F:F,"&gt;0")</f>
        <v>0</v>
      </c>
      <c r="H16" s="695" t="str">
        <f>IF(ResultTable[[#This Row],[n. of data lines]]&gt;0,"Yes","No")</f>
        <v>No</v>
      </c>
      <c r="I16" s="640">
        <f>IF(ResultTable[[#This Row],[Required?]]="No", "N/A", SUMIF('Materials Calculations'!A:A,ResultTable[[#This Row],[SCOPE Tier 2 building element]],'Materials Calculations'!H:H))</f>
        <v>0</v>
      </c>
      <c r="J16" s="643">
        <f>SUMIF('Materials Calculations'!A:A,ResultTable[[#This Row],[SCOPE Tier 2 building element]],'Materials Calculations'!J:J)</f>
        <v>0</v>
      </c>
      <c r="K16" s="643">
        <f>SUMIF('Materials Calculations'!A:A,ResultTable[[#This Row],[SCOPE Tier 2 building element]],'Materials Calculations'!L:L)</f>
        <v>0</v>
      </c>
      <c r="L16" s="482"/>
      <c r="M16" s="482"/>
      <c r="N16" s="482"/>
      <c r="O16" s="643">
        <f>SUMIF('Materials Calculations'!A:A,ResultTable[[#This Row],[SCOPE Tier 2 building element]],'Materials Calculations'!O:O)</f>
        <v>0</v>
      </c>
      <c r="P16" s="482"/>
      <c r="Q16" s="447"/>
      <c r="R16" s="448"/>
      <c r="S16" s="448"/>
      <c r="T16" s="643">
        <f>SUMIF('Materials Calculations'!A:A,ResultTable[[#This Row],[SCOPE Tier 2 building element]],'Materials Calculations'!X:X)</f>
        <v>0</v>
      </c>
      <c r="U16" s="643">
        <f>SUMIF('Materials Calculations'!A:A,ResultTable[[#This Row],[SCOPE Tier 2 building element]],'Materials Calculations'!AB:AB)</f>
        <v>0</v>
      </c>
      <c r="V16" s="643">
        <f>SUMIF('Materials Calculations'!A:A,ResultTable[[#This Row],[SCOPE Tier 2 building element]],'Materials Calculations'!AE:AE)</f>
        <v>0</v>
      </c>
      <c r="W16" s="643">
        <f>SUM(ResultTable[[#This Row],[A1 - A3]:[C4]])</f>
        <v>0</v>
      </c>
      <c r="X16" s="668"/>
      <c r="Y16" s="669">
        <f>SUMIF('Materials Calculations'!A:A,ResultTable[[#This Row],[SCOPE Tier 2 building element]],'Materials Calculations'!AG:AG)</f>
        <v>0</v>
      </c>
      <c r="Z16" s="85"/>
      <c r="AA16" s="85" t="s">
        <v>1451</v>
      </c>
      <c r="AB16" s="306">
        <f>SUM(I31:I32)/1000</f>
        <v>0</v>
      </c>
      <c r="AC16" s="306">
        <f t="shared" ref="AC16:AO16" si="10">SUM(J31:J32)/1000</f>
        <v>0</v>
      </c>
      <c r="AD16" s="306">
        <f t="shared" si="10"/>
        <v>0</v>
      </c>
      <c r="AE16" s="306">
        <f t="shared" si="10"/>
        <v>0</v>
      </c>
      <c r="AF16" s="306">
        <f t="shared" si="10"/>
        <v>0</v>
      </c>
      <c r="AG16" s="306">
        <f t="shared" si="10"/>
        <v>0</v>
      </c>
      <c r="AH16" s="306">
        <f t="shared" si="10"/>
        <v>0</v>
      </c>
      <c r="AI16" s="306">
        <f t="shared" si="10"/>
        <v>0</v>
      </c>
      <c r="AJ16" s="306">
        <f t="shared" si="10"/>
        <v>0</v>
      </c>
      <c r="AK16" s="306">
        <f t="shared" si="10"/>
        <v>0</v>
      </c>
      <c r="AL16" s="306">
        <f t="shared" si="10"/>
        <v>0</v>
      </c>
      <c r="AM16" s="306">
        <f t="shared" si="10"/>
        <v>0</v>
      </c>
      <c r="AN16" s="306">
        <f t="shared" si="10"/>
        <v>0</v>
      </c>
      <c r="AO16" s="306">
        <f t="shared" si="10"/>
        <v>0</v>
      </c>
      <c r="AP16" s="306">
        <f>SUM(Y31:Y32)/1000</f>
        <v>0</v>
      </c>
      <c r="AR16" s="8" t="str">
        <f>AL1</f>
        <v>C1 Deconstruction</v>
      </c>
      <c r="AS16" s="609">
        <f>AL26</f>
        <v>0.10879999999999999</v>
      </c>
    </row>
    <row r="17" spans="2:45" ht="15" thickBot="1" x14ac:dyDescent="0.35">
      <c r="B17" s="852"/>
      <c r="C17" s="700" t="s">
        <v>817</v>
      </c>
      <c r="D17" s="8" t="str">
        <f>Dropdowns!B14</f>
        <v>External render</v>
      </c>
      <c r="E17" s="446" t="s">
        <v>815</v>
      </c>
      <c r="F17" s="479" t="s">
        <v>678</v>
      </c>
      <c r="G17" s="642">
        <f>COUNTIFS('Materials Calculations'!A:A,ResultTable[[#This Row],[SCOPE Tier 2 building element]],'Materials Calculations'!F:F,"&gt;0")</f>
        <v>0</v>
      </c>
      <c r="H17" s="695" t="str">
        <f>IF(ResultTable[[#This Row],[n. of data lines]]&gt;0,"Yes","No")</f>
        <v>No</v>
      </c>
      <c r="I17" s="640">
        <f>IF(ResultTable[[#This Row],[Required?]]="No", "N/A", SUMIF('Materials Calculations'!A:A,ResultTable[[#This Row],[SCOPE Tier 2 building element]],'Materials Calculations'!H:H))</f>
        <v>0</v>
      </c>
      <c r="J17" s="643">
        <f>SUMIF('Materials Calculations'!A:A,ResultTable[[#This Row],[SCOPE Tier 2 building element]],'Materials Calculations'!J:J)</f>
        <v>0</v>
      </c>
      <c r="K17" s="643">
        <f>SUMIF('Materials Calculations'!A:A,ResultTable[[#This Row],[SCOPE Tier 2 building element]],'Materials Calculations'!L:L)</f>
        <v>0</v>
      </c>
      <c r="L17" s="482"/>
      <c r="M17" s="482"/>
      <c r="N17" s="482"/>
      <c r="O17" s="643">
        <f>SUMIF('Materials Calculations'!A:A,ResultTable[[#This Row],[SCOPE Tier 2 building element]],'Materials Calculations'!O:O)</f>
        <v>0</v>
      </c>
      <c r="P17" s="482"/>
      <c r="Q17" s="447"/>
      <c r="R17" s="448"/>
      <c r="S17" s="448"/>
      <c r="T17" s="643">
        <f>SUMIF('Materials Calculations'!A:A,ResultTable[[#This Row],[SCOPE Tier 2 building element]],'Materials Calculations'!X:X)</f>
        <v>0</v>
      </c>
      <c r="U17" s="643">
        <f>SUMIF('Materials Calculations'!A:A,ResultTable[[#This Row],[SCOPE Tier 2 building element]],'Materials Calculations'!AB:AB)</f>
        <v>0</v>
      </c>
      <c r="V17" s="643">
        <f>SUMIF('Materials Calculations'!A:A,ResultTable[[#This Row],[SCOPE Tier 2 building element]],'Materials Calculations'!AE:AE)</f>
        <v>0</v>
      </c>
      <c r="W17" s="643">
        <f>SUM(ResultTable[[#This Row],[A1 - A3]:[C4]])</f>
        <v>0</v>
      </c>
      <c r="X17" s="668"/>
      <c r="Y17" s="669">
        <f>SUMIF('Materials Calculations'!A:A,ResultTable[[#This Row],[SCOPE Tier 2 building element]],'Materials Calculations'!AG:AG)</f>
        <v>0</v>
      </c>
      <c r="Z17" s="85"/>
      <c r="AA17" s="85" t="str">
        <f>C33</f>
        <v xml:space="preserve">Energy system </v>
      </c>
      <c r="AB17" s="306">
        <f>SUM(I33:I35)/1000</f>
        <v>0</v>
      </c>
      <c r="AC17" s="306">
        <f t="shared" ref="AC17:AO17" si="11">SUM(J33:J35)/1000</f>
        <v>0</v>
      </c>
      <c r="AD17" s="306">
        <f t="shared" si="11"/>
        <v>0</v>
      </c>
      <c r="AE17" s="306">
        <f t="shared" si="11"/>
        <v>0</v>
      </c>
      <c r="AF17" s="306">
        <f t="shared" si="11"/>
        <v>0</v>
      </c>
      <c r="AG17" s="306">
        <f t="shared" si="11"/>
        <v>0</v>
      </c>
      <c r="AH17" s="306">
        <f t="shared" si="11"/>
        <v>0</v>
      </c>
      <c r="AI17" s="306">
        <f t="shared" si="11"/>
        <v>0</v>
      </c>
      <c r="AJ17" s="306">
        <f t="shared" si="11"/>
        <v>0</v>
      </c>
      <c r="AK17" s="306">
        <f t="shared" si="11"/>
        <v>0</v>
      </c>
      <c r="AL17" s="306">
        <f t="shared" si="11"/>
        <v>0</v>
      </c>
      <c r="AM17" s="306">
        <f t="shared" si="11"/>
        <v>0</v>
      </c>
      <c r="AN17" s="306">
        <f t="shared" si="11"/>
        <v>0</v>
      </c>
      <c r="AO17" s="306">
        <f t="shared" si="11"/>
        <v>0</v>
      </c>
      <c r="AP17" s="306">
        <f>SUM(Y33:Y35)/1000</f>
        <v>0</v>
      </c>
      <c r="AR17" s="8" t="str">
        <f>AM1</f>
        <v xml:space="preserve">C2 Transport </v>
      </c>
      <c r="AS17" s="609">
        <f>AM26</f>
        <v>0</v>
      </c>
    </row>
    <row r="18" spans="2:45" ht="15" thickBot="1" x14ac:dyDescent="0.35">
      <c r="B18" s="852"/>
      <c r="C18" s="8" t="s">
        <v>818</v>
      </c>
      <c r="D18" s="8" t="str">
        <f>Dropdowns!B15</f>
        <v>RoofStructure</v>
      </c>
      <c r="E18" s="446" t="s">
        <v>813</v>
      </c>
      <c r="F18" s="479" t="s">
        <v>678</v>
      </c>
      <c r="G18" s="642">
        <f>COUNTIFS('Materials Calculations'!A:A,ResultTable[[#This Row],[SCOPE Tier 2 building element]],'Materials Calculations'!F:F,"&gt;0")</f>
        <v>0</v>
      </c>
      <c r="H18" s="695" t="str">
        <f>IF(ResultTable[[#This Row],[n. of data lines]]&gt;0,"Yes","No")</f>
        <v>No</v>
      </c>
      <c r="I18" s="640">
        <f>IF(ResultTable[[#This Row],[Required?]]="No", "N/A", SUMIF('Materials Calculations'!A:A,ResultTable[[#This Row],[SCOPE Tier 2 building element]],'Materials Calculations'!H:H))</f>
        <v>0</v>
      </c>
      <c r="J18" s="643">
        <f>SUMIF('Materials Calculations'!A:A,ResultTable[[#This Row],[SCOPE Tier 2 building element]],'Materials Calculations'!J:J)</f>
        <v>0</v>
      </c>
      <c r="K18" s="643">
        <f>SUMIF('Materials Calculations'!A:A,ResultTable[[#This Row],[SCOPE Tier 2 building element]],'Materials Calculations'!L:L)</f>
        <v>0</v>
      </c>
      <c r="L18" s="482"/>
      <c r="M18" s="482"/>
      <c r="N18" s="482"/>
      <c r="O18" s="643">
        <f>SUMIF('Materials Calculations'!A:A,ResultTable[[#This Row],[SCOPE Tier 2 building element]],'Materials Calculations'!O:O)</f>
        <v>0</v>
      </c>
      <c r="P18" s="482"/>
      <c r="Q18" s="447"/>
      <c r="R18" s="448"/>
      <c r="S18" s="448"/>
      <c r="T18" s="643">
        <f>SUMIF('Materials Calculations'!A:A,ResultTable[[#This Row],[SCOPE Tier 2 building element]],'Materials Calculations'!X:X)</f>
        <v>0</v>
      </c>
      <c r="U18" s="643">
        <f>SUMIF('Materials Calculations'!A:A,ResultTable[[#This Row],[SCOPE Tier 2 building element]],'Materials Calculations'!AB:AB)</f>
        <v>0</v>
      </c>
      <c r="V18" s="643">
        <f>SUMIF('Materials Calculations'!A:A,ResultTable[[#This Row],[SCOPE Tier 2 building element]],'Materials Calculations'!AE:AE)</f>
        <v>0</v>
      </c>
      <c r="W18" s="643">
        <f>SUM(ResultTable[[#This Row],[A1 - A3]:[C4]])</f>
        <v>0</v>
      </c>
      <c r="X18" s="668"/>
      <c r="Y18" s="669">
        <f>SUMIF('Materials Calculations'!A:A,ResultTable[[#This Row],[SCOPE Tier 2 building element]],'Materials Calculations'!AG:AG)</f>
        <v>0</v>
      </c>
      <c r="Z18" s="85"/>
      <c r="AA18" s="85" t="s">
        <v>1452</v>
      </c>
      <c r="AB18" s="306">
        <f>SUM(I36:I37)/1000</f>
        <v>0</v>
      </c>
      <c r="AC18" s="306">
        <f t="shared" ref="AC18:AO18" si="12">SUM(J36:J37)/1000</f>
        <v>0</v>
      </c>
      <c r="AD18" s="306">
        <f t="shared" si="12"/>
        <v>0</v>
      </c>
      <c r="AE18" s="306">
        <f t="shared" si="12"/>
        <v>0</v>
      </c>
      <c r="AF18" s="306">
        <f t="shared" si="12"/>
        <v>0</v>
      </c>
      <c r="AG18" s="306">
        <f t="shared" si="12"/>
        <v>0</v>
      </c>
      <c r="AH18" s="306">
        <f t="shared" si="12"/>
        <v>0</v>
      </c>
      <c r="AI18" s="306">
        <f t="shared" si="12"/>
        <v>0</v>
      </c>
      <c r="AJ18" s="306">
        <f t="shared" si="12"/>
        <v>0</v>
      </c>
      <c r="AK18" s="306">
        <f t="shared" si="12"/>
        <v>0</v>
      </c>
      <c r="AL18" s="306">
        <f t="shared" si="12"/>
        <v>0</v>
      </c>
      <c r="AM18" s="306">
        <f t="shared" si="12"/>
        <v>0</v>
      </c>
      <c r="AN18" s="306">
        <f t="shared" si="12"/>
        <v>0</v>
      </c>
      <c r="AO18" s="306">
        <f t="shared" si="12"/>
        <v>0</v>
      </c>
      <c r="AP18" s="306">
        <f>SUM(Y36:Y37)/1000</f>
        <v>0</v>
      </c>
      <c r="AR18" s="8" t="str">
        <f>AN1</f>
        <v>C3 Recycle/Re-use</v>
      </c>
      <c r="AS18" s="609">
        <f ca="1">AN26</f>
        <v>0</v>
      </c>
    </row>
    <row r="19" spans="2:45" ht="15" thickBot="1" x14ac:dyDescent="0.35">
      <c r="B19" s="852"/>
      <c r="C19" s="700" t="s">
        <v>818</v>
      </c>
      <c r="D19" s="8" t="str">
        <f>Dropdowns!B16</f>
        <v>Weatherproofing</v>
      </c>
      <c r="E19" s="446" t="s">
        <v>819</v>
      </c>
      <c r="F19" s="479" t="s">
        <v>678</v>
      </c>
      <c r="G19" s="642">
        <f>COUNTIFS('Materials Calculations'!A:A,ResultTable[[#This Row],[SCOPE Tier 2 building element]],'Materials Calculations'!F:F,"&gt;0")</f>
        <v>0</v>
      </c>
      <c r="H19" s="695" t="str">
        <f>IF(ResultTable[[#This Row],[n. of data lines]]&gt;0,"Yes","No")</f>
        <v>No</v>
      </c>
      <c r="I19" s="640">
        <f>IF(ResultTable[[#This Row],[Required?]]="No", "N/A", SUMIF('Materials Calculations'!A:A,ResultTable[[#This Row],[SCOPE Tier 2 building element]],'Materials Calculations'!H:H))</f>
        <v>0</v>
      </c>
      <c r="J19" s="643">
        <f>SUMIF('Materials Calculations'!A:A,ResultTable[[#This Row],[SCOPE Tier 2 building element]],'Materials Calculations'!J:J)</f>
        <v>0</v>
      </c>
      <c r="K19" s="643">
        <f>SUMIF('Materials Calculations'!A:A,ResultTable[[#This Row],[SCOPE Tier 2 building element]],'Materials Calculations'!L:L)</f>
        <v>0</v>
      </c>
      <c r="L19" s="482"/>
      <c r="M19" s="482"/>
      <c r="N19" s="482"/>
      <c r="O19" s="643">
        <f>SUMIF('Materials Calculations'!A:A,ResultTable[[#This Row],[SCOPE Tier 2 building element]],'Materials Calculations'!O:O)</f>
        <v>0</v>
      </c>
      <c r="P19" s="482"/>
      <c r="Q19" s="447"/>
      <c r="R19" s="448"/>
      <c r="S19" s="448"/>
      <c r="T19" s="643">
        <f>SUMIF('Materials Calculations'!A:A,ResultTable[[#This Row],[SCOPE Tier 2 building element]],'Materials Calculations'!X:X)</f>
        <v>0</v>
      </c>
      <c r="U19" s="643">
        <f>SUMIF('Materials Calculations'!A:A,ResultTable[[#This Row],[SCOPE Tier 2 building element]],'Materials Calculations'!AB:AB)</f>
        <v>0</v>
      </c>
      <c r="V19" s="643">
        <f>SUMIF('Materials Calculations'!A:A,ResultTable[[#This Row],[SCOPE Tier 2 building element]],'Materials Calculations'!AE:AE)</f>
        <v>0</v>
      </c>
      <c r="W19" s="643">
        <f>SUM(ResultTable[[#This Row],[A1 - A3]:[C4]])</f>
        <v>0</v>
      </c>
      <c r="X19" s="668"/>
      <c r="Y19" s="669">
        <f>SUMIF('Materials Calculations'!A:A,ResultTable[[#This Row],[SCOPE Tier 2 building element]],'Materials Calculations'!AG:AG)</f>
        <v>0</v>
      </c>
      <c r="Z19" s="85"/>
      <c r="AA19" s="85" t="s">
        <v>1453</v>
      </c>
      <c r="AB19" s="306">
        <f>SUM(I38:I41)/1000</f>
        <v>0</v>
      </c>
      <c r="AC19" s="306">
        <f t="shared" ref="AC19:AO19" si="13">SUM(J38:J41)/1000</f>
        <v>0</v>
      </c>
      <c r="AD19" s="306">
        <f t="shared" si="13"/>
        <v>0</v>
      </c>
      <c r="AE19" s="306">
        <f t="shared" si="13"/>
        <v>0</v>
      </c>
      <c r="AF19" s="306">
        <f t="shared" si="13"/>
        <v>0</v>
      </c>
      <c r="AG19" s="306">
        <f t="shared" si="13"/>
        <v>0</v>
      </c>
      <c r="AH19" s="306">
        <f t="shared" si="13"/>
        <v>0</v>
      </c>
      <c r="AI19" s="306">
        <f t="shared" si="13"/>
        <v>0</v>
      </c>
      <c r="AJ19" s="306">
        <f t="shared" si="13"/>
        <v>0</v>
      </c>
      <c r="AK19" s="306">
        <f t="shared" si="13"/>
        <v>0</v>
      </c>
      <c r="AL19" s="306">
        <f t="shared" si="13"/>
        <v>0</v>
      </c>
      <c r="AM19" s="306">
        <f t="shared" si="13"/>
        <v>0</v>
      </c>
      <c r="AN19" s="306">
        <f t="shared" si="13"/>
        <v>0</v>
      </c>
      <c r="AO19" s="306">
        <f t="shared" si="13"/>
        <v>0</v>
      </c>
      <c r="AP19" s="306">
        <f>SUM(Y38:Y41)/1000</f>
        <v>0</v>
      </c>
      <c r="AR19" s="8" t="str">
        <f>AO1</f>
        <v>C4 Landfill / Incineration</v>
      </c>
      <c r="AS19" s="609">
        <f>AO26</f>
        <v>0</v>
      </c>
    </row>
    <row r="20" spans="2:45" ht="15" thickBot="1" x14ac:dyDescent="0.35">
      <c r="B20" s="852"/>
      <c r="C20" s="8" t="s">
        <v>510</v>
      </c>
      <c r="D20" s="8" t="str">
        <f>Dropdowns!B17</f>
        <v>Above ground and underground (within the curtilage of the building and servicing the building occupiers)</v>
      </c>
      <c r="E20" s="446" t="s">
        <v>820</v>
      </c>
      <c r="F20" s="479" t="s">
        <v>678</v>
      </c>
      <c r="G20" s="642">
        <f>COUNTIFS('Materials Calculations'!A:A,ResultTable[[#This Row],[SCOPE Tier 2 building element]],'Materials Calculations'!F:F,"&gt;0")</f>
        <v>0</v>
      </c>
      <c r="H20" s="695" t="str">
        <f>IF(ResultTable[[#This Row],[n. of data lines]]&gt;0,"Yes","No")</f>
        <v>No</v>
      </c>
      <c r="I20" s="640">
        <f>IF(ResultTable[[#This Row],[Required?]]="No", "N/A", SUMIF('Materials Calculations'!A:A,ResultTable[[#This Row],[SCOPE Tier 2 building element]],'Materials Calculations'!H:H))</f>
        <v>0</v>
      </c>
      <c r="J20" s="643">
        <f>SUMIF('Materials Calculations'!A:A,ResultTable[[#This Row],[SCOPE Tier 2 building element]],'Materials Calculations'!J:J)</f>
        <v>0</v>
      </c>
      <c r="K20" s="643">
        <f>SUMIF('Materials Calculations'!A:A,ResultTable[[#This Row],[SCOPE Tier 2 building element]],'Materials Calculations'!L:L)</f>
        <v>0</v>
      </c>
      <c r="L20" s="482"/>
      <c r="M20" s="482"/>
      <c r="N20" s="482"/>
      <c r="O20" s="643">
        <f>SUMIF('Materials Calculations'!A:A,ResultTable[[#This Row],[SCOPE Tier 2 building element]],'Materials Calculations'!O:O)</f>
        <v>0</v>
      </c>
      <c r="P20" s="482"/>
      <c r="Q20" s="447"/>
      <c r="R20" s="448"/>
      <c r="S20" s="448"/>
      <c r="T20" s="643">
        <f>SUMIF('Materials Calculations'!A:A,ResultTable[[#This Row],[SCOPE Tier 2 building element]],'Materials Calculations'!X:X)</f>
        <v>0</v>
      </c>
      <c r="U20" s="643">
        <f>SUMIF('Materials Calculations'!A:A,ResultTable[[#This Row],[SCOPE Tier 2 building element]],'Materials Calculations'!AB:AB)</f>
        <v>0</v>
      </c>
      <c r="V20" s="643">
        <f>SUMIF('Materials Calculations'!A:A,ResultTable[[#This Row],[SCOPE Tier 2 building element]],'Materials Calculations'!AE:AE)</f>
        <v>0</v>
      </c>
      <c r="W20" s="643">
        <f>SUM(ResultTable[[#This Row],[A1 - A3]:[C4]])</f>
        <v>0</v>
      </c>
      <c r="X20" s="668"/>
      <c r="Y20" s="669">
        <f>SUMIF('Materials Calculations'!A:A,ResultTable[[#This Row],[SCOPE Tier 2 building element]],'Materials Calculations'!AG:AG)</f>
        <v>0</v>
      </c>
      <c r="Z20" s="85"/>
      <c r="AA20" s="8" t="str">
        <f>C42</f>
        <v>Other systems</v>
      </c>
      <c r="AB20" s="306">
        <f>SUM(I42:I45)/1000</f>
        <v>0</v>
      </c>
      <c r="AC20" s="306">
        <f t="shared" ref="AC20:AO20" si="14">SUM(J42:J45)/1000</f>
        <v>0</v>
      </c>
      <c r="AD20" s="306">
        <f t="shared" si="14"/>
        <v>0</v>
      </c>
      <c r="AE20" s="306">
        <f t="shared" si="14"/>
        <v>0</v>
      </c>
      <c r="AF20" s="306">
        <f t="shared" si="14"/>
        <v>0</v>
      </c>
      <c r="AG20" s="306">
        <f t="shared" si="14"/>
        <v>0</v>
      </c>
      <c r="AH20" s="306">
        <f t="shared" si="14"/>
        <v>0</v>
      </c>
      <c r="AI20" s="306">
        <f t="shared" si="14"/>
        <v>0</v>
      </c>
      <c r="AJ20" s="306">
        <f t="shared" si="14"/>
        <v>0</v>
      </c>
      <c r="AK20" s="306">
        <f t="shared" si="14"/>
        <v>0</v>
      </c>
      <c r="AL20" s="306">
        <f t="shared" si="14"/>
        <v>0</v>
      </c>
      <c r="AM20" s="306">
        <f t="shared" si="14"/>
        <v>0</v>
      </c>
      <c r="AN20" s="306">
        <f t="shared" si="14"/>
        <v>0</v>
      </c>
      <c r="AO20" s="306">
        <f t="shared" si="14"/>
        <v>0</v>
      </c>
      <c r="AP20" s="306">
        <f>SUM(Y42:Y45)/1000</f>
        <v>0</v>
      </c>
      <c r="AR20" s="8" t="str">
        <f>AP1</f>
        <v>Seq. Total</v>
      </c>
      <c r="AS20" s="609">
        <f>AP26</f>
        <v>0</v>
      </c>
    </row>
    <row r="21" spans="2:45" ht="15" thickBot="1" x14ac:dyDescent="0.35">
      <c r="B21" s="852"/>
      <c r="C21" s="8" t="s">
        <v>511</v>
      </c>
      <c r="D21" s="8" t="str">
        <f>Dropdowns!B18</f>
        <v>Sanitary fittings</v>
      </c>
      <c r="E21" s="446" t="s">
        <v>821</v>
      </c>
      <c r="F21" s="479" t="s">
        <v>678</v>
      </c>
      <c r="G21" s="642">
        <f>COUNTIFS('Materials Calculations'!A:A,ResultTable[[#This Row],[SCOPE Tier 2 building element]],'Materials Calculations'!F:F,"&gt;0")</f>
        <v>0</v>
      </c>
      <c r="H21" s="695" t="str">
        <f>IF(ResultTable[[#This Row],[n. of data lines]]&gt;0,"Yes","No")</f>
        <v>No</v>
      </c>
      <c r="I21" s="640">
        <f>IF(ResultTable[[#This Row],[Required?]]="No", "N/A", SUMIF('Materials Calculations'!A:A,ResultTable[[#This Row],[SCOPE Tier 2 building element]],'Materials Calculations'!H:H))</f>
        <v>0</v>
      </c>
      <c r="J21" s="643">
        <f>SUMIF('Materials Calculations'!A:A,ResultTable[[#This Row],[SCOPE Tier 2 building element]],'Materials Calculations'!J:J)</f>
        <v>0</v>
      </c>
      <c r="K21" s="643">
        <f>SUMIF('Materials Calculations'!A:A,ResultTable[[#This Row],[SCOPE Tier 2 building element]],'Materials Calculations'!L:L)</f>
        <v>0</v>
      </c>
      <c r="L21" s="482"/>
      <c r="M21" s="482"/>
      <c r="N21" s="482"/>
      <c r="O21" s="643">
        <f>SUMIF('Materials Calculations'!A:A,ResultTable[[#This Row],[SCOPE Tier 2 building element]],'Materials Calculations'!O:O)</f>
        <v>0</v>
      </c>
      <c r="P21" s="482"/>
      <c r="Q21" s="447"/>
      <c r="R21" s="448"/>
      <c r="S21" s="448"/>
      <c r="T21" s="643">
        <f>SUMIF('Materials Calculations'!A:A,ResultTable[[#This Row],[SCOPE Tier 2 building element]],'Materials Calculations'!X:X)</f>
        <v>0</v>
      </c>
      <c r="U21" s="643">
        <f>SUMIF('Materials Calculations'!A:A,ResultTable[[#This Row],[SCOPE Tier 2 building element]],'Materials Calculations'!AB:AB)</f>
        <v>0</v>
      </c>
      <c r="V21" s="643">
        <f>SUMIF('Materials Calculations'!A:A,ResultTable[[#This Row],[SCOPE Tier 2 building element]],'Materials Calculations'!AE:AE)</f>
        <v>0</v>
      </c>
      <c r="W21" s="643">
        <f>SUM(ResultTable[[#This Row],[A1 - A3]:[C4]])</f>
        <v>0</v>
      </c>
      <c r="X21" s="668"/>
      <c r="Y21" s="669">
        <f>SUMIF('Materials Calculations'!A:A,ResultTable[[#This Row],[SCOPE Tier 2 building element]],'Materials Calculations'!AG:AG)</f>
        <v>0</v>
      </c>
      <c r="Z21" s="85"/>
      <c r="AA21" s="8" t="str">
        <f>C46</f>
        <v>B1 Refrigerants</v>
      </c>
      <c r="AB21" s="306">
        <f>I46/1000</f>
        <v>0</v>
      </c>
      <c r="AC21" s="306">
        <f t="shared" ref="AC21:AO21" si="15">J46/1000</f>
        <v>0</v>
      </c>
      <c r="AD21" s="306">
        <f t="shared" si="15"/>
        <v>0</v>
      </c>
      <c r="AE21" s="306">
        <f t="shared" si="15"/>
        <v>0</v>
      </c>
      <c r="AF21" s="306">
        <f t="shared" si="15"/>
        <v>0</v>
      </c>
      <c r="AG21" s="306">
        <f t="shared" si="15"/>
        <v>0</v>
      </c>
      <c r="AH21" s="306">
        <f t="shared" si="15"/>
        <v>0</v>
      </c>
      <c r="AI21" s="306">
        <f t="shared" si="15"/>
        <v>0</v>
      </c>
      <c r="AJ21" s="306">
        <f t="shared" si="15"/>
        <v>0</v>
      </c>
      <c r="AK21" s="306">
        <f t="shared" si="15"/>
        <v>0</v>
      </c>
      <c r="AL21" s="306">
        <f t="shared" si="15"/>
        <v>0</v>
      </c>
      <c r="AM21" s="306">
        <f t="shared" si="15"/>
        <v>0</v>
      </c>
      <c r="AN21" s="306">
        <f t="shared" si="15"/>
        <v>0</v>
      </c>
      <c r="AO21" s="306">
        <f t="shared" si="15"/>
        <v>0</v>
      </c>
      <c r="AP21" s="306">
        <f>Y46/1000</f>
        <v>0</v>
      </c>
    </row>
    <row r="22" spans="2:45" ht="15" thickBot="1" x14ac:dyDescent="0.35">
      <c r="B22" s="852"/>
      <c r="C22" s="700" t="s">
        <v>511</v>
      </c>
      <c r="D22" s="8" t="str">
        <f>Dropdowns!B19</f>
        <v>Cupboards, wardbrobes and worktops (where provided in residential property)</v>
      </c>
      <c r="E22" s="446" t="s">
        <v>822</v>
      </c>
      <c r="F22" s="479" t="s">
        <v>678</v>
      </c>
      <c r="G22" s="642">
        <f>COUNTIFS('Materials Calculations'!A:A,ResultTable[[#This Row],[SCOPE Tier 2 building element]],'Materials Calculations'!F:F,"&gt;0")</f>
        <v>0</v>
      </c>
      <c r="H22" s="695" t="str">
        <f>IF(ResultTable[[#This Row],[n. of data lines]]&gt;0,"Yes","No")</f>
        <v>No</v>
      </c>
      <c r="I22" s="640">
        <f>IF(ResultTable[[#This Row],[Required?]]="No", "N/A", SUMIF('Materials Calculations'!A:A,ResultTable[[#This Row],[SCOPE Tier 2 building element]],'Materials Calculations'!H:H))</f>
        <v>0</v>
      </c>
      <c r="J22" s="643">
        <f>SUMIF('Materials Calculations'!A:A,ResultTable[[#This Row],[SCOPE Tier 2 building element]],'Materials Calculations'!J:J)</f>
        <v>0</v>
      </c>
      <c r="K22" s="643">
        <f>SUMIF('Materials Calculations'!A:A,ResultTable[[#This Row],[SCOPE Tier 2 building element]],'Materials Calculations'!L:L)</f>
        <v>0</v>
      </c>
      <c r="L22" s="482"/>
      <c r="M22" s="482"/>
      <c r="N22" s="482"/>
      <c r="O22" s="643">
        <f>SUMIF('Materials Calculations'!A:A,ResultTable[[#This Row],[SCOPE Tier 2 building element]],'Materials Calculations'!O:O)</f>
        <v>0</v>
      </c>
      <c r="P22" s="482"/>
      <c r="Q22" s="447"/>
      <c r="R22" s="448"/>
      <c r="S22" s="448"/>
      <c r="T22" s="643">
        <f>SUMIF('Materials Calculations'!A:A,ResultTable[[#This Row],[SCOPE Tier 2 building element]],'Materials Calculations'!X:X)</f>
        <v>0</v>
      </c>
      <c r="U22" s="643">
        <f>SUMIF('Materials Calculations'!A:A,ResultTable[[#This Row],[SCOPE Tier 2 building element]],'Materials Calculations'!AB:AB)</f>
        <v>0</v>
      </c>
      <c r="V22" s="643">
        <f>SUMIF('Materials Calculations'!A:A,ResultTable[[#This Row],[SCOPE Tier 2 building element]],'Materials Calculations'!AE:AE)</f>
        <v>0</v>
      </c>
      <c r="W22" s="643">
        <f>SUM(ResultTable[[#This Row],[A1 - A3]:[C4]])</f>
        <v>0</v>
      </c>
      <c r="X22" s="668"/>
      <c r="Y22" s="669">
        <f>SUMIF('Materials Calculations'!A:A,ResultTable[[#This Row],[SCOPE Tier 2 building element]],'Materials Calculations'!AG:AG)</f>
        <v>0</v>
      </c>
      <c r="Z22" s="85"/>
      <c r="AA22" s="8" t="str">
        <f>C47</f>
        <v>B6 Operational Energy</v>
      </c>
      <c r="AB22" s="306">
        <f>I47/1000</f>
        <v>0</v>
      </c>
      <c r="AC22" s="306">
        <f t="shared" ref="AC22:AO22" si="16">J47/1000</f>
        <v>0</v>
      </c>
      <c r="AD22" s="306">
        <f t="shared" si="16"/>
        <v>0</v>
      </c>
      <c r="AE22" s="306">
        <f t="shared" si="16"/>
        <v>0</v>
      </c>
      <c r="AF22" s="306">
        <f t="shared" si="16"/>
        <v>0</v>
      </c>
      <c r="AG22" s="306">
        <f t="shared" si="16"/>
        <v>0</v>
      </c>
      <c r="AH22" s="306">
        <f t="shared" si="16"/>
        <v>0</v>
      </c>
      <c r="AI22" s="306">
        <f t="shared" si="16"/>
        <v>0</v>
      </c>
      <c r="AJ22" s="306">
        <f t="shared" si="16"/>
        <v>5.9872463535433768E-3</v>
      </c>
      <c r="AK22" s="306">
        <f t="shared" si="16"/>
        <v>0</v>
      </c>
      <c r="AL22" s="306">
        <f t="shared" si="16"/>
        <v>0</v>
      </c>
      <c r="AM22" s="306">
        <f t="shared" si="16"/>
        <v>0</v>
      </c>
      <c r="AN22" s="306">
        <f t="shared" si="16"/>
        <v>0</v>
      </c>
      <c r="AO22" s="306">
        <f t="shared" si="16"/>
        <v>0</v>
      </c>
      <c r="AP22" s="306">
        <f>Y47/1000</f>
        <v>0</v>
      </c>
    </row>
    <row r="23" spans="2:45" ht="15" thickBot="1" x14ac:dyDescent="0.35">
      <c r="B23" s="852"/>
      <c r="C23" s="700" t="s">
        <v>511</v>
      </c>
      <c r="D23" s="8" t="str">
        <f>Dropdowns!B20</f>
        <v>Ceilings finish</v>
      </c>
      <c r="E23" s="446" t="s">
        <v>823</v>
      </c>
      <c r="F23" s="479" t="s">
        <v>678</v>
      </c>
      <c r="G23" s="642">
        <f>COUNTIFS('Materials Calculations'!A:A,ResultTable[[#This Row],[SCOPE Tier 2 building element]],'Materials Calculations'!F:F,"&gt;0")</f>
        <v>0</v>
      </c>
      <c r="H23" s="695" t="str">
        <f>IF(ResultTable[[#This Row],[n. of data lines]]&gt;0,"Yes","No")</f>
        <v>No</v>
      </c>
      <c r="I23" s="640">
        <f>IF(ResultTable[[#This Row],[Required?]]="No", "N/A", SUMIF('Materials Calculations'!A:A,ResultTable[[#This Row],[SCOPE Tier 2 building element]],'Materials Calculations'!H:H))</f>
        <v>0</v>
      </c>
      <c r="J23" s="643">
        <f>SUMIF('Materials Calculations'!A:A,ResultTable[[#This Row],[SCOPE Tier 2 building element]],'Materials Calculations'!J:J)</f>
        <v>0</v>
      </c>
      <c r="K23" s="643">
        <f>SUMIF('Materials Calculations'!A:A,ResultTable[[#This Row],[SCOPE Tier 2 building element]],'Materials Calculations'!L:L)</f>
        <v>0</v>
      </c>
      <c r="L23" s="482"/>
      <c r="M23" s="482"/>
      <c r="N23" s="482"/>
      <c r="O23" s="643">
        <f>SUMIF('Materials Calculations'!A:A,ResultTable[[#This Row],[SCOPE Tier 2 building element]],'Materials Calculations'!O:O)</f>
        <v>0</v>
      </c>
      <c r="P23" s="482"/>
      <c r="Q23" s="447"/>
      <c r="R23" s="448"/>
      <c r="S23" s="448"/>
      <c r="T23" s="643">
        <f>SUMIF('Materials Calculations'!A:A,ResultTable[[#This Row],[SCOPE Tier 2 building element]],'Materials Calculations'!X:X)</f>
        <v>0</v>
      </c>
      <c r="U23" s="643">
        <f>SUMIF('Materials Calculations'!A:A,ResultTable[[#This Row],[SCOPE Tier 2 building element]],'Materials Calculations'!AB:AB)</f>
        <v>0</v>
      </c>
      <c r="V23" s="643">
        <f>SUMIF('Materials Calculations'!A:A,ResultTable[[#This Row],[SCOPE Tier 2 building element]],'Materials Calculations'!AE:AE)</f>
        <v>0</v>
      </c>
      <c r="W23" s="643">
        <f>SUM(ResultTable[[#This Row],[A1 - A3]:[C4]])</f>
        <v>0</v>
      </c>
      <c r="X23" s="668"/>
      <c r="Y23" s="669">
        <f>SUMIF('Materials Calculations'!A:A,ResultTable[[#This Row],[SCOPE Tier 2 building element]],'Materials Calculations'!AG:AG)</f>
        <v>0</v>
      </c>
      <c r="Z23" s="85"/>
      <c r="AA23" s="8" t="str">
        <f>C48</f>
        <v>B7 Operational Water</v>
      </c>
      <c r="AB23" s="306">
        <f>I48/1000</f>
        <v>0</v>
      </c>
      <c r="AC23" s="306">
        <f t="shared" ref="AC23:AO23" si="17">J48/1000</f>
        <v>0</v>
      </c>
      <c r="AD23" s="306">
        <f t="shared" si="17"/>
        <v>0</v>
      </c>
      <c r="AE23" s="306">
        <f t="shared" si="17"/>
        <v>0</v>
      </c>
      <c r="AF23" s="306">
        <f t="shared" si="17"/>
        <v>0</v>
      </c>
      <c r="AG23" s="306">
        <f t="shared" si="17"/>
        <v>0</v>
      </c>
      <c r="AH23" s="306">
        <f t="shared" si="17"/>
        <v>0</v>
      </c>
      <c r="AI23" s="306">
        <f t="shared" si="17"/>
        <v>0</v>
      </c>
      <c r="AJ23" s="306">
        <f t="shared" si="17"/>
        <v>0</v>
      </c>
      <c r="AK23" s="306">
        <f t="shared" si="17"/>
        <v>0</v>
      </c>
      <c r="AL23" s="306">
        <f t="shared" si="17"/>
        <v>0</v>
      </c>
      <c r="AM23" s="306">
        <f t="shared" si="17"/>
        <v>0</v>
      </c>
      <c r="AN23" s="306">
        <f t="shared" si="17"/>
        <v>0</v>
      </c>
      <c r="AO23" s="306">
        <f t="shared" si="17"/>
        <v>0</v>
      </c>
      <c r="AP23" s="306">
        <f>Y48/1000</f>
        <v>0</v>
      </c>
    </row>
    <row r="24" spans="2:45" ht="15" thickBot="1" x14ac:dyDescent="0.35">
      <c r="B24" s="852"/>
      <c r="C24" s="700" t="s">
        <v>511</v>
      </c>
      <c r="D24" s="8" t="str">
        <f>Dropdowns!B21</f>
        <v>Wall finish</v>
      </c>
      <c r="E24" s="446" t="s">
        <v>823</v>
      </c>
      <c r="F24" s="479" t="s">
        <v>678</v>
      </c>
      <c r="G24" s="642">
        <f>COUNTIFS('Materials Calculations'!A:A,ResultTable[[#This Row],[SCOPE Tier 2 building element]],'Materials Calculations'!F:F,"&gt;0")</f>
        <v>0</v>
      </c>
      <c r="H24" s="695" t="str">
        <f>IF(ResultTable[[#This Row],[n. of data lines]]&gt;0,"Yes","No")</f>
        <v>No</v>
      </c>
      <c r="I24" s="640">
        <f>IF(ResultTable[[#This Row],[Required?]]="No", "N/A", SUMIF('Materials Calculations'!A:A,ResultTable[[#This Row],[SCOPE Tier 2 building element]],'Materials Calculations'!H:H))</f>
        <v>0</v>
      </c>
      <c r="J24" s="643">
        <f>SUMIF('Materials Calculations'!A:A,ResultTable[[#This Row],[SCOPE Tier 2 building element]],'Materials Calculations'!J:J)</f>
        <v>0</v>
      </c>
      <c r="K24" s="643">
        <f>SUMIF('Materials Calculations'!A:A,ResultTable[[#This Row],[SCOPE Tier 2 building element]],'Materials Calculations'!L:L)</f>
        <v>0</v>
      </c>
      <c r="L24" s="482"/>
      <c r="M24" s="482"/>
      <c r="N24" s="482"/>
      <c r="O24" s="643">
        <f>SUMIF('Materials Calculations'!A:A,ResultTable[[#This Row],[SCOPE Tier 2 building element]],'Materials Calculations'!O:O)</f>
        <v>0</v>
      </c>
      <c r="P24" s="482"/>
      <c r="Q24" s="447"/>
      <c r="R24" s="448"/>
      <c r="S24" s="448"/>
      <c r="T24" s="643">
        <f>SUMIF('Materials Calculations'!A:A,ResultTable[[#This Row],[SCOPE Tier 2 building element]],'Materials Calculations'!X:X)</f>
        <v>0</v>
      </c>
      <c r="U24" s="643">
        <f>SUMIF('Materials Calculations'!A:A,ResultTable[[#This Row],[SCOPE Tier 2 building element]],'Materials Calculations'!AB:AB)</f>
        <v>0</v>
      </c>
      <c r="V24" s="643">
        <f>SUMIF('Materials Calculations'!A:A,ResultTable[[#This Row],[SCOPE Tier 2 building element]],'Materials Calculations'!AE:AE)</f>
        <v>0</v>
      </c>
      <c r="W24" s="643">
        <f>SUM(ResultTable[[#This Row],[A1 - A3]:[C4]])</f>
        <v>0</v>
      </c>
      <c r="X24" s="668"/>
      <c r="Y24" s="669">
        <f>SUMIF('Materials Calculations'!A:A,ResultTable[[#This Row],[SCOPE Tier 2 building element]],'Materials Calculations'!AG:AG)</f>
        <v>0</v>
      </c>
      <c r="Z24" s="85"/>
      <c r="AA24" s="8" t="str">
        <f>C49</f>
        <v xml:space="preserve">C1 Deconstruction </v>
      </c>
      <c r="AB24" s="306">
        <f>I49/1000</f>
        <v>0</v>
      </c>
      <c r="AC24" s="306">
        <f t="shared" ref="AC24:AO24" si="18">J49/1000</f>
        <v>0</v>
      </c>
      <c r="AD24" s="306">
        <f t="shared" si="18"/>
        <v>0</v>
      </c>
      <c r="AE24" s="306">
        <f t="shared" si="18"/>
        <v>0</v>
      </c>
      <c r="AF24" s="306">
        <f t="shared" si="18"/>
        <v>0</v>
      </c>
      <c r="AG24" s="306">
        <f t="shared" si="18"/>
        <v>0</v>
      </c>
      <c r="AH24" s="306">
        <f t="shared" si="18"/>
        <v>0</v>
      </c>
      <c r="AI24" s="306">
        <f t="shared" si="18"/>
        <v>0</v>
      </c>
      <c r="AJ24" s="306">
        <f t="shared" si="18"/>
        <v>0</v>
      </c>
      <c r="AK24" s="306">
        <f t="shared" si="18"/>
        <v>0</v>
      </c>
      <c r="AL24" s="306">
        <f t="shared" si="18"/>
        <v>0.10879999999999999</v>
      </c>
      <c r="AM24" s="306">
        <f t="shared" si="18"/>
        <v>0</v>
      </c>
      <c r="AN24" s="306">
        <f t="shared" si="18"/>
        <v>0</v>
      </c>
      <c r="AO24" s="306">
        <f t="shared" si="18"/>
        <v>0</v>
      </c>
      <c r="AP24" s="306">
        <f>Y49/1000</f>
        <v>0</v>
      </c>
    </row>
    <row r="25" spans="2:45" ht="15" thickBot="1" x14ac:dyDescent="0.35">
      <c r="B25" s="852"/>
      <c r="C25" s="700" t="s">
        <v>511</v>
      </c>
      <c r="D25" s="8" t="str">
        <f>Dropdowns!B22</f>
        <v>Floor coverings and finishes</v>
      </c>
      <c r="E25" s="446" t="s">
        <v>823</v>
      </c>
      <c r="F25" s="479" t="s">
        <v>678</v>
      </c>
      <c r="G25" s="642">
        <f>COUNTIFS('Materials Calculations'!A:A,ResultTable[[#This Row],[SCOPE Tier 2 building element]],'Materials Calculations'!F:F,"&gt;0")</f>
        <v>0</v>
      </c>
      <c r="H25" s="695" t="str">
        <f>IF(ResultTable[[#This Row],[n. of data lines]]&gt;0,"Yes","No")</f>
        <v>No</v>
      </c>
      <c r="I25" s="640">
        <f>IF(ResultTable[[#This Row],[Required?]]="No", "N/A", SUMIF('Materials Calculations'!A:A,ResultTable[[#This Row],[SCOPE Tier 2 building element]],'Materials Calculations'!H:H))</f>
        <v>0</v>
      </c>
      <c r="J25" s="643">
        <f>SUMIF('Materials Calculations'!A:A,ResultTable[[#This Row],[SCOPE Tier 2 building element]],'Materials Calculations'!J:J)</f>
        <v>0</v>
      </c>
      <c r="K25" s="643">
        <f>SUMIF('Materials Calculations'!A:A,ResultTable[[#This Row],[SCOPE Tier 2 building element]],'Materials Calculations'!L:L)</f>
        <v>0</v>
      </c>
      <c r="L25" s="482"/>
      <c r="M25" s="482"/>
      <c r="N25" s="482"/>
      <c r="O25" s="643">
        <f>SUMIF('Materials Calculations'!A:A,ResultTable[[#This Row],[SCOPE Tier 2 building element]],'Materials Calculations'!O:O)</f>
        <v>0</v>
      </c>
      <c r="P25" s="482"/>
      <c r="Q25" s="447"/>
      <c r="R25" s="448"/>
      <c r="S25" s="448"/>
      <c r="T25" s="643">
        <f>SUMIF('Materials Calculations'!A:A,ResultTable[[#This Row],[SCOPE Tier 2 building element]],'Materials Calculations'!X:X)</f>
        <v>0</v>
      </c>
      <c r="U25" s="643">
        <f>SUMIF('Materials Calculations'!A:A,ResultTable[[#This Row],[SCOPE Tier 2 building element]],'Materials Calculations'!AB:AB)</f>
        <v>0</v>
      </c>
      <c r="V25" s="643">
        <f>SUMIF('Materials Calculations'!A:A,ResultTable[[#This Row],[SCOPE Tier 2 building element]],'Materials Calculations'!AE:AE)</f>
        <v>0</v>
      </c>
      <c r="W25" s="643">
        <f>SUM(ResultTable[[#This Row],[A1 - A3]:[C4]])</f>
        <v>0</v>
      </c>
      <c r="X25" s="668"/>
      <c r="Y25" s="669">
        <f>SUMIF('Materials Calculations'!A:A,ResultTable[[#This Row],[SCOPE Tier 2 building element]],'Materials Calculations'!AG:AG)</f>
        <v>0</v>
      </c>
      <c r="Z25" s="85"/>
      <c r="AA25" s="85" t="s">
        <v>1445</v>
      </c>
      <c r="AP25" s="553">
        <f>SUM(AP5:AP24)</f>
        <v>0</v>
      </c>
    </row>
    <row r="26" spans="2:45" ht="14.4" customHeight="1" thickBot="1" x14ac:dyDescent="0.35">
      <c r="B26" s="852"/>
      <c r="C26" s="8" t="s">
        <v>824</v>
      </c>
      <c r="D26" s="8" t="str">
        <f>Dropdowns!B23</f>
        <v>Drainage system</v>
      </c>
      <c r="E26" s="446" t="s">
        <v>825</v>
      </c>
      <c r="F26" s="479" t="s">
        <v>678</v>
      </c>
      <c r="G26" s="642">
        <f>COUNTIFS('Materials Calculations'!A:A,ResultTable[[#This Row],[SCOPE Tier 2 building element]],'Materials Calculations'!F:F,"&gt;0")</f>
        <v>0</v>
      </c>
      <c r="H26" s="695" t="str">
        <f>IF(ResultTable[[#This Row],[n. of data lines]]&gt;0,"Yes","No")</f>
        <v>No</v>
      </c>
      <c r="I26" s="640">
        <f>IF(ResultTable[[#This Row],[Required?]]="No", "N/A", SUMIF('Materials Calculations'!A:A,ResultTable[[#This Row],[SCOPE Tier 2 building element]],'Materials Calculations'!H:H))</f>
        <v>0</v>
      </c>
      <c r="J26" s="643">
        <f>SUMIF('Materials Calculations'!A:A,ResultTable[[#This Row],[SCOPE Tier 2 building element]],'Materials Calculations'!J:J)</f>
        <v>0</v>
      </c>
      <c r="K26" s="643">
        <f>SUMIF('Materials Calculations'!A:A,ResultTable[[#This Row],[SCOPE Tier 2 building element]],'Materials Calculations'!L:L)</f>
        <v>0</v>
      </c>
      <c r="L26" s="482"/>
      <c r="M26" s="482"/>
      <c r="N26" s="482"/>
      <c r="O26" s="643">
        <f>SUMIF('Materials Calculations'!A:A,ResultTable[[#This Row],[SCOPE Tier 2 building element]],'Materials Calculations'!O:O)</f>
        <v>0</v>
      </c>
      <c r="P26" s="482"/>
      <c r="Q26" s="447"/>
      <c r="R26" s="448"/>
      <c r="S26" s="448"/>
      <c r="T26" s="643">
        <f>SUMIF('Materials Calculations'!A:A,ResultTable[[#This Row],[SCOPE Tier 2 building element]],'Materials Calculations'!X:X)</f>
        <v>0</v>
      </c>
      <c r="U26" s="643">
        <f>SUMIF('Materials Calculations'!A:A,ResultTable[[#This Row],[SCOPE Tier 2 building element]],'Materials Calculations'!AB:AB)</f>
        <v>0</v>
      </c>
      <c r="V26" s="643">
        <f>SUMIF('Materials Calculations'!A:A,ResultTable[[#This Row],[SCOPE Tier 2 building element]],'Materials Calculations'!AE:AE)</f>
        <v>0</v>
      </c>
      <c r="W26" s="643">
        <f>SUM(ResultTable[[#This Row],[A1 - A3]:[C4]])</f>
        <v>0</v>
      </c>
      <c r="X26" s="668"/>
      <c r="Y26" s="669">
        <f>SUMIF('Materials Calculations'!A:A,ResultTable[[#This Row],[SCOPE Tier 2 building element]],'Materials Calculations'!AG:AG)</f>
        <v>0</v>
      </c>
      <c r="Z26" s="85"/>
      <c r="AA26" s="8" t="str">
        <f>C50</f>
        <v>TOTAL</v>
      </c>
      <c r="AB26" s="553">
        <f t="shared" ref="AB26:AO26" si="19">SUM(AB5:AB24)</f>
        <v>0</v>
      </c>
      <c r="AC26" s="553">
        <f t="shared" si="19"/>
        <v>0</v>
      </c>
      <c r="AD26" s="42">
        <f t="shared" si="19"/>
        <v>0</v>
      </c>
      <c r="AE26" s="553">
        <f t="shared" si="19"/>
        <v>0</v>
      </c>
      <c r="AF26" s="553">
        <f t="shared" si="19"/>
        <v>0</v>
      </c>
      <c r="AG26" s="553">
        <f t="shared" si="19"/>
        <v>0</v>
      </c>
      <c r="AH26" s="553">
        <f t="shared" si="19"/>
        <v>0</v>
      </c>
      <c r="AI26" s="553">
        <f t="shared" si="19"/>
        <v>0</v>
      </c>
      <c r="AJ26" s="553">
        <f t="shared" si="19"/>
        <v>5.9872463535433768E-3</v>
      </c>
      <c r="AK26" s="553">
        <f t="shared" si="19"/>
        <v>0</v>
      </c>
      <c r="AL26" s="553">
        <f t="shared" si="19"/>
        <v>0.10879999999999999</v>
      </c>
      <c r="AM26" s="553">
        <f t="shared" si="19"/>
        <v>0</v>
      </c>
      <c r="AN26" s="553">
        <f t="shared" ca="1" si="19"/>
        <v>0</v>
      </c>
      <c r="AO26" s="553">
        <f t="shared" si="19"/>
        <v>0</v>
      </c>
    </row>
    <row r="27" spans="2:45" ht="15" thickBot="1" x14ac:dyDescent="0.35">
      <c r="B27" s="852"/>
      <c r="C27" s="8" t="s">
        <v>826</v>
      </c>
      <c r="D27" s="8" t="str">
        <f>Dropdowns!B24</f>
        <v>Connections and diversions</v>
      </c>
      <c r="E27" s="446" t="s">
        <v>827</v>
      </c>
      <c r="F27" s="479" t="s">
        <v>678</v>
      </c>
      <c r="G27" s="642">
        <f>COUNTIFS('Materials Calculations'!A:A,ResultTable[[#This Row],[SCOPE Tier 2 building element]],'Materials Calculations'!F:F,"&gt;0")</f>
        <v>0</v>
      </c>
      <c r="H27" s="695" t="str">
        <f>IF(ResultTable[[#This Row],[n. of data lines]]&gt;0,"Yes","No")</f>
        <v>No</v>
      </c>
      <c r="I27" s="640">
        <f>IF(ResultTable[[#This Row],[Required?]]="No", "N/A", SUMIF('Materials Calculations'!A:A,ResultTable[[#This Row],[SCOPE Tier 2 building element]],'Materials Calculations'!H:H))</f>
        <v>0</v>
      </c>
      <c r="J27" s="643">
        <f>SUMIF('Materials Calculations'!A:A,ResultTable[[#This Row],[SCOPE Tier 2 building element]],'Materials Calculations'!J:J)</f>
        <v>0</v>
      </c>
      <c r="K27" s="643">
        <f>SUMIF('Materials Calculations'!A:A,ResultTable[[#This Row],[SCOPE Tier 2 building element]],'Materials Calculations'!L:L)</f>
        <v>0</v>
      </c>
      <c r="L27" s="482"/>
      <c r="M27" s="482"/>
      <c r="N27" s="482"/>
      <c r="O27" s="643">
        <f>SUMIF('Materials Calculations'!A:A,ResultTable[[#This Row],[SCOPE Tier 2 building element]],'Materials Calculations'!O:O)</f>
        <v>0</v>
      </c>
      <c r="P27" s="482"/>
      <c r="Q27" s="447"/>
      <c r="R27" s="448"/>
      <c r="S27" s="448"/>
      <c r="T27" s="643">
        <f>SUMIF('Materials Calculations'!A:A,ResultTable[[#This Row],[SCOPE Tier 2 building element]],'Materials Calculations'!X:X)</f>
        <v>0</v>
      </c>
      <c r="U27" s="643">
        <f>SUMIF('Materials Calculations'!A:A,ResultTable[[#This Row],[SCOPE Tier 2 building element]],'Materials Calculations'!AB:AB)</f>
        <v>0</v>
      </c>
      <c r="V27" s="643">
        <f>SUMIF('Materials Calculations'!A:A,ResultTable[[#This Row],[SCOPE Tier 2 building element]],'Materials Calculations'!AE:AE)</f>
        <v>0</v>
      </c>
      <c r="W27" s="643">
        <f>SUM(ResultTable[[#This Row],[A1 - A3]:[C4]])</f>
        <v>0</v>
      </c>
      <c r="X27" s="668"/>
      <c r="Y27" s="669">
        <f>SUMIF('Materials Calculations'!A:A,ResultTable[[#This Row],[SCOPE Tier 2 building element]],'Materials Calculations'!AG:AG)</f>
        <v>0</v>
      </c>
      <c r="Z27" s="85"/>
      <c r="AA27" s="8"/>
    </row>
    <row r="28" spans="2:45" ht="15" thickBot="1" x14ac:dyDescent="0.35">
      <c r="B28" s="852"/>
      <c r="C28" s="700" t="s">
        <v>826</v>
      </c>
      <c r="D28" s="8" t="str">
        <f>Dropdowns!B25</f>
        <v>Substations and equipment</v>
      </c>
      <c r="E28" s="446" t="s">
        <v>827</v>
      </c>
      <c r="F28" s="479" t="s">
        <v>678</v>
      </c>
      <c r="G28" s="642">
        <f>COUNTIFS('Materials Calculations'!A:A,ResultTable[[#This Row],[SCOPE Tier 2 building element]],'Materials Calculations'!F:F,"&gt;0")</f>
        <v>0</v>
      </c>
      <c r="H28" s="695" t="str">
        <f>IF(ResultTable[[#This Row],[n. of data lines]]&gt;0,"Yes","No")</f>
        <v>No</v>
      </c>
      <c r="I28" s="640">
        <f>IF(ResultTable[[#This Row],[Required?]]="No", "N/A", SUMIF('Materials Calculations'!A:A,ResultTable[[#This Row],[SCOPE Tier 2 building element]],'Materials Calculations'!H:H))</f>
        <v>0</v>
      </c>
      <c r="J28" s="643">
        <f>SUMIF('Materials Calculations'!A:A,ResultTable[[#This Row],[SCOPE Tier 2 building element]],'Materials Calculations'!J:J)</f>
        <v>0</v>
      </c>
      <c r="K28" s="643">
        <f>SUMIF('Materials Calculations'!A:A,ResultTable[[#This Row],[SCOPE Tier 2 building element]],'Materials Calculations'!L:L)</f>
        <v>0</v>
      </c>
      <c r="L28" s="482"/>
      <c r="M28" s="482"/>
      <c r="N28" s="482"/>
      <c r="O28" s="643">
        <f>SUMIF('Materials Calculations'!A:A,ResultTable[[#This Row],[SCOPE Tier 2 building element]],'Materials Calculations'!O:O)</f>
        <v>0</v>
      </c>
      <c r="P28" s="482"/>
      <c r="Q28" s="447"/>
      <c r="R28" s="448"/>
      <c r="S28" s="448"/>
      <c r="T28" s="643">
        <f>SUMIF('Materials Calculations'!A:A,ResultTable[[#This Row],[SCOPE Tier 2 building element]],'Materials Calculations'!X:X)</f>
        <v>0</v>
      </c>
      <c r="U28" s="643">
        <f>SUMIF('Materials Calculations'!A:A,ResultTable[[#This Row],[SCOPE Tier 2 building element]],'Materials Calculations'!AB:AB)</f>
        <v>0</v>
      </c>
      <c r="V28" s="643">
        <f>SUMIF('Materials Calculations'!A:A,ResultTable[[#This Row],[SCOPE Tier 2 building element]],'Materials Calculations'!AE:AE)</f>
        <v>0</v>
      </c>
      <c r="W28" s="643">
        <f>SUM(ResultTable[[#This Row],[A1 - A3]:[C4]])</f>
        <v>0</v>
      </c>
      <c r="X28" s="668"/>
      <c r="Y28" s="669">
        <f>SUMIF('Materials Calculations'!A:A,ResultTable[[#This Row],[SCOPE Tier 2 building element]],'Materials Calculations'!AG:AG)</f>
        <v>0</v>
      </c>
      <c r="Z28" s="85"/>
      <c r="AA28" s="85" t="s">
        <v>1431</v>
      </c>
      <c r="AB28" s="394">
        <f ca="1">(ResultTable[[#Totals],[TOTAL Embodied Carbon]])/(ResultTable[[#Totals],[TOTAL Embodied Carbon]]+ResultTable[[#Totals],[B6]]+ResultTable[[#Totals],[B7]])</f>
        <v>0.94784049148541538</v>
      </c>
      <c r="AC28" s="307"/>
      <c r="AD28" s="307"/>
      <c r="AE28" s="307"/>
      <c r="AF28" s="307"/>
      <c r="AG28" s="307"/>
      <c r="AH28" s="307"/>
      <c r="AI28" s="307"/>
      <c r="AJ28" s="307"/>
      <c r="AK28" s="307"/>
      <c r="AL28" s="307"/>
      <c r="AM28" s="307"/>
      <c r="AN28" s="307"/>
      <c r="AO28" s="307"/>
    </row>
    <row r="29" spans="2:45" ht="15" thickBot="1" x14ac:dyDescent="0.35">
      <c r="B29" s="852"/>
      <c r="C29" s="8" t="s">
        <v>518</v>
      </c>
      <c r="D29" s="8" t="str">
        <f>Dropdowns!B26</f>
        <v>Paving and other hard surfacing</v>
      </c>
      <c r="E29" s="446" t="s">
        <v>820</v>
      </c>
      <c r="F29" s="479" t="s">
        <v>678</v>
      </c>
      <c r="G29" s="642">
        <f>COUNTIFS('Materials Calculations'!A:A,ResultTable[[#This Row],[SCOPE Tier 2 building element]],'Materials Calculations'!F:F,"&gt;0")</f>
        <v>0</v>
      </c>
      <c r="H29" s="695" t="str">
        <f>IF(ResultTable[[#This Row],[n. of data lines]]&gt;0,"Yes","No")</f>
        <v>No</v>
      </c>
      <c r="I29" s="640">
        <f>IF(ResultTable[[#This Row],[Required?]]="No", "N/A", SUMIF('Materials Calculations'!A:A,ResultTable[[#This Row],[SCOPE Tier 2 building element]],'Materials Calculations'!H:H))</f>
        <v>0</v>
      </c>
      <c r="J29" s="643">
        <f>SUMIF('Materials Calculations'!A:A,ResultTable[[#This Row],[SCOPE Tier 2 building element]],'Materials Calculations'!J:J)</f>
        <v>0</v>
      </c>
      <c r="K29" s="643">
        <f>SUMIF('Materials Calculations'!A:A,ResultTable[[#This Row],[SCOPE Tier 2 building element]],'Materials Calculations'!L:L)</f>
        <v>0</v>
      </c>
      <c r="L29" s="482"/>
      <c r="M29" s="482"/>
      <c r="N29" s="482"/>
      <c r="O29" s="643">
        <f>SUMIF('Materials Calculations'!A:A,ResultTable[[#This Row],[SCOPE Tier 2 building element]],'Materials Calculations'!O:O)</f>
        <v>0</v>
      </c>
      <c r="P29" s="482"/>
      <c r="Q29" s="447"/>
      <c r="R29" s="448"/>
      <c r="S29" s="448"/>
      <c r="T29" s="643">
        <f>SUMIF('Materials Calculations'!A:A,ResultTable[[#This Row],[SCOPE Tier 2 building element]],'Materials Calculations'!X:X)</f>
        <v>0</v>
      </c>
      <c r="U29" s="643">
        <f>SUMIF('Materials Calculations'!A:A,ResultTable[[#This Row],[SCOPE Tier 2 building element]],'Materials Calculations'!AB:AB)</f>
        <v>0</v>
      </c>
      <c r="V29" s="643">
        <f>SUMIF('Materials Calculations'!A:A,ResultTable[[#This Row],[SCOPE Tier 2 building element]],'Materials Calculations'!AE:AE)</f>
        <v>0</v>
      </c>
      <c r="W29" s="643">
        <f>SUM(ResultTable[[#This Row],[A1 - A3]:[C4]])</f>
        <v>0</v>
      </c>
      <c r="X29" s="668"/>
      <c r="Y29" s="669">
        <f>SUMIF('Materials Calculations'!A:A,ResultTable[[#This Row],[SCOPE Tier 2 building element]],'Materials Calculations'!AG:AG)</f>
        <v>0</v>
      </c>
      <c r="Z29" s="85"/>
      <c r="AA29" s="85" t="s">
        <v>1432</v>
      </c>
      <c r="AB29" s="394">
        <f ca="1">(ResultTable[[#Totals],[B6]]+ResultTable[[#Totals],[B7]])/(ResultTable[[#Totals],[B6]]+ResultTable[[#Totals],[B7]]+ResultTable[[#Totals],[TOTAL Embodied Carbon]])</f>
        <v>5.2159508514584701E-2</v>
      </c>
      <c r="AC29" s="307"/>
      <c r="AD29" s="307"/>
      <c r="AE29" s="307"/>
      <c r="AF29" s="307"/>
      <c r="AG29" s="307"/>
      <c r="AH29" s="307"/>
      <c r="AI29" s="307"/>
      <c r="AJ29" s="307"/>
      <c r="AK29" s="307"/>
      <c r="AL29" s="307"/>
      <c r="AM29" s="307"/>
      <c r="AN29" s="307"/>
      <c r="AO29" s="307"/>
    </row>
    <row r="30" spans="2:45" ht="15" thickBot="1" x14ac:dyDescent="0.35">
      <c r="B30" s="853"/>
      <c r="C30" s="700" t="s">
        <v>518</v>
      </c>
      <c r="D30" s="455" t="str">
        <f>Dropdowns!B27</f>
        <v>Fencing, railings and walls</v>
      </c>
      <c r="E30" s="449" t="s">
        <v>828</v>
      </c>
      <c r="F30" s="576" t="s">
        <v>678</v>
      </c>
      <c r="G30" s="644">
        <f>COUNTIFS('Materials Calculations'!A:A,ResultTable[[#This Row],[SCOPE Tier 2 building element]],'Materials Calculations'!F:F,"&gt;0")</f>
        <v>0</v>
      </c>
      <c r="H30" s="696" t="str">
        <f>IF(ResultTable[[#This Row],[n. of data lines]]&gt;0,"Yes","No")</f>
        <v>No</v>
      </c>
      <c r="I30" s="640">
        <f>IF(ResultTable[[#This Row],[Required?]]="No", "N/A", SUMIF('Materials Calculations'!A:A,ResultTable[[#This Row],[SCOPE Tier 2 building element]],'Materials Calculations'!H:H))</f>
        <v>0</v>
      </c>
      <c r="J30" s="645">
        <f>SUMIF('Materials Calculations'!A:A,ResultTable[[#This Row],[SCOPE Tier 2 building element]],'Materials Calculations'!J:J)</f>
        <v>0</v>
      </c>
      <c r="K30" s="645">
        <f>SUMIF('Materials Calculations'!A:A,ResultTable[[#This Row],[SCOPE Tier 2 building element]],'Materials Calculations'!L:L)</f>
        <v>0</v>
      </c>
      <c r="L30" s="483"/>
      <c r="M30" s="483"/>
      <c r="N30" s="483"/>
      <c r="O30" s="645">
        <f>SUMIF('Materials Calculations'!A:A,ResultTable[[#This Row],[SCOPE Tier 2 building element]],'Materials Calculations'!O:O)</f>
        <v>0</v>
      </c>
      <c r="P30" s="483"/>
      <c r="Q30" s="450"/>
      <c r="R30" s="451"/>
      <c r="S30" s="451"/>
      <c r="T30" s="645">
        <f>SUMIF('Materials Calculations'!A:A,ResultTable[[#This Row],[SCOPE Tier 2 building element]],'Materials Calculations'!X:X)</f>
        <v>0</v>
      </c>
      <c r="U30" s="645">
        <f>SUMIF('Materials Calculations'!A:A,ResultTable[[#This Row],[SCOPE Tier 2 building element]],'Materials Calculations'!AB:AB)</f>
        <v>0</v>
      </c>
      <c r="V30" s="645">
        <f>SUMIF('Materials Calculations'!A:A,ResultTable[[#This Row],[SCOPE Tier 2 building element]],'Materials Calculations'!AE:AE)</f>
        <v>0</v>
      </c>
      <c r="W30" s="645">
        <f>SUM(ResultTable[[#This Row],[A1 - A3]:[C4]])</f>
        <v>0</v>
      </c>
      <c r="X30" s="670"/>
      <c r="Y30" s="671">
        <f>SUMIF('Materials Calculations'!A:A,ResultTable[[#This Row],[SCOPE Tier 2 building element]],'Materials Calculations'!AG:AG)</f>
        <v>0</v>
      </c>
      <c r="Z30" s="85"/>
      <c r="AA30" s="85" t="s">
        <v>864</v>
      </c>
      <c r="AB30" s="565">
        <f ca="1">(ResultTable[[#Totals],[A1 - A3]]+ResultTable[[#Totals],[A4]]+ResultTable[[#Totals],[A5]])/(ResultTable[[#Totals],[B6]]+ResultTable[[#Totals],[B7]]+ResultTable[[#Totals],[TOTAL Embodied Carbon]])*100</f>
        <v>0</v>
      </c>
      <c r="AC30" s="307"/>
      <c r="AD30" s="307"/>
      <c r="AE30" s="307"/>
      <c r="AF30" s="307"/>
      <c r="AG30" s="307"/>
      <c r="AH30" s="307"/>
      <c r="AI30" s="307"/>
      <c r="AJ30" s="307"/>
      <c r="AK30" s="307"/>
      <c r="AL30" s="307"/>
      <c r="AM30" s="307"/>
      <c r="AN30" s="307"/>
      <c r="AO30" s="307"/>
    </row>
    <row r="31" spans="2:45" ht="15" thickBot="1" x14ac:dyDescent="0.35">
      <c r="B31" s="854" t="s">
        <v>829</v>
      </c>
      <c r="C31" s="135" t="s">
        <v>576</v>
      </c>
      <c r="D31" s="135" t="s">
        <v>467</v>
      </c>
      <c r="E31" s="446" t="s">
        <v>830</v>
      </c>
      <c r="F31" s="588" t="s">
        <v>678</v>
      </c>
      <c r="G31" s="646">
        <f>COUNTIF(MEP!C3:C4,"&gt;0")</f>
        <v>0</v>
      </c>
      <c r="H31" s="695" t="str">
        <f>IF(ResultTable[[#This Row],[n. of data lines]]&gt;0,"Yes","No")</f>
        <v>No</v>
      </c>
      <c r="I31" s="640">
        <f>IF(ResultTable[[#This Row],[Required?]]="No", "N/A", SUMIF(MEPCalculation[SCOPE Tier 2 building element],ResultTable[[#This Row],[SCOPE Tier 2 building element]],MEPCalculation[A1-A3, B3, C1-4]))</f>
        <v>0</v>
      </c>
      <c r="J31" s="647">
        <f>SUMIF(MEPCalculation[SCOPE Tier 2 building element],ResultTable[[#This Row],[SCOPE Tier 2 building element]],MEPCalculation[A4 Transport])</f>
        <v>0</v>
      </c>
      <c r="K31" s="647">
        <f>SUMIF('Materials Calculations'!A:A,ResultTable[[#This Row],[SCOPE Tier 2 building element]],'Materials Calculations'!L:L)</f>
        <v>0</v>
      </c>
      <c r="L31" s="482"/>
      <c r="M31" s="482"/>
      <c r="N31" s="482"/>
      <c r="O31" s="647">
        <f>SUMIF(MEPCalculation[SCOPE Tier 2 building element],ResultTable[[#This Row],[SCOPE Tier 2 building element]],MEPCalculation[B4 Replacements])</f>
        <v>0</v>
      </c>
      <c r="P31" s="482"/>
      <c r="Q31" s="447"/>
      <c r="R31" s="448"/>
      <c r="S31" s="482"/>
      <c r="T31" s="482"/>
      <c r="U31" s="482"/>
      <c r="V31" s="482"/>
      <c r="W31" s="647">
        <f>SUM(ResultTable[[#This Row],[A1 - A3]:[C4]])</f>
        <v>0</v>
      </c>
      <c r="X31" s="668"/>
      <c r="Y31" s="672"/>
      <c r="Z31" s="85"/>
      <c r="AB31" s="307"/>
      <c r="AC31" s="307"/>
      <c r="AD31" s="307"/>
      <c r="AE31" s="307"/>
      <c r="AF31" s="307"/>
      <c r="AG31" s="307"/>
      <c r="AH31" s="307"/>
      <c r="AI31" s="307"/>
      <c r="AJ31" s="307"/>
      <c r="AK31" s="307"/>
      <c r="AL31" s="307"/>
      <c r="AM31" s="307"/>
      <c r="AN31" s="307"/>
      <c r="AO31" s="307"/>
    </row>
    <row r="32" spans="2:45" ht="15" thickBot="1" x14ac:dyDescent="0.35">
      <c r="B32" s="854"/>
      <c r="C32" s="701" t="s">
        <v>576</v>
      </c>
      <c r="D32" s="135" t="s">
        <v>468</v>
      </c>
      <c r="E32" s="446" t="s">
        <v>830</v>
      </c>
      <c r="F32" s="479" t="s">
        <v>678</v>
      </c>
      <c r="G32" s="642">
        <f>COUNTIF(MEP!C5:C6,"&gt;0")</f>
        <v>0</v>
      </c>
      <c r="H32" s="695" t="str">
        <f>IF(ResultTable[[#This Row],[n. of data lines]]&gt;0,"Yes","No")</f>
        <v>No</v>
      </c>
      <c r="I32" s="640">
        <f>IF(ResultTable[[#This Row],[Required?]]="No", "N/A", SUMIF(MEPCalculation[SCOPE Tier 2 building element],ResultTable[[#This Row],[SCOPE Tier 2 building element]],MEPCalculation[A1-A3, B3, C1-4]))</f>
        <v>0</v>
      </c>
      <c r="J32" s="643">
        <f>SUMIF(MEPCalculation[SCOPE Tier 2 building element],ResultTable[[#This Row],[SCOPE Tier 2 building element]],MEPCalculation[A4 Transport])</f>
        <v>0</v>
      </c>
      <c r="K32" s="643">
        <f>SUMIF('Materials Calculations'!A:A,ResultTable[[#This Row],[SCOPE Tier 2 building element]],'Materials Calculations'!L:L)</f>
        <v>0</v>
      </c>
      <c r="L32" s="482"/>
      <c r="M32" s="482"/>
      <c r="N32" s="482"/>
      <c r="O32" s="643">
        <f>SUMIF(MEPCalculation[SCOPE Tier 2 building element],ResultTable[[#This Row],[SCOPE Tier 2 building element]],MEPCalculation[B4 Replacements])</f>
        <v>0</v>
      </c>
      <c r="P32" s="482"/>
      <c r="Q32" s="447"/>
      <c r="R32" s="448"/>
      <c r="S32" s="482"/>
      <c r="T32" s="482"/>
      <c r="U32" s="482"/>
      <c r="V32" s="482"/>
      <c r="W32" s="643">
        <f>SUM(ResultTable[[#This Row],[A1 - A3]:[C4]])</f>
        <v>0</v>
      </c>
      <c r="X32" s="668"/>
      <c r="Y32" s="669"/>
      <c r="Z32" s="85"/>
      <c r="AB32" s="307"/>
      <c r="AC32" s="307"/>
      <c r="AD32" s="307"/>
      <c r="AE32" s="307"/>
      <c r="AF32" s="307"/>
      <c r="AG32" s="307"/>
      <c r="AH32" s="307"/>
      <c r="AI32" s="307"/>
      <c r="AJ32" s="307"/>
      <c r="AK32" s="307"/>
      <c r="AL32" s="307"/>
      <c r="AM32" s="307"/>
      <c r="AN32" s="307"/>
      <c r="AO32" s="307"/>
    </row>
    <row r="33" spans="2:41" ht="15" thickBot="1" x14ac:dyDescent="0.35">
      <c r="B33" s="854"/>
      <c r="C33" s="135" t="s">
        <v>580</v>
      </c>
      <c r="D33" s="135" t="s">
        <v>469</v>
      </c>
      <c r="E33" s="446" t="s">
        <v>831</v>
      </c>
      <c r="F33" s="479" t="s">
        <v>678</v>
      </c>
      <c r="G33" s="642">
        <f>COUNTIF(MEP!C5:C12,"&gt;0")</f>
        <v>0</v>
      </c>
      <c r="H33" s="695" t="str">
        <f>IF(ResultTable[[#This Row],[n. of data lines]]&gt;0,"Yes","No")</f>
        <v>No</v>
      </c>
      <c r="I33" s="640">
        <f>IF(ResultTable[[#This Row],[Required?]]="No", "N/A", SUMIF(MEPCalculation[SCOPE Tier 2 building element],ResultTable[[#This Row],[SCOPE Tier 2 building element]],MEPCalculation[A1-A3, B3, C1-4]))</f>
        <v>0</v>
      </c>
      <c r="J33" s="643">
        <f>SUMIF(MEPCalculation[SCOPE Tier 2 building element],ResultTable[[#This Row],[SCOPE Tier 2 building element]],MEPCalculation[A4 Transport])</f>
        <v>0</v>
      </c>
      <c r="K33" s="643">
        <f>SUMIF('Materials Calculations'!A:A,ResultTable[[#This Row],[SCOPE Tier 2 building element]],'Materials Calculations'!L:L)</f>
        <v>0</v>
      </c>
      <c r="L33" s="482"/>
      <c r="M33" s="482"/>
      <c r="N33" s="482"/>
      <c r="O33" s="643">
        <f>SUMIF(MEPCalculation[SCOPE Tier 2 building element],ResultTable[[#This Row],[SCOPE Tier 2 building element]],MEPCalculation[B4 Replacements])</f>
        <v>0</v>
      </c>
      <c r="P33" s="482"/>
      <c r="Q33" s="447"/>
      <c r="R33" s="448"/>
      <c r="S33" s="482"/>
      <c r="T33" s="484"/>
      <c r="U33" s="480"/>
      <c r="V33" s="484"/>
      <c r="W33" s="643">
        <f>SUM(ResultTable[[#This Row],[A1 - A3]:[C4]])</f>
        <v>0</v>
      </c>
      <c r="X33" s="668"/>
      <c r="Y33" s="669"/>
      <c r="Z33" s="85"/>
      <c r="AB33" s="307"/>
      <c r="AC33" s="307"/>
      <c r="AD33" s="307"/>
      <c r="AE33" s="307"/>
      <c r="AF33" s="307"/>
      <c r="AG33" s="307"/>
      <c r="AH33" s="307"/>
      <c r="AI33" s="307"/>
      <c r="AJ33" s="307"/>
      <c r="AK33" s="307"/>
      <c r="AL33" s="307"/>
      <c r="AM33" s="307"/>
      <c r="AN33" s="307"/>
      <c r="AO33" s="307"/>
    </row>
    <row r="34" spans="2:41" ht="15" thickBot="1" x14ac:dyDescent="0.35">
      <c r="B34" s="854"/>
      <c r="C34" s="701" t="s">
        <v>580</v>
      </c>
      <c r="D34" s="135" t="s">
        <v>470</v>
      </c>
      <c r="E34" s="446" t="s">
        <v>831</v>
      </c>
      <c r="F34" s="479" t="s">
        <v>678</v>
      </c>
      <c r="G34" s="642">
        <f>COUNTIF(MEP!C13,"&gt;0")</f>
        <v>0</v>
      </c>
      <c r="H34" s="695" t="str">
        <f>IF(ResultTable[[#This Row],[n. of data lines]]&gt;0,"Yes","No")</f>
        <v>No</v>
      </c>
      <c r="I34" s="640">
        <f>IF(ResultTable[[#This Row],[Required?]]="No", "N/A", SUMIF(MEPCalculation[SCOPE Tier 2 building element],ResultTable[[#This Row],[SCOPE Tier 2 building element]],MEPCalculation[A1-A3, B3, C1-4]))</f>
        <v>0</v>
      </c>
      <c r="J34" s="643">
        <f>SUMIF(MEPCalculation[SCOPE Tier 2 building element],ResultTable[[#This Row],[SCOPE Tier 2 building element]],MEPCalculation[A4 Transport])</f>
        <v>0</v>
      </c>
      <c r="K34" s="643">
        <f>SUMIF('Materials Calculations'!A:A,ResultTable[[#This Row],[SCOPE Tier 2 building element]],'Materials Calculations'!L:L)</f>
        <v>0</v>
      </c>
      <c r="L34" s="482"/>
      <c r="M34" s="482"/>
      <c r="N34" s="482"/>
      <c r="O34" s="643">
        <f>SUMIF(MEPCalculation[SCOPE Tier 2 building element],ResultTable[[#This Row],[SCOPE Tier 2 building element]],MEPCalculation[B4 Replacements])</f>
        <v>0</v>
      </c>
      <c r="P34" s="482"/>
      <c r="Q34" s="447"/>
      <c r="R34" s="448"/>
      <c r="S34" s="482"/>
      <c r="T34" s="484"/>
      <c r="U34" s="480"/>
      <c r="V34" s="484"/>
      <c r="W34" s="643">
        <f>SUM(ResultTable[[#This Row],[A1 - A3]:[C4]])</f>
        <v>0</v>
      </c>
      <c r="X34" s="668"/>
      <c r="Y34" s="669"/>
      <c r="Z34" s="85"/>
      <c r="AB34" s="307"/>
      <c r="AC34" s="307"/>
      <c r="AD34" s="307"/>
      <c r="AE34" s="307"/>
      <c r="AF34" s="307"/>
      <c r="AG34" s="307"/>
      <c r="AH34" s="307"/>
      <c r="AI34" s="307"/>
      <c r="AJ34" s="307"/>
      <c r="AK34" s="307"/>
      <c r="AL34" s="307"/>
      <c r="AM34" s="307"/>
      <c r="AN34" s="307"/>
      <c r="AO34" s="307"/>
    </row>
    <row r="35" spans="2:41" ht="15" thickBot="1" x14ac:dyDescent="0.35">
      <c r="B35" s="854"/>
      <c r="C35" s="701" t="s">
        <v>580</v>
      </c>
      <c r="D35" s="135" t="s">
        <v>471</v>
      </c>
      <c r="E35" s="446" t="s">
        <v>832</v>
      </c>
      <c r="F35" s="479" t="s">
        <v>678</v>
      </c>
      <c r="G35" s="642">
        <f>COUNTIF(MEP!C14:C19,"&gt;0")</f>
        <v>0</v>
      </c>
      <c r="H35" s="695" t="str">
        <f>IF(ResultTable[[#This Row],[n. of data lines]]&gt;0,"Yes","No")</f>
        <v>No</v>
      </c>
      <c r="I35" s="640">
        <f>IF(ResultTable[[#This Row],[Required?]]="No", "N/A", SUMIF(MEPCalculation[SCOPE Tier 2 building element],ResultTable[[#This Row],[SCOPE Tier 2 building element]],MEPCalculation[A1-A3, B3, C1-4]))</f>
        <v>0</v>
      </c>
      <c r="J35" s="643">
        <f>SUMIF(MEPCalculation[SCOPE Tier 2 building element],ResultTable[[#This Row],[SCOPE Tier 2 building element]],MEPCalculation[A4 Transport])</f>
        <v>0</v>
      </c>
      <c r="K35" s="643">
        <f>SUMIF('Materials Calculations'!A:A,ResultTable[[#This Row],[SCOPE Tier 2 building element]],'Materials Calculations'!L:L)</f>
        <v>0</v>
      </c>
      <c r="L35" s="482"/>
      <c r="M35" s="482"/>
      <c r="N35" s="482"/>
      <c r="O35" s="643">
        <f>SUMIF(MEPCalculation[SCOPE Tier 2 building element],ResultTable[[#This Row],[SCOPE Tier 2 building element]],MEPCalculation[B4 Replacements])</f>
        <v>0</v>
      </c>
      <c r="P35" s="482"/>
      <c r="Q35" s="447"/>
      <c r="R35" s="448"/>
      <c r="S35" s="482"/>
      <c r="T35" s="484"/>
      <c r="U35" s="480"/>
      <c r="V35" s="484"/>
      <c r="W35" s="643">
        <f>SUM(ResultTable[[#This Row],[A1 - A3]:[C4]])</f>
        <v>0</v>
      </c>
      <c r="X35" s="668"/>
      <c r="Y35" s="669"/>
      <c r="Z35" s="85"/>
      <c r="AB35" s="307"/>
      <c r="AC35" s="307"/>
      <c r="AD35" s="307"/>
      <c r="AE35" s="307"/>
      <c r="AF35" s="307"/>
      <c r="AG35" s="307"/>
      <c r="AH35" s="307"/>
      <c r="AI35" s="307"/>
      <c r="AJ35" s="307"/>
      <c r="AK35" s="307"/>
      <c r="AL35" s="307"/>
      <c r="AM35" s="307"/>
      <c r="AN35" s="307"/>
      <c r="AO35" s="307"/>
    </row>
    <row r="36" spans="2:41" ht="15" thickBot="1" x14ac:dyDescent="0.35">
      <c r="B36" s="854"/>
      <c r="C36" s="135" t="s">
        <v>585</v>
      </c>
      <c r="D36" s="135" t="s">
        <v>472</v>
      </c>
      <c r="E36" s="446" t="s">
        <v>831</v>
      </c>
      <c r="F36" s="479" t="s">
        <v>678</v>
      </c>
      <c r="G36" s="642">
        <f>COUNTIF(MEP!C20:C21,"&gt;0")</f>
        <v>0</v>
      </c>
      <c r="H36" s="695" t="str">
        <f>IF(ResultTable[[#This Row],[n. of data lines]]&gt;0,"Yes","No")</f>
        <v>No</v>
      </c>
      <c r="I36" s="640">
        <f>IF(ResultTable[[#This Row],[Required?]]="No", "N/A", SUMIF(MEPCalculation[SCOPE Tier 2 building element],ResultTable[[#This Row],[SCOPE Tier 2 building element]],MEPCalculation[A1-A3, B3, C1-4]))</f>
        <v>0</v>
      </c>
      <c r="J36" s="643">
        <f>SUMIF(MEPCalculation[SCOPE Tier 2 building element],ResultTable[[#This Row],[SCOPE Tier 2 building element]],MEPCalculation[A4 Transport])</f>
        <v>0</v>
      </c>
      <c r="K36" s="643">
        <f>SUMIF('Materials Calculations'!A:A,ResultTable[[#This Row],[SCOPE Tier 2 building element]],'Materials Calculations'!L:L)</f>
        <v>0</v>
      </c>
      <c r="L36" s="482"/>
      <c r="M36" s="482"/>
      <c r="N36" s="482"/>
      <c r="O36" s="643">
        <f>SUMIF(MEPCalculation[SCOPE Tier 2 building element],ResultTable[[#This Row],[SCOPE Tier 2 building element]],MEPCalculation[B4 Replacements])</f>
        <v>0</v>
      </c>
      <c r="P36" s="482"/>
      <c r="Q36" s="447"/>
      <c r="R36" s="448"/>
      <c r="S36" s="482"/>
      <c r="T36" s="484"/>
      <c r="U36" s="480"/>
      <c r="V36" s="484"/>
      <c r="W36" s="643">
        <f>SUM(ResultTable[[#This Row],[A1 - A3]:[C4]])</f>
        <v>0</v>
      </c>
      <c r="X36" s="668"/>
      <c r="Y36" s="669"/>
      <c r="Z36" s="85"/>
      <c r="AB36" s="307"/>
      <c r="AC36" s="307"/>
      <c r="AD36" s="307"/>
      <c r="AE36" s="307"/>
      <c r="AF36" s="307"/>
      <c r="AG36" s="307"/>
      <c r="AH36" s="307"/>
      <c r="AI36" s="307"/>
      <c r="AJ36" s="307"/>
      <c r="AK36" s="307"/>
      <c r="AL36" s="307"/>
      <c r="AM36" s="307"/>
      <c r="AN36" s="307"/>
      <c r="AO36" s="307"/>
    </row>
    <row r="37" spans="2:41" ht="15" thickBot="1" x14ac:dyDescent="0.35">
      <c r="B37" s="854"/>
      <c r="C37" s="701" t="s">
        <v>585</v>
      </c>
      <c r="D37" s="135" t="s">
        <v>473</v>
      </c>
      <c r="E37" s="446" t="s">
        <v>831</v>
      </c>
      <c r="F37" s="479" t="s">
        <v>678</v>
      </c>
      <c r="G37" s="642">
        <f>COUNTIF(MEP!C22,"&gt;0")</f>
        <v>0</v>
      </c>
      <c r="H37" s="695" t="str">
        <f>IF(ResultTable[[#This Row],[n. of data lines]]&gt;0,"Yes","No")</f>
        <v>No</v>
      </c>
      <c r="I37" s="640">
        <f>IF(ResultTable[[#This Row],[Required?]]="No", "N/A", SUMIF(MEPCalculation[SCOPE Tier 2 building element],ResultTable[[#This Row],[SCOPE Tier 2 building element]],MEPCalculation[A1-A3, B3, C1-4]))</f>
        <v>0</v>
      </c>
      <c r="J37" s="643">
        <f>SUMIF(MEPCalculation[SCOPE Tier 2 building element],ResultTable[[#This Row],[SCOPE Tier 2 building element]],MEPCalculation[A4 Transport])</f>
        <v>0</v>
      </c>
      <c r="K37" s="643">
        <f>SUMIF('Materials Calculations'!A:A,ResultTable[[#This Row],[SCOPE Tier 2 building element]],'Materials Calculations'!L:L)</f>
        <v>0</v>
      </c>
      <c r="L37" s="482"/>
      <c r="M37" s="482"/>
      <c r="N37" s="482"/>
      <c r="O37" s="643">
        <f>SUMIF(MEPCalculation[SCOPE Tier 2 building element],ResultTable[[#This Row],[SCOPE Tier 2 building element]],MEPCalculation[B4 Replacements])</f>
        <v>0</v>
      </c>
      <c r="P37" s="482"/>
      <c r="Q37" s="447"/>
      <c r="R37" s="448"/>
      <c r="S37" s="482"/>
      <c r="T37" s="482"/>
      <c r="U37" s="485" t="s">
        <v>1378</v>
      </c>
      <c r="V37" s="482"/>
      <c r="W37" s="643">
        <f>SUM(ResultTable[[#This Row],[A1 - A3]:[C4]])</f>
        <v>0</v>
      </c>
      <c r="X37" s="668"/>
      <c r="Y37" s="669"/>
      <c r="Z37" s="85"/>
      <c r="AB37" s="307"/>
      <c r="AC37" s="307"/>
      <c r="AD37" s="307"/>
      <c r="AE37" s="307"/>
      <c r="AF37" s="307"/>
      <c r="AG37" s="307"/>
      <c r="AH37" s="307"/>
      <c r="AI37" s="307"/>
      <c r="AJ37" s="307"/>
      <c r="AK37" s="307"/>
      <c r="AL37" s="307"/>
      <c r="AM37" s="307"/>
      <c r="AN37" s="307"/>
      <c r="AO37" s="307"/>
    </row>
    <row r="38" spans="2:41" ht="15" thickBot="1" x14ac:dyDescent="0.35">
      <c r="B38" s="854"/>
      <c r="C38" s="135" t="s">
        <v>515</v>
      </c>
      <c r="D38" s="135" t="s">
        <v>474</v>
      </c>
      <c r="E38" s="446" t="s">
        <v>833</v>
      </c>
      <c r="F38" s="479" t="s">
        <v>678</v>
      </c>
      <c r="G38" s="642">
        <f>COUNTIF(MEP!C23,"&gt;0")</f>
        <v>0</v>
      </c>
      <c r="H38" s="695" t="str">
        <f>IF(ResultTable[[#This Row],[n. of data lines]]&gt;0,"Yes","No")</f>
        <v>No</v>
      </c>
      <c r="I38" s="640">
        <f>IF(ResultTable[[#This Row],[Required?]]="No", "N/A", SUMIF(MEPCalculation[SCOPE Tier 2 building element],ResultTable[[#This Row],[SCOPE Tier 2 building element]],MEPCalculation[A1-A3, B3, C1-4]))</f>
        <v>0</v>
      </c>
      <c r="J38" s="643">
        <f>SUMIF(MEPCalculation[SCOPE Tier 2 building element],ResultTable[[#This Row],[SCOPE Tier 2 building element]],MEPCalculation[A4 Transport])</f>
        <v>0</v>
      </c>
      <c r="K38" s="643">
        <f>SUMIF('Materials Calculations'!A:A,ResultTable[[#This Row],[SCOPE Tier 2 building element]],'Materials Calculations'!L:L)</f>
        <v>0</v>
      </c>
      <c r="L38" s="482"/>
      <c r="M38" s="482"/>
      <c r="N38" s="482"/>
      <c r="O38" s="643">
        <f>SUMIF(MEPCalculation[SCOPE Tier 2 building element],ResultTable[[#This Row],[SCOPE Tier 2 building element]],MEPCalculation[B4 Replacements])</f>
        <v>0</v>
      </c>
      <c r="P38" s="482"/>
      <c r="Q38" s="447"/>
      <c r="R38" s="448"/>
      <c r="S38" s="482"/>
      <c r="T38" s="482"/>
      <c r="U38" s="485" t="s">
        <v>1379</v>
      </c>
      <c r="V38" s="482"/>
      <c r="W38" s="643">
        <f>SUM(ResultTable[[#This Row],[A1 - A3]:[C4]])</f>
        <v>0</v>
      </c>
      <c r="X38" s="668"/>
      <c r="Y38" s="669"/>
      <c r="Z38" s="85"/>
      <c r="AB38" s="307"/>
      <c r="AC38" s="307"/>
      <c r="AD38" s="307"/>
      <c r="AE38" s="307"/>
      <c r="AF38" s="307"/>
      <c r="AG38" s="307"/>
      <c r="AH38" s="307"/>
      <c r="AI38" s="307"/>
      <c r="AJ38" s="307"/>
      <c r="AK38" s="307"/>
      <c r="AL38" s="307"/>
      <c r="AM38" s="307"/>
      <c r="AN38" s="307"/>
      <c r="AO38" s="307"/>
    </row>
    <row r="39" spans="2:41" ht="15" thickBot="1" x14ac:dyDescent="0.35">
      <c r="B39" s="854"/>
      <c r="C39" s="701" t="s">
        <v>515</v>
      </c>
      <c r="D39" s="135" t="s">
        <v>475</v>
      </c>
      <c r="E39" s="446" t="s">
        <v>833</v>
      </c>
      <c r="F39" s="479" t="s">
        <v>678</v>
      </c>
      <c r="G39" s="642">
        <f>COUNTIF(MEP!C24,"&gt;0")</f>
        <v>0</v>
      </c>
      <c r="H39" s="695" t="str">
        <f>IF(ResultTable[[#This Row],[n. of data lines]]&gt;0,"Yes","No")</f>
        <v>No</v>
      </c>
      <c r="I39" s="640">
        <f>IF(ResultTable[[#This Row],[Required?]]="No", "N/A", SUMIF(MEPCalculation[SCOPE Tier 2 building element],ResultTable[[#This Row],[SCOPE Tier 2 building element]],MEPCalculation[A1-A3, B3, C1-4]))</f>
        <v>0</v>
      </c>
      <c r="J39" s="643">
        <f>SUMIF(MEPCalculation[SCOPE Tier 2 building element],ResultTable[[#This Row],[SCOPE Tier 2 building element]],MEPCalculation[A4 Transport])</f>
        <v>0</v>
      </c>
      <c r="K39" s="643">
        <f>SUMIF('Materials Calculations'!A:A,ResultTable[[#This Row],[SCOPE Tier 2 building element]],'Materials Calculations'!L:L)</f>
        <v>0</v>
      </c>
      <c r="L39" s="482"/>
      <c r="M39" s="482"/>
      <c r="N39" s="482"/>
      <c r="O39" s="643">
        <f>SUMIF(MEPCalculation[SCOPE Tier 2 building element],ResultTable[[#This Row],[SCOPE Tier 2 building element]],MEPCalculation[B4 Replacements])</f>
        <v>0</v>
      </c>
      <c r="P39" s="482"/>
      <c r="Q39" s="447"/>
      <c r="R39" s="448"/>
      <c r="S39" s="482"/>
      <c r="T39" s="482"/>
      <c r="U39" s="485" t="s">
        <v>1380</v>
      </c>
      <c r="V39" s="482"/>
      <c r="W39" s="643">
        <f>SUM(ResultTable[[#This Row],[A1 - A3]:[C4]])</f>
        <v>0</v>
      </c>
      <c r="X39" s="668"/>
      <c r="Y39" s="669"/>
      <c r="Z39" s="85"/>
      <c r="AB39" s="307"/>
      <c r="AC39" s="307"/>
      <c r="AD39" s="307"/>
      <c r="AE39" s="307"/>
      <c r="AF39" s="307"/>
      <c r="AG39" s="307"/>
      <c r="AH39" s="307"/>
      <c r="AI39" s="307"/>
      <c r="AJ39" s="307"/>
      <c r="AK39" s="307"/>
      <c r="AL39" s="307"/>
      <c r="AM39" s="307"/>
      <c r="AN39" s="307"/>
      <c r="AO39" s="307"/>
    </row>
    <row r="40" spans="2:41" ht="15" thickBot="1" x14ac:dyDescent="0.35">
      <c r="B40" s="854"/>
      <c r="C40" s="701" t="s">
        <v>515</v>
      </c>
      <c r="D40" s="135" t="s">
        <v>476</v>
      </c>
      <c r="E40" s="446" t="s">
        <v>833</v>
      </c>
      <c r="F40" s="479" t="s">
        <v>678</v>
      </c>
      <c r="G40" s="642">
        <f>COUNTIF(MEP!C25,"&gt;0")</f>
        <v>0</v>
      </c>
      <c r="H40" s="695" t="str">
        <f>IF(ResultTable[[#This Row],[n. of data lines]]&gt;0,"Yes","No")</f>
        <v>No</v>
      </c>
      <c r="I40" s="640">
        <f>IF(ResultTable[[#This Row],[Required?]]="No", "N/A", SUMIF(MEPCalculation[SCOPE Tier 2 building element],ResultTable[[#This Row],[SCOPE Tier 2 building element]],MEPCalculation[A1-A3, B3, C1-4]))</f>
        <v>0</v>
      </c>
      <c r="J40" s="643">
        <f>SUMIF(MEPCalculation[SCOPE Tier 2 building element],ResultTable[[#This Row],[SCOPE Tier 2 building element]],MEPCalculation[A4 Transport])</f>
        <v>0</v>
      </c>
      <c r="K40" s="643">
        <f>SUMIF('Materials Calculations'!A:A,ResultTable[[#This Row],[SCOPE Tier 2 building element]],'Materials Calculations'!L:L)</f>
        <v>0</v>
      </c>
      <c r="L40" s="482"/>
      <c r="M40" s="482"/>
      <c r="N40" s="482"/>
      <c r="O40" s="643">
        <f>SUMIF(MEPCalculation[SCOPE Tier 2 building element],ResultTable[[#This Row],[SCOPE Tier 2 building element]],MEPCalculation[B4 Replacements])</f>
        <v>0</v>
      </c>
      <c r="P40" s="482"/>
      <c r="Q40" s="447"/>
      <c r="R40" s="448"/>
      <c r="S40" s="482"/>
      <c r="T40" s="482"/>
      <c r="U40" s="485" t="s">
        <v>1381</v>
      </c>
      <c r="V40" s="482"/>
      <c r="W40" s="643">
        <f>SUM(ResultTable[[#This Row],[A1 - A3]:[C4]])</f>
        <v>0</v>
      </c>
      <c r="X40" s="668"/>
      <c r="Y40" s="669"/>
      <c r="Z40" s="85"/>
      <c r="AB40" s="307"/>
      <c r="AC40" s="307"/>
      <c r="AD40" s="307"/>
      <c r="AE40" s="307"/>
      <c r="AF40" s="307"/>
      <c r="AG40" s="307"/>
      <c r="AH40" s="307"/>
      <c r="AI40" s="307"/>
      <c r="AJ40" s="307"/>
      <c r="AK40" s="307"/>
      <c r="AL40" s="307"/>
      <c r="AM40" s="307"/>
      <c r="AN40" s="307"/>
      <c r="AO40" s="307"/>
    </row>
    <row r="41" spans="2:41" ht="14.4" customHeight="1" thickBot="1" x14ac:dyDescent="0.35">
      <c r="B41" s="854"/>
      <c r="C41" s="701" t="s">
        <v>515</v>
      </c>
      <c r="D41" s="135" t="s">
        <v>462</v>
      </c>
      <c r="E41" s="446" t="s">
        <v>833</v>
      </c>
      <c r="F41" s="479" t="s">
        <v>678</v>
      </c>
      <c r="G41" s="642">
        <f>COUNTIF(MEP!C26,"&gt;0")</f>
        <v>0</v>
      </c>
      <c r="H41" s="695" t="str">
        <f>IF(ResultTable[[#This Row],[n. of data lines]]&gt;0,"Yes","No")</f>
        <v>No</v>
      </c>
      <c r="I41" s="640">
        <f>IF(ResultTable[[#This Row],[Required?]]="No", "N/A", SUMIF(MEPCalculation[SCOPE Tier 2 building element],ResultTable[[#This Row],[SCOPE Tier 2 building element]],MEPCalculation[A1-A3, B3, C1-4]))</f>
        <v>0</v>
      </c>
      <c r="J41" s="643">
        <f>SUMIF(MEPCalculation[SCOPE Tier 2 building element],ResultTable[[#This Row],[SCOPE Tier 2 building element]],MEPCalculation[A4 Transport])</f>
        <v>0</v>
      </c>
      <c r="K41" s="643">
        <f>SUMIF('Materials Calculations'!A:A,ResultTable[[#This Row],[SCOPE Tier 2 building element]],'Materials Calculations'!L:L)</f>
        <v>0</v>
      </c>
      <c r="L41" s="482"/>
      <c r="M41" s="482"/>
      <c r="N41" s="482"/>
      <c r="O41" s="643">
        <f>SUMIF(MEPCalculation[SCOPE Tier 2 building element],ResultTable[[#This Row],[SCOPE Tier 2 building element]],MEPCalculation[B4 Replacements])</f>
        <v>0</v>
      </c>
      <c r="P41" s="482"/>
      <c r="Q41" s="447"/>
      <c r="R41" s="448"/>
      <c r="S41" s="482"/>
      <c r="T41" s="482"/>
      <c r="U41" s="482"/>
      <c r="V41" s="482"/>
      <c r="W41" s="643">
        <f>SUM(ResultTable[[#This Row],[A1 - A3]:[C4]])</f>
        <v>0</v>
      </c>
      <c r="X41" s="668"/>
      <c r="Y41" s="669"/>
      <c r="Z41" s="85"/>
      <c r="AB41" s="307"/>
      <c r="AC41" s="307"/>
      <c r="AD41" s="307"/>
      <c r="AE41" s="307"/>
      <c r="AF41" s="307"/>
      <c r="AG41" s="307"/>
      <c r="AH41" s="307"/>
      <c r="AI41" s="307"/>
      <c r="AJ41" s="307"/>
      <c r="AK41" s="307"/>
      <c r="AL41" s="307"/>
      <c r="AM41" s="307"/>
      <c r="AN41" s="307"/>
      <c r="AO41" s="307"/>
    </row>
    <row r="42" spans="2:41" ht="15" thickBot="1" x14ac:dyDescent="0.35">
      <c r="B42" s="854"/>
      <c r="C42" s="135" t="s">
        <v>516</v>
      </c>
      <c r="D42" s="135" t="s">
        <v>477</v>
      </c>
      <c r="E42" s="446" t="s">
        <v>834</v>
      </c>
      <c r="F42" s="479" t="s">
        <v>678</v>
      </c>
      <c r="G42" s="642">
        <f>COUNTIF(MEP!C27,"&gt;0")</f>
        <v>0</v>
      </c>
      <c r="H42" s="695" t="str">
        <f>IF(ResultTable[[#This Row],[n. of data lines]]&gt;0,"Yes","No")</f>
        <v>No</v>
      </c>
      <c r="I42" s="640">
        <f>IF(ResultTable[[#This Row],[Required?]]="No", "N/A", SUMIF(MEPCalculation[SCOPE Tier 2 building element],ResultTable[[#This Row],[SCOPE Tier 2 building element]],MEPCalculation[A1-A3, B3, C1-4]))</f>
        <v>0</v>
      </c>
      <c r="J42" s="643">
        <f>SUMIF(MEPCalculation[SCOPE Tier 2 building element],ResultTable[[#This Row],[SCOPE Tier 2 building element]],MEPCalculation[A4 Transport])</f>
        <v>0</v>
      </c>
      <c r="K42" s="643">
        <f>SUMIF('Materials Calculations'!A:A,ResultTable[[#This Row],[SCOPE Tier 2 building element]],'Materials Calculations'!L:L)</f>
        <v>0</v>
      </c>
      <c r="L42" s="482"/>
      <c r="M42" s="482"/>
      <c r="N42" s="482"/>
      <c r="O42" s="643">
        <f>SUMIF(MEPCalculation[SCOPE Tier 2 building element],ResultTable[[#This Row],[SCOPE Tier 2 building element]],MEPCalculation[B4 Replacements])</f>
        <v>0</v>
      </c>
      <c r="P42" s="482"/>
      <c r="Q42" s="447"/>
      <c r="R42" s="448"/>
      <c r="S42" s="482"/>
      <c r="T42" s="482"/>
      <c r="U42" s="482"/>
      <c r="V42" s="482"/>
      <c r="W42" s="643">
        <f>SUM(ResultTable[[#This Row],[A1 - A3]:[C4]])</f>
        <v>0</v>
      </c>
      <c r="X42" s="668"/>
      <c r="Y42" s="669"/>
      <c r="Z42" s="85"/>
      <c r="AB42" s="307"/>
      <c r="AC42" s="307"/>
      <c r="AD42" s="307"/>
      <c r="AE42" s="307"/>
      <c r="AF42" s="307"/>
      <c r="AG42" s="307"/>
      <c r="AH42" s="307"/>
      <c r="AI42" s="307"/>
      <c r="AJ42" s="307"/>
      <c r="AK42" s="307"/>
      <c r="AL42" s="307"/>
      <c r="AM42" s="307"/>
      <c r="AN42" s="307"/>
      <c r="AO42" s="307"/>
    </row>
    <row r="43" spans="2:41" ht="15" thickBot="1" x14ac:dyDescent="0.35">
      <c r="B43" s="854"/>
      <c r="C43" s="701" t="s">
        <v>516</v>
      </c>
      <c r="D43" s="135" t="s">
        <v>478</v>
      </c>
      <c r="E43" s="446" t="s">
        <v>835</v>
      </c>
      <c r="F43" s="479" t="s">
        <v>678</v>
      </c>
      <c r="G43" s="642">
        <f>COUNTIF(MEP!C26,"&gt;0")</f>
        <v>0</v>
      </c>
      <c r="H43" s="695" t="str">
        <f>IF(ResultTable[[#This Row],[n. of data lines]]&gt;0,"Yes","No")</f>
        <v>No</v>
      </c>
      <c r="I43" s="640">
        <f>IF(ResultTable[[#This Row],[Required?]]="No", "N/A", SUMIF(MEPCalculation[SCOPE Tier 2 building element],ResultTable[[#This Row],[SCOPE Tier 2 building element]],MEPCalculation[A1-A3, B3, C1-4]))</f>
        <v>0</v>
      </c>
      <c r="J43" s="643">
        <f>SUMIF(MEPCalculation[SCOPE Tier 2 building element],ResultTable[[#This Row],[SCOPE Tier 2 building element]],MEPCalculation[A4 Transport])</f>
        <v>0</v>
      </c>
      <c r="K43" s="643">
        <f>SUMIF('Materials Calculations'!A:A,ResultTable[[#This Row],[SCOPE Tier 2 building element]],'Materials Calculations'!L:L)</f>
        <v>0</v>
      </c>
      <c r="L43" s="482"/>
      <c r="M43" s="482"/>
      <c r="N43" s="482"/>
      <c r="O43" s="643">
        <f>SUMIF(MEPCalculation[SCOPE Tier 2 building element],ResultTable[[#This Row],[SCOPE Tier 2 building element]],MEPCalculation[B4 Replacements])</f>
        <v>0</v>
      </c>
      <c r="P43" s="482"/>
      <c r="Q43" s="447"/>
      <c r="R43" s="448"/>
      <c r="S43" s="482"/>
      <c r="T43" s="482"/>
      <c r="U43" s="482"/>
      <c r="V43" s="482"/>
      <c r="W43" s="643">
        <f>SUM(ResultTable[[#This Row],[A1 - A3]:[C4]])</f>
        <v>0</v>
      </c>
      <c r="X43" s="668"/>
      <c r="Y43" s="669"/>
      <c r="Z43" s="85"/>
      <c r="AB43" s="307"/>
      <c r="AC43" s="307"/>
      <c r="AD43" s="307"/>
      <c r="AE43" s="307"/>
      <c r="AF43" s="307"/>
      <c r="AG43" s="307"/>
      <c r="AH43" s="307"/>
      <c r="AI43" s="307"/>
      <c r="AJ43" s="307"/>
      <c r="AK43" s="307"/>
      <c r="AL43" s="307"/>
      <c r="AM43" s="307"/>
      <c r="AN43" s="307"/>
      <c r="AO43" s="307"/>
    </row>
    <row r="44" spans="2:41" ht="15" thickBot="1" x14ac:dyDescent="0.35">
      <c r="B44" s="854"/>
      <c r="C44" s="701" t="s">
        <v>516</v>
      </c>
      <c r="D44" s="135" t="s">
        <v>479</v>
      </c>
      <c r="E44" s="446" t="s">
        <v>836</v>
      </c>
      <c r="F44" s="479" t="s">
        <v>678</v>
      </c>
      <c r="G44" s="642">
        <f>COUNTIF(MEP!C27,"&gt;0")</f>
        <v>0</v>
      </c>
      <c r="H44" s="695" t="str">
        <f>IF(ResultTable[[#This Row],[n. of data lines]]&gt;0,"Yes","No")</f>
        <v>No</v>
      </c>
      <c r="I44" s="640">
        <f>IF(ResultTable[[#This Row],[Required?]]="No", "N/A", SUMIF(MEPCalculation[SCOPE Tier 2 building element],ResultTable[[#This Row],[SCOPE Tier 2 building element]],MEPCalculation[A1-A3, B3, C1-4]))</f>
        <v>0</v>
      </c>
      <c r="J44" s="643">
        <f>SUMIF(MEPCalculation[SCOPE Tier 2 building element],ResultTable[[#This Row],[SCOPE Tier 2 building element]],MEPCalculation[A4 Transport])</f>
        <v>0</v>
      </c>
      <c r="K44" s="643">
        <f>SUMIF('Materials Calculations'!A:A,ResultTable[[#This Row],[SCOPE Tier 2 building element]],'Materials Calculations'!L:L)</f>
        <v>0</v>
      </c>
      <c r="L44" s="482"/>
      <c r="M44" s="482"/>
      <c r="N44" s="482"/>
      <c r="O44" s="643">
        <f>SUMIF(MEPCalculation[SCOPE Tier 2 building element],ResultTable[[#This Row],[SCOPE Tier 2 building element]],MEPCalculation[B4 Replacements])</f>
        <v>0</v>
      </c>
      <c r="P44" s="482"/>
      <c r="Q44" s="447"/>
      <c r="R44" s="448"/>
      <c r="S44" s="482"/>
      <c r="T44" s="482"/>
      <c r="U44" s="482"/>
      <c r="V44" s="482"/>
      <c r="W44" s="643">
        <f>SUM(ResultTable[[#This Row],[A1 - A3]:[C4]])</f>
        <v>0</v>
      </c>
      <c r="X44" s="668"/>
      <c r="Y44" s="669"/>
      <c r="Z44" s="85"/>
      <c r="AB44" s="307"/>
      <c r="AC44" s="307"/>
      <c r="AD44" s="307"/>
      <c r="AE44" s="307"/>
      <c r="AF44" s="307"/>
      <c r="AG44" s="307"/>
      <c r="AH44" s="307"/>
      <c r="AI44" s="307"/>
      <c r="AJ44" s="307"/>
      <c r="AK44" s="307"/>
      <c r="AL44" s="307"/>
      <c r="AM44" s="307"/>
      <c r="AN44" s="307"/>
      <c r="AO44" s="307"/>
    </row>
    <row r="45" spans="2:41" ht="15" thickBot="1" x14ac:dyDescent="0.35">
      <c r="B45" s="854"/>
      <c r="C45" s="701" t="s">
        <v>516</v>
      </c>
      <c r="D45" s="135" t="s">
        <v>480</v>
      </c>
      <c r="E45" s="446" t="s">
        <v>836</v>
      </c>
      <c r="F45" s="536" t="s">
        <v>678</v>
      </c>
      <c r="G45" s="648">
        <f>COUNTIF(MEP!C28,"&gt;0")</f>
        <v>0</v>
      </c>
      <c r="H45" s="696" t="str">
        <f>IF(ResultTable[[#This Row],[n. of data lines]]&gt;0,"Yes","No")</f>
        <v>No</v>
      </c>
      <c r="I45" s="640">
        <f>IF(ResultTable[[#This Row],[Required?]]="No", "N/A", SUMIF(MEPCalculation[SCOPE Tier 2 building element],ResultTable[[#This Row],[SCOPE Tier 2 building element]],MEPCalculation[A1-A3, B3, C1-4]))</f>
        <v>0</v>
      </c>
      <c r="J45" s="649">
        <f>SUMIF(MEPCalculation[SCOPE Tier 2 building element],ResultTable[[#This Row],[SCOPE Tier 2 building element]],MEPCalculation[A4 Transport])</f>
        <v>0</v>
      </c>
      <c r="K45" s="649">
        <f>SUMIF('Materials Calculations'!A:A,ResultTable[[#This Row],[SCOPE Tier 2 building element]],'Materials Calculations'!L:L)</f>
        <v>0</v>
      </c>
      <c r="L45" s="482"/>
      <c r="M45" s="482"/>
      <c r="N45" s="482"/>
      <c r="O45" s="649">
        <f>SUMIF(MEPCalculation[SCOPE Tier 2 building element],ResultTable[[#This Row],[SCOPE Tier 2 building element]],MEPCalculation[B4 Replacements])</f>
        <v>0</v>
      </c>
      <c r="P45" s="482"/>
      <c r="Q45" s="447"/>
      <c r="R45" s="448"/>
      <c r="S45" s="482"/>
      <c r="T45" s="482"/>
      <c r="U45" s="482"/>
      <c r="V45" s="482"/>
      <c r="W45" s="649">
        <f>SUM(ResultTable[[#This Row],[A1 - A3]:[C4]])</f>
        <v>0</v>
      </c>
      <c r="X45" s="668"/>
      <c r="Y45" s="673"/>
      <c r="Z45" s="85"/>
      <c r="AB45" s="307"/>
      <c r="AC45" s="307"/>
      <c r="AD45" s="307"/>
      <c r="AE45" s="307"/>
      <c r="AF45" s="307"/>
      <c r="AG45" s="307"/>
      <c r="AH45" s="307"/>
      <c r="AI45" s="307"/>
      <c r="AJ45" s="307"/>
      <c r="AK45" s="307"/>
      <c r="AL45" s="307"/>
      <c r="AM45" s="307"/>
      <c r="AN45" s="307"/>
      <c r="AO45" s="307"/>
    </row>
    <row r="46" spans="2:41" ht="14.4" x14ac:dyDescent="0.3">
      <c r="B46" s="855" t="s">
        <v>837</v>
      </c>
      <c r="C46" s="452" t="s">
        <v>838</v>
      </c>
      <c r="D46" s="452" t="s">
        <v>481</v>
      </c>
      <c r="E46" s="443" t="s">
        <v>831</v>
      </c>
      <c r="F46" s="478" t="s">
        <v>678</v>
      </c>
      <c r="G46" s="639">
        <f>COUNTIF(ResultTable[[#This Row],[B1]],"&gt;0")</f>
        <v>0</v>
      </c>
      <c r="H46" s="692" t="str">
        <f>IF(ResultTable[[#This Row],[n. of data lines]]&gt;0,"Yes","No")</f>
        <v>No</v>
      </c>
      <c r="I46" s="457"/>
      <c r="J46" s="458"/>
      <c r="K46" s="457"/>
      <c r="L46" s="641">
        <f>RefrigerantCalculation[[#Totals],[B1 GWP (kgCO2e)]]</f>
        <v>0</v>
      </c>
      <c r="M46" s="459"/>
      <c r="N46" s="459"/>
      <c r="O46" s="445"/>
      <c r="P46" s="445"/>
      <c r="Q46" s="444"/>
      <c r="R46" s="445"/>
      <c r="S46" s="445"/>
      <c r="T46" s="457"/>
      <c r="U46" s="457"/>
      <c r="V46" s="457"/>
      <c r="W46" s="665">
        <f>SUM(ResultTable[[#This Row],[A1 - A3]:[C4]])</f>
        <v>0</v>
      </c>
      <c r="X46" s="453"/>
      <c r="Y46" s="460"/>
      <c r="Z46" s="85"/>
      <c r="AB46" s="307"/>
      <c r="AC46" s="307"/>
      <c r="AD46" s="307"/>
      <c r="AE46" s="307"/>
      <c r="AF46" s="307"/>
      <c r="AG46" s="307"/>
      <c r="AH46" s="307"/>
      <c r="AI46" s="307"/>
      <c r="AJ46" s="307"/>
      <c r="AK46" s="307"/>
      <c r="AL46" s="307"/>
      <c r="AM46" s="307"/>
      <c r="AN46" s="307"/>
      <c r="AO46" s="307"/>
    </row>
    <row r="47" spans="2:41" ht="14.4" x14ac:dyDescent="0.3">
      <c r="B47" s="856"/>
      <c r="C47" s="8" t="s">
        <v>651</v>
      </c>
      <c r="D47" s="8" t="s">
        <v>1046</v>
      </c>
      <c r="E47" s="461" t="s">
        <v>839</v>
      </c>
      <c r="F47" s="479" t="s">
        <v>678</v>
      </c>
      <c r="G47" s="642">
        <f>COUNTIF(ResultTable[[#This Row],[B6]],"&gt;0")</f>
        <v>1</v>
      </c>
      <c r="H47" s="690" t="str">
        <f>IF(ResultTable[[#This Row],[n. of data lines]]&gt;0,"Yes","No")</f>
        <v>Yes</v>
      </c>
      <c r="I47" s="462"/>
      <c r="J47" s="462"/>
      <c r="K47" s="462"/>
      <c r="L47" s="462"/>
      <c r="M47" s="462"/>
      <c r="N47" s="462"/>
      <c r="O47" s="448"/>
      <c r="P47" s="448"/>
      <c r="Q47" s="643">
        <f>'5-Operational B6'!I5</f>
        <v>5.9872463535433766</v>
      </c>
      <c r="R47" s="448"/>
      <c r="S47" s="448"/>
      <c r="T47" s="448"/>
      <c r="U47" s="448"/>
      <c r="V47" s="448"/>
      <c r="W47" s="557"/>
      <c r="X47" s="454"/>
      <c r="Y47" s="463"/>
      <c r="Z47" s="85"/>
      <c r="AA47" s="8"/>
    </row>
    <row r="48" spans="2:41" ht="15" thickBot="1" x14ac:dyDescent="0.35">
      <c r="B48" s="857"/>
      <c r="C48" s="455" t="s">
        <v>840</v>
      </c>
      <c r="D48" s="455" t="s">
        <v>482</v>
      </c>
      <c r="E48" s="464" t="s">
        <v>839</v>
      </c>
      <c r="F48" s="535" t="s">
        <v>678</v>
      </c>
      <c r="G48" s="650">
        <f>COUNTIF(ResultTable[[#This Row],[B7]],"&gt;0")</f>
        <v>0</v>
      </c>
      <c r="H48" s="691" t="str">
        <f>IF(ResultTable[[#This Row],[n. of data lines]]&gt;0,"Yes","No")</f>
        <v>No</v>
      </c>
      <c r="I48" s="465"/>
      <c r="J48" s="465"/>
      <c r="K48" s="465"/>
      <c r="L48" s="465"/>
      <c r="M48" s="465"/>
      <c r="N48" s="465"/>
      <c r="O48" s="451"/>
      <c r="P48" s="451"/>
      <c r="Q48" s="450"/>
      <c r="R48" s="645">
        <f>'6-Water B7'!B23</f>
        <v>0</v>
      </c>
      <c r="S48" s="451"/>
      <c r="T48" s="451"/>
      <c r="U48" s="451"/>
      <c r="V48" s="451"/>
      <c r="W48" s="558"/>
      <c r="X48" s="456"/>
      <c r="Y48" s="466"/>
      <c r="Z48" s="85"/>
      <c r="AA48" s="8"/>
    </row>
    <row r="49" spans="2:43" ht="15" thickBot="1" x14ac:dyDescent="0.35">
      <c r="B49" s="486"/>
      <c r="C49" s="487" t="s">
        <v>870</v>
      </c>
      <c r="D49" s="499" t="str" cm="1">
        <f t="array" ref="D49">CONCATENATE("Based on estimated ", B7waterFactor[kgCO2e/m2],"  per m2")</f>
        <v>Based on estimated 3.4  per m2</v>
      </c>
      <c r="E49" s="488"/>
      <c r="F49" s="489" t="s">
        <v>678</v>
      </c>
      <c r="G49" s="651">
        <f>COUNTIF(ResultTable[[#This Row],[C1]],"&gt;0")</f>
        <v>1</v>
      </c>
      <c r="H49" s="693" t="str">
        <f>IF(ResultTable[[#This Row],[n. of data lines]]&gt;0,"Yes","No")</f>
        <v>Yes</v>
      </c>
      <c r="I49" s="490"/>
      <c r="J49" s="490"/>
      <c r="K49" s="490"/>
      <c r="L49" s="490"/>
      <c r="M49" s="490"/>
      <c r="N49" s="490"/>
      <c r="O49" s="491"/>
      <c r="P49" s="491"/>
      <c r="Q49" s="492"/>
      <c r="R49" s="493"/>
      <c r="S49" s="655" cm="1">
        <f t="array" ref="S49">'Project Details'!C16*B7waterFactor[kgCO2e/m2]</f>
        <v>108.8</v>
      </c>
      <c r="T49" s="491"/>
      <c r="U49" s="491"/>
      <c r="V49" s="491"/>
      <c r="W49" s="664">
        <f>SUM(ResultTable[[#This Row],[A1 - A3]:[C4]])</f>
        <v>108.8</v>
      </c>
      <c r="X49" s="494"/>
      <c r="Y49" s="495"/>
      <c r="Z49" s="85"/>
      <c r="AA49" s="8"/>
    </row>
    <row r="50" spans="2:43" s="297" customFormat="1" x14ac:dyDescent="0.3">
      <c r="C50" s="544" t="s">
        <v>627</v>
      </c>
      <c r="D50" s="545"/>
      <c r="E50" s="546"/>
      <c r="F50" s="547"/>
      <c r="G50" s="676">
        <f>SUM(G5:G49)</f>
        <v>3</v>
      </c>
      <c r="H50" s="694"/>
      <c r="I50" s="689">
        <f>SUM(I5:I49)</f>
        <v>0</v>
      </c>
      <c r="J50" s="652">
        <f>SUM(ResultTable[A4])</f>
        <v>0</v>
      </c>
      <c r="K50" s="652">
        <f>SUM(ResultTable[A5])</f>
        <v>0</v>
      </c>
      <c r="L50" s="652">
        <f>SUM(ResultTable[B1])</f>
        <v>0</v>
      </c>
      <c r="M50" s="572"/>
      <c r="N50" s="572"/>
      <c r="O50" s="652">
        <f>SUM(ResultTable[B4])</f>
        <v>0</v>
      </c>
      <c r="P50" s="572"/>
      <c r="Q50" s="652">
        <f>SUM(ResultTable[B6])</f>
        <v>5.9872463535433766</v>
      </c>
      <c r="R50" s="652">
        <f>SUM(ResultTable[B7])</f>
        <v>0</v>
      </c>
      <c r="S50" s="652">
        <f>SUM(ResultTable[C1])</f>
        <v>108.8</v>
      </c>
      <c r="T50" s="652">
        <f>SUM(ResultTable[C2])</f>
        <v>0</v>
      </c>
      <c r="U50" s="652">
        <f ca="1">SUM(ResultTable[C3])</f>
        <v>0</v>
      </c>
      <c r="V50" s="659">
        <f>SUM(ResultTable[C4])</f>
        <v>0</v>
      </c>
      <c r="W50" s="656">
        <f ca="1">SUM(W5:W46)+W49</f>
        <v>108.8</v>
      </c>
      <c r="X50" s="659">
        <f>SUM(ResultTable[Module D])</f>
        <v>0</v>
      </c>
      <c r="Y50" s="660">
        <f>SUM(ResultTable[Sequestration])</f>
        <v>0</v>
      </c>
      <c r="Z50" s="441"/>
      <c r="AA50" s="298"/>
    </row>
    <row r="51" spans="2:43" ht="13.2" hidden="1" x14ac:dyDescent="0.25">
      <c r="C51" s="548" t="s">
        <v>15</v>
      </c>
      <c r="D51" s="8" t="s">
        <v>65</v>
      </c>
      <c r="E51" s="295" t="s">
        <v>66</v>
      </c>
      <c r="F51" s="296" t="s">
        <v>519</v>
      </c>
      <c r="G51" s="296" t="s">
        <v>520</v>
      </c>
      <c r="H51" s="296" t="s">
        <v>841</v>
      </c>
      <c r="I51" s="653" t="s">
        <v>842</v>
      </c>
      <c r="J51" s="653" t="s">
        <v>843</v>
      </c>
      <c r="K51" s="653" t="s">
        <v>844</v>
      </c>
      <c r="L51" s="653" t="s">
        <v>845</v>
      </c>
      <c r="M51" s="462" t="s">
        <v>846</v>
      </c>
      <c r="N51" s="462" t="s">
        <v>847</v>
      </c>
      <c r="O51" s="653" t="s">
        <v>848</v>
      </c>
      <c r="P51" s="462" t="s">
        <v>849</v>
      </c>
      <c r="Q51" s="653" t="s">
        <v>850</v>
      </c>
      <c r="R51" s="653" t="s">
        <v>851</v>
      </c>
      <c r="S51" s="653" t="s">
        <v>852</v>
      </c>
      <c r="T51" s="653" t="s">
        <v>853</v>
      </c>
      <c r="U51" s="661" t="s">
        <v>854</v>
      </c>
      <c r="V51" s="653" t="s">
        <v>855</v>
      </c>
      <c r="W51" s="657" t="s">
        <v>856</v>
      </c>
      <c r="X51" s="653" t="s">
        <v>857</v>
      </c>
      <c r="Y51" s="662" t="s">
        <v>858</v>
      </c>
      <c r="Z51" s="296"/>
      <c r="AA51" s="296"/>
      <c r="AQ51" s="8">
        <f>AJ7</f>
        <v>0</v>
      </c>
    </row>
    <row r="52" spans="2:43" ht="16.2" thickBot="1" x14ac:dyDescent="0.3">
      <c r="C52" s="549" t="s">
        <v>1384</v>
      </c>
      <c r="D52" s="550" t="str">
        <f>CONCATENATE("Useful Floor area is ",'Project Details'!C16,"m2")</f>
        <v>Useful Floor area is 32m2</v>
      </c>
      <c r="E52" s="551"/>
      <c r="F52" s="552"/>
      <c r="G52" s="552"/>
      <c r="H52" s="552"/>
      <c r="I52" s="654">
        <f>ResultTable[[#Totals],[A1 - A3]]/'Project Details'!$C$16</f>
        <v>0</v>
      </c>
      <c r="J52" s="654">
        <f>ResultTable[[#Totals],[A4]]/'Project Details'!$C$16</f>
        <v>0</v>
      </c>
      <c r="K52" s="654">
        <f>ResultTable[[#Totals],[A5]]/'Project Details'!$C$16</f>
        <v>0</v>
      </c>
      <c r="L52" s="654">
        <f>ResultTable[[#Totals],[B1]]/'Project Details'!$C$16</f>
        <v>0</v>
      </c>
      <c r="M52" s="465"/>
      <c r="N52" s="465"/>
      <c r="O52" s="654">
        <f>ResultTable[[#Totals],[B4]]/'Project Details'!$C$16</f>
        <v>0</v>
      </c>
      <c r="P52" s="465"/>
      <c r="Q52" s="654">
        <f>ResultTable[[#Totals],[B6]]/'Project Details'!$C$16</f>
        <v>0.18710144854823052</v>
      </c>
      <c r="R52" s="654">
        <f>ResultTable[[#Totals],[B7]]/'Project Details'!$C$16</f>
        <v>0</v>
      </c>
      <c r="S52" s="654">
        <f>ResultTable[[#Totals],[C1]]/'Project Details'!$C$16</f>
        <v>3.4</v>
      </c>
      <c r="T52" s="654">
        <f>ResultTable[[#Totals],[C2]]/'Project Details'!$C$16</f>
        <v>0</v>
      </c>
      <c r="U52" s="654">
        <f ca="1">ResultTable[[#Totals],[C3]]/'Project Details'!$C$16</f>
        <v>0</v>
      </c>
      <c r="V52" s="654">
        <f>ResultTable[[#Totals],[C4]]/'Project Details'!$C$16</f>
        <v>0</v>
      </c>
      <c r="W52" s="658">
        <f ca="1">ResultTable[[#Totals],[TOTAL Embodied Carbon]]/'Project Details'!C16</f>
        <v>3.4</v>
      </c>
      <c r="X52" s="654">
        <f>SUM(X5:X49)</f>
        <v>0</v>
      </c>
      <c r="Y52" s="663">
        <f>SUM(Y5:Y45)</f>
        <v>0</v>
      </c>
      <c r="Z52" s="296"/>
      <c r="AA52" s="296"/>
    </row>
    <row r="53" spans="2:43" ht="13.2" x14ac:dyDescent="0.25">
      <c r="C53" s="362" t="s">
        <v>859</v>
      </c>
      <c r="D53" s="674">
        <f>SUM('Materials Calculations'!AL:AL)/SUM('Materials Calculations'!F:F)</f>
        <v>0</v>
      </c>
      <c r="E53" s="295"/>
      <c r="F53" s="541"/>
      <c r="G53" s="541"/>
      <c r="H53" s="541"/>
      <c r="I53" s="542"/>
      <c r="J53" s="542"/>
      <c r="K53" s="542"/>
      <c r="L53" s="542"/>
      <c r="M53" s="542"/>
      <c r="N53" s="542"/>
      <c r="O53" s="542"/>
      <c r="P53" s="542"/>
      <c r="Q53" s="542"/>
      <c r="R53" s="542"/>
      <c r="S53" s="542"/>
      <c r="T53" s="542"/>
      <c r="U53" s="542"/>
      <c r="V53" s="542"/>
      <c r="W53" s="542"/>
      <c r="X53" s="542"/>
      <c r="Y53" s="543"/>
      <c r="Z53" s="296"/>
      <c r="AA53" s="296"/>
    </row>
    <row r="54" spans="2:43" x14ac:dyDescent="0.25">
      <c r="C54" s="362" t="s">
        <v>860</v>
      </c>
      <c r="D54" s="674">
        <f>ResultCompletenessDataQuality[[#This Row],[Column6]]/ResultCompletenessDataQuality[[#This Row],[Column4]]</f>
        <v>4.5454545454545456E-2</v>
      </c>
      <c r="E54" s="295"/>
      <c r="F54" s="539">
        <f>COUNTIF(F5:F48, "Yes")</f>
        <v>44</v>
      </c>
      <c r="G54" s="539"/>
      <c r="H54" s="539">
        <f>COUNTIF(H5:H48,"Yes")</f>
        <v>2</v>
      </c>
      <c r="I54" s="537"/>
      <c r="J54" s="537"/>
      <c r="K54" s="537"/>
      <c r="L54" s="537"/>
      <c r="M54" s="537"/>
      <c r="N54" s="537"/>
      <c r="O54" s="537"/>
      <c r="P54" s="537"/>
      <c r="Q54" s="537"/>
      <c r="R54" s="537"/>
      <c r="S54" s="537"/>
      <c r="T54" s="540"/>
      <c r="U54" s="537"/>
      <c r="V54" s="537"/>
      <c r="W54" s="537"/>
      <c r="X54" s="537"/>
      <c r="Y54" s="538"/>
      <c r="Z54" s="296"/>
    </row>
    <row r="55" spans="2:43" x14ac:dyDescent="0.25">
      <c r="C55" s="504"/>
      <c r="D55" s="497"/>
      <c r="E55" s="295"/>
      <c r="F55" s="498"/>
      <c r="G55" s="498"/>
      <c r="H55" s="498"/>
      <c r="I55" s="496"/>
      <c r="J55" s="496"/>
      <c r="K55" s="496"/>
      <c r="L55" s="496"/>
      <c r="M55" s="496"/>
      <c r="N55" s="496"/>
      <c r="O55" s="496"/>
      <c r="P55" s="496"/>
      <c r="Q55" s="496"/>
      <c r="R55" s="496"/>
      <c r="S55" s="496"/>
      <c r="T55" s="135"/>
      <c r="U55" s="496"/>
      <c r="V55" s="496"/>
      <c r="W55" s="496"/>
      <c r="X55" s="496"/>
      <c r="Y55" s="534"/>
      <c r="Z55" s="296"/>
    </row>
    <row r="56" spans="2:43" x14ac:dyDescent="0.25">
      <c r="C56" s="9"/>
      <c r="D56" s="312"/>
      <c r="E56" s="295"/>
      <c r="F56" s="296"/>
      <c r="G56" s="296"/>
      <c r="H56" s="296"/>
      <c r="I56" s="296"/>
      <c r="J56" s="296"/>
      <c r="K56" s="296"/>
      <c r="L56" s="296"/>
      <c r="M56" s="296"/>
      <c r="N56" s="296"/>
      <c r="O56" s="296"/>
      <c r="P56" s="296"/>
      <c r="Q56" s="296"/>
      <c r="R56" s="296"/>
      <c r="S56" s="296"/>
      <c r="T56" s="296"/>
      <c r="U56" s="296"/>
      <c r="V56" s="296"/>
      <c r="W56" s="299"/>
      <c r="X56" s="296"/>
      <c r="Y56" s="501"/>
      <c r="AB56" s="306"/>
      <c r="AC56" s="306"/>
      <c r="AD56" s="306"/>
    </row>
    <row r="57" spans="2:43" x14ac:dyDescent="0.25">
      <c r="C57" s="348"/>
      <c r="D57" s="8" t="s">
        <v>1310</v>
      </c>
      <c r="E57" s="295"/>
      <c r="F57" s="296"/>
      <c r="G57" s="296"/>
      <c r="H57" s="296"/>
      <c r="I57" s="296"/>
      <c r="J57" s="296"/>
      <c r="K57" s="296"/>
      <c r="L57" s="296"/>
      <c r="M57" s="296"/>
      <c r="N57" s="296"/>
      <c r="O57" s="296"/>
      <c r="P57" s="296"/>
      <c r="Q57" s="296"/>
      <c r="R57" s="296"/>
      <c r="S57" s="296"/>
      <c r="T57" s="296"/>
      <c r="U57" s="296"/>
      <c r="V57" s="296"/>
      <c r="W57" s="299"/>
      <c r="X57" s="296"/>
      <c r="Y57" s="501"/>
    </row>
    <row r="58" spans="2:43" ht="14.4" x14ac:dyDescent="0.3">
      <c r="C58" s="635"/>
      <c r="D58" s="8" t="s">
        <v>1319</v>
      </c>
      <c r="E58" s="295"/>
      <c r="F58" s="296"/>
      <c r="G58" s="296"/>
      <c r="H58" s="296"/>
      <c r="I58" s="296"/>
      <c r="J58" s="296"/>
      <c r="K58" s="296"/>
      <c r="L58" s="296"/>
      <c r="M58" s="296"/>
      <c r="N58" s="296"/>
      <c r="O58" s="296"/>
      <c r="P58" s="296"/>
      <c r="Q58" s="296"/>
      <c r="R58" s="296"/>
      <c r="S58" s="296"/>
      <c r="T58" s="296"/>
      <c r="U58" s="296"/>
      <c r="V58" s="296"/>
      <c r="W58" s="299"/>
      <c r="X58" s="296"/>
      <c r="Y58" s="501"/>
    </row>
    <row r="59" spans="2:43" x14ac:dyDescent="0.25">
      <c r="C59" s="313"/>
      <c r="D59" s="8" t="s">
        <v>1382</v>
      </c>
      <c r="E59" s="295"/>
      <c r="F59" s="296"/>
      <c r="G59" s="296"/>
      <c r="H59" s="296"/>
      <c r="I59" s="296"/>
      <c r="J59" s="296"/>
      <c r="K59" s="296"/>
      <c r="L59" s="296"/>
      <c r="M59" s="296"/>
      <c r="N59" s="296"/>
      <c r="O59" s="296"/>
      <c r="P59" s="296"/>
      <c r="Q59" s="296"/>
      <c r="R59" s="296"/>
      <c r="S59" s="296"/>
      <c r="T59" s="296"/>
      <c r="U59" s="296"/>
      <c r="V59" s="296"/>
      <c r="W59" s="299"/>
      <c r="X59" s="296"/>
      <c r="Y59" s="501"/>
    </row>
    <row r="60" spans="2:43" ht="14.4" x14ac:dyDescent="0.3">
      <c r="C60" s="675" t="s">
        <v>1385</v>
      </c>
      <c r="D60" s="312" t="s">
        <v>1386</v>
      </c>
      <c r="E60" s="295"/>
      <c r="F60" s="296"/>
      <c r="G60" s="296"/>
      <c r="H60" s="296"/>
      <c r="I60" s="296"/>
      <c r="J60" s="296"/>
      <c r="K60" s="296"/>
      <c r="L60" s="296"/>
      <c r="M60" s="296"/>
      <c r="N60" s="296"/>
      <c r="O60" s="296"/>
      <c r="P60" s="296"/>
      <c r="Q60" s="296"/>
      <c r="R60" s="296"/>
      <c r="S60" s="296"/>
      <c r="T60" s="296"/>
      <c r="U60" s="296"/>
      <c r="V60" s="296"/>
      <c r="W60" s="299"/>
      <c r="X60" s="296"/>
      <c r="Y60" s="501"/>
    </row>
    <row r="61" spans="2:43" ht="14.4" customHeight="1" x14ac:dyDescent="0.25">
      <c r="C61" s="9"/>
      <c r="D61" s="312"/>
      <c r="E61" s="295"/>
      <c r="F61" s="296"/>
      <c r="G61" s="296"/>
      <c r="H61" s="296"/>
      <c r="I61" s="296"/>
      <c r="J61" s="296"/>
      <c r="K61" s="296"/>
      <c r="L61" s="296"/>
      <c r="M61" s="296"/>
      <c r="N61" s="296"/>
      <c r="O61" s="296"/>
      <c r="P61" s="296"/>
      <c r="Q61" s="296"/>
      <c r="R61" s="296"/>
      <c r="S61" s="296"/>
      <c r="T61" s="296"/>
      <c r="U61" s="848" t="s">
        <v>800</v>
      </c>
      <c r="V61" s="848"/>
      <c r="W61" s="508">
        <f ca="1">ResultTable[[#Totals],[TOTAL Embodied Carbon]]</f>
        <v>108.8</v>
      </c>
      <c r="X61" s="296"/>
      <c r="Y61" s="501"/>
    </row>
    <row r="62" spans="2:43" ht="25.2" customHeight="1" x14ac:dyDescent="0.25">
      <c r="C62" s="849" t="s">
        <v>1387</v>
      </c>
      <c r="D62" s="849"/>
      <c r="E62" s="849"/>
      <c r="F62" s="849"/>
      <c r="G62" s="850"/>
      <c r="H62" s="505" t="s">
        <v>1388</v>
      </c>
      <c r="I62" s="296"/>
      <c r="J62" s="858" t="s">
        <v>1389</v>
      </c>
      <c r="K62" s="858"/>
      <c r="L62" s="858"/>
      <c r="M62" s="858"/>
      <c r="N62" s="506" t="s">
        <v>728</v>
      </c>
      <c r="O62" s="506" t="s">
        <v>1455</v>
      </c>
      <c r="Q62" s="442" t="s">
        <v>1124</v>
      </c>
      <c r="R62" s="680">
        <f>SUM(MaterialsBoQ[Total Kg])/'Project Details'!C16</f>
        <v>75</v>
      </c>
      <c r="S62" s="680" t="s">
        <v>1437</v>
      </c>
      <c r="T62" s="296"/>
      <c r="U62" s="848" t="s">
        <v>1390</v>
      </c>
      <c r="V62" s="848"/>
      <c r="W62" s="508">
        <f ca="1">W52</f>
        <v>3.4</v>
      </c>
      <c r="X62" s="296"/>
      <c r="Y62" s="501"/>
    </row>
    <row r="63" spans="2:43" ht="14.4" customHeight="1" x14ac:dyDescent="0.25">
      <c r="C63" s="677" t="str">
        <f>'Materials Rank'!K2</f>
        <v>Concrete - Precast - Hollowcore concrete flooring, 150mm, prestressed steel reinforced with world average steel</v>
      </c>
      <c r="D63" s="678"/>
      <c r="E63" s="678"/>
      <c r="F63" s="679"/>
      <c r="G63" s="845">
        <f>'Materials Rank'!L2</f>
        <v>2400</v>
      </c>
      <c r="H63" s="846"/>
      <c r="I63" s="296"/>
      <c r="J63" s="677" t="str">
        <f>'Materials Rank'!F2</f>
        <v>Cement - CEM II/B-S (&lt;35% GGBS)</v>
      </c>
      <c r="K63" s="678"/>
      <c r="L63" s="678"/>
      <c r="M63" s="679"/>
      <c r="N63" s="680">
        <f>'Materials Rank'!H2</f>
        <v>0</v>
      </c>
      <c r="O63" s="680">
        <f>N63/'Project Details'!$C$16</f>
        <v>0</v>
      </c>
      <c r="P63" s="296"/>
      <c r="Q63" s="296"/>
      <c r="R63" s="296"/>
      <c r="S63" s="296"/>
      <c r="T63" s="296"/>
      <c r="U63" s="507" t="s">
        <v>807</v>
      </c>
      <c r="V63" s="507"/>
      <c r="W63" s="509">
        <f>D54</f>
        <v>4.5454545454545456E-2</v>
      </c>
      <c r="X63" s="296"/>
      <c r="Y63" s="501"/>
    </row>
    <row r="64" spans="2:43" x14ac:dyDescent="0.25">
      <c r="C64" s="677" t="str">
        <f>'Materials Rank'!K3</f>
        <v>Cement - CEM II/B-S (&lt;35% GGBS)</v>
      </c>
      <c r="D64" s="678"/>
      <c r="E64" s="678"/>
      <c r="F64" s="679"/>
      <c r="G64" s="845">
        <f>'Materials Rank'!L3</f>
        <v>0</v>
      </c>
      <c r="H64" s="846"/>
      <c r="I64" s="296"/>
      <c r="J64" s="677" t="str">
        <f>'Materials Rank'!F3</f>
        <v>Insulation - Cork</v>
      </c>
      <c r="K64" s="678"/>
      <c r="L64" s="678"/>
      <c r="M64" s="679"/>
      <c r="N64" s="680">
        <f>'Materials Rank'!H3</f>
        <v>0</v>
      </c>
      <c r="O64" s="680">
        <f>N64/'Project Details'!$C$16</f>
        <v>0</v>
      </c>
      <c r="P64" s="296"/>
      <c r="Q64" s="296"/>
      <c r="R64" s="296"/>
      <c r="S64" s="296"/>
      <c r="T64" s="296"/>
      <c r="U64" s="847" t="s">
        <v>810</v>
      </c>
      <c r="V64" s="847"/>
      <c r="W64" s="509">
        <f>D53</f>
        <v>0</v>
      </c>
      <c r="X64" s="296"/>
      <c r="Y64" s="501"/>
    </row>
    <row r="65" spans="3:25" x14ac:dyDescent="0.25">
      <c r="C65" s="677" t="str">
        <f>'Materials Rank'!K4</f>
        <v>Insulation - Cork</v>
      </c>
      <c r="D65" s="678"/>
      <c r="E65" s="678"/>
      <c r="F65" s="679"/>
      <c r="G65" s="845">
        <f>'Materials Rank'!L4</f>
        <v>0</v>
      </c>
      <c r="H65" s="846"/>
      <c r="I65" s="296"/>
      <c r="J65" s="677" t="str">
        <f>'Materials Rank'!F4</f>
        <v>Concrete - In-situ, 35/45 MPa</v>
      </c>
      <c r="K65" s="678"/>
      <c r="L65" s="678"/>
      <c r="M65" s="679"/>
      <c r="N65" s="680">
        <f>'Materials Rank'!H4</f>
        <v>0</v>
      </c>
      <c r="O65" s="680">
        <f>N65/'Project Details'!$C$16</f>
        <v>0</v>
      </c>
      <c r="P65" s="296"/>
      <c r="Q65" s="296"/>
      <c r="R65" s="296"/>
      <c r="S65" s="296"/>
      <c r="T65" s="296"/>
      <c r="X65" s="296"/>
      <c r="Y65" s="501"/>
    </row>
    <row r="66" spans="3:25" x14ac:dyDescent="0.25">
      <c r="C66" s="677" t="str">
        <f>'Materials Rank'!K5</f>
        <v>Concrete - In-situ, 35/45 MPa</v>
      </c>
      <c r="D66" s="678"/>
      <c r="E66" s="678"/>
      <c r="F66" s="679"/>
      <c r="G66" s="845">
        <f>'Materials Rank'!L5</f>
        <v>0</v>
      </c>
      <c r="H66" s="846"/>
      <c r="I66" s="296"/>
      <c r="J66" s="677" t="str">
        <f>'Materials Rank'!F5</f>
        <v xml:space="preserve">Metals - Reinforcing steel </v>
      </c>
      <c r="K66" s="678"/>
      <c r="L66" s="678"/>
      <c r="M66" s="679"/>
      <c r="N66" s="680">
        <f>'Materials Rank'!H5</f>
        <v>0</v>
      </c>
      <c r="O66" s="680">
        <f>N66/'Project Details'!$C$16</f>
        <v>0</v>
      </c>
      <c r="P66" s="296"/>
      <c r="Q66" s="296"/>
      <c r="R66" s="296"/>
      <c r="S66" s="296"/>
      <c r="T66" s="296"/>
      <c r="U66" s="296"/>
      <c r="V66" s="296"/>
      <c r="W66" s="299"/>
      <c r="X66" s="296"/>
      <c r="Y66" s="501"/>
    </row>
    <row r="67" spans="3:25" x14ac:dyDescent="0.25">
      <c r="C67" s="677" t="str">
        <f>'Materials Rank'!K6</f>
        <v xml:space="preserve">Metals - Reinforcing steel </v>
      </c>
      <c r="D67" s="678"/>
      <c r="E67" s="678"/>
      <c r="F67" s="679"/>
      <c r="G67" s="845">
        <f>'Materials Rank'!L6</f>
        <v>0</v>
      </c>
      <c r="H67" s="846"/>
      <c r="I67" s="296"/>
      <c r="J67" s="677" t="str">
        <f>'Materials Rank'!F6</f>
        <v>Metals - Steel, Section</v>
      </c>
      <c r="K67" s="678"/>
      <c r="L67" s="678"/>
      <c r="M67" s="679"/>
      <c r="N67" s="680">
        <f>'Materials Rank'!H6</f>
        <v>0</v>
      </c>
      <c r="O67" s="680">
        <f>N67/'Project Details'!$C$16</f>
        <v>0</v>
      </c>
      <c r="P67" s="296"/>
      <c r="Q67" s="296"/>
      <c r="R67" s="296"/>
      <c r="S67" s="296"/>
      <c r="T67" s="296"/>
      <c r="U67" s="296"/>
      <c r="V67" s="296"/>
      <c r="W67" s="299"/>
      <c r="X67" s="296"/>
      <c r="Y67" s="501"/>
    </row>
    <row r="68" spans="3:25" x14ac:dyDescent="0.25">
      <c r="C68" s="9"/>
      <c r="D68" s="312"/>
      <c r="E68" s="295"/>
      <c r="F68" s="296"/>
      <c r="G68" s="296"/>
      <c r="H68" s="296"/>
      <c r="I68" s="296"/>
      <c r="J68" s="296"/>
      <c r="K68" s="296"/>
      <c r="L68" s="296"/>
      <c r="M68" s="296"/>
      <c r="N68" s="296"/>
      <c r="O68" s="296"/>
      <c r="P68" s="296"/>
      <c r="Q68" s="296"/>
      <c r="R68" s="296"/>
      <c r="S68" s="296"/>
      <c r="T68" s="296"/>
      <c r="U68" s="296"/>
      <c r="V68" s="296"/>
      <c r="W68" s="299"/>
      <c r="X68" s="296"/>
      <c r="Y68" s="501"/>
    </row>
    <row r="69" spans="3:25" x14ac:dyDescent="0.25">
      <c r="C69" s="438" t="s">
        <v>91</v>
      </c>
      <c r="D69" s="439" t="s">
        <v>1264</v>
      </c>
      <c r="E69" s="295"/>
      <c r="F69" s="296"/>
      <c r="G69" s="842" t="s">
        <v>1256</v>
      </c>
      <c r="H69" s="843"/>
      <c r="I69" s="843"/>
      <c r="J69" s="844"/>
      <c r="K69" s="683">
        <f>ResultTable[[#Totals],[B6]]/50/'Project Details'!C16</f>
        <v>3.7420289709646105E-3</v>
      </c>
      <c r="L69" s="296"/>
      <c r="M69" s="296"/>
      <c r="N69" s="296"/>
      <c r="O69" s="296"/>
      <c r="P69" s="296"/>
      <c r="Q69" s="296"/>
      <c r="R69" s="296"/>
      <c r="S69" s="296"/>
      <c r="T69" s="296"/>
      <c r="U69" s="296"/>
      <c r="V69" s="296"/>
      <c r="W69" s="299"/>
      <c r="X69" s="296"/>
      <c r="Y69" s="501"/>
    </row>
    <row r="70" spans="3:25" x14ac:dyDescent="0.25">
      <c r="C70" s="440" t="s">
        <v>1265</v>
      </c>
      <c r="D70" s="681">
        <f>SUMIFS('Materials Rank'!C:C,'Materials Rank'!A:A,"*"&amp;"Steel"&amp;"*" )</f>
        <v>0</v>
      </c>
      <c r="E70" s="295"/>
      <c r="F70" s="296"/>
      <c r="G70" s="842" t="s">
        <v>1257</v>
      </c>
      <c r="H70" s="843"/>
      <c r="I70" s="843"/>
      <c r="J70" s="844"/>
      <c r="K70" s="682">
        <f ca="1">ResultTable[[#Totals],[TOTAL Embodied Carbon]]/50/'Project Details'!C16</f>
        <v>6.8000000000000005E-2</v>
      </c>
      <c r="L70" s="296"/>
      <c r="M70" s="296"/>
      <c r="N70" s="296"/>
      <c r="O70" s="296"/>
      <c r="P70" s="296"/>
      <c r="Q70" s="296"/>
      <c r="R70" s="296"/>
      <c r="S70" s="296"/>
      <c r="T70" s="296"/>
      <c r="U70" s="296"/>
      <c r="V70" s="296"/>
      <c r="W70" s="299"/>
      <c r="X70" s="296"/>
      <c r="Y70" s="501"/>
    </row>
    <row r="71" spans="3:25" x14ac:dyDescent="0.25">
      <c r="C71" s="440" t="s">
        <v>99</v>
      </c>
      <c r="D71" s="681">
        <f>SUMIFS('Materials Rank'!C:C,'Materials Rank'!A:A,"*"&amp;"concrete"&amp;"*" )</f>
        <v>0</v>
      </c>
      <c r="E71" s="295"/>
      <c r="F71" s="296"/>
      <c r="G71" s="842" t="s">
        <v>1258</v>
      </c>
      <c r="H71" s="843"/>
      <c r="I71" s="843"/>
      <c r="J71" s="844"/>
      <c r="K71" s="682">
        <f ca="1">SUM(K69:K70)</f>
        <v>7.1742028970964614E-2</v>
      </c>
      <c r="L71" s="296"/>
      <c r="M71" s="296"/>
      <c r="N71" s="296"/>
      <c r="O71" s="296"/>
      <c r="P71" s="296"/>
      <c r="Q71" s="296"/>
      <c r="R71" s="296"/>
      <c r="S71" s="296"/>
      <c r="T71" s="296"/>
      <c r="U71" s="296"/>
      <c r="V71" s="296"/>
      <c r="W71" s="299"/>
      <c r="X71" s="296"/>
      <c r="Y71" s="501"/>
    </row>
    <row r="72" spans="3:25" x14ac:dyDescent="0.25">
      <c r="C72" s="440" t="s">
        <v>96</v>
      </c>
      <c r="D72" s="681">
        <f>SUMIFS('Materials Rank'!C:C,'Materials Rank'!A:A,"*"&amp;"glass"&amp;"*" )</f>
        <v>0</v>
      </c>
      <c r="E72" s="295"/>
      <c r="F72" s="296"/>
      <c r="G72" s="296"/>
      <c r="H72" s="296"/>
      <c r="I72" s="296"/>
      <c r="J72" s="296"/>
      <c r="K72" s="296"/>
      <c r="L72" s="296"/>
      <c r="M72" s="296"/>
      <c r="N72" s="296"/>
      <c r="O72" s="296"/>
      <c r="P72" s="296"/>
      <c r="Q72" s="296"/>
      <c r="R72" s="296"/>
      <c r="S72" s="296"/>
      <c r="T72" s="296"/>
      <c r="U72" s="296"/>
      <c r="V72" s="296"/>
      <c r="W72" s="299"/>
      <c r="X72" s="296"/>
      <c r="Y72" s="501"/>
    </row>
    <row r="73" spans="3:25" x14ac:dyDescent="0.25">
      <c r="C73" s="440" t="s">
        <v>1266</v>
      </c>
      <c r="D73" s="681">
        <f>SUMIFS('Materials Rank'!C:C,'Materials Rank'!A:A,"*"&amp;"brick"&amp;"*" )</f>
        <v>0</v>
      </c>
      <c r="E73" s="295"/>
      <c r="F73" s="296"/>
      <c r="G73" s="296"/>
      <c r="H73" s="296"/>
      <c r="I73" s="296"/>
      <c r="J73" s="296"/>
      <c r="K73" s="296"/>
      <c r="L73" s="296"/>
      <c r="M73" s="296"/>
      <c r="N73" s="296"/>
      <c r="O73" s="296"/>
      <c r="P73" s="296"/>
      <c r="Q73" s="296"/>
      <c r="R73" s="296"/>
      <c r="S73" s="296"/>
      <c r="T73" s="296"/>
      <c r="U73" s="296"/>
      <c r="V73" s="296"/>
      <c r="W73" s="299"/>
      <c r="X73" s="296"/>
      <c r="Y73" s="501"/>
    </row>
    <row r="74" spans="3:25" x14ac:dyDescent="0.25">
      <c r="C74" s="440" t="s">
        <v>1267</v>
      </c>
      <c r="D74" s="681">
        <f>SUMIFS('Materials Rank'!C:C,'Materials Rank'!A:A,"*"&amp;"aluminium"&amp;"*" )</f>
        <v>0</v>
      </c>
      <c r="E74" s="295"/>
      <c r="F74" s="296"/>
      <c r="G74" s="296"/>
      <c r="H74" s="296"/>
      <c r="I74" s="296"/>
      <c r="J74" s="296"/>
      <c r="K74" s="296"/>
      <c r="L74" s="296"/>
      <c r="M74" s="296"/>
      <c r="N74" s="296"/>
      <c r="O74" s="296"/>
      <c r="P74" s="296"/>
      <c r="Q74" s="296"/>
      <c r="R74" s="296"/>
      <c r="S74" s="296"/>
      <c r="T74" s="296"/>
      <c r="U74" s="296"/>
      <c r="V74" s="296"/>
      <c r="W74" s="299"/>
      <c r="X74" s="296"/>
      <c r="Y74" s="501"/>
    </row>
    <row r="75" spans="3:25" x14ac:dyDescent="0.25">
      <c r="C75" s="440" t="s">
        <v>1268</v>
      </c>
      <c r="D75" s="681">
        <f>SUMIFS('Materials Rank'!C:C,'Materials Rank'!A:A,"*"&amp;"timber"&amp;"*" )</f>
        <v>0</v>
      </c>
      <c r="E75" s="295"/>
      <c r="F75" s="296"/>
      <c r="G75" s="296"/>
      <c r="H75" s="296"/>
      <c r="I75" s="296"/>
      <c r="J75" s="296"/>
      <c r="K75" s="296"/>
      <c r="L75" s="296"/>
      <c r="M75" s="296"/>
      <c r="N75" s="296"/>
      <c r="O75" s="296"/>
      <c r="P75" s="296"/>
      <c r="Q75" s="296"/>
      <c r="R75" s="296"/>
      <c r="S75" s="296"/>
      <c r="T75" s="296"/>
      <c r="U75" s="296"/>
      <c r="V75" s="296"/>
      <c r="W75" s="299"/>
      <c r="X75" s="296"/>
      <c r="Y75" s="501"/>
    </row>
    <row r="76" spans="3:25" x14ac:dyDescent="0.25">
      <c r="C76" s="9"/>
      <c r="D76" s="312"/>
      <c r="E76" s="295"/>
      <c r="F76" s="296"/>
      <c r="G76" s="296"/>
      <c r="H76" s="296"/>
      <c r="I76" s="296"/>
      <c r="J76" s="296"/>
      <c r="K76" s="296"/>
      <c r="L76" s="296"/>
      <c r="M76" s="296"/>
      <c r="N76" s="296"/>
      <c r="O76" s="296"/>
      <c r="P76" s="296"/>
      <c r="Q76" s="296"/>
      <c r="R76" s="296"/>
      <c r="S76" s="296"/>
      <c r="T76" s="296"/>
      <c r="U76" s="296"/>
      <c r="V76" s="296"/>
      <c r="W76" s="299"/>
      <c r="X76" s="296"/>
      <c r="Y76" s="501"/>
    </row>
    <row r="77" spans="3:25" x14ac:dyDescent="0.25">
      <c r="C77" s="9"/>
      <c r="D77" s="312"/>
      <c r="E77" s="295"/>
      <c r="F77" s="296"/>
      <c r="G77" s="296"/>
      <c r="H77" s="296"/>
      <c r="I77" s="296"/>
      <c r="J77" s="296"/>
      <c r="K77" s="296"/>
      <c r="L77" s="296"/>
      <c r="M77" s="296"/>
      <c r="N77" s="296"/>
      <c r="O77" s="296"/>
      <c r="P77" s="296"/>
      <c r="Q77" s="296"/>
      <c r="R77" s="296"/>
      <c r="S77" s="296"/>
      <c r="T77" s="296"/>
      <c r="U77" s="296"/>
      <c r="V77" s="296"/>
      <c r="W77" s="299"/>
      <c r="X77" s="296"/>
      <c r="Y77" s="501"/>
    </row>
    <row r="78" spans="3:25" x14ac:dyDescent="0.25">
      <c r="C78" s="9"/>
      <c r="D78" s="312"/>
      <c r="E78" s="295"/>
      <c r="F78" s="296"/>
      <c r="G78" s="296"/>
      <c r="H78" s="296"/>
      <c r="I78" s="296"/>
      <c r="J78" s="296"/>
      <c r="K78" s="296"/>
      <c r="L78" s="296"/>
      <c r="M78" s="296"/>
      <c r="N78" s="296"/>
      <c r="O78" s="296"/>
      <c r="P78" s="296"/>
      <c r="Q78" s="296"/>
      <c r="R78" s="296"/>
      <c r="S78" s="296"/>
      <c r="T78" s="296"/>
      <c r="U78" s="296"/>
      <c r="V78" s="296"/>
      <c r="W78" s="299"/>
      <c r="X78" s="296"/>
      <c r="Y78" s="501"/>
    </row>
    <row r="79" spans="3:25" x14ac:dyDescent="0.25">
      <c r="C79" s="9"/>
      <c r="D79" s="312"/>
      <c r="E79" s="295"/>
      <c r="F79" s="296"/>
      <c r="G79" s="296"/>
      <c r="H79" s="296"/>
      <c r="I79" s="296"/>
      <c r="J79" s="296"/>
      <c r="K79" s="296"/>
      <c r="L79" s="296"/>
      <c r="M79" s="296"/>
      <c r="N79" s="296"/>
      <c r="O79" s="296"/>
      <c r="P79" s="296"/>
      <c r="Q79" s="296"/>
      <c r="R79" s="296"/>
      <c r="S79" s="296"/>
      <c r="T79" s="296"/>
      <c r="U79" s="296"/>
      <c r="V79" s="296"/>
      <c r="W79" s="299"/>
      <c r="X79" s="296"/>
      <c r="Y79" s="501"/>
    </row>
    <row r="80" spans="3:25" x14ac:dyDescent="0.25">
      <c r="C80" s="9"/>
      <c r="D80" s="312"/>
      <c r="E80" s="295"/>
      <c r="F80" s="296"/>
      <c r="G80" s="296"/>
      <c r="H80" s="296"/>
      <c r="I80" s="296"/>
      <c r="J80" s="296"/>
      <c r="K80" s="296"/>
      <c r="L80" s="296"/>
      <c r="M80" s="296"/>
      <c r="N80" s="296"/>
      <c r="O80" s="296"/>
      <c r="P80" s="296"/>
      <c r="Q80" s="296"/>
      <c r="R80" s="296"/>
      <c r="S80" s="296"/>
      <c r="T80" s="296"/>
      <c r="U80" s="296"/>
      <c r="V80" s="296"/>
      <c r="W80" s="299"/>
      <c r="X80" s="296"/>
      <c r="Y80" s="501"/>
    </row>
    <row r="81" spans="3:25" x14ac:dyDescent="0.25">
      <c r="C81" s="9"/>
      <c r="D81" s="312"/>
      <c r="E81" s="295"/>
      <c r="F81" s="296"/>
      <c r="G81" s="296"/>
      <c r="H81" s="296"/>
      <c r="I81" s="296"/>
      <c r="J81" s="296"/>
      <c r="K81" s="296"/>
      <c r="L81" s="296"/>
      <c r="M81" s="296"/>
      <c r="N81" s="296"/>
      <c r="O81" s="296"/>
      <c r="P81" s="296"/>
      <c r="Q81" s="296"/>
      <c r="R81" s="296"/>
      <c r="S81" s="296"/>
      <c r="T81" s="296"/>
      <c r="U81" s="296"/>
      <c r="V81" s="296"/>
      <c r="W81" s="299"/>
      <c r="X81" s="296"/>
      <c r="Y81" s="501"/>
    </row>
    <row r="82" spans="3:25" x14ac:dyDescent="0.25">
      <c r="C82" s="9"/>
      <c r="D82" s="312"/>
      <c r="E82" s="295"/>
      <c r="F82" s="296"/>
      <c r="G82" s="296"/>
      <c r="H82" s="296"/>
      <c r="I82" s="296"/>
      <c r="J82" s="296"/>
      <c r="K82" s="296"/>
      <c r="L82" s="296"/>
      <c r="M82" s="296"/>
      <c r="N82" s="296"/>
      <c r="O82" s="296"/>
      <c r="P82" s="296"/>
      <c r="Q82" s="296"/>
      <c r="R82" s="296"/>
      <c r="S82" s="296"/>
      <c r="T82" s="296"/>
      <c r="U82" s="296"/>
      <c r="V82" s="296"/>
      <c r="W82" s="299"/>
      <c r="X82" s="296"/>
      <c r="Y82" s="501"/>
    </row>
    <row r="83" spans="3:25" x14ac:dyDescent="0.25">
      <c r="C83" s="9"/>
      <c r="D83" s="312"/>
      <c r="E83" s="295"/>
      <c r="F83" s="296"/>
      <c r="G83" s="296"/>
      <c r="H83" s="296"/>
      <c r="I83" s="296"/>
      <c r="J83" s="296"/>
      <c r="K83" s="296"/>
      <c r="L83" s="296"/>
      <c r="M83" s="296"/>
      <c r="N83" s="296"/>
      <c r="O83" s="296"/>
      <c r="P83" s="296"/>
      <c r="Q83" s="296"/>
      <c r="R83" s="296"/>
      <c r="S83" s="296"/>
      <c r="T83" s="296"/>
      <c r="U83" s="296"/>
      <c r="V83" s="296"/>
      <c r="W83" s="299"/>
      <c r="X83" s="296"/>
      <c r="Y83" s="501"/>
    </row>
    <row r="84" spans="3:25" x14ac:dyDescent="0.25">
      <c r="C84" s="9"/>
      <c r="D84" s="312"/>
      <c r="E84" s="295"/>
      <c r="F84" s="296"/>
      <c r="G84" s="296"/>
      <c r="H84" s="296"/>
      <c r="I84" s="296"/>
      <c r="J84" s="296"/>
      <c r="K84" s="296"/>
      <c r="L84" s="296"/>
      <c r="M84" s="296"/>
      <c r="N84" s="296"/>
      <c r="O84" s="296"/>
      <c r="P84" s="296"/>
      <c r="Q84" s="296"/>
      <c r="R84" s="296"/>
      <c r="S84" s="296"/>
      <c r="T84" s="296"/>
      <c r="U84" s="296"/>
      <c r="V84" s="296"/>
      <c r="W84" s="299"/>
      <c r="X84" s="296"/>
      <c r="Y84" s="501"/>
    </row>
    <row r="85" spans="3:25" x14ac:dyDescent="0.25">
      <c r="C85" s="9"/>
      <c r="D85" s="312"/>
      <c r="E85" s="295"/>
      <c r="F85" s="296"/>
      <c r="G85" s="296"/>
      <c r="H85" s="296"/>
      <c r="I85" s="296"/>
      <c r="J85" s="296"/>
      <c r="K85" s="296"/>
      <c r="L85" s="296"/>
      <c r="M85" s="296"/>
      <c r="N85" s="296"/>
      <c r="O85" s="296"/>
      <c r="P85" s="296"/>
      <c r="Q85" s="296"/>
      <c r="R85" s="296"/>
      <c r="S85" s="296"/>
      <c r="T85" s="296"/>
      <c r="U85" s="296"/>
      <c r="V85" s="296"/>
      <c r="W85" s="299"/>
      <c r="X85" s="296"/>
      <c r="Y85" s="501"/>
    </row>
    <row r="86" spans="3:25" x14ac:dyDescent="0.25">
      <c r="C86" s="9"/>
      <c r="D86" s="312"/>
      <c r="E86" s="295"/>
      <c r="F86" s="296"/>
      <c r="G86" s="296"/>
      <c r="H86" s="296"/>
      <c r="I86" s="296"/>
      <c r="J86" s="296"/>
      <c r="K86" s="296"/>
      <c r="L86" s="296"/>
      <c r="M86" s="296"/>
      <c r="N86" s="296"/>
      <c r="O86" s="296"/>
      <c r="P86" s="296"/>
      <c r="Q86" s="296"/>
      <c r="R86" s="296"/>
      <c r="S86" s="296"/>
      <c r="T86" s="296"/>
      <c r="U86" s="296"/>
      <c r="V86" s="296"/>
      <c r="W86" s="299"/>
      <c r="X86" s="296"/>
      <c r="Y86" s="501"/>
    </row>
    <row r="87" spans="3:25" x14ac:dyDescent="0.25">
      <c r="C87" s="9"/>
      <c r="D87" s="312"/>
      <c r="E87" s="295"/>
      <c r="F87" s="296"/>
      <c r="G87" s="296"/>
      <c r="H87" s="296"/>
      <c r="I87" s="296"/>
      <c r="J87" s="296"/>
      <c r="K87" s="296"/>
      <c r="L87" s="296"/>
      <c r="M87" s="296"/>
      <c r="N87" s="296"/>
      <c r="O87" s="296"/>
      <c r="P87" s="296"/>
      <c r="Q87" s="296"/>
      <c r="R87" s="296"/>
      <c r="S87" s="296"/>
      <c r="T87" s="296"/>
      <c r="U87" s="296"/>
      <c r="V87" s="296"/>
      <c r="W87" s="299"/>
      <c r="X87" s="296"/>
      <c r="Y87" s="501"/>
    </row>
    <row r="88" spans="3:25" x14ac:dyDescent="0.25">
      <c r="C88" s="9"/>
      <c r="D88" s="312"/>
      <c r="E88" s="295"/>
      <c r="F88" s="296"/>
      <c r="G88" s="296"/>
      <c r="H88" s="296"/>
      <c r="I88" s="296"/>
      <c r="J88" s="296"/>
      <c r="K88" s="296"/>
      <c r="L88" s="296"/>
      <c r="M88" s="296"/>
      <c r="N88" s="296"/>
      <c r="O88" s="296"/>
      <c r="P88" s="296"/>
      <c r="Q88" s="296"/>
      <c r="R88" s="296"/>
      <c r="S88" s="296"/>
      <c r="T88" s="296"/>
      <c r="U88" s="296"/>
      <c r="V88" s="296"/>
      <c r="W88" s="299"/>
      <c r="X88" s="296"/>
      <c r="Y88" s="501"/>
    </row>
    <row r="89" spans="3:25" x14ac:dyDescent="0.25">
      <c r="C89" s="9"/>
      <c r="D89" s="312"/>
      <c r="E89" s="295"/>
      <c r="F89" s="296"/>
      <c r="G89" s="296"/>
      <c r="H89" s="296"/>
      <c r="I89" s="296"/>
      <c r="J89" s="296"/>
      <c r="K89" s="296"/>
      <c r="L89" s="296"/>
      <c r="M89" s="296"/>
      <c r="N89" s="296"/>
      <c r="O89" s="296"/>
      <c r="P89" s="296"/>
      <c r="Q89" s="296"/>
      <c r="R89" s="296"/>
      <c r="S89" s="296"/>
      <c r="T89" s="296"/>
      <c r="U89" s="296"/>
      <c r="V89" s="296"/>
      <c r="W89" s="299"/>
      <c r="X89" s="296"/>
      <c r="Y89" s="501"/>
    </row>
    <row r="90" spans="3:25" x14ac:dyDescent="0.25">
      <c r="C90" s="9"/>
      <c r="D90" s="312"/>
      <c r="E90" s="295"/>
      <c r="F90" s="296"/>
      <c r="G90" s="296"/>
      <c r="H90" s="296"/>
      <c r="I90" s="296"/>
      <c r="J90" s="296"/>
      <c r="K90" s="296"/>
      <c r="L90" s="296"/>
      <c r="M90" s="296"/>
      <c r="N90" s="296"/>
      <c r="O90" s="296"/>
      <c r="P90" s="296"/>
      <c r="Q90" s="296"/>
      <c r="R90" s="296"/>
      <c r="S90" s="296"/>
      <c r="T90" s="296"/>
      <c r="U90" s="296"/>
      <c r="V90" s="296"/>
      <c r="W90" s="299"/>
      <c r="X90" s="296"/>
      <c r="Y90" s="501"/>
    </row>
    <row r="91" spans="3:25" x14ac:dyDescent="0.25">
      <c r="C91" s="9"/>
      <c r="D91" s="312"/>
      <c r="E91" s="295"/>
      <c r="F91" s="296"/>
      <c r="G91" s="296"/>
      <c r="H91" s="296"/>
      <c r="I91" s="296"/>
      <c r="J91" s="296"/>
      <c r="K91" s="296"/>
      <c r="L91" s="296"/>
      <c r="M91" s="296"/>
      <c r="N91" s="296"/>
      <c r="O91" s="296"/>
      <c r="P91" s="296"/>
      <c r="Q91" s="296"/>
      <c r="R91" s="296"/>
      <c r="S91" s="296"/>
      <c r="T91" s="296"/>
      <c r="U91" s="296"/>
      <c r="V91" s="296"/>
      <c r="W91" s="299"/>
      <c r="X91" s="296"/>
      <c r="Y91" s="501"/>
    </row>
    <row r="92" spans="3:25" x14ac:dyDescent="0.25">
      <c r="C92" s="9"/>
      <c r="D92" s="312"/>
      <c r="E92" s="295"/>
      <c r="F92" s="296"/>
      <c r="G92" s="296"/>
      <c r="H92" s="296"/>
      <c r="I92" s="296"/>
      <c r="J92" s="296"/>
      <c r="K92" s="296"/>
      <c r="L92" s="296"/>
      <c r="M92" s="296"/>
      <c r="N92" s="296"/>
      <c r="O92" s="296"/>
      <c r="P92" s="296"/>
      <c r="Q92" s="296"/>
      <c r="R92" s="296"/>
      <c r="S92" s="296"/>
      <c r="T92" s="296"/>
      <c r="U92" s="296"/>
      <c r="V92" s="296"/>
      <c r="W92" s="299"/>
      <c r="X92" s="296"/>
      <c r="Y92" s="501"/>
    </row>
    <row r="93" spans="3:25" x14ac:dyDescent="0.25">
      <c r="C93" s="9"/>
      <c r="D93" s="312"/>
      <c r="E93" s="295"/>
      <c r="F93" s="296"/>
      <c r="G93" s="296"/>
      <c r="H93" s="296"/>
      <c r="I93" s="296"/>
      <c r="J93" s="296"/>
      <c r="K93" s="296"/>
      <c r="L93" s="296"/>
      <c r="M93" s="296"/>
      <c r="N93" s="296"/>
      <c r="O93" s="296"/>
      <c r="P93" s="296"/>
      <c r="Q93" s="296"/>
      <c r="R93" s="296"/>
      <c r="S93" s="296"/>
      <c r="T93" s="296"/>
      <c r="U93" s="296"/>
      <c r="V93" s="296"/>
      <c r="W93" s="299"/>
      <c r="X93" s="296"/>
      <c r="Y93" s="501"/>
    </row>
    <row r="94" spans="3:25" x14ac:dyDescent="0.25">
      <c r="C94" s="9"/>
      <c r="D94" s="312"/>
      <c r="E94" s="295"/>
      <c r="F94" s="296"/>
      <c r="G94" s="296"/>
      <c r="H94" s="296"/>
      <c r="I94" s="296"/>
      <c r="J94" s="296"/>
      <c r="K94" s="296"/>
      <c r="L94" s="296"/>
      <c r="M94" s="296"/>
      <c r="N94" s="296"/>
      <c r="O94" s="296"/>
      <c r="P94" s="296"/>
      <c r="Q94" s="296"/>
      <c r="R94" s="296"/>
      <c r="S94" s="296"/>
      <c r="T94" s="296"/>
      <c r="U94" s="296"/>
      <c r="V94" s="296"/>
      <c r="W94" s="299"/>
      <c r="X94" s="296"/>
      <c r="Y94" s="501"/>
    </row>
    <row r="95" spans="3:25" x14ac:dyDescent="0.25">
      <c r="C95" s="9"/>
      <c r="D95" s="312"/>
      <c r="E95" s="295"/>
      <c r="F95" s="296"/>
      <c r="G95" s="296"/>
      <c r="H95" s="296"/>
      <c r="I95" s="296"/>
      <c r="J95" s="296"/>
      <c r="K95" s="296"/>
      <c r="L95" s="296"/>
      <c r="M95" s="296"/>
      <c r="N95" s="296"/>
      <c r="O95" s="296"/>
      <c r="P95" s="296"/>
      <c r="Q95" s="296"/>
      <c r="R95" s="296"/>
      <c r="S95" s="296"/>
      <c r="T95" s="296"/>
      <c r="U95" s="296"/>
      <c r="V95" s="296"/>
      <c r="W95" s="299"/>
      <c r="X95" s="296"/>
      <c r="Y95" s="501"/>
    </row>
    <row r="96" spans="3:25" x14ac:dyDescent="0.25">
      <c r="C96" s="9"/>
      <c r="D96" s="312"/>
      <c r="E96" s="295"/>
      <c r="F96" s="296"/>
      <c r="G96" s="296"/>
      <c r="H96" s="296"/>
      <c r="I96" s="296"/>
      <c r="J96" s="296"/>
      <c r="K96" s="296"/>
      <c r="L96" s="296"/>
      <c r="M96" s="296"/>
      <c r="N96" s="296"/>
      <c r="O96" s="296"/>
      <c r="P96" s="296"/>
      <c r="Q96" s="296"/>
      <c r="R96" s="296"/>
      <c r="S96" s="296"/>
      <c r="T96" s="296"/>
      <c r="U96" s="296"/>
      <c r="V96" s="296"/>
      <c r="W96" s="299"/>
      <c r="X96" s="296"/>
      <c r="Y96" s="501"/>
    </row>
    <row r="97" spans="3:25" x14ac:dyDescent="0.25">
      <c r="C97" s="9"/>
      <c r="D97" s="312"/>
      <c r="E97" s="295"/>
      <c r="F97" s="296"/>
      <c r="G97" s="296"/>
      <c r="H97" s="296"/>
      <c r="I97" s="296"/>
      <c r="J97" s="296"/>
      <c r="K97" s="296"/>
      <c r="L97" s="296"/>
      <c r="M97" s="296"/>
      <c r="N97" s="296"/>
      <c r="O97" s="296"/>
      <c r="P97" s="296"/>
      <c r="Q97" s="296"/>
      <c r="R97" s="296"/>
      <c r="S97" s="296"/>
      <c r="T97" s="296"/>
      <c r="U97" s="296"/>
      <c r="V97" s="296"/>
      <c r="W97" s="299"/>
      <c r="X97" s="296"/>
      <c r="Y97" s="501"/>
    </row>
    <row r="99" spans="3:25" ht="22.2" customHeight="1" x14ac:dyDescent="0.25">
      <c r="C99" s="300" t="s">
        <v>862</v>
      </c>
      <c r="D99" s="301"/>
      <c r="E99" s="27"/>
      <c r="F99" s="27"/>
      <c r="G99" s="27" t="s">
        <v>863</v>
      </c>
      <c r="H99" s="27"/>
      <c r="I99" s="27"/>
      <c r="J99" s="27" t="s">
        <v>864</v>
      </c>
    </row>
    <row r="100" spans="3:25" x14ac:dyDescent="0.25">
      <c r="C100" s="15" t="str">
        <f>CONCATENATE($I$2,$E5)</f>
        <v>2.02.010</v>
      </c>
      <c r="D100" s="316">
        <f>SUMIF(E5:E49,E5,I5:K49)</f>
        <v>0</v>
      </c>
      <c r="F100" s="303" t="s">
        <v>801</v>
      </c>
      <c r="G100" s="304">
        <f>ResultTable[[#Totals],[A1 - A3]]</f>
        <v>0</v>
      </c>
      <c r="I100" s="303" t="str">
        <f>C5</f>
        <v>Foundations (substructure)</v>
      </c>
      <c r="J100" s="305">
        <f>SUM(I5:I7)</f>
        <v>0</v>
      </c>
    </row>
    <row r="101" spans="3:25" x14ac:dyDescent="0.25">
      <c r="C101" s="15" t="str">
        <f>CONCATENATE($I$2,$E6)</f>
        <v>2.02.030</v>
      </c>
      <c r="D101" s="302">
        <f>SUMIF(ResultTable[ICMS L3 &amp; L4 Code ],E6,ResultTable[[A1 - A3]:[A5]])</f>
        <v>0</v>
      </c>
      <c r="F101" s="303" t="s">
        <v>802</v>
      </c>
      <c r="G101" s="304">
        <f>ResultTable[[#Totals],[A4]]+ResultTable[[#Totals],[A5]]</f>
        <v>0</v>
      </c>
      <c r="I101" s="303" t="str">
        <f>C8</f>
        <v>Load bearing structural frame</v>
      </c>
      <c r="J101" s="305">
        <f>SUM(I8:I11)</f>
        <v>0</v>
      </c>
      <c r="P101" s="38"/>
    </row>
    <row r="102" spans="3:25" x14ac:dyDescent="0.25">
      <c r="C102" s="15" t="str">
        <f>CONCATENATE($I$2,$E8)</f>
        <v>2.03.030</v>
      </c>
      <c r="D102" s="302">
        <f>SUMIF(ResultTable[ICMS L3 &amp; L4 Code ],E8,ResultTable[[A1 - A3]:[A5]])</f>
        <v>0</v>
      </c>
      <c r="F102" s="303" t="s">
        <v>805</v>
      </c>
      <c r="G102" s="304">
        <f>ResultTable[[#Totals],[B4]]+ResultTable[[#Totals],[B5]]</f>
        <v>0</v>
      </c>
      <c r="I102" s="303" t="str">
        <f>C12</f>
        <v>Non-load bearing elements</v>
      </c>
      <c r="J102" s="305">
        <f>SUM(I12:I14)</f>
        <v>0</v>
      </c>
      <c r="P102" s="38"/>
    </row>
    <row r="103" spans="3:25" x14ac:dyDescent="0.25">
      <c r="C103" s="15" t="str">
        <f>CONCATENATE($I$2,$E11)</f>
        <v>2.04.020</v>
      </c>
      <c r="D103" s="302">
        <f>SUMIF(ResultTable[ICMS L3 &amp; L4 Code ],E11,ResultTable[[A1 - A3]:[A5]])</f>
        <v>0</v>
      </c>
      <c r="F103" s="303" t="s">
        <v>803</v>
      </c>
      <c r="G103" s="304">
        <f>ResultTable[[#Totals],[B6]]+ResultTable[[#Totals],[B7]]</f>
        <v>5.9872463535433766</v>
      </c>
      <c r="I103" s="303" t="str">
        <f>C15</f>
        <v xml:space="preserve">Facades </v>
      </c>
      <c r="J103" s="305">
        <f>SUM(I15:I17)</f>
        <v>0</v>
      </c>
      <c r="P103" s="38"/>
    </row>
    <row r="104" spans="3:25" x14ac:dyDescent="0.25">
      <c r="C104" s="15" t="str">
        <f>CONCATENATE($I$2,$E12)</f>
        <v>2.03.020</v>
      </c>
      <c r="D104" s="302">
        <f>SUMIF(ResultTable[ICMS L3 &amp; L4 Code ],E12,ResultTable[[A1 - A3]:[A5]])</f>
        <v>0</v>
      </c>
      <c r="F104" s="303" t="s">
        <v>804</v>
      </c>
      <c r="G104" s="304">
        <f>ResultTable[[#Totals],[B3]]+ResultTable[[#Totals],[B2]]+ResultTable[[#Totals],[B1]]</f>
        <v>0</v>
      </c>
      <c r="I104" s="303" t="str">
        <f>C18</f>
        <v xml:space="preserve">Roof </v>
      </c>
      <c r="J104" s="305">
        <f>SUM(I18:I19)</f>
        <v>0</v>
      </c>
      <c r="P104" s="38"/>
    </row>
    <row r="105" spans="3:25" x14ac:dyDescent="0.25">
      <c r="C105" s="15" t="str">
        <f>CONCATENATE($I$2,$E13)</f>
        <v>2.04.040</v>
      </c>
      <c r="D105" s="302">
        <f>SUMIF(ResultTable[ICMS L3 &amp; L4 Code ],E13,ResultTable[[A1 - A3]:[A5]])</f>
        <v>0</v>
      </c>
      <c r="F105" s="303" t="s">
        <v>806</v>
      </c>
      <c r="G105" s="304">
        <f ca="1">ResultTable[[#Totals],[C1]]+ResultTable[[#Totals],[C2]]+ResultTable[[#Totals],[C3]]+ResultTable[[#Totals],[C4]]</f>
        <v>108.8</v>
      </c>
      <c r="I105" s="303" t="str">
        <f>C20</f>
        <v>Parking facilities</v>
      </c>
      <c r="J105" s="305">
        <f>SUM(I20)</f>
        <v>0</v>
      </c>
    </row>
    <row r="106" spans="3:25" x14ac:dyDescent="0.25">
      <c r="C106" s="15" t="str">
        <f>CONCATENATE($I$2,$E19)</f>
        <v>2.04.030</v>
      </c>
      <c r="D106" s="302">
        <f>SUMIF(ResultTable[ICMS L3 &amp; L4 Code ],E19,ResultTable[[A1 - A3]:[A5]])</f>
        <v>0</v>
      </c>
      <c r="G106" s="306">
        <f ca="1">SUM(G100:G105)</f>
        <v>114.78724635354337</v>
      </c>
      <c r="I106" s="303" t="str">
        <f>C21</f>
        <v>Fittings and furnishings</v>
      </c>
      <c r="J106" s="305">
        <f>SUM(I21:I25)</f>
        <v>0</v>
      </c>
    </row>
    <row r="107" spans="3:25" x14ac:dyDescent="0.25">
      <c r="C107" s="15" t="str">
        <f>CONCATENATE($I$2,$E20)</f>
        <v>2.07.040</v>
      </c>
      <c r="D107" s="302">
        <f>SUMIF(ResultTable[ICMS L3 &amp; L4 Code ],E20,ResultTable[[A1 - A3]:[A5]])</f>
        <v>0</v>
      </c>
      <c r="I107" s="303" t="str">
        <f>C26</f>
        <v>Drainage systems</v>
      </c>
      <c r="J107" s="305">
        <f>SUM(I26)</f>
        <v>0</v>
      </c>
    </row>
    <row r="108" spans="3:25" x14ac:dyDescent="0.25">
      <c r="C108" s="15" t="str">
        <f>CONCATENATE($I$2,$E21)</f>
        <v>2.05.060</v>
      </c>
      <c r="D108" s="302">
        <f>SUMIF(ResultTable[ICMS L3 &amp; L4 Code ],E21,ResultTable[[A1 - A3]:[A5]])</f>
        <v>0</v>
      </c>
      <c r="F108" s="42" t="s">
        <v>861</v>
      </c>
      <c r="I108" s="303" t="str">
        <f>C27</f>
        <v xml:space="preserve">Utilities </v>
      </c>
      <c r="J108" s="305">
        <f>SUM(I27:I28)</f>
        <v>0</v>
      </c>
    </row>
    <row r="109" spans="3:25" x14ac:dyDescent="0.25">
      <c r="C109" s="15" t="str">
        <f>CONCATENATE($I$2,$E22)</f>
        <v>2.04.050</v>
      </c>
      <c r="D109" s="302">
        <f>SUMIF(ResultTable[ICMS L3 &amp; L4 Code ],E22,ResultTable[[A1 - A3]:[A5]])</f>
        <v>0</v>
      </c>
      <c r="I109" s="303" t="str">
        <f>C29</f>
        <v>Landscaping</v>
      </c>
      <c r="J109" s="305">
        <f>SUM(I29:I30)</f>
        <v>0</v>
      </c>
    </row>
    <row r="110" spans="3:25" x14ac:dyDescent="0.25">
      <c r="C110" s="15" t="str">
        <f>CONCATENATE($I$2,$E23)</f>
        <v>2.04.060</v>
      </c>
      <c r="D110" s="302">
        <f>SUMIF(ResultTable[ICMS L3 &amp; L4 Code ],E23,ResultTable[[A1 - A3]:[A5]])</f>
        <v>0</v>
      </c>
      <c r="I110" s="303" t="str">
        <f>C31</f>
        <v xml:space="preserve">In-built lighting system </v>
      </c>
      <c r="J110" s="305">
        <f>SUM(I31:I32)</f>
        <v>0</v>
      </c>
      <c r="L110" s="320"/>
    </row>
    <row r="111" spans="3:25" x14ac:dyDescent="0.25">
      <c r="C111" s="15" t="str">
        <f>CONCATENATE($I$2,$E26)</f>
        <v>2.06.010</v>
      </c>
      <c r="D111" s="302">
        <f>SUMIF(ResultTable[ICMS L3 &amp; L4 Code ],E26,ResultTable[[A1 - A3]:[A5]])</f>
        <v>0</v>
      </c>
      <c r="I111" s="303" t="str">
        <f>C33</f>
        <v xml:space="preserve">Energy system </v>
      </c>
      <c r="J111" s="305">
        <f>SUM(I33:I35)</f>
        <v>0</v>
      </c>
    </row>
    <row r="112" spans="3:25" x14ac:dyDescent="0.25">
      <c r="C112" s="15" t="str">
        <f>CONCATENATE($I$2,$E27)</f>
        <v>2.07.070</v>
      </c>
      <c r="D112" s="302">
        <f>SUMIF(ResultTable[ICMS L3 &amp; L4 Code ],E27,ResultTable[[A1 - A3]:[A5]])</f>
        <v>0</v>
      </c>
      <c r="I112" s="303" t="str">
        <f>C36</f>
        <v xml:space="preserve">Ventilation system </v>
      </c>
      <c r="J112" s="305">
        <f>SUM(I36:I37)</f>
        <v>0</v>
      </c>
    </row>
    <row r="113" spans="3:14" x14ac:dyDescent="0.25">
      <c r="C113" s="15" t="str">
        <f>CONCATENATE($I$2,$E30)</f>
        <v>2.07.050</v>
      </c>
      <c r="D113" s="302">
        <f>SUMIF(ResultTable[ICMS L3 &amp; L4 Code ],E30,ResultTable[[A1 - A3]:[A5]])</f>
        <v>0</v>
      </c>
      <c r="I113" s="303" t="str">
        <f>C38</f>
        <v>Sanitary systems</v>
      </c>
      <c r="J113" s="305">
        <f>SUM(I38:I41)</f>
        <v>0</v>
      </c>
    </row>
    <row r="114" spans="3:14" x14ac:dyDescent="0.25">
      <c r="C114" s="15" t="str">
        <f>CONCATENATE($I$2,$E31)</f>
        <v>2.05.030</v>
      </c>
      <c r="D114" s="302">
        <f>SUMIF(ResultTable[ICMS L3 &amp; L4 Code ],E31,ResultTable[[A1 - A3]:[A5]])</f>
        <v>0</v>
      </c>
      <c r="I114" s="303" t="str">
        <f>C42</f>
        <v>Other systems</v>
      </c>
      <c r="J114" s="305">
        <f>SUM(I42:I45)</f>
        <v>0</v>
      </c>
      <c r="N114" s="307"/>
    </row>
    <row r="115" spans="3:14" x14ac:dyDescent="0.25">
      <c r="C115" s="15" t="str">
        <f>CONCATENATE($I$2,$E34)</f>
        <v>2.05.010</v>
      </c>
      <c r="D115" s="302">
        <f>SUMIF(ResultTable[ICMS L3 &amp; L4 Code ],E34,ResultTable[[A1 - A3]:[A5]])</f>
        <v>0</v>
      </c>
      <c r="J115" s="44">
        <f>SUM(J100:J114)</f>
        <v>0</v>
      </c>
    </row>
    <row r="116" spans="3:14" x14ac:dyDescent="0.25">
      <c r="C116" s="15" t="str">
        <f>CONCATENATE($I$2,$E35)</f>
        <v>2.05.020</v>
      </c>
      <c r="D116" s="302">
        <f>SUMIF(ResultTable[ICMS L3 &amp; L4 Code ],E35,ResultTable[[A1 - A3]:[A5]])</f>
        <v>0</v>
      </c>
      <c r="L116" s="27"/>
    </row>
    <row r="117" spans="3:14" x14ac:dyDescent="0.25">
      <c r="C117" s="15" t="str">
        <f>CONCATENATE($I$2,$E38)</f>
        <v>2.05.050</v>
      </c>
      <c r="D117" s="302">
        <f>SUMIF(ResultTable[ICMS L3 &amp; L4 Code ],E38,ResultTable[[A1 - A3]:[A5]])</f>
        <v>0</v>
      </c>
      <c r="L117" s="27"/>
    </row>
    <row r="118" spans="3:14" x14ac:dyDescent="0.25">
      <c r="C118" s="15" t="str">
        <f>CONCATENATE($I$2,$E42)</f>
        <v>2.05.100</v>
      </c>
      <c r="D118" s="302">
        <f>SUMIF(ResultTable[ICMS L3 &amp; L4 Code ],E42,ResultTable[[A1 - A3]:[A5]])</f>
        <v>0</v>
      </c>
      <c r="L118" s="27"/>
    </row>
    <row r="119" spans="3:14" x14ac:dyDescent="0.25">
      <c r="C119" s="15" t="str">
        <f>CONCATENATE($I$2,$E43)</f>
        <v>2.05.080</v>
      </c>
      <c r="D119" s="302">
        <f>SUMIF(ResultTable[ICMS L3 &amp; L4 Code ],E43,ResultTable[[A1 - A3]:[A5]])</f>
        <v>0</v>
      </c>
    </row>
    <row r="120" spans="3:14" x14ac:dyDescent="0.25">
      <c r="C120" s="15" t="str">
        <f>CONCATENATE($I$2,$E44)</f>
        <v>2.05.040</v>
      </c>
      <c r="D120" s="302">
        <f>SUMIF(ResultTable[ICMS L3 &amp; L4 Code ],E44,ResultTable[[A1 - A3]:[A5]])</f>
        <v>0</v>
      </c>
    </row>
    <row r="121" spans="3:14" x14ac:dyDescent="0.25">
      <c r="C121" s="15" t="str">
        <f>CONCATENATE($I$2,$E47)</f>
        <v>2.02</v>
      </c>
      <c r="D121" s="302">
        <f>SUMIF(ResultTable[ICMS L3 &amp; L4 Code ],E47,ResultTable[[A1 - A3]:[A5]])</f>
        <v>0</v>
      </c>
    </row>
    <row r="122" spans="3:14" x14ac:dyDescent="0.25">
      <c r="C122" s="15" t="str">
        <f>CONCATENATE($O$2,$E5)</f>
        <v>3.02.010</v>
      </c>
      <c r="D122" s="302">
        <f>SUMIF(ResultTable[ICMS L3 &amp; L4 Code ],E5,ResultTable[[B4]:[B5]])</f>
        <v>0</v>
      </c>
    </row>
    <row r="123" spans="3:14" x14ac:dyDescent="0.25">
      <c r="C123" s="15" t="str">
        <f>CONCATENATE($O$2,$E6)</f>
        <v>3.02.030</v>
      </c>
      <c r="D123" s="302">
        <f>SUMIF(ResultTable[ICMS L3 &amp; L4 Code ],E6,ResultTable[[B4]:[B5]])</f>
        <v>0</v>
      </c>
    </row>
    <row r="124" spans="3:14" x14ac:dyDescent="0.25">
      <c r="C124" s="15" t="str">
        <f>CONCATENATE($O$2,$E9)</f>
        <v>3.03.030</v>
      </c>
      <c r="D124" s="302">
        <f>SUMIF(ResultTable[ICMS L3 &amp; L4 Code ],E9,ResultTable[[B4]:[B5]])</f>
        <v>0</v>
      </c>
    </row>
    <row r="125" spans="3:14" x14ac:dyDescent="0.25">
      <c r="C125" s="15" t="str">
        <f>CONCATENATE($O$2,$E12)</f>
        <v>3.03.020</v>
      </c>
      <c r="D125" s="302">
        <f>SUMIF(ResultTable[ICMS L3 &amp; L4 Code ],E12,ResultTable[[B4]:[B5]])</f>
        <v>0</v>
      </c>
    </row>
    <row r="126" spans="3:14" x14ac:dyDescent="0.25">
      <c r="C126" s="15" t="str">
        <f>CONCATENATE($O$2,$E13)</f>
        <v>3.04.040</v>
      </c>
      <c r="D126" s="302">
        <f>SUMIF(ResultTable[ICMS L3 &amp; L4 Code ],E13,ResultTable[[B4]:[B5]])</f>
        <v>0</v>
      </c>
    </row>
    <row r="127" spans="3:14" x14ac:dyDescent="0.25">
      <c r="C127" s="15" t="str">
        <f>CONCATENATE($O$2,$E17)</f>
        <v>3.04.020</v>
      </c>
      <c r="D127" s="302">
        <f>SUMIF(ResultTable[ICMS L3 &amp; L4 Code ],E17,ResultTable[[B4]:[B5]])</f>
        <v>0</v>
      </c>
    </row>
    <row r="128" spans="3:14" x14ac:dyDescent="0.25">
      <c r="C128" s="15" t="str">
        <f>CONCATENATE($O$2,$E19)</f>
        <v>3.04.030</v>
      </c>
      <c r="D128" s="302">
        <f>SUMIF(ResultTable[ICMS L3 &amp; L4 Code ],E19,ResultTable[[B4]:[B5]])</f>
        <v>0</v>
      </c>
    </row>
    <row r="129" spans="3:19" x14ac:dyDescent="0.25">
      <c r="C129" s="15" t="str">
        <f>CONCATENATE($O$2,$E20)</f>
        <v>3.07.040</v>
      </c>
      <c r="D129" s="302">
        <f>SUMIF(ResultTable[ICMS L3 &amp; L4 Code ],E20,ResultTable[[B4]:[B5]])</f>
        <v>0</v>
      </c>
    </row>
    <row r="130" spans="3:19" x14ac:dyDescent="0.25">
      <c r="C130" s="15" t="str">
        <f>CONCATENATE($O$2,$E21)</f>
        <v>3.05.060</v>
      </c>
      <c r="D130" s="302">
        <f>SUMIF(ResultTable[ICMS L3 &amp; L4 Code ],E21,ResultTable[[B4]:[B5]])</f>
        <v>0</v>
      </c>
    </row>
    <row r="131" spans="3:19" x14ac:dyDescent="0.25">
      <c r="C131" s="15" t="str">
        <f>CONCATENATE($O$2,$E22)</f>
        <v>3.04.050</v>
      </c>
      <c r="D131" s="302">
        <f>SUMIF(ResultTable[ICMS L3 &amp; L4 Code ],E22,ResultTable[[B4]:[B5]])</f>
        <v>0</v>
      </c>
    </row>
    <row r="132" spans="3:19" x14ac:dyDescent="0.25">
      <c r="C132" s="15" t="str">
        <f>CONCATENATE($O$2,$E23)</f>
        <v>3.04.060</v>
      </c>
      <c r="D132" s="302">
        <f>SUMIF(ResultTable[ICMS L3 &amp; L4 Code ],E23,ResultTable[[B4]:[B5]])</f>
        <v>0</v>
      </c>
    </row>
    <row r="133" spans="3:19" x14ac:dyDescent="0.25">
      <c r="C133" s="15" t="str">
        <f>CONCATENATE($O$2,$E26)</f>
        <v>3.06.010</v>
      </c>
      <c r="D133" s="302">
        <f>SUMIF(ResultTable[ICMS L3 &amp; L4 Code ],E26,ResultTable[[B4]:[B5]])</f>
        <v>0</v>
      </c>
    </row>
    <row r="134" spans="3:19" x14ac:dyDescent="0.25">
      <c r="C134" s="15" t="str">
        <f>CONCATENATE($O$2,$E27)</f>
        <v>3.07.070</v>
      </c>
      <c r="D134" s="302">
        <f>SUMIF(ResultTable[ICMS L3 &amp; L4 Code ],E27,ResultTable[[B4]:[B5]])</f>
        <v>0</v>
      </c>
    </row>
    <row r="135" spans="3:19" x14ac:dyDescent="0.25">
      <c r="C135" s="15" t="str">
        <f>CONCATENATE($O$2,$E30)</f>
        <v>3.07.050</v>
      </c>
      <c r="D135" s="302">
        <f>SUMIF(ResultTable[ICMS L3 &amp; L4 Code ],E30,ResultTable[[B4]:[B5]])</f>
        <v>0</v>
      </c>
    </row>
    <row r="136" spans="3:19" x14ac:dyDescent="0.25">
      <c r="C136" s="15" t="str">
        <f>CONCATENATE($O$2,$E32)</f>
        <v>3.05.030</v>
      </c>
      <c r="D136" s="302">
        <f>SUMIF(ResultTable[ICMS L3 &amp; L4 Code ],E32,ResultTable[[B4]:[B5]])</f>
        <v>0</v>
      </c>
    </row>
    <row r="137" spans="3:19" x14ac:dyDescent="0.25">
      <c r="C137" s="15" t="str">
        <f>CONCATENATE($O$2,$E33)</f>
        <v>3.05.010</v>
      </c>
      <c r="D137" s="302">
        <f>SUMIF(ResultTable[ICMS L3 &amp; L4 Code ],E33,ResultTable[[B4]:[B5]])</f>
        <v>0</v>
      </c>
    </row>
    <row r="138" spans="3:19" x14ac:dyDescent="0.25">
      <c r="C138" s="15" t="str">
        <f>CONCATENATE($O$2,$E35)</f>
        <v>3.05.020</v>
      </c>
      <c r="D138" s="302">
        <f>SUMIF(ResultTable[ICMS L3 &amp; L4 Code ],E35,ResultTable[[B4]:[B5]])</f>
        <v>0</v>
      </c>
    </row>
    <row r="139" spans="3:19" x14ac:dyDescent="0.25">
      <c r="C139" s="15" t="str">
        <f>CONCATENATE($O$2,$E38)</f>
        <v>3.05.050</v>
      </c>
      <c r="D139" s="302">
        <f>SUMIF(ResultTable[ICMS L3 &amp; L4 Code ],E38,ResultTable[[B4]:[B5]])</f>
        <v>0</v>
      </c>
    </row>
    <row r="140" spans="3:19" x14ac:dyDescent="0.25">
      <c r="C140" s="15" t="str">
        <f>CONCATENATE($O$2,$E42)</f>
        <v>3.05.100</v>
      </c>
      <c r="D140" s="302">
        <f>SUMIF(ResultTable[ICMS L3 &amp; L4 Code ],E42,ResultTable[[B4]:[B5]])</f>
        <v>0</v>
      </c>
    </row>
    <row r="141" spans="3:19" x14ac:dyDescent="0.25">
      <c r="C141" s="15" t="str">
        <f>CONCATENATE($O$2,$E43)</f>
        <v>3.05.080</v>
      </c>
      <c r="D141" s="302">
        <f>SUMIF(ResultTable[ICMS L3 &amp; L4 Code ],E43,ResultTable[[B4]:[B5]])</f>
        <v>0</v>
      </c>
    </row>
    <row r="142" spans="3:19" x14ac:dyDescent="0.25">
      <c r="C142" s="15" t="str">
        <f>CONCATENATE($O$2,$E44)</f>
        <v>3.05.040</v>
      </c>
      <c r="D142" s="302">
        <f>SUMIF(ResultTable[ICMS L3 &amp; L4 Code ],E44,ResultTable[[B4]:[B5]])</f>
        <v>0</v>
      </c>
    </row>
    <row r="143" spans="3:19" x14ac:dyDescent="0.25">
      <c r="C143" s="15" t="str">
        <f>CONCATENATE($O$2,$E48)</f>
        <v>3.02</v>
      </c>
      <c r="D143" s="302">
        <f>SUMIF(ResultTable[ICMS L3 &amp; L4 Code ],E48,ResultTable[[B4]:[B5]])</f>
        <v>0</v>
      </c>
    </row>
    <row r="144" spans="3:19" x14ac:dyDescent="0.25">
      <c r="C144" s="15" t="str">
        <f>CONCATENATE($Q$2,$E5)</f>
        <v>4.02.010</v>
      </c>
      <c r="D144" s="302">
        <f>SUMIF(ResultTable[ICMS L3 &amp; L4 Code ],E5,ResultTable[[B6]:[B7]])</f>
        <v>0</v>
      </c>
      <c r="S144" s="296"/>
    </row>
    <row r="145" spans="3:4" x14ac:dyDescent="0.25">
      <c r="C145" s="15" t="str">
        <f>CONCATENATE($Q$2,$E6)</f>
        <v>4.02.030</v>
      </c>
      <c r="D145" s="302">
        <f>SUMIF(ResultTable[ICMS L3 &amp; L4 Code ],E6,ResultTable[[B6]:[B7]])</f>
        <v>0</v>
      </c>
    </row>
    <row r="146" spans="3:4" x14ac:dyDescent="0.25">
      <c r="C146" s="15" t="str">
        <f>CONCATENATE($Q$2,$E8)</f>
        <v>4.03.030</v>
      </c>
      <c r="D146" s="302">
        <f>SUMIF(ResultTable[ICMS L3 &amp; L4 Code ],E8,ResultTable[[B6]:[B7]])</f>
        <v>0</v>
      </c>
    </row>
    <row r="147" spans="3:4" x14ac:dyDescent="0.25">
      <c r="C147" s="15" t="str">
        <f>CONCATENATE($Q$2,$E10)</f>
        <v>4.03.020</v>
      </c>
      <c r="D147" s="302">
        <f>SUMIF(ResultTable[ICMS L3 &amp; L4 Code ],E10,ResultTable[[B6]:[B7]])</f>
        <v>0</v>
      </c>
    </row>
    <row r="148" spans="3:4" x14ac:dyDescent="0.25">
      <c r="C148" s="15" t="str">
        <f>CONCATENATE($Q$2,$E11)</f>
        <v>4.04.020</v>
      </c>
      <c r="D148" s="302">
        <f>SUMIF(ResultTable[ICMS L3 &amp; L4 Code ],E11,ResultTable[[B6]:[B7]])</f>
        <v>0</v>
      </c>
    </row>
    <row r="149" spans="3:4" x14ac:dyDescent="0.25">
      <c r="C149" s="15" t="str">
        <f>CONCATENATE($Q$2,$E13)</f>
        <v>4.04.040</v>
      </c>
      <c r="D149" s="302">
        <f>SUMIF(ResultTable[ICMS L3 &amp; L4 Code ],E13,ResultTable[[B6]:[B7]])</f>
        <v>0</v>
      </c>
    </row>
    <row r="150" spans="3:4" x14ac:dyDescent="0.25">
      <c r="C150" s="15" t="str">
        <f>CONCATENATE($Q$2,$E19)</f>
        <v>4.04.030</v>
      </c>
      <c r="D150" s="302">
        <f>SUMIF(ResultTable[ICMS L3 &amp; L4 Code ],E19,ResultTable[[B6]:[B7]])</f>
        <v>0</v>
      </c>
    </row>
    <row r="151" spans="3:4" x14ac:dyDescent="0.25">
      <c r="C151" s="15" t="str">
        <f>CONCATENATE($Q$2,$E20)</f>
        <v>4.07.040</v>
      </c>
      <c r="D151" s="302">
        <f>SUMIF(ResultTable[ICMS L3 &amp; L4 Code ],E20,ResultTable[[B6]:[B7]])</f>
        <v>0</v>
      </c>
    </row>
    <row r="152" spans="3:4" x14ac:dyDescent="0.25">
      <c r="C152" s="15" t="str">
        <f>CONCATENATE($Q$2,$E21)</f>
        <v>4.05.060</v>
      </c>
      <c r="D152" s="302">
        <f>SUMIF(ResultTable[ICMS L3 &amp; L4 Code ],E21,ResultTable[[B6]:[B7]])</f>
        <v>0</v>
      </c>
    </row>
    <row r="153" spans="3:4" x14ac:dyDescent="0.25">
      <c r="C153" s="15" t="str">
        <f>CONCATENATE($Q$2,$E22)</f>
        <v>4.04.050</v>
      </c>
      <c r="D153" s="302">
        <f>SUMIF(ResultTable[ICMS L3 &amp; L4 Code ],E22,ResultTable[[B6]:[B7]])</f>
        <v>0</v>
      </c>
    </row>
    <row r="154" spans="3:4" x14ac:dyDescent="0.25">
      <c r="C154" s="15" t="str">
        <f>CONCATENATE($Q$2,$E23)</f>
        <v>4.04.060</v>
      </c>
      <c r="D154" s="302">
        <f>SUMIF(ResultTable[ICMS L3 &amp; L4 Code ],E23,ResultTable[[B6]:[B7]])</f>
        <v>0</v>
      </c>
    </row>
    <row r="155" spans="3:4" x14ac:dyDescent="0.25">
      <c r="C155" s="15" t="str">
        <f>CONCATENATE($Q$2,$E26)</f>
        <v>4.06.010</v>
      </c>
      <c r="D155" s="302">
        <f>SUMIF(ResultTable[ICMS L3 &amp; L4 Code ],E26,ResultTable[[B6]:[B7]])</f>
        <v>0</v>
      </c>
    </row>
    <row r="156" spans="3:4" x14ac:dyDescent="0.25">
      <c r="C156" s="15" t="str">
        <f>CONCATENATE($Q$2,$E27)</f>
        <v>4.07.070</v>
      </c>
      <c r="D156" s="302">
        <f>SUMIF(ResultTable[ICMS L3 &amp; L4 Code ],E27,ResultTable[[B6]:[B7]])</f>
        <v>0</v>
      </c>
    </row>
    <row r="157" spans="3:4" x14ac:dyDescent="0.25">
      <c r="C157" s="15" t="str">
        <f>CONCATENATE($Q$2,$E30)</f>
        <v>4.07.050</v>
      </c>
      <c r="D157" s="302">
        <f>SUMIF(ResultTable[ICMS L3 &amp; L4 Code ],E30,ResultTable[[B6]:[B7]])</f>
        <v>0</v>
      </c>
    </row>
    <row r="158" spans="3:4" x14ac:dyDescent="0.25">
      <c r="C158" s="15" t="str">
        <f>CONCATENATE($Q$2,$E31)</f>
        <v>4.05.030</v>
      </c>
      <c r="D158" s="302">
        <f>SUMIF(ResultTable[ICMS L3 &amp; L4 Code ],E31,ResultTable[[B6]:[B7]])</f>
        <v>0</v>
      </c>
    </row>
    <row r="159" spans="3:4" x14ac:dyDescent="0.25">
      <c r="C159" s="15" t="str">
        <f>CONCATENATE($Q$2,$E34)</f>
        <v>4.05.010</v>
      </c>
      <c r="D159" s="302">
        <f>SUMIF(ResultTable[ICMS L3 &amp; L4 Code ],E34,ResultTable[[B6]:[B7]])</f>
        <v>0</v>
      </c>
    </row>
    <row r="160" spans="3:4" x14ac:dyDescent="0.25">
      <c r="C160" s="15" t="str">
        <f>CONCATENATE($Q$2,$E35)</f>
        <v>4.05.020</v>
      </c>
      <c r="D160" s="302">
        <f>SUMIF(ResultTable[ICMS L3 &amp; L4 Code ],E35,ResultTable[[B6]:[B7]])</f>
        <v>0</v>
      </c>
    </row>
    <row r="161" spans="3:4" x14ac:dyDescent="0.25">
      <c r="C161" s="15" t="str">
        <f>CONCATENATE($Q$2,$E38)</f>
        <v>4.05.050</v>
      </c>
      <c r="D161" s="302">
        <f>SUMIF(ResultTable[ICMS L3 &amp; L4 Code ],E38,ResultTable[[B6]:[B7]])</f>
        <v>0</v>
      </c>
    </row>
    <row r="162" spans="3:4" x14ac:dyDescent="0.25">
      <c r="C162" s="15" t="str">
        <f>CONCATENATE($Q$2,$E42)</f>
        <v>4.05.100</v>
      </c>
      <c r="D162" s="302">
        <f>SUMIF(ResultTable[ICMS L3 &amp; L4 Code ],E42,ResultTable[[B6]:[B7]])</f>
        <v>0</v>
      </c>
    </row>
    <row r="163" spans="3:4" x14ac:dyDescent="0.25">
      <c r="C163" s="15" t="str">
        <f>CONCATENATE($Q$2,$E43)</f>
        <v>4.05.080</v>
      </c>
      <c r="D163" s="302">
        <f>SUMIF(ResultTable[ICMS L3 &amp; L4 Code ],E43,ResultTable[[B6]:[B7]])</f>
        <v>0</v>
      </c>
    </row>
    <row r="164" spans="3:4" x14ac:dyDescent="0.25">
      <c r="C164" s="15" t="str">
        <f>CONCATENATE($Q$2,$E44)</f>
        <v>4.05.040</v>
      </c>
      <c r="D164" s="302">
        <f>SUMIF(ResultTable[ICMS L3 &amp; L4 Code ],E44,ResultTable[[B6]:[B7]])</f>
        <v>0</v>
      </c>
    </row>
    <row r="165" spans="3:4" x14ac:dyDescent="0.25">
      <c r="C165" s="15" t="str">
        <f>CONCATENATE($Q$2,$E48)</f>
        <v>4.02</v>
      </c>
      <c r="D165" s="302">
        <f>SUMIF(ResultTable[ICMS L3 &amp; L4 Code ],E48,ResultTable[[B6]:[B7]])</f>
        <v>5.9872463535433766</v>
      </c>
    </row>
    <row r="166" spans="3:4" x14ac:dyDescent="0.25">
      <c r="C166" s="15" t="str">
        <f>CONCATENATE($L$2,$E5)</f>
        <v>5.02.010</v>
      </c>
      <c r="D166" s="302">
        <f>SUMIF(ResultTable[ICMS L3 &amp; L4 Code ],E5,ResultTable[[B1]:[B3]])</f>
        <v>0</v>
      </c>
    </row>
    <row r="167" spans="3:4" x14ac:dyDescent="0.25">
      <c r="C167" s="15" t="str">
        <f>CONCATENATE($L$2,$E6)</f>
        <v>5.02.030</v>
      </c>
      <c r="D167" s="302">
        <f>SUMIF(ResultTable[ICMS L3 &amp; L4 Code ],E6,ResultTable[[B1]:[B3]])</f>
        <v>0</v>
      </c>
    </row>
    <row r="168" spans="3:4" x14ac:dyDescent="0.25">
      <c r="C168" s="15" t="str">
        <f>CONCATENATE($L$2,$E9)</f>
        <v>5.03.030</v>
      </c>
      <c r="D168" s="302">
        <f>SUMIF(ResultTable[ICMS L3 &amp; L4 Code ],E9,ResultTable[[B1]:[B3]])</f>
        <v>0</v>
      </c>
    </row>
    <row r="169" spans="3:4" x14ac:dyDescent="0.25">
      <c r="C169" s="15" t="str">
        <f>CONCATENATE($L$2,$E10)</f>
        <v>5.03.020</v>
      </c>
      <c r="D169" s="302">
        <f>SUMIF(ResultTable[ICMS L3 &amp; L4 Code ],E10,ResultTable[[B1]:[B3]])</f>
        <v>0</v>
      </c>
    </row>
    <row r="170" spans="3:4" x14ac:dyDescent="0.25">
      <c r="C170" s="15" t="str">
        <f>CONCATENATE($L$2,$E11)</f>
        <v>5.04.020</v>
      </c>
      <c r="D170" s="302">
        <f>SUMIF(ResultTable[ICMS L3 &amp; L4 Code ],E11,ResultTable[[B1]:[B3]])</f>
        <v>0</v>
      </c>
    </row>
    <row r="171" spans="3:4" x14ac:dyDescent="0.25">
      <c r="C171" s="15" t="str">
        <f>CONCATENATE($L$2,$E13)</f>
        <v>5.04.040</v>
      </c>
      <c r="D171" s="302">
        <f>SUMIF(ResultTable[ICMS L3 &amp; L4 Code ],E13,ResultTable[[B1]:[B3]])</f>
        <v>0</v>
      </c>
    </row>
    <row r="172" spans="3:4" x14ac:dyDescent="0.25">
      <c r="C172" s="15" t="str">
        <f>CONCATENATE($L$2,$E19)</f>
        <v>5.04.030</v>
      </c>
      <c r="D172" s="302">
        <f>SUMIF(ResultTable[ICMS L3 &amp; L4 Code ],E19,ResultTable[[B1]:[B3]])</f>
        <v>0</v>
      </c>
    </row>
    <row r="173" spans="3:4" x14ac:dyDescent="0.25">
      <c r="C173" s="15" t="str">
        <f>CONCATENATE($L$2,$E21)</f>
        <v>5.05.060</v>
      </c>
      <c r="D173" s="302">
        <f>SUMIF(ResultTable[ICMS L3 &amp; L4 Code ],E21,ResultTable[[B1]:[B3]])</f>
        <v>0</v>
      </c>
    </row>
    <row r="174" spans="3:4" x14ac:dyDescent="0.25">
      <c r="C174" s="15" t="str">
        <f>CONCATENATE($L$2,$E22)</f>
        <v>5.04.050</v>
      </c>
      <c r="D174" s="302">
        <f>SUMIF(ResultTable[ICMS L3 &amp; L4 Code ],E22,ResultTable[[B1]:[B3]])</f>
        <v>0</v>
      </c>
    </row>
    <row r="175" spans="3:4" x14ac:dyDescent="0.25">
      <c r="C175" s="15" t="str">
        <f>CONCATENATE($L$2,$E23)</f>
        <v>5.04.060</v>
      </c>
      <c r="D175" s="302">
        <f>SUMIF(ResultTable[ICMS L3 &amp; L4 Code ],E23,ResultTable[[B1]:[B3]])</f>
        <v>0</v>
      </c>
    </row>
    <row r="176" spans="3:4" x14ac:dyDescent="0.25">
      <c r="C176" s="15" t="str">
        <f>CONCATENATE($L$2,$E26)</f>
        <v>5.06.010</v>
      </c>
      <c r="D176" s="302">
        <f>SUMIF(ResultTable[ICMS L3 &amp; L4 Code ],E26,ResultTable[[B1]:[B3]])</f>
        <v>0</v>
      </c>
    </row>
    <row r="177" spans="3:4" x14ac:dyDescent="0.25">
      <c r="C177" s="15" t="str">
        <f>CONCATENATE($L$2,$E27)</f>
        <v>5.07.070</v>
      </c>
      <c r="D177" s="302">
        <f>SUMIF(ResultTable[ICMS L3 &amp; L4 Code ],E27,ResultTable[[B1]:[B3]])</f>
        <v>0</v>
      </c>
    </row>
    <row r="178" spans="3:4" x14ac:dyDescent="0.25">
      <c r="C178" s="15" t="str">
        <f>CONCATENATE($L$2,$E29)</f>
        <v>5.07.040</v>
      </c>
      <c r="D178" s="302">
        <f>SUMIF(ResultTable[ICMS L3 &amp; L4 Code ],E29,ResultTable[[B1]:[B3]])</f>
        <v>0</v>
      </c>
    </row>
    <row r="179" spans="3:4" x14ac:dyDescent="0.25">
      <c r="C179" s="15" t="str">
        <f>CONCATENATE($L$2,$E30)</f>
        <v>5.07.050</v>
      </c>
      <c r="D179" s="302">
        <f>SUMIF(ResultTable[ICMS L3 &amp; L4 Code ],E30,ResultTable[[B1]:[B3]])</f>
        <v>0</v>
      </c>
    </row>
    <row r="180" spans="3:4" x14ac:dyDescent="0.25">
      <c r="C180" s="15" t="str">
        <f>CONCATENATE($L$2,$E31)</f>
        <v>5.05.030</v>
      </c>
      <c r="D180" s="302">
        <f>SUMIF(ResultTable[ICMS L3 &amp; L4 Code ],E31,ResultTable[[B1]:[B3]])</f>
        <v>0</v>
      </c>
    </row>
    <row r="181" spans="3:4" x14ac:dyDescent="0.25">
      <c r="C181" s="15" t="str">
        <f>CONCATENATE($L$2,$E34)</f>
        <v>5.05.010</v>
      </c>
      <c r="D181" s="302">
        <f>SUMIF(ResultTable[ICMS L3 &amp; L4 Code ],E34,ResultTable[[B1]:[B3]])</f>
        <v>0</v>
      </c>
    </row>
    <row r="182" spans="3:4" x14ac:dyDescent="0.25">
      <c r="C182" s="15" t="str">
        <f>CONCATENATE($L$2,$E35)</f>
        <v>5.05.020</v>
      </c>
      <c r="D182" s="302">
        <f>SUMIF(ResultTable[ICMS L3 &amp; L4 Code ],E35,ResultTable[[B1]:[B3]])</f>
        <v>0</v>
      </c>
    </row>
    <row r="183" spans="3:4" x14ac:dyDescent="0.25">
      <c r="C183" s="15" t="str">
        <f>CONCATENATE($L$2,$E41)</f>
        <v>5.05.050</v>
      </c>
      <c r="D183" s="302">
        <f>SUMIF(ResultTable[ICMS L3 &amp; L4 Code ],E41,ResultTable[[B1]:[B3]])</f>
        <v>0</v>
      </c>
    </row>
    <row r="184" spans="3:4" x14ac:dyDescent="0.25">
      <c r="C184" s="15" t="str">
        <f>CONCATENATE($L$2,$E42)</f>
        <v>5.05.100</v>
      </c>
      <c r="D184" s="302">
        <f>SUMIF(ResultTable[ICMS L3 &amp; L4 Code ],E42,ResultTable[[B1]:[B3]])</f>
        <v>0</v>
      </c>
    </row>
    <row r="185" spans="3:4" x14ac:dyDescent="0.25">
      <c r="C185" s="15" t="str">
        <f>CONCATENATE($L$2,$E43)</f>
        <v>5.05.080</v>
      </c>
      <c r="D185" s="302">
        <f>SUMIF(ResultTable[ICMS L3 &amp; L4 Code ],E43,ResultTable[[B1]:[B3]])</f>
        <v>0</v>
      </c>
    </row>
    <row r="186" spans="3:4" x14ac:dyDescent="0.25">
      <c r="C186" s="15" t="str">
        <f>CONCATENATE($L$2,$E44)</f>
        <v>5.05.040</v>
      </c>
      <c r="D186" s="302">
        <f>SUMIF(ResultTable[ICMS L3 &amp; L4 Code ],E44,ResultTable[[B1]:[B3]])</f>
        <v>0</v>
      </c>
    </row>
    <row r="187" spans="3:4" x14ac:dyDescent="0.25">
      <c r="C187" s="15" t="str">
        <f>CONCATENATE($L$2,$E48)</f>
        <v>5.02</v>
      </c>
      <c r="D187" s="302">
        <f>SUMIF(ResultTable[ICMS L3 &amp; L4 Code ],E48,ResultTable[[B1]:[B3]])</f>
        <v>0</v>
      </c>
    </row>
    <row r="188" spans="3:4" x14ac:dyDescent="0.25">
      <c r="C188" s="15" t="str">
        <f>CONCATENATE($S$2,$E5)</f>
        <v>6.02.010</v>
      </c>
      <c r="D188" s="302">
        <f>SUMIF(ResultTable[ICMS L3 &amp; L4 Code ],E5,ResultTable[[C1]:[C4]])</f>
        <v>0</v>
      </c>
    </row>
    <row r="189" spans="3:4" x14ac:dyDescent="0.25">
      <c r="C189" s="15" t="str">
        <f>CONCATENATE($S$2,$E6)</f>
        <v>6.02.030</v>
      </c>
      <c r="D189" s="302">
        <f>SUMIF(ResultTable[ICMS L3 &amp; L4 Code ],E6,ResultTable[[C1]:[C4]])</f>
        <v>0</v>
      </c>
    </row>
    <row r="190" spans="3:4" x14ac:dyDescent="0.25">
      <c r="C190" s="15" t="str">
        <f>CONCATENATE($S$2,$E9)</f>
        <v>6.03.030</v>
      </c>
      <c r="D190" s="302">
        <f>SUMIF(ResultTable[ICMS L3 &amp; L4 Code ],E9,ResultTable[[C1]:[C4]])</f>
        <v>0</v>
      </c>
    </row>
    <row r="191" spans="3:4" x14ac:dyDescent="0.25">
      <c r="C191" s="15" t="str">
        <f>CONCATENATE($S$2,$E10)</f>
        <v>6.03.020</v>
      </c>
      <c r="D191" s="302">
        <f>SUMIF(ResultTable[ICMS L3 &amp; L4 Code ],E10,ResultTable[[C1]:[C4]])</f>
        <v>0</v>
      </c>
    </row>
    <row r="192" spans="3:4" x14ac:dyDescent="0.25">
      <c r="C192" s="15" t="str">
        <f>CONCATENATE($S$2,$E11)</f>
        <v>6.04.020</v>
      </c>
      <c r="D192" s="302">
        <f>SUMIF(ResultTable[ICMS L3 &amp; L4 Code ],E11,ResultTable[[C1]:[C4]])</f>
        <v>0</v>
      </c>
    </row>
    <row r="193" spans="3:4" x14ac:dyDescent="0.25">
      <c r="C193" s="15" t="str">
        <f>CONCATENATE($S$2,$E13)</f>
        <v>6.04.040</v>
      </c>
      <c r="D193" s="302">
        <f>SUMIF(ResultTable[ICMS L3 &amp; L4 Code ],E13,ResultTable[[C1]:[C4]])</f>
        <v>0</v>
      </c>
    </row>
    <row r="194" spans="3:4" x14ac:dyDescent="0.25">
      <c r="C194" s="15" t="str">
        <f>CONCATENATE($S$2,$E19)</f>
        <v>6.04.030</v>
      </c>
      <c r="D194" s="302">
        <f>SUMIF(ResultTable[ICMS L3 &amp; L4 Code ],E19,ResultTable[[C1]:[C4]])</f>
        <v>0</v>
      </c>
    </row>
    <row r="195" spans="3:4" x14ac:dyDescent="0.25">
      <c r="C195" s="15" t="str">
        <f>CONCATENATE($S$2,$E20)</f>
        <v>6.07.040</v>
      </c>
      <c r="D195" s="302">
        <f>SUMIF(ResultTable[ICMS L3 &amp; L4 Code ],E20,ResultTable[[C1]:[C4]])</f>
        <v>0</v>
      </c>
    </row>
    <row r="196" spans="3:4" x14ac:dyDescent="0.25">
      <c r="C196" s="15" t="str">
        <f>CONCATENATE($S$2,$E21)</f>
        <v>6.05.060</v>
      </c>
      <c r="D196" s="302">
        <f>SUMIF(ResultTable[ICMS L3 &amp; L4 Code ],E21,ResultTable[[C1]:[C4]])</f>
        <v>0</v>
      </c>
    </row>
    <row r="197" spans="3:4" x14ac:dyDescent="0.25">
      <c r="C197" s="15" t="str">
        <f>CONCATENATE($S$2,$E22)</f>
        <v>6.04.050</v>
      </c>
      <c r="D197" s="302">
        <f>SUMIF(ResultTable[ICMS L3 &amp; L4 Code ],E22,ResultTable[[C1]:[C4]])</f>
        <v>0</v>
      </c>
    </row>
    <row r="198" spans="3:4" x14ac:dyDescent="0.25">
      <c r="C198" s="15" t="str">
        <f>CONCATENATE($S$2,$E25)</f>
        <v>6.04.060</v>
      </c>
      <c r="D198" s="302">
        <f>SUMIF(ResultTable[ICMS L3 &amp; L4 Code ],E25,ResultTable[[C1]:[C4]])</f>
        <v>0</v>
      </c>
    </row>
    <row r="199" spans="3:4" x14ac:dyDescent="0.25">
      <c r="C199" s="15" t="str">
        <f>CONCATENATE($S$2,$E26)</f>
        <v>6.06.010</v>
      </c>
      <c r="D199" s="302">
        <f>SUMIF(ResultTable[ICMS L3 &amp; L4 Code ],E26,ResultTable[[C1]:[C4]])</f>
        <v>0</v>
      </c>
    </row>
    <row r="200" spans="3:4" x14ac:dyDescent="0.25">
      <c r="C200" s="15" t="str">
        <f>CONCATENATE($S$2,$E27)</f>
        <v>6.07.070</v>
      </c>
      <c r="D200" s="302">
        <f>SUMIF(ResultTable[ICMS L3 &amp; L4 Code ],E27,ResultTable[[C1]:[C4]])</f>
        <v>0</v>
      </c>
    </row>
    <row r="201" spans="3:4" x14ac:dyDescent="0.25">
      <c r="C201" s="15" t="str">
        <f>CONCATENATE($S$2,$E30)</f>
        <v>6.07.050</v>
      </c>
      <c r="D201" s="302">
        <f>SUMIF(ResultTable[ICMS L3 &amp; L4 Code ],E30,ResultTable[[C1]:[C4]])</f>
        <v>0</v>
      </c>
    </row>
    <row r="202" spans="3:4" x14ac:dyDescent="0.25">
      <c r="C202" s="15" t="str">
        <f>CONCATENATE($S$2,$E31)</f>
        <v>6.05.030</v>
      </c>
      <c r="D202" s="302">
        <f>SUMIF(ResultTable[ICMS L3 &amp; L4 Code ],E31,ResultTable[[C1]:[C4]])</f>
        <v>0</v>
      </c>
    </row>
    <row r="203" spans="3:4" x14ac:dyDescent="0.25">
      <c r="C203" s="15" t="str">
        <f>CONCATENATE($S$2,$E34)</f>
        <v>6.05.010</v>
      </c>
      <c r="D203" s="302">
        <f>SUMIF(ResultTable[ICMS L3 &amp; L4 Code ],E34,ResultTable[[C1]:[C4]])</f>
        <v>0</v>
      </c>
    </row>
    <row r="204" spans="3:4" x14ac:dyDescent="0.25">
      <c r="C204" s="15" t="str">
        <f>CONCATENATE($S$2,$E35)</f>
        <v>6.05.020</v>
      </c>
      <c r="D204" s="302">
        <f>SUMIF(ResultTable[ICMS L3 &amp; L4 Code ],E35,ResultTable[[C1]:[C4]])</f>
        <v>0</v>
      </c>
    </row>
    <row r="205" spans="3:4" x14ac:dyDescent="0.25">
      <c r="C205" s="15" t="str">
        <f>CONCATENATE($S$2,$E38)</f>
        <v>6.05.050</v>
      </c>
      <c r="D205" s="302">
        <f>SUMIF(ResultTable[ICMS L3 &amp; L4 Code ],E38,ResultTable[[C1]:[C4]])</f>
        <v>0</v>
      </c>
    </row>
    <row r="206" spans="3:4" x14ac:dyDescent="0.25">
      <c r="C206" s="15" t="str">
        <f>CONCATENATE($S$2,$E42)</f>
        <v>6.05.100</v>
      </c>
      <c r="D206" s="302">
        <f>SUMIF(ResultTable[ICMS L3 &amp; L4 Code ],E42,ResultTable[[C1]:[C4]])</f>
        <v>0</v>
      </c>
    </row>
    <row r="207" spans="3:4" x14ac:dyDescent="0.25">
      <c r="C207" s="15" t="str">
        <f>CONCATENATE($S$2,$E43)</f>
        <v>6.05.080</v>
      </c>
      <c r="D207" s="302">
        <f>SUMIF(ResultTable[ICMS L3 &amp; L4 Code ],E43,ResultTable[[C1]:[C4]])</f>
        <v>0</v>
      </c>
    </row>
    <row r="208" spans="3:4" x14ac:dyDescent="0.25">
      <c r="C208" s="15" t="str">
        <f>CONCATENATE($S$2,$E44)</f>
        <v>6.05.040</v>
      </c>
      <c r="D208" s="302">
        <f>SUMIF(ResultTable[ICMS L3 &amp; L4 Code ],E44,ResultTable[[C1]:[C4]])</f>
        <v>0</v>
      </c>
    </row>
    <row r="209" spans="3:56" x14ac:dyDescent="0.25">
      <c r="C209" s="15" t="str">
        <f>CONCATENATE($S$2,$E48)</f>
        <v>6.02</v>
      </c>
      <c r="D209" s="302">
        <f>SUMIF(ResultTable[ICMS L3 &amp; L4 Code ],E48,ResultTable[[C1]:[C4]])</f>
        <v>0</v>
      </c>
    </row>
    <row r="210" spans="3:56" ht="13.2" x14ac:dyDescent="0.25">
      <c r="D210" s="308">
        <f>SUM(D100:D208)</f>
        <v>5.9872463535433766</v>
      </c>
      <c r="F210" s="8">
        <v>2022</v>
      </c>
      <c r="G210" s="8">
        <v>2023</v>
      </c>
      <c r="H210" s="8">
        <v>2024</v>
      </c>
      <c r="I210" s="8">
        <v>2025</v>
      </c>
      <c r="J210" s="8">
        <v>2026</v>
      </c>
      <c r="K210" s="8">
        <v>2027</v>
      </c>
      <c r="L210" s="8">
        <v>2028</v>
      </c>
      <c r="M210" s="8">
        <v>2029</v>
      </c>
      <c r="N210" s="8">
        <v>2030</v>
      </c>
      <c r="O210" s="8">
        <v>2031</v>
      </c>
      <c r="P210" s="8">
        <v>2032</v>
      </c>
      <c r="Q210" s="8">
        <v>2033</v>
      </c>
      <c r="R210" s="8">
        <v>2034</v>
      </c>
      <c r="S210" s="8">
        <v>2035</v>
      </c>
      <c r="T210" s="8">
        <v>2036</v>
      </c>
      <c r="U210" s="8">
        <v>2037</v>
      </c>
      <c r="V210" s="8">
        <v>2038</v>
      </c>
      <c r="W210" s="8">
        <v>2039</v>
      </c>
      <c r="X210" s="8">
        <v>2040</v>
      </c>
      <c r="Y210" s="500">
        <v>2041</v>
      </c>
      <c r="Z210" s="8">
        <v>2042</v>
      </c>
      <c r="AA210" s="8">
        <v>2043</v>
      </c>
      <c r="AB210" s="8">
        <v>2044</v>
      </c>
      <c r="AC210" s="8">
        <v>2045</v>
      </c>
      <c r="AD210" s="8">
        <v>2046</v>
      </c>
      <c r="AE210" s="8">
        <v>2047</v>
      </c>
      <c r="AF210" s="8">
        <v>2048</v>
      </c>
      <c r="AG210" s="8">
        <v>2049</v>
      </c>
      <c r="AH210" s="8">
        <v>2050</v>
      </c>
      <c r="AI210" s="8">
        <v>2051</v>
      </c>
      <c r="AJ210" s="8">
        <v>2052</v>
      </c>
      <c r="AK210" s="8">
        <v>2053</v>
      </c>
      <c r="AL210" s="8">
        <v>2054</v>
      </c>
      <c r="AM210" s="8">
        <v>2055</v>
      </c>
      <c r="AN210" s="8">
        <v>2056</v>
      </c>
      <c r="AO210" s="8">
        <v>2057</v>
      </c>
      <c r="AP210" s="8">
        <v>2058</v>
      </c>
      <c r="AQ210" s="8">
        <v>2059</v>
      </c>
      <c r="AR210" s="8">
        <v>2060</v>
      </c>
      <c r="AS210" s="8">
        <v>2061</v>
      </c>
      <c r="AT210" s="8">
        <v>2062</v>
      </c>
      <c r="AU210" s="8">
        <v>2063</v>
      </c>
      <c r="AV210" s="8">
        <v>2064</v>
      </c>
      <c r="AW210" s="8">
        <v>2065</v>
      </c>
      <c r="AX210" s="8">
        <v>2066</v>
      </c>
      <c r="AY210" s="8">
        <v>2067</v>
      </c>
      <c r="AZ210" s="8">
        <v>2068</v>
      </c>
      <c r="BA210" s="8">
        <v>2069</v>
      </c>
      <c r="BB210" s="8">
        <v>2070</v>
      </c>
      <c r="BC210" s="8">
        <v>2071</v>
      </c>
      <c r="BD210" s="8">
        <v>2072</v>
      </c>
    </row>
    <row r="211" spans="3:56" x14ac:dyDescent="0.25">
      <c r="C211" s="8" t="s">
        <v>865</v>
      </c>
      <c r="D211" s="8" t="s">
        <v>916</v>
      </c>
      <c r="E211" s="306">
        <f>ResultTable[[#Totals],[A1 - A3]]+ResultTable[[#Totals],[A4]]+ResultTable[[#Totals],[A5]]</f>
        <v>0</v>
      </c>
    </row>
    <row r="212" spans="3:56" ht="13.2" x14ac:dyDescent="0.25">
      <c r="D212" s="8" t="s">
        <v>436</v>
      </c>
      <c r="F212" s="8">
        <f>$L$46/50</f>
        <v>0</v>
      </c>
      <c r="G212" s="8">
        <f t="shared" ref="G212:BC212" si="20">$L$46/50</f>
        <v>0</v>
      </c>
      <c r="H212" s="8">
        <f t="shared" si="20"/>
        <v>0</v>
      </c>
      <c r="I212" s="8">
        <f t="shared" si="20"/>
        <v>0</v>
      </c>
      <c r="J212" s="8">
        <f t="shared" si="20"/>
        <v>0</v>
      </c>
      <c r="K212" s="8">
        <f t="shared" si="20"/>
        <v>0</v>
      </c>
      <c r="L212" s="8">
        <f t="shared" si="20"/>
        <v>0</v>
      </c>
      <c r="M212" s="8">
        <f t="shared" si="20"/>
        <v>0</v>
      </c>
      <c r="N212" s="8">
        <f t="shared" si="20"/>
        <v>0</v>
      </c>
      <c r="O212" s="8">
        <f t="shared" si="20"/>
        <v>0</v>
      </c>
      <c r="P212" s="8">
        <f t="shared" si="20"/>
        <v>0</v>
      </c>
      <c r="Q212" s="8">
        <f t="shared" si="20"/>
        <v>0</v>
      </c>
      <c r="R212" s="8">
        <f t="shared" si="20"/>
        <v>0</v>
      </c>
      <c r="S212" s="8">
        <f t="shared" si="20"/>
        <v>0</v>
      </c>
      <c r="T212" s="8">
        <f t="shared" si="20"/>
        <v>0</v>
      </c>
      <c r="U212" s="8">
        <f t="shared" si="20"/>
        <v>0</v>
      </c>
      <c r="V212" s="8">
        <f t="shared" si="20"/>
        <v>0</v>
      </c>
      <c r="W212" s="8">
        <f t="shared" si="20"/>
        <v>0</v>
      </c>
      <c r="X212" s="8">
        <f t="shared" si="20"/>
        <v>0</v>
      </c>
      <c r="Y212" s="500">
        <f t="shared" si="20"/>
        <v>0</v>
      </c>
      <c r="Z212" s="8">
        <f t="shared" si="20"/>
        <v>0</v>
      </c>
      <c r="AA212" s="8">
        <f t="shared" si="20"/>
        <v>0</v>
      </c>
      <c r="AB212" s="8">
        <f t="shared" si="20"/>
        <v>0</v>
      </c>
      <c r="AC212" s="8">
        <f t="shared" si="20"/>
        <v>0</v>
      </c>
      <c r="AD212" s="8">
        <f t="shared" si="20"/>
        <v>0</v>
      </c>
      <c r="AE212" s="8">
        <f t="shared" si="20"/>
        <v>0</v>
      </c>
      <c r="AF212" s="8">
        <f t="shared" si="20"/>
        <v>0</v>
      </c>
      <c r="AG212" s="8">
        <f t="shared" si="20"/>
        <v>0</v>
      </c>
      <c r="AH212" s="8">
        <f t="shared" si="20"/>
        <v>0</v>
      </c>
      <c r="AI212" s="8">
        <f t="shared" si="20"/>
        <v>0</v>
      </c>
      <c r="AJ212" s="8">
        <f t="shared" si="20"/>
        <v>0</v>
      </c>
      <c r="AK212" s="8">
        <f t="shared" si="20"/>
        <v>0</v>
      </c>
      <c r="AL212" s="8">
        <f t="shared" si="20"/>
        <v>0</v>
      </c>
      <c r="AM212" s="8">
        <f t="shared" si="20"/>
        <v>0</v>
      </c>
      <c r="AN212" s="8">
        <f t="shared" si="20"/>
        <v>0</v>
      </c>
      <c r="AO212" s="8">
        <f t="shared" si="20"/>
        <v>0</v>
      </c>
      <c r="AP212" s="8">
        <f t="shared" si="20"/>
        <v>0</v>
      </c>
      <c r="AQ212" s="8">
        <f t="shared" si="20"/>
        <v>0</v>
      </c>
      <c r="AR212" s="8">
        <f t="shared" si="20"/>
        <v>0</v>
      </c>
      <c r="AS212" s="8">
        <f t="shared" si="20"/>
        <v>0</v>
      </c>
      <c r="AT212" s="8">
        <f t="shared" si="20"/>
        <v>0</v>
      </c>
      <c r="AU212" s="8">
        <f t="shared" si="20"/>
        <v>0</v>
      </c>
      <c r="AV212" s="8">
        <f t="shared" si="20"/>
        <v>0</v>
      </c>
      <c r="AW212" s="8">
        <f t="shared" si="20"/>
        <v>0</v>
      </c>
      <c r="AX212" s="8">
        <f t="shared" si="20"/>
        <v>0</v>
      </c>
      <c r="AY212" s="8">
        <f t="shared" si="20"/>
        <v>0</v>
      </c>
      <c r="AZ212" s="8">
        <f t="shared" si="20"/>
        <v>0</v>
      </c>
      <c r="BA212" s="8">
        <f t="shared" si="20"/>
        <v>0</v>
      </c>
      <c r="BB212" s="8">
        <f t="shared" si="20"/>
        <v>0</v>
      </c>
      <c r="BC212" s="8">
        <f t="shared" si="20"/>
        <v>0</v>
      </c>
    </row>
    <row r="213" spans="3:56" x14ac:dyDescent="0.25">
      <c r="D213" s="8" t="s">
        <v>866</v>
      </c>
    </row>
    <row r="214" spans="3:56" ht="13.2" x14ac:dyDescent="0.25">
      <c r="D214" s="8" t="s">
        <v>917</v>
      </c>
      <c r="F214" s="38">
        <f>'5-Operational B6'!$F22</f>
        <v>0.62076765866301442</v>
      </c>
      <c r="G214" s="38">
        <f>'5-Operational B6'!$F23</f>
        <v>0.5753795375734384</v>
      </c>
      <c r="H214" s="38">
        <f>'5-Operational B6'!$F24</f>
        <v>0.46449132616590993</v>
      </c>
      <c r="I214" s="38">
        <f>'5-Operational B6'!$F25</f>
        <v>0.42156118000380904</v>
      </c>
      <c r="J214" s="38">
        <f>'5-Operational B6'!$F26</f>
        <v>0.31496614421032859</v>
      </c>
      <c r="K214" s="38">
        <f>'5-Operational B6'!$F27</f>
        <v>0.24797132846087275</v>
      </c>
      <c r="L214" s="38">
        <f>'5-Operational B6'!$F28</f>
        <v>0.20013470077065984</v>
      </c>
      <c r="M214" s="38">
        <f>'5-Operational B6'!$F29</f>
        <v>0.16074877790838613</v>
      </c>
      <c r="N214" s="38">
        <f>'5-Operational B6'!$F30</f>
        <v>0.13628643726120762</v>
      </c>
      <c r="O214" s="38">
        <f>'5-Operational B6'!$F31</f>
        <v>0.13108801421812805</v>
      </c>
      <c r="P214" s="38">
        <f>'5-Operational B6'!$F32</f>
        <v>0.10775003566329119</v>
      </c>
      <c r="Q214" s="38">
        <f>'5-Operational B6'!$F33</f>
        <v>0.10501882296731371</v>
      </c>
      <c r="R214" s="38">
        <f>'5-Operational B6'!$F34</f>
        <v>0.10987278509288442</v>
      </c>
      <c r="S214" s="38">
        <f>'5-Operational B6'!$F35</f>
        <v>0.10950762176560115</v>
      </c>
      <c r="T214" s="38">
        <f>'5-Operational B6'!$F36</f>
        <v>9.0204392168592218E-2</v>
      </c>
      <c r="U214" s="38">
        <f>'5-Operational B6'!$F37</f>
        <v>8.3562352559006361E-2</v>
      </c>
      <c r="V214" s="38">
        <f>'5-Operational B6'!$F38</f>
        <v>9.2139817986296488E-2</v>
      </c>
      <c r="W214" s="38">
        <f>'5-Operational B6'!$F39</f>
        <v>8.6893558512980168E-2</v>
      </c>
      <c r="X214" s="38">
        <f>'5-Operational B6'!$F40</f>
        <v>7.3716034975026171E-2</v>
      </c>
      <c r="Y214" s="502">
        <f>'5-Operational B6'!$F41</f>
        <v>7.1753027061131375E-2</v>
      </c>
      <c r="Z214" s="38">
        <f>'5-Operational B6'!$F42</f>
        <v>6.9687701712275826E-2</v>
      </c>
      <c r="AA214" s="38">
        <f>'5-Operational B6'!$F43</f>
        <v>7.5157737165648053E-2</v>
      </c>
      <c r="AB214" s="38">
        <f>'5-Operational B6'!$F44</f>
        <v>7.2880245983003938E-2</v>
      </c>
      <c r="AC214" s="38">
        <f>'5-Operational B6'!$F45</f>
        <v>8.1940110530714844E-2</v>
      </c>
      <c r="AD214" s="38">
        <f>'5-Operational B6'!$F46</f>
        <v>6.2826933562672715E-2</v>
      </c>
      <c r="AE214" s="38">
        <f>'5-Operational B6'!$F47</f>
        <v>6.8002496845196062E-2</v>
      </c>
      <c r="AF214" s="38">
        <f>'5-Operational B6'!$F48</f>
        <v>6.5595765406824602E-2</v>
      </c>
      <c r="AG214" s="38">
        <f>'5-Operational B6'!$F49</f>
        <v>6.7208775779206073E-2</v>
      </c>
      <c r="AH214" s="38">
        <f>'5-Operational B6'!$F50</f>
        <v>6.6086000719477636E-2</v>
      </c>
      <c r="AI214" s="38">
        <f>'5-Operational B6'!$F51</f>
        <v>6.4967065320092901E-2</v>
      </c>
      <c r="AJ214" s="38">
        <f>'5-Operational B6'!$F52</f>
        <v>6.3851969581051868E-2</v>
      </c>
      <c r="AK214" s="38">
        <f>'5-Operational B6'!$F53</f>
        <v>6.2862709448995815E-2</v>
      </c>
      <c r="AL214" s="38">
        <f>'5-Operational B6'!$F54</f>
        <v>6.1873449316939763E-2</v>
      </c>
      <c r="AM214" s="38">
        <f>'5-Operational B6'!$F55</f>
        <v>6.0884189184883711E-2</v>
      </c>
      <c r="AN214" s="38">
        <f>'5-Operational B6'!$F56</f>
        <v>5.9894929052827658E-2</v>
      </c>
      <c r="AO214" s="38">
        <f>'5-Operational B6'!$F57</f>
        <v>5.8905668920771606E-2</v>
      </c>
      <c r="AP214" s="38">
        <f>'5-Operational B6'!$F58</f>
        <v>5.7916408788715554E-2</v>
      </c>
      <c r="AQ214" s="38">
        <f>'5-Operational B6'!$F59</f>
        <v>5.6927148656659494E-2</v>
      </c>
      <c r="AR214" s="38">
        <f>'5-Operational B6'!$F60</f>
        <v>5.5937888524603442E-2</v>
      </c>
      <c r="AS214" s="38">
        <f>'5-Operational B6'!$F61</f>
        <v>5.494862839254739E-2</v>
      </c>
      <c r="AT214" s="38">
        <f>'5-Operational B6'!$F62</f>
        <v>5.3959368260491337E-2</v>
      </c>
      <c r="AU214" s="38">
        <f>'5-Operational B6'!$F63</f>
        <v>5.2970108128435285E-2</v>
      </c>
      <c r="AV214" s="38">
        <f>'5-Operational B6'!$F64</f>
        <v>5.1980847996379233E-2</v>
      </c>
      <c r="AW214" s="38">
        <f>'5-Operational B6'!$F65</f>
        <v>5.099158786432318E-2</v>
      </c>
      <c r="AX214" s="38">
        <f>'5-Operational B6'!$F66</f>
        <v>5.0002327732267128E-2</v>
      </c>
      <c r="AY214" s="38">
        <f>'5-Operational B6'!$F67</f>
        <v>4.9013067600211076E-2</v>
      </c>
      <c r="AZ214" s="38">
        <f>'5-Operational B6'!$F68</f>
        <v>4.8023807468155023E-2</v>
      </c>
      <c r="BA214" s="38">
        <f>'5-Operational B6'!$F69</f>
        <v>4.7034547336098964E-2</v>
      </c>
      <c r="BB214" s="38">
        <f>'5-Operational B6'!$F70</f>
        <v>4.6045287204042905E-2</v>
      </c>
      <c r="BC214" s="38">
        <f>'5-Operational B6'!$F71</f>
        <v>4.5056027071986852E-2</v>
      </c>
      <c r="BD214" s="38">
        <f>'5-Operational B6'!$F72</f>
        <v>4.4066766939930786E-2</v>
      </c>
    </row>
    <row r="215" spans="3:56" ht="13.2" x14ac:dyDescent="0.25">
      <c r="D215" s="8" t="s">
        <v>439</v>
      </c>
      <c r="F215" s="39">
        <f>$R$48/50</f>
        <v>0</v>
      </c>
      <c r="G215" s="39">
        <f t="shared" ref="G215:BD215" si="21">$R$48/50</f>
        <v>0</v>
      </c>
      <c r="H215" s="39">
        <f t="shared" si="21"/>
        <v>0</v>
      </c>
      <c r="I215" s="39">
        <f t="shared" si="21"/>
        <v>0</v>
      </c>
      <c r="J215" s="39">
        <f t="shared" si="21"/>
        <v>0</v>
      </c>
      <c r="K215" s="39">
        <f t="shared" si="21"/>
        <v>0</v>
      </c>
      <c r="L215" s="39">
        <f t="shared" si="21"/>
        <v>0</v>
      </c>
      <c r="M215" s="39">
        <f t="shared" si="21"/>
        <v>0</v>
      </c>
      <c r="N215" s="39">
        <f t="shared" si="21"/>
        <v>0</v>
      </c>
      <c r="O215" s="39">
        <f t="shared" si="21"/>
        <v>0</v>
      </c>
      <c r="P215" s="39">
        <f t="shared" si="21"/>
        <v>0</v>
      </c>
      <c r="Q215" s="39">
        <f t="shared" si="21"/>
        <v>0</v>
      </c>
      <c r="R215" s="39">
        <f t="shared" si="21"/>
        <v>0</v>
      </c>
      <c r="S215" s="39">
        <f t="shared" si="21"/>
        <v>0</v>
      </c>
      <c r="T215" s="39">
        <f t="shared" si="21"/>
        <v>0</v>
      </c>
      <c r="U215" s="39">
        <f t="shared" si="21"/>
        <v>0</v>
      </c>
      <c r="V215" s="39">
        <f t="shared" si="21"/>
        <v>0</v>
      </c>
      <c r="W215" s="39">
        <f t="shared" si="21"/>
        <v>0</v>
      </c>
      <c r="X215" s="39">
        <f t="shared" si="21"/>
        <v>0</v>
      </c>
      <c r="Y215" s="503">
        <f t="shared" si="21"/>
        <v>0</v>
      </c>
      <c r="Z215" s="39">
        <f t="shared" si="21"/>
        <v>0</v>
      </c>
      <c r="AA215" s="39">
        <f t="shared" si="21"/>
        <v>0</v>
      </c>
      <c r="AB215" s="39">
        <f t="shared" si="21"/>
        <v>0</v>
      </c>
      <c r="AC215" s="39">
        <f t="shared" si="21"/>
        <v>0</v>
      </c>
      <c r="AD215" s="39">
        <f t="shared" si="21"/>
        <v>0</v>
      </c>
      <c r="AE215" s="39">
        <f t="shared" si="21"/>
        <v>0</v>
      </c>
      <c r="AF215" s="39">
        <f t="shared" si="21"/>
        <v>0</v>
      </c>
      <c r="AG215" s="39">
        <f t="shared" si="21"/>
        <v>0</v>
      </c>
      <c r="AH215" s="39">
        <f t="shared" si="21"/>
        <v>0</v>
      </c>
      <c r="AI215" s="39">
        <f t="shared" si="21"/>
        <v>0</v>
      </c>
      <c r="AJ215" s="39">
        <f t="shared" si="21"/>
        <v>0</v>
      </c>
      <c r="AK215" s="39">
        <f t="shared" si="21"/>
        <v>0</v>
      </c>
      <c r="AL215" s="39">
        <f t="shared" si="21"/>
        <v>0</v>
      </c>
      <c r="AM215" s="39">
        <f t="shared" si="21"/>
        <v>0</v>
      </c>
      <c r="AN215" s="39">
        <f t="shared" si="21"/>
        <v>0</v>
      </c>
      <c r="AO215" s="39">
        <f t="shared" si="21"/>
        <v>0</v>
      </c>
      <c r="AP215" s="39">
        <f t="shared" si="21"/>
        <v>0</v>
      </c>
      <c r="AQ215" s="39">
        <f t="shared" si="21"/>
        <v>0</v>
      </c>
      <c r="AR215" s="39">
        <f t="shared" si="21"/>
        <v>0</v>
      </c>
      <c r="AS215" s="39">
        <f t="shared" si="21"/>
        <v>0</v>
      </c>
      <c r="AT215" s="39">
        <f t="shared" si="21"/>
        <v>0</v>
      </c>
      <c r="AU215" s="39">
        <f t="shared" si="21"/>
        <v>0</v>
      </c>
      <c r="AV215" s="39">
        <f t="shared" si="21"/>
        <v>0</v>
      </c>
      <c r="AW215" s="39">
        <f t="shared" si="21"/>
        <v>0</v>
      </c>
      <c r="AX215" s="39">
        <f t="shared" si="21"/>
        <v>0</v>
      </c>
      <c r="AY215" s="39">
        <f t="shared" si="21"/>
        <v>0</v>
      </c>
      <c r="AZ215" s="39">
        <f t="shared" si="21"/>
        <v>0</v>
      </c>
      <c r="BA215" s="39">
        <f t="shared" si="21"/>
        <v>0</v>
      </c>
      <c r="BB215" s="39">
        <f t="shared" si="21"/>
        <v>0</v>
      </c>
      <c r="BC215" s="39">
        <f t="shared" si="21"/>
        <v>0</v>
      </c>
      <c r="BD215" s="39">
        <f t="shared" si="21"/>
        <v>0</v>
      </c>
    </row>
    <row r="216" spans="3:56" x14ac:dyDescent="0.25">
      <c r="D216" s="8" t="s">
        <v>915</v>
      </c>
      <c r="BD216" s="306">
        <f ca="1">ResultTable[[#Totals],[C1]]+ResultTable[[#Totals],[C2]]+ResultTable[[#Totals],[C3]]+ResultTable[[#Totals],[C4]]</f>
        <v>108.8</v>
      </c>
    </row>
    <row r="217" spans="3:56" ht="13.2" x14ac:dyDescent="0.25">
      <c r="D217" s="8" t="s">
        <v>56</v>
      </c>
      <c r="E217" s="8">
        <v>0</v>
      </c>
      <c r="F217" s="8">
        <v>1</v>
      </c>
      <c r="G217" s="8">
        <v>2</v>
      </c>
      <c r="H217" s="8">
        <v>3</v>
      </c>
      <c r="I217" s="8">
        <v>4</v>
      </c>
      <c r="J217" s="8">
        <v>5</v>
      </c>
      <c r="K217" s="8">
        <v>6</v>
      </c>
      <c r="L217" s="8">
        <v>7</v>
      </c>
      <c r="M217" s="8">
        <v>8</v>
      </c>
      <c r="N217" s="8">
        <v>9</v>
      </c>
      <c r="O217" s="8">
        <v>10</v>
      </c>
      <c r="P217" s="8">
        <v>11</v>
      </c>
      <c r="Q217" s="8">
        <v>12</v>
      </c>
      <c r="R217" s="8">
        <v>13</v>
      </c>
      <c r="S217" s="8">
        <v>14</v>
      </c>
      <c r="T217" s="8">
        <v>15</v>
      </c>
      <c r="U217" s="8">
        <v>16</v>
      </c>
      <c r="V217" s="8">
        <v>17</v>
      </c>
      <c r="W217" s="8">
        <v>18</v>
      </c>
      <c r="X217" s="8">
        <v>19</v>
      </c>
      <c r="Y217" s="500">
        <v>20</v>
      </c>
      <c r="Z217" s="8">
        <v>21</v>
      </c>
      <c r="AA217" s="8">
        <v>22</v>
      </c>
      <c r="AB217" s="8">
        <v>23</v>
      </c>
      <c r="AC217" s="8">
        <v>24</v>
      </c>
      <c r="AD217" s="8">
        <v>25</v>
      </c>
      <c r="AE217" s="8">
        <v>26</v>
      </c>
      <c r="AF217" s="8">
        <v>27</v>
      </c>
      <c r="AG217" s="8">
        <v>28</v>
      </c>
      <c r="AH217" s="8">
        <v>29</v>
      </c>
      <c r="AI217" s="8">
        <v>30</v>
      </c>
      <c r="AJ217" s="8">
        <v>31</v>
      </c>
      <c r="AK217" s="8">
        <v>32</v>
      </c>
      <c r="AL217" s="8">
        <v>33</v>
      </c>
      <c r="AM217" s="8">
        <v>34</v>
      </c>
      <c r="AN217" s="8">
        <v>35</v>
      </c>
      <c r="AO217" s="8">
        <v>36</v>
      </c>
      <c r="AP217" s="8">
        <v>37</v>
      </c>
      <c r="AQ217" s="8">
        <v>38</v>
      </c>
      <c r="AR217" s="8">
        <v>39</v>
      </c>
      <c r="AS217" s="8">
        <v>40</v>
      </c>
      <c r="AT217" s="8">
        <v>41</v>
      </c>
      <c r="AU217" s="8">
        <v>42</v>
      </c>
      <c r="AV217" s="8">
        <v>43</v>
      </c>
      <c r="AW217" s="8">
        <v>44</v>
      </c>
      <c r="AX217" s="8">
        <v>45</v>
      </c>
      <c r="AY217" s="8">
        <v>46</v>
      </c>
      <c r="AZ217" s="8">
        <v>47</v>
      </c>
      <c r="BA217" s="8">
        <v>48</v>
      </c>
      <c r="BB217" s="8">
        <v>49</v>
      </c>
      <c r="BC217" s="8">
        <v>50</v>
      </c>
      <c r="BD217" s="8">
        <v>51</v>
      </c>
    </row>
    <row r="220" spans="3:56" x14ac:dyDescent="0.25">
      <c r="F220" s="38"/>
    </row>
    <row r="221" spans="3:56" x14ac:dyDescent="0.25">
      <c r="F221" s="38"/>
    </row>
    <row r="222" spans="3:56" x14ac:dyDescent="0.25">
      <c r="C222" s="85" t="s">
        <v>1095</v>
      </c>
      <c r="F222" s="38"/>
    </row>
    <row r="223" spans="3:56" x14ac:dyDescent="0.25">
      <c r="C223" s="85" t="s">
        <v>910</v>
      </c>
      <c r="F223" s="38"/>
    </row>
    <row r="224" spans="3:56" x14ac:dyDescent="0.25">
      <c r="F224" s="38"/>
    </row>
    <row r="225" spans="3:6" x14ac:dyDescent="0.25">
      <c r="C225" s="347"/>
      <c r="D225" s="8" t="s">
        <v>1309</v>
      </c>
      <c r="F225" s="38"/>
    </row>
    <row r="226" spans="3:6" x14ac:dyDescent="0.25">
      <c r="C226" s="348"/>
      <c r="D226" s="8" t="s">
        <v>1310</v>
      </c>
      <c r="F226" s="38"/>
    </row>
    <row r="227" spans="3:6" ht="14.4" x14ac:dyDescent="0.3">
      <c r="C227" s="349"/>
      <c r="D227" s="8" t="s">
        <v>1319</v>
      </c>
      <c r="F227" s="38"/>
    </row>
    <row r="228" spans="3:6" x14ac:dyDescent="0.25">
      <c r="C228" s="313"/>
      <c r="D228" s="8" t="s">
        <v>1382</v>
      </c>
      <c r="F228" s="38"/>
    </row>
    <row r="229" spans="3:6" x14ac:dyDescent="0.25">
      <c r="F229" s="38"/>
    </row>
    <row r="230" spans="3:6" x14ac:dyDescent="0.25">
      <c r="F230" s="38"/>
    </row>
    <row r="231" spans="3:6" x14ac:dyDescent="0.25">
      <c r="F231" s="38"/>
    </row>
    <row r="232" spans="3:6" x14ac:dyDescent="0.25">
      <c r="F232" s="38"/>
    </row>
    <row r="233" spans="3:6" x14ac:dyDescent="0.25">
      <c r="F233" s="38"/>
    </row>
    <row r="234" spans="3:6" x14ac:dyDescent="0.25">
      <c r="F234" s="38"/>
    </row>
    <row r="235" spans="3:6" x14ac:dyDescent="0.25">
      <c r="F235" s="38"/>
    </row>
    <row r="236" spans="3:6" x14ac:dyDescent="0.25">
      <c r="F236" s="38"/>
    </row>
    <row r="237" spans="3:6" x14ac:dyDescent="0.25">
      <c r="F237" s="38"/>
    </row>
    <row r="238" spans="3:6" x14ac:dyDescent="0.25">
      <c r="F238" s="38"/>
    </row>
    <row r="239" spans="3:6" x14ac:dyDescent="0.25">
      <c r="F239" s="38"/>
    </row>
    <row r="240" spans="3:6" x14ac:dyDescent="0.25">
      <c r="F240" s="38"/>
    </row>
    <row r="241" spans="6:6" x14ac:dyDescent="0.25">
      <c r="F241" s="38"/>
    </row>
    <row r="242" spans="6:6" x14ac:dyDescent="0.25">
      <c r="F242" s="38"/>
    </row>
    <row r="243" spans="6:6" x14ac:dyDescent="0.25">
      <c r="F243" s="38"/>
    </row>
    <row r="244" spans="6:6" x14ac:dyDescent="0.25">
      <c r="F244" s="38"/>
    </row>
    <row r="245" spans="6:6" x14ac:dyDescent="0.25">
      <c r="F245" s="38"/>
    </row>
    <row r="246" spans="6:6" x14ac:dyDescent="0.25">
      <c r="F246" s="38"/>
    </row>
    <row r="247" spans="6:6" x14ac:dyDescent="0.25">
      <c r="F247" s="38"/>
    </row>
    <row r="248" spans="6:6" x14ac:dyDescent="0.25">
      <c r="F248" s="38"/>
    </row>
    <row r="249" spans="6:6" x14ac:dyDescent="0.25">
      <c r="F249" s="38"/>
    </row>
    <row r="250" spans="6:6" x14ac:dyDescent="0.25">
      <c r="F250" s="38"/>
    </row>
    <row r="251" spans="6:6" x14ac:dyDescent="0.25">
      <c r="F251" s="38"/>
    </row>
    <row r="252" spans="6:6" x14ac:dyDescent="0.25">
      <c r="F252" s="38"/>
    </row>
    <row r="253" spans="6:6" x14ac:dyDescent="0.25">
      <c r="F253" s="38"/>
    </row>
    <row r="254" spans="6:6" x14ac:dyDescent="0.25">
      <c r="F254" s="38"/>
    </row>
    <row r="255" spans="6:6" x14ac:dyDescent="0.25">
      <c r="F255" s="38"/>
    </row>
    <row r="256" spans="6:6" x14ac:dyDescent="0.25">
      <c r="F256" s="38"/>
    </row>
    <row r="257" spans="6:6" x14ac:dyDescent="0.25">
      <c r="F257" s="38"/>
    </row>
    <row r="258" spans="6:6" x14ac:dyDescent="0.25">
      <c r="F258" s="38"/>
    </row>
    <row r="259" spans="6:6" x14ac:dyDescent="0.25">
      <c r="F259" s="38"/>
    </row>
    <row r="260" spans="6:6" x14ac:dyDescent="0.25">
      <c r="F260" s="38"/>
    </row>
    <row r="261" spans="6:6" x14ac:dyDescent="0.25">
      <c r="F261" s="38"/>
    </row>
    <row r="262" spans="6:6" x14ac:dyDescent="0.25">
      <c r="F262" s="38"/>
    </row>
    <row r="263" spans="6:6" x14ac:dyDescent="0.25">
      <c r="F263" s="38"/>
    </row>
    <row r="264" spans="6:6" x14ac:dyDescent="0.25">
      <c r="F264" s="38"/>
    </row>
    <row r="265" spans="6:6" x14ac:dyDescent="0.25">
      <c r="F265" s="38"/>
    </row>
    <row r="266" spans="6:6" x14ac:dyDescent="0.25">
      <c r="F266" s="38"/>
    </row>
    <row r="267" spans="6:6" x14ac:dyDescent="0.25">
      <c r="F267" s="38"/>
    </row>
    <row r="268" spans="6:6" x14ac:dyDescent="0.25">
      <c r="F268" s="38"/>
    </row>
  </sheetData>
  <sheetProtection autoFilter="0"/>
  <mergeCells count="16">
    <mergeCell ref="B5:B30"/>
    <mergeCell ref="B31:B45"/>
    <mergeCell ref="B46:B48"/>
    <mergeCell ref="J62:M62"/>
    <mergeCell ref="U61:V61"/>
    <mergeCell ref="U64:V64"/>
    <mergeCell ref="U62:V62"/>
    <mergeCell ref="G63:H63"/>
    <mergeCell ref="G64:H64"/>
    <mergeCell ref="C62:G62"/>
    <mergeCell ref="G69:J69"/>
    <mergeCell ref="G70:J70"/>
    <mergeCell ref="G71:J71"/>
    <mergeCell ref="G65:H65"/>
    <mergeCell ref="G66:H66"/>
    <mergeCell ref="G67:H67"/>
  </mergeCells>
  <phoneticPr fontId="7" type="noConversion"/>
  <conditionalFormatting sqref="C100:C209">
    <cfRule type="duplicateValues" dxfId="20" priority="8"/>
  </conditionalFormatting>
  <conditionalFormatting sqref="F5:F49">
    <cfRule type="containsText" dxfId="19" priority="4" stopIfTrue="1" operator="containsText" text="No">
      <formula>NOT(ISERROR(SEARCH("No",F5)))</formula>
    </cfRule>
  </conditionalFormatting>
  <conditionalFormatting sqref="H5">
    <cfRule type="expression" dxfId="18" priority="1">
      <formula>"AND($F$5=""Yes"",$H$5=""No"")"</formula>
    </cfRule>
  </conditionalFormatting>
  <conditionalFormatting sqref="H46:H49">
    <cfRule type="containsText" dxfId="17" priority="3" stopIfTrue="1" operator="containsText" text="No">
      <formula>NOT(ISERROR(SEARCH("No",H46)))</formula>
    </cfRule>
  </conditionalFormatting>
  <pageMargins left="0.7" right="0.7" top="0.75" bottom="0.75" header="0.3" footer="0.3"/>
  <pageSetup paperSize="9" orientation="portrait" horizontalDpi="300" verticalDpi="300" r:id="rId1"/>
  <drawing r:id="rId2"/>
  <legacyDrawing r:id="rId3"/>
  <tableParts count="2">
    <tablePart r:id="rId4"/>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A1455457-BAE1-4CED-A5CE-F9BE95427863}">
          <x14:formula1>
            <xm:f>Dropdowns!$G$1:$G$2</xm:f>
          </x14:formula1>
          <xm:sqref>F5:F49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896A9-5546-42EE-B6FB-596AA903EDF9}">
  <sheetPr>
    <tabColor rgb="FF00B050"/>
  </sheetPr>
  <dimension ref="B2:BJ131"/>
  <sheetViews>
    <sheetView showGridLines="0" zoomScale="95" zoomScaleNormal="95" zoomScaleSheetLayoutView="77" zoomScalePageLayoutView="80" workbookViewId="0">
      <selection activeCell="N28" sqref="N28"/>
    </sheetView>
  </sheetViews>
  <sheetFormatPr defaultColWidth="8.88671875" defaultRowHeight="13.2" x14ac:dyDescent="0.25"/>
  <cols>
    <col min="1" max="1" width="0.88671875" style="8" customWidth="1"/>
    <col min="2" max="2" width="32" style="8" customWidth="1"/>
    <col min="3" max="3" width="11.44140625" style="8" customWidth="1"/>
    <col min="4" max="4" width="12.6640625" style="8" customWidth="1"/>
    <col min="5" max="5" width="27" style="8" customWidth="1"/>
    <col min="6" max="6" width="12.33203125" style="8" customWidth="1"/>
    <col min="7" max="7" width="13.109375" style="8" customWidth="1"/>
    <col min="8" max="8" width="29.88671875" style="8" customWidth="1"/>
    <col min="9" max="9" width="13.33203125" style="8" customWidth="1"/>
    <col min="10" max="10" width="13.33203125" style="8" bestFit="1" customWidth="1"/>
    <col min="11" max="11" width="9.33203125" style="8" customWidth="1"/>
    <col min="12" max="12" width="31.33203125" style="8" customWidth="1"/>
    <col min="13" max="13" width="9.33203125" style="8" customWidth="1"/>
    <col min="14" max="15" width="31.33203125" style="8" customWidth="1"/>
    <col min="16" max="16" width="10.6640625" style="8" bestFit="1" customWidth="1"/>
    <col min="17" max="18" width="9.33203125" style="8" bestFit="1" customWidth="1"/>
    <col min="19" max="21" width="9" style="8" bestFit="1" customWidth="1"/>
    <col min="22" max="22" width="10.6640625" style="8" bestFit="1" customWidth="1"/>
    <col min="23" max="23" width="9" style="8" bestFit="1" customWidth="1"/>
    <col min="24" max="24" width="10.6640625" style="8" bestFit="1" customWidth="1"/>
    <col min="25" max="27" width="9" style="8" bestFit="1" customWidth="1"/>
    <col min="28" max="28" width="11.88671875" style="8" bestFit="1" customWidth="1"/>
    <col min="29" max="29" width="9" style="8" bestFit="1" customWidth="1"/>
    <col min="30" max="30" width="10.6640625" style="8" bestFit="1" customWidth="1"/>
    <col min="31" max="31" width="9" style="8" bestFit="1" customWidth="1"/>
    <col min="32" max="32" width="11" style="8" bestFit="1" customWidth="1"/>
    <col min="33" max="37" width="8.88671875" style="8"/>
    <col min="38" max="38" width="31.44140625" style="8" bestFit="1" customWidth="1"/>
    <col min="39" max="39" width="88.33203125" style="8" bestFit="1" customWidth="1"/>
    <col min="40" max="40" width="13" style="8" bestFit="1" customWidth="1"/>
    <col min="41" max="42" width="9.5546875" style="8" bestFit="1" customWidth="1"/>
    <col min="43" max="45" width="9" style="8" bestFit="1" customWidth="1"/>
    <col min="46" max="46" width="11.109375" style="8" bestFit="1" customWidth="1"/>
    <col min="47" max="47" width="9" style="8" bestFit="1" customWidth="1"/>
    <col min="48" max="48" width="11.109375" style="8" bestFit="1" customWidth="1"/>
    <col min="49" max="51" width="9" style="8" bestFit="1" customWidth="1"/>
    <col min="52" max="52" width="11.88671875" style="8" bestFit="1" customWidth="1"/>
    <col min="53" max="53" width="9" style="8" bestFit="1" customWidth="1"/>
    <col min="54" max="54" width="11.109375" style="8" bestFit="1" customWidth="1"/>
    <col min="55" max="55" width="9" style="8" bestFit="1" customWidth="1"/>
    <col min="56" max="56" width="11.109375" style="8" bestFit="1" customWidth="1"/>
    <col min="57" max="58" width="8.88671875" style="8"/>
    <col min="59" max="59" width="27" style="8" bestFit="1" customWidth="1"/>
    <col min="60" max="60" width="13" style="8" bestFit="1" customWidth="1"/>
    <col min="61" max="62" width="9.5546875" style="8" bestFit="1" customWidth="1"/>
    <col min="63" max="63" width="11.109375" style="8" bestFit="1" customWidth="1"/>
    <col min="64" max="64" width="10.44140625" style="8" bestFit="1" customWidth="1"/>
    <col min="65" max="65" width="9.44140625" style="8" bestFit="1" customWidth="1"/>
    <col min="66" max="66" width="10.44140625" style="8" bestFit="1" customWidth="1"/>
    <col min="67" max="67" width="11.109375" style="8" bestFit="1" customWidth="1"/>
    <col min="68" max="68" width="8.88671875" style="8"/>
    <col min="69" max="70" width="9" style="8" bestFit="1" customWidth="1"/>
    <col min="71" max="73" width="8.88671875" style="8"/>
    <col min="74" max="74" width="11.109375" style="8" bestFit="1" customWidth="1"/>
    <col min="75" max="75" width="9" style="8" bestFit="1" customWidth="1"/>
    <col min="76" max="76" width="11.109375" style="8" bestFit="1" customWidth="1"/>
    <col min="77" max="83" width="9" style="8" bestFit="1" customWidth="1"/>
    <col min="84" max="84" width="11.109375" style="8" bestFit="1" customWidth="1"/>
    <col min="85" max="85" width="9.5546875" style="8" bestFit="1" customWidth="1"/>
    <col min="86" max="89" width="9" style="8" bestFit="1" customWidth="1"/>
    <col min="90" max="16384" width="8.88671875" style="8"/>
  </cols>
  <sheetData>
    <row r="2" spans="2:14" ht="13.2" customHeight="1" x14ac:dyDescent="0.25">
      <c r="B2" s="782" t="str">
        <f>CONCATENATE('Project Details'!C4,", ",C42,", ",C41)</f>
        <v>, 0, Owner's name</v>
      </c>
      <c r="C2" s="782"/>
      <c r="D2" s="782"/>
      <c r="E2" s="782"/>
      <c r="F2" s="782"/>
      <c r="G2" s="782"/>
      <c r="H2" s="782"/>
      <c r="I2" s="782"/>
      <c r="J2" s="782"/>
      <c r="K2" s="778" t="s">
        <v>1485</v>
      </c>
      <c r="L2" s="778"/>
      <c r="M2" s="778"/>
      <c r="N2" s="778"/>
    </row>
    <row r="3" spans="2:14" ht="15.6" x14ac:dyDescent="0.25">
      <c r="B3" s="524" t="s">
        <v>1417</v>
      </c>
      <c r="C3" s="750" t="str">
        <f>'Project Details'!C5</f>
        <v>Residential</v>
      </c>
      <c r="D3" s="751"/>
      <c r="E3" s="752"/>
      <c r="F3" s="13"/>
      <c r="K3" s="777" t="s">
        <v>1280</v>
      </c>
      <c r="L3" s="777"/>
      <c r="M3" s="561">
        <f>SUM(Results!AB26:AD26)*1000/'Project Details'!C16</f>
        <v>0</v>
      </c>
      <c r="N3" s="560" t="s">
        <v>1281</v>
      </c>
    </row>
    <row r="4" spans="2:14" ht="14.4" customHeight="1" x14ac:dyDescent="0.25">
      <c r="B4" s="753" t="str">
        <f ca="1">CONCATENATE("Over a 50 year lifetime this building will emit an estimated ",(ROUND(SUM(Results!AB26:AO26),0))," tonnes of CO2 equivalent GHG gases. "," Of this, ",C29, " are emitted in the production of materials and construction before the building is complete. That is ",ROUND(Results!AB30,0),"% of the total lifetime emissions. (See page 2 for WLC chart).")</f>
        <v>Over a 50 year lifetime this building will emit an estimated 0 tonnes of CO2 equivalent GHG gases.  Of this, 0 tonnes are emitted in the production of materials and construction before the building is complete. That is 0% of the total lifetime emissions. (See page 2 for WLC chart).</v>
      </c>
      <c r="C4" s="753"/>
      <c r="D4" s="753"/>
      <c r="E4" s="753"/>
      <c r="F4" s="753"/>
      <c r="G4" s="753"/>
      <c r="H4" s="753"/>
      <c r="I4" s="753"/>
      <c r="J4" s="753"/>
      <c r="K4" s="380"/>
      <c r="L4" s="401"/>
      <c r="M4" s="401"/>
      <c r="N4" s="377"/>
    </row>
    <row r="5" spans="2:14" ht="14.4" customHeight="1" x14ac:dyDescent="0.25">
      <c r="B5" s="753"/>
      <c r="C5" s="753"/>
      <c r="D5" s="753"/>
      <c r="E5" s="753"/>
      <c r="F5" s="753"/>
      <c r="G5" s="753"/>
      <c r="H5" s="753"/>
      <c r="I5" s="753"/>
      <c r="J5" s="753"/>
      <c r="K5" s="343"/>
      <c r="L5" s="531" t="s">
        <v>504</v>
      </c>
      <c r="M5" s="432"/>
      <c r="N5" s="527" t="s">
        <v>511</v>
      </c>
    </row>
    <row r="6" spans="2:14" x14ac:dyDescent="0.25">
      <c r="B6" s="753" t="s">
        <v>1484</v>
      </c>
      <c r="C6" s="753"/>
      <c r="D6" s="753"/>
      <c r="E6" s="753"/>
      <c r="F6" s="753"/>
      <c r="G6" s="753"/>
      <c r="H6" s="753"/>
      <c r="I6" s="753"/>
      <c r="J6" s="753"/>
      <c r="K6" s="343"/>
      <c r="L6" s="532">
        <f>SUM(Results!AB6:AD6)*1000/'Project Details'!C16</f>
        <v>0</v>
      </c>
      <c r="M6" s="432"/>
      <c r="N6" s="528">
        <f>SUM(Results!AB12:AD12)*1000/'Project Details'!C16</f>
        <v>0</v>
      </c>
    </row>
    <row r="7" spans="2:14" ht="20.399999999999999" customHeight="1" x14ac:dyDescent="0.25">
      <c r="B7" s="753"/>
      <c r="C7" s="753"/>
      <c r="D7" s="753"/>
      <c r="E7" s="753"/>
      <c r="F7" s="753"/>
      <c r="G7" s="753"/>
      <c r="H7" s="753"/>
      <c r="I7" s="753"/>
      <c r="J7" s="753"/>
      <c r="K7" s="343"/>
      <c r="L7" s="562" t="s">
        <v>628</v>
      </c>
      <c r="M7" s="432"/>
      <c r="N7" s="563" t="s">
        <v>628</v>
      </c>
    </row>
    <row r="8" spans="2:14" x14ac:dyDescent="0.25">
      <c r="B8" s="407" t="s">
        <v>1472</v>
      </c>
      <c r="C8" s="400"/>
      <c r="D8" s="610">
        <f>Results!D54</f>
        <v>4.5454545454545456E-2</v>
      </c>
      <c r="E8" s="8" t="s">
        <v>1473</v>
      </c>
      <c r="K8" s="380"/>
      <c r="L8" s="533" t="s">
        <v>812</v>
      </c>
      <c r="M8" s="401"/>
      <c r="N8" s="530" t="s">
        <v>1282</v>
      </c>
    </row>
    <row r="9" spans="2:14" x14ac:dyDescent="0.25">
      <c r="B9" s="415" t="s">
        <v>1271</v>
      </c>
      <c r="C9" s="378"/>
      <c r="D9" s="611">
        <f>Results!D53</f>
        <v>0</v>
      </c>
      <c r="E9" s="8" t="s">
        <v>1439</v>
      </c>
      <c r="K9" s="343"/>
      <c r="L9" s="532">
        <f>SUM(Results!AB7:AD7)*1000/'Project Details'!C16</f>
        <v>0</v>
      </c>
      <c r="M9" s="432"/>
      <c r="N9" s="528">
        <f>SUM(Results!AB13:AD14)*1000/'Project Details'!C16</f>
        <v>0</v>
      </c>
    </row>
    <row r="10" spans="2:14" ht="15.6" x14ac:dyDescent="0.3">
      <c r="B10"/>
      <c r="C10"/>
      <c r="D10"/>
      <c r="E10"/>
      <c r="K10" s="415"/>
      <c r="L10" s="564" t="s">
        <v>628</v>
      </c>
      <c r="M10" s="398"/>
      <c r="N10" s="554" t="s">
        <v>628</v>
      </c>
    </row>
    <row r="11" spans="2:14" ht="14.4" x14ac:dyDescent="0.3">
      <c r="B11"/>
      <c r="C11"/>
      <c r="D11"/>
      <c r="E11"/>
      <c r="K11" s="380"/>
      <c r="L11" s="533" t="s">
        <v>507</v>
      </c>
      <c r="M11" s="401"/>
      <c r="N11" s="529" t="s">
        <v>1283</v>
      </c>
    </row>
    <row r="12" spans="2:14" ht="14.4" x14ac:dyDescent="0.3">
      <c r="B12"/>
      <c r="C12"/>
      <c r="D12"/>
      <c r="E12"/>
      <c r="K12" s="343"/>
      <c r="L12" s="532">
        <f>SUM(Results!AB8:AD8)*1000/'Project Details'!C16</f>
        <v>0</v>
      </c>
      <c r="M12" s="432"/>
      <c r="N12" s="528">
        <f>SUM(Results!AB15:AD15,Results!AB11:AD11)*1000/'Project Details'!C16</f>
        <v>0</v>
      </c>
    </row>
    <row r="13" spans="2:14" ht="15.6" x14ac:dyDescent="0.3">
      <c r="B13"/>
      <c r="C13"/>
      <c r="D13"/>
      <c r="E13"/>
      <c r="K13" s="415"/>
      <c r="L13" s="564" t="s">
        <v>628</v>
      </c>
      <c r="M13" s="398"/>
      <c r="N13" s="554" t="s">
        <v>628</v>
      </c>
    </row>
    <row r="14" spans="2:14" ht="14.4" x14ac:dyDescent="0.3">
      <c r="B14"/>
      <c r="C14"/>
      <c r="D14"/>
      <c r="E14"/>
      <c r="K14" s="380"/>
      <c r="L14" s="533" t="s">
        <v>1284</v>
      </c>
      <c r="M14" s="401"/>
      <c r="N14" s="529" t="s">
        <v>1285</v>
      </c>
    </row>
    <row r="15" spans="2:14" ht="14.4" x14ac:dyDescent="0.3">
      <c r="B15"/>
      <c r="C15"/>
      <c r="D15"/>
      <c r="E15"/>
      <c r="K15" s="343"/>
      <c r="L15" s="532">
        <f>SUM(Results!AB9:AD10)*1000/'Project Details'!C16</f>
        <v>0</v>
      </c>
      <c r="M15" s="432"/>
      <c r="N15" s="528">
        <f>SUM(Results!AB16:AD20)*1000/'Project Details'!C16</f>
        <v>0</v>
      </c>
    </row>
    <row r="16" spans="2:14" ht="15.6" x14ac:dyDescent="0.3">
      <c r="B16"/>
      <c r="C16"/>
      <c r="D16"/>
      <c r="E16"/>
      <c r="K16" s="415"/>
      <c r="L16" s="564" t="s">
        <v>628</v>
      </c>
      <c r="M16" s="398"/>
      <c r="N16" s="554" t="s">
        <v>628</v>
      </c>
    </row>
    <row r="17" spans="2:14" ht="14.4" x14ac:dyDescent="0.3">
      <c r="B17"/>
      <c r="C17"/>
      <c r="D17"/>
      <c r="E17"/>
    </row>
    <row r="18" spans="2:14" ht="14.4" x14ac:dyDescent="0.3">
      <c r="B18"/>
      <c r="C18"/>
      <c r="D18"/>
      <c r="E18"/>
    </row>
    <row r="19" spans="2:14" ht="14.4" x14ac:dyDescent="0.3">
      <c r="B19"/>
      <c r="C19"/>
      <c r="D19"/>
      <c r="E19"/>
    </row>
    <row r="20" spans="2:14" ht="14.4" x14ac:dyDescent="0.3">
      <c r="B20"/>
      <c r="C20"/>
      <c r="D20"/>
      <c r="E20"/>
    </row>
    <row r="21" spans="2:14" ht="14.4" x14ac:dyDescent="0.3">
      <c r="B21"/>
      <c r="C21"/>
      <c r="D21"/>
      <c r="E21"/>
    </row>
    <row r="22" spans="2:14" ht="14.4" x14ac:dyDescent="0.3">
      <c r="B22"/>
      <c r="C22"/>
      <c r="D22"/>
      <c r="E22"/>
    </row>
    <row r="23" spans="2:14" ht="14.4" x14ac:dyDescent="0.3">
      <c r="B23"/>
      <c r="C23"/>
      <c r="D23"/>
      <c r="E23"/>
    </row>
    <row r="24" spans="2:14" ht="14.4" x14ac:dyDescent="0.3">
      <c r="B24"/>
      <c r="C24"/>
      <c r="D24"/>
      <c r="E24"/>
    </row>
    <row r="25" spans="2:14" ht="14.4" x14ac:dyDescent="0.3">
      <c r="B25"/>
      <c r="C25"/>
      <c r="D25"/>
      <c r="E25"/>
    </row>
    <row r="26" spans="2:14" ht="14.4" x14ac:dyDescent="0.3">
      <c r="B26"/>
      <c r="C26"/>
      <c r="D26"/>
      <c r="E26"/>
    </row>
    <row r="27" spans="2:14" ht="14.4" x14ac:dyDescent="0.3">
      <c r="B27"/>
      <c r="C27"/>
      <c r="D27"/>
      <c r="E27"/>
    </row>
    <row r="28" spans="2:14" ht="15" thickBot="1" x14ac:dyDescent="0.35">
      <c r="B28"/>
      <c r="C28"/>
      <c r="D28"/>
      <c r="E28"/>
    </row>
    <row r="29" spans="2:14" s="297" customFormat="1" ht="21.6" thickBot="1" x14ac:dyDescent="0.35">
      <c r="B29" s="595" t="s">
        <v>1427</v>
      </c>
      <c r="C29" s="595" t="str">
        <f>CONCATENATE(ROUND((SUM(ResultTable[[#Totals],[A1 - A3]:[A5]])/1000),0), " tonnes")</f>
        <v>0 tonnes</v>
      </c>
      <c r="D29" s="607"/>
      <c r="E29" s="596" t="s">
        <v>1428</v>
      </c>
      <c r="F29" s="595" t="str">
        <f ca="1">CONCATENATE(ROUND(ResultTable[[#Totals],[TOTAL Embodied Carbon]]/1000,0), " tonnes")</f>
        <v>0 tonnes</v>
      </c>
      <c r="G29" s="603"/>
      <c r="H29" s="597" t="s">
        <v>1438</v>
      </c>
      <c r="I29" s="598" t="str">
        <f>CONCATENATE(ROUND((ResultTable[[#Totals],[B6]])/1000,0), " tonnes")</f>
        <v>0 tonnes</v>
      </c>
      <c r="J29" s="599"/>
    </row>
    <row r="30" spans="2:14" s="297" customFormat="1" ht="21.6" thickBot="1" x14ac:dyDescent="0.35">
      <c r="B30" s="604" t="s">
        <v>1430</v>
      </c>
      <c r="C30" s="604" t="str">
        <f>CONCATENATE(ROUND(SUM(Results!I52:K52),0), "kg per m2")</f>
        <v>0kg per m2</v>
      </c>
      <c r="D30" s="608"/>
      <c r="E30" s="605" t="s">
        <v>1429</v>
      </c>
      <c r="F30" s="604" t="str">
        <f ca="1">CONCATENATE(ROUND(Results!W52, 0), "kg per m2")</f>
        <v>3kg per m2</v>
      </c>
      <c r="G30" s="606"/>
      <c r="H30" s="586" t="s">
        <v>438</v>
      </c>
      <c r="I30" s="585" t="str">
        <f>CONCATENATE(ROUND(ResultTable[[#Totals],[B6]]/'Project Details'!C16,0), "kg per m2")</f>
        <v>0kg per m2</v>
      </c>
      <c r="J30" s="600"/>
      <c r="L30" s="580"/>
      <c r="M30" s="581"/>
      <c r="N30" s="578"/>
    </row>
    <row r="31" spans="2:14" ht="15" thickBot="1" x14ac:dyDescent="0.35">
      <c r="B31" s="601"/>
      <c r="C31" s="702"/>
      <c r="D31" s="702"/>
      <c r="E31" s="702"/>
      <c r="F31" s="295"/>
      <c r="G31" s="295"/>
      <c r="H31" s="703" t="s">
        <v>1479</v>
      </c>
      <c r="I31" s="704" t="str">
        <f>CONCATENATE(ROUND(ResultTable[[#Totals],[B6]]/50/'Project Details'!C16,0), " kg/m2/year")</f>
        <v>0 kg/m2/year</v>
      </c>
      <c r="J31" s="602"/>
      <c r="L31" s="577"/>
      <c r="M31" s="579"/>
      <c r="N31" s="342"/>
    </row>
    <row r="32" spans="2:14" s="582" customFormat="1" ht="24.6" customHeight="1" thickBot="1" x14ac:dyDescent="0.35">
      <c r="B32" s="787" t="s">
        <v>1471</v>
      </c>
      <c r="C32" s="788"/>
      <c r="D32" s="788"/>
      <c r="E32" s="788"/>
      <c r="F32" s="709"/>
      <c r="G32" s="710">
        <f ca="1">(ResultTable[[#Totals],[A1 - A3]]+ResultTable[[#Totals],[A4]]+ResultTable[[#Totals],[A5]]+ResultTable[[#Totals],[B1]]+ResultTable[[#Totals],[B4]]+ResultTable[[#Totals],[B6]]+ResultTable[[#Totals],[B7]]+ResultTable[[#Totals],[C1]]+ResultTable[[#Totals],[C2]]+ResultTable[[#Totals],[C3]]+ResultTable[[#Totals],[C4]])/1000</f>
        <v>0.11478724635354337</v>
      </c>
      <c r="H32" s="709" t="s">
        <v>1516</v>
      </c>
      <c r="I32" s="711"/>
      <c r="J32" s="712"/>
      <c r="L32" s="708"/>
      <c r="M32" s="584"/>
    </row>
    <row r="33" spans="2:14" s="582" customFormat="1" ht="24.6" customHeight="1" x14ac:dyDescent="0.3">
      <c r="B33" s="770" t="s">
        <v>1522</v>
      </c>
      <c r="C33" s="771"/>
      <c r="D33" s="771"/>
      <c r="E33" s="771"/>
      <c r="F33" s="705"/>
      <c r="G33" s="706">
        <f ca="1">Results!W52</f>
        <v>3.4</v>
      </c>
      <c r="H33" s="705" t="s">
        <v>1517</v>
      </c>
      <c r="I33" s="707"/>
      <c r="J33" s="713"/>
      <c r="L33" s="583"/>
      <c r="M33" s="584"/>
    </row>
    <row r="34" spans="2:14" s="582" customFormat="1" ht="24.6" customHeight="1" x14ac:dyDescent="0.3">
      <c r="B34" s="748" t="s">
        <v>1519</v>
      </c>
      <c r="C34" s="749"/>
      <c r="D34" s="749"/>
      <c r="E34" s="749"/>
      <c r="F34" s="705"/>
      <c r="G34" s="706">
        <f>ResultTable[[#Totals],[B6]]/C46</f>
        <v>0.18710144854823052</v>
      </c>
      <c r="H34" s="705" t="s">
        <v>1517</v>
      </c>
      <c r="I34" s="707"/>
      <c r="J34" s="713"/>
      <c r="L34" s="583"/>
      <c r="M34" s="584"/>
    </row>
    <row r="35" spans="2:14" s="582" customFormat="1" ht="24.6" customHeight="1" thickBot="1" x14ac:dyDescent="0.35">
      <c r="B35" s="772" t="s">
        <v>1520</v>
      </c>
      <c r="C35" s="773"/>
      <c r="D35" s="773"/>
      <c r="E35" s="773"/>
      <c r="F35" s="714"/>
      <c r="G35" s="715">
        <f ca="1">(G33+G34)/50</f>
        <v>7.17420289709646E-2</v>
      </c>
      <c r="H35" s="714" t="s">
        <v>1518</v>
      </c>
      <c r="I35" s="716"/>
      <c r="J35" s="717"/>
      <c r="L35" s="583"/>
      <c r="M35" s="584"/>
    </row>
    <row r="36" spans="2:14" ht="14.4" x14ac:dyDescent="0.3">
      <c r="B36"/>
      <c r="C36"/>
      <c r="D36"/>
      <c r="E36"/>
      <c r="L36" s="577"/>
      <c r="M36" s="579"/>
      <c r="N36" s="342"/>
    </row>
    <row r="37" spans="2:14" ht="13.8" x14ac:dyDescent="0.25">
      <c r="B37" s="766" t="s">
        <v>1272</v>
      </c>
      <c r="C37" s="767"/>
      <c r="D37" s="767"/>
      <c r="E37" s="768"/>
    </row>
    <row r="38" spans="2:14" x14ac:dyDescent="0.25">
      <c r="B38" s="524" t="s">
        <v>767</v>
      </c>
      <c r="C38" s="769">
        <f>'Project Details'!C4</f>
        <v>0</v>
      </c>
      <c r="D38" s="769"/>
      <c r="E38" s="769"/>
      <c r="F38" s="13"/>
    </row>
    <row r="39" spans="2:14" x14ac:dyDescent="0.25">
      <c r="B39" s="524" t="s">
        <v>1417</v>
      </c>
      <c r="C39" s="763" t="str">
        <f>'Project Details'!C5</f>
        <v>Residential</v>
      </c>
      <c r="D39" s="764"/>
      <c r="E39" s="765"/>
      <c r="F39" s="13"/>
    </row>
    <row r="40" spans="2:14" x14ac:dyDescent="0.25">
      <c r="B40" s="525" t="s">
        <v>774</v>
      </c>
      <c r="C40" s="757" t="str">
        <f>'Project Details'!C21</f>
        <v>Ireland, NW Europe</v>
      </c>
      <c r="D40" s="758"/>
      <c r="E40" s="759"/>
      <c r="F40" s="13"/>
    </row>
    <row r="41" spans="2:14" ht="13.2" customHeight="1" x14ac:dyDescent="0.25">
      <c r="B41" s="525" t="s">
        <v>1273</v>
      </c>
      <c r="C41" s="760" t="str">
        <f>'Project Details'!C6</f>
        <v>Owner's name</v>
      </c>
      <c r="D41" s="761"/>
      <c r="E41" s="762"/>
      <c r="F41" s="13"/>
    </row>
    <row r="42" spans="2:14" x14ac:dyDescent="0.25">
      <c r="B42" s="525" t="s">
        <v>1274</v>
      </c>
      <c r="C42" s="760">
        <f>'Project Details'!C7</f>
        <v>0</v>
      </c>
      <c r="D42" s="761"/>
      <c r="E42" s="762"/>
      <c r="F42" s="13"/>
      <c r="H42" s="570" t="s">
        <v>1416</v>
      </c>
    </row>
    <row r="43" spans="2:14" x14ac:dyDescent="0.25">
      <c r="B43" s="525" t="s">
        <v>1275</v>
      </c>
      <c r="C43" s="760" t="str">
        <f>'Project Details'!C8</f>
        <v>Contractor TBA</v>
      </c>
      <c r="D43" s="761"/>
      <c r="E43" s="762"/>
      <c r="F43" s="13"/>
    </row>
    <row r="44" spans="2:14" x14ac:dyDescent="0.25">
      <c r="B44" s="524" t="s">
        <v>771</v>
      </c>
      <c r="C44" s="757" t="str">
        <f>'Project Details'!C15</f>
        <v>10. Completion</v>
      </c>
      <c r="D44" s="758"/>
      <c r="E44" s="759"/>
    </row>
    <row r="45" spans="2:14" x14ac:dyDescent="0.25">
      <c r="B45" s="525" t="s">
        <v>1415</v>
      </c>
      <c r="C45" s="757" t="str">
        <f>'Project Details'!C32</f>
        <v>&lt; FF = surface area of envelope (m2)/volume(m3) &gt;</v>
      </c>
      <c r="D45" s="758"/>
      <c r="E45" s="759"/>
    </row>
    <row r="46" spans="2:14" ht="15.6" x14ac:dyDescent="0.25">
      <c r="B46" s="524" t="s">
        <v>1480</v>
      </c>
      <c r="C46" s="760">
        <f>'Project Details'!C16</f>
        <v>32</v>
      </c>
      <c r="D46" s="761"/>
      <c r="E46" s="762"/>
    </row>
    <row r="47" spans="2:14" x14ac:dyDescent="0.25">
      <c r="B47" s="524" t="s">
        <v>1277</v>
      </c>
      <c r="C47" s="779" t="str">
        <f>'Project Details'!C18</f>
        <v>TBA</v>
      </c>
      <c r="D47" s="780"/>
      <c r="E47" s="781"/>
    </row>
    <row r="48" spans="2:14" x14ac:dyDescent="0.25">
      <c r="B48" s="525" t="s">
        <v>1278</v>
      </c>
      <c r="C48" s="757" t="str">
        <f>'Project Details'!C25</f>
        <v>100% New</v>
      </c>
      <c r="D48" s="758"/>
      <c r="E48" s="759"/>
    </row>
    <row r="49" spans="2:11" ht="109.2" customHeight="1" x14ac:dyDescent="0.25">
      <c r="B49" s="524" t="s">
        <v>1279</v>
      </c>
      <c r="C49" s="754">
        <f>'Project Details'!C14</f>
        <v>0</v>
      </c>
      <c r="D49" s="755"/>
      <c r="E49" s="755"/>
      <c r="F49" s="755"/>
      <c r="G49" s="755"/>
      <c r="H49" s="755"/>
      <c r="I49" s="755"/>
      <c r="J49" s="756"/>
    </row>
    <row r="51" spans="2:11" s="396" customFormat="1" ht="22.95" customHeight="1" x14ac:dyDescent="0.3">
      <c r="B51" s="785" t="s">
        <v>1486</v>
      </c>
      <c r="C51" s="786"/>
      <c r="D51" s="786"/>
      <c r="E51" s="786"/>
      <c r="F51" s="786"/>
      <c r="G51" s="786"/>
      <c r="H51" s="786"/>
      <c r="I51" s="786"/>
      <c r="J51" s="786"/>
    </row>
    <row r="52" spans="2:11" s="571" customFormat="1" ht="25.2" customHeight="1" x14ac:dyDescent="0.3">
      <c r="C52" s="612" t="s">
        <v>1436</v>
      </c>
      <c r="D52" s="612" t="s">
        <v>1435</v>
      </c>
      <c r="F52" s="612" t="s">
        <v>1436</v>
      </c>
      <c r="G52" s="612" t="s">
        <v>1435</v>
      </c>
      <c r="I52" s="612" t="s">
        <v>1436</v>
      </c>
      <c r="J52" s="612" t="s">
        <v>1435</v>
      </c>
    </row>
    <row r="53" spans="2:11" s="342" customFormat="1" ht="13.95" customHeight="1" x14ac:dyDescent="0.25">
      <c r="B53" s="342" t="str">
        <f>Results!D5</f>
        <v>Piles</v>
      </c>
      <c r="C53" s="613" t="str">
        <f>Results!F5</f>
        <v>Yes</v>
      </c>
      <c r="D53" s="613" t="str">
        <f>Results!H5</f>
        <v>Yes</v>
      </c>
      <c r="E53" s="342" t="str">
        <f>Results!D23</f>
        <v>Ceilings finish</v>
      </c>
      <c r="F53" s="613" t="str">
        <f>Results!F23</f>
        <v>Yes</v>
      </c>
      <c r="G53" s="613" t="str">
        <f>Results!H23</f>
        <v>No</v>
      </c>
      <c r="H53" s="342" t="str">
        <f>Results!D41</f>
        <v>Drainage system</v>
      </c>
      <c r="I53" s="613" t="str">
        <f>Results!F41</f>
        <v>Yes</v>
      </c>
      <c r="J53" s="613" t="str">
        <f>Results!H41</f>
        <v>No</v>
      </c>
      <c r="K53" s="8" t="s">
        <v>1474</v>
      </c>
    </row>
    <row r="54" spans="2:11" s="342" customFormat="1" ht="13.95" customHeight="1" x14ac:dyDescent="0.2">
      <c r="B54" s="342" t="str">
        <f>Results!D6</f>
        <v>Basements</v>
      </c>
      <c r="C54" s="613" t="str">
        <f>Results!F6</f>
        <v>Yes</v>
      </c>
      <c r="D54" s="613" t="str">
        <f>Results!H6</f>
        <v>No</v>
      </c>
      <c r="E54" s="342" t="str">
        <f>Results!D24</f>
        <v>Wall finish</v>
      </c>
      <c r="F54" s="613" t="str">
        <f>Results!F24</f>
        <v>Yes</v>
      </c>
      <c r="G54" s="613" t="str">
        <f>Results!H24</f>
        <v>No</v>
      </c>
      <c r="H54" s="342" t="str">
        <f>Results!D42</f>
        <v>Lifts and escalators</v>
      </c>
      <c r="I54" s="613" t="str">
        <f>Results!F42</f>
        <v>Yes</v>
      </c>
      <c r="J54" s="613" t="str">
        <f>Results!H42</f>
        <v>No</v>
      </c>
      <c r="K54" s="396" t="s">
        <v>1443</v>
      </c>
    </row>
    <row r="55" spans="2:11" s="342" customFormat="1" ht="13.95" customHeight="1" x14ac:dyDescent="0.2">
      <c r="B55" s="342" t="str">
        <f>Results!D7</f>
        <v>Retaining walls</v>
      </c>
      <c r="C55" s="613" t="str">
        <f>Results!F7</f>
        <v>Yes</v>
      </c>
      <c r="D55" s="613" t="str">
        <f>Results!H7</f>
        <v>No</v>
      </c>
      <c r="E55" s="342" t="str">
        <f>Results!D25</f>
        <v>Floor coverings and finishes</v>
      </c>
      <c r="F55" s="613" t="str">
        <f>Results!F25</f>
        <v>Yes</v>
      </c>
      <c r="G55" s="613" t="str">
        <f>Results!H25</f>
        <v>No</v>
      </c>
      <c r="H55" s="342" t="str">
        <f>Results!D43</f>
        <v>Firefighting installations</v>
      </c>
      <c r="I55" s="613" t="str">
        <f>Results!F43</f>
        <v>Yes</v>
      </c>
      <c r="J55" s="613" t="str">
        <f>Results!H43</f>
        <v>No</v>
      </c>
      <c r="K55" s="297" t="s">
        <v>1442</v>
      </c>
    </row>
    <row r="56" spans="2:11" s="342" customFormat="1" ht="13.95" customHeight="1" x14ac:dyDescent="0.2">
      <c r="B56" s="342" t="str">
        <f>Results!D8</f>
        <v>Frame (beams, columns and slabs)</v>
      </c>
      <c r="C56" s="613" t="str">
        <f>Results!F8</f>
        <v>Yes</v>
      </c>
      <c r="D56" s="613" t="str">
        <f>Results!H8</f>
        <v>No</v>
      </c>
      <c r="E56" s="342" t="str">
        <f>Results!D26</f>
        <v>Drainage system</v>
      </c>
      <c r="F56" s="613" t="str">
        <f>Results!F26</f>
        <v>Yes</v>
      </c>
      <c r="G56" s="613" t="str">
        <f>Results!H26</f>
        <v>No</v>
      </c>
      <c r="H56" s="342" t="str">
        <f>Results!D44</f>
        <v>Communication and security installations</v>
      </c>
      <c r="I56" s="613" t="str">
        <f>Results!F44</f>
        <v>Yes</v>
      </c>
      <c r="J56" s="613" t="str">
        <f>Results!H44</f>
        <v>No</v>
      </c>
    </row>
    <row r="57" spans="2:11" s="342" customFormat="1" ht="13.95" customHeight="1" x14ac:dyDescent="0.2">
      <c r="B57" s="342" t="str">
        <f>Results!D9</f>
        <v>Upper floors</v>
      </c>
      <c r="C57" s="613" t="str">
        <f>Results!F9</f>
        <v>Yes</v>
      </c>
      <c r="D57" s="613" t="str">
        <f>Results!H9</f>
        <v>No</v>
      </c>
      <c r="E57" s="342" t="str">
        <f>Results!D27</f>
        <v>Connections and diversions</v>
      </c>
      <c r="F57" s="613" t="str">
        <f>Results!F27</f>
        <v>Yes</v>
      </c>
      <c r="G57" s="613" t="str">
        <f>Results!H27</f>
        <v>No</v>
      </c>
      <c r="H57" s="342" t="str">
        <f>Results!D45</f>
        <v>Telecoms and data installations</v>
      </c>
      <c r="I57" s="613" t="str">
        <f>Results!F45</f>
        <v>Yes</v>
      </c>
      <c r="J57" s="613" t="str">
        <f>Results!H45</f>
        <v>No</v>
      </c>
    </row>
    <row r="58" spans="2:11" s="342" customFormat="1" ht="13.95" customHeight="1" x14ac:dyDescent="0.2">
      <c r="B58" s="342" t="str">
        <f>Results!D10</f>
        <v>External walls</v>
      </c>
      <c r="C58" s="613" t="str">
        <f>Results!F10</f>
        <v>Yes</v>
      </c>
      <c r="D58" s="613" t="str">
        <f>Results!H10</f>
        <v>No</v>
      </c>
      <c r="E58" s="342" t="str">
        <f>Results!D28</f>
        <v>Substations and equipment</v>
      </c>
      <c r="F58" s="613" t="str">
        <f>Results!F28</f>
        <v>Yes</v>
      </c>
      <c r="G58" s="613" t="str">
        <f>Results!H28</f>
        <v>No</v>
      </c>
      <c r="H58" s="342" t="str">
        <f>Results!D46</f>
        <v>Refrigerants</v>
      </c>
      <c r="I58" s="613" t="str">
        <f>Results!F46</f>
        <v>Yes</v>
      </c>
      <c r="J58" s="613" t="str">
        <f>Results!H46</f>
        <v>No</v>
      </c>
    </row>
    <row r="59" spans="2:11" s="342" customFormat="1" ht="13.95" customHeight="1" x14ac:dyDescent="0.2">
      <c r="B59" s="342" t="str">
        <f>Results!D11</f>
        <v>Balconies</v>
      </c>
      <c r="C59" s="613" t="str">
        <f>Results!F11</f>
        <v>Yes</v>
      </c>
      <c r="D59" s="613" t="str">
        <f>Results!H11</f>
        <v>No</v>
      </c>
      <c r="E59" s="342" t="str">
        <f>Results!D29</f>
        <v>Paving and other hard surfacing</v>
      </c>
      <c r="F59" s="613" t="str">
        <f>Results!F29</f>
        <v>Yes</v>
      </c>
      <c r="G59" s="613" t="str">
        <f>Results!H29</f>
        <v>No</v>
      </c>
      <c r="H59" s="342" t="str">
        <f>Results!D47</f>
        <v>Operational Energy (B6)</v>
      </c>
      <c r="I59" s="613" t="str">
        <f>Results!F47</f>
        <v>Yes</v>
      </c>
      <c r="J59" s="613" t="str">
        <f>Results!H47</f>
        <v>Yes</v>
      </c>
    </row>
    <row r="60" spans="2:11" s="342" customFormat="1" ht="13.95" customHeight="1" x14ac:dyDescent="0.2">
      <c r="B60" s="342" t="str">
        <f>Results!D12</f>
        <v>Ground floor slab</v>
      </c>
      <c r="C60" s="613" t="str">
        <f>Results!F12</f>
        <v>Yes</v>
      </c>
      <c r="D60" s="613" t="str">
        <f>Results!H12</f>
        <v>No</v>
      </c>
      <c r="E60" s="342" t="str">
        <f>Results!D30</f>
        <v>Fencing, railings and walls</v>
      </c>
      <c r="F60" s="613" t="str">
        <f>Results!F30</f>
        <v>Yes</v>
      </c>
      <c r="G60" s="613" t="str">
        <f>Results!H30</f>
        <v>No</v>
      </c>
      <c r="H60" s="342" t="str">
        <f>Results!D48</f>
        <v>Water usage (excl. heating)</v>
      </c>
      <c r="I60" s="613" t="str">
        <f>Results!F48</f>
        <v>Yes</v>
      </c>
      <c r="J60" s="613" t="str">
        <f>Results!H48</f>
        <v>No</v>
      </c>
    </row>
    <row r="61" spans="2:11" s="342" customFormat="1" ht="13.95" customHeight="1" x14ac:dyDescent="0.2">
      <c r="B61" s="342" t="str">
        <f>Results!D13</f>
        <v>Internal walls, partitions and doors</v>
      </c>
      <c r="C61" s="613" t="str">
        <f>Results!F13</f>
        <v>Yes</v>
      </c>
      <c r="D61" s="613" t="str">
        <f>Results!H13</f>
        <v>No</v>
      </c>
      <c r="E61" s="342" t="str">
        <f>Results!D31</f>
        <v>Light fittings</v>
      </c>
      <c r="F61" s="613" t="str">
        <f>Results!F31</f>
        <v>Yes</v>
      </c>
      <c r="G61" s="613" t="str">
        <f>Results!H31</f>
        <v>No</v>
      </c>
    </row>
    <row r="62" spans="2:11" s="342" customFormat="1" ht="13.95" customHeight="1" x14ac:dyDescent="0.2">
      <c r="B62" s="342" t="str">
        <f>Results!D14</f>
        <v>Stairs and ramps</v>
      </c>
      <c r="C62" s="613" t="str">
        <f>Results!F14</f>
        <v>Yes</v>
      </c>
      <c r="D62" s="613" t="str">
        <f>Results!H14</f>
        <v>No</v>
      </c>
      <c r="E62" s="342" t="str">
        <f>Results!D32</f>
        <v>Control systems and sensors</v>
      </c>
      <c r="F62" s="613" t="str">
        <f>Results!F32</f>
        <v>Yes</v>
      </c>
      <c r="G62" s="613" t="str">
        <f>Results!H32</f>
        <v>No</v>
      </c>
    </row>
    <row r="63" spans="2:11" s="342" customFormat="1" ht="13.95" customHeight="1" x14ac:dyDescent="0.2">
      <c r="B63" s="342" t="str">
        <f>Results!D15</f>
        <v>External wall systems, cladding and shading devices</v>
      </c>
      <c r="C63" s="613" t="str">
        <f>Results!F15</f>
        <v>Yes</v>
      </c>
      <c r="D63" s="613" t="str">
        <f>Results!H15</f>
        <v>No</v>
      </c>
      <c r="E63" s="342" t="str">
        <f>Results!D33</f>
        <v>Heating plant and distribution</v>
      </c>
      <c r="F63" s="613" t="str">
        <f>Results!F33</f>
        <v>Yes</v>
      </c>
      <c r="G63" s="613" t="str">
        <f>Results!H33</f>
        <v>No</v>
      </c>
    </row>
    <row r="64" spans="2:11" s="342" customFormat="1" ht="13.95" customHeight="1" x14ac:dyDescent="0.2">
      <c r="B64" s="342" t="str">
        <f>Results!D16</f>
        <v>Façade openings (including windows and external doors)</v>
      </c>
      <c r="C64" s="613" t="str">
        <f>Results!F16</f>
        <v>Yes</v>
      </c>
      <c r="D64" s="613" t="str">
        <f>Results!H16</f>
        <v>No</v>
      </c>
      <c r="E64" s="342" t="str">
        <f>Results!D34</f>
        <v>Cooling plant and distribution</v>
      </c>
      <c r="F64" s="613" t="str">
        <f>Results!F34</f>
        <v>Yes</v>
      </c>
      <c r="G64" s="613" t="str">
        <f>Results!H34</f>
        <v>No</v>
      </c>
    </row>
    <row r="65" spans="2:10" s="342" customFormat="1" ht="13.95" customHeight="1" x14ac:dyDescent="0.2">
      <c r="B65" s="342" t="str">
        <f>Results!D17</f>
        <v>External render</v>
      </c>
      <c r="C65" s="613" t="str">
        <f>Results!F17</f>
        <v>Yes</v>
      </c>
      <c r="D65" s="613" t="str">
        <f>Results!H17</f>
        <v>No</v>
      </c>
      <c r="E65" s="342" t="str">
        <f>Results!D35</f>
        <v>Electricity generation and distribution</v>
      </c>
      <c r="F65" s="613" t="str">
        <f>Results!F35</f>
        <v>Yes</v>
      </c>
      <c r="G65" s="613" t="str">
        <f>Results!H35</f>
        <v>No</v>
      </c>
    </row>
    <row r="66" spans="2:10" s="342" customFormat="1" ht="13.95" customHeight="1" x14ac:dyDescent="0.2">
      <c r="B66" s="342" t="str">
        <f>Results!D18</f>
        <v>RoofStructure</v>
      </c>
      <c r="C66" s="613" t="str">
        <f>Results!F18</f>
        <v>Yes</v>
      </c>
      <c r="D66" s="613" t="str">
        <f>Results!H18</f>
        <v>No</v>
      </c>
      <c r="E66" s="342" t="str">
        <f>Results!D36</f>
        <v>Air handling units</v>
      </c>
      <c r="F66" s="613" t="str">
        <f>Results!F36</f>
        <v>Yes</v>
      </c>
      <c r="G66" s="613" t="str">
        <f>Results!H36</f>
        <v>No</v>
      </c>
      <c r="H66" s="789" t="s">
        <v>1434</v>
      </c>
      <c r="I66" s="774"/>
      <c r="J66" s="775">
        <f>Results!D54</f>
        <v>4.5454545454545456E-2</v>
      </c>
    </row>
    <row r="67" spans="2:10" s="342" customFormat="1" ht="13.95" customHeight="1" x14ac:dyDescent="0.2">
      <c r="B67" s="342" t="str">
        <f>Results!D19</f>
        <v>Weatherproofing</v>
      </c>
      <c r="C67" s="613" t="str">
        <f>Results!F19</f>
        <v>Yes</v>
      </c>
      <c r="D67" s="613" t="str">
        <f>Results!H19</f>
        <v>No</v>
      </c>
      <c r="E67" s="342" t="str">
        <f>Results!D37</f>
        <v>Ductwork and distribution</v>
      </c>
      <c r="F67" s="613" t="str">
        <f>Results!F37</f>
        <v>Yes</v>
      </c>
      <c r="G67" s="613" t="str">
        <f>Results!H37</f>
        <v>No</v>
      </c>
      <c r="H67" s="789"/>
      <c r="I67" s="774"/>
      <c r="J67" s="775"/>
    </row>
    <row r="68" spans="2:10" s="342" customFormat="1" ht="13.95" customHeight="1" x14ac:dyDescent="0.2">
      <c r="B68" s="342" t="str">
        <f>Results!D20</f>
        <v>Above ground and underground (within the curtilage of the building and servicing the building occupiers)</v>
      </c>
      <c r="C68" s="613" t="str">
        <f>Results!F20</f>
        <v>Yes</v>
      </c>
      <c r="D68" s="613" t="str">
        <f>Results!H20</f>
        <v>No</v>
      </c>
      <c r="E68" s="342" t="str">
        <f>Results!D38</f>
        <v>Cold water distribution</v>
      </c>
      <c r="F68" s="613" t="str">
        <f>Results!F38</f>
        <v>Yes</v>
      </c>
      <c r="G68" s="613" t="str">
        <f>Results!H38</f>
        <v>No</v>
      </c>
      <c r="H68" s="789"/>
      <c r="I68" s="774"/>
      <c r="J68" s="775"/>
    </row>
    <row r="69" spans="2:10" s="342" customFormat="1" ht="13.95" customHeight="1" x14ac:dyDescent="0.2">
      <c r="B69" s="342" t="str">
        <f>Results!D21</f>
        <v>Sanitary fittings</v>
      </c>
      <c r="C69" s="613" t="str">
        <f>Results!F21</f>
        <v>Yes</v>
      </c>
      <c r="D69" s="613" t="str">
        <f>Results!H21</f>
        <v>No</v>
      </c>
      <c r="E69" s="342" t="str">
        <f>Results!D39</f>
        <v>Hot water distribution</v>
      </c>
      <c r="F69" s="613" t="str">
        <f>Results!F39</f>
        <v>Yes</v>
      </c>
      <c r="G69" s="613" t="str">
        <f>Results!H39</f>
        <v>No</v>
      </c>
      <c r="H69" s="789"/>
      <c r="I69" s="774"/>
      <c r="J69" s="775"/>
    </row>
    <row r="70" spans="2:10" s="342" customFormat="1" ht="13.95" customHeight="1" x14ac:dyDescent="0.2">
      <c r="B70" s="342" t="str">
        <f>Results!D22</f>
        <v>Cupboards, wardbrobes and worktops (where provided in residential property)</v>
      </c>
      <c r="C70" s="613" t="str">
        <f>Results!F22</f>
        <v>Yes</v>
      </c>
      <c r="D70" s="613" t="str">
        <f>Results!H22</f>
        <v>No</v>
      </c>
      <c r="E70" s="342" t="str">
        <f>Results!D40</f>
        <v>Water treatment systems</v>
      </c>
      <c r="F70" s="613" t="str">
        <f>Results!F40</f>
        <v>Yes</v>
      </c>
      <c r="G70" s="613" t="str">
        <f>Results!H40</f>
        <v>No</v>
      </c>
      <c r="H70" s="789"/>
      <c r="I70" s="774"/>
      <c r="J70" s="775"/>
    </row>
    <row r="71" spans="2:10" ht="29.4" customHeight="1" x14ac:dyDescent="0.25"/>
    <row r="74" spans="2:10" ht="27" customHeight="1" x14ac:dyDescent="0.25"/>
    <row r="122" spans="2:62" x14ac:dyDescent="0.25">
      <c r="B122" s="783" t="s">
        <v>1286</v>
      </c>
      <c r="C122" s="784"/>
      <c r="D122" s="784"/>
      <c r="E122" s="784"/>
      <c r="F122" s="784"/>
      <c r="G122" s="784"/>
      <c r="H122" s="784"/>
      <c r="I122" s="784"/>
      <c r="J122" s="784"/>
    </row>
    <row r="123" spans="2:62" x14ac:dyDescent="0.25">
      <c r="B123" s="566" t="s">
        <v>1287</v>
      </c>
      <c r="C123" s="776" t="s">
        <v>1288</v>
      </c>
      <c r="D123" s="776"/>
      <c r="E123" s="776"/>
      <c r="F123" s="776"/>
      <c r="G123" s="776"/>
      <c r="H123" s="776"/>
      <c r="I123" s="776"/>
      <c r="J123" s="776"/>
    </row>
    <row r="124" spans="2:62" x14ac:dyDescent="0.25">
      <c r="B124" s="566" t="s">
        <v>1289</v>
      </c>
      <c r="C124" s="776" t="s">
        <v>1290</v>
      </c>
      <c r="D124" s="776"/>
      <c r="E124" s="776"/>
      <c r="F124" s="776"/>
      <c r="G124" s="776"/>
      <c r="H124" s="776"/>
      <c r="I124" s="776"/>
      <c r="J124" s="776"/>
      <c r="AN124" s="307"/>
      <c r="AO124" s="307"/>
      <c r="AP124" s="307"/>
      <c r="AQ124" s="307"/>
      <c r="AR124" s="307"/>
      <c r="AS124" s="307"/>
      <c r="AT124" s="307"/>
      <c r="AU124" s="307"/>
      <c r="AV124" s="307"/>
      <c r="AW124" s="307"/>
      <c r="AX124" s="307"/>
      <c r="AY124" s="307"/>
      <c r="AZ124" s="307"/>
      <c r="BA124" s="307"/>
      <c r="BB124" s="307"/>
      <c r="BC124" s="307"/>
      <c r="BD124" s="307"/>
      <c r="BE124" s="307"/>
      <c r="BF124" s="307"/>
      <c r="BG124" s="307"/>
      <c r="BH124" s="307"/>
      <c r="BI124" s="307"/>
      <c r="BJ124" s="307"/>
    </row>
    <row r="125" spans="2:62" x14ac:dyDescent="0.25">
      <c r="B125" s="566" t="s">
        <v>1291</v>
      </c>
      <c r="C125" s="776" t="s">
        <v>1292</v>
      </c>
      <c r="D125" s="776"/>
      <c r="E125" s="776"/>
      <c r="F125" s="776"/>
      <c r="G125" s="776"/>
      <c r="H125" s="776"/>
      <c r="I125" s="776"/>
      <c r="J125" s="776"/>
      <c r="BG125" s="307"/>
    </row>
    <row r="126" spans="2:62" x14ac:dyDescent="0.25">
      <c r="B126" s="526" t="s">
        <v>1293</v>
      </c>
      <c r="C126" s="776" t="s">
        <v>1294</v>
      </c>
      <c r="D126" s="776"/>
      <c r="E126" s="776"/>
      <c r="F126" s="776"/>
      <c r="G126" s="776"/>
      <c r="H126" s="776"/>
      <c r="I126" s="776"/>
      <c r="J126" s="776"/>
      <c r="BG126" s="307"/>
    </row>
    <row r="127" spans="2:62" x14ac:dyDescent="0.25">
      <c r="B127" s="526" t="s">
        <v>1295</v>
      </c>
      <c r="C127" s="776" t="s">
        <v>1296</v>
      </c>
      <c r="D127" s="776"/>
      <c r="E127" s="776"/>
      <c r="F127" s="776"/>
      <c r="G127" s="776"/>
      <c r="H127" s="776"/>
      <c r="I127" s="776"/>
      <c r="J127" s="776"/>
      <c r="BG127" s="307"/>
    </row>
    <row r="128" spans="2:62" x14ac:dyDescent="0.25">
      <c r="B128" s="526" t="s">
        <v>1297</v>
      </c>
      <c r="C128" s="776" t="s">
        <v>1298</v>
      </c>
      <c r="D128" s="776"/>
      <c r="E128" s="776"/>
      <c r="F128" s="776"/>
      <c r="G128" s="776"/>
      <c r="H128" s="776"/>
      <c r="I128" s="776"/>
      <c r="J128" s="776"/>
      <c r="BG128" s="307"/>
    </row>
    <row r="129" spans="2:10" x14ac:dyDescent="0.25">
      <c r="B129" s="526" t="s">
        <v>1299</v>
      </c>
      <c r="C129" s="776" t="s">
        <v>1300</v>
      </c>
      <c r="D129" s="776"/>
      <c r="E129" s="776"/>
      <c r="F129" s="776"/>
      <c r="G129" s="776"/>
      <c r="H129" s="776"/>
      <c r="I129" s="776"/>
      <c r="J129" s="776"/>
    </row>
    <row r="130" spans="2:10" x14ac:dyDescent="0.25">
      <c r="B130" s="526" t="s">
        <v>1301</v>
      </c>
      <c r="C130" s="776" t="s">
        <v>1302</v>
      </c>
      <c r="D130" s="776"/>
      <c r="E130" s="776"/>
      <c r="F130" s="776"/>
      <c r="G130" s="776"/>
      <c r="H130" s="776"/>
      <c r="I130" s="776"/>
      <c r="J130" s="776"/>
    </row>
    <row r="131" spans="2:10" x14ac:dyDescent="0.25">
      <c r="B131" s="526" t="s">
        <v>1303</v>
      </c>
      <c r="C131" s="776" t="s">
        <v>1304</v>
      </c>
      <c r="D131" s="776"/>
      <c r="E131" s="776"/>
      <c r="F131" s="776"/>
      <c r="G131" s="776"/>
      <c r="H131" s="776"/>
      <c r="I131" s="776"/>
      <c r="J131" s="776"/>
    </row>
  </sheetData>
  <mergeCells count="37">
    <mergeCell ref="K3:L3"/>
    <mergeCell ref="K2:N2"/>
    <mergeCell ref="C126:J126"/>
    <mergeCell ref="C127:J127"/>
    <mergeCell ref="C128:J128"/>
    <mergeCell ref="C46:E46"/>
    <mergeCell ref="C47:E47"/>
    <mergeCell ref="B2:J2"/>
    <mergeCell ref="C123:J123"/>
    <mergeCell ref="C124:J124"/>
    <mergeCell ref="C125:J125"/>
    <mergeCell ref="B122:J122"/>
    <mergeCell ref="C48:E48"/>
    <mergeCell ref="B51:J51"/>
    <mergeCell ref="B32:E32"/>
    <mergeCell ref="H66:H70"/>
    <mergeCell ref="I66:I70"/>
    <mergeCell ref="J66:J70"/>
    <mergeCell ref="C129:J129"/>
    <mergeCell ref="C130:J130"/>
    <mergeCell ref="C131:J131"/>
    <mergeCell ref="B34:E34"/>
    <mergeCell ref="C3:E3"/>
    <mergeCell ref="B4:J5"/>
    <mergeCell ref="B6:J7"/>
    <mergeCell ref="C49:J49"/>
    <mergeCell ref="C40:E40"/>
    <mergeCell ref="C41:E41"/>
    <mergeCell ref="C42:E42"/>
    <mergeCell ref="C39:E39"/>
    <mergeCell ref="C43:E43"/>
    <mergeCell ref="C44:E44"/>
    <mergeCell ref="C45:E45"/>
    <mergeCell ref="B37:E37"/>
    <mergeCell ref="C38:E38"/>
    <mergeCell ref="B33:E33"/>
    <mergeCell ref="B35:E35"/>
  </mergeCells>
  <phoneticPr fontId="7" type="noConversion"/>
  <conditionalFormatting sqref="I53:J60 C53:D70 F53:G70">
    <cfRule type="containsText" dxfId="23" priority="1" operator="containsText" text="Yes">
      <formula>NOT(ISERROR(SEARCH("Yes",C53)))</formula>
    </cfRule>
    <cfRule type="containsText" dxfId="22" priority="2" operator="containsText" text="No">
      <formula>NOT(ISERROR(SEARCH("No",C53)))</formula>
    </cfRule>
  </conditionalFormatting>
  <dataValidations count="2">
    <dataValidation operator="greaterThan" allowBlank="1" showErrorMessage="1" errorTitle="Must be a number" error="Please input a number greater than 0, with no additional punctuation." promptTitle="Useful Floor Area" prompt="Please input the UFA in square metres. " sqref="C46" xr:uid="{0D9735A9-803D-4103-A156-AA2BAC22516D}"/>
    <dataValidation allowBlank="1" showInputMessage="1" showErrorMessage="1" promptTitle="RIBA Workstage" prompt="Please input the RIBA workstage for this analysis." sqref="C44" xr:uid="{41F06C28-B66E-4437-A63A-EBEBDEE18DD3}"/>
  </dataValidations>
  <printOptions headings="1" gridLines="1"/>
  <pageMargins left="0.7" right="0.7" top="0.75" bottom="0.75" header="0.3" footer="0.3"/>
  <pageSetup paperSize="9" scale="51" orientation="portrait" r:id="rId1"/>
  <headerFooter>
    <oddHeader xml:space="preserve">&amp;C
</oddHeader>
  </headerFooter>
  <rowBreaks count="1" manualBreakCount="1">
    <brk id="70" max="16383" man="1"/>
  </rowBreaks>
  <colBreaks count="2" manualBreakCount="2">
    <brk id="10" max="1048575" man="1"/>
    <brk id="15"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463BF-DB4A-49AD-A2E7-9BEA4B16D508}">
  <sheetPr codeName="Sheet13">
    <tabColor theme="4"/>
  </sheetPr>
  <dimension ref="B1:X250"/>
  <sheetViews>
    <sheetView showGridLines="0" zoomScale="80" zoomScaleNormal="80" workbookViewId="0">
      <selection activeCell="B4" sqref="B4"/>
    </sheetView>
  </sheetViews>
  <sheetFormatPr defaultColWidth="8.88671875" defaultRowHeight="13.2" x14ac:dyDescent="0.3"/>
  <cols>
    <col min="1" max="1" width="2.6640625" style="396" customWidth="1"/>
    <col min="2" max="2" width="24.6640625" style="396" customWidth="1"/>
    <col min="3" max="7" width="22.33203125" style="396" customWidth="1"/>
    <col min="8" max="8" width="16.88671875" style="620" customWidth="1"/>
    <col min="9" max="10" width="14.88671875" style="620" customWidth="1"/>
    <col min="11" max="11" width="26.109375" style="620" customWidth="1"/>
    <col min="12" max="12" width="13.109375" style="620" customWidth="1"/>
    <col min="13" max="13" width="18.6640625" style="396" hidden="1" customWidth="1"/>
    <col min="14" max="14" width="22.6640625" style="619" bestFit="1" customWidth="1"/>
    <col min="15" max="15" width="51.33203125" style="396" customWidth="1"/>
    <col min="16" max="16" width="2.6640625" style="396" customWidth="1"/>
    <col min="17" max="24" width="11.109375" style="396" customWidth="1"/>
    <col min="25" max="16384" width="8.88671875" style="396"/>
  </cols>
  <sheetData>
    <row r="1" spans="2:24" ht="15.6" customHeight="1" x14ac:dyDescent="0.3"/>
    <row r="2" spans="2:24" s="336" customFormat="1" ht="44.4" customHeight="1" x14ac:dyDescent="0.3">
      <c r="B2" s="336" t="s">
        <v>906</v>
      </c>
      <c r="C2" s="336" t="s">
        <v>1120</v>
      </c>
      <c r="D2" s="336" t="s">
        <v>907</v>
      </c>
      <c r="E2" s="336" t="s">
        <v>109</v>
      </c>
      <c r="F2" s="336" t="s">
        <v>110</v>
      </c>
      <c r="G2" s="336" t="s">
        <v>908</v>
      </c>
      <c r="H2" s="358" t="s">
        <v>1335</v>
      </c>
      <c r="I2" s="358" t="s">
        <v>1104</v>
      </c>
      <c r="J2" s="358" t="s">
        <v>1105</v>
      </c>
      <c r="K2" s="358" t="s">
        <v>1121</v>
      </c>
      <c r="L2" s="358" t="s">
        <v>1340</v>
      </c>
      <c r="M2" s="336" t="s">
        <v>114</v>
      </c>
      <c r="N2" s="359" t="s">
        <v>115</v>
      </c>
      <c r="O2" s="336" t="s">
        <v>116</v>
      </c>
      <c r="Q2" s="360" t="s">
        <v>1323</v>
      </c>
    </row>
    <row r="3" spans="2:24" ht="14.4" x14ac:dyDescent="0.3">
      <c r="B3" s="385" t="s">
        <v>1526</v>
      </c>
      <c r="C3" s="621"/>
      <c r="D3" s="621"/>
      <c r="E3" s="621"/>
      <c r="F3" s="621"/>
      <c r="G3" s="621"/>
      <c r="H3" s="622"/>
      <c r="I3" s="622"/>
      <c r="J3" s="685" t="str">
        <f>IFERROR(EPDInput[[#This Row],[Fossil Fuel A1-3 GWP (kgCO2e/FU)]]/EPDInput[[#This Row],[Mass (kg/FU)]],"-")</f>
        <v>-</v>
      </c>
      <c r="K3" s="622"/>
      <c r="L3" s="685" t="str">
        <f>IFERROR(EPDInput[[#This Row],[Sequestration per FU]]/EPDInput[[#This Row],[Mass (kg/FU)]],"-")</f>
        <v>-</v>
      </c>
      <c r="M3" s="686">
        <f>G3</f>
        <v>0</v>
      </c>
      <c r="N3" s="687" t="str">
        <f>IFERROR(VLOOKUP(EPDInput[[#This Row],[EPD Type]],DataQuality[], 2, FALSE),"-")</f>
        <v>-</v>
      </c>
      <c r="O3" s="385"/>
      <c r="Q3" s="859" t="s">
        <v>1333</v>
      </c>
      <c r="R3" s="859"/>
      <c r="S3" s="859"/>
      <c r="T3" s="859"/>
      <c r="U3" s="859"/>
      <c r="V3" s="859"/>
      <c r="W3" s="859"/>
      <c r="X3" s="859"/>
    </row>
    <row r="4" spans="2:24" ht="14.4" x14ac:dyDescent="0.3">
      <c r="B4" s="385" t="s">
        <v>1498</v>
      </c>
      <c r="C4" s="621"/>
      <c r="D4" s="621"/>
      <c r="E4" s="621"/>
      <c r="F4" s="621"/>
      <c r="G4" s="621"/>
      <c r="H4" s="622"/>
      <c r="I4" s="622"/>
      <c r="J4" s="685" t="str">
        <f>IFERROR(EPDInput[[#This Row],[Fossil Fuel A1-3 GWP (kgCO2e/FU)]]/EPDInput[[#This Row],[Mass (kg/FU)]],"-")</f>
        <v>-</v>
      </c>
      <c r="K4" s="622"/>
      <c r="L4" s="685" t="str">
        <f>IFERROR(EPDInput[[#This Row],[Sequestration per FU]]/EPDInput[[#This Row],[Mass (kg/FU)]],"-")</f>
        <v>-</v>
      </c>
      <c r="M4" s="686">
        <f t="shared" ref="M4:M36" si="0">G4</f>
        <v>0</v>
      </c>
      <c r="N4" s="687" t="str">
        <f>IFERROR(VLOOKUP(EPDInput[[#This Row],[EPD Type]],DataQuality[], 2, FALSE),"-")</f>
        <v>-</v>
      </c>
      <c r="O4" s="385"/>
      <c r="Q4" s="859"/>
      <c r="R4" s="859"/>
      <c r="S4" s="859"/>
      <c r="T4" s="859"/>
      <c r="U4" s="859"/>
      <c r="V4" s="859"/>
      <c r="W4" s="859"/>
      <c r="X4" s="859"/>
    </row>
    <row r="5" spans="2:24" ht="14.4" x14ac:dyDescent="0.3">
      <c r="B5" s="385" t="s">
        <v>1499</v>
      </c>
      <c r="C5" s="621"/>
      <c r="D5" s="621"/>
      <c r="E5" s="621"/>
      <c r="F5" s="621"/>
      <c r="G5" s="621"/>
      <c r="H5" s="622"/>
      <c r="I5" s="622"/>
      <c r="J5" s="685" t="str">
        <f>IFERROR(EPDInput[[#This Row],[Fossil Fuel A1-3 GWP (kgCO2e/FU)]]/EPDInput[[#This Row],[Mass (kg/FU)]],"-")</f>
        <v>-</v>
      </c>
      <c r="K5" s="622"/>
      <c r="L5" s="685" t="str">
        <f>IFERROR(EPDInput[[#This Row],[Sequestration per FU]]/EPDInput[[#This Row],[Mass (kg/FU)]],"-")</f>
        <v>-</v>
      </c>
      <c r="M5" s="686">
        <f t="shared" si="0"/>
        <v>0</v>
      </c>
      <c r="N5" s="687" t="str">
        <f>IFERROR(VLOOKUP(EPDInput[[#This Row],[EPD Type]],DataQuality[], 2, FALSE),"-")</f>
        <v>-</v>
      </c>
      <c r="O5" s="385"/>
      <c r="Q5" s="859" t="s">
        <v>1329</v>
      </c>
      <c r="R5" s="859"/>
      <c r="S5" s="859"/>
      <c r="T5" s="859"/>
      <c r="U5" s="859"/>
      <c r="V5" s="859"/>
      <c r="W5" s="859"/>
      <c r="X5" s="859"/>
    </row>
    <row r="6" spans="2:24" ht="14.4" x14ac:dyDescent="0.3">
      <c r="B6" s="385" t="s">
        <v>1500</v>
      </c>
      <c r="C6" s="621"/>
      <c r="D6" s="621"/>
      <c r="E6" s="621"/>
      <c r="F6" s="621"/>
      <c r="G6" s="621"/>
      <c r="H6" s="622"/>
      <c r="I6" s="622"/>
      <c r="J6" s="685" t="str">
        <f>IFERROR(EPDInput[[#This Row],[Fossil Fuel A1-3 GWP (kgCO2e/FU)]]/EPDInput[[#This Row],[Mass (kg/FU)]],"-")</f>
        <v>-</v>
      </c>
      <c r="K6" s="622"/>
      <c r="L6" s="685" t="str">
        <f>IFERROR(EPDInput[[#This Row],[Sequestration per FU]]/EPDInput[[#This Row],[Mass (kg/FU)]],"-")</f>
        <v>-</v>
      </c>
      <c r="M6" s="686">
        <f t="shared" si="0"/>
        <v>0</v>
      </c>
      <c r="N6" s="687" t="str">
        <f>IFERROR(VLOOKUP(EPDInput[[#This Row],[EPD Type]],DataQuality[], 2, FALSE),"-")</f>
        <v>-</v>
      </c>
      <c r="O6" s="385"/>
      <c r="Q6" s="859"/>
      <c r="R6" s="859"/>
      <c r="S6" s="859"/>
      <c r="T6" s="859"/>
      <c r="U6" s="859"/>
      <c r="V6" s="859"/>
      <c r="W6" s="859"/>
      <c r="X6" s="859"/>
    </row>
    <row r="7" spans="2:24" ht="14.4" x14ac:dyDescent="0.3">
      <c r="B7" s="385" t="s">
        <v>1501</v>
      </c>
      <c r="C7" s="621"/>
      <c r="D7" s="621"/>
      <c r="E7" s="621"/>
      <c r="F7" s="621"/>
      <c r="G7" s="621"/>
      <c r="H7" s="622"/>
      <c r="I7" s="622"/>
      <c r="J7" s="685" t="str">
        <f>IFERROR(EPDInput[[#This Row],[Fossil Fuel A1-3 GWP (kgCO2e/FU)]]/EPDInput[[#This Row],[Mass (kg/FU)]],"-")</f>
        <v>-</v>
      </c>
      <c r="K7" s="622"/>
      <c r="L7" s="685" t="str">
        <f>IFERROR(EPDInput[[#This Row],[Sequestration per FU]]/EPDInput[[#This Row],[Mass (kg/FU)]],"-")</f>
        <v>-</v>
      </c>
      <c r="M7" s="686">
        <f t="shared" si="0"/>
        <v>0</v>
      </c>
      <c r="N7" s="687" t="str">
        <f>IFERROR(VLOOKUP(EPDInput[[#This Row],[EPD Type]],DataQuality[], 2, FALSE),"-")</f>
        <v>-</v>
      </c>
      <c r="O7" s="385"/>
      <c r="Q7" s="859" t="s">
        <v>1330</v>
      </c>
      <c r="R7" s="859"/>
      <c r="S7" s="859"/>
      <c r="T7" s="859"/>
      <c r="U7" s="859"/>
      <c r="V7" s="859"/>
      <c r="W7" s="859"/>
      <c r="X7" s="859"/>
    </row>
    <row r="8" spans="2:24" ht="14.4" x14ac:dyDescent="0.3">
      <c r="B8" s="385" t="s">
        <v>1502</v>
      </c>
      <c r="C8" s="621"/>
      <c r="D8" s="621"/>
      <c r="E8" s="621"/>
      <c r="F8" s="621"/>
      <c r="G8" s="621"/>
      <c r="H8" s="622"/>
      <c r="I8" s="622"/>
      <c r="J8" s="685" t="str">
        <f>IFERROR(EPDInput[[#This Row],[Fossil Fuel A1-3 GWP (kgCO2e/FU)]]/EPDInput[[#This Row],[Mass (kg/FU)]],"-")</f>
        <v>-</v>
      </c>
      <c r="K8" s="622"/>
      <c r="L8" s="685" t="str">
        <f>IFERROR(EPDInput[[#This Row],[Sequestration per FU]]/EPDInput[[#This Row],[Mass (kg/FU)]],"-")</f>
        <v>-</v>
      </c>
      <c r="M8" s="686">
        <f t="shared" si="0"/>
        <v>0</v>
      </c>
      <c r="N8" s="687" t="str">
        <f>IFERROR(VLOOKUP(EPDInput[[#This Row],[EPD Type]],DataQuality[], 2, FALSE),"-")</f>
        <v>-</v>
      </c>
      <c r="O8" s="385"/>
      <c r="Q8" s="859"/>
      <c r="R8" s="859"/>
      <c r="S8" s="859"/>
      <c r="T8" s="859"/>
      <c r="U8" s="859"/>
      <c r="V8" s="859"/>
      <c r="W8" s="859"/>
      <c r="X8" s="859"/>
    </row>
    <row r="9" spans="2:24" ht="13.95" customHeight="1" x14ac:dyDescent="0.3">
      <c r="B9" s="385" t="s">
        <v>1492</v>
      </c>
      <c r="C9" s="621"/>
      <c r="D9" s="621"/>
      <c r="E9" s="621"/>
      <c r="F9" s="621"/>
      <c r="G9" s="621"/>
      <c r="H9" s="622"/>
      <c r="I9" s="622"/>
      <c r="J9" s="685" t="str">
        <f>IFERROR(EPDInput[[#This Row],[Fossil Fuel A1-3 GWP (kgCO2e/FU)]]/EPDInput[[#This Row],[Mass (kg/FU)]],"-")</f>
        <v>-</v>
      </c>
      <c r="K9" s="622"/>
      <c r="L9" s="685" t="str">
        <f>IFERROR(EPDInput[[#This Row],[Sequestration per FU]]/EPDInput[[#This Row],[Mass (kg/FU)]],"-")</f>
        <v>-</v>
      </c>
      <c r="M9" s="686">
        <f t="shared" si="0"/>
        <v>0</v>
      </c>
      <c r="N9" s="687" t="str">
        <f>IFERROR(VLOOKUP(EPDInput[[#This Row],[EPD Type]],DataQuality[], 2, FALSE),"-")</f>
        <v>-</v>
      </c>
      <c r="O9" s="385"/>
      <c r="Q9" s="859" t="s">
        <v>1332</v>
      </c>
      <c r="R9" s="859"/>
      <c r="S9" s="859"/>
      <c r="T9" s="859"/>
      <c r="U9" s="859"/>
      <c r="V9" s="859"/>
      <c r="W9" s="859"/>
      <c r="X9" s="859"/>
    </row>
    <row r="10" spans="2:24" ht="13.95" customHeight="1" x14ac:dyDescent="0.3">
      <c r="B10" s="385" t="s">
        <v>1493</v>
      </c>
      <c r="C10" s="621"/>
      <c r="D10" s="621"/>
      <c r="E10" s="621"/>
      <c r="F10" s="621"/>
      <c r="G10" s="621"/>
      <c r="H10" s="622"/>
      <c r="I10" s="622"/>
      <c r="J10" s="685" t="str">
        <f>IFERROR(EPDInput[[#This Row],[Fossil Fuel A1-3 GWP (kgCO2e/FU)]]/EPDInput[[#This Row],[Mass (kg/FU)]],"-")</f>
        <v>-</v>
      </c>
      <c r="K10" s="622"/>
      <c r="L10" s="685" t="str">
        <f>IFERROR(EPDInput[[#This Row],[Sequestration per FU]]/EPDInput[[#This Row],[Mass (kg/FU)]],"-")</f>
        <v>-</v>
      </c>
      <c r="M10" s="686">
        <f t="shared" si="0"/>
        <v>0</v>
      </c>
      <c r="N10" s="687" t="str">
        <f>IFERROR(VLOOKUP(EPDInput[[#This Row],[EPD Type]],DataQuality[], 2, FALSE),"-")</f>
        <v>-</v>
      </c>
      <c r="O10" s="385"/>
      <c r="Q10" s="859"/>
      <c r="R10" s="859"/>
      <c r="S10" s="859"/>
      <c r="T10" s="859"/>
      <c r="U10" s="859"/>
      <c r="V10" s="859"/>
      <c r="W10" s="859"/>
      <c r="X10" s="859"/>
    </row>
    <row r="11" spans="2:24" ht="13.95" customHeight="1" x14ac:dyDescent="0.3">
      <c r="B11" s="385" t="s">
        <v>1494</v>
      </c>
      <c r="C11" s="621"/>
      <c r="D11" s="621"/>
      <c r="E11" s="621"/>
      <c r="F11" s="621"/>
      <c r="G11" s="621"/>
      <c r="H11" s="622"/>
      <c r="I11" s="622"/>
      <c r="J11" s="685" t="str">
        <f>IFERROR(EPDInput[[#This Row],[Fossil Fuel A1-3 GWP (kgCO2e/FU)]]/EPDInput[[#This Row],[Mass (kg/FU)]],"-")</f>
        <v>-</v>
      </c>
      <c r="K11" s="622"/>
      <c r="L11" s="685" t="str">
        <f>IFERROR(EPDInput[[#This Row],[Sequestration per FU]]/EPDInput[[#This Row],[Mass (kg/FU)]],"-")</f>
        <v>-</v>
      </c>
      <c r="M11" s="686">
        <f t="shared" si="0"/>
        <v>0</v>
      </c>
      <c r="N11" s="687" t="str">
        <f>IFERROR(VLOOKUP(EPDInput[[#This Row],[EPD Type]],DataQuality[], 2, FALSE),"-")</f>
        <v>-</v>
      </c>
      <c r="O11" s="385"/>
      <c r="Q11" s="859" t="s">
        <v>1331</v>
      </c>
      <c r="R11" s="859"/>
      <c r="S11" s="859"/>
      <c r="T11" s="859"/>
      <c r="U11" s="859"/>
      <c r="V11" s="859"/>
      <c r="W11" s="859"/>
      <c r="X11" s="859"/>
    </row>
    <row r="12" spans="2:24" ht="13.95" customHeight="1" x14ac:dyDescent="0.3">
      <c r="B12" s="385" t="s">
        <v>1477</v>
      </c>
      <c r="C12" s="621"/>
      <c r="D12" s="621"/>
      <c r="E12" s="621"/>
      <c r="F12" s="621"/>
      <c r="G12" s="621"/>
      <c r="H12" s="622"/>
      <c r="I12" s="622"/>
      <c r="J12" s="685" t="str">
        <f>IFERROR(EPDInput[[#This Row],[Fossil Fuel A1-3 GWP (kgCO2e/FU)]]/EPDInput[[#This Row],[Mass (kg/FU)]],"-")</f>
        <v>-</v>
      </c>
      <c r="K12" s="622"/>
      <c r="L12" s="685" t="str">
        <f>IFERROR(EPDInput[[#This Row],[Sequestration per FU]]/EPDInput[[#This Row],[Mass (kg/FU)]],"-")</f>
        <v>-</v>
      </c>
      <c r="M12" s="686">
        <f t="shared" si="0"/>
        <v>0</v>
      </c>
      <c r="N12" s="687" t="str">
        <f>IFERROR(VLOOKUP(EPDInput[[#This Row],[EPD Type]],DataQuality[], 2, FALSE),"-")</f>
        <v>-</v>
      </c>
      <c r="O12" s="385"/>
      <c r="Q12" s="859"/>
      <c r="R12" s="859"/>
      <c r="S12" s="859"/>
      <c r="T12" s="859"/>
      <c r="U12" s="859"/>
      <c r="V12" s="859"/>
      <c r="W12" s="859"/>
      <c r="X12" s="859"/>
    </row>
    <row r="13" spans="2:24" ht="14.4" x14ac:dyDescent="0.3">
      <c r="B13" s="385" t="s">
        <v>883</v>
      </c>
      <c r="C13" s="621"/>
      <c r="D13" s="621"/>
      <c r="E13" s="621"/>
      <c r="F13" s="621"/>
      <c r="G13" s="621"/>
      <c r="H13" s="622"/>
      <c r="I13" s="622"/>
      <c r="J13" s="685" t="str">
        <f>IFERROR(EPDInput[[#This Row],[Fossil Fuel A1-3 GWP (kgCO2e/FU)]]/EPDInput[[#This Row],[Mass (kg/FU)]],"-")</f>
        <v>-</v>
      </c>
      <c r="K13" s="622"/>
      <c r="L13" s="685" t="str">
        <f>IFERROR(EPDInput[[#This Row],[Sequestration per FU]]/EPDInput[[#This Row],[Mass (kg/FU)]],"-")</f>
        <v>-</v>
      </c>
      <c r="M13" s="686">
        <f t="shared" si="0"/>
        <v>0</v>
      </c>
      <c r="N13" s="687" t="str">
        <f>IFERROR(VLOOKUP(EPDInput[[#This Row],[EPD Type]],DataQuality[], 2, FALSE),"-")</f>
        <v>-</v>
      </c>
      <c r="O13" s="385"/>
      <c r="Q13" s="859" t="s">
        <v>1334</v>
      </c>
      <c r="R13" s="859"/>
      <c r="S13" s="859"/>
      <c r="T13" s="859"/>
      <c r="U13" s="859"/>
      <c r="V13" s="859"/>
      <c r="W13" s="859"/>
      <c r="X13" s="859"/>
    </row>
    <row r="14" spans="2:24" ht="14.4" x14ac:dyDescent="0.3">
      <c r="B14" s="385" t="s">
        <v>884</v>
      </c>
      <c r="C14" s="621"/>
      <c r="D14" s="621"/>
      <c r="E14" s="621"/>
      <c r="F14" s="621"/>
      <c r="G14" s="621"/>
      <c r="H14" s="622"/>
      <c r="I14" s="622"/>
      <c r="J14" s="685" t="str">
        <f>IFERROR(EPDInput[[#This Row],[Fossil Fuel A1-3 GWP (kgCO2e/FU)]]/EPDInput[[#This Row],[Mass (kg/FU)]],"-")</f>
        <v>-</v>
      </c>
      <c r="K14" s="622"/>
      <c r="L14" s="685" t="str">
        <f>IFERROR(EPDInput[[#This Row],[Sequestration per FU]]/EPDInput[[#This Row],[Mass (kg/FU)]],"-")</f>
        <v>-</v>
      </c>
      <c r="M14" s="686">
        <f t="shared" si="0"/>
        <v>0</v>
      </c>
      <c r="N14" s="687" t="str">
        <f>IFERROR(VLOOKUP(EPDInput[[#This Row],[EPD Type]],DataQuality[], 2, FALSE),"-")</f>
        <v>-</v>
      </c>
      <c r="O14" s="385"/>
      <c r="Q14" s="859"/>
      <c r="R14" s="859"/>
      <c r="S14" s="859"/>
      <c r="T14" s="859"/>
      <c r="U14" s="859"/>
      <c r="V14" s="859"/>
      <c r="W14" s="859"/>
      <c r="X14" s="859"/>
    </row>
    <row r="15" spans="2:24" ht="14.4" x14ac:dyDescent="0.3">
      <c r="B15" s="385" t="s">
        <v>885</v>
      </c>
      <c r="C15" s="621"/>
      <c r="D15" s="621"/>
      <c r="E15" s="621"/>
      <c r="F15" s="621"/>
      <c r="G15" s="621"/>
      <c r="H15" s="622"/>
      <c r="I15" s="622"/>
      <c r="J15" s="685" t="str">
        <f>IFERROR(EPDInput[[#This Row],[Fossil Fuel A1-3 GWP (kgCO2e/FU)]]/EPDInput[[#This Row],[Mass (kg/FU)]],"-")</f>
        <v>-</v>
      </c>
      <c r="K15" s="622"/>
      <c r="L15" s="685" t="str">
        <f>IFERROR(EPDInput[[#This Row],[Sequestration per FU]]/EPDInput[[#This Row],[Mass (kg/FU)]],"-")</f>
        <v>-</v>
      </c>
      <c r="M15" s="686">
        <f t="shared" si="0"/>
        <v>0</v>
      </c>
      <c r="N15" s="687" t="str">
        <f>IFERROR(VLOOKUP(EPDInput[[#This Row],[EPD Type]],DataQuality[], 2, FALSE),"-")</f>
        <v>-</v>
      </c>
      <c r="O15" s="385"/>
      <c r="Q15" s="859" t="s">
        <v>1336</v>
      </c>
      <c r="R15" s="859"/>
      <c r="S15" s="859"/>
      <c r="T15" s="859"/>
      <c r="U15" s="859"/>
      <c r="V15" s="859"/>
      <c r="W15" s="859"/>
      <c r="X15" s="859"/>
    </row>
    <row r="16" spans="2:24" ht="14.4" x14ac:dyDescent="0.3">
      <c r="B16" s="385" t="s">
        <v>886</v>
      </c>
      <c r="C16" s="621"/>
      <c r="D16" s="621"/>
      <c r="E16" s="621"/>
      <c r="F16" s="621"/>
      <c r="G16" s="621"/>
      <c r="H16" s="622"/>
      <c r="I16" s="622"/>
      <c r="J16" s="685" t="str">
        <f>IFERROR(EPDInput[[#This Row],[Fossil Fuel A1-3 GWP (kgCO2e/FU)]]/EPDInput[[#This Row],[Mass (kg/FU)]],"-")</f>
        <v>-</v>
      </c>
      <c r="K16" s="622"/>
      <c r="L16" s="685" t="str">
        <f>IFERROR(EPDInput[[#This Row],[Sequestration per FU]]/EPDInput[[#This Row],[Mass (kg/FU)]],"-")</f>
        <v>-</v>
      </c>
      <c r="M16" s="686">
        <f t="shared" si="0"/>
        <v>0</v>
      </c>
      <c r="N16" s="687" t="str">
        <f>IFERROR(VLOOKUP(EPDInput[[#This Row],[EPD Type]],DataQuality[], 2, FALSE),"-")</f>
        <v>-</v>
      </c>
      <c r="O16" s="385"/>
      <c r="Q16" s="859"/>
      <c r="R16" s="859"/>
      <c r="S16" s="859"/>
      <c r="T16" s="859"/>
      <c r="U16" s="859"/>
      <c r="V16" s="859"/>
      <c r="W16" s="859"/>
      <c r="X16" s="859"/>
    </row>
    <row r="17" spans="2:24" ht="14.4" x14ac:dyDescent="0.3">
      <c r="B17" s="385" t="s">
        <v>887</v>
      </c>
      <c r="C17" s="621"/>
      <c r="D17" s="621"/>
      <c r="E17" s="621"/>
      <c r="F17" s="621"/>
      <c r="G17" s="621"/>
      <c r="H17" s="622"/>
      <c r="I17" s="622"/>
      <c r="J17" s="685" t="str">
        <f>IFERROR(EPDInput[[#This Row],[Fossil Fuel A1-3 GWP (kgCO2e/FU)]]/EPDInput[[#This Row],[Mass (kg/FU)]],"-")</f>
        <v>-</v>
      </c>
      <c r="K17" s="622"/>
      <c r="L17" s="685" t="str">
        <f>IFERROR(EPDInput[[#This Row],[Sequestration per FU]]/EPDInput[[#This Row],[Mass (kg/FU)]],"-")</f>
        <v>-</v>
      </c>
      <c r="M17" s="686">
        <f t="shared" si="0"/>
        <v>0</v>
      </c>
      <c r="N17" s="687" t="str">
        <f>IFERROR(VLOOKUP(EPDInput[[#This Row],[EPD Type]],DataQuality[], 2, FALSE),"-")</f>
        <v>-</v>
      </c>
      <c r="O17" s="385"/>
      <c r="Q17" s="859" t="s">
        <v>1337</v>
      </c>
      <c r="R17" s="859"/>
      <c r="S17" s="859"/>
      <c r="T17" s="859"/>
      <c r="U17" s="859"/>
      <c r="V17" s="859"/>
      <c r="W17" s="859"/>
      <c r="X17" s="859"/>
    </row>
    <row r="18" spans="2:24" ht="14.4" x14ac:dyDescent="0.3">
      <c r="B18" s="385" t="s">
        <v>888</v>
      </c>
      <c r="C18" s="621"/>
      <c r="D18" s="621"/>
      <c r="E18" s="621"/>
      <c r="F18" s="621"/>
      <c r="G18" s="621"/>
      <c r="H18" s="622"/>
      <c r="I18" s="622"/>
      <c r="J18" s="685" t="str">
        <f>IFERROR(EPDInput[[#This Row],[Fossil Fuel A1-3 GWP (kgCO2e/FU)]]/EPDInput[[#This Row],[Mass (kg/FU)]],"-")</f>
        <v>-</v>
      </c>
      <c r="K18" s="622"/>
      <c r="L18" s="685" t="str">
        <f>IFERROR(EPDInput[[#This Row],[Sequestration per FU]]/EPDInput[[#This Row],[Mass (kg/FU)]],"-")</f>
        <v>-</v>
      </c>
      <c r="M18" s="686">
        <f t="shared" si="0"/>
        <v>0</v>
      </c>
      <c r="N18" s="687" t="str">
        <f>IFERROR(VLOOKUP(EPDInput[[#This Row],[EPD Type]],DataQuality[], 2, FALSE),"-")</f>
        <v>-</v>
      </c>
      <c r="O18" s="385"/>
      <c r="Q18" s="859"/>
      <c r="R18" s="859"/>
      <c r="S18" s="859"/>
      <c r="T18" s="859"/>
      <c r="U18" s="859"/>
      <c r="V18" s="859"/>
      <c r="W18" s="859"/>
      <c r="X18" s="859"/>
    </row>
    <row r="19" spans="2:24" ht="14.4" x14ac:dyDescent="0.3">
      <c r="B19" s="385" t="s">
        <v>889</v>
      </c>
      <c r="C19" s="621"/>
      <c r="D19" s="621"/>
      <c r="E19" s="621"/>
      <c r="F19" s="621"/>
      <c r="G19" s="621"/>
      <c r="H19" s="622"/>
      <c r="I19" s="622"/>
      <c r="J19" s="685" t="str">
        <f>IFERROR(EPDInput[[#This Row],[Fossil Fuel A1-3 GWP (kgCO2e/FU)]]/EPDInput[[#This Row],[Mass (kg/FU)]],"-")</f>
        <v>-</v>
      </c>
      <c r="K19" s="622"/>
      <c r="L19" s="685" t="str">
        <f>IFERROR(EPDInput[[#This Row],[Sequestration per FU]]/EPDInput[[#This Row],[Mass (kg/FU)]],"-")</f>
        <v>-</v>
      </c>
      <c r="M19" s="686">
        <f t="shared" si="0"/>
        <v>0</v>
      </c>
      <c r="N19" s="687" t="str">
        <f>IFERROR(VLOOKUP(EPDInput[[#This Row],[EPD Type]],DataQuality[], 2, FALSE),"-")</f>
        <v>-</v>
      </c>
      <c r="O19" s="385"/>
      <c r="Q19" s="859" t="s">
        <v>1338</v>
      </c>
      <c r="R19" s="859"/>
      <c r="S19" s="859"/>
      <c r="T19" s="859"/>
      <c r="U19" s="859"/>
      <c r="V19" s="859"/>
      <c r="W19" s="859"/>
      <c r="X19" s="859"/>
    </row>
    <row r="20" spans="2:24" ht="14.4" x14ac:dyDescent="0.3">
      <c r="B20" s="385" t="s">
        <v>890</v>
      </c>
      <c r="C20" s="621"/>
      <c r="D20" s="621"/>
      <c r="E20" s="621"/>
      <c r="F20" s="621"/>
      <c r="G20" s="621"/>
      <c r="H20" s="622"/>
      <c r="I20" s="622"/>
      <c r="J20" s="685" t="str">
        <f>IFERROR(EPDInput[[#This Row],[Fossil Fuel A1-3 GWP (kgCO2e/FU)]]/EPDInput[[#This Row],[Mass (kg/FU)]],"-")</f>
        <v>-</v>
      </c>
      <c r="K20" s="622"/>
      <c r="L20" s="685" t="str">
        <f>IFERROR(EPDInput[[#This Row],[Sequestration per FU]]/EPDInput[[#This Row],[Mass (kg/FU)]],"-")</f>
        <v>-</v>
      </c>
      <c r="M20" s="686">
        <f t="shared" si="0"/>
        <v>0</v>
      </c>
      <c r="N20" s="687" t="str">
        <f>IFERROR(VLOOKUP(EPDInput[[#This Row],[EPD Type]],DataQuality[], 2, FALSE),"-")</f>
        <v>-</v>
      </c>
      <c r="O20" s="385"/>
      <c r="Q20" s="859" t="s">
        <v>1339</v>
      </c>
      <c r="R20" s="859"/>
      <c r="S20" s="859"/>
      <c r="T20" s="859"/>
      <c r="U20" s="859"/>
      <c r="V20" s="859"/>
      <c r="W20" s="859"/>
      <c r="X20" s="859"/>
    </row>
    <row r="21" spans="2:24" ht="14.4" x14ac:dyDescent="0.3">
      <c r="B21" s="385" t="s">
        <v>891</v>
      </c>
      <c r="C21" s="621"/>
      <c r="D21" s="621"/>
      <c r="E21" s="621"/>
      <c r="F21" s="621"/>
      <c r="G21" s="621"/>
      <c r="H21" s="622"/>
      <c r="I21" s="622"/>
      <c r="J21" s="685" t="str">
        <f>IFERROR(EPDInput[[#This Row],[Fossil Fuel A1-3 GWP (kgCO2e/FU)]]/EPDInput[[#This Row],[Mass (kg/FU)]],"-")</f>
        <v>-</v>
      </c>
      <c r="K21" s="622"/>
      <c r="L21" s="685" t="str">
        <f>IFERROR(EPDInput[[#This Row],[Sequestration per FU]]/EPDInput[[#This Row],[Mass (kg/FU)]],"-")</f>
        <v>-</v>
      </c>
      <c r="M21" s="686">
        <f t="shared" si="0"/>
        <v>0</v>
      </c>
      <c r="N21" s="687" t="str">
        <f>IFERROR(VLOOKUP(EPDInput[[#This Row],[EPD Type]],DataQuality[], 2, FALSE),"-")</f>
        <v>-</v>
      </c>
      <c r="O21" s="385"/>
      <c r="Q21" s="859"/>
      <c r="R21" s="859"/>
      <c r="S21" s="859"/>
      <c r="T21" s="859"/>
      <c r="U21" s="859"/>
      <c r="V21" s="859"/>
      <c r="W21" s="859"/>
      <c r="X21" s="859"/>
    </row>
    <row r="22" spans="2:24" ht="14.4" x14ac:dyDescent="0.3">
      <c r="B22" s="385" t="s">
        <v>892</v>
      </c>
      <c r="C22" s="621"/>
      <c r="D22" s="621"/>
      <c r="E22" s="621"/>
      <c r="F22" s="621"/>
      <c r="G22" s="621"/>
      <c r="H22" s="622"/>
      <c r="I22" s="622"/>
      <c r="J22" s="685" t="str">
        <f>IFERROR(EPDInput[[#This Row],[Fossil Fuel A1-3 GWP (kgCO2e/FU)]]/EPDInput[[#This Row],[Mass (kg/FU)]],"-")</f>
        <v>-</v>
      </c>
      <c r="K22" s="622"/>
      <c r="L22" s="685" t="str">
        <f>IFERROR(EPDInput[[#This Row],[Sequestration per FU]]/EPDInput[[#This Row],[Mass (kg/FU)]],"-")</f>
        <v>-</v>
      </c>
      <c r="M22" s="686">
        <f t="shared" si="0"/>
        <v>0</v>
      </c>
      <c r="N22" s="687" t="str">
        <f>IFERROR(VLOOKUP(EPDInput[[#This Row],[EPD Type]],DataQuality[], 2, FALSE),"-")</f>
        <v>-</v>
      </c>
      <c r="O22" s="385"/>
      <c r="Q22" s="859"/>
      <c r="R22" s="859"/>
      <c r="S22" s="859"/>
      <c r="T22" s="859"/>
      <c r="U22" s="859"/>
      <c r="V22" s="859"/>
      <c r="W22" s="859"/>
      <c r="X22" s="859"/>
    </row>
    <row r="23" spans="2:24" ht="14.4" x14ac:dyDescent="0.3">
      <c r="B23" s="385" t="s">
        <v>893</v>
      </c>
      <c r="C23" s="621"/>
      <c r="D23" s="621"/>
      <c r="E23" s="621"/>
      <c r="F23" s="621"/>
      <c r="G23" s="621"/>
      <c r="H23" s="622"/>
      <c r="I23" s="622"/>
      <c r="J23" s="685" t="str">
        <f>IFERROR(EPDInput[[#This Row],[Fossil Fuel A1-3 GWP (kgCO2e/FU)]]/EPDInput[[#This Row],[Mass (kg/FU)]],"-")</f>
        <v>-</v>
      </c>
      <c r="K23" s="622"/>
      <c r="L23" s="685" t="str">
        <f>IFERROR(EPDInput[[#This Row],[Sequestration per FU]]/EPDInput[[#This Row],[Mass (kg/FU)]],"-")</f>
        <v>-</v>
      </c>
      <c r="M23" s="686">
        <f t="shared" si="0"/>
        <v>0</v>
      </c>
      <c r="N23" s="687" t="str">
        <f>IFERROR(VLOOKUP(EPDInput[[#This Row],[EPD Type]],DataQuality[], 2, FALSE),"-")</f>
        <v>-</v>
      </c>
      <c r="O23" s="385"/>
    </row>
    <row r="24" spans="2:24" ht="14.4" x14ac:dyDescent="0.3">
      <c r="B24" s="385" t="s">
        <v>894</v>
      </c>
      <c r="C24" s="621"/>
      <c r="D24" s="621"/>
      <c r="E24" s="621"/>
      <c r="F24" s="621"/>
      <c r="G24" s="621"/>
      <c r="H24" s="622"/>
      <c r="I24" s="622"/>
      <c r="J24" s="685" t="str">
        <f>IFERROR(EPDInput[[#This Row],[Fossil Fuel A1-3 GWP (kgCO2e/FU)]]/EPDInput[[#This Row],[Mass (kg/FU)]],"-")</f>
        <v>-</v>
      </c>
      <c r="K24" s="622"/>
      <c r="L24" s="685" t="str">
        <f>IFERROR(EPDInput[[#This Row],[Sequestration per FU]]/EPDInput[[#This Row],[Mass (kg/FU)]],"-")</f>
        <v>-</v>
      </c>
      <c r="M24" s="686">
        <f t="shared" si="0"/>
        <v>0</v>
      </c>
      <c r="N24" s="687" t="str">
        <f>IFERROR(VLOOKUP(EPDInput[[#This Row],[EPD Type]],DataQuality[], 2, FALSE),"-")</f>
        <v>-</v>
      </c>
      <c r="O24" s="385"/>
      <c r="Q24" s="385"/>
      <c r="R24" s="396" t="s">
        <v>1309</v>
      </c>
    </row>
    <row r="25" spans="2:24" ht="14.4" x14ac:dyDescent="0.3">
      <c r="B25" s="385" t="s">
        <v>895</v>
      </c>
      <c r="C25" s="621"/>
      <c r="D25" s="621"/>
      <c r="E25" s="621"/>
      <c r="F25" s="621"/>
      <c r="G25" s="621"/>
      <c r="H25" s="622"/>
      <c r="I25" s="622"/>
      <c r="J25" s="685" t="str">
        <f>IFERROR(EPDInput[[#This Row],[Fossil Fuel A1-3 GWP (kgCO2e/FU)]]/EPDInput[[#This Row],[Mass (kg/FU)]],"-")</f>
        <v>-</v>
      </c>
      <c r="K25" s="622"/>
      <c r="L25" s="685" t="str">
        <f>IFERROR(EPDInput[[#This Row],[Sequestration per FU]]/EPDInput[[#This Row],[Mass (kg/FU)]],"-")</f>
        <v>-</v>
      </c>
      <c r="M25" s="686">
        <f t="shared" si="0"/>
        <v>0</v>
      </c>
      <c r="N25" s="687" t="str">
        <f>IFERROR(VLOOKUP(EPDInput[[#This Row],[EPD Type]],DataQuality[], 2, FALSE),"-")</f>
        <v>-</v>
      </c>
      <c r="O25" s="385"/>
      <c r="Q25" s="621"/>
      <c r="R25" s="396" t="s">
        <v>1310</v>
      </c>
    </row>
    <row r="26" spans="2:24" ht="14.4" x14ac:dyDescent="0.3">
      <c r="B26" s="385" t="s">
        <v>896</v>
      </c>
      <c r="C26" s="621"/>
      <c r="D26" s="621"/>
      <c r="E26" s="621"/>
      <c r="F26" s="621"/>
      <c r="G26" s="621"/>
      <c r="H26" s="622"/>
      <c r="I26" s="622"/>
      <c r="J26" s="685" t="str">
        <f>IFERROR(EPDInput[[#This Row],[Fossil Fuel A1-3 GWP (kgCO2e/FU)]]/EPDInput[[#This Row],[Mass (kg/FU)]],"-")</f>
        <v>-</v>
      </c>
      <c r="K26" s="622"/>
      <c r="L26" s="685" t="str">
        <f>IFERROR(EPDInput[[#This Row],[Sequestration per FU]]/EPDInput[[#This Row],[Mass (kg/FU)]],"-")</f>
        <v>-</v>
      </c>
      <c r="M26" s="686">
        <f t="shared" si="0"/>
        <v>0</v>
      </c>
      <c r="N26" s="687" t="str">
        <f>IFERROR(VLOOKUP(EPDInput[[#This Row],[EPD Type]],DataQuality[], 2, FALSE),"-")</f>
        <v>-</v>
      </c>
      <c r="O26" s="385"/>
      <c r="Q26" s="688"/>
      <c r="R26" s="396" t="s">
        <v>1319</v>
      </c>
    </row>
    <row r="27" spans="2:24" ht="14.4" x14ac:dyDescent="0.3">
      <c r="B27" s="385" t="s">
        <v>897</v>
      </c>
      <c r="C27" s="621"/>
      <c r="D27" s="621"/>
      <c r="E27" s="621"/>
      <c r="F27" s="621"/>
      <c r="G27" s="621"/>
      <c r="H27" s="622"/>
      <c r="I27" s="622"/>
      <c r="J27" s="685" t="str">
        <f>IFERROR(EPDInput[[#This Row],[Fossil Fuel A1-3 GWP (kgCO2e/FU)]]/EPDInput[[#This Row],[Mass (kg/FU)]],"-")</f>
        <v>-</v>
      </c>
      <c r="K27" s="622"/>
      <c r="L27" s="685" t="str">
        <f>IFERROR(EPDInput[[#This Row],[Sequestration per FU]]/EPDInput[[#This Row],[Mass (kg/FU)]],"-")</f>
        <v>-</v>
      </c>
      <c r="M27" s="686">
        <f t="shared" si="0"/>
        <v>0</v>
      </c>
      <c r="N27" s="687" t="str">
        <f>IFERROR(VLOOKUP(EPDInput[[#This Row],[EPD Type]],DataQuality[], 2, FALSE),"-")</f>
        <v>-</v>
      </c>
      <c r="O27" s="385"/>
    </row>
    <row r="28" spans="2:24" ht="14.4" x14ac:dyDescent="0.3">
      <c r="B28" s="385" t="s">
        <v>898</v>
      </c>
      <c r="C28" s="621"/>
      <c r="D28" s="621"/>
      <c r="E28" s="621"/>
      <c r="F28" s="621"/>
      <c r="G28" s="621"/>
      <c r="H28" s="622"/>
      <c r="I28" s="622"/>
      <c r="J28" s="685" t="str">
        <f>IFERROR(EPDInput[[#This Row],[Fossil Fuel A1-3 GWP (kgCO2e/FU)]]/EPDInput[[#This Row],[Mass (kg/FU)]],"-")</f>
        <v>-</v>
      </c>
      <c r="K28" s="622"/>
      <c r="L28" s="685" t="str">
        <f>IFERROR(EPDInput[[#This Row],[Sequestration per FU]]/EPDInput[[#This Row],[Mass (kg/FU)]],"-")</f>
        <v>-</v>
      </c>
      <c r="M28" s="686">
        <f t="shared" si="0"/>
        <v>0</v>
      </c>
      <c r="N28" s="687" t="str">
        <f>IFERROR(VLOOKUP(EPDInput[[#This Row],[EPD Type]],DataQuality[], 2, FALSE),"-")</f>
        <v>-</v>
      </c>
      <c r="O28" s="385"/>
    </row>
    <row r="29" spans="2:24" ht="14.4" x14ac:dyDescent="0.3">
      <c r="B29" s="385" t="s">
        <v>899</v>
      </c>
      <c r="C29" s="621"/>
      <c r="D29" s="621"/>
      <c r="E29" s="621"/>
      <c r="F29" s="621"/>
      <c r="G29" s="621"/>
      <c r="H29" s="622"/>
      <c r="I29" s="622"/>
      <c r="J29" s="685" t="str">
        <f>IFERROR(EPDInput[[#This Row],[Fossil Fuel A1-3 GWP (kgCO2e/FU)]]/EPDInput[[#This Row],[Mass (kg/FU)]],"-")</f>
        <v>-</v>
      </c>
      <c r="K29" s="622"/>
      <c r="L29" s="685" t="str">
        <f>IFERROR(EPDInput[[#This Row],[Sequestration per FU]]/EPDInput[[#This Row],[Mass (kg/FU)]],"-")</f>
        <v>-</v>
      </c>
      <c r="M29" s="686">
        <f t="shared" si="0"/>
        <v>0</v>
      </c>
      <c r="N29" s="687" t="str">
        <f>IFERROR(VLOOKUP(EPDInput[[#This Row],[EPD Type]],DataQuality[], 2, FALSE),"-")</f>
        <v>-</v>
      </c>
      <c r="O29" s="385"/>
    </row>
    <row r="30" spans="2:24" ht="14.4" x14ac:dyDescent="0.3">
      <c r="B30" s="385" t="s">
        <v>900</v>
      </c>
      <c r="C30" s="621"/>
      <c r="D30" s="621"/>
      <c r="E30" s="621"/>
      <c r="F30" s="621"/>
      <c r="G30" s="621"/>
      <c r="H30" s="622"/>
      <c r="I30" s="622"/>
      <c r="J30" s="685" t="str">
        <f>IFERROR(EPDInput[[#This Row],[Fossil Fuel A1-3 GWP (kgCO2e/FU)]]/EPDInput[[#This Row],[Mass (kg/FU)]],"-")</f>
        <v>-</v>
      </c>
      <c r="K30" s="622"/>
      <c r="L30" s="685" t="str">
        <f>IFERROR(EPDInput[[#This Row],[Sequestration per FU]]/EPDInput[[#This Row],[Mass (kg/FU)]],"-")</f>
        <v>-</v>
      </c>
      <c r="M30" s="686">
        <f t="shared" si="0"/>
        <v>0</v>
      </c>
      <c r="N30" s="687" t="str">
        <f>IFERROR(VLOOKUP(EPDInput[[#This Row],[EPD Type]],DataQuality[], 2, FALSE),"-")</f>
        <v>-</v>
      </c>
      <c r="O30" s="385"/>
    </row>
    <row r="31" spans="2:24" ht="14.4" x14ac:dyDescent="0.3">
      <c r="B31" s="385" t="s">
        <v>901</v>
      </c>
      <c r="C31" s="621"/>
      <c r="D31" s="621"/>
      <c r="E31" s="621"/>
      <c r="F31" s="621"/>
      <c r="G31" s="621"/>
      <c r="H31" s="622"/>
      <c r="I31" s="622"/>
      <c r="J31" s="685" t="str">
        <f>IFERROR(EPDInput[[#This Row],[Fossil Fuel A1-3 GWP (kgCO2e/FU)]]/EPDInput[[#This Row],[Mass (kg/FU)]],"-")</f>
        <v>-</v>
      </c>
      <c r="K31" s="622"/>
      <c r="L31" s="685" t="str">
        <f>IFERROR(EPDInput[[#This Row],[Sequestration per FU]]/EPDInput[[#This Row],[Mass (kg/FU)]],"-")</f>
        <v>-</v>
      </c>
      <c r="M31" s="686">
        <f t="shared" si="0"/>
        <v>0</v>
      </c>
      <c r="N31" s="687" t="str">
        <f>IFERROR(VLOOKUP(EPDInput[[#This Row],[EPD Type]],DataQuality[], 2, FALSE),"-")</f>
        <v>-</v>
      </c>
      <c r="O31" s="385"/>
    </row>
    <row r="32" spans="2:24" ht="14.4" x14ac:dyDescent="0.3">
      <c r="B32" s="385" t="s">
        <v>902</v>
      </c>
      <c r="C32" s="621"/>
      <c r="D32" s="621"/>
      <c r="E32" s="621"/>
      <c r="F32" s="621"/>
      <c r="G32" s="621"/>
      <c r="H32" s="622"/>
      <c r="I32" s="622"/>
      <c r="J32" s="685" t="str">
        <f>IFERROR(EPDInput[[#This Row],[Fossil Fuel A1-3 GWP (kgCO2e/FU)]]/EPDInput[[#This Row],[Mass (kg/FU)]],"-")</f>
        <v>-</v>
      </c>
      <c r="K32" s="622"/>
      <c r="L32" s="685" t="str">
        <f>IFERROR(EPDInput[[#This Row],[Sequestration per FU]]/EPDInput[[#This Row],[Mass (kg/FU)]],"-")</f>
        <v>-</v>
      </c>
      <c r="M32" s="686">
        <f t="shared" si="0"/>
        <v>0</v>
      </c>
      <c r="N32" s="687" t="str">
        <f>IFERROR(VLOOKUP(EPDInput[[#This Row],[EPD Type]],DataQuality[], 2, FALSE),"-")</f>
        <v>-</v>
      </c>
      <c r="O32" s="385"/>
    </row>
    <row r="33" spans="2:15" ht="14.4" x14ac:dyDescent="0.3">
      <c r="B33" s="385" t="s">
        <v>903</v>
      </c>
      <c r="C33" s="621"/>
      <c r="D33" s="621"/>
      <c r="E33" s="621"/>
      <c r="F33" s="621"/>
      <c r="G33" s="621"/>
      <c r="H33" s="622"/>
      <c r="I33" s="622"/>
      <c r="J33" s="685" t="str">
        <f>IFERROR(EPDInput[[#This Row],[Fossil Fuel A1-3 GWP (kgCO2e/FU)]]/EPDInput[[#This Row],[Mass (kg/FU)]],"-")</f>
        <v>-</v>
      </c>
      <c r="K33" s="622"/>
      <c r="L33" s="685" t="str">
        <f>IFERROR(EPDInput[[#This Row],[Sequestration per FU]]/EPDInput[[#This Row],[Mass (kg/FU)]],"-")</f>
        <v>-</v>
      </c>
      <c r="M33" s="686">
        <f t="shared" si="0"/>
        <v>0</v>
      </c>
      <c r="N33" s="687" t="str">
        <f>IFERROR(VLOOKUP(EPDInput[[#This Row],[EPD Type]],DataQuality[], 2, FALSE),"-")</f>
        <v>-</v>
      </c>
      <c r="O33" s="385"/>
    </row>
    <row r="34" spans="2:15" ht="14.4" x14ac:dyDescent="0.3">
      <c r="B34" s="385" t="s">
        <v>904</v>
      </c>
      <c r="C34" s="621"/>
      <c r="D34" s="621"/>
      <c r="E34" s="621"/>
      <c r="F34" s="621"/>
      <c r="G34" s="621"/>
      <c r="H34" s="622"/>
      <c r="I34" s="622"/>
      <c r="J34" s="685" t="str">
        <f>IFERROR(EPDInput[[#This Row],[Fossil Fuel A1-3 GWP (kgCO2e/FU)]]/EPDInput[[#This Row],[Mass (kg/FU)]],"-")</f>
        <v>-</v>
      </c>
      <c r="K34" s="622"/>
      <c r="L34" s="685" t="str">
        <f>IFERROR(EPDInput[[#This Row],[Sequestration per FU]]/EPDInput[[#This Row],[Mass (kg/FU)]],"-")</f>
        <v>-</v>
      </c>
      <c r="M34" s="686">
        <f t="shared" si="0"/>
        <v>0</v>
      </c>
      <c r="N34" s="687" t="str">
        <f>IFERROR(VLOOKUP(EPDInput[[#This Row],[EPD Type]],DataQuality[], 2, FALSE),"-")</f>
        <v>-</v>
      </c>
      <c r="O34" s="385"/>
    </row>
    <row r="35" spans="2:15" ht="14.4" x14ac:dyDescent="0.3">
      <c r="B35" s="385" t="s">
        <v>905</v>
      </c>
      <c r="C35" s="621"/>
      <c r="D35" s="621"/>
      <c r="E35" s="621"/>
      <c r="F35" s="621"/>
      <c r="G35" s="621"/>
      <c r="H35" s="622"/>
      <c r="I35" s="622"/>
      <c r="J35" s="685" t="str">
        <f>IFERROR(EPDInput[[#This Row],[Fossil Fuel A1-3 GWP (kgCO2e/FU)]]/EPDInput[[#This Row],[Mass (kg/FU)]],"-")</f>
        <v>-</v>
      </c>
      <c r="K35" s="622"/>
      <c r="L35" s="685" t="str">
        <f>IFERROR(EPDInput[[#This Row],[Sequestration per FU]]/EPDInput[[#This Row],[Mass (kg/FU)]],"-")</f>
        <v>-</v>
      </c>
      <c r="M35" s="686">
        <f t="shared" si="0"/>
        <v>0</v>
      </c>
      <c r="N35" s="687" t="str">
        <f>IFERROR(VLOOKUP(EPDInput[[#This Row],[EPD Type]],DataQuality[], 2, FALSE),"-")</f>
        <v>-</v>
      </c>
      <c r="O35" s="385"/>
    </row>
    <row r="36" spans="2:15" ht="14.4" x14ac:dyDescent="0.3">
      <c r="B36" s="385" t="s">
        <v>909</v>
      </c>
      <c r="C36" s="621"/>
      <c r="D36" s="621"/>
      <c r="E36" s="621"/>
      <c r="F36" s="621"/>
      <c r="G36" s="621"/>
      <c r="H36" s="622"/>
      <c r="I36" s="622"/>
      <c r="J36" s="685" t="str">
        <f>IFERROR(EPDInput[[#This Row],[Fossil Fuel A1-3 GWP (kgCO2e/FU)]]/EPDInput[[#This Row],[Mass (kg/FU)]],"-")</f>
        <v>-</v>
      </c>
      <c r="K36" s="622"/>
      <c r="L36" s="685" t="str">
        <f>IFERROR(EPDInput[[#This Row],[Sequestration per FU]]/EPDInput[[#This Row],[Mass (kg/FU)]],"-")</f>
        <v>-</v>
      </c>
      <c r="M36" s="686">
        <f t="shared" si="0"/>
        <v>0</v>
      </c>
      <c r="N36" s="687" t="str">
        <f>IFERROR(VLOOKUP(EPDInput[[#This Row],[EPD Type]],DataQuality[], 2, FALSE),"-")</f>
        <v>-</v>
      </c>
      <c r="O36" s="385"/>
    </row>
    <row r="37" spans="2:15" ht="14.4" x14ac:dyDescent="0.3">
      <c r="B37" s="385" t="s">
        <v>1136</v>
      </c>
      <c r="C37" s="621"/>
      <c r="D37" s="621"/>
      <c r="E37" s="621"/>
      <c r="F37" s="621"/>
      <c r="G37" s="621"/>
      <c r="H37" s="622"/>
      <c r="I37" s="622"/>
      <c r="J37" s="685" t="str">
        <f>IFERROR(EPDInput[[#This Row],[Fossil Fuel A1-3 GWP (kgCO2e/FU)]]/EPDInput[[#This Row],[Mass (kg/FU)]],"-")</f>
        <v>-</v>
      </c>
      <c r="K37" s="622"/>
      <c r="L37" s="685" t="str">
        <f>IFERROR(EPDInput[[#This Row],[Sequestration per FU]]/EPDInput[[#This Row],[Mass (kg/FU)]],"-")</f>
        <v>-</v>
      </c>
      <c r="M37" s="686">
        <f>G37</f>
        <v>0</v>
      </c>
      <c r="N37" s="687" t="str">
        <f>IFERROR(VLOOKUP(EPDInput[[#This Row],[EPD Type]],DataQuality[], 2, FALSE),"-")</f>
        <v>-</v>
      </c>
      <c r="O37" s="385"/>
    </row>
    <row r="38" spans="2:15" ht="14.4" x14ac:dyDescent="0.3">
      <c r="B38" s="385" t="s">
        <v>1137</v>
      </c>
      <c r="C38" s="621"/>
      <c r="D38" s="621"/>
      <c r="E38" s="621"/>
      <c r="F38" s="621"/>
      <c r="G38" s="621"/>
      <c r="H38" s="622"/>
      <c r="I38" s="622"/>
      <c r="J38" s="685" t="str">
        <f>IFERROR(EPDInput[[#This Row],[Fossil Fuel A1-3 GWP (kgCO2e/FU)]]/EPDInput[[#This Row],[Mass (kg/FU)]],"-")</f>
        <v>-</v>
      </c>
      <c r="K38" s="622"/>
      <c r="L38" s="685" t="str">
        <f>IFERROR(EPDInput[[#This Row],[Sequestration per FU]]/EPDInput[[#This Row],[Mass (kg/FU)]],"-")</f>
        <v>-</v>
      </c>
      <c r="M38" s="686">
        <f>G38</f>
        <v>0</v>
      </c>
      <c r="N38" s="687" t="str">
        <f>IFERROR(VLOOKUP(EPDInput[[#This Row],[EPD Type]],DataQuality[], 2, FALSE),"-")</f>
        <v>-</v>
      </c>
      <c r="O38" s="385"/>
    </row>
    <row r="39" spans="2:15" ht="14.4" x14ac:dyDescent="0.3">
      <c r="B39" s="385" t="s">
        <v>1138</v>
      </c>
      <c r="C39" s="621"/>
      <c r="D39" s="621"/>
      <c r="E39" s="621"/>
      <c r="F39" s="621"/>
      <c r="G39" s="621"/>
      <c r="H39" s="622"/>
      <c r="I39" s="622"/>
      <c r="J39" s="685" t="str">
        <f>IFERROR(EPDInput[[#This Row],[Fossil Fuel A1-3 GWP (kgCO2e/FU)]]/EPDInput[[#This Row],[Mass (kg/FU)]],"-")</f>
        <v>-</v>
      </c>
      <c r="K39" s="622"/>
      <c r="L39" s="685" t="str">
        <f>IFERROR(EPDInput[[#This Row],[Sequestration per FU]]/EPDInput[[#This Row],[Mass (kg/FU)]],"-")</f>
        <v>-</v>
      </c>
      <c r="M39" s="686">
        <f>G39</f>
        <v>0</v>
      </c>
      <c r="N39" s="687" t="str">
        <f>IFERROR(VLOOKUP(EPDInput[[#This Row],[EPD Type]],DataQuality[], 2, FALSE),"-")</f>
        <v>-</v>
      </c>
      <c r="O39" s="385"/>
    </row>
    <row r="40" spans="2:15" ht="14.4" x14ac:dyDescent="0.3">
      <c r="B40" s="385" t="s">
        <v>1139</v>
      </c>
      <c r="C40" s="621"/>
      <c r="D40" s="621"/>
      <c r="E40" s="621"/>
      <c r="F40" s="621"/>
      <c r="G40" s="621"/>
      <c r="H40" s="622"/>
      <c r="I40" s="622"/>
      <c r="J40" s="685" t="str">
        <f>IFERROR(EPDInput[[#This Row],[Fossil Fuel A1-3 GWP (kgCO2e/FU)]]/EPDInput[[#This Row],[Mass (kg/FU)]],"-")</f>
        <v>-</v>
      </c>
      <c r="K40" s="622"/>
      <c r="L40" s="685" t="str">
        <f>IFERROR(EPDInput[[#This Row],[Sequestration per FU]]/EPDInput[[#This Row],[Mass (kg/FU)]],"-")</f>
        <v>-</v>
      </c>
      <c r="M40" s="686">
        <f>G40</f>
        <v>0</v>
      </c>
      <c r="N40" s="687" t="str">
        <f>IFERROR(VLOOKUP(EPDInput[[#This Row],[EPD Type]],DataQuality[], 2, FALSE),"-")</f>
        <v>-</v>
      </c>
      <c r="O40" s="385"/>
    </row>
    <row r="41" spans="2:15" ht="14.4" x14ac:dyDescent="0.3">
      <c r="B41" s="385" t="s">
        <v>1140</v>
      </c>
      <c r="C41" s="621"/>
      <c r="D41" s="621"/>
      <c r="E41" s="621"/>
      <c r="F41" s="621"/>
      <c r="G41" s="621"/>
      <c r="H41" s="622"/>
      <c r="I41" s="622"/>
      <c r="J41" s="685" t="str">
        <f>IFERROR(EPDInput[[#This Row],[Fossil Fuel A1-3 GWP (kgCO2e/FU)]]/EPDInput[[#This Row],[Mass (kg/FU)]],"-")</f>
        <v>-</v>
      </c>
      <c r="K41" s="622"/>
      <c r="L41" s="685" t="str">
        <f>IFERROR(EPDInput[[#This Row],[Sequestration per FU]]/EPDInput[[#This Row],[Mass (kg/FU)]],"-")</f>
        <v>-</v>
      </c>
      <c r="M41" s="686">
        <f>G41</f>
        <v>0</v>
      </c>
      <c r="N41" s="687" t="str">
        <f>IFERROR(VLOOKUP(EPDInput[[#This Row],[EPD Type]],DataQuality[], 2, FALSE),"-")</f>
        <v>-</v>
      </c>
      <c r="O41" s="385"/>
    </row>
    <row r="42" spans="2:15" ht="14.4" x14ac:dyDescent="0.3">
      <c r="B42" s="385" t="s">
        <v>1141</v>
      </c>
      <c r="C42" s="621"/>
      <c r="D42" s="621"/>
      <c r="E42" s="621"/>
      <c r="F42" s="621"/>
      <c r="G42" s="621"/>
      <c r="H42" s="622"/>
      <c r="I42" s="622"/>
      <c r="J42" s="685" t="str">
        <f>IFERROR(EPDInput[[#This Row],[Fossil Fuel A1-3 GWP (kgCO2e/FU)]]/EPDInput[[#This Row],[Mass (kg/FU)]],"-")</f>
        <v>-</v>
      </c>
      <c r="K42" s="622"/>
      <c r="L42" s="685" t="str">
        <f>IFERROR(EPDInput[[#This Row],[Sequestration per FU]]/EPDInput[[#This Row],[Mass (kg/FU)]],"-")</f>
        <v>-</v>
      </c>
      <c r="M42" s="686">
        <f t="shared" ref="M42:M105" si="1">G42</f>
        <v>0</v>
      </c>
      <c r="N42" s="687" t="str">
        <f>IFERROR(VLOOKUP(EPDInput[[#This Row],[EPD Type]],DataQuality[], 2, FALSE),"-")</f>
        <v>-</v>
      </c>
      <c r="O42" s="385"/>
    </row>
    <row r="43" spans="2:15" ht="14.4" x14ac:dyDescent="0.3">
      <c r="B43" s="385" t="s">
        <v>1142</v>
      </c>
      <c r="C43" s="621"/>
      <c r="D43" s="621"/>
      <c r="E43" s="621"/>
      <c r="F43" s="621"/>
      <c r="G43" s="621"/>
      <c r="H43" s="622"/>
      <c r="I43" s="622"/>
      <c r="J43" s="685" t="str">
        <f>IFERROR(EPDInput[[#This Row],[Fossil Fuel A1-3 GWP (kgCO2e/FU)]]/EPDInput[[#This Row],[Mass (kg/FU)]],"-")</f>
        <v>-</v>
      </c>
      <c r="K43" s="622"/>
      <c r="L43" s="685" t="str">
        <f>IFERROR(EPDInput[[#This Row],[Sequestration per FU]]/EPDInput[[#This Row],[Mass (kg/FU)]],"-")</f>
        <v>-</v>
      </c>
      <c r="M43" s="686">
        <f t="shared" si="1"/>
        <v>0</v>
      </c>
      <c r="N43" s="687" t="str">
        <f>IFERROR(VLOOKUP(EPDInput[[#This Row],[EPD Type]],DataQuality[], 2, FALSE),"-")</f>
        <v>-</v>
      </c>
      <c r="O43" s="385"/>
    </row>
    <row r="44" spans="2:15" ht="14.4" x14ac:dyDescent="0.3">
      <c r="B44" s="385" t="s">
        <v>1143</v>
      </c>
      <c r="C44" s="621"/>
      <c r="D44" s="621"/>
      <c r="E44" s="621"/>
      <c r="F44" s="621"/>
      <c r="G44" s="621"/>
      <c r="H44" s="622"/>
      <c r="I44" s="622"/>
      <c r="J44" s="685" t="str">
        <f>IFERROR(EPDInput[[#This Row],[Fossil Fuel A1-3 GWP (kgCO2e/FU)]]/EPDInput[[#This Row],[Mass (kg/FU)]],"-")</f>
        <v>-</v>
      </c>
      <c r="K44" s="622"/>
      <c r="L44" s="685" t="str">
        <f>IFERROR(EPDInput[[#This Row],[Sequestration per FU]]/EPDInput[[#This Row],[Mass (kg/FU)]],"-")</f>
        <v>-</v>
      </c>
      <c r="M44" s="686">
        <f t="shared" si="1"/>
        <v>0</v>
      </c>
      <c r="N44" s="687" t="str">
        <f>IFERROR(VLOOKUP(EPDInput[[#This Row],[EPD Type]],DataQuality[], 2, FALSE),"-")</f>
        <v>-</v>
      </c>
      <c r="O44" s="385"/>
    </row>
    <row r="45" spans="2:15" ht="14.4" x14ac:dyDescent="0.3">
      <c r="B45" s="385" t="s">
        <v>1144</v>
      </c>
      <c r="C45" s="621"/>
      <c r="D45" s="621"/>
      <c r="E45" s="621"/>
      <c r="F45" s="621"/>
      <c r="G45" s="621"/>
      <c r="H45" s="622"/>
      <c r="I45" s="622"/>
      <c r="J45" s="685" t="str">
        <f>IFERROR(EPDInput[[#This Row],[Fossil Fuel A1-3 GWP (kgCO2e/FU)]]/EPDInput[[#This Row],[Mass (kg/FU)]],"-")</f>
        <v>-</v>
      </c>
      <c r="K45" s="622"/>
      <c r="L45" s="685" t="str">
        <f>IFERROR(EPDInput[[#This Row],[Sequestration per FU]]/EPDInput[[#This Row],[Mass (kg/FU)]],"-")</f>
        <v>-</v>
      </c>
      <c r="M45" s="686">
        <f t="shared" si="1"/>
        <v>0</v>
      </c>
      <c r="N45" s="687" t="str">
        <f>IFERROR(VLOOKUP(EPDInput[[#This Row],[EPD Type]],DataQuality[], 2, FALSE),"-")</f>
        <v>-</v>
      </c>
      <c r="O45" s="385"/>
    </row>
    <row r="46" spans="2:15" ht="14.4" x14ac:dyDescent="0.3">
      <c r="B46" s="385" t="s">
        <v>1145</v>
      </c>
      <c r="C46" s="621"/>
      <c r="D46" s="621"/>
      <c r="E46" s="621"/>
      <c r="F46" s="621"/>
      <c r="G46" s="621"/>
      <c r="H46" s="622"/>
      <c r="I46" s="622"/>
      <c r="J46" s="685" t="str">
        <f>IFERROR(EPDInput[[#This Row],[Fossil Fuel A1-3 GWP (kgCO2e/FU)]]/EPDInput[[#This Row],[Mass (kg/FU)]],"-")</f>
        <v>-</v>
      </c>
      <c r="K46" s="622"/>
      <c r="L46" s="685" t="str">
        <f>IFERROR(EPDInput[[#This Row],[Sequestration per FU]]/EPDInput[[#This Row],[Mass (kg/FU)]],"-")</f>
        <v>-</v>
      </c>
      <c r="M46" s="686">
        <f t="shared" si="1"/>
        <v>0</v>
      </c>
      <c r="N46" s="687" t="str">
        <f>IFERROR(VLOOKUP(EPDInput[[#This Row],[EPD Type]],DataQuality[], 2, FALSE),"-")</f>
        <v>-</v>
      </c>
      <c r="O46" s="385"/>
    </row>
    <row r="47" spans="2:15" ht="14.4" x14ac:dyDescent="0.3">
      <c r="B47" s="385" t="s">
        <v>1146</v>
      </c>
      <c r="C47" s="621"/>
      <c r="D47" s="621"/>
      <c r="E47" s="621"/>
      <c r="F47" s="621"/>
      <c r="G47" s="621"/>
      <c r="H47" s="622"/>
      <c r="I47" s="622"/>
      <c r="J47" s="685" t="str">
        <f>IFERROR(EPDInput[[#This Row],[Fossil Fuel A1-3 GWP (kgCO2e/FU)]]/EPDInput[[#This Row],[Mass (kg/FU)]],"-")</f>
        <v>-</v>
      </c>
      <c r="K47" s="622"/>
      <c r="L47" s="685" t="str">
        <f>IFERROR(EPDInput[[#This Row],[Sequestration per FU]]/EPDInput[[#This Row],[Mass (kg/FU)]],"-")</f>
        <v>-</v>
      </c>
      <c r="M47" s="686">
        <f t="shared" si="1"/>
        <v>0</v>
      </c>
      <c r="N47" s="687" t="str">
        <f>IFERROR(VLOOKUP(EPDInput[[#This Row],[EPD Type]],DataQuality[], 2, FALSE),"-")</f>
        <v>-</v>
      </c>
      <c r="O47" s="385"/>
    </row>
    <row r="48" spans="2:15" ht="14.4" x14ac:dyDescent="0.3">
      <c r="B48" s="385" t="s">
        <v>1147</v>
      </c>
      <c r="C48" s="621"/>
      <c r="D48" s="621"/>
      <c r="E48" s="621"/>
      <c r="F48" s="621"/>
      <c r="G48" s="621"/>
      <c r="H48" s="622"/>
      <c r="I48" s="622"/>
      <c r="J48" s="685" t="str">
        <f>IFERROR(EPDInput[[#This Row],[Fossil Fuel A1-3 GWP (kgCO2e/FU)]]/EPDInput[[#This Row],[Mass (kg/FU)]],"-")</f>
        <v>-</v>
      </c>
      <c r="K48" s="622"/>
      <c r="L48" s="685" t="str">
        <f>IFERROR(EPDInput[[#This Row],[Sequestration per FU]]/EPDInput[[#This Row],[Mass (kg/FU)]],"-")</f>
        <v>-</v>
      </c>
      <c r="M48" s="686">
        <f t="shared" si="1"/>
        <v>0</v>
      </c>
      <c r="N48" s="687" t="str">
        <f>IFERROR(VLOOKUP(EPDInput[[#This Row],[EPD Type]],DataQuality[], 2, FALSE),"-")</f>
        <v>-</v>
      </c>
      <c r="O48" s="385"/>
    </row>
    <row r="49" spans="2:15" ht="14.4" x14ac:dyDescent="0.3">
      <c r="B49" s="385" t="s">
        <v>1148</v>
      </c>
      <c r="C49" s="621"/>
      <c r="D49" s="621"/>
      <c r="E49" s="621"/>
      <c r="F49" s="621"/>
      <c r="G49" s="621"/>
      <c r="H49" s="622"/>
      <c r="I49" s="622"/>
      <c r="J49" s="685" t="str">
        <f>IFERROR(EPDInput[[#This Row],[Fossil Fuel A1-3 GWP (kgCO2e/FU)]]/EPDInput[[#This Row],[Mass (kg/FU)]],"-")</f>
        <v>-</v>
      </c>
      <c r="K49" s="622"/>
      <c r="L49" s="685" t="str">
        <f>IFERROR(EPDInput[[#This Row],[Sequestration per FU]]/EPDInput[[#This Row],[Mass (kg/FU)]],"-")</f>
        <v>-</v>
      </c>
      <c r="M49" s="686">
        <f t="shared" si="1"/>
        <v>0</v>
      </c>
      <c r="N49" s="687" t="str">
        <f>IFERROR(VLOOKUP(EPDInput[[#This Row],[EPD Type]],DataQuality[], 2, FALSE),"-")</f>
        <v>-</v>
      </c>
      <c r="O49" s="385"/>
    </row>
    <row r="50" spans="2:15" ht="14.4" x14ac:dyDescent="0.3">
      <c r="B50" s="385" t="s">
        <v>1149</v>
      </c>
      <c r="C50" s="621"/>
      <c r="D50" s="621"/>
      <c r="E50" s="621"/>
      <c r="F50" s="621"/>
      <c r="G50" s="621"/>
      <c r="H50" s="622"/>
      <c r="I50" s="622"/>
      <c r="J50" s="685" t="str">
        <f>IFERROR(EPDInput[[#This Row],[Fossil Fuel A1-3 GWP (kgCO2e/FU)]]/EPDInput[[#This Row],[Mass (kg/FU)]],"-")</f>
        <v>-</v>
      </c>
      <c r="K50" s="622"/>
      <c r="L50" s="685" t="str">
        <f>IFERROR(EPDInput[[#This Row],[Sequestration per FU]]/EPDInput[[#This Row],[Mass (kg/FU)]],"-")</f>
        <v>-</v>
      </c>
      <c r="M50" s="686">
        <f t="shared" si="1"/>
        <v>0</v>
      </c>
      <c r="N50" s="687" t="str">
        <f>IFERROR(VLOOKUP(EPDInput[[#This Row],[EPD Type]],DataQuality[], 2, FALSE),"-")</f>
        <v>-</v>
      </c>
      <c r="O50" s="385"/>
    </row>
    <row r="51" spans="2:15" ht="14.4" x14ac:dyDescent="0.3">
      <c r="B51" s="385" t="s">
        <v>1150</v>
      </c>
      <c r="C51" s="621"/>
      <c r="D51" s="621"/>
      <c r="E51" s="621"/>
      <c r="F51" s="621"/>
      <c r="G51" s="621"/>
      <c r="H51" s="622"/>
      <c r="I51" s="622"/>
      <c r="J51" s="685" t="str">
        <f>IFERROR(EPDInput[[#This Row],[Fossil Fuel A1-3 GWP (kgCO2e/FU)]]/EPDInput[[#This Row],[Mass (kg/FU)]],"-")</f>
        <v>-</v>
      </c>
      <c r="K51" s="622"/>
      <c r="L51" s="685" t="str">
        <f>IFERROR(EPDInput[[#This Row],[Sequestration per FU]]/EPDInput[[#This Row],[Mass (kg/FU)]],"-")</f>
        <v>-</v>
      </c>
      <c r="M51" s="686">
        <f t="shared" si="1"/>
        <v>0</v>
      </c>
      <c r="N51" s="687" t="str">
        <f>IFERROR(VLOOKUP(EPDInput[[#This Row],[EPD Type]],DataQuality[], 2, FALSE),"-")</f>
        <v>-</v>
      </c>
      <c r="O51" s="385"/>
    </row>
    <row r="52" spans="2:15" ht="14.4" x14ac:dyDescent="0.3">
      <c r="B52" s="385" t="s">
        <v>1151</v>
      </c>
      <c r="C52" s="621"/>
      <c r="D52" s="621"/>
      <c r="E52" s="621"/>
      <c r="F52" s="621"/>
      <c r="G52" s="621"/>
      <c r="H52" s="622"/>
      <c r="I52" s="622"/>
      <c r="J52" s="685" t="str">
        <f>IFERROR(EPDInput[[#This Row],[Fossil Fuel A1-3 GWP (kgCO2e/FU)]]/EPDInput[[#This Row],[Mass (kg/FU)]],"-")</f>
        <v>-</v>
      </c>
      <c r="K52" s="622"/>
      <c r="L52" s="685" t="str">
        <f>IFERROR(EPDInput[[#This Row],[Sequestration per FU]]/EPDInput[[#This Row],[Mass (kg/FU)]],"-")</f>
        <v>-</v>
      </c>
      <c r="M52" s="686">
        <f t="shared" si="1"/>
        <v>0</v>
      </c>
      <c r="N52" s="687" t="str">
        <f>IFERROR(VLOOKUP(EPDInput[[#This Row],[EPD Type]],DataQuality[], 2, FALSE),"-")</f>
        <v>-</v>
      </c>
      <c r="O52" s="385"/>
    </row>
    <row r="53" spans="2:15" ht="14.4" x14ac:dyDescent="0.3">
      <c r="B53" s="385" t="s">
        <v>1152</v>
      </c>
      <c r="C53" s="621"/>
      <c r="D53" s="621"/>
      <c r="E53" s="621"/>
      <c r="F53" s="621"/>
      <c r="G53" s="621"/>
      <c r="H53" s="622"/>
      <c r="I53" s="622"/>
      <c r="J53" s="685" t="str">
        <f>IFERROR(EPDInput[[#This Row],[Fossil Fuel A1-3 GWP (kgCO2e/FU)]]/EPDInput[[#This Row],[Mass (kg/FU)]],"-")</f>
        <v>-</v>
      </c>
      <c r="K53" s="622"/>
      <c r="L53" s="685" t="str">
        <f>IFERROR(EPDInput[[#This Row],[Sequestration per FU]]/EPDInput[[#This Row],[Mass (kg/FU)]],"-")</f>
        <v>-</v>
      </c>
      <c r="M53" s="686">
        <f t="shared" si="1"/>
        <v>0</v>
      </c>
      <c r="N53" s="687" t="str">
        <f>IFERROR(VLOOKUP(EPDInput[[#This Row],[EPD Type]],DataQuality[], 2, FALSE),"-")</f>
        <v>-</v>
      </c>
      <c r="O53" s="385"/>
    </row>
    <row r="54" spans="2:15" ht="14.4" x14ac:dyDescent="0.3">
      <c r="B54" s="385" t="s">
        <v>1153</v>
      </c>
      <c r="C54" s="621"/>
      <c r="D54" s="621"/>
      <c r="E54" s="621"/>
      <c r="F54" s="621"/>
      <c r="G54" s="621"/>
      <c r="H54" s="622"/>
      <c r="I54" s="622"/>
      <c r="J54" s="685" t="str">
        <f>IFERROR(EPDInput[[#This Row],[Fossil Fuel A1-3 GWP (kgCO2e/FU)]]/EPDInput[[#This Row],[Mass (kg/FU)]],"-")</f>
        <v>-</v>
      </c>
      <c r="K54" s="622"/>
      <c r="L54" s="685" t="str">
        <f>IFERROR(EPDInput[[#This Row],[Sequestration per FU]]/EPDInput[[#This Row],[Mass (kg/FU)]],"-")</f>
        <v>-</v>
      </c>
      <c r="M54" s="686">
        <f t="shared" si="1"/>
        <v>0</v>
      </c>
      <c r="N54" s="687" t="str">
        <f>IFERROR(VLOOKUP(EPDInput[[#This Row],[EPD Type]],DataQuality[], 2, FALSE),"-")</f>
        <v>-</v>
      </c>
      <c r="O54" s="385"/>
    </row>
    <row r="55" spans="2:15" ht="14.4" x14ac:dyDescent="0.3">
      <c r="B55" s="385" t="s">
        <v>1154</v>
      </c>
      <c r="C55" s="621"/>
      <c r="D55" s="621"/>
      <c r="E55" s="621"/>
      <c r="F55" s="621"/>
      <c r="G55" s="621"/>
      <c r="H55" s="622"/>
      <c r="I55" s="622"/>
      <c r="J55" s="685" t="str">
        <f>IFERROR(EPDInput[[#This Row],[Fossil Fuel A1-3 GWP (kgCO2e/FU)]]/EPDInput[[#This Row],[Mass (kg/FU)]],"-")</f>
        <v>-</v>
      </c>
      <c r="K55" s="622"/>
      <c r="L55" s="685" t="str">
        <f>IFERROR(EPDInput[[#This Row],[Sequestration per FU]]/EPDInput[[#This Row],[Mass (kg/FU)]],"-")</f>
        <v>-</v>
      </c>
      <c r="M55" s="686">
        <f t="shared" si="1"/>
        <v>0</v>
      </c>
      <c r="N55" s="687" t="str">
        <f>IFERROR(VLOOKUP(EPDInput[[#This Row],[EPD Type]],DataQuality[], 2, FALSE),"-")</f>
        <v>-</v>
      </c>
      <c r="O55" s="385"/>
    </row>
    <row r="56" spans="2:15" ht="14.4" x14ac:dyDescent="0.3">
      <c r="B56" s="385" t="s">
        <v>1155</v>
      </c>
      <c r="C56" s="621"/>
      <c r="D56" s="621"/>
      <c r="E56" s="621"/>
      <c r="F56" s="621"/>
      <c r="G56" s="621"/>
      <c r="H56" s="622"/>
      <c r="I56" s="622"/>
      <c r="J56" s="685" t="str">
        <f>IFERROR(EPDInput[[#This Row],[Fossil Fuel A1-3 GWP (kgCO2e/FU)]]/EPDInput[[#This Row],[Mass (kg/FU)]],"-")</f>
        <v>-</v>
      </c>
      <c r="K56" s="622"/>
      <c r="L56" s="685" t="str">
        <f>IFERROR(EPDInput[[#This Row],[Sequestration per FU]]/EPDInput[[#This Row],[Mass (kg/FU)]],"-")</f>
        <v>-</v>
      </c>
      <c r="M56" s="686">
        <f t="shared" si="1"/>
        <v>0</v>
      </c>
      <c r="N56" s="687" t="str">
        <f>IFERROR(VLOOKUP(EPDInput[[#This Row],[EPD Type]],DataQuality[], 2, FALSE),"-")</f>
        <v>-</v>
      </c>
      <c r="O56" s="385"/>
    </row>
    <row r="57" spans="2:15" ht="14.4" x14ac:dyDescent="0.3">
      <c r="B57" s="385" t="s">
        <v>1156</v>
      </c>
      <c r="C57" s="621"/>
      <c r="D57" s="621"/>
      <c r="E57" s="621"/>
      <c r="F57" s="621"/>
      <c r="G57" s="621"/>
      <c r="H57" s="622"/>
      <c r="I57" s="622"/>
      <c r="J57" s="685" t="str">
        <f>IFERROR(EPDInput[[#This Row],[Fossil Fuel A1-3 GWP (kgCO2e/FU)]]/EPDInput[[#This Row],[Mass (kg/FU)]],"-")</f>
        <v>-</v>
      </c>
      <c r="K57" s="622"/>
      <c r="L57" s="685" t="str">
        <f>IFERROR(EPDInput[[#This Row],[Sequestration per FU]]/EPDInput[[#This Row],[Mass (kg/FU)]],"-")</f>
        <v>-</v>
      </c>
      <c r="M57" s="686">
        <f t="shared" si="1"/>
        <v>0</v>
      </c>
      <c r="N57" s="687" t="str">
        <f>IFERROR(VLOOKUP(EPDInput[[#This Row],[EPD Type]],DataQuality[], 2, FALSE),"-")</f>
        <v>-</v>
      </c>
      <c r="O57" s="385"/>
    </row>
    <row r="58" spans="2:15" ht="14.4" x14ac:dyDescent="0.3">
      <c r="B58" s="385" t="s">
        <v>1157</v>
      </c>
      <c r="C58" s="621"/>
      <c r="D58" s="621"/>
      <c r="E58" s="621"/>
      <c r="F58" s="621"/>
      <c r="G58" s="621"/>
      <c r="H58" s="622"/>
      <c r="I58" s="622"/>
      <c r="J58" s="685" t="str">
        <f>IFERROR(EPDInput[[#This Row],[Fossil Fuel A1-3 GWP (kgCO2e/FU)]]/EPDInput[[#This Row],[Mass (kg/FU)]],"-")</f>
        <v>-</v>
      </c>
      <c r="K58" s="622"/>
      <c r="L58" s="685" t="str">
        <f>IFERROR(EPDInput[[#This Row],[Sequestration per FU]]/EPDInput[[#This Row],[Mass (kg/FU)]],"-")</f>
        <v>-</v>
      </c>
      <c r="M58" s="686">
        <f t="shared" si="1"/>
        <v>0</v>
      </c>
      <c r="N58" s="687" t="str">
        <f>IFERROR(VLOOKUP(EPDInput[[#This Row],[EPD Type]],DataQuality[], 2, FALSE),"-")</f>
        <v>-</v>
      </c>
      <c r="O58" s="385"/>
    </row>
    <row r="59" spans="2:15" ht="14.4" x14ac:dyDescent="0.3">
      <c r="B59" s="385" t="s">
        <v>1158</v>
      </c>
      <c r="C59" s="621"/>
      <c r="D59" s="621"/>
      <c r="E59" s="621"/>
      <c r="F59" s="621"/>
      <c r="G59" s="621"/>
      <c r="H59" s="622"/>
      <c r="I59" s="622"/>
      <c r="J59" s="685" t="str">
        <f>IFERROR(EPDInput[[#This Row],[Fossil Fuel A1-3 GWP (kgCO2e/FU)]]/EPDInput[[#This Row],[Mass (kg/FU)]],"-")</f>
        <v>-</v>
      </c>
      <c r="K59" s="622"/>
      <c r="L59" s="685" t="str">
        <f>IFERROR(EPDInput[[#This Row],[Sequestration per FU]]/EPDInput[[#This Row],[Mass (kg/FU)]],"-")</f>
        <v>-</v>
      </c>
      <c r="M59" s="686">
        <f t="shared" si="1"/>
        <v>0</v>
      </c>
      <c r="N59" s="687" t="str">
        <f>IFERROR(VLOOKUP(EPDInput[[#This Row],[EPD Type]],DataQuality[], 2, FALSE),"-")</f>
        <v>-</v>
      </c>
      <c r="O59" s="385"/>
    </row>
    <row r="60" spans="2:15" ht="14.4" x14ac:dyDescent="0.3">
      <c r="B60" s="385" t="s">
        <v>1159</v>
      </c>
      <c r="C60" s="621"/>
      <c r="D60" s="621"/>
      <c r="E60" s="621"/>
      <c r="F60" s="621"/>
      <c r="G60" s="621"/>
      <c r="H60" s="622"/>
      <c r="I60" s="622"/>
      <c r="J60" s="685" t="str">
        <f>IFERROR(EPDInput[[#This Row],[Fossil Fuel A1-3 GWP (kgCO2e/FU)]]/EPDInput[[#This Row],[Mass (kg/FU)]],"-")</f>
        <v>-</v>
      </c>
      <c r="K60" s="622"/>
      <c r="L60" s="685" t="str">
        <f>IFERROR(EPDInput[[#This Row],[Sequestration per FU]]/EPDInput[[#This Row],[Mass (kg/FU)]],"-")</f>
        <v>-</v>
      </c>
      <c r="M60" s="686">
        <f t="shared" si="1"/>
        <v>0</v>
      </c>
      <c r="N60" s="687" t="str">
        <f>IFERROR(VLOOKUP(EPDInput[[#This Row],[EPD Type]],DataQuality[], 2, FALSE),"-")</f>
        <v>-</v>
      </c>
      <c r="O60" s="385"/>
    </row>
    <row r="61" spans="2:15" ht="14.4" x14ac:dyDescent="0.3">
      <c r="B61" s="385" t="s">
        <v>1160</v>
      </c>
      <c r="C61" s="621"/>
      <c r="D61" s="621"/>
      <c r="E61" s="621"/>
      <c r="F61" s="621"/>
      <c r="G61" s="621"/>
      <c r="H61" s="622"/>
      <c r="I61" s="622"/>
      <c r="J61" s="685" t="str">
        <f>IFERROR(EPDInput[[#This Row],[Fossil Fuel A1-3 GWP (kgCO2e/FU)]]/EPDInput[[#This Row],[Mass (kg/FU)]],"-")</f>
        <v>-</v>
      </c>
      <c r="K61" s="622"/>
      <c r="L61" s="685" t="str">
        <f>IFERROR(EPDInput[[#This Row],[Sequestration per FU]]/EPDInput[[#This Row],[Mass (kg/FU)]],"-")</f>
        <v>-</v>
      </c>
      <c r="M61" s="686">
        <f t="shared" si="1"/>
        <v>0</v>
      </c>
      <c r="N61" s="687" t="str">
        <f>IFERROR(VLOOKUP(EPDInput[[#This Row],[EPD Type]],DataQuality[], 2, FALSE),"-")</f>
        <v>-</v>
      </c>
      <c r="O61" s="385"/>
    </row>
    <row r="62" spans="2:15" ht="14.4" x14ac:dyDescent="0.3">
      <c r="B62" s="385" t="s">
        <v>1161</v>
      </c>
      <c r="C62" s="621"/>
      <c r="D62" s="621"/>
      <c r="E62" s="621"/>
      <c r="F62" s="621"/>
      <c r="G62" s="621"/>
      <c r="H62" s="622"/>
      <c r="I62" s="622"/>
      <c r="J62" s="685" t="str">
        <f>IFERROR(EPDInput[[#This Row],[Fossil Fuel A1-3 GWP (kgCO2e/FU)]]/EPDInput[[#This Row],[Mass (kg/FU)]],"-")</f>
        <v>-</v>
      </c>
      <c r="K62" s="622"/>
      <c r="L62" s="685" t="str">
        <f>IFERROR(EPDInput[[#This Row],[Sequestration per FU]]/EPDInput[[#This Row],[Mass (kg/FU)]],"-")</f>
        <v>-</v>
      </c>
      <c r="M62" s="686">
        <f t="shared" si="1"/>
        <v>0</v>
      </c>
      <c r="N62" s="687" t="str">
        <f>IFERROR(VLOOKUP(EPDInput[[#This Row],[EPD Type]],DataQuality[], 2, FALSE),"-")</f>
        <v>-</v>
      </c>
      <c r="O62" s="385"/>
    </row>
    <row r="63" spans="2:15" ht="14.4" x14ac:dyDescent="0.3">
      <c r="B63" s="385" t="s">
        <v>1162</v>
      </c>
      <c r="C63" s="621"/>
      <c r="D63" s="621"/>
      <c r="E63" s="621"/>
      <c r="F63" s="621"/>
      <c r="G63" s="621"/>
      <c r="H63" s="622"/>
      <c r="I63" s="622"/>
      <c r="J63" s="685" t="str">
        <f>IFERROR(EPDInput[[#This Row],[Fossil Fuel A1-3 GWP (kgCO2e/FU)]]/EPDInput[[#This Row],[Mass (kg/FU)]],"-")</f>
        <v>-</v>
      </c>
      <c r="K63" s="622"/>
      <c r="L63" s="685" t="str">
        <f>IFERROR(EPDInput[[#This Row],[Sequestration per FU]]/EPDInput[[#This Row],[Mass (kg/FU)]],"-")</f>
        <v>-</v>
      </c>
      <c r="M63" s="686">
        <f t="shared" si="1"/>
        <v>0</v>
      </c>
      <c r="N63" s="687" t="str">
        <f>IFERROR(VLOOKUP(EPDInput[[#This Row],[EPD Type]],DataQuality[], 2, FALSE),"-")</f>
        <v>-</v>
      </c>
      <c r="O63" s="385"/>
    </row>
    <row r="64" spans="2:15" ht="14.4" x14ac:dyDescent="0.3">
      <c r="B64" s="385" t="s">
        <v>1163</v>
      </c>
      <c r="C64" s="621"/>
      <c r="D64" s="621"/>
      <c r="E64" s="621"/>
      <c r="F64" s="621"/>
      <c r="G64" s="621"/>
      <c r="H64" s="622"/>
      <c r="I64" s="622"/>
      <c r="J64" s="685" t="str">
        <f>IFERROR(EPDInput[[#This Row],[Fossil Fuel A1-3 GWP (kgCO2e/FU)]]/EPDInput[[#This Row],[Mass (kg/FU)]],"-")</f>
        <v>-</v>
      </c>
      <c r="K64" s="622"/>
      <c r="L64" s="685" t="str">
        <f>IFERROR(EPDInput[[#This Row],[Sequestration per FU]]/EPDInput[[#This Row],[Mass (kg/FU)]],"-")</f>
        <v>-</v>
      </c>
      <c r="M64" s="686">
        <f t="shared" si="1"/>
        <v>0</v>
      </c>
      <c r="N64" s="687" t="str">
        <f>IFERROR(VLOOKUP(EPDInput[[#This Row],[EPD Type]],DataQuality[], 2, FALSE),"-")</f>
        <v>-</v>
      </c>
      <c r="O64" s="385"/>
    </row>
    <row r="65" spans="2:15" ht="14.4" x14ac:dyDescent="0.3">
      <c r="B65" s="385" t="s">
        <v>1164</v>
      </c>
      <c r="C65" s="621"/>
      <c r="D65" s="621"/>
      <c r="E65" s="621"/>
      <c r="F65" s="621"/>
      <c r="G65" s="621"/>
      <c r="H65" s="622"/>
      <c r="I65" s="622"/>
      <c r="J65" s="685" t="str">
        <f>IFERROR(EPDInput[[#This Row],[Fossil Fuel A1-3 GWP (kgCO2e/FU)]]/EPDInput[[#This Row],[Mass (kg/FU)]],"-")</f>
        <v>-</v>
      </c>
      <c r="K65" s="622"/>
      <c r="L65" s="685" t="str">
        <f>IFERROR(EPDInput[[#This Row],[Sequestration per FU]]/EPDInput[[#This Row],[Mass (kg/FU)]],"-")</f>
        <v>-</v>
      </c>
      <c r="M65" s="686">
        <f t="shared" si="1"/>
        <v>0</v>
      </c>
      <c r="N65" s="687" t="str">
        <f>IFERROR(VLOOKUP(EPDInput[[#This Row],[EPD Type]],DataQuality[], 2, FALSE),"-")</f>
        <v>-</v>
      </c>
      <c r="O65" s="385"/>
    </row>
    <row r="66" spans="2:15" ht="14.4" x14ac:dyDescent="0.3">
      <c r="B66" s="385" t="s">
        <v>1165</v>
      </c>
      <c r="C66" s="621"/>
      <c r="D66" s="621"/>
      <c r="E66" s="621"/>
      <c r="F66" s="621"/>
      <c r="G66" s="621"/>
      <c r="H66" s="622"/>
      <c r="I66" s="622"/>
      <c r="J66" s="685" t="str">
        <f>IFERROR(EPDInput[[#This Row],[Fossil Fuel A1-3 GWP (kgCO2e/FU)]]/EPDInput[[#This Row],[Mass (kg/FU)]],"-")</f>
        <v>-</v>
      </c>
      <c r="K66" s="622"/>
      <c r="L66" s="685" t="str">
        <f>IFERROR(EPDInput[[#This Row],[Sequestration per FU]]/EPDInput[[#This Row],[Mass (kg/FU)]],"-")</f>
        <v>-</v>
      </c>
      <c r="M66" s="686">
        <f t="shared" si="1"/>
        <v>0</v>
      </c>
      <c r="N66" s="687" t="str">
        <f>IFERROR(VLOOKUP(EPDInput[[#This Row],[EPD Type]],DataQuality[], 2, FALSE),"-")</f>
        <v>-</v>
      </c>
      <c r="O66" s="385"/>
    </row>
    <row r="67" spans="2:15" ht="14.4" x14ac:dyDescent="0.3">
      <c r="B67" s="385" t="s">
        <v>1166</v>
      </c>
      <c r="C67" s="621"/>
      <c r="D67" s="621"/>
      <c r="E67" s="621"/>
      <c r="F67" s="621"/>
      <c r="G67" s="621"/>
      <c r="H67" s="622"/>
      <c r="I67" s="622"/>
      <c r="J67" s="685" t="str">
        <f>IFERROR(EPDInput[[#This Row],[Fossil Fuel A1-3 GWP (kgCO2e/FU)]]/EPDInput[[#This Row],[Mass (kg/FU)]],"-")</f>
        <v>-</v>
      </c>
      <c r="K67" s="622"/>
      <c r="L67" s="685" t="str">
        <f>IFERROR(EPDInput[[#This Row],[Sequestration per FU]]/EPDInput[[#This Row],[Mass (kg/FU)]],"-")</f>
        <v>-</v>
      </c>
      <c r="M67" s="686">
        <f t="shared" si="1"/>
        <v>0</v>
      </c>
      <c r="N67" s="687" t="str">
        <f>IFERROR(VLOOKUP(EPDInput[[#This Row],[EPD Type]],DataQuality[], 2, FALSE),"-")</f>
        <v>-</v>
      </c>
      <c r="O67" s="385"/>
    </row>
    <row r="68" spans="2:15" ht="14.4" x14ac:dyDescent="0.3">
      <c r="B68" s="385" t="s">
        <v>1167</v>
      </c>
      <c r="C68" s="621"/>
      <c r="D68" s="621"/>
      <c r="E68" s="621"/>
      <c r="F68" s="621"/>
      <c r="G68" s="621"/>
      <c r="H68" s="622"/>
      <c r="I68" s="622"/>
      <c r="J68" s="685" t="str">
        <f>IFERROR(EPDInput[[#This Row],[Fossil Fuel A1-3 GWP (kgCO2e/FU)]]/EPDInput[[#This Row],[Mass (kg/FU)]],"-")</f>
        <v>-</v>
      </c>
      <c r="K68" s="622"/>
      <c r="L68" s="685" t="str">
        <f>IFERROR(EPDInput[[#This Row],[Sequestration per FU]]/EPDInput[[#This Row],[Mass (kg/FU)]],"-")</f>
        <v>-</v>
      </c>
      <c r="M68" s="686">
        <f t="shared" si="1"/>
        <v>0</v>
      </c>
      <c r="N68" s="687" t="str">
        <f>IFERROR(VLOOKUP(EPDInput[[#This Row],[EPD Type]],DataQuality[], 2, FALSE),"-")</f>
        <v>-</v>
      </c>
      <c r="O68" s="385"/>
    </row>
    <row r="69" spans="2:15" ht="14.4" x14ac:dyDescent="0.3">
      <c r="B69" s="385" t="s">
        <v>1168</v>
      </c>
      <c r="C69" s="621"/>
      <c r="D69" s="621"/>
      <c r="E69" s="621"/>
      <c r="F69" s="621"/>
      <c r="G69" s="621"/>
      <c r="H69" s="622"/>
      <c r="I69" s="622"/>
      <c r="J69" s="685" t="str">
        <f>IFERROR(EPDInput[[#This Row],[Fossil Fuel A1-3 GWP (kgCO2e/FU)]]/EPDInput[[#This Row],[Mass (kg/FU)]],"-")</f>
        <v>-</v>
      </c>
      <c r="K69" s="622"/>
      <c r="L69" s="685" t="str">
        <f>IFERROR(EPDInput[[#This Row],[Sequestration per FU]]/EPDInput[[#This Row],[Mass (kg/FU)]],"-")</f>
        <v>-</v>
      </c>
      <c r="M69" s="686">
        <f t="shared" si="1"/>
        <v>0</v>
      </c>
      <c r="N69" s="687" t="str">
        <f>IFERROR(VLOOKUP(EPDInput[[#This Row],[EPD Type]],DataQuality[], 2, FALSE),"-")</f>
        <v>-</v>
      </c>
      <c r="O69" s="385"/>
    </row>
    <row r="70" spans="2:15" ht="14.4" x14ac:dyDescent="0.3">
      <c r="B70" s="385" t="s">
        <v>1169</v>
      </c>
      <c r="C70" s="621"/>
      <c r="D70" s="621"/>
      <c r="E70" s="621"/>
      <c r="F70" s="621"/>
      <c r="G70" s="621"/>
      <c r="H70" s="622"/>
      <c r="I70" s="622"/>
      <c r="J70" s="685" t="str">
        <f>IFERROR(EPDInput[[#This Row],[Fossil Fuel A1-3 GWP (kgCO2e/FU)]]/EPDInput[[#This Row],[Mass (kg/FU)]],"-")</f>
        <v>-</v>
      </c>
      <c r="K70" s="622"/>
      <c r="L70" s="685" t="str">
        <f>IFERROR(EPDInput[[#This Row],[Sequestration per FU]]/EPDInput[[#This Row],[Mass (kg/FU)]],"-")</f>
        <v>-</v>
      </c>
      <c r="M70" s="686">
        <f t="shared" si="1"/>
        <v>0</v>
      </c>
      <c r="N70" s="687" t="str">
        <f>IFERROR(VLOOKUP(EPDInput[[#This Row],[EPD Type]],DataQuality[], 2, FALSE),"-")</f>
        <v>-</v>
      </c>
      <c r="O70" s="385"/>
    </row>
    <row r="71" spans="2:15" ht="14.4" x14ac:dyDescent="0.3">
      <c r="B71" s="385" t="s">
        <v>1170</v>
      </c>
      <c r="C71" s="621"/>
      <c r="D71" s="621"/>
      <c r="E71" s="621"/>
      <c r="F71" s="621"/>
      <c r="G71" s="621"/>
      <c r="H71" s="622"/>
      <c r="I71" s="622"/>
      <c r="J71" s="685" t="str">
        <f>IFERROR(EPDInput[[#This Row],[Fossil Fuel A1-3 GWP (kgCO2e/FU)]]/EPDInput[[#This Row],[Mass (kg/FU)]],"-")</f>
        <v>-</v>
      </c>
      <c r="K71" s="622"/>
      <c r="L71" s="685" t="str">
        <f>IFERROR(EPDInput[[#This Row],[Sequestration per FU]]/EPDInput[[#This Row],[Mass (kg/FU)]],"-")</f>
        <v>-</v>
      </c>
      <c r="M71" s="686">
        <f t="shared" si="1"/>
        <v>0</v>
      </c>
      <c r="N71" s="687" t="str">
        <f>IFERROR(VLOOKUP(EPDInput[[#This Row],[EPD Type]],DataQuality[], 2, FALSE),"-")</f>
        <v>-</v>
      </c>
      <c r="O71" s="385"/>
    </row>
    <row r="72" spans="2:15" ht="14.4" x14ac:dyDescent="0.3">
      <c r="B72" s="385" t="s">
        <v>1171</v>
      </c>
      <c r="C72" s="621"/>
      <c r="D72" s="621"/>
      <c r="E72" s="621"/>
      <c r="F72" s="621"/>
      <c r="G72" s="621"/>
      <c r="H72" s="622"/>
      <c r="I72" s="622"/>
      <c r="J72" s="685" t="str">
        <f>IFERROR(EPDInput[[#This Row],[Fossil Fuel A1-3 GWP (kgCO2e/FU)]]/EPDInput[[#This Row],[Mass (kg/FU)]],"-")</f>
        <v>-</v>
      </c>
      <c r="K72" s="622"/>
      <c r="L72" s="685" t="str">
        <f>IFERROR(EPDInput[[#This Row],[Sequestration per FU]]/EPDInput[[#This Row],[Mass (kg/FU)]],"-")</f>
        <v>-</v>
      </c>
      <c r="M72" s="686">
        <f t="shared" si="1"/>
        <v>0</v>
      </c>
      <c r="N72" s="687" t="str">
        <f>IFERROR(VLOOKUP(EPDInput[[#This Row],[EPD Type]],DataQuality[], 2, FALSE),"-")</f>
        <v>-</v>
      </c>
      <c r="O72" s="385"/>
    </row>
    <row r="73" spans="2:15" ht="14.4" x14ac:dyDescent="0.3">
      <c r="B73" s="385" t="s">
        <v>1172</v>
      </c>
      <c r="C73" s="621"/>
      <c r="D73" s="621"/>
      <c r="E73" s="621"/>
      <c r="F73" s="621"/>
      <c r="G73" s="621"/>
      <c r="H73" s="622"/>
      <c r="I73" s="622"/>
      <c r="J73" s="685" t="str">
        <f>IFERROR(EPDInput[[#This Row],[Fossil Fuel A1-3 GWP (kgCO2e/FU)]]/EPDInput[[#This Row],[Mass (kg/FU)]],"-")</f>
        <v>-</v>
      </c>
      <c r="K73" s="622"/>
      <c r="L73" s="685" t="str">
        <f>IFERROR(EPDInput[[#This Row],[Sequestration per FU]]/EPDInput[[#This Row],[Mass (kg/FU)]],"-")</f>
        <v>-</v>
      </c>
      <c r="M73" s="686">
        <f t="shared" si="1"/>
        <v>0</v>
      </c>
      <c r="N73" s="687" t="str">
        <f>IFERROR(VLOOKUP(EPDInput[[#This Row],[EPD Type]],DataQuality[], 2, FALSE),"-")</f>
        <v>-</v>
      </c>
      <c r="O73" s="385"/>
    </row>
    <row r="74" spans="2:15" ht="14.4" x14ac:dyDescent="0.3">
      <c r="B74" s="385" t="s">
        <v>1173</v>
      </c>
      <c r="C74" s="621"/>
      <c r="D74" s="621"/>
      <c r="E74" s="621"/>
      <c r="F74" s="621"/>
      <c r="G74" s="621"/>
      <c r="H74" s="622"/>
      <c r="I74" s="622"/>
      <c r="J74" s="685" t="str">
        <f>IFERROR(EPDInput[[#This Row],[Fossil Fuel A1-3 GWP (kgCO2e/FU)]]/EPDInput[[#This Row],[Mass (kg/FU)]],"-")</f>
        <v>-</v>
      </c>
      <c r="K74" s="622"/>
      <c r="L74" s="685" t="str">
        <f>IFERROR(EPDInput[[#This Row],[Sequestration per FU]]/EPDInput[[#This Row],[Mass (kg/FU)]],"-")</f>
        <v>-</v>
      </c>
      <c r="M74" s="686">
        <f t="shared" si="1"/>
        <v>0</v>
      </c>
      <c r="N74" s="687" t="str">
        <f>IFERROR(VLOOKUP(EPDInput[[#This Row],[EPD Type]],DataQuality[], 2, FALSE),"-")</f>
        <v>-</v>
      </c>
      <c r="O74" s="385"/>
    </row>
    <row r="75" spans="2:15" ht="14.4" x14ac:dyDescent="0.3">
      <c r="B75" s="385" t="s">
        <v>1174</v>
      </c>
      <c r="C75" s="621"/>
      <c r="D75" s="621"/>
      <c r="E75" s="621"/>
      <c r="F75" s="621"/>
      <c r="G75" s="621"/>
      <c r="H75" s="622"/>
      <c r="I75" s="622"/>
      <c r="J75" s="685" t="str">
        <f>IFERROR(EPDInput[[#This Row],[Fossil Fuel A1-3 GWP (kgCO2e/FU)]]/EPDInput[[#This Row],[Mass (kg/FU)]],"-")</f>
        <v>-</v>
      </c>
      <c r="K75" s="622"/>
      <c r="L75" s="685" t="str">
        <f>IFERROR(EPDInput[[#This Row],[Sequestration per FU]]/EPDInput[[#This Row],[Mass (kg/FU)]],"-")</f>
        <v>-</v>
      </c>
      <c r="M75" s="686">
        <f t="shared" si="1"/>
        <v>0</v>
      </c>
      <c r="N75" s="687" t="str">
        <f>IFERROR(VLOOKUP(EPDInput[[#This Row],[EPD Type]],DataQuality[], 2, FALSE),"-")</f>
        <v>-</v>
      </c>
      <c r="O75" s="385"/>
    </row>
    <row r="76" spans="2:15" ht="14.4" x14ac:dyDescent="0.3">
      <c r="B76" s="385" t="s">
        <v>1175</v>
      </c>
      <c r="C76" s="621"/>
      <c r="D76" s="621"/>
      <c r="E76" s="621"/>
      <c r="F76" s="621"/>
      <c r="G76" s="621"/>
      <c r="H76" s="622"/>
      <c r="I76" s="622"/>
      <c r="J76" s="685" t="str">
        <f>IFERROR(EPDInput[[#This Row],[Fossil Fuel A1-3 GWP (kgCO2e/FU)]]/EPDInput[[#This Row],[Mass (kg/FU)]],"-")</f>
        <v>-</v>
      </c>
      <c r="K76" s="622"/>
      <c r="L76" s="685" t="str">
        <f>IFERROR(EPDInput[[#This Row],[Sequestration per FU]]/EPDInput[[#This Row],[Mass (kg/FU)]],"-")</f>
        <v>-</v>
      </c>
      <c r="M76" s="686">
        <f t="shared" si="1"/>
        <v>0</v>
      </c>
      <c r="N76" s="687" t="str">
        <f>IFERROR(VLOOKUP(EPDInput[[#This Row],[EPD Type]],DataQuality[], 2, FALSE),"-")</f>
        <v>-</v>
      </c>
      <c r="O76" s="385"/>
    </row>
    <row r="77" spans="2:15" ht="14.4" x14ac:dyDescent="0.3">
      <c r="B77" s="385" t="s">
        <v>1176</v>
      </c>
      <c r="C77" s="621"/>
      <c r="D77" s="621"/>
      <c r="E77" s="621"/>
      <c r="F77" s="621"/>
      <c r="G77" s="621"/>
      <c r="H77" s="622"/>
      <c r="I77" s="622"/>
      <c r="J77" s="685" t="str">
        <f>IFERROR(EPDInput[[#This Row],[Fossil Fuel A1-3 GWP (kgCO2e/FU)]]/EPDInput[[#This Row],[Mass (kg/FU)]],"-")</f>
        <v>-</v>
      </c>
      <c r="K77" s="622"/>
      <c r="L77" s="685" t="str">
        <f>IFERROR(EPDInput[[#This Row],[Sequestration per FU]]/EPDInput[[#This Row],[Mass (kg/FU)]],"-")</f>
        <v>-</v>
      </c>
      <c r="M77" s="686">
        <f t="shared" si="1"/>
        <v>0</v>
      </c>
      <c r="N77" s="687" t="str">
        <f>IFERROR(VLOOKUP(EPDInput[[#This Row],[EPD Type]],DataQuality[], 2, FALSE),"-")</f>
        <v>-</v>
      </c>
      <c r="O77" s="385"/>
    </row>
    <row r="78" spans="2:15" ht="14.4" x14ac:dyDescent="0.3">
      <c r="B78" s="385" t="s">
        <v>1177</v>
      </c>
      <c r="C78" s="621"/>
      <c r="D78" s="621"/>
      <c r="E78" s="621"/>
      <c r="F78" s="621"/>
      <c r="G78" s="621"/>
      <c r="H78" s="622"/>
      <c r="I78" s="622"/>
      <c r="J78" s="685" t="str">
        <f>IFERROR(EPDInput[[#This Row],[Fossil Fuel A1-3 GWP (kgCO2e/FU)]]/EPDInput[[#This Row],[Mass (kg/FU)]],"-")</f>
        <v>-</v>
      </c>
      <c r="K78" s="622"/>
      <c r="L78" s="685" t="str">
        <f>IFERROR(EPDInput[[#This Row],[Sequestration per FU]]/EPDInput[[#This Row],[Mass (kg/FU)]],"-")</f>
        <v>-</v>
      </c>
      <c r="M78" s="686">
        <f t="shared" si="1"/>
        <v>0</v>
      </c>
      <c r="N78" s="687" t="str">
        <f>IFERROR(VLOOKUP(EPDInput[[#This Row],[EPD Type]],DataQuality[], 2, FALSE),"-")</f>
        <v>-</v>
      </c>
      <c r="O78" s="385"/>
    </row>
    <row r="79" spans="2:15" ht="14.4" x14ac:dyDescent="0.3">
      <c r="B79" s="385" t="s">
        <v>1178</v>
      </c>
      <c r="C79" s="621"/>
      <c r="D79" s="621"/>
      <c r="E79" s="621"/>
      <c r="F79" s="621"/>
      <c r="G79" s="621"/>
      <c r="H79" s="622"/>
      <c r="I79" s="622"/>
      <c r="J79" s="685" t="str">
        <f>IFERROR(EPDInput[[#This Row],[Fossil Fuel A1-3 GWP (kgCO2e/FU)]]/EPDInput[[#This Row],[Mass (kg/FU)]],"-")</f>
        <v>-</v>
      </c>
      <c r="K79" s="622"/>
      <c r="L79" s="685" t="str">
        <f>IFERROR(EPDInput[[#This Row],[Sequestration per FU]]/EPDInput[[#This Row],[Mass (kg/FU)]],"-")</f>
        <v>-</v>
      </c>
      <c r="M79" s="686">
        <f t="shared" si="1"/>
        <v>0</v>
      </c>
      <c r="N79" s="687" t="str">
        <f>IFERROR(VLOOKUP(EPDInput[[#This Row],[EPD Type]],DataQuality[], 2, FALSE),"-")</f>
        <v>-</v>
      </c>
      <c r="O79" s="385"/>
    </row>
    <row r="80" spans="2:15" ht="14.4" x14ac:dyDescent="0.3">
      <c r="B80" s="385" t="s">
        <v>1179</v>
      </c>
      <c r="C80" s="621"/>
      <c r="D80" s="621"/>
      <c r="E80" s="621"/>
      <c r="F80" s="621"/>
      <c r="G80" s="621"/>
      <c r="H80" s="622"/>
      <c r="I80" s="622"/>
      <c r="J80" s="685" t="str">
        <f>IFERROR(EPDInput[[#This Row],[Fossil Fuel A1-3 GWP (kgCO2e/FU)]]/EPDInput[[#This Row],[Mass (kg/FU)]],"-")</f>
        <v>-</v>
      </c>
      <c r="K80" s="622"/>
      <c r="L80" s="685" t="str">
        <f>IFERROR(EPDInput[[#This Row],[Sequestration per FU]]/EPDInput[[#This Row],[Mass (kg/FU)]],"-")</f>
        <v>-</v>
      </c>
      <c r="M80" s="686">
        <f t="shared" si="1"/>
        <v>0</v>
      </c>
      <c r="N80" s="687" t="str">
        <f>IFERROR(VLOOKUP(EPDInput[[#This Row],[EPD Type]],DataQuality[], 2, FALSE),"-")</f>
        <v>-</v>
      </c>
      <c r="O80" s="385"/>
    </row>
    <row r="81" spans="2:15" ht="14.4" x14ac:dyDescent="0.3">
      <c r="B81" s="385" t="s">
        <v>1180</v>
      </c>
      <c r="C81" s="621"/>
      <c r="D81" s="621"/>
      <c r="E81" s="621"/>
      <c r="F81" s="621"/>
      <c r="G81" s="621"/>
      <c r="H81" s="622"/>
      <c r="I81" s="622"/>
      <c r="J81" s="685" t="str">
        <f>IFERROR(EPDInput[[#This Row],[Fossil Fuel A1-3 GWP (kgCO2e/FU)]]/EPDInput[[#This Row],[Mass (kg/FU)]],"-")</f>
        <v>-</v>
      </c>
      <c r="K81" s="622"/>
      <c r="L81" s="685" t="str">
        <f>IFERROR(EPDInput[[#This Row],[Sequestration per FU]]/EPDInput[[#This Row],[Mass (kg/FU)]],"-")</f>
        <v>-</v>
      </c>
      <c r="M81" s="686">
        <f t="shared" si="1"/>
        <v>0</v>
      </c>
      <c r="N81" s="687" t="str">
        <f>IFERROR(VLOOKUP(EPDInput[[#This Row],[EPD Type]],DataQuality[], 2, FALSE),"-")</f>
        <v>-</v>
      </c>
      <c r="O81" s="385"/>
    </row>
    <row r="82" spans="2:15" ht="14.4" x14ac:dyDescent="0.3">
      <c r="B82" s="385" t="s">
        <v>1181</v>
      </c>
      <c r="C82" s="621"/>
      <c r="D82" s="621"/>
      <c r="E82" s="621"/>
      <c r="F82" s="621"/>
      <c r="G82" s="621"/>
      <c r="H82" s="622"/>
      <c r="I82" s="622"/>
      <c r="J82" s="685" t="str">
        <f>IFERROR(EPDInput[[#This Row],[Fossil Fuel A1-3 GWP (kgCO2e/FU)]]/EPDInput[[#This Row],[Mass (kg/FU)]],"-")</f>
        <v>-</v>
      </c>
      <c r="K82" s="622"/>
      <c r="L82" s="685" t="str">
        <f>IFERROR(EPDInput[[#This Row],[Sequestration per FU]]/EPDInput[[#This Row],[Mass (kg/FU)]],"-")</f>
        <v>-</v>
      </c>
      <c r="M82" s="686">
        <f t="shared" si="1"/>
        <v>0</v>
      </c>
      <c r="N82" s="687" t="str">
        <f>IFERROR(VLOOKUP(EPDInput[[#This Row],[EPD Type]],DataQuality[], 2, FALSE),"-")</f>
        <v>-</v>
      </c>
      <c r="O82" s="385"/>
    </row>
    <row r="83" spans="2:15" ht="14.4" x14ac:dyDescent="0.3">
      <c r="B83" s="385" t="s">
        <v>1182</v>
      </c>
      <c r="C83" s="621"/>
      <c r="D83" s="621"/>
      <c r="E83" s="621"/>
      <c r="F83" s="621"/>
      <c r="G83" s="621"/>
      <c r="H83" s="622"/>
      <c r="I83" s="622"/>
      <c r="J83" s="685" t="str">
        <f>IFERROR(EPDInput[[#This Row],[Fossil Fuel A1-3 GWP (kgCO2e/FU)]]/EPDInput[[#This Row],[Mass (kg/FU)]],"-")</f>
        <v>-</v>
      </c>
      <c r="K83" s="622"/>
      <c r="L83" s="685" t="str">
        <f>IFERROR(EPDInput[[#This Row],[Sequestration per FU]]/EPDInput[[#This Row],[Mass (kg/FU)]],"-")</f>
        <v>-</v>
      </c>
      <c r="M83" s="686">
        <f t="shared" si="1"/>
        <v>0</v>
      </c>
      <c r="N83" s="687" t="str">
        <f>IFERROR(VLOOKUP(EPDInput[[#This Row],[EPD Type]],DataQuality[], 2, FALSE),"-")</f>
        <v>-</v>
      </c>
      <c r="O83" s="385"/>
    </row>
    <row r="84" spans="2:15" ht="14.4" x14ac:dyDescent="0.3">
      <c r="B84" s="385" t="s">
        <v>1183</v>
      </c>
      <c r="C84" s="621"/>
      <c r="D84" s="621"/>
      <c r="E84" s="621"/>
      <c r="F84" s="621"/>
      <c r="G84" s="621"/>
      <c r="H84" s="622"/>
      <c r="I84" s="622"/>
      <c r="J84" s="685" t="str">
        <f>IFERROR(EPDInput[[#This Row],[Fossil Fuel A1-3 GWP (kgCO2e/FU)]]/EPDInput[[#This Row],[Mass (kg/FU)]],"-")</f>
        <v>-</v>
      </c>
      <c r="K84" s="622"/>
      <c r="L84" s="685" t="str">
        <f>IFERROR(EPDInput[[#This Row],[Sequestration per FU]]/EPDInput[[#This Row],[Mass (kg/FU)]],"-")</f>
        <v>-</v>
      </c>
      <c r="M84" s="686">
        <f t="shared" si="1"/>
        <v>0</v>
      </c>
      <c r="N84" s="687" t="str">
        <f>IFERROR(VLOOKUP(EPDInput[[#This Row],[EPD Type]],DataQuality[], 2, FALSE),"-")</f>
        <v>-</v>
      </c>
      <c r="O84" s="385"/>
    </row>
    <row r="85" spans="2:15" ht="14.4" x14ac:dyDescent="0.3">
      <c r="B85" s="385" t="s">
        <v>1184</v>
      </c>
      <c r="C85" s="621"/>
      <c r="D85" s="621"/>
      <c r="E85" s="621"/>
      <c r="F85" s="621"/>
      <c r="G85" s="621"/>
      <c r="H85" s="622"/>
      <c r="I85" s="622"/>
      <c r="J85" s="685" t="str">
        <f>IFERROR(EPDInput[[#This Row],[Fossil Fuel A1-3 GWP (kgCO2e/FU)]]/EPDInput[[#This Row],[Mass (kg/FU)]],"-")</f>
        <v>-</v>
      </c>
      <c r="K85" s="622"/>
      <c r="L85" s="685" t="str">
        <f>IFERROR(EPDInput[[#This Row],[Sequestration per FU]]/EPDInput[[#This Row],[Mass (kg/FU)]],"-")</f>
        <v>-</v>
      </c>
      <c r="M85" s="686">
        <f t="shared" si="1"/>
        <v>0</v>
      </c>
      <c r="N85" s="687" t="str">
        <f>IFERROR(VLOOKUP(EPDInput[[#This Row],[EPD Type]],DataQuality[], 2, FALSE),"-")</f>
        <v>-</v>
      </c>
      <c r="O85" s="385"/>
    </row>
    <row r="86" spans="2:15" ht="14.4" x14ac:dyDescent="0.3">
      <c r="B86" s="385" t="s">
        <v>1185</v>
      </c>
      <c r="C86" s="621"/>
      <c r="D86" s="621"/>
      <c r="E86" s="621"/>
      <c r="F86" s="621"/>
      <c r="G86" s="621"/>
      <c r="H86" s="622"/>
      <c r="I86" s="622"/>
      <c r="J86" s="685" t="str">
        <f>IFERROR(EPDInput[[#This Row],[Fossil Fuel A1-3 GWP (kgCO2e/FU)]]/EPDInput[[#This Row],[Mass (kg/FU)]],"-")</f>
        <v>-</v>
      </c>
      <c r="K86" s="622"/>
      <c r="L86" s="685" t="str">
        <f>IFERROR(EPDInput[[#This Row],[Sequestration per FU]]/EPDInput[[#This Row],[Mass (kg/FU)]],"-")</f>
        <v>-</v>
      </c>
      <c r="M86" s="686">
        <f t="shared" si="1"/>
        <v>0</v>
      </c>
      <c r="N86" s="687" t="str">
        <f>IFERROR(VLOOKUP(EPDInput[[#This Row],[EPD Type]],DataQuality[], 2, FALSE),"-")</f>
        <v>-</v>
      </c>
      <c r="O86" s="385"/>
    </row>
    <row r="87" spans="2:15" ht="14.4" x14ac:dyDescent="0.3">
      <c r="B87" s="385" t="s">
        <v>1186</v>
      </c>
      <c r="C87" s="621"/>
      <c r="D87" s="621"/>
      <c r="E87" s="621"/>
      <c r="F87" s="621"/>
      <c r="G87" s="621"/>
      <c r="H87" s="622"/>
      <c r="I87" s="622"/>
      <c r="J87" s="685" t="str">
        <f>IFERROR(EPDInput[[#This Row],[Fossil Fuel A1-3 GWP (kgCO2e/FU)]]/EPDInput[[#This Row],[Mass (kg/FU)]],"-")</f>
        <v>-</v>
      </c>
      <c r="K87" s="622"/>
      <c r="L87" s="685" t="str">
        <f>IFERROR(EPDInput[[#This Row],[Sequestration per FU]]/EPDInput[[#This Row],[Mass (kg/FU)]],"-")</f>
        <v>-</v>
      </c>
      <c r="M87" s="686">
        <f t="shared" si="1"/>
        <v>0</v>
      </c>
      <c r="N87" s="687" t="str">
        <f>IFERROR(VLOOKUP(EPDInput[[#This Row],[EPD Type]],DataQuality[], 2, FALSE),"-")</f>
        <v>-</v>
      </c>
      <c r="O87" s="385"/>
    </row>
    <row r="88" spans="2:15" ht="14.4" x14ac:dyDescent="0.3">
      <c r="B88" s="385" t="s">
        <v>1187</v>
      </c>
      <c r="C88" s="621"/>
      <c r="D88" s="621"/>
      <c r="E88" s="621"/>
      <c r="F88" s="621"/>
      <c r="G88" s="621"/>
      <c r="H88" s="622"/>
      <c r="I88" s="622"/>
      <c r="J88" s="685" t="str">
        <f>IFERROR(EPDInput[[#This Row],[Fossil Fuel A1-3 GWP (kgCO2e/FU)]]/EPDInput[[#This Row],[Mass (kg/FU)]],"-")</f>
        <v>-</v>
      </c>
      <c r="K88" s="622"/>
      <c r="L88" s="685" t="str">
        <f>IFERROR(EPDInput[[#This Row],[Sequestration per FU]]/EPDInput[[#This Row],[Mass (kg/FU)]],"-")</f>
        <v>-</v>
      </c>
      <c r="M88" s="686">
        <f t="shared" si="1"/>
        <v>0</v>
      </c>
      <c r="N88" s="687" t="str">
        <f>IFERROR(VLOOKUP(EPDInput[[#This Row],[EPD Type]],DataQuality[], 2, FALSE),"-")</f>
        <v>-</v>
      </c>
      <c r="O88" s="385"/>
    </row>
    <row r="89" spans="2:15" ht="14.4" x14ac:dyDescent="0.3">
      <c r="B89" s="385" t="s">
        <v>1188</v>
      </c>
      <c r="C89" s="621"/>
      <c r="D89" s="621"/>
      <c r="E89" s="621"/>
      <c r="F89" s="621"/>
      <c r="G89" s="621"/>
      <c r="H89" s="622"/>
      <c r="I89" s="622"/>
      <c r="J89" s="685" t="str">
        <f>IFERROR(EPDInput[[#This Row],[Fossil Fuel A1-3 GWP (kgCO2e/FU)]]/EPDInput[[#This Row],[Mass (kg/FU)]],"-")</f>
        <v>-</v>
      </c>
      <c r="K89" s="622"/>
      <c r="L89" s="685" t="str">
        <f>IFERROR(EPDInput[[#This Row],[Sequestration per FU]]/EPDInput[[#This Row],[Mass (kg/FU)]],"-")</f>
        <v>-</v>
      </c>
      <c r="M89" s="686">
        <f t="shared" si="1"/>
        <v>0</v>
      </c>
      <c r="N89" s="687" t="str">
        <f>IFERROR(VLOOKUP(EPDInput[[#This Row],[EPD Type]],DataQuality[], 2, FALSE),"-")</f>
        <v>-</v>
      </c>
      <c r="O89" s="385"/>
    </row>
    <row r="90" spans="2:15" ht="14.4" x14ac:dyDescent="0.3">
      <c r="B90" s="385" t="s">
        <v>1189</v>
      </c>
      <c r="C90" s="621"/>
      <c r="D90" s="621"/>
      <c r="E90" s="621"/>
      <c r="F90" s="621"/>
      <c r="G90" s="621"/>
      <c r="H90" s="622"/>
      <c r="I90" s="622"/>
      <c r="J90" s="685" t="str">
        <f>IFERROR(EPDInput[[#This Row],[Fossil Fuel A1-3 GWP (kgCO2e/FU)]]/EPDInput[[#This Row],[Mass (kg/FU)]],"-")</f>
        <v>-</v>
      </c>
      <c r="K90" s="622"/>
      <c r="L90" s="685" t="str">
        <f>IFERROR(EPDInput[[#This Row],[Sequestration per FU]]/EPDInput[[#This Row],[Mass (kg/FU)]],"-")</f>
        <v>-</v>
      </c>
      <c r="M90" s="686">
        <f t="shared" si="1"/>
        <v>0</v>
      </c>
      <c r="N90" s="687" t="str">
        <f>IFERROR(VLOOKUP(EPDInput[[#This Row],[EPD Type]],DataQuality[], 2, FALSE),"-")</f>
        <v>-</v>
      </c>
      <c r="O90" s="385"/>
    </row>
    <row r="91" spans="2:15" ht="14.4" x14ac:dyDescent="0.3">
      <c r="B91" s="385" t="s">
        <v>1190</v>
      </c>
      <c r="C91" s="621"/>
      <c r="D91" s="621"/>
      <c r="E91" s="621"/>
      <c r="F91" s="621"/>
      <c r="G91" s="621"/>
      <c r="H91" s="622"/>
      <c r="I91" s="622"/>
      <c r="J91" s="685" t="str">
        <f>IFERROR(EPDInput[[#This Row],[Fossil Fuel A1-3 GWP (kgCO2e/FU)]]/EPDInput[[#This Row],[Mass (kg/FU)]],"-")</f>
        <v>-</v>
      </c>
      <c r="K91" s="622"/>
      <c r="L91" s="685" t="str">
        <f>IFERROR(EPDInput[[#This Row],[Sequestration per FU]]/EPDInput[[#This Row],[Mass (kg/FU)]],"-")</f>
        <v>-</v>
      </c>
      <c r="M91" s="686">
        <f t="shared" si="1"/>
        <v>0</v>
      </c>
      <c r="N91" s="687" t="str">
        <f>IFERROR(VLOOKUP(EPDInput[[#This Row],[EPD Type]],DataQuality[], 2, FALSE),"-")</f>
        <v>-</v>
      </c>
      <c r="O91" s="385"/>
    </row>
    <row r="92" spans="2:15" ht="14.4" x14ac:dyDescent="0.3">
      <c r="B92" s="385" t="s">
        <v>1191</v>
      </c>
      <c r="C92" s="621"/>
      <c r="D92" s="621"/>
      <c r="E92" s="621"/>
      <c r="F92" s="621"/>
      <c r="G92" s="621"/>
      <c r="H92" s="622"/>
      <c r="I92" s="622"/>
      <c r="J92" s="685" t="str">
        <f>IFERROR(EPDInput[[#This Row],[Fossil Fuel A1-3 GWP (kgCO2e/FU)]]/EPDInput[[#This Row],[Mass (kg/FU)]],"-")</f>
        <v>-</v>
      </c>
      <c r="K92" s="622"/>
      <c r="L92" s="685" t="str">
        <f>IFERROR(EPDInput[[#This Row],[Sequestration per FU]]/EPDInput[[#This Row],[Mass (kg/FU)]],"-")</f>
        <v>-</v>
      </c>
      <c r="M92" s="686">
        <f t="shared" si="1"/>
        <v>0</v>
      </c>
      <c r="N92" s="687" t="str">
        <f>IFERROR(VLOOKUP(EPDInput[[#This Row],[EPD Type]],DataQuality[], 2, FALSE),"-")</f>
        <v>-</v>
      </c>
      <c r="O92" s="385"/>
    </row>
    <row r="93" spans="2:15" ht="14.4" x14ac:dyDescent="0.3">
      <c r="B93" s="385" t="s">
        <v>1192</v>
      </c>
      <c r="C93" s="621"/>
      <c r="D93" s="621"/>
      <c r="E93" s="621"/>
      <c r="F93" s="621"/>
      <c r="G93" s="621"/>
      <c r="H93" s="622"/>
      <c r="I93" s="622"/>
      <c r="J93" s="685" t="str">
        <f>IFERROR(EPDInput[[#This Row],[Fossil Fuel A1-3 GWP (kgCO2e/FU)]]/EPDInput[[#This Row],[Mass (kg/FU)]],"-")</f>
        <v>-</v>
      </c>
      <c r="K93" s="622"/>
      <c r="L93" s="685" t="str">
        <f>IFERROR(EPDInput[[#This Row],[Sequestration per FU]]/EPDInput[[#This Row],[Mass (kg/FU)]],"-")</f>
        <v>-</v>
      </c>
      <c r="M93" s="686">
        <f t="shared" si="1"/>
        <v>0</v>
      </c>
      <c r="N93" s="687" t="str">
        <f>IFERROR(VLOOKUP(EPDInput[[#This Row],[EPD Type]],DataQuality[], 2, FALSE),"-")</f>
        <v>-</v>
      </c>
      <c r="O93" s="385"/>
    </row>
    <row r="94" spans="2:15" ht="14.4" x14ac:dyDescent="0.3">
      <c r="B94" s="385" t="s">
        <v>1193</v>
      </c>
      <c r="C94" s="621"/>
      <c r="D94" s="621"/>
      <c r="E94" s="621"/>
      <c r="F94" s="621"/>
      <c r="G94" s="621"/>
      <c r="H94" s="622"/>
      <c r="I94" s="622"/>
      <c r="J94" s="685" t="str">
        <f>IFERROR(EPDInput[[#This Row],[Fossil Fuel A1-3 GWP (kgCO2e/FU)]]/EPDInput[[#This Row],[Mass (kg/FU)]],"-")</f>
        <v>-</v>
      </c>
      <c r="K94" s="622"/>
      <c r="L94" s="685" t="str">
        <f>IFERROR(EPDInput[[#This Row],[Sequestration per FU]]/EPDInput[[#This Row],[Mass (kg/FU)]],"-")</f>
        <v>-</v>
      </c>
      <c r="M94" s="686">
        <f t="shared" si="1"/>
        <v>0</v>
      </c>
      <c r="N94" s="687" t="str">
        <f>IFERROR(VLOOKUP(EPDInput[[#This Row],[EPD Type]],DataQuality[], 2, FALSE),"-")</f>
        <v>-</v>
      </c>
      <c r="O94" s="385"/>
    </row>
    <row r="95" spans="2:15" ht="14.4" x14ac:dyDescent="0.3">
      <c r="B95" s="385" t="s">
        <v>1194</v>
      </c>
      <c r="C95" s="621"/>
      <c r="D95" s="621"/>
      <c r="E95" s="621"/>
      <c r="F95" s="621"/>
      <c r="G95" s="621"/>
      <c r="H95" s="622"/>
      <c r="I95" s="622"/>
      <c r="J95" s="685" t="str">
        <f>IFERROR(EPDInput[[#This Row],[Fossil Fuel A1-3 GWP (kgCO2e/FU)]]/EPDInput[[#This Row],[Mass (kg/FU)]],"-")</f>
        <v>-</v>
      </c>
      <c r="K95" s="622"/>
      <c r="L95" s="685" t="str">
        <f>IFERROR(EPDInput[[#This Row],[Sequestration per FU]]/EPDInput[[#This Row],[Mass (kg/FU)]],"-")</f>
        <v>-</v>
      </c>
      <c r="M95" s="686">
        <f t="shared" si="1"/>
        <v>0</v>
      </c>
      <c r="N95" s="687" t="str">
        <f>IFERROR(VLOOKUP(EPDInput[[#This Row],[EPD Type]],DataQuality[], 2, FALSE),"-")</f>
        <v>-</v>
      </c>
      <c r="O95" s="385"/>
    </row>
    <row r="96" spans="2:15" ht="14.4" x14ac:dyDescent="0.3">
      <c r="B96" s="385" t="s">
        <v>1195</v>
      </c>
      <c r="C96" s="621"/>
      <c r="D96" s="621"/>
      <c r="E96" s="621"/>
      <c r="F96" s="621"/>
      <c r="G96" s="621"/>
      <c r="H96" s="622"/>
      <c r="I96" s="622"/>
      <c r="J96" s="685" t="str">
        <f>IFERROR(EPDInput[[#This Row],[Fossil Fuel A1-3 GWP (kgCO2e/FU)]]/EPDInput[[#This Row],[Mass (kg/FU)]],"-")</f>
        <v>-</v>
      </c>
      <c r="K96" s="622"/>
      <c r="L96" s="685" t="str">
        <f>IFERROR(EPDInput[[#This Row],[Sequestration per FU]]/EPDInput[[#This Row],[Mass (kg/FU)]],"-")</f>
        <v>-</v>
      </c>
      <c r="M96" s="686">
        <f t="shared" si="1"/>
        <v>0</v>
      </c>
      <c r="N96" s="687" t="str">
        <f>IFERROR(VLOOKUP(EPDInput[[#This Row],[EPD Type]],DataQuality[], 2, FALSE),"-")</f>
        <v>-</v>
      </c>
      <c r="O96" s="385"/>
    </row>
    <row r="97" spans="2:15" ht="14.4" x14ac:dyDescent="0.3">
      <c r="B97" s="385" t="s">
        <v>1196</v>
      </c>
      <c r="C97" s="621"/>
      <c r="D97" s="621"/>
      <c r="E97" s="621"/>
      <c r="F97" s="621"/>
      <c r="G97" s="621"/>
      <c r="H97" s="622"/>
      <c r="I97" s="622"/>
      <c r="J97" s="685" t="str">
        <f>IFERROR(EPDInput[[#This Row],[Fossil Fuel A1-3 GWP (kgCO2e/FU)]]/EPDInput[[#This Row],[Mass (kg/FU)]],"-")</f>
        <v>-</v>
      </c>
      <c r="K97" s="622"/>
      <c r="L97" s="685" t="str">
        <f>IFERROR(EPDInput[[#This Row],[Sequestration per FU]]/EPDInput[[#This Row],[Mass (kg/FU)]],"-")</f>
        <v>-</v>
      </c>
      <c r="M97" s="686">
        <f t="shared" si="1"/>
        <v>0</v>
      </c>
      <c r="N97" s="687" t="str">
        <f>IFERROR(VLOOKUP(EPDInput[[#This Row],[EPD Type]],DataQuality[], 2, FALSE),"-")</f>
        <v>-</v>
      </c>
      <c r="O97" s="385"/>
    </row>
    <row r="98" spans="2:15" ht="14.4" x14ac:dyDescent="0.3">
      <c r="B98" s="385" t="s">
        <v>1197</v>
      </c>
      <c r="C98" s="621"/>
      <c r="D98" s="621"/>
      <c r="E98" s="621"/>
      <c r="F98" s="621"/>
      <c r="G98" s="621"/>
      <c r="H98" s="622"/>
      <c r="I98" s="622"/>
      <c r="J98" s="685" t="str">
        <f>IFERROR(EPDInput[[#This Row],[Fossil Fuel A1-3 GWP (kgCO2e/FU)]]/EPDInput[[#This Row],[Mass (kg/FU)]],"-")</f>
        <v>-</v>
      </c>
      <c r="K98" s="622"/>
      <c r="L98" s="685" t="str">
        <f>IFERROR(EPDInput[[#This Row],[Sequestration per FU]]/EPDInput[[#This Row],[Mass (kg/FU)]],"-")</f>
        <v>-</v>
      </c>
      <c r="M98" s="686">
        <f t="shared" si="1"/>
        <v>0</v>
      </c>
      <c r="N98" s="687" t="str">
        <f>IFERROR(VLOOKUP(EPDInput[[#This Row],[EPD Type]],DataQuality[], 2, FALSE),"-")</f>
        <v>-</v>
      </c>
      <c r="O98" s="385"/>
    </row>
    <row r="99" spans="2:15" ht="14.4" x14ac:dyDescent="0.3">
      <c r="B99" s="385" t="s">
        <v>1198</v>
      </c>
      <c r="C99" s="621"/>
      <c r="D99" s="621"/>
      <c r="E99" s="621"/>
      <c r="F99" s="621"/>
      <c r="G99" s="621"/>
      <c r="H99" s="622"/>
      <c r="I99" s="622"/>
      <c r="J99" s="685" t="str">
        <f>IFERROR(EPDInput[[#This Row],[Fossil Fuel A1-3 GWP (kgCO2e/FU)]]/EPDInput[[#This Row],[Mass (kg/FU)]],"-")</f>
        <v>-</v>
      </c>
      <c r="K99" s="622"/>
      <c r="L99" s="685" t="str">
        <f>IFERROR(EPDInput[[#This Row],[Sequestration per FU]]/EPDInput[[#This Row],[Mass (kg/FU)]],"-")</f>
        <v>-</v>
      </c>
      <c r="M99" s="686">
        <f t="shared" si="1"/>
        <v>0</v>
      </c>
      <c r="N99" s="687" t="str">
        <f>IFERROR(VLOOKUP(EPDInput[[#This Row],[EPD Type]],DataQuality[], 2, FALSE),"-")</f>
        <v>-</v>
      </c>
      <c r="O99" s="385"/>
    </row>
    <row r="100" spans="2:15" ht="14.4" x14ac:dyDescent="0.3">
      <c r="B100" s="385" t="s">
        <v>1199</v>
      </c>
      <c r="C100" s="621"/>
      <c r="D100" s="621"/>
      <c r="E100" s="621"/>
      <c r="F100" s="621"/>
      <c r="G100" s="621"/>
      <c r="H100" s="622"/>
      <c r="I100" s="622"/>
      <c r="J100" s="685" t="str">
        <f>IFERROR(EPDInput[[#This Row],[Fossil Fuel A1-3 GWP (kgCO2e/FU)]]/EPDInput[[#This Row],[Mass (kg/FU)]],"-")</f>
        <v>-</v>
      </c>
      <c r="K100" s="622"/>
      <c r="L100" s="685" t="str">
        <f>IFERROR(EPDInput[[#This Row],[Sequestration per FU]]/EPDInput[[#This Row],[Mass (kg/FU)]],"-")</f>
        <v>-</v>
      </c>
      <c r="M100" s="686">
        <f t="shared" si="1"/>
        <v>0</v>
      </c>
      <c r="N100" s="687" t="str">
        <f>IFERROR(VLOOKUP(EPDInput[[#This Row],[EPD Type]],DataQuality[], 2, FALSE),"-")</f>
        <v>-</v>
      </c>
      <c r="O100" s="385"/>
    </row>
    <row r="101" spans="2:15" ht="14.4" x14ac:dyDescent="0.3">
      <c r="B101" s="385" t="s">
        <v>1200</v>
      </c>
      <c r="C101" s="621"/>
      <c r="D101" s="621"/>
      <c r="E101" s="621"/>
      <c r="F101" s="621"/>
      <c r="G101" s="621"/>
      <c r="H101" s="622"/>
      <c r="I101" s="622"/>
      <c r="J101" s="685" t="str">
        <f>IFERROR(EPDInput[[#This Row],[Fossil Fuel A1-3 GWP (kgCO2e/FU)]]/EPDInput[[#This Row],[Mass (kg/FU)]],"-")</f>
        <v>-</v>
      </c>
      <c r="K101" s="622"/>
      <c r="L101" s="685" t="str">
        <f>IFERROR(EPDInput[[#This Row],[Sequestration per FU]]/EPDInput[[#This Row],[Mass (kg/FU)]],"-")</f>
        <v>-</v>
      </c>
      <c r="M101" s="686">
        <f t="shared" si="1"/>
        <v>0</v>
      </c>
      <c r="N101" s="687" t="str">
        <f>IFERROR(VLOOKUP(EPDInput[[#This Row],[EPD Type]],DataQuality[], 2, FALSE),"-")</f>
        <v>-</v>
      </c>
      <c r="O101" s="385"/>
    </row>
    <row r="102" spans="2:15" ht="14.4" x14ac:dyDescent="0.3">
      <c r="B102" s="385" t="s">
        <v>1201</v>
      </c>
      <c r="C102" s="621"/>
      <c r="D102" s="621"/>
      <c r="E102" s="621"/>
      <c r="F102" s="621"/>
      <c r="G102" s="621"/>
      <c r="H102" s="622"/>
      <c r="I102" s="622"/>
      <c r="J102" s="685" t="str">
        <f>IFERROR(EPDInput[[#This Row],[Fossil Fuel A1-3 GWP (kgCO2e/FU)]]/EPDInput[[#This Row],[Mass (kg/FU)]],"-")</f>
        <v>-</v>
      </c>
      <c r="K102" s="622"/>
      <c r="L102" s="685" t="str">
        <f>IFERROR(EPDInput[[#This Row],[Sequestration per FU]]/EPDInput[[#This Row],[Mass (kg/FU)]],"-")</f>
        <v>-</v>
      </c>
      <c r="M102" s="686">
        <f t="shared" si="1"/>
        <v>0</v>
      </c>
      <c r="N102" s="687" t="str">
        <f>IFERROR(VLOOKUP(EPDInput[[#This Row],[EPD Type]],DataQuality[], 2, FALSE),"-")</f>
        <v>-</v>
      </c>
      <c r="O102" s="385"/>
    </row>
    <row r="103" spans="2:15" ht="14.4" x14ac:dyDescent="0.3">
      <c r="B103" s="385" t="s">
        <v>1202</v>
      </c>
      <c r="C103" s="621"/>
      <c r="D103" s="621"/>
      <c r="E103" s="621"/>
      <c r="F103" s="621"/>
      <c r="G103" s="621"/>
      <c r="H103" s="622"/>
      <c r="I103" s="622"/>
      <c r="J103" s="685" t="str">
        <f>IFERROR(EPDInput[[#This Row],[Fossil Fuel A1-3 GWP (kgCO2e/FU)]]/EPDInput[[#This Row],[Mass (kg/FU)]],"-")</f>
        <v>-</v>
      </c>
      <c r="K103" s="622"/>
      <c r="L103" s="685" t="str">
        <f>IFERROR(EPDInput[[#This Row],[Sequestration per FU]]/EPDInput[[#This Row],[Mass (kg/FU)]],"-")</f>
        <v>-</v>
      </c>
      <c r="M103" s="686">
        <f t="shared" si="1"/>
        <v>0</v>
      </c>
      <c r="N103" s="687" t="str">
        <f>IFERROR(VLOOKUP(EPDInput[[#This Row],[EPD Type]],DataQuality[], 2, FALSE),"-")</f>
        <v>-</v>
      </c>
      <c r="O103" s="385"/>
    </row>
    <row r="104" spans="2:15" ht="14.4" x14ac:dyDescent="0.3">
      <c r="B104" s="385" t="s">
        <v>1203</v>
      </c>
      <c r="C104" s="621"/>
      <c r="D104" s="621"/>
      <c r="E104" s="621"/>
      <c r="F104" s="621"/>
      <c r="G104" s="621"/>
      <c r="H104" s="622"/>
      <c r="I104" s="622"/>
      <c r="J104" s="685" t="str">
        <f>IFERROR(EPDInput[[#This Row],[Fossil Fuel A1-3 GWP (kgCO2e/FU)]]/EPDInput[[#This Row],[Mass (kg/FU)]],"-")</f>
        <v>-</v>
      </c>
      <c r="K104" s="622"/>
      <c r="L104" s="685" t="str">
        <f>IFERROR(EPDInput[[#This Row],[Sequestration per FU]]/EPDInput[[#This Row],[Mass (kg/FU)]],"-")</f>
        <v>-</v>
      </c>
      <c r="M104" s="686">
        <f t="shared" si="1"/>
        <v>0</v>
      </c>
      <c r="N104" s="687" t="str">
        <f>IFERROR(VLOOKUP(EPDInput[[#This Row],[EPD Type]],DataQuality[], 2, FALSE),"-")</f>
        <v>-</v>
      </c>
      <c r="O104" s="385"/>
    </row>
    <row r="105" spans="2:15" ht="14.4" x14ac:dyDescent="0.3">
      <c r="B105" s="385" t="s">
        <v>1204</v>
      </c>
      <c r="C105" s="621"/>
      <c r="D105" s="621"/>
      <c r="E105" s="621"/>
      <c r="F105" s="621"/>
      <c r="G105" s="621"/>
      <c r="H105" s="622"/>
      <c r="I105" s="622"/>
      <c r="J105" s="685" t="str">
        <f>IFERROR(EPDInput[[#This Row],[Fossil Fuel A1-3 GWP (kgCO2e/FU)]]/EPDInput[[#This Row],[Mass (kg/FU)]],"-")</f>
        <v>-</v>
      </c>
      <c r="K105" s="622"/>
      <c r="L105" s="685" t="str">
        <f>IFERROR(EPDInput[[#This Row],[Sequestration per FU]]/EPDInput[[#This Row],[Mass (kg/FU)]],"-")</f>
        <v>-</v>
      </c>
      <c r="M105" s="686">
        <f t="shared" si="1"/>
        <v>0</v>
      </c>
      <c r="N105" s="687" t="str">
        <f>IFERROR(VLOOKUP(EPDInput[[#This Row],[EPD Type]],DataQuality[], 2, FALSE),"-")</f>
        <v>-</v>
      </c>
      <c r="O105" s="385"/>
    </row>
    <row r="106" spans="2:15" ht="14.4" x14ac:dyDescent="0.3">
      <c r="B106" s="385" t="s">
        <v>1205</v>
      </c>
      <c r="C106" s="621"/>
      <c r="D106" s="621"/>
      <c r="E106" s="621"/>
      <c r="F106" s="621"/>
      <c r="G106" s="621"/>
      <c r="H106" s="622"/>
      <c r="I106" s="622"/>
      <c r="J106" s="685" t="str">
        <f>IFERROR(EPDInput[[#This Row],[Fossil Fuel A1-3 GWP (kgCO2e/FU)]]/EPDInput[[#This Row],[Mass (kg/FU)]],"-")</f>
        <v>-</v>
      </c>
      <c r="K106" s="622"/>
      <c r="L106" s="685" t="str">
        <f>IFERROR(EPDInput[[#This Row],[Sequestration per FU]]/EPDInput[[#This Row],[Mass (kg/FU)]],"-")</f>
        <v>-</v>
      </c>
      <c r="M106" s="686">
        <f t="shared" ref="M106:M151" si="2">G106</f>
        <v>0</v>
      </c>
      <c r="N106" s="687" t="str">
        <f>IFERROR(VLOOKUP(EPDInput[[#This Row],[EPD Type]],DataQuality[], 2, FALSE),"-")</f>
        <v>-</v>
      </c>
      <c r="O106" s="385"/>
    </row>
    <row r="107" spans="2:15" ht="14.4" x14ac:dyDescent="0.3">
      <c r="B107" s="385" t="s">
        <v>1206</v>
      </c>
      <c r="C107" s="621"/>
      <c r="D107" s="621"/>
      <c r="E107" s="621"/>
      <c r="F107" s="621"/>
      <c r="G107" s="621"/>
      <c r="H107" s="622"/>
      <c r="I107" s="622"/>
      <c r="J107" s="685" t="str">
        <f>IFERROR(EPDInput[[#This Row],[Fossil Fuel A1-3 GWP (kgCO2e/FU)]]/EPDInput[[#This Row],[Mass (kg/FU)]],"-")</f>
        <v>-</v>
      </c>
      <c r="K107" s="622"/>
      <c r="L107" s="685" t="str">
        <f>IFERROR(EPDInput[[#This Row],[Sequestration per FU]]/EPDInput[[#This Row],[Mass (kg/FU)]],"-")</f>
        <v>-</v>
      </c>
      <c r="M107" s="686">
        <f t="shared" si="2"/>
        <v>0</v>
      </c>
      <c r="N107" s="687" t="str">
        <f>IFERROR(VLOOKUP(EPDInput[[#This Row],[EPD Type]],DataQuality[], 2, FALSE),"-")</f>
        <v>-</v>
      </c>
      <c r="O107" s="385"/>
    </row>
    <row r="108" spans="2:15" ht="14.4" x14ac:dyDescent="0.3">
      <c r="B108" s="385" t="s">
        <v>1207</v>
      </c>
      <c r="C108" s="621"/>
      <c r="D108" s="621"/>
      <c r="E108" s="621"/>
      <c r="F108" s="621"/>
      <c r="G108" s="621"/>
      <c r="H108" s="622"/>
      <c r="I108" s="622"/>
      <c r="J108" s="685" t="str">
        <f>IFERROR(EPDInput[[#This Row],[Fossil Fuel A1-3 GWP (kgCO2e/FU)]]/EPDInput[[#This Row],[Mass (kg/FU)]],"-")</f>
        <v>-</v>
      </c>
      <c r="K108" s="622"/>
      <c r="L108" s="685" t="str">
        <f>IFERROR(EPDInput[[#This Row],[Sequestration per FU]]/EPDInput[[#This Row],[Mass (kg/FU)]],"-")</f>
        <v>-</v>
      </c>
      <c r="M108" s="686">
        <f t="shared" si="2"/>
        <v>0</v>
      </c>
      <c r="N108" s="687" t="str">
        <f>IFERROR(VLOOKUP(EPDInput[[#This Row],[EPD Type]],DataQuality[], 2, FALSE),"-")</f>
        <v>-</v>
      </c>
      <c r="O108" s="385"/>
    </row>
    <row r="109" spans="2:15" ht="14.4" x14ac:dyDescent="0.3">
      <c r="B109" s="385" t="s">
        <v>1208</v>
      </c>
      <c r="C109" s="621"/>
      <c r="D109" s="621"/>
      <c r="E109" s="621"/>
      <c r="F109" s="621"/>
      <c r="G109" s="621"/>
      <c r="H109" s="622"/>
      <c r="I109" s="622"/>
      <c r="J109" s="685" t="str">
        <f>IFERROR(EPDInput[[#This Row],[Fossil Fuel A1-3 GWP (kgCO2e/FU)]]/EPDInput[[#This Row],[Mass (kg/FU)]],"-")</f>
        <v>-</v>
      </c>
      <c r="K109" s="622"/>
      <c r="L109" s="685" t="str">
        <f>IFERROR(EPDInput[[#This Row],[Sequestration per FU]]/EPDInput[[#This Row],[Mass (kg/FU)]],"-")</f>
        <v>-</v>
      </c>
      <c r="M109" s="686">
        <f t="shared" si="2"/>
        <v>0</v>
      </c>
      <c r="N109" s="687" t="str">
        <f>IFERROR(VLOOKUP(EPDInput[[#This Row],[EPD Type]],DataQuality[], 2, FALSE),"-")</f>
        <v>-</v>
      </c>
      <c r="O109" s="385"/>
    </row>
    <row r="110" spans="2:15" ht="14.4" x14ac:dyDescent="0.3">
      <c r="B110" s="385" t="s">
        <v>1209</v>
      </c>
      <c r="C110" s="621"/>
      <c r="D110" s="621"/>
      <c r="E110" s="621"/>
      <c r="F110" s="621"/>
      <c r="G110" s="621"/>
      <c r="H110" s="622"/>
      <c r="I110" s="622"/>
      <c r="J110" s="685" t="str">
        <f>IFERROR(EPDInput[[#This Row],[Fossil Fuel A1-3 GWP (kgCO2e/FU)]]/EPDInput[[#This Row],[Mass (kg/FU)]],"-")</f>
        <v>-</v>
      </c>
      <c r="K110" s="622"/>
      <c r="L110" s="685" t="str">
        <f>IFERROR(EPDInput[[#This Row],[Sequestration per FU]]/EPDInput[[#This Row],[Mass (kg/FU)]],"-")</f>
        <v>-</v>
      </c>
      <c r="M110" s="686">
        <f t="shared" si="2"/>
        <v>0</v>
      </c>
      <c r="N110" s="687" t="str">
        <f>IFERROR(VLOOKUP(EPDInput[[#This Row],[EPD Type]],DataQuality[], 2, FALSE),"-")</f>
        <v>-</v>
      </c>
      <c r="O110" s="385"/>
    </row>
    <row r="111" spans="2:15" ht="14.4" x14ac:dyDescent="0.3">
      <c r="B111" s="385" t="s">
        <v>1210</v>
      </c>
      <c r="C111" s="621"/>
      <c r="D111" s="621"/>
      <c r="E111" s="621"/>
      <c r="F111" s="621"/>
      <c r="G111" s="621"/>
      <c r="H111" s="622"/>
      <c r="I111" s="622"/>
      <c r="J111" s="685" t="str">
        <f>IFERROR(EPDInput[[#This Row],[Fossil Fuel A1-3 GWP (kgCO2e/FU)]]/EPDInput[[#This Row],[Mass (kg/FU)]],"-")</f>
        <v>-</v>
      </c>
      <c r="K111" s="622"/>
      <c r="L111" s="685" t="str">
        <f>IFERROR(EPDInput[[#This Row],[Sequestration per FU]]/EPDInput[[#This Row],[Mass (kg/FU)]],"-")</f>
        <v>-</v>
      </c>
      <c r="M111" s="686">
        <f t="shared" si="2"/>
        <v>0</v>
      </c>
      <c r="N111" s="687" t="str">
        <f>IFERROR(VLOOKUP(EPDInput[[#This Row],[EPD Type]],DataQuality[], 2, FALSE),"-")</f>
        <v>-</v>
      </c>
      <c r="O111" s="385"/>
    </row>
    <row r="112" spans="2:15" ht="14.4" x14ac:dyDescent="0.3">
      <c r="B112" s="385" t="s">
        <v>1211</v>
      </c>
      <c r="C112" s="621"/>
      <c r="D112" s="621"/>
      <c r="E112" s="621"/>
      <c r="F112" s="621"/>
      <c r="G112" s="621"/>
      <c r="H112" s="622"/>
      <c r="I112" s="622"/>
      <c r="J112" s="685" t="str">
        <f>IFERROR(EPDInput[[#This Row],[Fossil Fuel A1-3 GWP (kgCO2e/FU)]]/EPDInput[[#This Row],[Mass (kg/FU)]],"-")</f>
        <v>-</v>
      </c>
      <c r="K112" s="622"/>
      <c r="L112" s="685" t="str">
        <f>IFERROR(EPDInput[[#This Row],[Sequestration per FU]]/EPDInput[[#This Row],[Mass (kg/FU)]],"-")</f>
        <v>-</v>
      </c>
      <c r="M112" s="686">
        <f t="shared" si="2"/>
        <v>0</v>
      </c>
      <c r="N112" s="687" t="str">
        <f>IFERROR(VLOOKUP(EPDInput[[#This Row],[EPD Type]],DataQuality[], 2, FALSE),"-")</f>
        <v>-</v>
      </c>
      <c r="O112" s="385"/>
    </row>
    <row r="113" spans="2:15" ht="14.4" x14ac:dyDescent="0.3">
      <c r="B113" s="385" t="s">
        <v>1212</v>
      </c>
      <c r="C113" s="621"/>
      <c r="D113" s="621"/>
      <c r="E113" s="621"/>
      <c r="F113" s="621"/>
      <c r="G113" s="621"/>
      <c r="H113" s="622"/>
      <c r="I113" s="622"/>
      <c r="J113" s="685" t="str">
        <f>IFERROR(EPDInput[[#This Row],[Fossil Fuel A1-3 GWP (kgCO2e/FU)]]/EPDInput[[#This Row],[Mass (kg/FU)]],"-")</f>
        <v>-</v>
      </c>
      <c r="K113" s="622"/>
      <c r="L113" s="685" t="str">
        <f>IFERROR(EPDInput[[#This Row],[Sequestration per FU]]/EPDInput[[#This Row],[Mass (kg/FU)]],"-")</f>
        <v>-</v>
      </c>
      <c r="M113" s="686">
        <f t="shared" si="2"/>
        <v>0</v>
      </c>
      <c r="N113" s="687" t="str">
        <f>IFERROR(VLOOKUP(EPDInput[[#This Row],[EPD Type]],DataQuality[], 2, FALSE),"-")</f>
        <v>-</v>
      </c>
      <c r="O113" s="385"/>
    </row>
    <row r="114" spans="2:15" ht="14.4" x14ac:dyDescent="0.3">
      <c r="B114" s="385" t="s">
        <v>1213</v>
      </c>
      <c r="C114" s="621"/>
      <c r="D114" s="621"/>
      <c r="E114" s="621"/>
      <c r="F114" s="621"/>
      <c r="G114" s="621"/>
      <c r="H114" s="622"/>
      <c r="I114" s="622"/>
      <c r="J114" s="685" t="str">
        <f>IFERROR(EPDInput[[#This Row],[Fossil Fuel A1-3 GWP (kgCO2e/FU)]]/EPDInput[[#This Row],[Mass (kg/FU)]],"-")</f>
        <v>-</v>
      </c>
      <c r="K114" s="622"/>
      <c r="L114" s="685" t="str">
        <f>IFERROR(EPDInput[[#This Row],[Sequestration per FU]]/EPDInput[[#This Row],[Mass (kg/FU)]],"-")</f>
        <v>-</v>
      </c>
      <c r="M114" s="686">
        <f t="shared" si="2"/>
        <v>0</v>
      </c>
      <c r="N114" s="687" t="str">
        <f>IFERROR(VLOOKUP(EPDInput[[#This Row],[EPD Type]],DataQuality[], 2, FALSE),"-")</f>
        <v>-</v>
      </c>
      <c r="O114" s="385"/>
    </row>
    <row r="115" spans="2:15" ht="14.4" x14ac:dyDescent="0.3">
      <c r="B115" s="385" t="s">
        <v>1214</v>
      </c>
      <c r="C115" s="621"/>
      <c r="D115" s="621"/>
      <c r="E115" s="621"/>
      <c r="F115" s="621"/>
      <c r="G115" s="621"/>
      <c r="H115" s="622"/>
      <c r="I115" s="622"/>
      <c r="J115" s="685" t="str">
        <f>IFERROR(EPDInput[[#This Row],[Fossil Fuel A1-3 GWP (kgCO2e/FU)]]/EPDInput[[#This Row],[Mass (kg/FU)]],"-")</f>
        <v>-</v>
      </c>
      <c r="K115" s="622"/>
      <c r="L115" s="685" t="str">
        <f>IFERROR(EPDInput[[#This Row],[Sequestration per FU]]/EPDInput[[#This Row],[Mass (kg/FU)]],"-")</f>
        <v>-</v>
      </c>
      <c r="M115" s="686">
        <f t="shared" si="2"/>
        <v>0</v>
      </c>
      <c r="N115" s="687" t="str">
        <f>IFERROR(VLOOKUP(EPDInput[[#This Row],[EPD Type]],DataQuality[], 2, FALSE),"-")</f>
        <v>-</v>
      </c>
      <c r="O115" s="385"/>
    </row>
    <row r="116" spans="2:15" ht="14.4" x14ac:dyDescent="0.3">
      <c r="B116" s="385" t="s">
        <v>1215</v>
      </c>
      <c r="C116" s="621"/>
      <c r="D116" s="621"/>
      <c r="E116" s="621"/>
      <c r="F116" s="621"/>
      <c r="G116" s="621"/>
      <c r="H116" s="622"/>
      <c r="I116" s="622"/>
      <c r="J116" s="685" t="str">
        <f>IFERROR(EPDInput[[#This Row],[Fossil Fuel A1-3 GWP (kgCO2e/FU)]]/EPDInput[[#This Row],[Mass (kg/FU)]],"-")</f>
        <v>-</v>
      </c>
      <c r="K116" s="622"/>
      <c r="L116" s="685" t="str">
        <f>IFERROR(EPDInput[[#This Row],[Sequestration per FU]]/EPDInput[[#This Row],[Mass (kg/FU)]],"-")</f>
        <v>-</v>
      </c>
      <c r="M116" s="686">
        <f t="shared" si="2"/>
        <v>0</v>
      </c>
      <c r="N116" s="687" t="str">
        <f>IFERROR(VLOOKUP(EPDInput[[#This Row],[EPD Type]],DataQuality[], 2, FALSE),"-")</f>
        <v>-</v>
      </c>
      <c r="O116" s="385"/>
    </row>
    <row r="117" spans="2:15" ht="14.4" x14ac:dyDescent="0.3">
      <c r="B117" s="385" t="s">
        <v>1216</v>
      </c>
      <c r="C117" s="621"/>
      <c r="D117" s="621"/>
      <c r="E117" s="621"/>
      <c r="F117" s="621"/>
      <c r="G117" s="621"/>
      <c r="H117" s="622"/>
      <c r="I117" s="622"/>
      <c r="J117" s="685" t="str">
        <f>IFERROR(EPDInput[[#This Row],[Fossil Fuel A1-3 GWP (kgCO2e/FU)]]/EPDInput[[#This Row],[Mass (kg/FU)]],"-")</f>
        <v>-</v>
      </c>
      <c r="K117" s="622"/>
      <c r="L117" s="685" t="str">
        <f>IFERROR(EPDInput[[#This Row],[Sequestration per FU]]/EPDInput[[#This Row],[Mass (kg/FU)]],"-")</f>
        <v>-</v>
      </c>
      <c r="M117" s="686">
        <f t="shared" si="2"/>
        <v>0</v>
      </c>
      <c r="N117" s="687" t="str">
        <f>IFERROR(VLOOKUP(EPDInput[[#This Row],[EPD Type]],DataQuality[], 2, FALSE),"-")</f>
        <v>-</v>
      </c>
      <c r="O117" s="385"/>
    </row>
    <row r="118" spans="2:15" ht="14.4" x14ac:dyDescent="0.3">
      <c r="B118" s="385" t="s">
        <v>1217</v>
      </c>
      <c r="C118" s="621"/>
      <c r="D118" s="621"/>
      <c r="E118" s="621"/>
      <c r="F118" s="621"/>
      <c r="G118" s="621"/>
      <c r="H118" s="622"/>
      <c r="I118" s="622"/>
      <c r="J118" s="685" t="str">
        <f>IFERROR(EPDInput[[#This Row],[Fossil Fuel A1-3 GWP (kgCO2e/FU)]]/EPDInput[[#This Row],[Mass (kg/FU)]],"-")</f>
        <v>-</v>
      </c>
      <c r="K118" s="622"/>
      <c r="L118" s="685" t="str">
        <f>IFERROR(EPDInput[[#This Row],[Sequestration per FU]]/EPDInput[[#This Row],[Mass (kg/FU)]],"-")</f>
        <v>-</v>
      </c>
      <c r="M118" s="686">
        <f t="shared" si="2"/>
        <v>0</v>
      </c>
      <c r="N118" s="687" t="str">
        <f>IFERROR(VLOOKUP(EPDInput[[#This Row],[EPD Type]],DataQuality[], 2, FALSE),"-")</f>
        <v>-</v>
      </c>
      <c r="O118" s="385"/>
    </row>
    <row r="119" spans="2:15" ht="14.4" x14ac:dyDescent="0.3">
      <c r="B119" s="385" t="s">
        <v>1218</v>
      </c>
      <c r="C119" s="621"/>
      <c r="D119" s="621"/>
      <c r="E119" s="621"/>
      <c r="F119" s="621"/>
      <c r="G119" s="621"/>
      <c r="H119" s="622"/>
      <c r="I119" s="622"/>
      <c r="J119" s="685" t="str">
        <f>IFERROR(EPDInput[[#This Row],[Fossil Fuel A1-3 GWP (kgCO2e/FU)]]/EPDInput[[#This Row],[Mass (kg/FU)]],"-")</f>
        <v>-</v>
      </c>
      <c r="K119" s="622"/>
      <c r="L119" s="685" t="str">
        <f>IFERROR(EPDInput[[#This Row],[Sequestration per FU]]/EPDInput[[#This Row],[Mass (kg/FU)]],"-")</f>
        <v>-</v>
      </c>
      <c r="M119" s="686">
        <f t="shared" si="2"/>
        <v>0</v>
      </c>
      <c r="N119" s="687" t="str">
        <f>IFERROR(VLOOKUP(EPDInput[[#This Row],[EPD Type]],DataQuality[], 2, FALSE),"-")</f>
        <v>-</v>
      </c>
      <c r="O119" s="385"/>
    </row>
    <row r="120" spans="2:15" ht="14.4" x14ac:dyDescent="0.3">
      <c r="B120" s="385" t="s">
        <v>1219</v>
      </c>
      <c r="C120" s="621"/>
      <c r="D120" s="621"/>
      <c r="E120" s="621"/>
      <c r="F120" s="621"/>
      <c r="G120" s="621"/>
      <c r="H120" s="622"/>
      <c r="I120" s="622"/>
      <c r="J120" s="685" t="str">
        <f>IFERROR(EPDInput[[#This Row],[Fossil Fuel A1-3 GWP (kgCO2e/FU)]]/EPDInput[[#This Row],[Mass (kg/FU)]],"-")</f>
        <v>-</v>
      </c>
      <c r="K120" s="622"/>
      <c r="L120" s="685" t="str">
        <f>IFERROR(EPDInput[[#This Row],[Sequestration per FU]]/EPDInput[[#This Row],[Mass (kg/FU)]],"-")</f>
        <v>-</v>
      </c>
      <c r="M120" s="686">
        <f t="shared" si="2"/>
        <v>0</v>
      </c>
      <c r="N120" s="687" t="str">
        <f>IFERROR(VLOOKUP(EPDInput[[#This Row],[EPD Type]],DataQuality[], 2, FALSE),"-")</f>
        <v>-</v>
      </c>
      <c r="O120" s="385"/>
    </row>
    <row r="121" spans="2:15" ht="14.4" x14ac:dyDescent="0.3">
      <c r="B121" s="385" t="s">
        <v>1220</v>
      </c>
      <c r="C121" s="621"/>
      <c r="D121" s="621"/>
      <c r="E121" s="621"/>
      <c r="F121" s="621"/>
      <c r="G121" s="621"/>
      <c r="H121" s="622"/>
      <c r="I121" s="622"/>
      <c r="J121" s="685" t="str">
        <f>IFERROR(EPDInput[[#This Row],[Fossil Fuel A1-3 GWP (kgCO2e/FU)]]/EPDInput[[#This Row],[Mass (kg/FU)]],"-")</f>
        <v>-</v>
      </c>
      <c r="K121" s="622"/>
      <c r="L121" s="685" t="str">
        <f>IFERROR(EPDInput[[#This Row],[Sequestration per FU]]/EPDInput[[#This Row],[Mass (kg/FU)]],"-")</f>
        <v>-</v>
      </c>
      <c r="M121" s="686">
        <f t="shared" si="2"/>
        <v>0</v>
      </c>
      <c r="N121" s="687" t="str">
        <f>IFERROR(VLOOKUP(EPDInput[[#This Row],[EPD Type]],DataQuality[], 2, FALSE),"-")</f>
        <v>-</v>
      </c>
      <c r="O121" s="385"/>
    </row>
    <row r="122" spans="2:15" ht="14.4" x14ac:dyDescent="0.3">
      <c r="B122" s="385" t="s">
        <v>1221</v>
      </c>
      <c r="C122" s="621"/>
      <c r="D122" s="621"/>
      <c r="E122" s="621"/>
      <c r="F122" s="621"/>
      <c r="G122" s="621"/>
      <c r="H122" s="622"/>
      <c r="I122" s="622"/>
      <c r="J122" s="685" t="str">
        <f>IFERROR(EPDInput[[#This Row],[Fossil Fuel A1-3 GWP (kgCO2e/FU)]]/EPDInput[[#This Row],[Mass (kg/FU)]],"-")</f>
        <v>-</v>
      </c>
      <c r="K122" s="622"/>
      <c r="L122" s="685" t="str">
        <f>IFERROR(EPDInput[[#This Row],[Sequestration per FU]]/EPDInput[[#This Row],[Mass (kg/FU)]],"-")</f>
        <v>-</v>
      </c>
      <c r="M122" s="686">
        <f t="shared" si="2"/>
        <v>0</v>
      </c>
      <c r="N122" s="687" t="str">
        <f>IFERROR(VLOOKUP(EPDInput[[#This Row],[EPD Type]],DataQuality[], 2, FALSE),"-")</f>
        <v>-</v>
      </c>
      <c r="O122" s="385"/>
    </row>
    <row r="123" spans="2:15" ht="14.4" x14ac:dyDescent="0.3">
      <c r="B123" s="385" t="s">
        <v>1222</v>
      </c>
      <c r="C123" s="621"/>
      <c r="D123" s="621"/>
      <c r="E123" s="621"/>
      <c r="F123" s="621"/>
      <c r="G123" s="621"/>
      <c r="H123" s="622"/>
      <c r="I123" s="622"/>
      <c r="J123" s="685" t="str">
        <f>IFERROR(EPDInput[[#This Row],[Fossil Fuel A1-3 GWP (kgCO2e/FU)]]/EPDInput[[#This Row],[Mass (kg/FU)]],"-")</f>
        <v>-</v>
      </c>
      <c r="K123" s="622"/>
      <c r="L123" s="685" t="str">
        <f>IFERROR(EPDInput[[#This Row],[Sequestration per FU]]/EPDInput[[#This Row],[Mass (kg/FU)]],"-")</f>
        <v>-</v>
      </c>
      <c r="M123" s="686">
        <f t="shared" si="2"/>
        <v>0</v>
      </c>
      <c r="N123" s="687" t="str">
        <f>IFERROR(VLOOKUP(EPDInput[[#This Row],[EPD Type]],DataQuality[], 2, FALSE),"-")</f>
        <v>-</v>
      </c>
      <c r="O123" s="385"/>
    </row>
    <row r="124" spans="2:15" ht="14.4" x14ac:dyDescent="0.3">
      <c r="B124" s="385" t="s">
        <v>1223</v>
      </c>
      <c r="C124" s="621"/>
      <c r="D124" s="621"/>
      <c r="E124" s="621"/>
      <c r="F124" s="621"/>
      <c r="G124" s="621"/>
      <c r="H124" s="622"/>
      <c r="I124" s="622"/>
      <c r="J124" s="685" t="str">
        <f>IFERROR(EPDInput[[#This Row],[Fossil Fuel A1-3 GWP (kgCO2e/FU)]]/EPDInput[[#This Row],[Mass (kg/FU)]],"-")</f>
        <v>-</v>
      </c>
      <c r="K124" s="622"/>
      <c r="L124" s="685" t="str">
        <f>IFERROR(EPDInput[[#This Row],[Sequestration per FU]]/EPDInput[[#This Row],[Mass (kg/FU)]],"-")</f>
        <v>-</v>
      </c>
      <c r="M124" s="686">
        <f t="shared" si="2"/>
        <v>0</v>
      </c>
      <c r="N124" s="687" t="str">
        <f>IFERROR(VLOOKUP(EPDInput[[#This Row],[EPD Type]],DataQuality[], 2, FALSE),"-")</f>
        <v>-</v>
      </c>
      <c r="O124" s="385"/>
    </row>
    <row r="125" spans="2:15" ht="14.4" x14ac:dyDescent="0.3">
      <c r="B125" s="385" t="s">
        <v>1224</v>
      </c>
      <c r="C125" s="621"/>
      <c r="D125" s="621"/>
      <c r="E125" s="621"/>
      <c r="F125" s="621"/>
      <c r="G125" s="621"/>
      <c r="H125" s="622"/>
      <c r="I125" s="622"/>
      <c r="J125" s="685" t="str">
        <f>IFERROR(EPDInput[[#This Row],[Fossil Fuel A1-3 GWP (kgCO2e/FU)]]/EPDInput[[#This Row],[Mass (kg/FU)]],"-")</f>
        <v>-</v>
      </c>
      <c r="K125" s="622"/>
      <c r="L125" s="685" t="str">
        <f>IFERROR(EPDInput[[#This Row],[Sequestration per FU]]/EPDInput[[#This Row],[Mass (kg/FU)]],"-")</f>
        <v>-</v>
      </c>
      <c r="M125" s="686">
        <f t="shared" si="2"/>
        <v>0</v>
      </c>
      <c r="N125" s="687" t="str">
        <f>IFERROR(VLOOKUP(EPDInput[[#This Row],[EPD Type]],DataQuality[], 2, FALSE),"-")</f>
        <v>-</v>
      </c>
      <c r="O125" s="385"/>
    </row>
    <row r="126" spans="2:15" ht="14.4" x14ac:dyDescent="0.3">
      <c r="B126" s="385" t="s">
        <v>1225</v>
      </c>
      <c r="C126" s="621"/>
      <c r="D126" s="621"/>
      <c r="E126" s="621"/>
      <c r="F126" s="621"/>
      <c r="G126" s="621"/>
      <c r="H126" s="622"/>
      <c r="I126" s="622"/>
      <c r="J126" s="685" t="str">
        <f>IFERROR(EPDInput[[#This Row],[Fossil Fuel A1-3 GWP (kgCO2e/FU)]]/EPDInput[[#This Row],[Mass (kg/FU)]],"-")</f>
        <v>-</v>
      </c>
      <c r="K126" s="622"/>
      <c r="L126" s="685" t="str">
        <f>IFERROR(EPDInput[[#This Row],[Sequestration per FU]]/EPDInput[[#This Row],[Mass (kg/FU)]],"-")</f>
        <v>-</v>
      </c>
      <c r="M126" s="686">
        <f t="shared" si="2"/>
        <v>0</v>
      </c>
      <c r="N126" s="687" t="str">
        <f>IFERROR(VLOOKUP(EPDInput[[#This Row],[EPD Type]],DataQuality[], 2, FALSE),"-")</f>
        <v>-</v>
      </c>
      <c r="O126" s="385"/>
    </row>
    <row r="127" spans="2:15" ht="14.4" x14ac:dyDescent="0.3">
      <c r="B127" s="385" t="s">
        <v>1226</v>
      </c>
      <c r="C127" s="621"/>
      <c r="D127" s="621"/>
      <c r="E127" s="621"/>
      <c r="F127" s="621"/>
      <c r="G127" s="621"/>
      <c r="H127" s="622"/>
      <c r="I127" s="622"/>
      <c r="J127" s="685" t="str">
        <f>IFERROR(EPDInput[[#This Row],[Fossil Fuel A1-3 GWP (kgCO2e/FU)]]/EPDInput[[#This Row],[Mass (kg/FU)]],"-")</f>
        <v>-</v>
      </c>
      <c r="K127" s="622"/>
      <c r="L127" s="685" t="str">
        <f>IFERROR(EPDInput[[#This Row],[Sequestration per FU]]/EPDInput[[#This Row],[Mass (kg/FU)]],"-")</f>
        <v>-</v>
      </c>
      <c r="M127" s="686">
        <f t="shared" si="2"/>
        <v>0</v>
      </c>
      <c r="N127" s="687" t="str">
        <f>IFERROR(VLOOKUP(EPDInput[[#This Row],[EPD Type]],DataQuality[], 2, FALSE),"-")</f>
        <v>-</v>
      </c>
      <c r="O127" s="385"/>
    </row>
    <row r="128" spans="2:15" ht="14.4" x14ac:dyDescent="0.3">
      <c r="B128" s="385" t="s">
        <v>1227</v>
      </c>
      <c r="C128" s="621"/>
      <c r="D128" s="621"/>
      <c r="E128" s="621"/>
      <c r="F128" s="621"/>
      <c r="G128" s="621"/>
      <c r="H128" s="622"/>
      <c r="I128" s="622"/>
      <c r="J128" s="685" t="str">
        <f>IFERROR(EPDInput[[#This Row],[Fossil Fuel A1-3 GWP (kgCO2e/FU)]]/EPDInput[[#This Row],[Mass (kg/FU)]],"-")</f>
        <v>-</v>
      </c>
      <c r="K128" s="622"/>
      <c r="L128" s="685" t="str">
        <f>IFERROR(EPDInput[[#This Row],[Sequestration per FU]]/EPDInput[[#This Row],[Mass (kg/FU)]],"-")</f>
        <v>-</v>
      </c>
      <c r="M128" s="686">
        <f t="shared" si="2"/>
        <v>0</v>
      </c>
      <c r="N128" s="687" t="str">
        <f>IFERROR(VLOOKUP(EPDInput[[#This Row],[EPD Type]],DataQuality[], 2, FALSE),"-")</f>
        <v>-</v>
      </c>
      <c r="O128" s="385"/>
    </row>
    <row r="129" spans="2:15" ht="14.4" x14ac:dyDescent="0.3">
      <c r="B129" s="385" t="s">
        <v>1228</v>
      </c>
      <c r="C129" s="621"/>
      <c r="D129" s="621"/>
      <c r="E129" s="621"/>
      <c r="F129" s="621"/>
      <c r="G129" s="621"/>
      <c r="H129" s="622"/>
      <c r="I129" s="622"/>
      <c r="J129" s="685" t="str">
        <f>IFERROR(EPDInput[[#This Row],[Fossil Fuel A1-3 GWP (kgCO2e/FU)]]/EPDInput[[#This Row],[Mass (kg/FU)]],"-")</f>
        <v>-</v>
      </c>
      <c r="K129" s="622"/>
      <c r="L129" s="685" t="str">
        <f>IFERROR(EPDInput[[#This Row],[Sequestration per FU]]/EPDInput[[#This Row],[Mass (kg/FU)]],"-")</f>
        <v>-</v>
      </c>
      <c r="M129" s="686">
        <f t="shared" si="2"/>
        <v>0</v>
      </c>
      <c r="N129" s="687" t="str">
        <f>IFERROR(VLOOKUP(EPDInput[[#This Row],[EPD Type]],DataQuality[], 2, FALSE),"-")</f>
        <v>-</v>
      </c>
      <c r="O129" s="385"/>
    </row>
    <row r="130" spans="2:15" ht="14.4" x14ac:dyDescent="0.3">
      <c r="B130" s="385" t="s">
        <v>1229</v>
      </c>
      <c r="C130" s="621"/>
      <c r="D130" s="621"/>
      <c r="E130" s="621"/>
      <c r="F130" s="621"/>
      <c r="G130" s="621"/>
      <c r="H130" s="622"/>
      <c r="I130" s="622"/>
      <c r="J130" s="685" t="str">
        <f>IFERROR(EPDInput[[#This Row],[Fossil Fuel A1-3 GWP (kgCO2e/FU)]]/EPDInput[[#This Row],[Mass (kg/FU)]],"-")</f>
        <v>-</v>
      </c>
      <c r="K130" s="622"/>
      <c r="L130" s="685" t="str">
        <f>IFERROR(EPDInput[[#This Row],[Sequestration per FU]]/EPDInput[[#This Row],[Mass (kg/FU)]],"-")</f>
        <v>-</v>
      </c>
      <c r="M130" s="686">
        <f t="shared" si="2"/>
        <v>0</v>
      </c>
      <c r="N130" s="687" t="str">
        <f>IFERROR(VLOOKUP(EPDInput[[#This Row],[EPD Type]],DataQuality[], 2, FALSE),"-")</f>
        <v>-</v>
      </c>
      <c r="O130" s="385"/>
    </row>
    <row r="131" spans="2:15" ht="14.4" x14ac:dyDescent="0.3">
      <c r="B131" s="385" t="s">
        <v>1230</v>
      </c>
      <c r="C131" s="621"/>
      <c r="D131" s="621"/>
      <c r="E131" s="621"/>
      <c r="F131" s="621"/>
      <c r="G131" s="621"/>
      <c r="H131" s="622"/>
      <c r="I131" s="622"/>
      <c r="J131" s="685" t="str">
        <f>IFERROR(EPDInput[[#This Row],[Fossil Fuel A1-3 GWP (kgCO2e/FU)]]/EPDInput[[#This Row],[Mass (kg/FU)]],"-")</f>
        <v>-</v>
      </c>
      <c r="K131" s="622"/>
      <c r="L131" s="685" t="str">
        <f>IFERROR(EPDInput[[#This Row],[Sequestration per FU]]/EPDInput[[#This Row],[Mass (kg/FU)]],"-")</f>
        <v>-</v>
      </c>
      <c r="M131" s="686">
        <f t="shared" si="2"/>
        <v>0</v>
      </c>
      <c r="N131" s="687" t="str">
        <f>IFERROR(VLOOKUP(EPDInput[[#This Row],[EPD Type]],DataQuality[], 2, FALSE),"-")</f>
        <v>-</v>
      </c>
      <c r="O131" s="385"/>
    </row>
    <row r="132" spans="2:15" ht="14.4" x14ac:dyDescent="0.3">
      <c r="B132" s="385" t="s">
        <v>1231</v>
      </c>
      <c r="C132" s="621"/>
      <c r="D132" s="621"/>
      <c r="E132" s="621"/>
      <c r="F132" s="621"/>
      <c r="G132" s="621"/>
      <c r="H132" s="622"/>
      <c r="I132" s="622"/>
      <c r="J132" s="685" t="str">
        <f>IFERROR(EPDInput[[#This Row],[Fossil Fuel A1-3 GWP (kgCO2e/FU)]]/EPDInput[[#This Row],[Mass (kg/FU)]],"-")</f>
        <v>-</v>
      </c>
      <c r="K132" s="622"/>
      <c r="L132" s="685" t="str">
        <f>IFERROR(EPDInput[[#This Row],[Sequestration per FU]]/EPDInput[[#This Row],[Mass (kg/FU)]],"-")</f>
        <v>-</v>
      </c>
      <c r="M132" s="686">
        <f t="shared" si="2"/>
        <v>0</v>
      </c>
      <c r="N132" s="687" t="str">
        <f>IFERROR(VLOOKUP(EPDInput[[#This Row],[EPD Type]],DataQuality[], 2, FALSE),"-")</f>
        <v>-</v>
      </c>
      <c r="O132" s="385"/>
    </row>
    <row r="133" spans="2:15" ht="14.4" x14ac:dyDescent="0.3">
      <c r="B133" s="385" t="s">
        <v>1232</v>
      </c>
      <c r="C133" s="621"/>
      <c r="D133" s="621"/>
      <c r="E133" s="621"/>
      <c r="F133" s="621"/>
      <c r="G133" s="621"/>
      <c r="H133" s="622"/>
      <c r="I133" s="622"/>
      <c r="J133" s="685" t="str">
        <f>IFERROR(EPDInput[[#This Row],[Fossil Fuel A1-3 GWP (kgCO2e/FU)]]/EPDInput[[#This Row],[Mass (kg/FU)]],"-")</f>
        <v>-</v>
      </c>
      <c r="K133" s="622"/>
      <c r="L133" s="685" t="str">
        <f>IFERROR(EPDInput[[#This Row],[Sequestration per FU]]/EPDInput[[#This Row],[Mass (kg/FU)]],"-")</f>
        <v>-</v>
      </c>
      <c r="M133" s="686">
        <f t="shared" si="2"/>
        <v>0</v>
      </c>
      <c r="N133" s="687" t="str">
        <f>IFERROR(VLOOKUP(EPDInput[[#This Row],[EPD Type]],DataQuality[], 2, FALSE),"-")</f>
        <v>-</v>
      </c>
      <c r="O133" s="385"/>
    </row>
    <row r="134" spans="2:15" ht="14.4" x14ac:dyDescent="0.3">
      <c r="B134" s="385" t="s">
        <v>1233</v>
      </c>
      <c r="C134" s="621"/>
      <c r="D134" s="621"/>
      <c r="E134" s="621"/>
      <c r="F134" s="621"/>
      <c r="G134" s="621"/>
      <c r="H134" s="622"/>
      <c r="I134" s="622"/>
      <c r="J134" s="685" t="str">
        <f>IFERROR(EPDInput[[#This Row],[Fossil Fuel A1-3 GWP (kgCO2e/FU)]]/EPDInput[[#This Row],[Mass (kg/FU)]],"-")</f>
        <v>-</v>
      </c>
      <c r="K134" s="622"/>
      <c r="L134" s="685" t="str">
        <f>IFERROR(EPDInput[[#This Row],[Sequestration per FU]]/EPDInput[[#This Row],[Mass (kg/FU)]],"-")</f>
        <v>-</v>
      </c>
      <c r="M134" s="686">
        <f t="shared" si="2"/>
        <v>0</v>
      </c>
      <c r="N134" s="687" t="str">
        <f>IFERROR(VLOOKUP(EPDInput[[#This Row],[EPD Type]],DataQuality[], 2, FALSE),"-")</f>
        <v>-</v>
      </c>
      <c r="O134" s="385"/>
    </row>
    <row r="135" spans="2:15" ht="14.4" x14ac:dyDescent="0.3">
      <c r="B135" s="385" t="s">
        <v>1234</v>
      </c>
      <c r="C135" s="621"/>
      <c r="D135" s="621"/>
      <c r="E135" s="621"/>
      <c r="F135" s="621"/>
      <c r="G135" s="621"/>
      <c r="H135" s="622"/>
      <c r="I135" s="622"/>
      <c r="J135" s="685" t="str">
        <f>IFERROR(EPDInput[[#This Row],[Fossil Fuel A1-3 GWP (kgCO2e/FU)]]/EPDInput[[#This Row],[Mass (kg/FU)]],"-")</f>
        <v>-</v>
      </c>
      <c r="K135" s="622"/>
      <c r="L135" s="685" t="str">
        <f>IFERROR(EPDInput[[#This Row],[Sequestration per FU]]/EPDInput[[#This Row],[Mass (kg/FU)]],"-")</f>
        <v>-</v>
      </c>
      <c r="M135" s="686">
        <f t="shared" si="2"/>
        <v>0</v>
      </c>
      <c r="N135" s="687" t="str">
        <f>IFERROR(VLOOKUP(EPDInput[[#This Row],[EPD Type]],DataQuality[], 2, FALSE),"-")</f>
        <v>-</v>
      </c>
      <c r="O135" s="385"/>
    </row>
    <row r="136" spans="2:15" ht="14.4" x14ac:dyDescent="0.3">
      <c r="B136" s="385" t="s">
        <v>1235</v>
      </c>
      <c r="C136" s="621"/>
      <c r="D136" s="621"/>
      <c r="E136" s="621"/>
      <c r="F136" s="621"/>
      <c r="G136" s="621"/>
      <c r="H136" s="622"/>
      <c r="I136" s="622"/>
      <c r="J136" s="685" t="str">
        <f>IFERROR(EPDInput[[#This Row],[Fossil Fuel A1-3 GWP (kgCO2e/FU)]]/EPDInput[[#This Row],[Mass (kg/FU)]],"-")</f>
        <v>-</v>
      </c>
      <c r="K136" s="622"/>
      <c r="L136" s="685" t="str">
        <f>IFERROR(EPDInput[[#This Row],[Sequestration per FU]]/EPDInput[[#This Row],[Mass (kg/FU)]],"-")</f>
        <v>-</v>
      </c>
      <c r="M136" s="686">
        <f t="shared" si="2"/>
        <v>0</v>
      </c>
      <c r="N136" s="687" t="str">
        <f>IFERROR(VLOOKUP(EPDInput[[#This Row],[EPD Type]],DataQuality[], 2, FALSE),"-")</f>
        <v>-</v>
      </c>
      <c r="O136" s="385"/>
    </row>
    <row r="137" spans="2:15" ht="14.4" x14ac:dyDescent="0.3">
      <c r="B137" s="385" t="s">
        <v>1236</v>
      </c>
      <c r="C137" s="621"/>
      <c r="D137" s="621"/>
      <c r="E137" s="621"/>
      <c r="F137" s="621"/>
      <c r="G137" s="621"/>
      <c r="H137" s="622"/>
      <c r="I137" s="622"/>
      <c r="J137" s="685" t="str">
        <f>IFERROR(EPDInput[[#This Row],[Fossil Fuel A1-3 GWP (kgCO2e/FU)]]/EPDInput[[#This Row],[Mass (kg/FU)]],"-")</f>
        <v>-</v>
      </c>
      <c r="K137" s="622"/>
      <c r="L137" s="685" t="str">
        <f>IFERROR(EPDInput[[#This Row],[Sequestration per FU]]/EPDInput[[#This Row],[Mass (kg/FU)]],"-")</f>
        <v>-</v>
      </c>
      <c r="M137" s="686">
        <f t="shared" si="2"/>
        <v>0</v>
      </c>
      <c r="N137" s="687" t="str">
        <f>IFERROR(VLOOKUP(EPDInput[[#This Row],[EPD Type]],DataQuality[], 2, FALSE),"-")</f>
        <v>-</v>
      </c>
      <c r="O137" s="385"/>
    </row>
    <row r="138" spans="2:15" ht="14.4" x14ac:dyDescent="0.3">
      <c r="B138" s="385" t="s">
        <v>1237</v>
      </c>
      <c r="C138" s="621"/>
      <c r="D138" s="621"/>
      <c r="E138" s="621"/>
      <c r="F138" s="621"/>
      <c r="G138" s="621"/>
      <c r="H138" s="622"/>
      <c r="I138" s="622"/>
      <c r="J138" s="685" t="str">
        <f>IFERROR(EPDInput[[#This Row],[Fossil Fuel A1-3 GWP (kgCO2e/FU)]]/EPDInput[[#This Row],[Mass (kg/FU)]],"-")</f>
        <v>-</v>
      </c>
      <c r="K138" s="622"/>
      <c r="L138" s="685" t="str">
        <f>IFERROR(EPDInput[[#This Row],[Sequestration per FU]]/EPDInput[[#This Row],[Mass (kg/FU)]],"-")</f>
        <v>-</v>
      </c>
      <c r="M138" s="686">
        <f t="shared" si="2"/>
        <v>0</v>
      </c>
      <c r="N138" s="687" t="str">
        <f>IFERROR(VLOOKUP(EPDInput[[#This Row],[EPD Type]],DataQuality[], 2, FALSE),"-")</f>
        <v>-</v>
      </c>
      <c r="O138" s="385"/>
    </row>
    <row r="139" spans="2:15" ht="14.4" x14ac:dyDescent="0.3">
      <c r="B139" s="385" t="s">
        <v>1238</v>
      </c>
      <c r="C139" s="621"/>
      <c r="D139" s="621"/>
      <c r="E139" s="621"/>
      <c r="F139" s="621"/>
      <c r="G139" s="621"/>
      <c r="H139" s="622"/>
      <c r="I139" s="622"/>
      <c r="J139" s="685" t="str">
        <f>IFERROR(EPDInput[[#This Row],[Fossil Fuel A1-3 GWP (kgCO2e/FU)]]/EPDInput[[#This Row],[Mass (kg/FU)]],"-")</f>
        <v>-</v>
      </c>
      <c r="K139" s="622"/>
      <c r="L139" s="685" t="str">
        <f>IFERROR(EPDInput[[#This Row],[Sequestration per FU]]/EPDInput[[#This Row],[Mass (kg/FU)]],"-")</f>
        <v>-</v>
      </c>
      <c r="M139" s="686">
        <f t="shared" si="2"/>
        <v>0</v>
      </c>
      <c r="N139" s="687" t="str">
        <f>IFERROR(VLOOKUP(EPDInput[[#This Row],[EPD Type]],DataQuality[], 2, FALSE),"-")</f>
        <v>-</v>
      </c>
      <c r="O139" s="385"/>
    </row>
    <row r="140" spans="2:15" ht="14.4" x14ac:dyDescent="0.3">
      <c r="B140" s="385" t="s">
        <v>1239</v>
      </c>
      <c r="C140" s="621"/>
      <c r="D140" s="621"/>
      <c r="E140" s="621"/>
      <c r="F140" s="621"/>
      <c r="G140" s="621"/>
      <c r="H140" s="622"/>
      <c r="I140" s="622"/>
      <c r="J140" s="685" t="str">
        <f>IFERROR(EPDInput[[#This Row],[Fossil Fuel A1-3 GWP (kgCO2e/FU)]]/EPDInput[[#This Row],[Mass (kg/FU)]],"-")</f>
        <v>-</v>
      </c>
      <c r="K140" s="622"/>
      <c r="L140" s="685" t="str">
        <f>IFERROR(EPDInput[[#This Row],[Sequestration per FU]]/EPDInput[[#This Row],[Mass (kg/FU)]],"-")</f>
        <v>-</v>
      </c>
      <c r="M140" s="686">
        <f t="shared" si="2"/>
        <v>0</v>
      </c>
      <c r="N140" s="687" t="str">
        <f>IFERROR(VLOOKUP(EPDInput[[#This Row],[EPD Type]],DataQuality[], 2, FALSE),"-")</f>
        <v>-</v>
      </c>
      <c r="O140" s="385"/>
    </row>
    <row r="141" spans="2:15" ht="14.4" x14ac:dyDescent="0.3">
      <c r="B141" s="385" t="s">
        <v>1240</v>
      </c>
      <c r="C141" s="621"/>
      <c r="D141" s="621"/>
      <c r="E141" s="621"/>
      <c r="F141" s="621"/>
      <c r="G141" s="621"/>
      <c r="H141" s="622"/>
      <c r="I141" s="622"/>
      <c r="J141" s="685" t="str">
        <f>IFERROR(EPDInput[[#This Row],[Fossil Fuel A1-3 GWP (kgCO2e/FU)]]/EPDInput[[#This Row],[Mass (kg/FU)]],"-")</f>
        <v>-</v>
      </c>
      <c r="K141" s="622"/>
      <c r="L141" s="685" t="str">
        <f>IFERROR(EPDInput[[#This Row],[Sequestration per FU]]/EPDInput[[#This Row],[Mass (kg/FU)]],"-")</f>
        <v>-</v>
      </c>
      <c r="M141" s="686">
        <f t="shared" si="2"/>
        <v>0</v>
      </c>
      <c r="N141" s="687" t="str">
        <f>IFERROR(VLOOKUP(EPDInput[[#This Row],[EPD Type]],DataQuality[], 2, FALSE),"-")</f>
        <v>-</v>
      </c>
      <c r="O141" s="385"/>
    </row>
    <row r="142" spans="2:15" ht="14.4" x14ac:dyDescent="0.3">
      <c r="B142" s="385" t="s">
        <v>1241</v>
      </c>
      <c r="C142" s="621"/>
      <c r="D142" s="621"/>
      <c r="E142" s="621"/>
      <c r="F142" s="621"/>
      <c r="G142" s="621"/>
      <c r="H142" s="622"/>
      <c r="I142" s="622"/>
      <c r="J142" s="685" t="str">
        <f>IFERROR(EPDInput[[#This Row],[Fossil Fuel A1-3 GWP (kgCO2e/FU)]]/EPDInput[[#This Row],[Mass (kg/FU)]],"-")</f>
        <v>-</v>
      </c>
      <c r="K142" s="622"/>
      <c r="L142" s="685" t="str">
        <f>IFERROR(EPDInput[[#This Row],[Sequestration per FU]]/EPDInput[[#This Row],[Mass (kg/FU)]],"-")</f>
        <v>-</v>
      </c>
      <c r="M142" s="686">
        <f t="shared" si="2"/>
        <v>0</v>
      </c>
      <c r="N142" s="687" t="str">
        <f>IFERROR(VLOOKUP(EPDInput[[#This Row],[EPD Type]],DataQuality[], 2, FALSE),"-")</f>
        <v>-</v>
      </c>
      <c r="O142" s="385"/>
    </row>
    <row r="143" spans="2:15" ht="14.4" x14ac:dyDescent="0.3">
      <c r="B143" s="385" t="s">
        <v>1242</v>
      </c>
      <c r="C143" s="621"/>
      <c r="D143" s="621"/>
      <c r="E143" s="621"/>
      <c r="F143" s="621"/>
      <c r="G143" s="621"/>
      <c r="H143" s="622"/>
      <c r="I143" s="622"/>
      <c r="J143" s="685" t="str">
        <f>IFERROR(EPDInput[[#This Row],[Fossil Fuel A1-3 GWP (kgCO2e/FU)]]/EPDInput[[#This Row],[Mass (kg/FU)]],"-")</f>
        <v>-</v>
      </c>
      <c r="K143" s="622"/>
      <c r="L143" s="685" t="str">
        <f>IFERROR(EPDInput[[#This Row],[Sequestration per FU]]/EPDInput[[#This Row],[Mass (kg/FU)]],"-")</f>
        <v>-</v>
      </c>
      <c r="M143" s="686">
        <f t="shared" si="2"/>
        <v>0</v>
      </c>
      <c r="N143" s="687" t="str">
        <f>IFERROR(VLOOKUP(EPDInput[[#This Row],[EPD Type]],DataQuality[], 2, FALSE),"-")</f>
        <v>-</v>
      </c>
      <c r="O143" s="385"/>
    </row>
    <row r="144" spans="2:15" ht="14.4" x14ac:dyDescent="0.3">
      <c r="B144" s="385" t="s">
        <v>1243</v>
      </c>
      <c r="C144" s="621"/>
      <c r="D144" s="621"/>
      <c r="E144" s="621"/>
      <c r="F144" s="621"/>
      <c r="G144" s="621"/>
      <c r="H144" s="622"/>
      <c r="I144" s="622"/>
      <c r="J144" s="685" t="str">
        <f>IFERROR(EPDInput[[#This Row],[Fossil Fuel A1-3 GWP (kgCO2e/FU)]]/EPDInput[[#This Row],[Mass (kg/FU)]],"-")</f>
        <v>-</v>
      </c>
      <c r="K144" s="622"/>
      <c r="L144" s="685" t="str">
        <f>IFERROR(EPDInput[[#This Row],[Sequestration per FU]]/EPDInput[[#This Row],[Mass (kg/FU)]],"-")</f>
        <v>-</v>
      </c>
      <c r="M144" s="686">
        <f t="shared" si="2"/>
        <v>0</v>
      </c>
      <c r="N144" s="687" t="str">
        <f>IFERROR(VLOOKUP(EPDInput[[#This Row],[EPD Type]],DataQuality[], 2, FALSE),"-")</f>
        <v>-</v>
      </c>
      <c r="O144" s="385"/>
    </row>
    <row r="145" spans="2:15" ht="14.4" x14ac:dyDescent="0.3">
      <c r="B145" s="385" t="s">
        <v>1244</v>
      </c>
      <c r="C145" s="621"/>
      <c r="D145" s="621"/>
      <c r="E145" s="621"/>
      <c r="F145" s="621"/>
      <c r="G145" s="621"/>
      <c r="H145" s="622"/>
      <c r="I145" s="622"/>
      <c r="J145" s="685" t="str">
        <f>IFERROR(EPDInput[[#This Row],[Fossil Fuel A1-3 GWP (kgCO2e/FU)]]/EPDInput[[#This Row],[Mass (kg/FU)]],"-")</f>
        <v>-</v>
      </c>
      <c r="K145" s="622"/>
      <c r="L145" s="685" t="str">
        <f>IFERROR(EPDInput[[#This Row],[Sequestration per FU]]/EPDInput[[#This Row],[Mass (kg/FU)]],"-")</f>
        <v>-</v>
      </c>
      <c r="M145" s="686">
        <f t="shared" si="2"/>
        <v>0</v>
      </c>
      <c r="N145" s="687" t="str">
        <f>IFERROR(VLOOKUP(EPDInput[[#This Row],[EPD Type]],DataQuality[], 2, FALSE),"-")</f>
        <v>-</v>
      </c>
      <c r="O145" s="385"/>
    </row>
    <row r="146" spans="2:15" ht="14.4" x14ac:dyDescent="0.3">
      <c r="B146" s="385" t="s">
        <v>1245</v>
      </c>
      <c r="C146" s="621"/>
      <c r="D146" s="621"/>
      <c r="E146" s="621"/>
      <c r="F146" s="621"/>
      <c r="G146" s="621"/>
      <c r="H146" s="622"/>
      <c r="I146" s="622"/>
      <c r="J146" s="685" t="str">
        <f>IFERROR(EPDInput[[#This Row],[Fossil Fuel A1-3 GWP (kgCO2e/FU)]]/EPDInput[[#This Row],[Mass (kg/FU)]],"-")</f>
        <v>-</v>
      </c>
      <c r="K146" s="622"/>
      <c r="L146" s="685" t="str">
        <f>IFERROR(EPDInput[[#This Row],[Sequestration per FU]]/EPDInput[[#This Row],[Mass (kg/FU)]],"-")</f>
        <v>-</v>
      </c>
      <c r="M146" s="686">
        <f t="shared" si="2"/>
        <v>0</v>
      </c>
      <c r="N146" s="687" t="str">
        <f>IFERROR(VLOOKUP(EPDInput[[#This Row],[EPD Type]],DataQuality[], 2, FALSE),"-")</f>
        <v>-</v>
      </c>
      <c r="O146" s="385"/>
    </row>
    <row r="147" spans="2:15" ht="14.4" x14ac:dyDescent="0.3">
      <c r="B147" s="385" t="s">
        <v>1246</v>
      </c>
      <c r="C147" s="621"/>
      <c r="D147" s="621"/>
      <c r="E147" s="621"/>
      <c r="F147" s="621"/>
      <c r="G147" s="621"/>
      <c r="H147" s="622"/>
      <c r="I147" s="622"/>
      <c r="J147" s="685" t="str">
        <f>IFERROR(EPDInput[[#This Row],[Fossil Fuel A1-3 GWP (kgCO2e/FU)]]/EPDInput[[#This Row],[Mass (kg/FU)]],"-")</f>
        <v>-</v>
      </c>
      <c r="K147" s="622"/>
      <c r="L147" s="685" t="str">
        <f>IFERROR(EPDInput[[#This Row],[Sequestration per FU]]/EPDInput[[#This Row],[Mass (kg/FU)]],"-")</f>
        <v>-</v>
      </c>
      <c r="M147" s="686">
        <f t="shared" si="2"/>
        <v>0</v>
      </c>
      <c r="N147" s="687" t="str">
        <f>IFERROR(VLOOKUP(EPDInput[[#This Row],[EPD Type]],DataQuality[], 2, FALSE),"-")</f>
        <v>-</v>
      </c>
      <c r="O147" s="385"/>
    </row>
    <row r="148" spans="2:15" ht="14.4" x14ac:dyDescent="0.3">
      <c r="B148" s="385" t="s">
        <v>1247</v>
      </c>
      <c r="C148" s="621"/>
      <c r="D148" s="621"/>
      <c r="E148" s="621"/>
      <c r="F148" s="621"/>
      <c r="G148" s="621"/>
      <c r="H148" s="622"/>
      <c r="I148" s="622"/>
      <c r="J148" s="685" t="str">
        <f>IFERROR(EPDInput[[#This Row],[Fossil Fuel A1-3 GWP (kgCO2e/FU)]]/EPDInput[[#This Row],[Mass (kg/FU)]],"-")</f>
        <v>-</v>
      </c>
      <c r="K148" s="622"/>
      <c r="L148" s="685" t="str">
        <f>IFERROR(EPDInput[[#This Row],[Sequestration per FU]]/EPDInput[[#This Row],[Mass (kg/FU)]],"-")</f>
        <v>-</v>
      </c>
      <c r="M148" s="686">
        <f t="shared" si="2"/>
        <v>0</v>
      </c>
      <c r="N148" s="687" t="str">
        <f>IFERROR(VLOOKUP(EPDInput[[#This Row],[EPD Type]],DataQuality[], 2, FALSE),"-")</f>
        <v>-</v>
      </c>
      <c r="O148" s="385"/>
    </row>
    <row r="149" spans="2:15" ht="14.4" x14ac:dyDescent="0.3">
      <c r="B149" s="385" t="s">
        <v>1248</v>
      </c>
      <c r="C149" s="621"/>
      <c r="D149" s="621"/>
      <c r="E149" s="621"/>
      <c r="F149" s="621"/>
      <c r="G149" s="621"/>
      <c r="H149" s="622"/>
      <c r="I149" s="622"/>
      <c r="J149" s="685" t="str">
        <f>IFERROR(EPDInput[[#This Row],[Fossil Fuel A1-3 GWP (kgCO2e/FU)]]/EPDInput[[#This Row],[Mass (kg/FU)]],"-")</f>
        <v>-</v>
      </c>
      <c r="K149" s="622"/>
      <c r="L149" s="685" t="str">
        <f>IFERROR(EPDInput[[#This Row],[Sequestration per FU]]/EPDInput[[#This Row],[Mass (kg/FU)]],"-")</f>
        <v>-</v>
      </c>
      <c r="M149" s="686">
        <f t="shared" si="2"/>
        <v>0</v>
      </c>
      <c r="N149" s="687" t="str">
        <f>IFERROR(VLOOKUP(EPDInput[[#This Row],[EPD Type]],DataQuality[], 2, FALSE),"-")</f>
        <v>-</v>
      </c>
      <c r="O149" s="385"/>
    </row>
    <row r="150" spans="2:15" ht="14.4" x14ac:dyDescent="0.3">
      <c r="B150" s="385" t="s">
        <v>1249</v>
      </c>
      <c r="C150" s="621"/>
      <c r="D150" s="621"/>
      <c r="E150" s="621"/>
      <c r="F150" s="621"/>
      <c r="G150" s="621"/>
      <c r="H150" s="622"/>
      <c r="I150" s="622"/>
      <c r="J150" s="685" t="str">
        <f>IFERROR(EPDInput[[#This Row],[Fossil Fuel A1-3 GWP (kgCO2e/FU)]]/EPDInput[[#This Row],[Mass (kg/FU)]],"-")</f>
        <v>-</v>
      </c>
      <c r="K150" s="622"/>
      <c r="L150" s="685" t="str">
        <f>IFERROR(EPDInput[[#This Row],[Sequestration per FU]]/EPDInput[[#This Row],[Mass (kg/FU)]],"-")</f>
        <v>-</v>
      </c>
      <c r="M150" s="686">
        <f t="shared" si="2"/>
        <v>0</v>
      </c>
      <c r="N150" s="687" t="str">
        <f>IFERROR(VLOOKUP(EPDInput[[#This Row],[EPD Type]],DataQuality[], 2, FALSE),"-")</f>
        <v>-</v>
      </c>
      <c r="O150" s="385"/>
    </row>
    <row r="151" spans="2:15" ht="14.4" x14ac:dyDescent="0.3">
      <c r="B151" s="385" t="s">
        <v>1250</v>
      </c>
      <c r="C151" s="621"/>
      <c r="D151" s="621"/>
      <c r="E151" s="621"/>
      <c r="F151" s="621"/>
      <c r="G151" s="621"/>
      <c r="H151" s="622"/>
      <c r="I151" s="622"/>
      <c r="J151" s="685" t="str">
        <f>IFERROR(EPDInput[[#This Row],[Fossil Fuel A1-3 GWP (kgCO2e/FU)]]/EPDInput[[#This Row],[Mass (kg/FU)]],"-")</f>
        <v>-</v>
      </c>
      <c r="K151" s="622"/>
      <c r="L151" s="685" t="str">
        <f>IFERROR(EPDInput[[#This Row],[Sequestration per FU]]/EPDInput[[#This Row],[Mass (kg/FU)]],"-")</f>
        <v>-</v>
      </c>
      <c r="M151" s="686">
        <f t="shared" si="2"/>
        <v>0</v>
      </c>
      <c r="N151" s="687" t="str">
        <f>IFERROR(VLOOKUP(EPDInput[[#This Row],[EPD Type]],DataQuality[], 2, FALSE),"-")</f>
        <v>-</v>
      </c>
      <c r="O151" s="385"/>
    </row>
    <row r="152" spans="2:15" x14ac:dyDescent="0.3">
      <c r="G152" s="623"/>
      <c r="M152" s="624"/>
    </row>
    <row r="153" spans="2:15" x14ac:dyDescent="0.3">
      <c r="G153" s="623"/>
      <c r="M153" s="624"/>
    </row>
    <row r="154" spans="2:15" x14ac:dyDescent="0.3">
      <c r="G154" s="623"/>
      <c r="M154" s="624"/>
    </row>
    <row r="155" spans="2:15" x14ac:dyDescent="0.3">
      <c r="G155" s="623"/>
      <c r="M155" s="624"/>
    </row>
    <row r="156" spans="2:15" x14ac:dyDescent="0.3">
      <c r="G156" s="623"/>
      <c r="M156" s="624"/>
    </row>
    <row r="157" spans="2:15" x14ac:dyDescent="0.3">
      <c r="G157" s="623"/>
      <c r="M157" s="624"/>
    </row>
    <row r="158" spans="2:15" x14ac:dyDescent="0.3">
      <c r="G158" s="623"/>
      <c r="M158" s="624"/>
    </row>
    <row r="159" spans="2:15" x14ac:dyDescent="0.3">
      <c r="G159" s="623"/>
      <c r="M159" s="624"/>
    </row>
    <row r="160" spans="2:15" x14ac:dyDescent="0.3">
      <c r="G160" s="623"/>
      <c r="M160" s="624"/>
    </row>
    <row r="161" spans="7:13" x14ac:dyDescent="0.3">
      <c r="G161" s="623"/>
      <c r="M161" s="624"/>
    </row>
    <row r="162" spans="7:13" x14ac:dyDescent="0.3">
      <c r="G162" s="623"/>
      <c r="M162" s="624"/>
    </row>
    <row r="163" spans="7:13" x14ac:dyDescent="0.3">
      <c r="G163" s="623"/>
      <c r="M163" s="624"/>
    </row>
    <row r="164" spans="7:13" x14ac:dyDescent="0.3">
      <c r="G164" s="623"/>
      <c r="M164" s="624"/>
    </row>
    <row r="165" spans="7:13" x14ac:dyDescent="0.3">
      <c r="G165" s="623"/>
      <c r="M165" s="624"/>
    </row>
    <row r="166" spans="7:13" x14ac:dyDescent="0.3">
      <c r="G166" s="623"/>
      <c r="M166" s="624"/>
    </row>
    <row r="167" spans="7:13" x14ac:dyDescent="0.3">
      <c r="G167" s="623"/>
      <c r="M167" s="624"/>
    </row>
    <row r="168" spans="7:13" x14ac:dyDescent="0.3">
      <c r="G168" s="623"/>
      <c r="M168" s="624"/>
    </row>
    <row r="169" spans="7:13" x14ac:dyDescent="0.3">
      <c r="G169" s="623"/>
      <c r="M169" s="624"/>
    </row>
    <row r="170" spans="7:13" x14ac:dyDescent="0.3">
      <c r="G170" s="623"/>
      <c r="M170" s="624"/>
    </row>
    <row r="171" spans="7:13" x14ac:dyDescent="0.3">
      <c r="G171" s="623"/>
      <c r="M171" s="624"/>
    </row>
    <row r="172" spans="7:13" x14ac:dyDescent="0.3">
      <c r="G172" s="623"/>
      <c r="M172" s="624"/>
    </row>
    <row r="173" spans="7:13" x14ac:dyDescent="0.3">
      <c r="G173" s="623"/>
      <c r="M173" s="624"/>
    </row>
    <row r="174" spans="7:13" x14ac:dyDescent="0.3">
      <c r="G174" s="623"/>
      <c r="M174" s="624"/>
    </row>
    <row r="175" spans="7:13" x14ac:dyDescent="0.3">
      <c r="G175" s="623"/>
      <c r="M175" s="624"/>
    </row>
    <row r="176" spans="7:13" x14ac:dyDescent="0.3">
      <c r="G176" s="623"/>
      <c r="M176" s="624"/>
    </row>
    <row r="177" spans="7:13" x14ac:dyDescent="0.3">
      <c r="G177" s="623"/>
      <c r="M177" s="624"/>
    </row>
    <row r="178" spans="7:13" x14ac:dyDescent="0.3">
      <c r="G178" s="623"/>
      <c r="M178" s="624"/>
    </row>
    <row r="179" spans="7:13" x14ac:dyDescent="0.3">
      <c r="G179" s="623"/>
      <c r="M179" s="624"/>
    </row>
    <row r="180" spans="7:13" x14ac:dyDescent="0.3">
      <c r="G180" s="623"/>
      <c r="M180" s="624"/>
    </row>
    <row r="181" spans="7:13" x14ac:dyDescent="0.3">
      <c r="G181" s="623"/>
      <c r="M181" s="624"/>
    </row>
    <row r="182" spans="7:13" x14ac:dyDescent="0.3">
      <c r="G182" s="623"/>
      <c r="M182" s="624"/>
    </row>
    <row r="183" spans="7:13" x14ac:dyDescent="0.3">
      <c r="G183" s="623"/>
      <c r="M183" s="624"/>
    </row>
    <row r="184" spans="7:13" x14ac:dyDescent="0.3">
      <c r="G184" s="623"/>
      <c r="M184" s="624"/>
    </row>
    <row r="185" spans="7:13" x14ac:dyDescent="0.3">
      <c r="G185" s="623"/>
      <c r="M185" s="624"/>
    </row>
    <row r="186" spans="7:13" x14ac:dyDescent="0.3">
      <c r="G186" s="623"/>
      <c r="M186" s="624"/>
    </row>
    <row r="187" spans="7:13" x14ac:dyDescent="0.3">
      <c r="G187" s="623"/>
      <c r="M187" s="624"/>
    </row>
    <row r="188" spans="7:13" x14ac:dyDescent="0.3">
      <c r="G188" s="623"/>
      <c r="M188" s="624"/>
    </row>
    <row r="189" spans="7:13" x14ac:dyDescent="0.3">
      <c r="G189" s="623"/>
      <c r="M189" s="624"/>
    </row>
    <row r="190" spans="7:13" x14ac:dyDescent="0.3">
      <c r="G190" s="623"/>
      <c r="M190" s="624"/>
    </row>
    <row r="191" spans="7:13" x14ac:dyDescent="0.3">
      <c r="G191" s="623"/>
      <c r="M191" s="624"/>
    </row>
    <row r="192" spans="7:13" x14ac:dyDescent="0.3">
      <c r="G192" s="623"/>
      <c r="M192" s="624"/>
    </row>
    <row r="193" spans="7:13" x14ac:dyDescent="0.3">
      <c r="G193" s="623"/>
      <c r="M193" s="624"/>
    </row>
    <row r="194" spans="7:13" x14ac:dyDescent="0.3">
      <c r="G194" s="623"/>
      <c r="M194" s="624"/>
    </row>
    <row r="195" spans="7:13" x14ac:dyDescent="0.3">
      <c r="G195" s="623"/>
      <c r="M195" s="624"/>
    </row>
    <row r="196" spans="7:13" x14ac:dyDescent="0.3">
      <c r="G196" s="623"/>
      <c r="M196" s="624"/>
    </row>
    <row r="197" spans="7:13" x14ac:dyDescent="0.3">
      <c r="G197" s="623"/>
      <c r="M197" s="624"/>
    </row>
    <row r="198" spans="7:13" x14ac:dyDescent="0.3">
      <c r="G198" s="623"/>
      <c r="M198" s="624"/>
    </row>
    <row r="199" spans="7:13" x14ac:dyDescent="0.3">
      <c r="G199" s="623"/>
      <c r="M199" s="624"/>
    </row>
    <row r="200" spans="7:13" x14ac:dyDescent="0.3">
      <c r="G200" s="623"/>
      <c r="M200" s="624"/>
    </row>
    <row r="201" spans="7:13" x14ac:dyDescent="0.3">
      <c r="G201" s="623"/>
      <c r="M201" s="624"/>
    </row>
    <row r="202" spans="7:13" x14ac:dyDescent="0.3">
      <c r="G202" s="623"/>
      <c r="M202" s="624"/>
    </row>
    <row r="203" spans="7:13" x14ac:dyDescent="0.3">
      <c r="G203" s="623"/>
      <c r="M203" s="624"/>
    </row>
    <row r="204" spans="7:13" x14ac:dyDescent="0.3">
      <c r="G204" s="623"/>
      <c r="M204" s="624"/>
    </row>
    <row r="205" spans="7:13" x14ac:dyDescent="0.3">
      <c r="G205" s="623"/>
      <c r="M205" s="624"/>
    </row>
    <row r="206" spans="7:13" x14ac:dyDescent="0.3">
      <c r="G206" s="623"/>
      <c r="M206" s="624"/>
    </row>
    <row r="207" spans="7:13" x14ac:dyDescent="0.3">
      <c r="G207" s="623"/>
      <c r="M207" s="624"/>
    </row>
    <row r="208" spans="7:13" x14ac:dyDescent="0.3">
      <c r="G208" s="623"/>
      <c r="M208" s="624"/>
    </row>
    <row r="209" spans="7:13" x14ac:dyDescent="0.3">
      <c r="G209" s="623"/>
      <c r="M209" s="624"/>
    </row>
    <row r="210" spans="7:13" x14ac:dyDescent="0.3">
      <c r="G210" s="623"/>
      <c r="M210" s="624"/>
    </row>
    <row r="211" spans="7:13" x14ac:dyDescent="0.3">
      <c r="G211" s="623"/>
      <c r="M211" s="624"/>
    </row>
    <row r="212" spans="7:13" x14ac:dyDescent="0.3">
      <c r="G212" s="623"/>
      <c r="M212" s="624"/>
    </row>
    <row r="213" spans="7:13" x14ac:dyDescent="0.3">
      <c r="G213" s="623"/>
      <c r="M213" s="624"/>
    </row>
    <row r="214" spans="7:13" x14ac:dyDescent="0.3">
      <c r="G214" s="623"/>
      <c r="M214" s="624"/>
    </row>
    <row r="215" spans="7:13" x14ac:dyDescent="0.3">
      <c r="G215" s="623"/>
      <c r="M215" s="624"/>
    </row>
    <row r="216" spans="7:13" x14ac:dyDescent="0.3">
      <c r="G216" s="623"/>
      <c r="M216" s="624"/>
    </row>
    <row r="217" spans="7:13" x14ac:dyDescent="0.3">
      <c r="G217" s="623"/>
      <c r="M217" s="624"/>
    </row>
    <row r="218" spans="7:13" x14ac:dyDescent="0.3">
      <c r="G218" s="623"/>
      <c r="M218" s="624"/>
    </row>
    <row r="219" spans="7:13" x14ac:dyDescent="0.3">
      <c r="G219" s="623"/>
      <c r="M219" s="624"/>
    </row>
    <row r="220" spans="7:13" x14ac:dyDescent="0.3">
      <c r="G220" s="623"/>
      <c r="M220" s="624"/>
    </row>
    <row r="221" spans="7:13" x14ac:dyDescent="0.3">
      <c r="G221" s="623"/>
      <c r="M221" s="624"/>
    </row>
    <row r="222" spans="7:13" x14ac:dyDescent="0.3">
      <c r="G222" s="623"/>
      <c r="M222" s="624"/>
    </row>
    <row r="223" spans="7:13" x14ac:dyDescent="0.3">
      <c r="G223" s="623"/>
      <c r="M223" s="624"/>
    </row>
    <row r="224" spans="7:13" x14ac:dyDescent="0.3">
      <c r="G224" s="623"/>
      <c r="M224" s="624"/>
    </row>
    <row r="225" spans="7:13" x14ac:dyDescent="0.3">
      <c r="G225" s="623"/>
      <c r="M225" s="624"/>
    </row>
    <row r="226" spans="7:13" x14ac:dyDescent="0.3">
      <c r="G226" s="623"/>
      <c r="M226" s="624"/>
    </row>
    <row r="227" spans="7:13" x14ac:dyDescent="0.3">
      <c r="G227" s="623"/>
      <c r="M227" s="624"/>
    </row>
    <row r="228" spans="7:13" x14ac:dyDescent="0.3">
      <c r="G228" s="623"/>
      <c r="M228" s="624"/>
    </row>
    <row r="229" spans="7:13" x14ac:dyDescent="0.3">
      <c r="G229" s="623"/>
      <c r="M229" s="624"/>
    </row>
    <row r="230" spans="7:13" x14ac:dyDescent="0.3">
      <c r="G230" s="623"/>
      <c r="M230" s="624"/>
    </row>
    <row r="231" spans="7:13" x14ac:dyDescent="0.3">
      <c r="G231" s="623"/>
      <c r="M231" s="624"/>
    </row>
    <row r="232" spans="7:13" x14ac:dyDescent="0.3">
      <c r="G232" s="623"/>
      <c r="M232" s="624"/>
    </row>
    <row r="233" spans="7:13" x14ac:dyDescent="0.3">
      <c r="G233" s="623"/>
      <c r="M233" s="624"/>
    </row>
    <row r="234" spans="7:13" x14ac:dyDescent="0.3">
      <c r="G234" s="623"/>
      <c r="M234" s="624"/>
    </row>
    <row r="235" spans="7:13" x14ac:dyDescent="0.3">
      <c r="G235" s="623"/>
      <c r="M235" s="624"/>
    </row>
    <row r="236" spans="7:13" x14ac:dyDescent="0.3">
      <c r="G236" s="623"/>
      <c r="M236" s="624"/>
    </row>
    <row r="237" spans="7:13" x14ac:dyDescent="0.3">
      <c r="G237" s="623"/>
      <c r="M237" s="624"/>
    </row>
    <row r="238" spans="7:13" x14ac:dyDescent="0.3">
      <c r="G238" s="623"/>
      <c r="M238" s="624"/>
    </row>
    <row r="239" spans="7:13" x14ac:dyDescent="0.3">
      <c r="G239" s="623"/>
      <c r="M239" s="624"/>
    </row>
    <row r="240" spans="7:13" x14ac:dyDescent="0.3">
      <c r="G240" s="623"/>
      <c r="M240" s="624"/>
    </row>
    <row r="241" spans="7:13" x14ac:dyDescent="0.3">
      <c r="G241" s="623"/>
      <c r="M241" s="624"/>
    </row>
    <row r="242" spans="7:13" x14ac:dyDescent="0.3">
      <c r="G242" s="623"/>
      <c r="M242" s="624"/>
    </row>
    <row r="243" spans="7:13" x14ac:dyDescent="0.3">
      <c r="G243" s="623"/>
      <c r="M243" s="624"/>
    </row>
    <row r="244" spans="7:13" x14ac:dyDescent="0.3">
      <c r="G244" s="623"/>
      <c r="M244" s="624"/>
    </row>
    <row r="245" spans="7:13" x14ac:dyDescent="0.3">
      <c r="G245" s="623"/>
      <c r="M245" s="624"/>
    </row>
    <row r="246" spans="7:13" x14ac:dyDescent="0.3">
      <c r="G246" s="623"/>
      <c r="M246" s="624"/>
    </row>
    <row r="247" spans="7:13" x14ac:dyDescent="0.3">
      <c r="G247" s="623"/>
      <c r="M247" s="624"/>
    </row>
    <row r="248" spans="7:13" x14ac:dyDescent="0.3">
      <c r="G248" s="623"/>
      <c r="M248" s="624"/>
    </row>
    <row r="249" spans="7:13" x14ac:dyDescent="0.3">
      <c r="G249" s="623"/>
      <c r="M249" s="624"/>
    </row>
    <row r="250" spans="7:13" x14ac:dyDescent="0.3">
      <c r="G250" s="623"/>
      <c r="M250" s="624"/>
    </row>
  </sheetData>
  <sheetProtection algorithmName="SHA-512" hashValue="Ok9eIbw/mEwHuXMtLVdt5TGb9L4GeOwswECHGlX5z8EU/VZfNIC1wM427bjAqXlNdIF7nMdH8w6Hqf65NrNeLg==" saltValue="47PxvTpHGc/KV9cYheMtow==" spinCount="100000" sheet="1" objects="1" scenarios="1"/>
  <mergeCells count="10">
    <mergeCell ref="Q3:X4"/>
    <mergeCell ref="Q5:X6"/>
    <mergeCell ref="Q7:X8"/>
    <mergeCell ref="Q9:X10"/>
    <mergeCell ref="Q11:X12"/>
    <mergeCell ref="Q13:X14"/>
    <mergeCell ref="Q15:X16"/>
    <mergeCell ref="Q17:X18"/>
    <mergeCell ref="Q19:X19"/>
    <mergeCell ref="Q20:X22"/>
  </mergeCells>
  <phoneticPr fontId="7" type="noConversion"/>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6">
        <x14:dataValidation type="list" allowBlank="1" showInputMessage="1" showErrorMessage="1" xr:uid="{44AF7194-92AB-45AC-BFF3-8194FB52F0E4}">
          <x14:formula1>
            <xm:f>Dropdowns!$L$1:$L$4</xm:f>
          </x14:formula1>
          <xm:sqref>D3:D151</xm:sqref>
        </x14:dataValidation>
        <x14:dataValidation type="list" allowBlank="1" showInputMessage="1" showErrorMessage="1" xr:uid="{2DA713B8-FA2B-420A-B78A-BC8422C3BAC0}">
          <x14:formula1>
            <xm:f>Dropdowns!$N$1:$N$7</xm:f>
          </x14:formula1>
          <xm:sqref>E5:E36</xm:sqref>
        </x14:dataValidation>
        <x14:dataValidation type="list" allowBlank="1" showInputMessage="1" showErrorMessage="1" xr:uid="{7D623B6C-C2CE-463C-B72B-7AFABBD1753D}">
          <x14:formula1>
            <xm:f>Dropdowns!$O$1:$O$11</xm:f>
          </x14:formula1>
          <xm:sqref>F3:F151</xm:sqref>
        </x14:dataValidation>
        <x14:dataValidation type="list" allowBlank="1" showInputMessage="1" showErrorMessage="1" xr:uid="{1E71D102-3A08-4E16-9AF5-E96AD334BE2A}">
          <x14:formula1>
            <xm:f>Dropdowns!$N$1:$N$6</xm:f>
          </x14:formula1>
          <xm:sqref>E3:E4</xm:sqref>
        </x14:dataValidation>
        <x14:dataValidation type="list" allowBlank="1" showInputMessage="1" showErrorMessage="1" xr:uid="{3BA5B535-AD3F-497F-AAF4-2B9B47CEF41B}">
          <x14:formula1>
            <xm:f>'Stage assumptions'!$B$271:$B$274</xm:f>
          </x14:formula1>
          <xm:sqref>G3:G151</xm:sqref>
        </x14:dataValidation>
        <x14:dataValidation type="list" allowBlank="1" showInputMessage="1" showErrorMessage="1" xr:uid="{1DE97C6E-0276-42F9-B952-AD9F60762530}">
          <x14:formula1>
            <xm:f>'Stage assumptions'!$B$19:$B$42</xm:f>
          </x14:formula1>
          <xm:sqref>C3:C17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65F16-B097-4AAD-88EE-2DEA5D5ABDC7}">
  <sheetPr codeName="Sheet20">
    <tabColor theme="4"/>
  </sheetPr>
  <dimension ref="A1:E132"/>
  <sheetViews>
    <sheetView showGridLines="0" topLeftCell="A8" workbookViewId="0">
      <selection activeCell="B16" sqref="B16"/>
    </sheetView>
  </sheetViews>
  <sheetFormatPr defaultColWidth="8.88671875" defaultRowHeight="12.6" customHeight="1" x14ac:dyDescent="0.25"/>
  <cols>
    <col min="1" max="1" width="2.6640625" style="368" customWidth="1"/>
    <col min="2" max="2" width="27.6640625" style="370" customWidth="1"/>
    <col min="3" max="3" width="8.33203125" style="8" customWidth="1"/>
    <col min="4" max="16384" width="8.88671875" style="8"/>
  </cols>
  <sheetData>
    <row r="1" spans="1:5" ht="15" customHeight="1" x14ac:dyDescent="0.25">
      <c r="A1" s="8"/>
      <c r="B1" s="8"/>
    </row>
    <row r="2" spans="1:5" ht="30" customHeight="1" x14ac:dyDescent="0.25">
      <c r="B2" s="361" t="s">
        <v>91</v>
      </c>
      <c r="C2" s="361" t="s">
        <v>1040</v>
      </c>
      <c r="E2" s="8" t="s">
        <v>1042</v>
      </c>
    </row>
    <row r="3" spans="1:5" ht="12.6" customHeight="1" x14ac:dyDescent="0.25">
      <c r="B3" s="371" t="s">
        <v>918</v>
      </c>
      <c r="C3" s="372">
        <v>2700</v>
      </c>
      <c r="E3" s="8" t="s">
        <v>1342</v>
      </c>
    </row>
    <row r="4" spans="1:5" ht="12.6" customHeight="1" x14ac:dyDescent="0.25">
      <c r="B4" s="371" t="s">
        <v>919</v>
      </c>
      <c r="C4" s="372">
        <v>2120</v>
      </c>
    </row>
    <row r="5" spans="1:5" ht="12.6" customHeight="1" x14ac:dyDescent="0.25">
      <c r="B5" s="363" t="s">
        <v>920</v>
      </c>
      <c r="C5" s="364">
        <v>8400</v>
      </c>
    </row>
    <row r="6" spans="1:5" ht="12.6" customHeight="1" x14ac:dyDescent="0.25">
      <c r="B6" s="371" t="s">
        <v>921</v>
      </c>
      <c r="C6" s="372">
        <v>1800</v>
      </c>
    </row>
    <row r="7" spans="1:5" ht="12.6" customHeight="1" x14ac:dyDescent="0.25">
      <c r="B7" s="363" t="s">
        <v>1043</v>
      </c>
      <c r="C7" s="364">
        <v>8800</v>
      </c>
    </row>
    <row r="8" spans="1:5" ht="12.6" customHeight="1" x14ac:dyDescent="0.25">
      <c r="B8" s="363" t="s">
        <v>922</v>
      </c>
      <c r="C8" s="364">
        <v>3250</v>
      </c>
    </row>
    <row r="9" spans="1:5" ht="12.6" customHeight="1" x14ac:dyDescent="0.25">
      <c r="B9" s="363" t="s">
        <v>923</v>
      </c>
      <c r="C9" s="364">
        <v>2250</v>
      </c>
    </row>
    <row r="10" spans="1:5" ht="12.6" customHeight="1" x14ac:dyDescent="0.25">
      <c r="B10" s="363" t="s">
        <v>47</v>
      </c>
      <c r="C10" s="364">
        <v>1350</v>
      </c>
    </row>
    <row r="11" spans="1:5" ht="12.6" customHeight="1" x14ac:dyDescent="0.25">
      <c r="B11" s="371" t="s">
        <v>99</v>
      </c>
      <c r="C11" s="372">
        <v>2400</v>
      </c>
    </row>
    <row r="12" spans="1:5" ht="12.6" customHeight="1" x14ac:dyDescent="0.25">
      <c r="B12" s="363" t="s">
        <v>924</v>
      </c>
      <c r="C12" s="364">
        <v>8300</v>
      </c>
    </row>
    <row r="13" spans="1:5" ht="12.6" customHeight="1" x14ac:dyDescent="0.25">
      <c r="B13" s="363" t="s">
        <v>925</v>
      </c>
      <c r="C13" s="364">
        <v>2190</v>
      </c>
    </row>
    <row r="14" spans="1:5" ht="12.6" customHeight="1" x14ac:dyDescent="0.25">
      <c r="B14" s="371" t="s">
        <v>926</v>
      </c>
      <c r="C14" s="372">
        <v>2500</v>
      </c>
    </row>
    <row r="15" spans="1:5" ht="12.6" customHeight="1" x14ac:dyDescent="0.25">
      <c r="B15" s="371" t="s">
        <v>1478</v>
      </c>
      <c r="C15" s="372">
        <v>200</v>
      </c>
    </row>
    <row r="16" spans="1:5" ht="12.6" customHeight="1" x14ac:dyDescent="0.25">
      <c r="B16" s="363" t="s">
        <v>927</v>
      </c>
      <c r="C16" s="364">
        <v>19300</v>
      </c>
    </row>
    <row r="17" spans="2:3" ht="12.6" customHeight="1" x14ac:dyDescent="0.25">
      <c r="B17" s="363" t="s">
        <v>928</v>
      </c>
      <c r="C17" s="364">
        <v>2750</v>
      </c>
    </row>
    <row r="18" spans="2:3" ht="12.6" customHeight="1" x14ac:dyDescent="0.25">
      <c r="B18" s="363" t="s">
        <v>929</v>
      </c>
      <c r="C18" s="364">
        <v>917</v>
      </c>
    </row>
    <row r="19" spans="2:3" ht="12.6" customHeight="1" x14ac:dyDescent="0.25">
      <c r="B19" s="363" t="s">
        <v>930</v>
      </c>
      <c r="C19" s="364">
        <v>7272</v>
      </c>
    </row>
    <row r="20" spans="2:3" ht="12.6" customHeight="1" x14ac:dyDescent="0.25">
      <c r="B20" s="363" t="s">
        <v>931</v>
      </c>
      <c r="C20" s="364">
        <v>11340</v>
      </c>
    </row>
    <row r="21" spans="2:3" ht="12.6" customHeight="1" x14ac:dyDescent="0.25">
      <c r="B21" s="363" t="s">
        <v>932</v>
      </c>
      <c r="C21" s="364">
        <v>1778</v>
      </c>
    </row>
    <row r="22" spans="2:3" ht="12.6" customHeight="1" x14ac:dyDescent="0.25">
      <c r="B22" s="363" t="s">
        <v>933</v>
      </c>
      <c r="C22" s="364">
        <v>2770</v>
      </c>
    </row>
    <row r="23" spans="2:3" ht="12.6" customHeight="1" x14ac:dyDescent="0.25">
      <c r="B23" s="363" t="s">
        <v>934</v>
      </c>
      <c r="C23" s="364">
        <v>8830</v>
      </c>
    </row>
    <row r="24" spans="2:3" ht="12.6" customHeight="1" x14ac:dyDescent="0.25">
      <c r="B24" s="363" t="s">
        <v>935</v>
      </c>
      <c r="C24" s="364">
        <v>8666</v>
      </c>
    </row>
    <row r="25" spans="2:3" ht="12.6" customHeight="1" x14ac:dyDescent="0.25">
      <c r="B25" s="363" t="s">
        <v>936</v>
      </c>
      <c r="C25" s="364">
        <v>700</v>
      </c>
    </row>
    <row r="26" spans="2:3" ht="12.6" customHeight="1" x14ac:dyDescent="0.25">
      <c r="B26" s="363" t="s">
        <v>937</v>
      </c>
      <c r="C26" s="364">
        <v>1180</v>
      </c>
    </row>
    <row r="27" spans="2:3" ht="12.6" customHeight="1" x14ac:dyDescent="0.25">
      <c r="B27" s="363" t="s">
        <v>938</v>
      </c>
      <c r="C27" s="364">
        <v>920</v>
      </c>
    </row>
    <row r="28" spans="2:3" ht="12.6" customHeight="1" x14ac:dyDescent="0.25">
      <c r="B28" s="371" t="s">
        <v>1341</v>
      </c>
      <c r="C28" s="372">
        <v>1384</v>
      </c>
    </row>
    <row r="29" spans="2:3" ht="12.6" customHeight="1" x14ac:dyDescent="0.25">
      <c r="B29" s="363" t="s">
        <v>939</v>
      </c>
      <c r="C29" s="364">
        <v>1100</v>
      </c>
    </row>
    <row r="30" spans="2:3" ht="12.6" customHeight="1" x14ac:dyDescent="0.25">
      <c r="B30" s="363" t="s">
        <v>940</v>
      </c>
      <c r="C30" s="364">
        <v>2300</v>
      </c>
    </row>
    <row r="31" spans="2:3" ht="12.6" customHeight="1" x14ac:dyDescent="0.25">
      <c r="B31" s="371" t="s">
        <v>941</v>
      </c>
      <c r="C31" s="372">
        <v>1500</v>
      </c>
    </row>
    <row r="32" spans="2:3" ht="12.6" customHeight="1" x14ac:dyDescent="0.25">
      <c r="B32" s="363" t="s">
        <v>942</v>
      </c>
      <c r="C32" s="364">
        <v>2300</v>
      </c>
    </row>
    <row r="33" spans="2:3" ht="12.6" customHeight="1" x14ac:dyDescent="0.25">
      <c r="B33" s="363" t="s">
        <v>943</v>
      </c>
      <c r="C33" s="364">
        <v>2330</v>
      </c>
    </row>
    <row r="34" spans="2:3" ht="12.6" customHeight="1" x14ac:dyDescent="0.25">
      <c r="B34" s="363" t="s">
        <v>944</v>
      </c>
      <c r="C34" s="364">
        <v>10524</v>
      </c>
    </row>
    <row r="35" spans="2:3" ht="12.6" customHeight="1" x14ac:dyDescent="0.25">
      <c r="B35" s="363" t="s">
        <v>945</v>
      </c>
      <c r="C35" s="364">
        <v>7820</v>
      </c>
    </row>
    <row r="36" spans="2:3" ht="12.6" customHeight="1" x14ac:dyDescent="0.25">
      <c r="B36" s="371" t="s">
        <v>946</v>
      </c>
      <c r="C36" s="372">
        <v>7860</v>
      </c>
    </row>
    <row r="37" spans="2:3" ht="12.6" customHeight="1" x14ac:dyDescent="0.25">
      <c r="B37" s="363" t="s">
        <v>947</v>
      </c>
      <c r="C37" s="364">
        <v>470</v>
      </c>
    </row>
    <row r="38" spans="2:3" ht="12.6" customHeight="1" x14ac:dyDescent="0.25">
      <c r="B38" s="371" t="s">
        <v>948</v>
      </c>
      <c r="C38" s="372">
        <v>415</v>
      </c>
    </row>
    <row r="39" spans="2:3" ht="12.6" customHeight="1" x14ac:dyDescent="0.25">
      <c r="B39" s="363" t="s">
        <v>949</v>
      </c>
      <c r="C39" s="364">
        <v>500</v>
      </c>
    </row>
    <row r="40" spans="2:3" ht="12.6" customHeight="1" x14ac:dyDescent="0.25">
      <c r="B40" s="363" t="s">
        <v>950</v>
      </c>
      <c r="C40" s="364">
        <v>390</v>
      </c>
    </row>
    <row r="41" spans="2:3" ht="12.6" customHeight="1" x14ac:dyDescent="0.25">
      <c r="B41" s="363" t="s">
        <v>951</v>
      </c>
      <c r="C41" s="364">
        <v>690</v>
      </c>
    </row>
    <row r="42" spans="2:3" ht="12.6" customHeight="1" x14ac:dyDescent="0.25">
      <c r="B42" s="363" t="s">
        <v>952</v>
      </c>
      <c r="C42" s="364">
        <v>660</v>
      </c>
    </row>
    <row r="43" spans="2:3" ht="12.6" customHeight="1" x14ac:dyDescent="0.25">
      <c r="B43" s="363" t="s">
        <v>953</v>
      </c>
      <c r="C43" s="364">
        <v>440</v>
      </c>
    </row>
    <row r="44" spans="2:3" ht="12.6" customHeight="1" x14ac:dyDescent="0.25">
      <c r="B44" s="363" t="s">
        <v>954</v>
      </c>
      <c r="C44" s="364">
        <v>415</v>
      </c>
    </row>
    <row r="45" spans="2:3" ht="12.6" customHeight="1" x14ac:dyDescent="0.25">
      <c r="B45" s="363" t="s">
        <v>955</v>
      </c>
      <c r="C45" s="364">
        <v>7304</v>
      </c>
    </row>
    <row r="46" spans="2:3" ht="12.6" customHeight="1" x14ac:dyDescent="0.25">
      <c r="B46" s="363" t="s">
        <v>956</v>
      </c>
      <c r="C46" s="364">
        <v>4730</v>
      </c>
    </row>
    <row r="47" spans="2:3" ht="12.6" customHeight="1" x14ac:dyDescent="0.25">
      <c r="B47" s="363" t="s">
        <v>957</v>
      </c>
      <c r="C47" s="364">
        <v>19300</v>
      </c>
    </row>
    <row r="48" spans="2:3" customFormat="1" ht="12.6" customHeight="1" x14ac:dyDescent="0.3">
      <c r="B48" s="365" t="s">
        <v>958</v>
      </c>
      <c r="C48" s="365">
        <v>100</v>
      </c>
    </row>
    <row r="49" spans="2:5" customFormat="1" ht="12.6" customHeight="1" x14ac:dyDescent="0.3">
      <c r="B49" s="365" t="s">
        <v>959</v>
      </c>
      <c r="C49" s="365">
        <v>7144</v>
      </c>
    </row>
    <row r="50" spans="2:5" customFormat="1" ht="12.6" customHeight="1" x14ac:dyDescent="0.3">
      <c r="B50" s="366" t="s">
        <v>1041</v>
      </c>
      <c r="C50" s="361" t="s">
        <v>1040</v>
      </c>
    </row>
    <row r="51" spans="2:5" customFormat="1" ht="12.6" customHeight="1" x14ac:dyDescent="0.3">
      <c r="B51" s="373" t="s">
        <v>960</v>
      </c>
      <c r="C51" s="373">
        <v>2643</v>
      </c>
    </row>
    <row r="52" spans="2:5" ht="12.6" customHeight="1" x14ac:dyDescent="0.25">
      <c r="B52" s="363" t="s">
        <v>961</v>
      </c>
      <c r="C52" s="364">
        <v>8553</v>
      </c>
      <c r="D52" s="369"/>
      <c r="E52" s="369"/>
    </row>
    <row r="53" spans="2:5" ht="12.6" customHeight="1" x14ac:dyDescent="0.25">
      <c r="B53" s="363" t="s">
        <v>962</v>
      </c>
      <c r="C53" s="364">
        <v>7702</v>
      </c>
      <c r="D53" s="369"/>
      <c r="E53" s="369"/>
    </row>
    <row r="54" spans="2:5" ht="12.6" customHeight="1" x14ac:dyDescent="0.25">
      <c r="B54" s="363" t="s">
        <v>963</v>
      </c>
      <c r="C54" s="364">
        <v>8153</v>
      </c>
      <c r="D54" s="369"/>
      <c r="E54" s="369"/>
    </row>
    <row r="55" spans="2:5" ht="12.6" customHeight="1" x14ac:dyDescent="0.25">
      <c r="B55" s="363" t="s">
        <v>964</v>
      </c>
      <c r="C55" s="364">
        <v>8874</v>
      </c>
      <c r="D55" s="369"/>
      <c r="E55" s="369"/>
    </row>
    <row r="56" spans="2:5" ht="12.6" customHeight="1" x14ac:dyDescent="0.25">
      <c r="B56" s="363" t="s">
        <v>965</v>
      </c>
      <c r="C56" s="364">
        <v>8906</v>
      </c>
      <c r="D56" s="369"/>
      <c r="E56" s="369"/>
    </row>
    <row r="57" spans="2:5" ht="12.6" customHeight="1" x14ac:dyDescent="0.25">
      <c r="B57" s="363" t="s">
        <v>966</v>
      </c>
      <c r="C57" s="364">
        <v>4197</v>
      </c>
      <c r="D57" s="369"/>
      <c r="E57" s="369"/>
    </row>
    <row r="58" spans="2:5" ht="12.6" customHeight="1" x14ac:dyDescent="0.25">
      <c r="B58" s="363" t="s">
        <v>967</v>
      </c>
      <c r="C58" s="364">
        <v>8586</v>
      </c>
      <c r="D58" s="369"/>
      <c r="E58" s="369"/>
    </row>
    <row r="59" spans="2:5" ht="12.6" customHeight="1" x14ac:dyDescent="0.25">
      <c r="B59" s="363" t="s">
        <v>968</v>
      </c>
      <c r="C59" s="364">
        <v>19300</v>
      </c>
      <c r="D59" s="369"/>
      <c r="E59" s="369"/>
    </row>
    <row r="60" spans="2:5" ht="12.6" customHeight="1" x14ac:dyDescent="0.25">
      <c r="B60" s="363" t="s">
        <v>969</v>
      </c>
      <c r="C60" s="364">
        <v>7079</v>
      </c>
      <c r="D60" s="369"/>
      <c r="E60" s="369"/>
    </row>
    <row r="61" spans="2:5" ht="12.6" customHeight="1" x14ac:dyDescent="0.25">
      <c r="B61" s="363" t="s">
        <v>970</v>
      </c>
      <c r="C61" s="364">
        <v>7207</v>
      </c>
      <c r="D61" s="369"/>
      <c r="E61" s="369"/>
    </row>
    <row r="62" spans="2:5" ht="12.6" customHeight="1" x14ac:dyDescent="0.25">
      <c r="B62" s="363" t="s">
        <v>971</v>
      </c>
      <c r="C62" s="364">
        <v>7658</v>
      </c>
      <c r="D62" s="369"/>
      <c r="E62" s="369"/>
    </row>
    <row r="63" spans="2:5" ht="12.6" customHeight="1" x14ac:dyDescent="0.25">
      <c r="B63" s="363" t="s">
        <v>972</v>
      </c>
      <c r="C63" s="364">
        <v>7496</v>
      </c>
      <c r="D63" s="369"/>
      <c r="E63" s="369"/>
    </row>
    <row r="64" spans="2:5" ht="12.6" customHeight="1" x14ac:dyDescent="0.25">
      <c r="B64" s="363" t="s">
        <v>973</v>
      </c>
      <c r="C64" s="364">
        <v>6984</v>
      </c>
      <c r="D64" s="369"/>
      <c r="E64" s="369"/>
    </row>
    <row r="65" spans="2:5" ht="12.6" customHeight="1" x14ac:dyDescent="0.25">
      <c r="B65" s="363" t="s">
        <v>974</v>
      </c>
      <c r="C65" s="364">
        <v>5206</v>
      </c>
      <c r="D65" s="369"/>
      <c r="E65" s="369"/>
    </row>
    <row r="66" spans="2:5" ht="12.6" customHeight="1" x14ac:dyDescent="0.25">
      <c r="B66" s="363" t="s">
        <v>975</v>
      </c>
      <c r="C66" s="364">
        <v>3796</v>
      </c>
      <c r="D66" s="369"/>
      <c r="E66" s="369"/>
    </row>
    <row r="67" spans="2:5" ht="12.6" customHeight="1" x14ac:dyDescent="0.25">
      <c r="B67" s="363" t="s">
        <v>976</v>
      </c>
      <c r="C67" s="364">
        <v>5046</v>
      </c>
      <c r="D67" s="369"/>
      <c r="E67" s="369"/>
    </row>
    <row r="68" spans="2:5" ht="12.6" customHeight="1" x14ac:dyDescent="0.25">
      <c r="B68" s="363" t="s">
        <v>977</v>
      </c>
      <c r="C68" s="364">
        <v>2755</v>
      </c>
      <c r="D68" s="369"/>
      <c r="E68" s="369"/>
    </row>
    <row r="69" spans="2:5" ht="12.6" customHeight="1" x14ac:dyDescent="0.25">
      <c r="B69" s="363" t="s">
        <v>931</v>
      </c>
      <c r="C69" s="364">
        <v>11370</v>
      </c>
      <c r="D69" s="369"/>
      <c r="E69" s="369"/>
    </row>
    <row r="70" spans="2:5" ht="12.6" customHeight="1" x14ac:dyDescent="0.25">
      <c r="B70" s="363" t="s">
        <v>978</v>
      </c>
      <c r="C70" s="364">
        <v>8602</v>
      </c>
      <c r="D70" s="369"/>
      <c r="E70" s="369"/>
    </row>
    <row r="71" spans="2:5" ht="12.6" customHeight="1" x14ac:dyDescent="0.25">
      <c r="B71" s="363" t="s">
        <v>979</v>
      </c>
      <c r="C71" s="364">
        <v>21300</v>
      </c>
      <c r="D71" s="369"/>
      <c r="E71" s="369"/>
    </row>
    <row r="72" spans="2:5" ht="12.6" customHeight="1" x14ac:dyDescent="0.25">
      <c r="B72" s="363" t="s">
        <v>980</v>
      </c>
      <c r="C72" s="364">
        <v>10510</v>
      </c>
      <c r="D72" s="369"/>
      <c r="E72" s="369"/>
    </row>
    <row r="73" spans="2:5" ht="12.6" customHeight="1" x14ac:dyDescent="0.25">
      <c r="B73" s="363" t="s">
        <v>981</v>
      </c>
      <c r="C73" s="364">
        <v>7832</v>
      </c>
      <c r="D73" s="369"/>
      <c r="E73" s="369"/>
    </row>
    <row r="74" spans="2:5" ht="12.6" customHeight="1" x14ac:dyDescent="0.25">
      <c r="B74" s="363" t="s">
        <v>982</v>
      </c>
      <c r="C74" s="364">
        <v>7800</v>
      </c>
      <c r="D74" s="369"/>
      <c r="E74" s="369"/>
    </row>
    <row r="75" spans="2:5" ht="12.6" customHeight="1" x14ac:dyDescent="0.25">
      <c r="B75" s="363" t="s">
        <v>983</v>
      </c>
      <c r="C75" s="364">
        <v>7703</v>
      </c>
      <c r="D75" s="369"/>
      <c r="E75" s="369"/>
    </row>
    <row r="76" spans="2:5" customFormat="1" ht="12.6" customHeight="1" x14ac:dyDescent="0.3">
      <c r="B76" s="365" t="s">
        <v>984</v>
      </c>
      <c r="C76" s="365">
        <v>7352</v>
      </c>
    </row>
    <row r="77" spans="2:5" customFormat="1" ht="12.6" customHeight="1" x14ac:dyDescent="0.3">
      <c r="B77" s="365" t="s">
        <v>985</v>
      </c>
      <c r="C77" s="365">
        <v>7049</v>
      </c>
    </row>
    <row r="78" spans="2:5" customFormat="1" ht="12.6" customHeight="1" x14ac:dyDescent="0.3">
      <c r="B78" s="366" t="s">
        <v>103</v>
      </c>
      <c r="C78" s="361" t="s">
        <v>1040</v>
      </c>
    </row>
    <row r="79" spans="2:5" customFormat="1" ht="12.6" customHeight="1" x14ac:dyDescent="0.3">
      <c r="B79" s="365" t="s">
        <v>986</v>
      </c>
      <c r="C79" s="365">
        <v>1052</v>
      </c>
    </row>
    <row r="80" spans="2:5" ht="12.6" customHeight="1" x14ac:dyDescent="0.25">
      <c r="B80" s="363" t="s">
        <v>987</v>
      </c>
      <c r="C80" s="364">
        <v>1024</v>
      </c>
    </row>
    <row r="81" spans="2:3" ht="12.6" customHeight="1" x14ac:dyDescent="0.25">
      <c r="B81" s="363" t="s">
        <v>988</v>
      </c>
      <c r="C81" s="364">
        <v>1550</v>
      </c>
    </row>
    <row r="82" spans="2:3" ht="12.6" customHeight="1" x14ac:dyDescent="0.25">
      <c r="B82" s="363" t="s">
        <v>989</v>
      </c>
      <c r="C82" s="364">
        <v>1412</v>
      </c>
    </row>
    <row r="83" spans="2:3" ht="12.6" customHeight="1" x14ac:dyDescent="0.25">
      <c r="B83" s="363" t="s">
        <v>990</v>
      </c>
      <c r="C83" s="364">
        <v>1412</v>
      </c>
    </row>
    <row r="84" spans="2:3" ht="12.6" customHeight="1" x14ac:dyDescent="0.25">
      <c r="B84" s="363" t="s">
        <v>991</v>
      </c>
      <c r="C84" s="364">
        <v>1190</v>
      </c>
    </row>
    <row r="85" spans="2:3" ht="12.6" customHeight="1" x14ac:dyDescent="0.25">
      <c r="B85" s="363" t="s">
        <v>992</v>
      </c>
      <c r="C85" s="364">
        <v>980</v>
      </c>
    </row>
    <row r="86" spans="2:3" ht="12.6" customHeight="1" x14ac:dyDescent="0.25">
      <c r="B86" s="363" t="s">
        <v>993</v>
      </c>
      <c r="C86" s="364">
        <v>1550</v>
      </c>
    </row>
    <row r="87" spans="2:3" ht="12.6" customHeight="1" x14ac:dyDescent="0.25">
      <c r="B87" s="363" t="s">
        <v>994</v>
      </c>
      <c r="C87" s="364">
        <v>1250</v>
      </c>
    </row>
    <row r="88" spans="2:3" ht="12.6" customHeight="1" x14ac:dyDescent="0.25">
      <c r="B88" s="363" t="s">
        <v>995</v>
      </c>
      <c r="C88" s="364">
        <v>1855</v>
      </c>
    </row>
    <row r="89" spans="2:3" ht="12.6" customHeight="1" x14ac:dyDescent="0.25">
      <c r="B89" s="363" t="s">
        <v>996</v>
      </c>
      <c r="C89" s="364">
        <v>940</v>
      </c>
    </row>
    <row r="90" spans="2:3" ht="12.6" customHeight="1" x14ac:dyDescent="0.25">
      <c r="B90" s="363" t="s">
        <v>997</v>
      </c>
      <c r="C90" s="364">
        <v>1350</v>
      </c>
    </row>
    <row r="91" spans="2:3" ht="12.6" customHeight="1" x14ac:dyDescent="0.25">
      <c r="B91" s="363" t="s">
        <v>998</v>
      </c>
      <c r="C91" s="364">
        <v>1384</v>
      </c>
    </row>
    <row r="92" spans="2:3" ht="12.6" customHeight="1" x14ac:dyDescent="0.25">
      <c r="B92" s="363" t="s">
        <v>999</v>
      </c>
      <c r="C92" s="364">
        <v>1163</v>
      </c>
    </row>
    <row r="93" spans="2:3" ht="12.6" customHeight="1" x14ac:dyDescent="0.25">
      <c r="B93" s="363" t="s">
        <v>1000</v>
      </c>
      <c r="C93" s="364">
        <v>1301</v>
      </c>
    </row>
    <row r="94" spans="2:3" ht="12.6" customHeight="1" x14ac:dyDescent="0.25">
      <c r="B94" s="363" t="s">
        <v>1001</v>
      </c>
      <c r="C94" s="364">
        <v>1135</v>
      </c>
    </row>
    <row r="95" spans="2:3" ht="12.6" customHeight="1" x14ac:dyDescent="0.25">
      <c r="B95" s="371" t="s">
        <v>1002</v>
      </c>
      <c r="C95" s="372">
        <v>1384</v>
      </c>
    </row>
    <row r="96" spans="2:3" ht="12.6" customHeight="1" x14ac:dyDescent="0.25">
      <c r="B96" s="363" t="s">
        <v>1003</v>
      </c>
      <c r="C96" s="364">
        <v>1772</v>
      </c>
    </row>
    <row r="97" spans="2:3" ht="12.6" customHeight="1" x14ac:dyDescent="0.25">
      <c r="B97" s="363" t="s">
        <v>1004</v>
      </c>
      <c r="C97" s="364">
        <v>1280</v>
      </c>
    </row>
    <row r="98" spans="2:3" ht="12.6" customHeight="1" x14ac:dyDescent="0.25">
      <c r="B98" s="363" t="s">
        <v>1005</v>
      </c>
      <c r="C98" s="364">
        <v>1340</v>
      </c>
    </row>
    <row r="99" spans="2:3" ht="12.6" customHeight="1" x14ac:dyDescent="0.25">
      <c r="B99" s="363" t="s">
        <v>1006</v>
      </c>
      <c r="C99" s="364">
        <v>1200</v>
      </c>
    </row>
    <row r="100" spans="2:3" ht="12.6" customHeight="1" x14ac:dyDescent="0.25">
      <c r="B100" s="363" t="s">
        <v>1007</v>
      </c>
      <c r="C100" s="364">
        <v>1250</v>
      </c>
    </row>
    <row r="101" spans="2:3" ht="12.6" customHeight="1" x14ac:dyDescent="0.25">
      <c r="B101" s="363" t="s">
        <v>1008</v>
      </c>
      <c r="C101" s="364">
        <v>1310</v>
      </c>
    </row>
    <row r="102" spans="2:3" ht="12.6" customHeight="1" x14ac:dyDescent="0.25">
      <c r="B102" s="371" t="s">
        <v>1009</v>
      </c>
      <c r="C102" s="372">
        <v>925</v>
      </c>
    </row>
    <row r="103" spans="2:3" ht="12.6" customHeight="1" x14ac:dyDescent="0.25">
      <c r="B103" s="371" t="s">
        <v>1010</v>
      </c>
      <c r="C103" s="372">
        <v>959</v>
      </c>
    </row>
    <row r="104" spans="2:3" ht="12.6" customHeight="1" x14ac:dyDescent="0.25">
      <c r="B104" s="363" t="s">
        <v>1011</v>
      </c>
      <c r="C104" s="364">
        <v>905</v>
      </c>
    </row>
    <row r="105" spans="2:3" ht="12.6" customHeight="1" x14ac:dyDescent="0.25">
      <c r="B105" s="363" t="s">
        <v>1012</v>
      </c>
      <c r="C105" s="364">
        <v>2170</v>
      </c>
    </row>
    <row r="106" spans="2:3" customFormat="1" ht="12.6" customHeight="1" x14ac:dyDescent="0.3">
      <c r="B106" s="365" t="s">
        <v>1013</v>
      </c>
      <c r="C106" s="365">
        <v>1052</v>
      </c>
    </row>
    <row r="107" spans="2:3" customFormat="1" ht="12.6" customHeight="1" x14ac:dyDescent="0.3">
      <c r="B107" s="366" t="s">
        <v>1014</v>
      </c>
      <c r="C107" s="366"/>
    </row>
    <row r="108" spans="2:3" ht="12.6" customHeight="1" x14ac:dyDescent="0.25">
      <c r="B108" s="363" t="s">
        <v>1037</v>
      </c>
      <c r="C108" s="367">
        <v>4.9800000000000004</v>
      </c>
    </row>
    <row r="109" spans="2:3" ht="12.6" customHeight="1" x14ac:dyDescent="0.25">
      <c r="B109" s="363" t="s">
        <v>1038</v>
      </c>
      <c r="C109" s="367">
        <v>3.54</v>
      </c>
    </row>
    <row r="110" spans="2:3" ht="12.6" customHeight="1" x14ac:dyDescent="0.25">
      <c r="B110" s="363" t="s">
        <v>1039</v>
      </c>
      <c r="C110" s="367">
        <v>4.2</v>
      </c>
    </row>
    <row r="111" spans="2:3" ht="12.6" customHeight="1" x14ac:dyDescent="0.25">
      <c r="B111" s="363" t="s">
        <v>1015</v>
      </c>
      <c r="C111" s="367">
        <v>2.3099999999999999E-2</v>
      </c>
    </row>
    <row r="112" spans="2:3" ht="12.6" customHeight="1" x14ac:dyDescent="0.25">
      <c r="B112" s="363" t="s">
        <v>1016</v>
      </c>
      <c r="C112" s="367">
        <v>1.05</v>
      </c>
    </row>
    <row r="113" spans="2:3" ht="12.6" customHeight="1" x14ac:dyDescent="0.25">
      <c r="B113" s="363" t="s">
        <v>1017</v>
      </c>
      <c r="C113" s="367">
        <v>1.169</v>
      </c>
    </row>
    <row r="114" spans="2:3" ht="12.6" customHeight="1" x14ac:dyDescent="0.25">
      <c r="B114" s="363" t="s">
        <v>1018</v>
      </c>
      <c r="C114" s="367">
        <v>0.69399999999999995</v>
      </c>
    </row>
    <row r="115" spans="2:3" ht="12.6" customHeight="1" x14ac:dyDescent="0.25">
      <c r="B115" s="363" t="s">
        <v>1019</v>
      </c>
      <c r="C115" s="367">
        <v>1.613</v>
      </c>
    </row>
    <row r="116" spans="2:3" ht="12.6" customHeight="1" x14ac:dyDescent="0.25">
      <c r="B116" s="363" t="s">
        <v>1020</v>
      </c>
      <c r="C116" s="367">
        <v>2.407</v>
      </c>
    </row>
    <row r="117" spans="2:3" ht="12.6" customHeight="1" x14ac:dyDescent="0.25">
      <c r="B117" s="363" t="s">
        <v>1021</v>
      </c>
      <c r="C117" s="367">
        <v>1.1299999999999999</v>
      </c>
    </row>
    <row r="118" spans="2:3" ht="12.6" customHeight="1" x14ac:dyDescent="0.25">
      <c r="B118" s="363" t="s">
        <v>1022</v>
      </c>
      <c r="C118" s="367">
        <v>1.7749999999999999</v>
      </c>
    </row>
    <row r="119" spans="2:3" ht="12.6" customHeight="1" x14ac:dyDescent="0.25">
      <c r="B119" s="363" t="s">
        <v>1023</v>
      </c>
      <c r="C119" s="367">
        <v>1.222</v>
      </c>
    </row>
    <row r="120" spans="2:3" ht="12.6" customHeight="1" x14ac:dyDescent="0.25">
      <c r="B120" s="363" t="s">
        <v>1024</v>
      </c>
      <c r="C120" s="367">
        <v>1.883</v>
      </c>
    </row>
    <row r="121" spans="2:3" ht="12.6" customHeight="1" x14ac:dyDescent="0.25">
      <c r="B121" s="363" t="s">
        <v>1025</v>
      </c>
      <c r="C121" s="367">
        <v>1.1379999999999999</v>
      </c>
    </row>
    <row r="122" spans="2:3" ht="12.6" customHeight="1" x14ac:dyDescent="0.25">
      <c r="B122" s="363" t="s">
        <v>1026</v>
      </c>
      <c r="C122" s="367">
        <v>0.1615</v>
      </c>
    </row>
    <row r="123" spans="2:3" ht="12.6" customHeight="1" x14ac:dyDescent="0.25">
      <c r="B123" s="363" t="s">
        <v>1027</v>
      </c>
      <c r="C123" s="367">
        <v>8.1299999999999997E-2</v>
      </c>
    </row>
    <row r="124" spans="2:3" ht="12.6" customHeight="1" x14ac:dyDescent="0.25">
      <c r="B124" s="363" t="s">
        <v>1028</v>
      </c>
      <c r="C124" s="367">
        <v>0.64800000000000002</v>
      </c>
    </row>
    <row r="125" spans="2:3" ht="12.6" customHeight="1" x14ac:dyDescent="0.25">
      <c r="B125" s="363" t="s">
        <v>1029</v>
      </c>
      <c r="C125" s="367">
        <v>1.31</v>
      </c>
    </row>
    <row r="126" spans="2:3" ht="12.6" customHeight="1" x14ac:dyDescent="0.25">
      <c r="B126" s="363" t="s">
        <v>1030</v>
      </c>
      <c r="C126" s="367">
        <v>0.81399999999999995</v>
      </c>
    </row>
    <row r="127" spans="2:3" ht="12.6" customHeight="1" x14ac:dyDescent="0.25">
      <c r="B127" s="363" t="s">
        <v>1031</v>
      </c>
      <c r="C127" s="367">
        <v>1.21</v>
      </c>
    </row>
    <row r="128" spans="2:3" ht="12.6" customHeight="1" x14ac:dyDescent="0.25">
      <c r="B128" s="363" t="s">
        <v>1032</v>
      </c>
      <c r="C128" s="367">
        <v>1.1299999999999999</v>
      </c>
    </row>
    <row r="129" spans="2:3" ht="12.6" customHeight="1" x14ac:dyDescent="0.25">
      <c r="B129" s="363" t="s">
        <v>1033</v>
      </c>
      <c r="C129" s="367">
        <v>1.7749999999999999</v>
      </c>
    </row>
    <row r="130" spans="2:3" ht="12.6" customHeight="1" x14ac:dyDescent="0.25">
      <c r="B130" s="363" t="s">
        <v>1034</v>
      </c>
      <c r="C130" s="367">
        <v>9.1999999999999998E-2</v>
      </c>
    </row>
    <row r="131" spans="2:3" ht="12.6" customHeight="1" x14ac:dyDescent="0.25">
      <c r="B131" s="363" t="s">
        <v>1035</v>
      </c>
      <c r="C131" s="367">
        <v>1.292</v>
      </c>
    </row>
    <row r="132" spans="2:3" ht="12.6" customHeight="1" x14ac:dyDescent="0.25">
      <c r="B132" s="363" t="s">
        <v>1036</v>
      </c>
      <c r="C132" s="367">
        <v>1.8080000000000001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AF683-CFC5-4323-A0BF-DAFDB2CBE5E2}">
  <sheetPr codeName="Sheet4">
    <tabColor theme="9" tint="0.79998168889431442"/>
  </sheetPr>
  <dimension ref="B1:O275"/>
  <sheetViews>
    <sheetView showGridLines="0" topLeftCell="A59" workbookViewId="0">
      <selection activeCell="K9" sqref="K9"/>
    </sheetView>
  </sheetViews>
  <sheetFormatPr defaultColWidth="8.88671875" defaultRowHeight="13.2" x14ac:dyDescent="0.25"/>
  <cols>
    <col min="1" max="1" width="2.6640625" style="8" customWidth="1"/>
    <col min="2" max="2" width="19.44140625" style="8" customWidth="1"/>
    <col min="3" max="3" width="16.6640625" style="8" customWidth="1"/>
    <col min="4" max="4" width="19.6640625" style="8" customWidth="1"/>
    <col min="5" max="5" width="21.109375" style="8" customWidth="1"/>
    <col min="6" max="6" width="8.88671875" style="8"/>
    <col min="7" max="7" width="11" style="8" bestFit="1" customWidth="1"/>
    <col min="8" max="9" width="8.88671875" style="8"/>
    <col min="10" max="10" width="12" style="8" bestFit="1" customWidth="1"/>
    <col min="11" max="11" width="16.88671875" style="8" customWidth="1"/>
    <col min="12" max="16384" width="8.88671875" style="8"/>
  </cols>
  <sheetData>
    <row r="1" spans="2:15" ht="13.95" customHeight="1" x14ac:dyDescent="0.25"/>
    <row r="2" spans="2:15" x14ac:dyDescent="0.25">
      <c r="B2" s="860" t="s">
        <v>0</v>
      </c>
      <c r="C2" s="861"/>
      <c r="E2" s="428" t="s">
        <v>1357</v>
      </c>
      <c r="F2" s="407" t="s">
        <v>412</v>
      </c>
      <c r="G2" s="400"/>
    </row>
    <row r="4" spans="2:15" x14ac:dyDescent="0.25">
      <c r="B4" s="402"/>
      <c r="C4" s="403" t="s">
        <v>1</v>
      </c>
      <c r="D4" s="404" t="s">
        <v>2</v>
      </c>
    </row>
    <row r="5" spans="2:15" x14ac:dyDescent="0.25">
      <c r="B5" s="395" t="s">
        <v>3</v>
      </c>
      <c r="C5" s="405" t="s">
        <v>4</v>
      </c>
      <c r="D5" s="406" t="s">
        <v>16</v>
      </c>
    </row>
    <row r="6" spans="2:15" x14ac:dyDescent="0.25">
      <c r="B6" s="375" t="s">
        <v>5</v>
      </c>
      <c r="C6" s="375">
        <v>100</v>
      </c>
      <c r="D6" s="375"/>
    </row>
    <row r="7" spans="2:15" x14ac:dyDescent="0.25">
      <c r="B7" s="375" t="s">
        <v>6</v>
      </c>
      <c r="C7" s="375">
        <v>200</v>
      </c>
      <c r="D7" s="375"/>
    </row>
    <row r="8" spans="2:15" x14ac:dyDescent="0.25">
      <c r="B8" s="375" t="s">
        <v>7</v>
      </c>
      <c r="C8" s="375">
        <v>200</v>
      </c>
      <c r="D8" s="375">
        <v>1000</v>
      </c>
    </row>
    <row r="10" spans="2:15" ht="26.4" x14ac:dyDescent="0.25">
      <c r="B10" s="397" t="s">
        <v>8</v>
      </c>
      <c r="C10" s="353" t="s">
        <v>9</v>
      </c>
      <c r="D10" s="399" t="s">
        <v>10</v>
      </c>
      <c r="E10" s="313"/>
    </row>
    <row r="11" spans="2:15" x14ac:dyDescent="0.25">
      <c r="B11" s="375" t="s">
        <v>11</v>
      </c>
      <c r="C11" s="375">
        <v>1.065E-4</v>
      </c>
      <c r="D11" s="375" t="s">
        <v>12</v>
      </c>
      <c r="E11" s="400"/>
    </row>
    <row r="12" spans="2:15" x14ac:dyDescent="0.25">
      <c r="B12" s="365" t="s">
        <v>13</v>
      </c>
      <c r="C12" s="365">
        <v>1.6140000000000001E-5</v>
      </c>
      <c r="D12" s="365" t="s">
        <v>14</v>
      </c>
      <c r="E12" s="400"/>
    </row>
    <row r="16" spans="2:15" ht="14.4" x14ac:dyDescent="0.3">
      <c r="B16" s="861" t="s">
        <v>1047</v>
      </c>
      <c r="C16" s="861"/>
      <c r="E16" s="428" t="s">
        <v>1357</v>
      </c>
      <c r="F16" s="407" t="s">
        <v>1440</v>
      </c>
      <c r="G16" s="429"/>
      <c r="H16" s="429"/>
      <c r="I16" s="429"/>
      <c r="J16" s="429"/>
      <c r="K16" s="429"/>
      <c r="L16" s="400"/>
      <c r="M16"/>
      <c r="N16"/>
      <c r="O16"/>
    </row>
    <row r="18" spans="2:12" ht="26.4" x14ac:dyDescent="0.25">
      <c r="B18" s="409" t="s">
        <v>1048</v>
      </c>
      <c r="C18" s="408" t="s">
        <v>1049</v>
      </c>
      <c r="H18" s="68" t="s">
        <v>1048</v>
      </c>
      <c r="I18" s="331" t="s">
        <v>1050</v>
      </c>
      <c r="J18" s="331" t="s">
        <v>1051</v>
      </c>
      <c r="K18" s="626" t="s">
        <v>1052</v>
      </c>
      <c r="L18" s="331" t="s">
        <v>10</v>
      </c>
    </row>
    <row r="19" spans="2:12" x14ac:dyDescent="0.25">
      <c r="B19" s="375" t="s">
        <v>104</v>
      </c>
      <c r="C19" s="414">
        <v>5.0000000000000001E-3</v>
      </c>
      <c r="H19" s="573" t="s">
        <v>104</v>
      </c>
      <c r="I19" s="627" t="s">
        <v>1053</v>
      </c>
      <c r="J19" s="627" t="s">
        <v>1053</v>
      </c>
      <c r="K19" s="629">
        <v>5.0000000000000001E-3</v>
      </c>
      <c r="L19" s="574" t="s">
        <v>1054</v>
      </c>
    </row>
    <row r="20" spans="2:12" x14ac:dyDescent="0.25">
      <c r="B20" s="375" t="s">
        <v>1055</v>
      </c>
      <c r="C20" s="414">
        <v>5.0000000000000001E-3</v>
      </c>
      <c r="H20" s="573" t="s">
        <v>1055</v>
      </c>
      <c r="I20" s="628">
        <v>0.01</v>
      </c>
      <c r="J20" s="628">
        <v>0</v>
      </c>
      <c r="K20" s="630">
        <v>5.0000000000000001E-3</v>
      </c>
      <c r="L20" s="575" t="s">
        <v>1056</v>
      </c>
    </row>
    <row r="21" spans="2:12" x14ac:dyDescent="0.25">
      <c r="B21" s="375" t="s">
        <v>1057</v>
      </c>
      <c r="C21" s="414">
        <v>0.13750000000000001</v>
      </c>
      <c r="H21" s="573" t="s">
        <v>1057</v>
      </c>
      <c r="I21" s="628">
        <v>0.22500000000000001</v>
      </c>
      <c r="J21" s="628">
        <v>0.05</v>
      </c>
      <c r="K21" s="630">
        <v>0.13750000000000001</v>
      </c>
      <c r="L21" s="575" t="s">
        <v>1056</v>
      </c>
    </row>
    <row r="22" spans="2:12" x14ac:dyDescent="0.25">
      <c r="B22" s="375" t="s">
        <v>1058</v>
      </c>
      <c r="C22" s="414">
        <v>0.15000000000000002</v>
      </c>
      <c r="H22" s="573" t="s">
        <v>1058</v>
      </c>
      <c r="I22" s="628">
        <v>0.2</v>
      </c>
      <c r="J22" s="628">
        <v>0.1</v>
      </c>
      <c r="K22" s="630">
        <v>0.15000000000000002</v>
      </c>
      <c r="L22" s="575" t="s">
        <v>1056</v>
      </c>
    </row>
    <row r="23" spans="2:12" x14ac:dyDescent="0.25">
      <c r="B23" s="375" t="s">
        <v>1059</v>
      </c>
      <c r="C23" s="414">
        <v>0.01</v>
      </c>
      <c r="H23" s="573" t="s">
        <v>1059</v>
      </c>
      <c r="I23" s="628" t="s">
        <v>1053</v>
      </c>
      <c r="J23" s="628" t="s">
        <v>1053</v>
      </c>
      <c r="K23" s="630">
        <v>0.01</v>
      </c>
      <c r="L23" s="575" t="s">
        <v>1060</v>
      </c>
    </row>
    <row r="24" spans="2:12" x14ac:dyDescent="0.25">
      <c r="B24" s="375" t="s">
        <v>96</v>
      </c>
      <c r="C24" s="414">
        <v>3.7500000000000006E-2</v>
      </c>
      <c r="H24" s="573" t="s">
        <v>96</v>
      </c>
      <c r="I24" s="628">
        <v>0.05</v>
      </c>
      <c r="J24" s="628">
        <v>2.5000000000000001E-2</v>
      </c>
      <c r="K24" s="630">
        <v>3.7500000000000006E-2</v>
      </c>
      <c r="L24" s="575" t="s">
        <v>1056</v>
      </c>
    </row>
    <row r="25" spans="2:12" x14ac:dyDescent="0.25">
      <c r="B25" s="375" t="s">
        <v>1061</v>
      </c>
      <c r="C25" s="414">
        <v>3.7500000000000006E-2</v>
      </c>
      <c r="H25" s="573" t="s">
        <v>1061</v>
      </c>
      <c r="I25" s="628">
        <v>0.05</v>
      </c>
      <c r="J25" s="628">
        <v>2.5000000000000001E-2</v>
      </c>
      <c r="K25" s="630">
        <v>3.7500000000000006E-2</v>
      </c>
      <c r="L25" s="575" t="s">
        <v>1056</v>
      </c>
    </row>
    <row r="26" spans="2:12" x14ac:dyDescent="0.25">
      <c r="B26" s="375" t="s">
        <v>1062</v>
      </c>
      <c r="C26" s="414">
        <v>3.7500000000000006E-2</v>
      </c>
      <c r="H26" s="573" t="s">
        <v>1062</v>
      </c>
      <c r="I26" s="628">
        <v>0.05</v>
      </c>
      <c r="J26" s="628">
        <v>2.5000000000000001E-2</v>
      </c>
      <c r="K26" s="630">
        <v>3.7500000000000006E-2</v>
      </c>
      <c r="L26" s="575" t="s">
        <v>1056</v>
      </c>
    </row>
    <row r="27" spans="2:12" x14ac:dyDescent="0.25">
      <c r="B27" s="375" t="s">
        <v>1063</v>
      </c>
      <c r="C27" s="414">
        <v>0.1</v>
      </c>
      <c r="H27" s="573" t="s">
        <v>1063</v>
      </c>
      <c r="I27" s="628">
        <v>0.15</v>
      </c>
      <c r="J27" s="628">
        <v>0.05</v>
      </c>
      <c r="K27" s="630">
        <v>0.1</v>
      </c>
      <c r="L27" s="575" t="s">
        <v>1056</v>
      </c>
    </row>
    <row r="28" spans="2:12" x14ac:dyDescent="0.25">
      <c r="B28" s="375" t="s">
        <v>1064</v>
      </c>
      <c r="C28" s="414">
        <v>3.7500000000000006E-2</v>
      </c>
      <c r="H28" s="573" t="s">
        <v>1064</v>
      </c>
      <c r="I28" s="628">
        <v>0.05</v>
      </c>
      <c r="J28" s="628">
        <v>2.5000000000000001E-2</v>
      </c>
      <c r="K28" s="630">
        <v>3.7500000000000006E-2</v>
      </c>
      <c r="L28" s="575" t="s">
        <v>1056</v>
      </c>
    </row>
    <row r="29" spans="2:12" x14ac:dyDescent="0.25">
      <c r="B29" s="375" t="s">
        <v>1065</v>
      </c>
      <c r="C29" s="414">
        <v>3.5000000000000003E-2</v>
      </c>
      <c r="H29" s="573" t="s">
        <v>1065</v>
      </c>
      <c r="I29" s="628">
        <v>0.05</v>
      </c>
      <c r="J29" s="628">
        <v>0.02</v>
      </c>
      <c r="K29" s="630">
        <v>3.5000000000000003E-2</v>
      </c>
      <c r="L29" s="575" t="s">
        <v>1056</v>
      </c>
    </row>
    <row r="30" spans="2:12" x14ac:dyDescent="0.25">
      <c r="B30" s="375" t="s">
        <v>1066</v>
      </c>
      <c r="C30" s="414">
        <v>5.0000000000000001E-3</v>
      </c>
      <c r="H30" s="573" t="s">
        <v>1066</v>
      </c>
      <c r="I30" s="628">
        <v>0.01</v>
      </c>
      <c r="J30" s="628">
        <v>0</v>
      </c>
      <c r="K30" s="630">
        <v>5.0000000000000001E-3</v>
      </c>
      <c r="L30" s="575" t="s">
        <v>1056</v>
      </c>
    </row>
    <row r="31" spans="2:12" x14ac:dyDescent="0.25">
      <c r="B31" s="375" t="s">
        <v>1067</v>
      </c>
      <c r="C31" s="414">
        <v>7.5000000000000011E-2</v>
      </c>
      <c r="H31" s="573" t="s">
        <v>1067</v>
      </c>
      <c r="I31" s="628">
        <v>0.1</v>
      </c>
      <c r="J31" s="628">
        <v>0.05</v>
      </c>
      <c r="K31" s="630">
        <v>7.5000000000000011E-2</v>
      </c>
      <c r="L31" s="575" t="s">
        <v>1056</v>
      </c>
    </row>
    <row r="32" spans="2:12" x14ac:dyDescent="0.25">
      <c r="B32" s="375" t="s">
        <v>1068</v>
      </c>
      <c r="C32" s="414">
        <v>5.0000000000000001E-3</v>
      </c>
      <c r="H32" s="573" t="s">
        <v>1068</v>
      </c>
      <c r="I32" s="628">
        <v>0.01</v>
      </c>
      <c r="J32" s="628">
        <v>0</v>
      </c>
      <c r="K32" s="630">
        <v>5.0000000000000001E-3</v>
      </c>
      <c r="L32" s="575" t="s">
        <v>1056</v>
      </c>
    </row>
    <row r="33" spans="2:12" x14ac:dyDescent="0.25">
      <c r="B33" s="375" t="s">
        <v>1069</v>
      </c>
      <c r="C33" s="414">
        <v>5.0000000000000001E-3</v>
      </c>
      <c r="H33" s="573" t="s">
        <v>1069</v>
      </c>
      <c r="I33" s="628">
        <v>0.01</v>
      </c>
      <c r="J33" s="628">
        <v>0</v>
      </c>
      <c r="K33" s="630">
        <v>5.0000000000000001E-3</v>
      </c>
      <c r="L33" s="575" t="s">
        <v>1056</v>
      </c>
    </row>
    <row r="34" spans="2:12" x14ac:dyDescent="0.25">
      <c r="B34" s="375" t="s">
        <v>1070</v>
      </c>
      <c r="C34" s="414">
        <v>0.01</v>
      </c>
      <c r="H34" s="573" t="s">
        <v>1070</v>
      </c>
      <c r="I34" s="628">
        <v>0.01</v>
      </c>
      <c r="J34" s="628">
        <v>0.01</v>
      </c>
      <c r="K34" s="630">
        <v>0.01</v>
      </c>
      <c r="L34" s="575" t="s">
        <v>1056</v>
      </c>
    </row>
    <row r="35" spans="2:12" x14ac:dyDescent="0.25">
      <c r="B35" s="375" t="s">
        <v>1071</v>
      </c>
      <c r="C35" s="414">
        <v>0.05</v>
      </c>
      <c r="H35" s="573" t="s">
        <v>1071</v>
      </c>
      <c r="I35" s="628" t="s">
        <v>1053</v>
      </c>
      <c r="J35" s="628" t="s">
        <v>1053</v>
      </c>
      <c r="K35" s="630">
        <v>0.05</v>
      </c>
      <c r="L35" s="575" t="s">
        <v>1060</v>
      </c>
    </row>
    <row r="36" spans="2:12" x14ac:dyDescent="0.25">
      <c r="B36" s="375" t="s">
        <v>386</v>
      </c>
      <c r="C36" s="414">
        <v>7.5000000000000011E-2</v>
      </c>
      <c r="H36" s="573" t="s">
        <v>386</v>
      </c>
      <c r="I36" s="628">
        <v>0.1</v>
      </c>
      <c r="J36" s="628">
        <v>0.05</v>
      </c>
      <c r="K36" s="630">
        <v>7.5000000000000011E-2</v>
      </c>
      <c r="L36" s="575" t="s">
        <v>1056</v>
      </c>
    </row>
    <row r="37" spans="2:12" x14ac:dyDescent="0.25">
      <c r="B37" s="375" t="s">
        <v>1072</v>
      </c>
      <c r="C37" s="414">
        <v>0.1</v>
      </c>
      <c r="H37" s="573" t="s">
        <v>1072</v>
      </c>
      <c r="I37" s="628">
        <v>0.15</v>
      </c>
      <c r="J37" s="628">
        <v>0.05</v>
      </c>
      <c r="K37" s="630">
        <v>0.1</v>
      </c>
      <c r="L37" s="575" t="s">
        <v>1056</v>
      </c>
    </row>
    <row r="38" spans="2:12" x14ac:dyDescent="0.25">
      <c r="B38" s="375" t="s">
        <v>1073</v>
      </c>
      <c r="C38" s="414">
        <v>5.0000000000000001E-3</v>
      </c>
      <c r="H38" s="573" t="s">
        <v>1073</v>
      </c>
      <c r="I38" s="628">
        <v>0.01</v>
      </c>
      <c r="J38" s="628">
        <v>0</v>
      </c>
      <c r="K38" s="630">
        <v>5.0000000000000001E-3</v>
      </c>
      <c r="L38" s="575" t="s">
        <v>1056</v>
      </c>
    </row>
    <row r="39" spans="2:12" x14ac:dyDescent="0.25">
      <c r="B39" s="375" t="s">
        <v>1074</v>
      </c>
      <c r="C39" s="414">
        <v>3.5000000000000003E-2</v>
      </c>
      <c r="H39" s="573" t="s">
        <v>1074</v>
      </c>
      <c r="I39" s="628">
        <v>0.05</v>
      </c>
      <c r="J39" s="628">
        <v>0.02</v>
      </c>
      <c r="K39" s="630">
        <v>3.5000000000000003E-2</v>
      </c>
      <c r="L39" s="575" t="s">
        <v>1056</v>
      </c>
    </row>
    <row r="40" spans="2:12" x14ac:dyDescent="0.25">
      <c r="B40" s="375" t="s">
        <v>1075</v>
      </c>
      <c r="C40" s="414">
        <v>6.5000000000000002E-2</v>
      </c>
      <c r="H40" s="573" t="s">
        <v>1075</v>
      </c>
      <c r="I40" s="628">
        <v>0.08</v>
      </c>
      <c r="J40" s="628">
        <v>0.05</v>
      </c>
      <c r="K40" s="630">
        <v>6.5000000000000002E-2</v>
      </c>
      <c r="L40" s="575" t="s">
        <v>1056</v>
      </c>
    </row>
    <row r="41" spans="2:12" x14ac:dyDescent="0.25">
      <c r="B41" s="375" t="s">
        <v>1076</v>
      </c>
      <c r="C41" s="414">
        <v>5.0000000000000001E-3</v>
      </c>
      <c r="H41" s="573" t="s">
        <v>1076</v>
      </c>
      <c r="I41" s="628">
        <v>0.01</v>
      </c>
      <c r="J41" s="628">
        <v>0</v>
      </c>
      <c r="K41" s="630">
        <v>5.0000000000000001E-3</v>
      </c>
      <c r="L41" s="575" t="s">
        <v>1056</v>
      </c>
    </row>
    <row r="42" spans="2:12" x14ac:dyDescent="0.25">
      <c r="B42" s="375" t="s">
        <v>1077</v>
      </c>
      <c r="C42" s="414">
        <v>5.0000000000000001E-3</v>
      </c>
      <c r="H42" s="573" t="s">
        <v>1077</v>
      </c>
      <c r="I42" s="628">
        <v>0.01</v>
      </c>
      <c r="J42" s="628">
        <v>0</v>
      </c>
      <c r="K42" s="630">
        <v>5.0000000000000001E-3</v>
      </c>
      <c r="L42" s="575" t="s">
        <v>1056</v>
      </c>
    </row>
    <row r="46" spans="2:12" x14ac:dyDescent="0.25">
      <c r="B46" s="393" t="s">
        <v>1359</v>
      </c>
      <c r="C46" s="410"/>
      <c r="E46" s="428" t="s">
        <v>1357</v>
      </c>
      <c r="F46" s="407" t="s">
        <v>1358</v>
      </c>
      <c r="G46" s="400"/>
      <c r="I46" s="8" t="s">
        <v>1441</v>
      </c>
    </row>
    <row r="48" spans="2:12" x14ac:dyDescent="0.25">
      <c r="B48" s="365" t="s">
        <v>17</v>
      </c>
      <c r="C48" s="365" t="s">
        <v>18</v>
      </c>
      <c r="D48" s="365" t="s">
        <v>1360</v>
      </c>
      <c r="E48" s="365" t="s">
        <v>602</v>
      </c>
    </row>
    <row r="49" spans="2:13" x14ac:dyDescent="0.25">
      <c r="B49" s="375" t="s">
        <v>20</v>
      </c>
      <c r="C49" s="375" t="s">
        <v>21</v>
      </c>
      <c r="D49" s="375">
        <v>4750</v>
      </c>
      <c r="E49" s="411">
        <v>0.02</v>
      </c>
    </row>
    <row r="50" spans="2:13" x14ac:dyDescent="0.25">
      <c r="B50" s="375" t="s">
        <v>22</v>
      </c>
      <c r="C50" s="375" t="s">
        <v>23</v>
      </c>
      <c r="D50" s="375">
        <v>1810</v>
      </c>
      <c r="E50" s="411">
        <v>0.02</v>
      </c>
    </row>
    <row r="51" spans="2:13" x14ac:dyDescent="0.25">
      <c r="B51" s="375" t="s">
        <v>22</v>
      </c>
      <c r="C51" s="375" t="s">
        <v>24</v>
      </c>
      <c r="D51" s="375">
        <v>1774</v>
      </c>
      <c r="E51" s="411">
        <v>0.02</v>
      </c>
    </row>
    <row r="52" spans="2:13" x14ac:dyDescent="0.25">
      <c r="B52" s="375" t="s">
        <v>25</v>
      </c>
      <c r="C52" s="375" t="s">
        <v>26</v>
      </c>
      <c r="D52" s="375">
        <v>2088</v>
      </c>
      <c r="E52" s="411">
        <v>0.02</v>
      </c>
    </row>
    <row r="53" spans="2:13" x14ac:dyDescent="0.25">
      <c r="B53" s="375" t="s">
        <v>25</v>
      </c>
      <c r="C53" s="375" t="s">
        <v>27</v>
      </c>
      <c r="D53" s="375">
        <v>1430</v>
      </c>
      <c r="E53" s="411">
        <v>0.02</v>
      </c>
    </row>
    <row r="54" spans="2:13" x14ac:dyDescent="0.25">
      <c r="B54" s="375" t="s">
        <v>25</v>
      </c>
      <c r="C54" s="375" t="s">
        <v>28</v>
      </c>
      <c r="D54" s="375">
        <v>677</v>
      </c>
      <c r="E54" s="411">
        <v>0.02</v>
      </c>
    </row>
    <row r="55" spans="2:13" x14ac:dyDescent="0.25">
      <c r="B55" s="375" t="s">
        <v>29</v>
      </c>
      <c r="C55" s="375" t="s">
        <v>30</v>
      </c>
      <c r="D55" s="375">
        <v>1</v>
      </c>
      <c r="E55" s="411">
        <v>0.02</v>
      </c>
    </row>
    <row r="56" spans="2:13" x14ac:dyDescent="0.25">
      <c r="B56" s="375" t="s">
        <v>29</v>
      </c>
      <c r="C56" s="375" t="s">
        <v>31</v>
      </c>
      <c r="D56" s="375">
        <v>1</v>
      </c>
      <c r="E56" s="411">
        <v>0.02</v>
      </c>
    </row>
    <row r="57" spans="2:13" x14ac:dyDescent="0.25">
      <c r="B57" s="375" t="s">
        <v>32</v>
      </c>
      <c r="C57" s="375" t="s">
        <v>33</v>
      </c>
      <c r="D57" s="375">
        <v>4</v>
      </c>
      <c r="E57" s="411">
        <v>0.02</v>
      </c>
    </row>
    <row r="58" spans="2:13" x14ac:dyDescent="0.25">
      <c r="B58" s="375" t="s">
        <v>34</v>
      </c>
      <c r="C58" s="375" t="s">
        <v>35</v>
      </c>
      <c r="D58" s="375">
        <v>1</v>
      </c>
      <c r="E58" s="411">
        <v>0.02</v>
      </c>
    </row>
    <row r="59" spans="2:13" x14ac:dyDescent="0.25">
      <c r="B59" s="375" t="s">
        <v>34</v>
      </c>
      <c r="C59" s="375" t="s">
        <v>36</v>
      </c>
      <c r="D59" s="375">
        <v>0</v>
      </c>
      <c r="E59" s="411">
        <v>0.02</v>
      </c>
    </row>
    <row r="60" spans="2:13" x14ac:dyDescent="0.25">
      <c r="B60" s="375" t="s">
        <v>34</v>
      </c>
      <c r="C60" s="375" t="s">
        <v>37</v>
      </c>
      <c r="D60" s="375">
        <v>0</v>
      </c>
      <c r="E60" s="411">
        <v>0.02</v>
      </c>
    </row>
    <row r="61" spans="2:13" x14ac:dyDescent="0.25">
      <c r="B61" s="375" t="s">
        <v>32</v>
      </c>
      <c r="C61" s="413" t="s">
        <v>1495</v>
      </c>
      <c r="D61" s="413">
        <v>3</v>
      </c>
      <c r="E61" s="625">
        <v>0.02</v>
      </c>
    </row>
    <row r="63" spans="2:13" x14ac:dyDescent="0.25">
      <c r="B63" s="393" t="s">
        <v>1371</v>
      </c>
      <c r="C63" s="410"/>
      <c r="D63" s="410"/>
      <c r="E63" s="428" t="s">
        <v>1357</v>
      </c>
      <c r="F63" s="407" t="s">
        <v>1372</v>
      </c>
      <c r="G63" s="429"/>
      <c r="H63" s="429"/>
      <c r="I63" s="429"/>
      <c r="J63" s="429"/>
      <c r="K63" s="429"/>
      <c r="L63" s="429"/>
      <c r="M63" s="400"/>
    </row>
    <row r="65" spans="2:4" x14ac:dyDescent="0.25">
      <c r="B65" s="378" t="s">
        <v>1374</v>
      </c>
      <c r="C65" s="398" t="s">
        <v>1375</v>
      </c>
      <c r="D65" s="415" t="s">
        <v>1376</v>
      </c>
    </row>
    <row r="66" spans="2:4" x14ac:dyDescent="0.25">
      <c r="B66" s="420" t="s">
        <v>504</v>
      </c>
      <c r="C66" s="375" t="s">
        <v>505</v>
      </c>
      <c r="D66" s="437" t="s">
        <v>596</v>
      </c>
    </row>
    <row r="67" spans="2:4" x14ac:dyDescent="0.25">
      <c r="B67" s="420"/>
      <c r="C67" s="375" t="s">
        <v>446</v>
      </c>
      <c r="D67" s="437" t="s">
        <v>596</v>
      </c>
    </row>
    <row r="68" spans="2:4" x14ac:dyDescent="0.25">
      <c r="B68" s="420"/>
      <c r="C68" s="375" t="s">
        <v>447</v>
      </c>
      <c r="D68" s="437" t="s">
        <v>596</v>
      </c>
    </row>
    <row r="69" spans="2:4" x14ac:dyDescent="0.25">
      <c r="B69" s="420" t="s">
        <v>506</v>
      </c>
      <c r="C69" s="375" t="s">
        <v>448</v>
      </c>
      <c r="D69" s="437" t="s">
        <v>596</v>
      </c>
    </row>
    <row r="70" spans="2:4" x14ac:dyDescent="0.25">
      <c r="B70" s="420"/>
      <c r="C70" s="375" t="s">
        <v>449</v>
      </c>
      <c r="D70" s="437" t="s">
        <v>596</v>
      </c>
    </row>
    <row r="71" spans="2:4" x14ac:dyDescent="0.25">
      <c r="B71" s="420"/>
      <c r="C71" s="375" t="s">
        <v>450</v>
      </c>
      <c r="D71" s="437" t="s">
        <v>596</v>
      </c>
    </row>
    <row r="72" spans="2:4" x14ac:dyDescent="0.25">
      <c r="B72" s="420"/>
      <c r="C72" s="375" t="s">
        <v>451</v>
      </c>
      <c r="D72" s="437" t="s">
        <v>596</v>
      </c>
    </row>
    <row r="73" spans="2:4" x14ac:dyDescent="0.25">
      <c r="B73" s="420" t="s">
        <v>507</v>
      </c>
      <c r="C73" s="375" t="s">
        <v>452</v>
      </c>
      <c r="D73" s="437">
        <v>30</v>
      </c>
    </row>
    <row r="74" spans="2:4" x14ac:dyDescent="0.25">
      <c r="B74" s="420"/>
      <c r="C74" s="375" t="s">
        <v>453</v>
      </c>
      <c r="D74" s="437">
        <v>30</v>
      </c>
    </row>
    <row r="75" spans="2:4" x14ac:dyDescent="0.25">
      <c r="B75" s="420"/>
      <c r="C75" s="375" t="s">
        <v>454</v>
      </c>
      <c r="D75" s="437">
        <v>30</v>
      </c>
    </row>
    <row r="76" spans="2:4" x14ac:dyDescent="0.25">
      <c r="B76" s="420" t="s">
        <v>508</v>
      </c>
      <c r="C76" s="375" t="s">
        <v>455</v>
      </c>
      <c r="D76" s="437">
        <v>30</v>
      </c>
    </row>
    <row r="77" spans="2:4" x14ac:dyDescent="0.25">
      <c r="B77" s="420"/>
      <c r="C77" s="375" t="s">
        <v>523</v>
      </c>
      <c r="D77" s="437">
        <v>35</v>
      </c>
    </row>
    <row r="78" spans="2:4" x14ac:dyDescent="0.25">
      <c r="B78" s="420"/>
      <c r="C78" s="375" t="s">
        <v>456</v>
      </c>
      <c r="D78" s="437">
        <v>30</v>
      </c>
    </row>
    <row r="79" spans="2:4" x14ac:dyDescent="0.25">
      <c r="B79" s="420"/>
      <c r="C79" s="375" t="s">
        <v>522</v>
      </c>
      <c r="D79" s="437">
        <v>10</v>
      </c>
    </row>
    <row r="80" spans="2:4" x14ac:dyDescent="0.25">
      <c r="B80" s="420"/>
      <c r="C80" s="375" t="s">
        <v>521</v>
      </c>
      <c r="D80" s="437">
        <v>30</v>
      </c>
    </row>
    <row r="81" spans="2:4" x14ac:dyDescent="0.25">
      <c r="B81" s="420" t="s">
        <v>509</v>
      </c>
      <c r="C81" s="375" t="s">
        <v>1103</v>
      </c>
      <c r="D81" s="437">
        <v>30</v>
      </c>
    </row>
    <row r="82" spans="2:4" x14ac:dyDescent="0.25">
      <c r="B82" s="420"/>
      <c r="C82" s="375" t="s">
        <v>457</v>
      </c>
      <c r="D82" s="437">
        <v>30</v>
      </c>
    </row>
    <row r="83" spans="2:4" x14ac:dyDescent="0.25">
      <c r="B83" s="420" t="s">
        <v>510</v>
      </c>
      <c r="C83" s="375" t="s">
        <v>458</v>
      </c>
      <c r="D83" s="437" t="s">
        <v>596</v>
      </c>
    </row>
    <row r="84" spans="2:4" x14ac:dyDescent="0.25">
      <c r="B84" s="420" t="s">
        <v>511</v>
      </c>
      <c r="C84" s="375" t="s">
        <v>459</v>
      </c>
      <c r="D84" s="437">
        <v>20</v>
      </c>
    </row>
    <row r="85" spans="2:4" x14ac:dyDescent="0.25">
      <c r="B85" s="420"/>
      <c r="C85" s="375" t="s">
        <v>460</v>
      </c>
      <c r="D85" s="421">
        <v>10</v>
      </c>
    </row>
    <row r="86" spans="2:4" x14ac:dyDescent="0.25">
      <c r="B86" s="420"/>
      <c r="C86" s="375" t="s">
        <v>524</v>
      </c>
      <c r="D86" s="421">
        <v>30</v>
      </c>
    </row>
    <row r="87" spans="2:4" x14ac:dyDescent="0.25">
      <c r="B87" s="420"/>
      <c r="C87" s="375" t="s">
        <v>525</v>
      </c>
      <c r="D87" s="421">
        <v>10</v>
      </c>
    </row>
    <row r="88" spans="2:4" x14ac:dyDescent="0.25">
      <c r="B88" s="420"/>
      <c r="C88" s="375" t="s">
        <v>527</v>
      </c>
      <c r="D88" s="421">
        <v>30</v>
      </c>
    </row>
    <row r="89" spans="2:4" x14ac:dyDescent="0.25">
      <c r="B89" s="420"/>
      <c r="C89" s="375" t="s">
        <v>526</v>
      </c>
      <c r="D89" s="421">
        <v>10</v>
      </c>
    </row>
    <row r="90" spans="2:4" x14ac:dyDescent="0.25">
      <c r="B90" s="420"/>
      <c r="C90" s="375" t="s">
        <v>461</v>
      </c>
      <c r="D90" s="421">
        <v>30</v>
      </c>
    </row>
    <row r="91" spans="2:4" x14ac:dyDescent="0.25">
      <c r="B91" s="420"/>
      <c r="C91" s="375" t="s">
        <v>528</v>
      </c>
      <c r="D91" s="421">
        <v>10</v>
      </c>
    </row>
    <row r="92" spans="2:4" x14ac:dyDescent="0.25">
      <c r="B92" s="420" t="s">
        <v>512</v>
      </c>
      <c r="C92" s="375" t="s">
        <v>467</v>
      </c>
      <c r="D92" s="421">
        <v>15</v>
      </c>
    </row>
    <row r="93" spans="2:4" x14ac:dyDescent="0.25">
      <c r="B93" s="420"/>
      <c r="C93" s="375" t="s">
        <v>468</v>
      </c>
      <c r="D93" s="421">
        <v>15</v>
      </c>
    </row>
    <row r="94" spans="2:4" x14ac:dyDescent="0.25">
      <c r="B94" s="420" t="s">
        <v>513</v>
      </c>
      <c r="C94" s="375" t="s">
        <v>469</v>
      </c>
      <c r="D94" s="421">
        <v>20</v>
      </c>
    </row>
    <row r="95" spans="2:4" x14ac:dyDescent="0.25">
      <c r="B95" s="420"/>
      <c r="C95" s="375" t="s">
        <v>529</v>
      </c>
      <c r="D95" s="421">
        <v>30</v>
      </c>
    </row>
    <row r="96" spans="2:4" x14ac:dyDescent="0.25">
      <c r="B96" s="420"/>
      <c r="C96" s="375" t="s">
        <v>470</v>
      </c>
      <c r="D96" s="421">
        <v>15</v>
      </c>
    </row>
    <row r="97" spans="2:4" x14ac:dyDescent="0.25">
      <c r="B97" s="420"/>
      <c r="C97" s="375" t="s">
        <v>531</v>
      </c>
      <c r="D97" s="421">
        <v>15</v>
      </c>
    </row>
    <row r="98" spans="2:4" x14ac:dyDescent="0.25">
      <c r="B98" s="420"/>
      <c r="C98" s="375" t="s">
        <v>530</v>
      </c>
      <c r="D98" s="421">
        <v>30</v>
      </c>
    </row>
    <row r="99" spans="2:4" x14ac:dyDescent="0.25">
      <c r="B99" s="420" t="s">
        <v>514</v>
      </c>
      <c r="C99" s="375" t="s">
        <v>472</v>
      </c>
      <c r="D99" s="421">
        <v>20</v>
      </c>
    </row>
    <row r="100" spans="2:4" x14ac:dyDescent="0.25">
      <c r="B100" s="420"/>
      <c r="C100" s="375" t="s">
        <v>473</v>
      </c>
      <c r="D100" s="421">
        <v>30</v>
      </c>
    </row>
    <row r="101" spans="2:4" x14ac:dyDescent="0.25">
      <c r="B101" s="420" t="s">
        <v>515</v>
      </c>
      <c r="C101" s="375" t="s">
        <v>474</v>
      </c>
      <c r="D101" s="421">
        <v>25</v>
      </c>
    </row>
    <row r="102" spans="2:4" x14ac:dyDescent="0.25">
      <c r="B102" s="420"/>
      <c r="C102" s="375" t="s">
        <v>475</v>
      </c>
      <c r="D102" s="421">
        <v>25</v>
      </c>
    </row>
    <row r="103" spans="2:4" x14ac:dyDescent="0.25">
      <c r="B103" s="420"/>
      <c r="C103" s="375" t="s">
        <v>476</v>
      </c>
      <c r="D103" s="421">
        <v>25</v>
      </c>
    </row>
    <row r="104" spans="2:4" x14ac:dyDescent="0.25">
      <c r="B104" s="420"/>
      <c r="C104" s="375" t="s">
        <v>462</v>
      </c>
      <c r="D104" s="421">
        <v>25</v>
      </c>
    </row>
    <row r="105" spans="2:4" x14ac:dyDescent="0.25">
      <c r="B105" s="420" t="s">
        <v>516</v>
      </c>
      <c r="C105" s="375" t="s">
        <v>477</v>
      </c>
      <c r="D105" s="421">
        <v>20</v>
      </c>
    </row>
    <row r="106" spans="2:4" x14ac:dyDescent="0.25">
      <c r="B106" s="420"/>
      <c r="C106" s="375" t="s">
        <v>478</v>
      </c>
      <c r="D106" s="421">
        <v>30</v>
      </c>
    </row>
    <row r="107" spans="2:4" x14ac:dyDescent="0.25">
      <c r="B107" s="420"/>
      <c r="C107" s="375" t="s">
        <v>479</v>
      </c>
      <c r="D107" s="421">
        <v>15</v>
      </c>
    </row>
    <row r="108" spans="2:4" x14ac:dyDescent="0.25">
      <c r="B108" s="420"/>
      <c r="C108" s="375" t="s">
        <v>480</v>
      </c>
      <c r="D108" s="421">
        <v>15</v>
      </c>
    </row>
    <row r="109" spans="2:4" x14ac:dyDescent="0.25">
      <c r="B109" s="420" t="s">
        <v>517</v>
      </c>
      <c r="C109" s="375" t="s">
        <v>463</v>
      </c>
      <c r="D109" s="421">
        <v>30</v>
      </c>
    </row>
    <row r="110" spans="2:4" x14ac:dyDescent="0.25">
      <c r="B110" s="420"/>
      <c r="C110" s="375" t="s">
        <v>464</v>
      </c>
      <c r="D110" s="421">
        <v>30</v>
      </c>
    </row>
    <row r="111" spans="2:4" x14ac:dyDescent="0.25">
      <c r="B111" s="420" t="s">
        <v>518</v>
      </c>
      <c r="C111" s="375" t="s">
        <v>465</v>
      </c>
      <c r="D111" s="421">
        <v>25</v>
      </c>
    </row>
    <row r="112" spans="2:4" x14ac:dyDescent="0.25">
      <c r="B112" s="420"/>
      <c r="C112" s="375" t="s">
        <v>466</v>
      </c>
      <c r="D112" s="421">
        <v>20</v>
      </c>
    </row>
    <row r="113" spans="2:11" x14ac:dyDescent="0.25">
      <c r="B113" s="416"/>
      <c r="C113" s="413" t="s">
        <v>462</v>
      </c>
      <c r="D113" s="417">
        <v>30</v>
      </c>
    </row>
    <row r="117" spans="2:11" x14ac:dyDescent="0.25">
      <c r="B117" s="393" t="s">
        <v>1361</v>
      </c>
      <c r="C117" s="410"/>
      <c r="E117" s="428" t="s">
        <v>1357</v>
      </c>
      <c r="F117" s="430" t="s">
        <v>410</v>
      </c>
      <c r="G117" s="429"/>
      <c r="H117" s="429"/>
      <c r="I117" s="429"/>
      <c r="J117" s="429"/>
      <c r="K117" s="400"/>
    </row>
    <row r="118" spans="2:11" x14ac:dyDescent="0.25">
      <c r="B118" s="56"/>
    </row>
    <row r="119" spans="2:11" x14ac:dyDescent="0.25">
      <c r="B119" s="365" t="s">
        <v>68</v>
      </c>
      <c r="C119" s="365" t="s">
        <v>53</v>
      </c>
      <c r="D119" s="365" t="s">
        <v>54</v>
      </c>
    </row>
    <row r="120" spans="2:11" x14ac:dyDescent="0.25">
      <c r="B120" s="375" t="s">
        <v>42</v>
      </c>
      <c r="C120" s="375">
        <v>1.1000000000000001</v>
      </c>
      <c r="D120" s="375">
        <v>263.89999999999998</v>
      </c>
    </row>
    <row r="121" spans="2:11" x14ac:dyDescent="0.25">
      <c r="B121" s="375" t="s">
        <v>43</v>
      </c>
      <c r="C121" s="375">
        <v>1.1000000000000001</v>
      </c>
      <c r="D121" s="375">
        <v>273.60000000000002</v>
      </c>
    </row>
    <row r="122" spans="2:11" x14ac:dyDescent="0.25">
      <c r="B122" s="375" t="s">
        <v>44</v>
      </c>
      <c r="C122" s="375">
        <v>1.1000000000000001</v>
      </c>
      <c r="D122" s="375">
        <v>229.3</v>
      </c>
    </row>
    <row r="123" spans="2:11" x14ac:dyDescent="0.25">
      <c r="B123" s="375" t="s">
        <v>45</v>
      </c>
      <c r="C123" s="375">
        <v>1.1000000000000001</v>
      </c>
      <c r="D123" s="375">
        <v>264</v>
      </c>
    </row>
    <row r="124" spans="2:11" x14ac:dyDescent="0.25">
      <c r="B124" s="375" t="s">
        <v>46</v>
      </c>
      <c r="C124" s="375">
        <v>1.1000000000000001</v>
      </c>
      <c r="D124" s="375">
        <v>337.5</v>
      </c>
    </row>
    <row r="125" spans="2:11" x14ac:dyDescent="0.25">
      <c r="B125" s="375" t="s">
        <v>47</v>
      </c>
      <c r="C125" s="375">
        <v>1.1000000000000001</v>
      </c>
      <c r="D125" s="375">
        <v>340.6</v>
      </c>
    </row>
    <row r="126" spans="2:11" x14ac:dyDescent="0.25">
      <c r="B126" s="375" t="s">
        <v>48</v>
      </c>
      <c r="C126" s="375">
        <v>1.1000000000000001</v>
      </c>
      <c r="D126" s="375">
        <v>418.1</v>
      </c>
    </row>
    <row r="127" spans="2:11" x14ac:dyDescent="0.25">
      <c r="B127" s="375" t="s">
        <v>49</v>
      </c>
      <c r="C127" s="375">
        <v>1.1000000000000001</v>
      </c>
      <c r="D127" s="375">
        <v>374.4</v>
      </c>
    </row>
    <row r="128" spans="2:11" x14ac:dyDescent="0.25">
      <c r="B128" s="375" t="s">
        <v>50</v>
      </c>
      <c r="C128" s="375">
        <v>1.1000000000000001</v>
      </c>
      <c r="D128" s="375">
        <v>355.9</v>
      </c>
    </row>
    <row r="129" spans="2:10" x14ac:dyDescent="0.25">
      <c r="B129" s="375" t="s">
        <v>51</v>
      </c>
      <c r="C129" s="375">
        <v>1.1000000000000001</v>
      </c>
      <c r="D129" s="375">
        <v>202.9</v>
      </c>
    </row>
    <row r="130" spans="2:10" x14ac:dyDescent="0.25">
      <c r="B130" s="375" t="s">
        <v>52</v>
      </c>
      <c r="C130" s="375">
        <v>1.1000000000000001</v>
      </c>
      <c r="D130" s="375">
        <v>91</v>
      </c>
    </row>
    <row r="132" spans="2:10" x14ac:dyDescent="0.25">
      <c r="B132" s="8" t="s">
        <v>55</v>
      </c>
      <c r="E132" s="428" t="s">
        <v>1357</v>
      </c>
      <c r="F132" s="407" t="s">
        <v>411</v>
      </c>
      <c r="G132" s="429"/>
      <c r="H132" s="429"/>
      <c r="I132" s="429"/>
      <c r="J132" s="400"/>
    </row>
    <row r="134" spans="2:10" s="336" customFormat="1" ht="30" customHeight="1" x14ac:dyDescent="0.3">
      <c r="B134" s="353" t="s">
        <v>56</v>
      </c>
      <c r="C134" s="353" t="s">
        <v>53</v>
      </c>
      <c r="D134" s="353" t="s">
        <v>59</v>
      </c>
    </row>
    <row r="135" spans="2:10" x14ac:dyDescent="0.25">
      <c r="B135" s="375">
        <v>2022</v>
      </c>
      <c r="C135" s="412">
        <v>1.830257</v>
      </c>
      <c r="D135" s="412">
        <v>339.16966779147106</v>
      </c>
    </row>
    <row r="136" spans="2:10" x14ac:dyDescent="0.25">
      <c r="B136" s="375">
        <v>2023</v>
      </c>
      <c r="C136" s="412">
        <v>1.830257</v>
      </c>
      <c r="D136" s="412">
        <v>314.37089849864714</v>
      </c>
    </row>
    <row r="137" spans="2:10" x14ac:dyDescent="0.25">
      <c r="B137" s="375">
        <v>2024</v>
      </c>
      <c r="C137" s="412">
        <v>1.8172890766198602</v>
      </c>
      <c r="D137" s="412">
        <v>255.59572890288828</v>
      </c>
    </row>
    <row r="138" spans="2:10" x14ac:dyDescent="0.25">
      <c r="B138" s="375">
        <v>2025</v>
      </c>
      <c r="C138" s="412">
        <v>1.7656240795697244</v>
      </c>
      <c r="D138" s="412">
        <v>238.76043880560457</v>
      </c>
    </row>
    <row r="139" spans="2:10" x14ac:dyDescent="0.25">
      <c r="B139" s="375">
        <v>2026</v>
      </c>
      <c r="C139" s="412">
        <v>1.6469708600751447</v>
      </c>
      <c r="D139" s="412">
        <v>191.23965811754431</v>
      </c>
    </row>
    <row r="140" spans="2:10" x14ac:dyDescent="0.25">
      <c r="B140" s="375">
        <v>2027</v>
      </c>
      <c r="C140" s="412">
        <v>1.5587640360561514</v>
      </c>
      <c r="D140" s="412">
        <v>159.08201801234017</v>
      </c>
    </row>
    <row r="141" spans="2:10" x14ac:dyDescent="0.25">
      <c r="B141" s="375">
        <v>2028</v>
      </c>
      <c r="C141" s="412">
        <v>1.4925675361323245</v>
      </c>
      <c r="D141" s="412">
        <v>134.08753434988068</v>
      </c>
    </row>
    <row r="142" spans="2:10" x14ac:dyDescent="0.25">
      <c r="B142" s="375">
        <v>2029</v>
      </c>
      <c r="C142" s="412">
        <v>1.4325544090237581</v>
      </c>
      <c r="D142" s="412">
        <v>112.21128977427914</v>
      </c>
    </row>
    <row r="143" spans="2:10" x14ac:dyDescent="0.25">
      <c r="B143" s="375">
        <v>2030</v>
      </c>
      <c r="C143" s="412">
        <v>1.3918315840407829</v>
      </c>
      <c r="D143" s="412">
        <v>97.918770362675005</v>
      </c>
    </row>
    <row r="144" spans="2:10" x14ac:dyDescent="0.25">
      <c r="B144" s="375">
        <v>2031</v>
      </c>
      <c r="C144" s="412">
        <v>1.3825760678949581</v>
      </c>
      <c r="D144" s="412">
        <v>94.814323249292286</v>
      </c>
    </row>
    <row r="145" spans="2:4" x14ac:dyDescent="0.25">
      <c r="B145" s="375">
        <v>2032</v>
      </c>
      <c r="C145" s="412">
        <v>1.3409709707248239</v>
      </c>
      <c r="D145" s="412">
        <v>80.352250731460629</v>
      </c>
    </row>
    <row r="146" spans="2:4" x14ac:dyDescent="0.25">
      <c r="B146" s="375">
        <v>2033</v>
      </c>
      <c r="C146" s="412">
        <v>1.33476263881135</v>
      </c>
      <c r="D146" s="412">
        <v>78.679774151332566</v>
      </c>
    </row>
    <row r="147" spans="2:4" x14ac:dyDescent="0.25">
      <c r="B147" s="375">
        <v>2034</v>
      </c>
      <c r="C147" s="412">
        <v>1.3412031060381173</v>
      </c>
      <c r="D147" s="412">
        <v>81.921063706336071</v>
      </c>
    </row>
    <row r="148" spans="2:4" x14ac:dyDescent="0.25">
      <c r="B148" s="375">
        <v>2035</v>
      </c>
      <c r="C148" s="412">
        <v>1.3363059189462005</v>
      </c>
      <c r="D148" s="412">
        <v>81.948018199274259</v>
      </c>
    </row>
    <row r="149" spans="2:4" x14ac:dyDescent="0.25">
      <c r="B149" s="375">
        <v>2036</v>
      </c>
      <c r="C149" s="412">
        <v>1.3035591376335454</v>
      </c>
      <c r="D149" s="412">
        <v>69.198542332607502</v>
      </c>
    </row>
    <row r="150" spans="2:4" x14ac:dyDescent="0.25">
      <c r="B150" s="375">
        <v>2037</v>
      </c>
      <c r="C150" s="412">
        <v>1.2902765589965368</v>
      </c>
      <c r="D150" s="412">
        <v>64.763133125501227</v>
      </c>
    </row>
    <row r="151" spans="2:4" x14ac:dyDescent="0.25">
      <c r="B151" s="375">
        <v>2038</v>
      </c>
      <c r="C151" s="412">
        <v>1.3037246386566366</v>
      </c>
      <c r="D151" s="412">
        <v>70.674293676951407</v>
      </c>
    </row>
    <row r="152" spans="2:4" x14ac:dyDescent="0.25">
      <c r="B152" s="375">
        <v>2039</v>
      </c>
      <c r="C152" s="412">
        <v>1.2940960482322565</v>
      </c>
      <c r="D152" s="412">
        <v>67.146143156589744</v>
      </c>
    </row>
    <row r="153" spans="2:4" x14ac:dyDescent="0.25">
      <c r="B153" s="375">
        <v>2040</v>
      </c>
      <c r="C153" s="412">
        <v>1.2612451432741454</v>
      </c>
      <c r="D153" s="412">
        <v>58.447031782942766</v>
      </c>
    </row>
    <row r="154" spans="2:4" x14ac:dyDescent="0.25">
      <c r="B154" s="375">
        <v>2041</v>
      </c>
      <c r="C154" s="412">
        <v>1.2573078202371384</v>
      </c>
      <c r="D154" s="412">
        <v>57.068782923499334</v>
      </c>
    </row>
    <row r="155" spans="2:4" x14ac:dyDescent="0.25">
      <c r="B155" s="375">
        <v>2042</v>
      </c>
      <c r="C155" s="412">
        <v>1.2526085745912876</v>
      </c>
      <c r="D155" s="412">
        <v>55.634060891698873</v>
      </c>
    </row>
    <row r="156" spans="2:4" x14ac:dyDescent="0.25">
      <c r="B156" s="375">
        <v>2043</v>
      </c>
      <c r="C156" s="412">
        <v>1.2629532704902517</v>
      </c>
      <c r="D156" s="412">
        <v>59.509515452201505</v>
      </c>
    </row>
    <row r="157" spans="2:4" x14ac:dyDescent="0.25">
      <c r="B157" s="375">
        <v>2044</v>
      </c>
      <c r="C157" s="412">
        <v>1.2567678088175185</v>
      </c>
      <c r="D157" s="412">
        <v>57.990223390250826</v>
      </c>
    </row>
    <row r="158" spans="2:4" x14ac:dyDescent="0.25">
      <c r="B158" s="375">
        <v>2045</v>
      </c>
      <c r="C158" s="412">
        <v>1.2714379899171999</v>
      </c>
      <c r="D158" s="412">
        <v>64.446800536494152</v>
      </c>
    </row>
    <row r="159" spans="2:4" x14ac:dyDescent="0.25">
      <c r="B159" s="375">
        <v>2046</v>
      </c>
      <c r="C159" s="412">
        <v>1.2383108439250934</v>
      </c>
      <c r="D159" s="412">
        <v>50.73599562734119</v>
      </c>
    </row>
    <row r="160" spans="2:4" x14ac:dyDescent="0.25">
      <c r="B160" s="375">
        <v>2047</v>
      </c>
      <c r="C160" s="412">
        <v>1.2484918905203322</v>
      </c>
      <c r="D160" s="412">
        <v>54.467712094513288</v>
      </c>
    </row>
    <row r="161" spans="2:4" x14ac:dyDescent="0.25">
      <c r="B161" s="375">
        <v>2048</v>
      </c>
      <c r="C161" s="412">
        <v>1.242220191996672</v>
      </c>
      <c r="D161" s="412">
        <v>52.805264178961544</v>
      </c>
    </row>
    <row r="162" spans="2:4" x14ac:dyDescent="0.25">
      <c r="B162" s="375">
        <v>2049</v>
      </c>
      <c r="C162" s="412">
        <v>1.2447593692870571</v>
      </c>
      <c r="D162" s="412">
        <v>53.993388149952452</v>
      </c>
    </row>
    <row r="163" spans="2:4" x14ac:dyDescent="0.25">
      <c r="B163" s="375">
        <v>2050</v>
      </c>
      <c r="C163" s="412">
        <v>1.2423576813809649</v>
      </c>
      <c r="D163" s="412">
        <v>53.19402110189278</v>
      </c>
    </row>
    <row r="164" spans="2:4" x14ac:dyDescent="0.25">
      <c r="B164" s="375">
        <v>2051</v>
      </c>
      <c r="C164" s="412">
        <v>1.2399559934748727</v>
      </c>
      <c r="D164" s="412">
        <v>52.394654053833108</v>
      </c>
    </row>
    <row r="165" spans="2:4" x14ac:dyDescent="0.25">
      <c r="B165" s="375">
        <v>2052</v>
      </c>
      <c r="C165" s="412">
        <v>1.2375543055687805</v>
      </c>
      <c r="D165" s="412">
        <v>51.595287005773436</v>
      </c>
    </row>
    <row r="166" spans="2:4" x14ac:dyDescent="0.25">
      <c r="B166" s="375">
        <v>2053</v>
      </c>
      <c r="C166" s="412">
        <v>1.2375543055687805</v>
      </c>
      <c r="D166" s="412">
        <v>50.795919957713764</v>
      </c>
    </row>
    <row r="167" spans="2:4" x14ac:dyDescent="0.25">
      <c r="B167" s="375">
        <v>2054</v>
      </c>
      <c r="C167" s="412">
        <v>1.2375543055687805</v>
      </c>
      <c r="D167" s="412">
        <v>49.996552909654092</v>
      </c>
    </row>
    <row r="168" spans="2:4" x14ac:dyDescent="0.25">
      <c r="B168" s="375">
        <v>2055</v>
      </c>
      <c r="C168" s="412">
        <v>1.2375543055687805</v>
      </c>
      <c r="D168" s="412">
        <v>49.19718586159442</v>
      </c>
    </row>
    <row r="169" spans="2:4" x14ac:dyDescent="0.25">
      <c r="B169" s="375">
        <v>2056</v>
      </c>
      <c r="C169" s="412">
        <v>1.2375543055687805</v>
      </c>
      <c r="D169" s="412">
        <v>48.397818813534748</v>
      </c>
    </row>
    <row r="170" spans="2:4" x14ac:dyDescent="0.25">
      <c r="B170" s="375">
        <v>2057</v>
      </c>
      <c r="C170" s="412">
        <v>1.2375543055687805</v>
      </c>
      <c r="D170" s="412">
        <v>47.598451765475076</v>
      </c>
    </row>
    <row r="171" spans="2:4" x14ac:dyDescent="0.25">
      <c r="B171" s="375">
        <v>2058</v>
      </c>
      <c r="C171" s="412">
        <v>1.2375543055687805</v>
      </c>
      <c r="D171" s="412">
        <v>46.799084717415404</v>
      </c>
    </row>
    <row r="172" spans="2:4" x14ac:dyDescent="0.25">
      <c r="B172" s="375">
        <v>2059</v>
      </c>
      <c r="C172" s="412">
        <v>1.2375543055687805</v>
      </c>
      <c r="D172" s="412">
        <v>45.999717669355732</v>
      </c>
    </row>
    <row r="173" spans="2:4" x14ac:dyDescent="0.25">
      <c r="B173" s="375">
        <v>2060</v>
      </c>
      <c r="C173" s="412">
        <v>1.2375543055687805</v>
      </c>
      <c r="D173" s="412">
        <v>45.20035062129606</v>
      </c>
    </row>
    <row r="174" spans="2:4" x14ac:dyDescent="0.25">
      <c r="B174" s="375">
        <v>2061</v>
      </c>
      <c r="C174" s="412">
        <v>1.2375543055687805</v>
      </c>
      <c r="D174" s="412">
        <v>44.400983573236388</v>
      </c>
    </row>
    <row r="175" spans="2:4" x14ac:dyDescent="0.25">
      <c r="B175" s="375">
        <v>2062</v>
      </c>
      <c r="C175" s="412">
        <v>1.2375543055687805</v>
      </c>
      <c r="D175" s="412">
        <v>43.601616525176716</v>
      </c>
    </row>
    <row r="176" spans="2:4" x14ac:dyDescent="0.25">
      <c r="B176" s="375">
        <v>2063</v>
      </c>
      <c r="C176" s="412">
        <v>1.2375543055687805</v>
      </c>
      <c r="D176" s="412">
        <v>42.802249477117044</v>
      </c>
    </row>
    <row r="177" spans="2:4" x14ac:dyDescent="0.25">
      <c r="B177" s="375">
        <v>2064</v>
      </c>
      <c r="C177" s="412">
        <v>1.2375543055687805</v>
      </c>
      <c r="D177" s="412">
        <v>42.002882429057372</v>
      </c>
    </row>
    <row r="178" spans="2:4" x14ac:dyDescent="0.25">
      <c r="B178" s="375">
        <v>2065</v>
      </c>
      <c r="C178" s="412">
        <v>1.2375543055687805</v>
      </c>
      <c r="D178" s="412">
        <v>41.2035153809977</v>
      </c>
    </row>
    <row r="179" spans="2:4" x14ac:dyDescent="0.25">
      <c r="B179" s="375">
        <v>2066</v>
      </c>
      <c r="C179" s="412">
        <v>1.2375543055687805</v>
      </c>
      <c r="D179" s="412">
        <v>40.404148332938028</v>
      </c>
    </row>
    <row r="180" spans="2:4" x14ac:dyDescent="0.25">
      <c r="B180" s="375">
        <v>2067</v>
      </c>
      <c r="C180" s="412">
        <v>1.2375543055687805</v>
      </c>
      <c r="D180" s="412">
        <v>39.604781284878356</v>
      </c>
    </row>
    <row r="181" spans="2:4" x14ac:dyDescent="0.25">
      <c r="B181" s="375">
        <v>2068</v>
      </c>
      <c r="C181" s="412">
        <v>1.2375543055687805</v>
      </c>
      <c r="D181" s="412">
        <v>38.805414236818685</v>
      </c>
    </row>
    <row r="182" spans="2:4" x14ac:dyDescent="0.25">
      <c r="B182" s="375">
        <v>2069</v>
      </c>
      <c r="C182" s="412">
        <v>1.2375543055687805</v>
      </c>
      <c r="D182" s="412">
        <v>38.006047188759013</v>
      </c>
    </row>
    <row r="183" spans="2:4" x14ac:dyDescent="0.25">
      <c r="B183" s="375">
        <v>2070</v>
      </c>
      <c r="C183" s="412">
        <v>1.2375543055687805</v>
      </c>
      <c r="D183" s="412">
        <v>37.206680140699341</v>
      </c>
    </row>
    <row r="184" spans="2:4" x14ac:dyDescent="0.25">
      <c r="B184" s="375">
        <v>2071</v>
      </c>
      <c r="C184" s="412">
        <v>1.2375543055687805</v>
      </c>
      <c r="D184" s="412">
        <v>36.407313092639669</v>
      </c>
    </row>
    <row r="185" spans="2:4" x14ac:dyDescent="0.25">
      <c r="B185" s="375">
        <v>2072</v>
      </c>
      <c r="C185" s="412">
        <v>1.2375543055687801</v>
      </c>
      <c r="D185" s="412">
        <v>35.607946044579997</v>
      </c>
    </row>
    <row r="186" spans="2:4" x14ac:dyDescent="0.25">
      <c r="B186" s="375">
        <v>2073</v>
      </c>
      <c r="C186" s="375"/>
      <c r="D186" s="375"/>
    </row>
    <row r="187" spans="2:4" x14ac:dyDescent="0.25">
      <c r="B187" s="375">
        <v>2074</v>
      </c>
      <c r="C187" s="375"/>
      <c r="D187" s="375"/>
    </row>
    <row r="188" spans="2:4" x14ac:dyDescent="0.25">
      <c r="B188" s="375">
        <v>2075</v>
      </c>
      <c r="C188" s="375"/>
      <c r="D188" s="375"/>
    </row>
    <row r="189" spans="2:4" x14ac:dyDescent="0.25">
      <c r="B189" s="375">
        <v>2076</v>
      </c>
      <c r="C189" s="375"/>
      <c r="D189" s="375"/>
    </row>
    <row r="190" spans="2:4" x14ac:dyDescent="0.25">
      <c r="B190" s="375">
        <v>2077</v>
      </c>
      <c r="C190" s="375"/>
      <c r="D190" s="375"/>
    </row>
    <row r="191" spans="2:4" x14ac:dyDescent="0.25">
      <c r="B191" s="375">
        <v>2078</v>
      </c>
      <c r="C191" s="375"/>
      <c r="D191" s="375"/>
    </row>
    <row r="192" spans="2:4" x14ac:dyDescent="0.25">
      <c r="B192" s="375">
        <v>2079</v>
      </c>
      <c r="C192" s="375"/>
      <c r="D192" s="375"/>
    </row>
    <row r="193" spans="2:15" x14ac:dyDescent="0.25">
      <c r="B193" s="375">
        <v>2080</v>
      </c>
      <c r="C193" s="375"/>
      <c r="D193" s="375"/>
    </row>
    <row r="196" spans="2:15" x14ac:dyDescent="0.25">
      <c r="B196" s="393" t="s">
        <v>1362</v>
      </c>
      <c r="C196" s="410"/>
      <c r="E196" s="428" t="s">
        <v>1357</v>
      </c>
      <c r="F196" s="407" t="s">
        <v>413</v>
      </c>
      <c r="G196" s="429"/>
      <c r="H196" s="429"/>
      <c r="I196" s="400"/>
    </row>
    <row r="197" spans="2:15" x14ac:dyDescent="0.25">
      <c r="B197" s="56"/>
    </row>
    <row r="198" spans="2:15" x14ac:dyDescent="0.25">
      <c r="B198" s="378" t="s">
        <v>67</v>
      </c>
      <c r="C198" s="415" t="s">
        <v>61</v>
      </c>
    </row>
    <row r="199" spans="2:15" x14ac:dyDescent="0.25">
      <c r="B199" s="416" t="s">
        <v>63</v>
      </c>
      <c r="C199" s="417">
        <v>0.1517</v>
      </c>
    </row>
    <row r="202" spans="2:15" x14ac:dyDescent="0.25">
      <c r="B202" s="393" t="s">
        <v>1363</v>
      </c>
      <c r="C202" s="410"/>
      <c r="E202" s="428" t="s">
        <v>1357</v>
      </c>
      <c r="F202" s="407" t="s">
        <v>414</v>
      </c>
      <c r="G202" s="429"/>
      <c r="H202" s="429"/>
      <c r="I202" s="400"/>
    </row>
    <row r="204" spans="2:15" x14ac:dyDescent="0.25">
      <c r="B204" s="378" t="s">
        <v>69</v>
      </c>
      <c r="C204" s="415" t="s">
        <v>70</v>
      </c>
    </row>
    <row r="205" spans="2:15" x14ac:dyDescent="0.25">
      <c r="B205" s="416" t="s">
        <v>1364</v>
      </c>
      <c r="C205" s="417">
        <v>3.4</v>
      </c>
    </row>
    <row r="208" spans="2:15" x14ac:dyDescent="0.25">
      <c r="B208" s="393" t="s">
        <v>1365</v>
      </c>
      <c r="C208" s="410"/>
      <c r="E208" s="431" t="s">
        <v>1357</v>
      </c>
      <c r="F208" s="380" t="s">
        <v>1367</v>
      </c>
      <c r="G208" s="376"/>
      <c r="H208" s="376"/>
      <c r="I208" s="376"/>
      <c r="J208" s="376"/>
      <c r="K208" s="376"/>
      <c r="L208" s="376"/>
      <c r="M208" s="376"/>
      <c r="N208" s="376"/>
      <c r="O208" s="377"/>
    </row>
    <row r="209" spans="2:15" x14ac:dyDescent="0.25">
      <c r="F209" s="391" t="s">
        <v>1044</v>
      </c>
      <c r="G209" s="345"/>
      <c r="H209" s="345"/>
      <c r="I209" s="345"/>
      <c r="J209" s="345"/>
      <c r="K209" s="345"/>
      <c r="L209" s="345"/>
      <c r="M209" s="345"/>
      <c r="N209" s="345"/>
      <c r="O209" s="378"/>
    </row>
    <row r="210" spans="2:15" x14ac:dyDescent="0.25">
      <c r="B210" s="8" t="s">
        <v>1366</v>
      </c>
      <c r="F210" s="118"/>
    </row>
    <row r="211" spans="2:15" x14ac:dyDescent="0.25">
      <c r="B211" s="397" t="s">
        <v>81</v>
      </c>
      <c r="C211" s="397" t="s">
        <v>71</v>
      </c>
      <c r="D211" s="397" t="s">
        <v>72</v>
      </c>
      <c r="E211" s="397" t="s">
        <v>73</v>
      </c>
      <c r="F211" s="397" t="s">
        <v>1045</v>
      </c>
      <c r="G211" s="397" t="s">
        <v>710</v>
      </c>
    </row>
    <row r="212" spans="2:15" x14ac:dyDescent="0.25">
      <c r="B212" s="375" t="s">
        <v>74</v>
      </c>
      <c r="C212" s="411">
        <v>1</v>
      </c>
      <c r="D212" s="411">
        <v>0</v>
      </c>
      <c r="E212" s="411">
        <v>0</v>
      </c>
      <c r="F212" s="411">
        <v>0</v>
      </c>
      <c r="G212" s="411">
        <f>SUM(WasteScenario[[#This Row],[Recycling (off-site)]:[Reused (backfill on site)]])</f>
        <v>1</v>
      </c>
    </row>
    <row r="213" spans="2:15" x14ac:dyDescent="0.25">
      <c r="B213" s="375" t="s">
        <v>75</v>
      </c>
      <c r="C213" s="411">
        <v>0.79</v>
      </c>
      <c r="D213" s="411">
        <v>0.2</v>
      </c>
      <c r="E213" s="411">
        <v>0.01</v>
      </c>
      <c r="F213" s="411">
        <v>0</v>
      </c>
      <c r="G213" s="411">
        <f>SUM(WasteScenario[[#This Row],[Recycling (off-site)]:[Reused (backfill on site)]])</f>
        <v>1</v>
      </c>
    </row>
    <row r="214" spans="2:15" x14ac:dyDescent="0.25">
      <c r="B214" s="375" t="s">
        <v>76</v>
      </c>
      <c r="C214" s="411">
        <v>0.41</v>
      </c>
      <c r="D214" s="411">
        <v>0</v>
      </c>
      <c r="E214" s="411">
        <v>0.05</v>
      </c>
      <c r="F214" s="411">
        <v>0.54</v>
      </c>
      <c r="G214" s="411">
        <f>SUM(WasteScenario[[#This Row],[Recycling (off-site)]:[Reused (backfill on site)]])</f>
        <v>1</v>
      </c>
    </row>
    <row r="215" spans="2:15" x14ac:dyDescent="0.25">
      <c r="B215" s="375" t="s">
        <v>77</v>
      </c>
      <c r="C215" s="411">
        <v>0.56999999999999995</v>
      </c>
      <c r="D215" s="411">
        <v>0</v>
      </c>
      <c r="E215" s="411">
        <v>0</v>
      </c>
      <c r="F215" s="411">
        <v>0.43</v>
      </c>
      <c r="G215" s="411">
        <f>SUM(WasteScenario[[#This Row],[Recycling (off-site)]:[Reused (backfill on site)]])</f>
        <v>1</v>
      </c>
    </row>
    <row r="216" spans="2:15" x14ac:dyDescent="0.25">
      <c r="B216" s="375" t="s">
        <v>78</v>
      </c>
      <c r="C216" s="411">
        <v>0.37</v>
      </c>
      <c r="D216" s="411">
        <v>0.18</v>
      </c>
      <c r="E216" s="411">
        <v>0.14000000000000001</v>
      </c>
      <c r="F216" s="411">
        <v>0.31</v>
      </c>
      <c r="G216" s="411">
        <f>SUM(WasteScenario[[#This Row],[Recycling (off-site)]:[Reused (backfill on site)]])</f>
        <v>1</v>
      </c>
    </row>
    <row r="217" spans="2:15" x14ac:dyDescent="0.25">
      <c r="B217" s="375" t="s">
        <v>79</v>
      </c>
      <c r="C217" s="411">
        <v>0</v>
      </c>
      <c r="D217" s="411">
        <v>0</v>
      </c>
      <c r="E217" s="411">
        <v>7.0000000000000007E-2</v>
      </c>
      <c r="F217" s="411">
        <v>0.93</v>
      </c>
      <c r="G217" s="411">
        <f>SUM(WasteScenario[[#This Row],[Recycling (off-site)]:[Reused (backfill on site)]])</f>
        <v>1</v>
      </c>
    </row>
    <row r="218" spans="2:15" x14ac:dyDescent="0.25">
      <c r="B218" s="375" t="s">
        <v>80</v>
      </c>
      <c r="C218" s="411">
        <v>0</v>
      </c>
      <c r="D218" s="411">
        <v>0.03</v>
      </c>
      <c r="E218" s="411">
        <v>0.96</v>
      </c>
      <c r="F218" s="411">
        <v>0.01</v>
      </c>
      <c r="G218" s="411">
        <f>SUM(WasteScenario[[#This Row],[Recycling (off-site)]:[Reused (backfill on site)]])</f>
        <v>1</v>
      </c>
    </row>
    <row r="221" spans="2:15" x14ac:dyDescent="0.25">
      <c r="B221" s="8" t="s">
        <v>88</v>
      </c>
    </row>
    <row r="222" spans="2:15" x14ac:dyDescent="0.25">
      <c r="B222" s="418" t="s">
        <v>90</v>
      </c>
      <c r="C222" s="419" t="s">
        <v>4</v>
      </c>
      <c r="E222" s="433" t="s">
        <v>1357</v>
      </c>
    </row>
    <row r="223" spans="2:15" x14ac:dyDescent="0.25">
      <c r="B223" s="420" t="s">
        <v>82</v>
      </c>
      <c r="C223" s="421">
        <v>50</v>
      </c>
      <c r="E223" s="401" t="s">
        <v>83</v>
      </c>
    </row>
    <row r="224" spans="2:15" x14ac:dyDescent="0.25">
      <c r="B224" s="420" t="s">
        <v>84</v>
      </c>
      <c r="C224" s="421">
        <v>250</v>
      </c>
      <c r="E224" s="432" t="s">
        <v>83</v>
      </c>
    </row>
    <row r="225" spans="2:10" x14ac:dyDescent="0.25">
      <c r="B225" s="420" t="s">
        <v>85</v>
      </c>
      <c r="C225" s="421">
        <v>50</v>
      </c>
      <c r="E225" s="432" t="s">
        <v>86</v>
      </c>
    </row>
    <row r="226" spans="2:10" x14ac:dyDescent="0.25">
      <c r="B226" s="377" t="s">
        <v>87</v>
      </c>
      <c r="C226" s="380">
        <v>0</v>
      </c>
      <c r="E226" s="398" t="s">
        <v>86</v>
      </c>
    </row>
    <row r="229" spans="2:10" x14ac:dyDescent="0.25">
      <c r="B229" s="8" t="s">
        <v>89</v>
      </c>
    </row>
    <row r="230" spans="2:10" ht="30.6" customHeight="1" x14ac:dyDescent="0.25">
      <c r="B230" s="353" t="s">
        <v>8</v>
      </c>
      <c r="C230" s="353" t="s">
        <v>9</v>
      </c>
    </row>
    <row r="231" spans="2:10" x14ac:dyDescent="0.25">
      <c r="B231" s="375" t="s">
        <v>11</v>
      </c>
      <c r="C231" s="375">
        <v>1.065E-4</v>
      </c>
      <c r="E231" s="428" t="s">
        <v>1357</v>
      </c>
      <c r="F231" s="407" t="s">
        <v>1373</v>
      </c>
      <c r="G231" s="429"/>
      <c r="H231" s="429"/>
      <c r="I231" s="400"/>
      <c r="J231" s="400"/>
    </row>
    <row r="234" spans="2:10" x14ac:dyDescent="0.25">
      <c r="B234" s="393" t="s">
        <v>1368</v>
      </c>
      <c r="C234" s="410"/>
      <c r="E234" s="428" t="s">
        <v>1369</v>
      </c>
      <c r="F234" s="407" t="s">
        <v>107</v>
      </c>
      <c r="G234" s="429"/>
      <c r="H234" s="429"/>
      <c r="I234" s="429"/>
      <c r="J234" s="400"/>
    </row>
    <row r="236" spans="2:10" x14ac:dyDescent="0.25">
      <c r="B236" s="378" t="s">
        <v>91</v>
      </c>
      <c r="C236" s="398" t="s">
        <v>92</v>
      </c>
      <c r="D236" s="415" t="s">
        <v>93</v>
      </c>
    </row>
    <row r="237" spans="2:10" x14ac:dyDescent="0.25">
      <c r="B237" s="420" t="s">
        <v>94</v>
      </c>
      <c r="C237" s="422">
        <v>9.8470835000000006E-4</v>
      </c>
      <c r="D237" s="423">
        <v>0</v>
      </c>
    </row>
    <row r="238" spans="2:10" x14ac:dyDescent="0.25">
      <c r="B238" s="420" t="s">
        <v>95</v>
      </c>
      <c r="C238" s="422">
        <v>2.1280193798449597E-2</v>
      </c>
      <c r="D238" s="423">
        <v>2.1280193798449597E-2</v>
      </c>
    </row>
    <row r="239" spans="2:10" x14ac:dyDescent="0.25">
      <c r="B239" s="420" t="s">
        <v>96</v>
      </c>
      <c r="C239" s="422">
        <v>2.1280193798449597E-2</v>
      </c>
      <c r="D239" s="423">
        <v>2.1280193798449597E-2</v>
      </c>
    </row>
    <row r="240" spans="2:10" x14ac:dyDescent="0.25">
      <c r="B240" s="420" t="s">
        <v>97</v>
      </c>
      <c r="C240" s="422">
        <v>9.8470835000000006E-4</v>
      </c>
      <c r="D240" s="423">
        <v>2.1280193798449597E-2</v>
      </c>
    </row>
    <row r="241" spans="2:10" x14ac:dyDescent="0.25">
      <c r="B241" s="420" t="s">
        <v>98</v>
      </c>
      <c r="C241" s="422">
        <v>9.8470835000000006E-4</v>
      </c>
      <c r="D241" s="423">
        <v>2.1280193798449597E-2</v>
      </c>
    </row>
    <row r="242" spans="2:10" x14ac:dyDescent="0.25">
      <c r="B242" s="420" t="s">
        <v>99</v>
      </c>
      <c r="C242" s="422">
        <v>9.8470835000000006E-4</v>
      </c>
      <c r="D242" s="423">
        <v>0</v>
      </c>
    </row>
    <row r="243" spans="2:10" x14ac:dyDescent="0.25">
      <c r="B243" s="420" t="s">
        <v>100</v>
      </c>
      <c r="C243" s="422">
        <v>9.8470835000000006E-4</v>
      </c>
      <c r="D243" s="423">
        <v>0</v>
      </c>
    </row>
    <row r="244" spans="2:10" x14ac:dyDescent="0.25">
      <c r="B244" s="420" t="s">
        <v>101</v>
      </c>
      <c r="C244" s="422">
        <v>2.1280193798449597E-2</v>
      </c>
      <c r="D244" s="423">
        <v>2.1280193798449597E-2</v>
      </c>
    </row>
    <row r="245" spans="2:10" x14ac:dyDescent="0.25">
      <c r="B245" s="420" t="s">
        <v>102</v>
      </c>
      <c r="C245" s="422">
        <v>9.8470835000000006E-4</v>
      </c>
      <c r="D245" s="423">
        <v>2.1280193798449597E-2</v>
      </c>
    </row>
    <row r="246" spans="2:10" x14ac:dyDescent="0.25">
      <c r="B246" s="420" t="s">
        <v>103</v>
      </c>
      <c r="C246" s="422">
        <v>2.1280193798449597E-2</v>
      </c>
      <c r="D246" s="423">
        <v>2.1280193798449597E-2</v>
      </c>
    </row>
    <row r="247" spans="2:10" x14ac:dyDescent="0.25">
      <c r="B247" s="416" t="s">
        <v>104</v>
      </c>
      <c r="C247" s="424">
        <v>9.8470835000000006E-4</v>
      </c>
      <c r="D247" s="425">
        <v>0</v>
      </c>
    </row>
    <row r="250" spans="2:10" x14ac:dyDescent="0.25">
      <c r="B250" s="393" t="s">
        <v>1370</v>
      </c>
      <c r="C250" s="410"/>
      <c r="E250" s="428" t="s">
        <v>1369</v>
      </c>
      <c r="F250" s="407" t="s">
        <v>107</v>
      </c>
      <c r="G250" s="429"/>
      <c r="H250" s="429"/>
      <c r="I250" s="429"/>
      <c r="J250" s="400"/>
    </row>
    <row r="252" spans="2:10" x14ac:dyDescent="0.25">
      <c r="B252" s="378" t="s">
        <v>91</v>
      </c>
      <c r="C252" s="398" t="s">
        <v>105</v>
      </c>
      <c r="D252" s="415" t="s">
        <v>106</v>
      </c>
    </row>
    <row r="253" spans="2:10" x14ac:dyDescent="0.25">
      <c r="B253" s="420" t="s">
        <v>94</v>
      </c>
      <c r="C253" s="426">
        <v>1.2643490999999999E-3</v>
      </c>
      <c r="D253" s="421">
        <v>0</v>
      </c>
    </row>
    <row r="254" spans="2:10" x14ac:dyDescent="0.25">
      <c r="B254" s="420" t="s">
        <v>95</v>
      </c>
      <c r="C254" s="426">
        <v>0.82801354454406206</v>
      </c>
      <c r="D254" s="421">
        <v>0</v>
      </c>
    </row>
    <row r="255" spans="2:10" x14ac:dyDescent="0.25">
      <c r="B255" s="420" t="s">
        <v>96</v>
      </c>
      <c r="C255" s="426">
        <v>8.8832713178294588E-3</v>
      </c>
      <c r="D255" s="421">
        <v>0</v>
      </c>
    </row>
    <row r="256" spans="2:10" x14ac:dyDescent="0.25">
      <c r="B256" s="420" t="s">
        <v>97</v>
      </c>
      <c r="C256" s="426">
        <v>1.2337591000000001E-3</v>
      </c>
      <c r="D256" s="421">
        <v>0</v>
      </c>
    </row>
    <row r="257" spans="2:9" x14ac:dyDescent="0.25">
      <c r="B257" s="420" t="s">
        <v>98</v>
      </c>
      <c r="C257" s="426">
        <v>1.2337591000000001E-3</v>
      </c>
      <c r="D257" s="421">
        <v>0</v>
      </c>
    </row>
    <row r="258" spans="2:9" x14ac:dyDescent="0.25">
      <c r="B258" s="420" t="s">
        <v>99</v>
      </c>
      <c r="C258" s="426">
        <v>1.2337591000000001E-3</v>
      </c>
      <c r="D258" s="421">
        <v>0</v>
      </c>
    </row>
    <row r="259" spans="2:9" x14ac:dyDescent="0.25">
      <c r="B259" s="420" t="s">
        <v>100</v>
      </c>
      <c r="C259" s="426">
        <v>1.2337591000000001E-3</v>
      </c>
      <c r="D259" s="421">
        <v>0</v>
      </c>
    </row>
    <row r="260" spans="2:9" x14ac:dyDescent="0.25">
      <c r="B260" s="420" t="s">
        <v>101</v>
      </c>
      <c r="C260" s="426">
        <v>7.195E-2</v>
      </c>
      <c r="D260" s="421">
        <v>0</v>
      </c>
    </row>
    <row r="261" spans="2:9" x14ac:dyDescent="0.25">
      <c r="B261" s="420" t="s">
        <v>102</v>
      </c>
      <c r="C261" s="426">
        <v>0.46700799999999998</v>
      </c>
      <c r="D261" s="421">
        <v>0</v>
      </c>
    </row>
    <row r="262" spans="2:9" x14ac:dyDescent="0.25">
      <c r="B262" s="420" t="s">
        <v>103</v>
      </c>
      <c r="C262" s="426">
        <v>8.8832713178294588E-3</v>
      </c>
      <c r="D262" s="421">
        <v>0</v>
      </c>
    </row>
    <row r="263" spans="2:9" x14ac:dyDescent="0.25">
      <c r="B263" s="416" t="s">
        <v>104</v>
      </c>
      <c r="C263" s="427">
        <v>1.2337591000000001E-3</v>
      </c>
      <c r="D263" s="417">
        <v>0</v>
      </c>
    </row>
    <row r="266" spans="2:9" x14ac:dyDescent="0.25">
      <c r="B266" s="135"/>
      <c r="C266" s="135"/>
      <c r="D266" s="135"/>
    </row>
    <row r="268" spans="2:9" x14ac:dyDescent="0.25">
      <c r="B268" s="393" t="s">
        <v>868</v>
      </c>
      <c r="E268" s="428" t="s">
        <v>1357</v>
      </c>
      <c r="F268" s="407" t="s">
        <v>1377</v>
      </c>
      <c r="G268" s="429"/>
      <c r="H268" s="429"/>
      <c r="I268" s="400"/>
    </row>
    <row r="270" spans="2:9" x14ac:dyDescent="0.25">
      <c r="B270" s="8" t="s">
        <v>114</v>
      </c>
      <c r="C270" s="8" t="s">
        <v>1092</v>
      </c>
    </row>
    <row r="271" spans="2:9" x14ac:dyDescent="0.25">
      <c r="B271" s="375" t="s">
        <v>1083</v>
      </c>
      <c r="C271" s="434">
        <v>1</v>
      </c>
      <c r="F271" s="346"/>
    </row>
    <row r="272" spans="2:9" x14ac:dyDescent="0.25">
      <c r="B272" s="375" t="s">
        <v>1084</v>
      </c>
      <c r="C272" s="435">
        <v>0.875</v>
      </c>
      <c r="F272" s="19"/>
    </row>
    <row r="273" spans="2:6" x14ac:dyDescent="0.25">
      <c r="B273" s="375" t="s">
        <v>1085</v>
      </c>
      <c r="C273" s="434">
        <v>0.8</v>
      </c>
      <c r="F273" s="346"/>
    </row>
    <row r="274" spans="2:6" x14ac:dyDescent="0.25">
      <c r="B274" s="375" t="s">
        <v>1086</v>
      </c>
      <c r="C274" s="434">
        <v>0.65</v>
      </c>
      <c r="F274" s="346"/>
    </row>
    <row r="275" spans="2:6" x14ac:dyDescent="0.25">
      <c r="B275" s="375" t="s">
        <v>1087</v>
      </c>
      <c r="C275" s="436" t="s">
        <v>1093</v>
      </c>
    </row>
  </sheetData>
  <sheetProtection algorithmName="SHA-512" hashValue="n8onaR10+VMoH9xQQZ+9ri4Hk7f9WU9iKkpKRlhrLkn/OiYufa9epDZZYe9RDkJbAVum6/Aq7Ah/HS5AodDtfg==" saltValue="UQF9aWyoGrT0geiYz1lg7Q==" spinCount="100000" sheet="1" objects="1" scenarios="1"/>
  <mergeCells count="2">
    <mergeCell ref="B2:C2"/>
    <mergeCell ref="B16:C16"/>
  </mergeCells>
  <phoneticPr fontId="7" type="noConversion"/>
  <hyperlinks>
    <hyperlink ref="F117" r:id="rId1" xr:uid="{A8076678-58AA-4A09-9727-F735A4C02329}"/>
    <hyperlink ref="F209" r:id="rId2" xr:uid="{75566523-36FB-4DB7-A72B-5C637B10B4E2}"/>
  </hyperlinks>
  <pageMargins left="0.7" right="0.7" top="0.75" bottom="0.75" header="0.3" footer="0.3"/>
  <pageSetup paperSize="9" orientation="portrait" r:id="rId3"/>
  <tableParts count="15">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87F4A-BCFD-44B4-B6DA-CDA0AB0364CF}">
  <dimension ref="A1:N1499"/>
  <sheetViews>
    <sheetView workbookViewId="0">
      <selection activeCell="G269" sqref="G269"/>
    </sheetView>
  </sheetViews>
  <sheetFormatPr defaultRowHeight="14.4" x14ac:dyDescent="0.3"/>
  <cols>
    <col min="1" max="1" width="104.44140625" bestFit="1" customWidth="1"/>
    <col min="2" max="2" width="13.88671875" style="335" bestFit="1" customWidth="1"/>
    <col min="3" max="3" width="17.88671875" style="335" customWidth="1"/>
    <col min="4" max="4" width="17.44140625" style="335" customWidth="1"/>
    <col min="12" max="14" width="13.88671875" style="322" bestFit="1" customWidth="1"/>
  </cols>
  <sheetData>
    <row r="1" spans="1:14" x14ac:dyDescent="0.3">
      <c r="A1" t="s">
        <v>91</v>
      </c>
      <c r="B1" s="335" t="s">
        <v>1260</v>
      </c>
      <c r="C1" s="335" t="s">
        <v>1261</v>
      </c>
      <c r="D1" s="335" t="s">
        <v>1262</v>
      </c>
      <c r="G1" t="s">
        <v>1260</v>
      </c>
      <c r="H1" t="s">
        <v>1261</v>
      </c>
      <c r="I1" t="s">
        <v>1262</v>
      </c>
      <c r="L1" s="322" t="s">
        <v>1260</v>
      </c>
      <c r="M1" s="322" t="s">
        <v>1261</v>
      </c>
      <c r="N1" s="322" t="s">
        <v>1262</v>
      </c>
    </row>
    <row r="2" spans="1:14" x14ac:dyDescent="0.3">
      <c r="A2" t="s">
        <v>152</v>
      </c>
      <c r="B2" s="330">
        <f>SUMIF('Materials Calculations'!B:B,MaterialData32[[#This Row],[Material]],'Materials Calculations'!F:F)</f>
        <v>0</v>
      </c>
      <c r="C2" s="330">
        <f>SUMIF('Materials Calculations'!B:B,MaterialData32[[#This Row],[Material]],'Materials Calculations'!H:H)</f>
        <v>0</v>
      </c>
      <c r="D2" s="330">
        <f>SUMIF('Materials Calculations'!B:B,MaterialData32[[#This Row],[Material]],'Materials Calculations'!AI:AI)</f>
        <v>0</v>
      </c>
      <c r="F2" t="str" cm="1">
        <f t="array" ref="F2:I1499">_xlfn._xlws.SORT(MaterialData32[[#Data],[#Totals]],3,-1)</f>
        <v>Cement - CEM II/B-S (&lt;35% GGBS)</v>
      </c>
      <c r="G2">
        <v>0</v>
      </c>
      <c r="H2">
        <v>0</v>
      </c>
      <c r="I2">
        <v>0</v>
      </c>
      <c r="K2" t="str" cm="1">
        <f t="array" ref="K2:N1499">_xlfn._xlws.SORT(MaterialData32[[#Data],[#Totals]],2,-1)</f>
        <v>Concrete - Precast - Hollowcore concrete flooring, 150mm, prestressed steel reinforced with world average steel</v>
      </c>
      <c r="L2" s="322">
        <v>2400</v>
      </c>
      <c r="M2" s="322">
        <v>0</v>
      </c>
      <c r="N2" s="322">
        <v>0</v>
      </c>
    </row>
    <row r="3" spans="1:14" x14ac:dyDescent="0.3">
      <c r="A3" t="s">
        <v>250</v>
      </c>
      <c r="B3" s="330">
        <f>SUMIF('Materials Calculations'!B:B,MaterialData32[[#This Row],[Material]],'Materials Calculations'!F:F)</f>
        <v>0</v>
      </c>
      <c r="C3" s="330">
        <f>SUMIF('Materials Calculations'!B:B,MaterialData32[[#This Row],[Material]],'Materials Calculations'!H:H)</f>
        <v>0</v>
      </c>
      <c r="D3" s="330">
        <f>SUMIF('Materials Calculations'!B:B,MaterialData32[[#This Row],[Material]],'Materials Calculations'!AI:AI)</f>
        <v>0</v>
      </c>
      <c r="F3" t="str">
        <v>Insulation - Cork</v>
      </c>
      <c r="G3">
        <v>0</v>
      </c>
      <c r="H3">
        <v>0</v>
      </c>
      <c r="I3">
        <v>0</v>
      </c>
      <c r="K3" t="str">
        <v>Cement - CEM II/B-S (&lt;35% GGBS)</v>
      </c>
      <c r="L3" s="322">
        <v>0</v>
      </c>
      <c r="M3" s="322">
        <v>0</v>
      </c>
      <c r="N3" s="322">
        <v>0</v>
      </c>
    </row>
    <row r="4" spans="1:14" x14ac:dyDescent="0.3">
      <c r="A4" t="s">
        <v>185</v>
      </c>
      <c r="B4" s="330">
        <f>SUMIF('Materials Calculations'!B:B,MaterialData32[[#This Row],[Material]],'Materials Calculations'!F:F)</f>
        <v>0</v>
      </c>
      <c r="C4" s="330">
        <f>SUMIF('Materials Calculations'!B:B,MaterialData32[[#This Row],[Material]],'Materials Calculations'!H:H)</f>
        <v>0</v>
      </c>
      <c r="D4" s="330">
        <f>SUMIF('Materials Calculations'!B:B,MaterialData32[[#This Row],[Material]],'Materials Calculations'!AI:AI)</f>
        <v>0</v>
      </c>
      <c r="F4" t="str">
        <v>Concrete - In-situ, 35/45 MPa</v>
      </c>
      <c r="G4">
        <v>0</v>
      </c>
      <c r="H4">
        <v>0</v>
      </c>
      <c r="I4">
        <v>0</v>
      </c>
      <c r="K4" t="str">
        <v>Insulation - Cork</v>
      </c>
      <c r="L4" s="322">
        <v>0</v>
      </c>
      <c r="M4" s="322">
        <v>0</v>
      </c>
      <c r="N4" s="322">
        <v>0</v>
      </c>
    </row>
    <row r="5" spans="1:14" x14ac:dyDescent="0.3">
      <c r="A5" t="s">
        <v>263</v>
      </c>
      <c r="B5" s="330">
        <f>SUMIF('Materials Calculations'!B:B,MaterialData32[[#This Row],[Material]],'Materials Calculations'!F:F)</f>
        <v>0</v>
      </c>
      <c r="C5" s="330">
        <f>SUMIF('Materials Calculations'!B:B,MaterialData32[[#This Row],[Material]],'Materials Calculations'!H:H)</f>
        <v>0</v>
      </c>
      <c r="D5" s="330">
        <f>SUMIF('Materials Calculations'!B:B,MaterialData32[[#This Row],[Material]],'Materials Calculations'!AI:AI)</f>
        <v>0</v>
      </c>
      <c r="F5" t="str">
        <v xml:space="preserve">Metals - Reinforcing steel </v>
      </c>
      <c r="G5">
        <v>0</v>
      </c>
      <c r="H5">
        <v>0</v>
      </c>
      <c r="I5">
        <v>0</v>
      </c>
      <c r="K5" t="str">
        <v>Concrete - In-situ, 35/45 MPa</v>
      </c>
      <c r="L5" s="322">
        <v>0</v>
      </c>
      <c r="M5" s="322">
        <v>0</v>
      </c>
      <c r="N5" s="322">
        <v>0</v>
      </c>
    </row>
    <row r="6" spans="1:14" x14ac:dyDescent="0.3">
      <c r="A6" t="s">
        <v>290</v>
      </c>
      <c r="B6" s="330">
        <f>SUMIF('Materials Calculations'!B:B,MaterialData32[[#This Row],[Material]],'Materials Calculations'!F:F)</f>
        <v>0</v>
      </c>
      <c r="C6" s="330">
        <f>SUMIF('Materials Calculations'!B:B,MaterialData32[[#This Row],[Material]],'Materials Calculations'!H:H)</f>
        <v>0</v>
      </c>
      <c r="D6" s="330">
        <f>SUMIF('Materials Calculations'!B:B,MaterialData32[[#This Row],[Material]],'Materials Calculations'!AI:AI)</f>
        <v>0</v>
      </c>
      <c r="F6" t="str">
        <v>Metals - Steel, Section</v>
      </c>
      <c r="G6">
        <v>0</v>
      </c>
      <c r="H6">
        <v>0</v>
      </c>
      <c r="I6">
        <v>0</v>
      </c>
      <c r="K6" t="str">
        <v xml:space="preserve">Metals - Reinforcing steel </v>
      </c>
      <c r="L6" s="322">
        <v>0</v>
      </c>
      <c r="M6" s="322">
        <v>0</v>
      </c>
      <c r="N6" s="322">
        <v>0</v>
      </c>
    </row>
    <row r="7" spans="1:14" x14ac:dyDescent="0.3">
      <c r="A7" t="s">
        <v>284</v>
      </c>
      <c r="B7" s="330">
        <f>SUMIF('Materials Calculations'!B:B,MaterialData32[[#This Row],[Material]],'Materials Calculations'!F:F)</f>
        <v>0</v>
      </c>
      <c r="C7" s="330">
        <f>SUMIF('Materials Calculations'!B:B,MaterialData32[[#This Row],[Material]],'Materials Calculations'!H:H)</f>
        <v>0</v>
      </c>
      <c r="D7" s="330">
        <f>SUMIF('Materials Calculations'!B:B,MaterialData32[[#This Row],[Material]],'Materials Calculations'!AI:AI)</f>
        <v>0</v>
      </c>
      <c r="F7" t="str">
        <v>Metals - Steel, hot-dip galvanized steel</v>
      </c>
      <c r="G7">
        <v>0</v>
      </c>
      <c r="H7">
        <v>0</v>
      </c>
      <c r="I7">
        <v>0</v>
      </c>
      <c r="K7" t="str">
        <v>Metals - Steel, Section</v>
      </c>
      <c r="L7" s="322">
        <v>0</v>
      </c>
      <c r="M7" s="322">
        <v>0</v>
      </c>
      <c r="N7" s="322">
        <v>0</v>
      </c>
    </row>
    <row r="8" spans="1:14" x14ac:dyDescent="0.3">
      <c r="A8" t="s">
        <v>186</v>
      </c>
      <c r="B8" s="330">
        <f>SUMIF('Materials Calculations'!B:B,MaterialData32[[#This Row],[Material]],'Materials Calculations'!F:F)</f>
        <v>0</v>
      </c>
      <c r="C8" s="330">
        <f>SUMIF('Materials Calculations'!B:B,MaterialData32[[#This Row],[Material]],'Materials Calculations'!H:H)</f>
        <v>0</v>
      </c>
      <c r="D8" s="330">
        <f>SUMIF('Materials Calculations'!B:B,MaterialData32[[#This Row],[Material]],'Materials Calculations'!AI:AI)</f>
        <v>0</v>
      </c>
      <c r="F8" t="str">
        <v>Concrete - In-situ, 40/50 MPa</v>
      </c>
      <c r="G8">
        <v>0</v>
      </c>
      <c r="H8">
        <v>0</v>
      </c>
      <c r="I8">
        <v>0</v>
      </c>
      <c r="K8" t="str">
        <v>Metals - Steel, hot-dip galvanized steel</v>
      </c>
      <c r="L8" s="322">
        <v>0</v>
      </c>
      <c r="M8" s="322">
        <v>0</v>
      </c>
      <c r="N8" s="322">
        <v>0</v>
      </c>
    </row>
    <row r="9" spans="1:14" x14ac:dyDescent="0.3">
      <c r="A9" t="s">
        <v>177</v>
      </c>
      <c r="B9" s="330">
        <f>SUMIF('Materials Calculations'!B:B,MaterialData32[[#This Row],[Material]],'Materials Calculations'!F:F)</f>
        <v>0</v>
      </c>
      <c r="C9" s="330">
        <f>SUMIF('Materials Calculations'!B:B,MaterialData32[[#This Row],[Material]],'Materials Calculations'!H:H)</f>
        <v>0</v>
      </c>
      <c r="D9" s="330">
        <f>SUMIF('Materials Calculations'!B:B,MaterialData32[[#This Row],[Material]],'Materials Calculations'!AI:AI)</f>
        <v>0</v>
      </c>
      <c r="F9" t="str">
        <v>Concrete - In-situ, GEN 3 (16/20 MPa)</v>
      </c>
      <c r="G9">
        <v>0</v>
      </c>
      <c r="H9">
        <v>0</v>
      </c>
      <c r="I9">
        <v>0</v>
      </c>
      <c r="K9" t="str">
        <v>Concrete - In-situ, 40/50 MPa</v>
      </c>
      <c r="L9" s="322">
        <v>0</v>
      </c>
      <c r="M9" s="322">
        <v>0</v>
      </c>
      <c r="N9" s="322">
        <v>0</v>
      </c>
    </row>
    <row r="10" spans="1:14" x14ac:dyDescent="0.3">
      <c r="A10" t="s">
        <v>236</v>
      </c>
      <c r="B10" s="330">
        <f>SUMIF('Materials Calculations'!B:B,MaterialData32[[#This Row],[Material]],'Materials Calculations'!F:F)</f>
        <v>0</v>
      </c>
      <c r="C10" s="330">
        <f>SUMIF('Materials Calculations'!B:B,MaterialData32[[#This Row],[Material]],'Materials Calculations'!H:H)</f>
        <v>0</v>
      </c>
      <c r="D10" s="330">
        <f>SUMIF('Materials Calculations'!B:B,MaterialData32[[#This Row],[Material]],'Materials Calculations'!AI:AI)</f>
        <v>0</v>
      </c>
      <c r="F10" t="str">
        <v xml:space="preserve">Glass - Glazing, Double, per kg </v>
      </c>
      <c r="G10">
        <v>0</v>
      </c>
      <c r="H10">
        <v>0</v>
      </c>
      <c r="I10">
        <v>0</v>
      </c>
      <c r="K10" t="str">
        <v>Concrete - In-situ, GEN 3 (16/20 MPa)</v>
      </c>
      <c r="L10" s="322">
        <v>0</v>
      </c>
      <c r="M10" s="322">
        <v>0</v>
      </c>
      <c r="N10" s="322">
        <v>0</v>
      </c>
    </row>
    <row r="11" spans="1:14" x14ac:dyDescent="0.3">
      <c r="A11" t="s">
        <v>264</v>
      </c>
      <c r="B11" s="330">
        <f>SUMIF('Materials Calculations'!B:B,MaterialData32[[#This Row],[Material]],'Materials Calculations'!F:F)</f>
        <v>0</v>
      </c>
      <c r="C11" s="330">
        <f>SUMIF('Materials Calculations'!B:B,MaterialData32[[#This Row],[Material]],'Materials Calculations'!H:H)</f>
        <v>0</v>
      </c>
      <c r="D11" s="330">
        <f>SUMIF('Materials Calculations'!B:B,MaterialData32[[#This Row],[Material]],'Materials Calculations'!AI:AI)</f>
        <v>0</v>
      </c>
      <c r="F11" t="str">
        <v xml:space="preserve">Metals - Aluminium sheet </v>
      </c>
      <c r="G11">
        <v>0</v>
      </c>
      <c r="H11">
        <v>0</v>
      </c>
      <c r="I11">
        <v>0</v>
      </c>
      <c r="K11" t="str">
        <v xml:space="preserve">Glass - Glazing, Double, per kg </v>
      </c>
      <c r="L11" s="322">
        <v>0</v>
      </c>
      <c r="M11" s="322">
        <v>0</v>
      </c>
      <c r="N11" s="322">
        <v>0</v>
      </c>
    </row>
    <row r="12" spans="1:14" x14ac:dyDescent="0.3">
      <c r="A12" t="s">
        <v>285</v>
      </c>
      <c r="B12" s="330">
        <f>SUMIF('Materials Calculations'!B:B,MaterialData32[[#This Row],[Material]],'Materials Calculations'!F:F)</f>
        <v>0</v>
      </c>
      <c r="C12" s="330">
        <f>SUMIF('Materials Calculations'!B:B,MaterialData32[[#This Row],[Material]],'Materials Calculations'!H:H)</f>
        <v>0</v>
      </c>
      <c r="D12" s="330">
        <f>SUMIF('Materials Calculations'!B:B,MaterialData32[[#This Row],[Material]],'Materials Calculations'!AI:AI)</f>
        <v>0</v>
      </c>
      <c r="F12" t="str">
        <v>Metals - Steel, Plate</v>
      </c>
      <c r="G12">
        <v>0</v>
      </c>
      <c r="H12">
        <v>0</v>
      </c>
      <c r="I12">
        <v>0</v>
      </c>
      <c r="K12" t="str">
        <v xml:space="preserve">Metals - Aluminium sheet </v>
      </c>
      <c r="L12" s="322">
        <v>0</v>
      </c>
      <c r="M12" s="322">
        <v>0</v>
      </c>
      <c r="N12" s="322">
        <v>0</v>
      </c>
    </row>
    <row r="13" spans="1:14" x14ac:dyDescent="0.3">
      <c r="A13" t="s">
        <v>324</v>
      </c>
      <c r="B13" s="330">
        <f>SUMIF('Materials Calculations'!B:B,MaterialData32[[#This Row],[Material]],'Materials Calculations'!F:F)</f>
        <v>0</v>
      </c>
      <c r="C13" s="330">
        <f>SUMIF('Materials Calculations'!B:B,MaterialData32[[#This Row],[Material]],'Materials Calculations'!H:H)</f>
        <v>0</v>
      </c>
      <c r="D13" s="330">
        <f>SUMIF('Materials Calculations'!B:B,MaterialData32[[#This Row],[Material]],'Materials Calculations'!AI:AI)</f>
        <v>0</v>
      </c>
      <c r="F13" t="str">
        <v>Plaster -Plasterboard</v>
      </c>
      <c r="G13">
        <v>0</v>
      </c>
      <c r="H13">
        <v>0</v>
      </c>
      <c r="I13">
        <v>0</v>
      </c>
      <c r="K13" t="str">
        <v>Metals - Steel, Plate</v>
      </c>
      <c r="L13" s="322">
        <v>0</v>
      </c>
      <c r="M13" s="322">
        <v>0</v>
      </c>
      <c r="N13" s="322">
        <v>0</v>
      </c>
    </row>
    <row r="14" spans="1:14" x14ac:dyDescent="0.3">
      <c r="A14" t="s">
        <v>257</v>
      </c>
      <c r="B14" s="330">
        <f>SUMIF('Materials Calculations'!B:B,MaterialData32[[#This Row],[Material]],'Materials Calculations'!F:F)</f>
        <v>0</v>
      </c>
      <c r="C14" s="330">
        <f>SUMIF('Materials Calculations'!B:B,MaterialData32[[#This Row],[Material]],'Materials Calculations'!H:H)</f>
        <v>0</v>
      </c>
      <c r="D14" s="330">
        <f>SUMIF('Materials Calculations'!B:B,MaterialData32[[#This Row],[Material]],'Materials Calculations'!AI:AI)</f>
        <v>0</v>
      </c>
      <c r="F14" t="str">
        <v>Membrane - Damp Proof Course/Membrane</v>
      </c>
      <c r="G14">
        <v>0</v>
      </c>
      <c r="H14">
        <v>0</v>
      </c>
      <c r="I14">
        <v>0</v>
      </c>
      <c r="K14" t="str">
        <v>Plaster -Plasterboard</v>
      </c>
      <c r="L14" s="322">
        <v>0</v>
      </c>
      <c r="M14" s="322">
        <v>0</v>
      </c>
      <c r="N14" s="322">
        <v>0</v>
      </c>
    </row>
    <row r="15" spans="1:14" x14ac:dyDescent="0.3">
      <c r="A15" t="s">
        <v>182</v>
      </c>
      <c r="B15" s="330">
        <f>SUMIF('Materials Calculations'!B:B,MaterialData32[[#This Row],[Material]],'Materials Calculations'!F:F)</f>
        <v>0</v>
      </c>
      <c r="C15" s="330">
        <f>SUMIF('Materials Calculations'!B:B,MaterialData32[[#This Row],[Material]],'Materials Calculations'!H:H)</f>
        <v>0</v>
      </c>
      <c r="D15" s="330">
        <f>SUMIF('Materials Calculations'!B:B,MaterialData32[[#This Row],[Material]],'Materials Calculations'!AI:AI)</f>
        <v>0</v>
      </c>
      <c r="F15" t="str">
        <v>Concrete - In-situ, 25/30 MPa</v>
      </c>
      <c r="G15">
        <v>0</v>
      </c>
      <c r="H15">
        <v>0</v>
      </c>
      <c r="I15">
        <v>0</v>
      </c>
      <c r="K15" t="str">
        <v>Membrane - Damp Proof Course/Membrane</v>
      </c>
      <c r="L15" s="322">
        <v>0</v>
      </c>
      <c r="M15" s="322">
        <v>0</v>
      </c>
      <c r="N15" s="322">
        <v>0</v>
      </c>
    </row>
    <row r="16" spans="1:14" x14ac:dyDescent="0.3">
      <c r="A16" t="s">
        <v>243</v>
      </c>
      <c r="B16" s="330">
        <f>SUMIF('Materials Calculations'!B:B,MaterialData32[[#This Row],[Material]],'Materials Calculations'!F:F)</f>
        <v>0</v>
      </c>
      <c r="C16" s="330">
        <f>SUMIF('Materials Calculations'!B:B,MaterialData32[[#This Row],[Material]],'Materials Calculations'!H:H)</f>
        <v>0</v>
      </c>
      <c r="D16" s="330">
        <f>SUMIF('Materials Calculations'!B:B,MaterialData32[[#This Row],[Material]],'Materials Calculations'!AI:AI)</f>
        <v>0</v>
      </c>
      <c r="F16" t="str">
        <v>Insulation - PIR</v>
      </c>
      <c r="G16">
        <v>0</v>
      </c>
      <c r="H16">
        <v>0</v>
      </c>
      <c r="I16">
        <v>0</v>
      </c>
      <c r="K16" t="str">
        <v>Concrete - In-situ, 25/30 MPa</v>
      </c>
      <c r="L16" s="322">
        <v>0</v>
      </c>
      <c r="M16" s="322">
        <v>0</v>
      </c>
      <c r="N16" s="322">
        <v>0</v>
      </c>
    </row>
    <row r="17" spans="1:14" x14ac:dyDescent="0.3">
      <c r="A17" t="s">
        <v>216</v>
      </c>
      <c r="B17" s="330">
        <f>SUMIF('Materials Calculations'!B:B,MaterialData32[[#This Row],[Material]],'Materials Calculations'!F:F)</f>
        <v>0</v>
      </c>
      <c r="C17" s="330">
        <f>SUMIF('Materials Calculations'!B:B,MaterialData32[[#This Row],[Material]],'Materials Calculations'!H:H)</f>
        <v>0</v>
      </c>
      <c r="D17" s="330">
        <f>SUMIF('Materials Calculations'!B:B,MaterialData32[[#This Row],[Material]],'Materials Calculations'!AI:AI)</f>
        <v>0</v>
      </c>
      <c r="F17" t="str">
        <v>Concrete - Precast - Beams and columns -steel reinforced with world average steel</v>
      </c>
      <c r="G17">
        <v>0</v>
      </c>
      <c r="H17">
        <v>0</v>
      </c>
      <c r="I17">
        <v>0</v>
      </c>
      <c r="K17" t="str">
        <v>Insulation - PIR</v>
      </c>
      <c r="L17" s="322">
        <v>0</v>
      </c>
      <c r="M17" s="322">
        <v>0</v>
      </c>
      <c r="N17" s="322">
        <v>0</v>
      </c>
    </row>
    <row r="18" spans="1:14" x14ac:dyDescent="0.3">
      <c r="A18" t="s">
        <v>356</v>
      </c>
      <c r="B18" s="330">
        <f>SUMIF('Materials Calculations'!B:B,MaterialData32[[#This Row],[Material]],'Materials Calculations'!F:F)</f>
        <v>0</v>
      </c>
      <c r="C18" s="330">
        <f>SUMIF('Materials Calculations'!B:B,MaterialData32[[#This Row],[Material]],'Materials Calculations'!H:H)</f>
        <v>0</v>
      </c>
      <c r="D18" s="330">
        <f>SUMIF('Materials Calculations'!B:B,MaterialData32[[#This Row],[Material]],'Materials Calculations'!AI:AI)</f>
        <v>0</v>
      </c>
      <c r="F18" t="str">
        <v xml:space="preserve">Stone -General Stone </v>
      </c>
      <c r="G18">
        <v>0</v>
      </c>
      <c r="H18">
        <v>0</v>
      </c>
      <c r="I18">
        <v>0</v>
      </c>
      <c r="K18" t="str">
        <v>Concrete - Precast - Beams and columns -steel reinforced with world average steel</v>
      </c>
      <c r="L18" s="322">
        <v>0</v>
      </c>
      <c r="M18" s="322">
        <v>0</v>
      </c>
      <c r="N18" s="322">
        <v>0</v>
      </c>
    </row>
    <row r="19" spans="1:14" x14ac:dyDescent="0.3">
      <c r="A19" t="s">
        <v>249</v>
      </c>
      <c r="B19" s="330">
        <f>SUMIF('Materials Calculations'!B:B,MaterialData32[[#This Row],[Material]],'Materials Calculations'!F:F)</f>
        <v>0</v>
      </c>
      <c r="C19" s="330">
        <f>SUMIF('Materials Calculations'!B:B,MaterialData32[[#This Row],[Material]],'Materials Calculations'!H:H)</f>
        <v>0</v>
      </c>
      <c r="D19" s="330">
        <f>SUMIF('Materials Calculations'!B:B,MaterialData32[[#This Row],[Material]],'Materials Calculations'!AI:AI)</f>
        <v>0</v>
      </c>
      <c r="F19" t="str">
        <v>Insulation - General (unspecified)</v>
      </c>
      <c r="G19">
        <v>0</v>
      </c>
      <c r="H19">
        <v>0</v>
      </c>
      <c r="I19">
        <v>0</v>
      </c>
      <c r="K19" t="str">
        <v xml:space="preserve">Stone -General Stone </v>
      </c>
      <c r="L19" s="322">
        <v>0</v>
      </c>
      <c r="M19" s="322">
        <v>0</v>
      </c>
      <c r="N19" s="322">
        <v>0</v>
      </c>
    </row>
    <row r="20" spans="1:14" x14ac:dyDescent="0.3">
      <c r="A20" t="s">
        <v>397</v>
      </c>
      <c r="B20" s="330">
        <f>SUMIF('Materials Calculations'!B:B,MaterialData32[[#This Row],[Material]],'Materials Calculations'!F:F)</f>
        <v>0</v>
      </c>
      <c r="C20" s="330">
        <f>SUMIF('Materials Calculations'!B:B,MaterialData32[[#This Row],[Material]],'Materials Calculations'!H:H)</f>
        <v>0</v>
      </c>
      <c r="D20" s="330">
        <f>SUMIF('Materials Calculations'!B:B,MaterialData32[[#This Row],[Material]],'Materials Calculations'!AI:AI)</f>
        <v>0</v>
      </c>
      <c r="F20" t="str">
        <v>Metal stud wall</v>
      </c>
      <c r="G20">
        <v>0</v>
      </c>
      <c r="H20">
        <v>0</v>
      </c>
      <c r="I20">
        <v>0</v>
      </c>
      <c r="K20" t="str">
        <v>Insulation - General (unspecified)</v>
      </c>
      <c r="L20" s="322">
        <v>0</v>
      </c>
      <c r="M20" s="322">
        <v>0</v>
      </c>
      <c r="N20" s="322">
        <v>0</v>
      </c>
    </row>
    <row r="21" spans="1:14" x14ac:dyDescent="0.3">
      <c r="A21" t="s">
        <v>260</v>
      </c>
      <c r="B21" s="330">
        <f>SUMIF('Materials Calculations'!B:B,MaterialData32[[#This Row],[Material]],'Materials Calculations'!F:F)</f>
        <v>0</v>
      </c>
      <c r="C21" s="330">
        <f>SUMIF('Materials Calculations'!B:B,MaterialData32[[#This Row],[Material]],'Materials Calculations'!H:H)</f>
        <v>0</v>
      </c>
      <c r="D21" s="330">
        <f>SUMIF('Materials Calculations'!B:B,MaterialData32[[#This Row],[Material]],'Materials Calculations'!AI:AI)</f>
        <v>0</v>
      </c>
      <c r="F21" t="str">
        <v xml:space="preserve">Metals - Galvanised steel value </v>
      </c>
      <c r="G21">
        <v>0</v>
      </c>
      <c r="H21">
        <v>0</v>
      </c>
      <c r="I21">
        <v>0</v>
      </c>
      <c r="K21" t="str">
        <v>Metal stud wall</v>
      </c>
      <c r="L21" s="322">
        <v>0</v>
      </c>
      <c r="M21" s="322">
        <v>0</v>
      </c>
      <c r="N21" s="322">
        <v>0</v>
      </c>
    </row>
    <row r="22" spans="1:14" x14ac:dyDescent="0.3">
      <c r="A22" t="s">
        <v>404</v>
      </c>
      <c r="B22" s="330">
        <f>SUMIF('Materials Calculations'!B:B,MaterialData32[[#This Row],[Material]],'Materials Calculations'!F:F)</f>
        <v>0</v>
      </c>
      <c r="C22" s="330">
        <f>SUMIF('Materials Calculations'!B:B,MaterialData32[[#This Row],[Material]],'Materials Calculations'!H:H)</f>
        <v>0</v>
      </c>
      <c r="D22" s="330">
        <f>SUMIF('Materials Calculations'!B:B,MaterialData32[[#This Row],[Material]],'Materials Calculations'!AI:AI)</f>
        <v>0</v>
      </c>
      <c r="F22" t="str">
        <v>Permeable paving</v>
      </c>
      <c r="G22">
        <v>0</v>
      </c>
      <c r="H22">
        <v>0</v>
      </c>
      <c r="I22">
        <v>0</v>
      </c>
      <c r="K22" t="str">
        <v xml:space="preserve">Metals - Galvanised steel value </v>
      </c>
      <c r="L22" s="322">
        <v>0</v>
      </c>
      <c r="M22" s="322">
        <v>0</v>
      </c>
      <c r="N22" s="322">
        <v>0</v>
      </c>
    </row>
    <row r="23" spans="1:14" x14ac:dyDescent="0.3">
      <c r="A23" t="s">
        <v>291</v>
      </c>
      <c r="B23" s="330">
        <f>SUMIF('Materials Calculations'!B:B,MaterialData32[[#This Row],[Material]],'Materials Calculations'!F:F)</f>
        <v>0</v>
      </c>
      <c r="C23" s="330">
        <f>SUMIF('Materials Calculations'!B:B,MaterialData32[[#This Row],[Material]],'Materials Calculations'!H:H)</f>
        <v>0</v>
      </c>
      <c r="D23" s="330">
        <f>SUMIF('Materials Calculations'!B:B,MaterialData32[[#This Row],[Material]],'Materials Calculations'!AI:AI)</f>
        <v>0</v>
      </c>
      <c r="F23" t="str">
        <v>Metals - Steel, Engineering steel</v>
      </c>
      <c r="G23">
        <v>0</v>
      </c>
      <c r="H23">
        <v>0</v>
      </c>
      <c r="I23">
        <v>0</v>
      </c>
      <c r="K23" t="str">
        <v>Permeable paving</v>
      </c>
      <c r="L23" s="322">
        <v>0</v>
      </c>
      <c r="M23" s="322">
        <v>0</v>
      </c>
      <c r="N23" s="322">
        <v>0</v>
      </c>
    </row>
    <row r="24" spans="1:14" x14ac:dyDescent="0.3">
      <c r="A24" t="s">
        <v>160</v>
      </c>
      <c r="B24" s="330">
        <f>SUMIF('Materials Calculations'!B:B,MaterialData32[[#This Row],[Material]],'Materials Calculations'!F:F)</f>
        <v>0</v>
      </c>
      <c r="C24" s="330">
        <f>SUMIF('Materials Calculations'!B:B,MaterialData32[[#This Row],[Material]],'Materials Calculations'!H:H)</f>
        <v>0</v>
      </c>
      <c r="D24" s="330">
        <f>SUMIF('Materials Calculations'!B:B,MaterialData32[[#This Row],[Material]],'Materials Calculations'!AI:AI)</f>
        <v>0</v>
      </c>
      <c r="F24" t="str">
        <v>Clay - General (Simple Baked Products)</v>
      </c>
      <c r="G24">
        <v>0</v>
      </c>
      <c r="H24">
        <v>0</v>
      </c>
      <c r="I24">
        <v>0</v>
      </c>
      <c r="K24" t="str">
        <v>Metals - Steel, Engineering steel</v>
      </c>
      <c r="L24" s="322">
        <v>0</v>
      </c>
      <c r="M24" s="322">
        <v>0</v>
      </c>
      <c r="N24" s="322">
        <v>0</v>
      </c>
    </row>
    <row r="25" spans="1:14" x14ac:dyDescent="0.3">
      <c r="A25" t="s">
        <v>245</v>
      </c>
      <c r="B25" s="330">
        <f>SUMIF('Materials Calculations'!B:B,MaterialData32[[#This Row],[Material]],'Materials Calculations'!F:F)</f>
        <v>0</v>
      </c>
      <c r="C25" s="330">
        <f>SUMIF('Materials Calculations'!B:B,MaterialData32[[#This Row],[Material]],'Materials Calculations'!H:H)</f>
        <v>0</v>
      </c>
      <c r="D25" s="330">
        <f>SUMIF('Materials Calculations'!B:B,MaterialData32[[#This Row],[Material]],'Materials Calculations'!AI:AI)</f>
        <v>0</v>
      </c>
      <c r="F25" t="str">
        <v>Insulation - Mineral wool</v>
      </c>
      <c r="G25">
        <v>0</v>
      </c>
      <c r="H25">
        <v>0</v>
      </c>
      <c r="I25">
        <v>0</v>
      </c>
      <c r="K25" t="str">
        <v>Clay - General (Simple Baked Products)</v>
      </c>
      <c r="L25" s="322">
        <v>0</v>
      </c>
      <c r="M25" s="322">
        <v>0</v>
      </c>
      <c r="N25" s="322">
        <v>0</v>
      </c>
    </row>
    <row r="26" spans="1:14" x14ac:dyDescent="0.3">
      <c r="A26" t="s">
        <v>389</v>
      </c>
      <c r="B26" s="330">
        <f>SUMIF('Materials Calculations'!B:B,MaterialData32[[#This Row],[Material]],'Materials Calculations'!F:F)</f>
        <v>0</v>
      </c>
      <c r="C26" s="330">
        <f>SUMIF('Materials Calculations'!B:B,MaterialData32[[#This Row],[Material]],'Materials Calculations'!H:H)</f>
        <v>0</v>
      </c>
      <c r="D26" s="330">
        <f>SUMIF('Materials Calculations'!B:B,MaterialData32[[#This Row],[Material]],'Materials Calculations'!AI:AI)</f>
        <v>0</v>
      </c>
      <c r="F26" t="str">
        <v>Windows / Doors - Timber (Double)</v>
      </c>
      <c r="G26">
        <v>0</v>
      </c>
      <c r="H26">
        <v>0</v>
      </c>
      <c r="I26">
        <v>0</v>
      </c>
      <c r="K26" t="str">
        <v>Insulation - Mineral wool</v>
      </c>
      <c r="L26" s="322">
        <v>0</v>
      </c>
      <c r="M26" s="322">
        <v>0</v>
      </c>
      <c r="N26" s="322">
        <v>0</v>
      </c>
    </row>
    <row r="27" spans="1:14" x14ac:dyDescent="0.3">
      <c r="A27" t="s">
        <v>409</v>
      </c>
      <c r="B27" s="330">
        <f>SUMIF('Materials Calculations'!B:B,MaterialData32[[#This Row],[Material]],'Materials Calculations'!F:F)</f>
        <v>0</v>
      </c>
      <c r="C27" s="330">
        <f>SUMIF('Materials Calculations'!B:B,MaterialData32[[#This Row],[Material]],'Materials Calculations'!H:H)</f>
        <v>0</v>
      </c>
      <c r="D27" s="330">
        <f>SUMIF('Materials Calculations'!B:B,MaterialData32[[#This Row],[Material]],'Materials Calculations'!AI:AI)</f>
        <v>0</v>
      </c>
      <c r="F27" t="str">
        <v>Vapour permeable sheet</v>
      </c>
      <c r="G27">
        <v>0</v>
      </c>
      <c r="H27">
        <v>0</v>
      </c>
      <c r="I27">
        <v>0</v>
      </c>
      <c r="K27" t="str">
        <v>Windows / Doors - Timber (Double)</v>
      </c>
      <c r="L27" s="322">
        <v>0</v>
      </c>
      <c r="M27" s="322">
        <v>0</v>
      </c>
      <c r="N27" s="322">
        <v>0</v>
      </c>
    </row>
    <row r="28" spans="1:14" x14ac:dyDescent="0.3">
      <c r="A28" t="s">
        <v>360</v>
      </c>
      <c r="B28" s="330">
        <f>SUMIF('Materials Calculations'!B:B,MaterialData32[[#This Row],[Material]],'Materials Calculations'!F:F)</f>
        <v>0</v>
      </c>
      <c r="C28" s="330">
        <f>SUMIF('Materials Calculations'!B:B,MaterialData32[[#This Row],[Material]],'Materials Calculations'!H:H)</f>
        <v>0</v>
      </c>
      <c r="D28" s="330">
        <f>SUMIF('Materials Calculations'!B:B,MaterialData32[[#This Row],[Material]],'Materials Calculations'!AI:AI)</f>
        <v>0</v>
      </c>
      <c r="F28" t="str">
        <v>Stone -Marble tile</v>
      </c>
      <c r="G28">
        <v>0</v>
      </c>
      <c r="H28">
        <v>0</v>
      </c>
      <c r="I28">
        <v>0</v>
      </c>
      <c r="K28" t="str">
        <v>Vapour permeable sheet</v>
      </c>
      <c r="L28" s="322">
        <v>0</v>
      </c>
      <c r="M28" s="322">
        <v>0</v>
      </c>
      <c r="N28" s="322">
        <v>0</v>
      </c>
    </row>
    <row r="29" spans="1:14" x14ac:dyDescent="0.3">
      <c r="A29" t="s">
        <v>343</v>
      </c>
      <c r="B29" s="330">
        <f>SUMIF('Materials Calculations'!B:B,MaterialData32[[#This Row],[Material]],'Materials Calculations'!F:F)</f>
        <v>0</v>
      </c>
      <c r="C29" s="330">
        <f>SUMIF('Materials Calculations'!B:B,MaterialData32[[#This Row],[Material]],'Materials Calculations'!H:H)</f>
        <v>0</v>
      </c>
      <c r="D29" s="330">
        <f>SUMIF('Materials Calculations'!B:B,MaterialData32[[#This Row],[Material]],'Materials Calculations'!AI:AI)</f>
        <v>0</v>
      </c>
      <c r="F29" t="str">
        <v>Plastics - PVC General</v>
      </c>
      <c r="G29">
        <v>0</v>
      </c>
      <c r="H29">
        <v>0</v>
      </c>
      <c r="I29">
        <v>0</v>
      </c>
      <c r="K29" t="str">
        <v>Stone -Marble tile</v>
      </c>
      <c r="L29" s="322">
        <v>0</v>
      </c>
      <c r="M29" s="322">
        <v>0</v>
      </c>
      <c r="N29" s="322">
        <v>0</v>
      </c>
    </row>
    <row r="30" spans="1:14" x14ac:dyDescent="0.3">
      <c r="A30" t="s">
        <v>386</v>
      </c>
      <c r="B30" s="330">
        <f>SUMIF('Materials Calculations'!B:B,MaterialData32[[#This Row],[Material]],'Materials Calculations'!F:F)</f>
        <v>0</v>
      </c>
      <c r="C30" s="330">
        <f>SUMIF('Materials Calculations'!B:B,MaterialData32[[#This Row],[Material]],'Materials Calculations'!H:H)</f>
        <v>0</v>
      </c>
      <c r="D30" s="330">
        <f>SUMIF('Materials Calculations'!B:B,MaterialData32[[#This Row],[Material]],'Materials Calculations'!AI:AI)</f>
        <v>0</v>
      </c>
      <c r="F30" t="str">
        <v>Stone</v>
      </c>
      <c r="G30">
        <v>0</v>
      </c>
      <c r="H30">
        <v>0</v>
      </c>
      <c r="I30">
        <v>0</v>
      </c>
      <c r="K30" t="str">
        <v>Plastics - PVC General</v>
      </c>
      <c r="L30" s="322">
        <v>0</v>
      </c>
      <c r="M30" s="322">
        <v>0</v>
      </c>
      <c r="N30" s="322">
        <v>0</v>
      </c>
    </row>
    <row r="31" spans="1:14" x14ac:dyDescent="0.3">
      <c r="A31" t="s">
        <v>327</v>
      </c>
      <c r="B31" s="330">
        <f>SUMIF('Materials Calculations'!B:B,MaterialData32[[#This Row],[Material]],'Materials Calculations'!F:F)</f>
        <v>0</v>
      </c>
      <c r="C31" s="330">
        <f>SUMIF('Materials Calculations'!B:B,MaterialData32[[#This Row],[Material]],'Materials Calculations'!H:H)</f>
        <v>0</v>
      </c>
      <c r="D31" s="330">
        <f>SUMIF('Materials Calculations'!B:B,MaterialData32[[#This Row],[Material]],'Materials Calculations'!AI:AI)</f>
        <v>0</v>
      </c>
      <c r="F31" t="str">
        <v>Plastics - General Polyethylene</v>
      </c>
      <c r="G31">
        <v>0</v>
      </c>
      <c r="H31">
        <v>0</v>
      </c>
      <c r="I31">
        <v>0</v>
      </c>
      <c r="K31" t="str">
        <v>Stone</v>
      </c>
      <c r="L31" s="322">
        <v>0</v>
      </c>
      <c r="M31" s="322">
        <v>0</v>
      </c>
      <c r="N31" s="322">
        <v>0</v>
      </c>
    </row>
    <row r="32" spans="1:14" x14ac:dyDescent="0.3">
      <c r="A32" t="s">
        <v>316</v>
      </c>
      <c r="B32" s="330">
        <f>SUMIF('Materials Calculations'!B:B,MaterialData32[[#This Row],[Material]],'Materials Calculations'!F:F)</f>
        <v>0</v>
      </c>
      <c r="C32" s="330">
        <f>SUMIF('Materials Calculations'!B:B,MaterialData32[[#This Row],[Material]],'Materials Calculations'!H:H)</f>
        <v>0</v>
      </c>
      <c r="D32" s="330">
        <f>SUMIF('Materials Calculations'!B:B,MaterialData32[[#This Row],[Material]],'Materials Calculations'!AI:AI)</f>
        <v>0</v>
      </c>
      <c r="F32" t="str">
        <v>Paints, Sealants, Adhesives -Paint</v>
      </c>
      <c r="G32">
        <v>0</v>
      </c>
      <c r="H32">
        <v>0</v>
      </c>
      <c r="I32">
        <v>0</v>
      </c>
      <c r="K32" t="str">
        <v>Plastics - General Polyethylene</v>
      </c>
      <c r="L32" s="322">
        <v>0</v>
      </c>
      <c r="M32" s="322">
        <v>0</v>
      </c>
      <c r="N32" s="322">
        <v>0</v>
      </c>
    </row>
    <row r="33" spans="1:14" x14ac:dyDescent="0.3">
      <c r="A33" t="s">
        <v>223</v>
      </c>
      <c r="B33" s="330">
        <f>SUMIF('Materials Calculations'!B:B,MaterialData32[[#This Row],[Material]],'Materials Calculations'!F:F)</f>
        <v>0</v>
      </c>
      <c r="C33" s="330">
        <f>SUMIF('Materials Calculations'!B:B,MaterialData32[[#This Row],[Material]],'Materials Calculations'!H:H)</f>
        <v>0</v>
      </c>
      <c r="D33" s="330">
        <f>SUMIF('Materials Calculations'!B:B,MaterialData32[[#This Row],[Material]],'Materials Calculations'!AI:AI)</f>
        <v>0</v>
      </c>
      <c r="F33" t="str">
        <v>Concrete Block - Walls - With medium density solid blocks inc. mortar</v>
      </c>
      <c r="G33">
        <v>0</v>
      </c>
      <c r="H33">
        <v>0</v>
      </c>
      <c r="I33">
        <v>0</v>
      </c>
      <c r="K33" t="str">
        <v>Paints, Sealants, Adhesives -Paint</v>
      </c>
      <c r="L33" s="322">
        <v>0</v>
      </c>
      <c r="M33" s="322">
        <v>0</v>
      </c>
      <c r="N33" s="322">
        <v>0</v>
      </c>
    </row>
    <row r="34" spans="1:14" x14ac:dyDescent="0.3">
      <c r="A34" t="s">
        <v>242</v>
      </c>
      <c r="B34" s="330">
        <f>SUMIF('Materials Calculations'!B:B,MaterialData32[[#This Row],[Material]],'Materials Calculations'!F:F)</f>
        <v>0</v>
      </c>
      <c r="C34" s="330">
        <f>SUMIF('Materials Calculations'!B:B,MaterialData32[[#This Row],[Material]],'Materials Calculations'!H:H)</f>
        <v>0</v>
      </c>
      <c r="D34" s="330">
        <f>SUMIF('Materials Calculations'!B:B,MaterialData32[[#This Row],[Material]],'Materials Calculations'!AI:AI)</f>
        <v>0</v>
      </c>
      <c r="F34" t="str">
        <v>Insulation - EPS</v>
      </c>
      <c r="G34">
        <v>0</v>
      </c>
      <c r="H34">
        <v>0</v>
      </c>
      <c r="I34">
        <v>0</v>
      </c>
      <c r="K34" t="str">
        <v>Concrete Block - Walls - With medium density solid blocks inc. mortar</v>
      </c>
      <c r="L34" s="322">
        <v>0</v>
      </c>
      <c r="M34" s="322">
        <v>0</v>
      </c>
      <c r="N34" s="322">
        <v>0</v>
      </c>
    </row>
    <row r="35" spans="1:14" x14ac:dyDescent="0.3">
      <c r="A35" t="s">
        <v>351</v>
      </c>
      <c r="B35" s="330">
        <f>SUMIF('Materials Calculations'!B:B,MaterialData32[[#This Row],[Material]],'Materials Calculations'!F:F)</f>
        <v>0</v>
      </c>
      <c r="C35" s="330">
        <f>SUMIF('Materials Calculations'!B:B,MaterialData32[[#This Row],[Material]],'Materials Calculations'!H:H)</f>
        <v>0</v>
      </c>
      <c r="D35" s="330">
        <f>SUMIF('Materials Calculations'!B:B,MaterialData32[[#This Row],[Material]],'Materials Calculations'!AI:AI)</f>
        <v>0</v>
      </c>
      <c r="F35" t="str">
        <v>Soil - General (Rammed Soil)</v>
      </c>
      <c r="G35">
        <v>0</v>
      </c>
      <c r="H35">
        <v>0</v>
      </c>
      <c r="I35">
        <v>0</v>
      </c>
      <c r="K35" t="str">
        <v>Insulation - EPS</v>
      </c>
      <c r="L35" s="322">
        <v>0</v>
      </c>
      <c r="M35" s="322">
        <v>0</v>
      </c>
      <c r="N35" s="322">
        <v>0</v>
      </c>
    </row>
    <row r="36" spans="1:14" x14ac:dyDescent="0.3">
      <c r="A36" t="s">
        <v>268</v>
      </c>
      <c r="B36" s="330">
        <f>SUMIF('Materials Calculations'!B:B,MaterialData32[[#This Row],[Material]],'Materials Calculations'!F:F)</f>
        <v>0</v>
      </c>
      <c r="C36" s="330">
        <f>SUMIF('Materials Calculations'!B:B,MaterialData32[[#This Row],[Material]],'Materials Calculations'!H:H)</f>
        <v>0</v>
      </c>
      <c r="D36" s="330">
        <f>SUMIF('Materials Calculations'!B:B,MaterialData32[[#This Row],[Material]],'Materials Calculations'!AI:AI)</f>
        <v>0</v>
      </c>
      <c r="F36" t="str">
        <v>Metals - Copper - EU Tube &amp; SheetEU Tube &amp; Sheet</v>
      </c>
      <c r="G36">
        <v>0</v>
      </c>
      <c r="H36">
        <v>0</v>
      </c>
      <c r="I36">
        <v>0</v>
      </c>
      <c r="K36" t="str">
        <v>Soil - General (Rammed Soil)</v>
      </c>
      <c r="L36" s="322">
        <v>0</v>
      </c>
      <c r="M36" s="322">
        <v>0</v>
      </c>
      <c r="N36" s="322">
        <v>0</v>
      </c>
    </row>
    <row r="37" spans="1:14" x14ac:dyDescent="0.3">
      <c r="A37" t="s">
        <v>309</v>
      </c>
      <c r="B37" s="330">
        <f>SUMIF('Materials Calculations'!B:B,MaterialData32[[#This Row],[Material]],'Materials Calculations'!F:F)</f>
        <v>0</v>
      </c>
      <c r="C37" s="330">
        <f>SUMIF('Materials Calculations'!B:B,MaterialData32[[#This Row],[Material]],'Materials Calculations'!H:H)</f>
        <v>0</v>
      </c>
      <c r="D37" s="330">
        <f>SUMIF('Materials Calculations'!B:B,MaterialData32[[#This Row],[Material]],'Materials Calculations'!AI:AI)</f>
        <v>0</v>
      </c>
      <c r="F37" t="str">
        <v>Mortar - Mortar (1:4)</v>
      </c>
      <c r="G37">
        <v>0</v>
      </c>
      <c r="H37">
        <v>0</v>
      </c>
      <c r="I37">
        <v>0</v>
      </c>
      <c r="K37" t="str">
        <v>Metals - Copper - EU Tube &amp; SheetEU Tube &amp; Sheet</v>
      </c>
      <c r="L37" s="322">
        <v>0</v>
      </c>
      <c r="M37" s="322">
        <v>0</v>
      </c>
      <c r="N37" s="322">
        <v>0</v>
      </c>
    </row>
    <row r="38" spans="1:14" x14ac:dyDescent="0.3">
      <c r="A38" t="s">
        <v>364</v>
      </c>
      <c r="B38" s="330">
        <f>SUMIF('Materials Calculations'!B:B,MaterialData32[[#This Row],[Material]],'Materials Calculations'!F:F)</f>
        <v>0</v>
      </c>
      <c r="C38" s="330">
        <f>SUMIF('Materials Calculations'!B:B,MaterialData32[[#This Row],[Material]],'Materials Calculations'!H:H)</f>
        <v>0</v>
      </c>
      <c r="D38" s="330">
        <f>SUMIF('Materials Calculations'!B:B,MaterialData32[[#This Row],[Material]],'Materials Calculations'!AI:AI)</f>
        <v>0</v>
      </c>
      <c r="F38" t="str">
        <v>Timber -Irish C16 timber</v>
      </c>
      <c r="G38">
        <v>0</v>
      </c>
      <c r="H38">
        <v>0</v>
      </c>
      <c r="I38">
        <v>0</v>
      </c>
      <c r="K38" t="str">
        <v>Mortar - Mortar (1:4)</v>
      </c>
      <c r="L38" s="322">
        <v>0</v>
      </c>
      <c r="M38" s="322">
        <v>0</v>
      </c>
      <c r="N38" s="322">
        <v>0</v>
      </c>
    </row>
    <row r="39" spans="1:14" x14ac:dyDescent="0.3">
      <c r="A39" t="s">
        <v>118</v>
      </c>
      <c r="B39" s="330">
        <f>SUMIF('Materials Calculations'!B:B,MaterialData32[[#This Row],[Material]],'Materials Calculations'!F:F)</f>
        <v>0</v>
      </c>
      <c r="C39" s="330">
        <f>SUMIF('Materials Calculations'!B:B,MaterialData32[[#This Row],[Material]],'Materials Calculations'!H:H)</f>
        <v>0</v>
      </c>
      <c r="D39" s="330">
        <f>SUMIF('Materials Calculations'!B:B,MaterialData32[[#This Row],[Material]],'Materials Calculations'!AI:AI)</f>
        <v>0</v>
      </c>
      <c r="F39" t="str">
        <v xml:space="preserve">Aggregate - Average Aggregate </v>
      </c>
      <c r="G39">
        <v>0</v>
      </c>
      <c r="H39">
        <v>0</v>
      </c>
      <c r="I39">
        <v>0</v>
      </c>
      <c r="K39" t="str">
        <v>Timber -Irish C16 timber</v>
      </c>
      <c r="L39" s="322">
        <v>0</v>
      </c>
      <c r="M39" s="322">
        <v>0</v>
      </c>
      <c r="N39" s="322">
        <v>0</v>
      </c>
    </row>
    <row r="40" spans="1:14" x14ac:dyDescent="0.3">
      <c r="A40" t="s">
        <v>121</v>
      </c>
      <c r="B40" s="330">
        <f>SUMIF('Materials Calculations'!B:B,MaterialData32[[#This Row],[Material]],'Materials Calculations'!F:F)</f>
        <v>0</v>
      </c>
      <c r="C40" s="330">
        <f>SUMIF('Materials Calculations'!B:B,MaterialData32[[#This Row],[Material]],'Materials Calculations'!H:H)</f>
        <v>0</v>
      </c>
      <c r="D40" s="330">
        <f>SUMIF('Materials Calculations'!B:B,MaterialData32[[#This Row],[Material]],'Materials Calculations'!AI:AI)</f>
        <v>0</v>
      </c>
      <c r="F40" t="str">
        <v>Asphalt -  3% (bitumen) binder content (by mass)</v>
      </c>
      <c r="G40">
        <v>0</v>
      </c>
      <c r="H40">
        <v>0</v>
      </c>
      <c r="I40">
        <v>0</v>
      </c>
      <c r="K40" t="str">
        <v xml:space="preserve">Aggregate - Average Aggregate </v>
      </c>
      <c r="L40" s="322">
        <v>0</v>
      </c>
      <c r="M40" s="322">
        <v>0</v>
      </c>
      <c r="N40" s="322">
        <v>0</v>
      </c>
    </row>
    <row r="41" spans="1:14" x14ac:dyDescent="0.3">
      <c r="A41" t="s">
        <v>123</v>
      </c>
      <c r="B41" s="330">
        <f>SUMIF('Materials Calculations'!B:B,MaterialData32[[#This Row],[Material]],'Materials Calculations'!F:F)</f>
        <v>0</v>
      </c>
      <c r="C41" s="330">
        <f>SUMIF('Materials Calculations'!B:B,MaterialData32[[#This Row],[Material]],'Materials Calculations'!H:H)</f>
        <v>0</v>
      </c>
      <c r="D41" s="330">
        <f>SUMIF('Materials Calculations'!B:B,MaterialData32[[#This Row],[Material]],'Materials Calculations'!AI:AI)</f>
        <v>0</v>
      </c>
      <c r="F41" t="str">
        <v>Asphalt -  3.5% binder content</v>
      </c>
      <c r="G41">
        <v>0</v>
      </c>
      <c r="H41">
        <v>0</v>
      </c>
      <c r="I41">
        <v>0</v>
      </c>
      <c r="K41" t="str">
        <v>Asphalt -  3% (bitumen) binder content (by mass)</v>
      </c>
      <c r="L41" s="322">
        <v>0</v>
      </c>
      <c r="M41" s="322">
        <v>0</v>
      </c>
      <c r="N41" s="322">
        <v>0</v>
      </c>
    </row>
    <row r="42" spans="1:14" x14ac:dyDescent="0.3">
      <c r="A42" t="s">
        <v>124</v>
      </c>
      <c r="B42" s="330">
        <f>SUMIF('Materials Calculations'!B:B,MaterialData32[[#This Row],[Material]],'Materials Calculations'!F:F)</f>
        <v>0</v>
      </c>
      <c r="C42" s="330">
        <f>SUMIF('Materials Calculations'!B:B,MaterialData32[[#This Row],[Material]],'Materials Calculations'!H:H)</f>
        <v>0</v>
      </c>
      <c r="D42" s="330">
        <f>SUMIF('Materials Calculations'!B:B,MaterialData32[[#This Row],[Material]],'Materials Calculations'!AI:AI)</f>
        <v>0</v>
      </c>
      <c r="F42" t="str">
        <v>Asphalt -  4% binder content</v>
      </c>
      <c r="G42">
        <v>0</v>
      </c>
      <c r="H42">
        <v>0</v>
      </c>
      <c r="I42">
        <v>0</v>
      </c>
      <c r="K42" t="str">
        <v>Asphalt -  3.5% binder content</v>
      </c>
      <c r="L42" s="322">
        <v>0</v>
      </c>
      <c r="M42" s="322">
        <v>0</v>
      </c>
      <c r="N42" s="322">
        <v>0</v>
      </c>
    </row>
    <row r="43" spans="1:14" x14ac:dyDescent="0.3">
      <c r="A43" t="s">
        <v>125</v>
      </c>
      <c r="B43" s="330">
        <f>SUMIF('Materials Calculations'!B:B,MaterialData32[[#This Row],[Material]],'Materials Calculations'!F:F)</f>
        <v>0</v>
      </c>
      <c r="C43" s="330">
        <f>SUMIF('Materials Calculations'!B:B,MaterialData32[[#This Row],[Material]],'Materials Calculations'!H:H)</f>
        <v>0</v>
      </c>
      <c r="D43" s="330">
        <f>SUMIF('Materials Calculations'!B:B,MaterialData32[[#This Row],[Material]],'Materials Calculations'!AI:AI)</f>
        <v>0</v>
      </c>
      <c r="F43" t="str">
        <v>Asphalt -  4.5% binder content</v>
      </c>
      <c r="G43">
        <v>0</v>
      </c>
      <c r="H43">
        <v>0</v>
      </c>
      <c r="I43">
        <v>0</v>
      </c>
      <c r="K43" t="str">
        <v>Asphalt -  4% binder content</v>
      </c>
      <c r="L43" s="322">
        <v>0</v>
      </c>
      <c r="M43" s="322">
        <v>0</v>
      </c>
      <c r="N43" s="322">
        <v>0</v>
      </c>
    </row>
    <row r="44" spans="1:14" x14ac:dyDescent="0.3">
      <c r="A44" t="s">
        <v>126</v>
      </c>
      <c r="B44" s="330">
        <f>SUMIF('Materials Calculations'!B:B,MaterialData32[[#This Row],[Material]],'Materials Calculations'!F:F)</f>
        <v>0</v>
      </c>
      <c r="C44" s="330">
        <f>SUMIF('Materials Calculations'!B:B,MaterialData32[[#This Row],[Material]],'Materials Calculations'!H:H)</f>
        <v>0</v>
      </c>
      <c r="D44" s="330">
        <f>SUMIF('Materials Calculations'!B:B,MaterialData32[[#This Row],[Material]],'Materials Calculations'!AI:AI)</f>
        <v>0</v>
      </c>
      <c r="F44" t="str">
        <v>Asphalt -  5% binder content</v>
      </c>
      <c r="G44">
        <v>0</v>
      </c>
      <c r="H44">
        <v>0</v>
      </c>
      <c r="I44">
        <v>0</v>
      </c>
      <c r="K44" t="str">
        <v>Asphalt -  4.5% binder content</v>
      </c>
      <c r="L44" s="322">
        <v>0</v>
      </c>
      <c r="M44" s="322">
        <v>0</v>
      </c>
      <c r="N44" s="322">
        <v>0</v>
      </c>
    </row>
    <row r="45" spans="1:14" x14ac:dyDescent="0.3">
      <c r="A45" t="s">
        <v>127</v>
      </c>
      <c r="B45" s="330">
        <f>SUMIF('Materials Calculations'!B:B,MaterialData32[[#This Row],[Material]],'Materials Calculations'!F:F)</f>
        <v>0</v>
      </c>
      <c r="C45" s="330">
        <f>SUMIF('Materials Calculations'!B:B,MaterialData32[[#This Row],[Material]],'Materials Calculations'!H:H)</f>
        <v>0</v>
      </c>
      <c r="D45" s="330">
        <f>SUMIF('Materials Calculations'!B:B,MaterialData32[[#This Row],[Material]],'Materials Calculations'!AI:AI)</f>
        <v>0</v>
      </c>
      <c r="F45" t="str">
        <v>Asphalt -  5.5% binder content</v>
      </c>
      <c r="G45">
        <v>0</v>
      </c>
      <c r="H45">
        <v>0</v>
      </c>
      <c r="I45">
        <v>0</v>
      </c>
      <c r="K45" t="str">
        <v>Asphalt -  5% binder content</v>
      </c>
      <c r="L45" s="322">
        <v>0</v>
      </c>
      <c r="M45" s="322">
        <v>0</v>
      </c>
      <c r="N45" s="322">
        <v>0</v>
      </c>
    </row>
    <row r="46" spans="1:14" x14ac:dyDescent="0.3">
      <c r="A46" t="s">
        <v>128</v>
      </c>
      <c r="B46" s="330">
        <f>SUMIF('Materials Calculations'!B:B,MaterialData32[[#This Row],[Material]],'Materials Calculations'!F:F)</f>
        <v>0</v>
      </c>
      <c r="C46" s="330">
        <f>SUMIF('Materials Calculations'!B:B,MaterialData32[[#This Row],[Material]],'Materials Calculations'!H:H)</f>
        <v>0</v>
      </c>
      <c r="D46" s="330">
        <f>SUMIF('Materials Calculations'!B:B,MaterialData32[[#This Row],[Material]],'Materials Calculations'!AI:AI)</f>
        <v>0</v>
      </c>
      <c r="F46" t="str">
        <v>Asphalt -  6% binder content</v>
      </c>
      <c r="G46">
        <v>0</v>
      </c>
      <c r="H46">
        <v>0</v>
      </c>
      <c r="I46">
        <v>0</v>
      </c>
      <c r="K46" t="str">
        <v>Asphalt -  5.5% binder content</v>
      </c>
      <c r="L46" s="322">
        <v>0</v>
      </c>
      <c r="M46" s="322">
        <v>0</v>
      </c>
      <c r="N46" s="322">
        <v>0</v>
      </c>
    </row>
    <row r="47" spans="1:14" x14ac:dyDescent="0.3">
      <c r="A47" t="s">
        <v>129</v>
      </c>
      <c r="B47" s="330">
        <f>SUMIF('Materials Calculations'!B:B,MaterialData32[[#This Row],[Material]],'Materials Calculations'!F:F)</f>
        <v>0</v>
      </c>
      <c r="C47" s="330">
        <f>SUMIF('Materials Calculations'!B:B,MaterialData32[[#This Row],[Material]],'Materials Calculations'!H:H)</f>
        <v>0</v>
      </c>
      <c r="D47" s="330">
        <f>SUMIF('Materials Calculations'!B:B,MaterialData32[[#This Row],[Material]],'Materials Calculations'!AI:AI)</f>
        <v>0</v>
      </c>
      <c r="F47" t="str">
        <v>Asphalt -  6.5% binder content</v>
      </c>
      <c r="G47">
        <v>0</v>
      </c>
      <c r="H47">
        <v>0</v>
      </c>
      <c r="I47">
        <v>0</v>
      </c>
      <c r="K47" t="str">
        <v>Asphalt -  6% binder content</v>
      </c>
      <c r="L47" s="322">
        <v>0</v>
      </c>
      <c r="M47" s="322">
        <v>0</v>
      </c>
      <c r="N47" s="322">
        <v>0</v>
      </c>
    </row>
    <row r="48" spans="1:14" x14ac:dyDescent="0.3">
      <c r="A48" t="s">
        <v>130</v>
      </c>
      <c r="B48" s="330">
        <f>SUMIF('Materials Calculations'!B:B,MaterialData32[[#This Row],[Material]],'Materials Calculations'!F:F)</f>
        <v>0</v>
      </c>
      <c r="C48" s="330">
        <f>SUMIF('Materials Calculations'!B:B,MaterialData32[[#This Row],[Material]],'Materials Calculations'!H:H)</f>
        <v>0</v>
      </c>
      <c r="D48" s="330">
        <f>SUMIF('Materials Calculations'!B:B,MaterialData32[[#This Row],[Material]],'Materials Calculations'!AI:AI)</f>
        <v>0</v>
      </c>
      <c r="F48" t="str">
        <v>Asphalt -  7% binder content</v>
      </c>
      <c r="G48">
        <v>0</v>
      </c>
      <c r="H48">
        <v>0</v>
      </c>
      <c r="I48">
        <v>0</v>
      </c>
      <c r="K48" t="str">
        <v>Asphalt -  6.5% binder content</v>
      </c>
      <c r="L48" s="322">
        <v>0</v>
      </c>
      <c r="M48" s="322">
        <v>0</v>
      </c>
      <c r="N48" s="322">
        <v>0</v>
      </c>
    </row>
    <row r="49" spans="1:14" x14ac:dyDescent="0.3">
      <c r="A49" t="s">
        <v>131</v>
      </c>
      <c r="B49" s="330">
        <f>SUMIF('Materials Calculations'!B:B,MaterialData32[[#This Row],[Material]],'Materials Calculations'!F:F)</f>
        <v>0</v>
      </c>
      <c r="C49" s="330">
        <f>SUMIF('Materials Calculations'!B:B,MaterialData32[[#This Row],[Material]],'Materials Calculations'!H:H)</f>
        <v>0</v>
      </c>
      <c r="D49" s="330">
        <f>SUMIF('Materials Calculations'!B:B,MaterialData32[[#This Row],[Material]],'Materials Calculations'!AI:AI)</f>
        <v>0</v>
      </c>
      <c r="F49" t="str">
        <v xml:space="preserve">Bitumen - Straight-run </v>
      </c>
      <c r="G49">
        <v>0</v>
      </c>
      <c r="H49">
        <v>0</v>
      </c>
      <c r="I49">
        <v>0</v>
      </c>
      <c r="K49" t="str">
        <v>Asphalt -  7% binder content</v>
      </c>
      <c r="L49" s="322">
        <v>0</v>
      </c>
      <c r="M49" s="322">
        <v>0</v>
      </c>
      <c r="N49" s="322">
        <v>0</v>
      </c>
    </row>
    <row r="50" spans="1:14" x14ac:dyDescent="0.3">
      <c r="A50" t="s">
        <v>132</v>
      </c>
      <c r="B50" s="330">
        <f>SUMIF('Materials Calculations'!B:B,MaterialData32[[#This Row],[Material]],'Materials Calculations'!F:F)</f>
        <v>0</v>
      </c>
      <c r="C50" s="330">
        <f>SUMIF('Materials Calculations'!B:B,MaterialData32[[#This Row],[Material]],'Materials Calculations'!H:H)</f>
        <v>0</v>
      </c>
      <c r="D50" s="330">
        <f>SUMIF('Materials Calculations'!B:B,MaterialData32[[#This Row],[Material]],'Materials Calculations'!AI:AI)</f>
        <v>0</v>
      </c>
      <c r="F50" t="str">
        <v>Bitumen - Polymer modified  (PMB)</v>
      </c>
      <c r="G50">
        <v>0</v>
      </c>
      <c r="H50">
        <v>0</v>
      </c>
      <c r="I50">
        <v>0</v>
      </c>
      <c r="K50" t="str">
        <v xml:space="preserve">Bitumen - Straight-run </v>
      </c>
      <c r="L50" s="322">
        <v>0</v>
      </c>
      <c r="M50" s="322">
        <v>0</v>
      </c>
      <c r="N50" s="322">
        <v>0</v>
      </c>
    </row>
    <row r="51" spans="1:14" x14ac:dyDescent="0.3">
      <c r="A51" t="s">
        <v>133</v>
      </c>
      <c r="B51" s="330">
        <f>SUMIF('Materials Calculations'!B:B,MaterialData32[[#This Row],[Material]],'Materials Calculations'!F:F)</f>
        <v>0</v>
      </c>
      <c r="C51" s="330">
        <f>SUMIF('Materials Calculations'!B:B,MaterialData32[[#This Row],[Material]],'Materials Calculations'!H:H)</f>
        <v>0</v>
      </c>
      <c r="D51" s="330">
        <f>SUMIF('Materials Calculations'!B:B,MaterialData32[[#This Row],[Material]],'Materials Calculations'!AI:AI)</f>
        <v>0</v>
      </c>
      <c r="F51" t="str">
        <v>Bitumen - Emulsion</v>
      </c>
      <c r="G51">
        <v>0</v>
      </c>
      <c r="H51">
        <v>0</v>
      </c>
      <c r="I51">
        <v>0</v>
      </c>
      <c r="K51" t="str">
        <v>Bitumen - Polymer modified  (PMB)</v>
      </c>
      <c r="L51" s="322">
        <v>0</v>
      </c>
      <c r="M51" s="322">
        <v>0</v>
      </c>
      <c r="N51" s="322">
        <v>0</v>
      </c>
    </row>
    <row r="52" spans="1:14" x14ac:dyDescent="0.3">
      <c r="A52" t="s">
        <v>134</v>
      </c>
      <c r="B52" s="330">
        <f>SUMIF('Materials Calculations'!B:B,MaterialData32[[#This Row],[Material]],'Materials Calculations'!F:F)</f>
        <v>0</v>
      </c>
      <c r="C52" s="330">
        <f>SUMIF('Materials Calculations'!B:B,MaterialData32[[#This Row],[Material]],'Materials Calculations'!H:H)</f>
        <v>0</v>
      </c>
      <c r="D52" s="330">
        <f>SUMIF('Materials Calculations'!B:B,MaterialData32[[#This Row],[Material]],'Materials Calculations'!AI:AI)</f>
        <v>0</v>
      </c>
      <c r="F52" t="str">
        <v>Boards - Irish produced OSB - see Smartply EPD* (600kg/m3)</v>
      </c>
      <c r="G52">
        <v>0</v>
      </c>
      <c r="H52">
        <v>0</v>
      </c>
      <c r="I52">
        <v>0</v>
      </c>
      <c r="K52" t="str">
        <v>Bitumen - Emulsion</v>
      </c>
      <c r="L52" s="322">
        <v>0</v>
      </c>
      <c r="M52" s="322">
        <v>0</v>
      </c>
      <c r="N52" s="322">
        <v>0</v>
      </c>
    </row>
    <row r="53" spans="1:14" x14ac:dyDescent="0.3">
      <c r="A53" t="s">
        <v>136</v>
      </c>
      <c r="B53" s="330">
        <f>SUMIF('Materials Calculations'!B:B,MaterialData32[[#This Row],[Material]],'Materials Calculations'!F:F)</f>
        <v>0</v>
      </c>
      <c r="C53" s="330">
        <f>SUMIF('Materials Calculations'!B:B,MaterialData32[[#This Row],[Material]],'Materials Calculations'!H:H)</f>
        <v>0</v>
      </c>
      <c r="D53" s="330">
        <f>SUMIF('Materials Calculations'!B:B,MaterialData32[[#This Row],[Material]],'Materials Calculations'!AI:AI)</f>
        <v>0</v>
      </c>
      <c r="F53" t="str">
        <v>Boards - Irish produced MDF - interior (MEDITE TRADE EPD)*</v>
      </c>
      <c r="G53">
        <v>0</v>
      </c>
      <c r="H53">
        <v>0</v>
      </c>
      <c r="I53">
        <v>0</v>
      </c>
      <c r="K53" t="str">
        <v>Boards - Irish produced OSB - see Smartply EPD* (600kg/m3)</v>
      </c>
      <c r="L53" s="322">
        <v>0</v>
      </c>
      <c r="M53" s="322">
        <v>0</v>
      </c>
      <c r="N53" s="322">
        <v>0</v>
      </c>
    </row>
    <row r="54" spans="1:14" x14ac:dyDescent="0.3">
      <c r="A54" t="s">
        <v>138</v>
      </c>
      <c r="B54" s="330">
        <f>SUMIF('Materials Calculations'!B:B,MaterialData32[[#This Row],[Material]],'Materials Calculations'!F:F)</f>
        <v>0</v>
      </c>
      <c r="C54" s="330">
        <f>SUMIF('Materials Calculations'!B:B,MaterialData32[[#This Row],[Material]],'Materials Calculations'!H:H)</f>
        <v>0</v>
      </c>
      <c r="D54" s="330">
        <f>SUMIF('Materials Calculations'!B:B,MaterialData32[[#This Row],[Material]],'Materials Calculations'!AI:AI)</f>
        <v>0</v>
      </c>
      <c r="F54" t="str">
        <v>Boards - Irish produced MDF - exterior (MEDITE EXTERIOR EPD)*</v>
      </c>
      <c r="G54">
        <v>0</v>
      </c>
      <c r="H54">
        <v>0</v>
      </c>
      <c r="I54">
        <v>0</v>
      </c>
      <c r="K54" t="str">
        <v>Boards - Irish produced MDF - interior (MEDITE TRADE EPD)*</v>
      </c>
      <c r="L54" s="322">
        <v>0</v>
      </c>
      <c r="M54" s="322">
        <v>0</v>
      </c>
      <c r="N54" s="322">
        <v>0</v>
      </c>
    </row>
    <row r="55" spans="1:14" x14ac:dyDescent="0.3">
      <c r="A55" t="s">
        <v>140</v>
      </c>
      <c r="B55" s="330">
        <f>SUMIF('Materials Calculations'!B:B,MaterialData32[[#This Row],[Material]],'Materials Calculations'!F:F)</f>
        <v>0</v>
      </c>
      <c r="C55" s="330">
        <f>SUMIF('Materials Calculations'!B:B,MaterialData32[[#This Row],[Material]],'Materials Calculations'!H:H)</f>
        <v>0</v>
      </c>
      <c r="D55" s="330">
        <f>SUMIF('Materials Calculations'!B:B,MaterialData32[[#This Row],[Material]],'Materials Calculations'!AI:AI)</f>
        <v>0</v>
      </c>
      <c r="F55" t="str">
        <v>Boards - Irish produced MDF - average*</v>
      </c>
      <c r="G55">
        <v>0</v>
      </c>
      <c r="H55">
        <v>0</v>
      </c>
      <c r="I55">
        <v>0</v>
      </c>
      <c r="K55" t="str">
        <v>Boards - Irish produced MDF - exterior (MEDITE EXTERIOR EPD)*</v>
      </c>
      <c r="L55" s="322">
        <v>0</v>
      </c>
      <c r="M55" s="322">
        <v>0</v>
      </c>
      <c r="N55" s="322">
        <v>0</v>
      </c>
    </row>
    <row r="56" spans="1:14" x14ac:dyDescent="0.3">
      <c r="A56" t="s">
        <v>141</v>
      </c>
      <c r="B56" s="330">
        <f>SUMIF('Materials Calculations'!B:B,MaterialData32[[#This Row],[Material]],'Materials Calculations'!F:F)</f>
        <v>0</v>
      </c>
      <c r="C56" s="330">
        <f>SUMIF('Materials Calculations'!B:B,MaterialData32[[#This Row],[Material]],'Materials Calculations'!H:H)</f>
        <v>0</v>
      </c>
      <c r="D56" s="330">
        <f>SUMIF('Materials Calculations'!B:B,MaterialData32[[#This Row],[Material]],'Materials Calculations'!AI:AI)</f>
        <v>0</v>
      </c>
      <c r="F56" t="str">
        <v>Boards - Imported MDF (737kg/m3)</v>
      </c>
      <c r="G56">
        <v>0</v>
      </c>
      <c r="H56">
        <v>0</v>
      </c>
      <c r="I56">
        <v>0</v>
      </c>
      <c r="K56" t="str">
        <v>Boards - Irish produced MDF - average*</v>
      </c>
      <c r="L56" s="322">
        <v>0</v>
      </c>
      <c r="M56" s="322">
        <v>0</v>
      </c>
      <c r="N56" s="322">
        <v>0</v>
      </c>
    </row>
    <row r="57" spans="1:14" x14ac:dyDescent="0.3">
      <c r="A57" t="s">
        <v>142</v>
      </c>
      <c r="B57" s="330">
        <f>SUMIF('Materials Calculations'!B:B,MaterialData32[[#This Row],[Material]],'Materials Calculations'!F:F)</f>
        <v>0</v>
      </c>
      <c r="C57" s="330">
        <f>SUMIF('Materials Calculations'!B:B,MaterialData32[[#This Row],[Material]],'Materials Calculations'!H:H)</f>
        <v>0</v>
      </c>
      <c r="D57" s="330">
        <f>SUMIF('Materials Calculations'!B:B,MaterialData32[[#This Row],[Material]],'Materials Calculations'!AI:AI)</f>
        <v>0</v>
      </c>
      <c r="F57" t="str">
        <v>Boards - Imported chipboard particleboard (640kg/m3)</v>
      </c>
      <c r="G57">
        <v>0</v>
      </c>
      <c r="H57">
        <v>0</v>
      </c>
      <c r="I57">
        <v>0</v>
      </c>
      <c r="K57" t="str">
        <v>Boards - Imported MDF (737kg/m3)</v>
      </c>
      <c r="L57" s="322">
        <v>0</v>
      </c>
      <c r="M57" s="322">
        <v>0</v>
      </c>
      <c r="N57" s="322">
        <v>0</v>
      </c>
    </row>
    <row r="58" spans="1:14" x14ac:dyDescent="0.3">
      <c r="A58" t="s">
        <v>143</v>
      </c>
      <c r="B58" s="330">
        <f>SUMIF('Materials Calculations'!B:B,MaterialData32[[#This Row],[Material]],'Materials Calculations'!F:F)</f>
        <v>0</v>
      </c>
      <c r="C58" s="330">
        <f>SUMIF('Materials Calculations'!B:B,MaterialData32[[#This Row],[Material]],'Materials Calculations'!H:H)</f>
        <v>0</v>
      </c>
      <c r="D58" s="330">
        <f>SUMIF('Materials Calculations'!B:B,MaterialData32[[#This Row],[Material]],'Materials Calculations'!AI:AI)</f>
        <v>0</v>
      </c>
      <c r="F58" t="str">
        <v>Boards - Imported plywood (681kg/m3)</v>
      </c>
      <c r="G58">
        <v>0</v>
      </c>
      <c r="H58">
        <v>0</v>
      </c>
      <c r="I58">
        <v>0</v>
      </c>
      <c r="K58" t="str">
        <v>Boards - Imported chipboard particleboard (640kg/m3)</v>
      </c>
      <c r="L58" s="322">
        <v>0</v>
      </c>
      <c r="M58" s="322">
        <v>0</v>
      </c>
      <c r="N58" s="322">
        <v>0</v>
      </c>
    </row>
    <row r="59" spans="1:14" x14ac:dyDescent="0.3">
      <c r="A59" t="s">
        <v>144</v>
      </c>
      <c r="B59" s="330">
        <f>SUMIF('Materials Calculations'!B:B,MaterialData32[[#This Row],[Material]],'Materials Calculations'!F:F)</f>
        <v>0</v>
      </c>
      <c r="C59" s="330">
        <f>SUMIF('Materials Calculations'!B:B,MaterialData32[[#This Row],[Material]],'Materials Calculations'!H:H)</f>
        <v>0</v>
      </c>
      <c r="D59" s="330">
        <f>SUMIF('Materials Calculations'!B:B,MaterialData32[[#This Row],[Material]],'Materials Calculations'!AI:AI)</f>
        <v>0</v>
      </c>
      <c r="F59" t="str">
        <v>Brick - Facing brick imported from the UK (excl transport)</v>
      </c>
      <c r="G59">
        <v>0</v>
      </c>
      <c r="H59">
        <v>0</v>
      </c>
      <c r="I59">
        <v>0</v>
      </c>
      <c r="K59" t="str">
        <v>Boards - Imported plywood (681kg/m3)</v>
      </c>
      <c r="L59" s="322">
        <v>0</v>
      </c>
      <c r="M59" s="322">
        <v>0</v>
      </c>
      <c r="N59" s="322">
        <v>0</v>
      </c>
    </row>
    <row r="60" spans="1:14" x14ac:dyDescent="0.3">
      <c r="A60" t="s">
        <v>145</v>
      </c>
      <c r="B60" s="330">
        <f>SUMIF('Materials Calculations'!B:B,MaterialData32[[#This Row],[Material]],'Materials Calculations'!F:F)</f>
        <v>0</v>
      </c>
      <c r="C60" s="330">
        <f>SUMIF('Materials Calculations'!B:B,MaterialData32[[#This Row],[Material]],'Materials Calculations'!H:H)</f>
        <v>0</v>
      </c>
      <c r="D60" s="330">
        <f>SUMIF('Materials Calculations'!B:B,MaterialData32[[#This Row],[Material]],'Materials Calculations'!AI:AI)</f>
        <v>0</v>
      </c>
      <c r="F60" t="str">
        <v>Cement - Average Cement for Ireland≠</v>
      </c>
      <c r="G60">
        <v>0</v>
      </c>
      <c r="H60">
        <v>0</v>
      </c>
      <c r="I60">
        <v>0</v>
      </c>
      <c r="K60" t="str">
        <v>Brick - Facing brick imported from the UK (excl transport)</v>
      </c>
      <c r="L60" s="322">
        <v>0</v>
      </c>
      <c r="M60" s="322">
        <v>0</v>
      </c>
      <c r="N60" s="322">
        <v>0</v>
      </c>
    </row>
    <row r="61" spans="1:14" x14ac:dyDescent="0.3">
      <c r="A61" t="s">
        <v>147</v>
      </c>
      <c r="B61" s="330">
        <f>SUMIF('Materials Calculations'!B:B,MaterialData32[[#This Row],[Material]],'Materials Calculations'!F:F)</f>
        <v>0</v>
      </c>
      <c r="C61" s="330">
        <f>SUMIF('Materials Calculations'!B:B,MaterialData32[[#This Row],[Material]],'Materials Calculations'!H:H)</f>
        <v>0</v>
      </c>
      <c r="D61" s="330">
        <f>SUMIF('Materials Calculations'!B:B,MaterialData32[[#This Row],[Material]],'Materials Calculations'!AI:AI)</f>
        <v>0</v>
      </c>
      <c r="F61" t="str">
        <v>Cement - CEM I produced in Ireland*</v>
      </c>
      <c r="G61">
        <v>0</v>
      </c>
      <c r="H61">
        <v>0</v>
      </c>
      <c r="I61">
        <v>0</v>
      </c>
      <c r="K61" t="str">
        <v>Cement - Average Cement for Ireland≠</v>
      </c>
      <c r="L61" s="322">
        <v>0</v>
      </c>
      <c r="M61" s="322">
        <v>0</v>
      </c>
      <c r="N61" s="322">
        <v>0</v>
      </c>
    </row>
    <row r="62" spans="1:14" x14ac:dyDescent="0.3">
      <c r="A62" t="s">
        <v>1089</v>
      </c>
      <c r="B62" s="330">
        <f>SUMIF('Materials Calculations'!B:B,MaterialData32[[#This Row],[Material]],'Materials Calculations'!F:F)</f>
        <v>0</v>
      </c>
      <c r="C62" s="330">
        <f>SUMIF('Materials Calculations'!B:B,MaterialData32[[#This Row],[Material]],'Materials Calculations'!H:H)</f>
        <v>0</v>
      </c>
      <c r="D62" s="330">
        <f>SUMIF('Materials Calculations'!B:B,MaterialData32[[#This Row],[Material]],'Materials Calculations'!AI:AI)</f>
        <v>0</v>
      </c>
      <c r="F62" t="str">
        <v>Cement - CEM II/A-V (&lt;35% PFA)</v>
      </c>
      <c r="G62">
        <v>0</v>
      </c>
      <c r="H62">
        <v>0</v>
      </c>
      <c r="I62">
        <v>0</v>
      </c>
      <c r="K62" t="str">
        <v>Cement - CEM I produced in Ireland*</v>
      </c>
      <c r="L62" s="322">
        <v>0</v>
      </c>
      <c r="M62" s="322">
        <v>0</v>
      </c>
      <c r="N62" s="322">
        <v>0</v>
      </c>
    </row>
    <row r="63" spans="1:14" x14ac:dyDescent="0.3">
      <c r="A63" t="s">
        <v>1090</v>
      </c>
      <c r="B63" s="330">
        <f>SUMIF('Materials Calculations'!B:B,MaterialData32[[#This Row],[Material]],'Materials Calculations'!F:F)</f>
        <v>0</v>
      </c>
      <c r="C63" s="330">
        <f>SUMIF('Materials Calculations'!B:B,MaterialData32[[#This Row],[Material]],'Materials Calculations'!H:H)</f>
        <v>0</v>
      </c>
      <c r="D63" s="330">
        <f>SUMIF('Materials Calculations'!B:B,MaterialData32[[#This Row],[Material]],'Materials Calculations'!AI:AI)</f>
        <v>0</v>
      </c>
      <c r="F63" t="str">
        <v>Cement - CEM II/A-L (&lt;35% Limestone)°</v>
      </c>
      <c r="G63">
        <v>0</v>
      </c>
      <c r="H63">
        <v>0</v>
      </c>
      <c r="I63">
        <v>0</v>
      </c>
      <c r="K63" t="str">
        <v>Cement - CEM II/A-V (&lt;35% PFA)</v>
      </c>
      <c r="L63" s="322">
        <v>0</v>
      </c>
      <c r="M63" s="322">
        <v>0</v>
      </c>
      <c r="N63" s="322">
        <v>0</v>
      </c>
    </row>
    <row r="64" spans="1:14" x14ac:dyDescent="0.3">
      <c r="A64" t="s">
        <v>1091</v>
      </c>
      <c r="B64" s="330">
        <f>SUMIF('Materials Calculations'!B:B,MaterialData32[[#This Row],[Material]],'Materials Calculations'!F:F)</f>
        <v>0</v>
      </c>
      <c r="C64" s="330">
        <f>SUMIF('Materials Calculations'!B:B,MaterialData32[[#This Row],[Material]],'Materials Calculations'!H:H)</f>
        <v>0</v>
      </c>
      <c r="D64" s="330">
        <f>SUMIF('Materials Calculations'!B:B,MaterialData32[[#This Row],[Material]],'Materials Calculations'!AI:AI)</f>
        <v>0</v>
      </c>
      <c r="F64" t="str">
        <v>Cement - CEM II/A-S (&lt;35% GGBS)</v>
      </c>
      <c r="G64">
        <v>0</v>
      </c>
      <c r="H64">
        <v>0</v>
      </c>
      <c r="I64">
        <v>0</v>
      </c>
      <c r="K64" t="str">
        <v>Cement - CEM II/A-L (&lt;35% Limestone)°</v>
      </c>
      <c r="L64" s="322">
        <v>0</v>
      </c>
      <c r="M64" s="322">
        <v>0</v>
      </c>
      <c r="N64" s="322">
        <v>0</v>
      </c>
    </row>
    <row r="65" spans="1:14" x14ac:dyDescent="0.3">
      <c r="A65" t="s">
        <v>151</v>
      </c>
      <c r="B65" s="330">
        <f>SUMIF('Materials Calculations'!B:B,MaterialData32[[#This Row],[Material]],'Materials Calculations'!F:F)</f>
        <v>0</v>
      </c>
      <c r="C65" s="330">
        <f>SUMIF('Materials Calculations'!B:B,MaterialData32[[#This Row],[Material]],'Materials Calculations'!H:H)</f>
        <v>0</v>
      </c>
      <c r="D65" s="330">
        <f>SUMIF('Materials Calculations'!B:B,MaterialData32[[#This Row],[Material]],'Materials Calculations'!AI:AI)</f>
        <v>0</v>
      </c>
      <c r="F65" t="str">
        <v>Cement - CEM II A-D (&lt;10% silica fume)</v>
      </c>
      <c r="G65">
        <v>0</v>
      </c>
      <c r="H65">
        <v>0</v>
      </c>
      <c r="I65">
        <v>0</v>
      </c>
      <c r="K65" t="str">
        <v>Cement - CEM II/A-S (&lt;35% GGBS)</v>
      </c>
      <c r="L65" s="322">
        <v>0</v>
      </c>
      <c r="M65" s="322">
        <v>0</v>
      </c>
      <c r="N65" s="322">
        <v>0</v>
      </c>
    </row>
    <row r="66" spans="1:14" x14ac:dyDescent="0.3">
      <c r="A66" t="s">
        <v>153</v>
      </c>
      <c r="B66" s="330">
        <f>SUMIF('Materials Calculations'!B:B,MaterialData32[[#This Row],[Material]],'Materials Calculations'!F:F)</f>
        <v>0</v>
      </c>
      <c r="C66" s="330">
        <f>SUMIF('Materials Calculations'!B:B,MaterialData32[[#This Row],[Material]],'Materials Calculations'!H:H)</f>
        <v>0</v>
      </c>
      <c r="D66" s="330">
        <f>SUMIF('Materials Calculations'!B:B,MaterialData32[[#This Row],[Material]],'Materials Calculations'!AI:AI)</f>
        <v>0</v>
      </c>
      <c r="F66" t="str">
        <v>Cement - Average CEM II</v>
      </c>
      <c r="G66">
        <v>0</v>
      </c>
      <c r="H66">
        <v>0</v>
      </c>
      <c r="I66">
        <v>0</v>
      </c>
      <c r="K66" t="str">
        <v>Cement - CEM II A-D (&lt;10% silica fume)</v>
      </c>
      <c r="L66" s="322">
        <v>0</v>
      </c>
      <c r="M66" s="322">
        <v>0</v>
      </c>
      <c r="N66" s="322">
        <v>0</v>
      </c>
    </row>
    <row r="67" spans="1:14" x14ac:dyDescent="0.3">
      <c r="A67" t="s">
        <v>154</v>
      </c>
      <c r="B67" s="330">
        <f>SUMIF('Materials Calculations'!B:B,MaterialData32[[#This Row],[Material]],'Materials Calculations'!F:F)</f>
        <v>0</v>
      </c>
      <c r="C67" s="330">
        <f>SUMIF('Materials Calculations'!B:B,MaterialData32[[#This Row],[Material]],'Materials Calculations'!H:H)</f>
        <v>0</v>
      </c>
      <c r="D67" s="330">
        <f>SUMIF('Materials Calculations'!B:B,MaterialData32[[#This Row],[Material]],'Materials Calculations'!AI:AI)</f>
        <v>0</v>
      </c>
      <c r="F67" t="str">
        <v>Cement - CEM III/A (35-60% GGBS)</v>
      </c>
      <c r="G67">
        <v>0</v>
      </c>
      <c r="H67">
        <v>0</v>
      </c>
      <c r="I67">
        <v>0</v>
      </c>
      <c r="K67" t="str">
        <v>Cement - Average CEM II</v>
      </c>
      <c r="L67" s="322">
        <v>0</v>
      </c>
      <c r="M67" s="322">
        <v>0</v>
      </c>
      <c r="N67" s="322">
        <v>0</v>
      </c>
    </row>
    <row r="68" spans="1:14" x14ac:dyDescent="0.3">
      <c r="A68" t="s">
        <v>155</v>
      </c>
      <c r="B68" s="330">
        <f>SUMIF('Materials Calculations'!B:B,MaterialData32[[#This Row],[Material]],'Materials Calculations'!F:F)</f>
        <v>0</v>
      </c>
      <c r="C68" s="330">
        <f>SUMIF('Materials Calculations'!B:B,MaterialData32[[#This Row],[Material]],'Materials Calculations'!H:H)</f>
        <v>0</v>
      </c>
      <c r="D68" s="330">
        <f>SUMIF('Materials Calculations'!B:B,MaterialData32[[#This Row],[Material]],'Materials Calculations'!AI:AI)</f>
        <v>0</v>
      </c>
      <c r="F68" t="str">
        <v>Cement - CEM III/B (66-80% GGBS)</v>
      </c>
      <c r="G68">
        <v>0</v>
      </c>
      <c r="H68">
        <v>0</v>
      </c>
      <c r="I68">
        <v>0</v>
      </c>
      <c r="K68" t="str">
        <v>Cement - CEM III/A (35-60% GGBS)</v>
      </c>
      <c r="L68" s="322">
        <v>0</v>
      </c>
      <c r="M68" s="322">
        <v>0</v>
      </c>
      <c r="N68" s="322">
        <v>0</v>
      </c>
    </row>
    <row r="69" spans="1:14" x14ac:dyDescent="0.3">
      <c r="A69" t="s">
        <v>156</v>
      </c>
      <c r="B69" s="330">
        <f>SUMIF('Materials Calculations'!B:B,MaterialData32[[#This Row],[Material]],'Materials Calculations'!F:F)</f>
        <v>0</v>
      </c>
      <c r="C69" s="330">
        <f>SUMIF('Materials Calculations'!B:B,MaterialData32[[#This Row],[Material]],'Materials Calculations'!H:H)</f>
        <v>0</v>
      </c>
      <c r="D69" s="330">
        <f>SUMIF('Materials Calculations'!B:B,MaterialData32[[#This Row],[Material]],'Materials Calculations'!AI:AI)</f>
        <v>0</v>
      </c>
      <c r="F69" t="str">
        <v>Ceramics - Ceramics - General</v>
      </c>
      <c r="G69">
        <v>0</v>
      </c>
      <c r="H69">
        <v>0</v>
      </c>
      <c r="I69">
        <v>0</v>
      </c>
      <c r="K69" t="str">
        <v>Cement - CEM III/B (66-80% GGBS)</v>
      </c>
      <c r="L69" s="322">
        <v>0</v>
      </c>
      <c r="M69" s="322">
        <v>0</v>
      </c>
      <c r="N69" s="322">
        <v>0</v>
      </c>
    </row>
    <row r="70" spans="1:14" x14ac:dyDescent="0.3">
      <c r="A70" t="s">
        <v>157</v>
      </c>
      <c r="B70" s="330">
        <f>SUMIF('Materials Calculations'!B:B,MaterialData32[[#This Row],[Material]],'Materials Calculations'!F:F)</f>
        <v>0</v>
      </c>
      <c r="C70" s="330">
        <f>SUMIF('Materials Calculations'!B:B,MaterialData32[[#This Row],[Material]],'Materials Calculations'!H:H)</f>
        <v>0</v>
      </c>
      <c r="D70" s="330">
        <f>SUMIF('Materials Calculations'!B:B,MaterialData32[[#This Row],[Material]],'Materials Calculations'!AI:AI)</f>
        <v>0</v>
      </c>
      <c r="F70" t="str">
        <v>Ceramics - Ceramics - Fittings</v>
      </c>
      <c r="G70">
        <v>0</v>
      </c>
      <c r="H70">
        <v>0</v>
      </c>
      <c r="I70">
        <v>0</v>
      </c>
      <c r="K70" t="str">
        <v>Ceramics - Ceramics - General</v>
      </c>
      <c r="L70" s="322">
        <v>0</v>
      </c>
      <c r="M70" s="322">
        <v>0</v>
      </c>
      <c r="N70" s="322">
        <v>0</v>
      </c>
    </row>
    <row r="71" spans="1:14" x14ac:dyDescent="0.3">
      <c r="A71" t="s">
        <v>158</v>
      </c>
      <c r="B71" s="330">
        <f>SUMIF('Materials Calculations'!B:B,MaterialData32[[#This Row],[Material]],'Materials Calculations'!F:F)</f>
        <v>0</v>
      </c>
      <c r="C71" s="330">
        <f>SUMIF('Materials Calculations'!B:B,MaterialData32[[#This Row],[Material]],'Materials Calculations'!H:H)</f>
        <v>0</v>
      </c>
      <c r="D71" s="330">
        <f>SUMIF('Materials Calculations'!B:B,MaterialData32[[#This Row],[Material]],'Materials Calculations'!AI:AI)</f>
        <v>0</v>
      </c>
      <c r="F71" t="str">
        <v xml:space="preserve">Ceramics - Ceramics - Sanitary Products </v>
      </c>
      <c r="G71">
        <v>0</v>
      </c>
      <c r="H71">
        <v>0</v>
      </c>
      <c r="I71">
        <v>0</v>
      </c>
      <c r="K71" t="str">
        <v>Ceramics - Ceramics - Fittings</v>
      </c>
      <c r="L71" s="322">
        <v>0</v>
      </c>
      <c r="M71" s="322">
        <v>0</v>
      </c>
      <c r="N71" s="322">
        <v>0</v>
      </c>
    </row>
    <row r="72" spans="1:14" x14ac:dyDescent="0.3">
      <c r="A72" t="s">
        <v>159</v>
      </c>
      <c r="B72" s="330">
        <f>SUMIF('Materials Calculations'!B:B,MaterialData32[[#This Row],[Material]],'Materials Calculations'!F:F)</f>
        <v>0</v>
      </c>
      <c r="C72" s="330">
        <f>SUMIF('Materials Calculations'!B:B,MaterialData32[[#This Row],[Material]],'Materials Calculations'!H:H)</f>
        <v>0</v>
      </c>
      <c r="D72" s="330">
        <f>SUMIF('Materials Calculations'!B:B,MaterialData32[[#This Row],[Material]],'Materials Calculations'!AI:AI)</f>
        <v>0</v>
      </c>
      <c r="F72" t="str">
        <v>Ceramics - Ceramics - Tiles and Cladding Panels</v>
      </c>
      <c r="G72">
        <v>0</v>
      </c>
      <c r="H72">
        <v>0</v>
      </c>
      <c r="I72">
        <v>0</v>
      </c>
      <c r="K72" t="str">
        <v xml:space="preserve">Ceramics - Ceramics - Sanitary Products </v>
      </c>
      <c r="L72" s="322">
        <v>0</v>
      </c>
      <c r="M72" s="322">
        <v>0</v>
      </c>
      <c r="N72" s="322">
        <v>0</v>
      </c>
    </row>
    <row r="73" spans="1:14" x14ac:dyDescent="0.3">
      <c r="A73" t="s">
        <v>161</v>
      </c>
      <c r="B73" s="330">
        <f>SUMIF('Materials Calculations'!B:B,MaterialData32[[#This Row],[Material]],'Materials Calculations'!F:F)</f>
        <v>0</v>
      </c>
      <c r="C73" s="330">
        <f>SUMIF('Materials Calculations'!B:B,MaterialData32[[#This Row],[Material]],'Materials Calculations'!H:H)</f>
        <v>0</v>
      </c>
      <c r="D73" s="330">
        <f>SUMIF('Materials Calculations'!B:B,MaterialData32[[#This Row],[Material]],'Materials Calculations'!AI:AI)</f>
        <v>0</v>
      </c>
      <c r="F73" t="str">
        <v>Clay - Tile</v>
      </c>
      <c r="G73">
        <v>0</v>
      </c>
      <c r="H73">
        <v>0</v>
      </c>
      <c r="I73">
        <v>0</v>
      </c>
      <c r="K73" t="str">
        <v>Ceramics - Ceramics - Tiles and Cladding Panels</v>
      </c>
      <c r="L73" s="322">
        <v>0</v>
      </c>
      <c r="M73" s="322">
        <v>0</v>
      </c>
      <c r="N73" s="322">
        <v>0</v>
      </c>
    </row>
    <row r="74" spans="1:14" x14ac:dyDescent="0.3">
      <c r="A74" t="s">
        <v>162</v>
      </c>
      <c r="B74" s="330">
        <f>SUMIF('Materials Calculations'!B:B,MaterialData32[[#This Row],[Material]],'Materials Calculations'!F:F)</f>
        <v>0</v>
      </c>
      <c r="C74" s="330">
        <f>SUMIF('Materials Calculations'!B:B,MaterialData32[[#This Row],[Material]],'Materials Calculations'!H:H)</f>
        <v>0</v>
      </c>
      <c r="D74" s="330">
        <f>SUMIF('Materials Calculations'!B:B,MaterialData32[[#This Row],[Material]],'Materials Calculations'!AI:AI)</f>
        <v>0</v>
      </c>
      <c r="F74" t="str">
        <v>Clay - Vitrified clay pipe DN 100 &amp; DN 150</v>
      </c>
      <c r="G74">
        <v>0</v>
      </c>
      <c r="H74">
        <v>0</v>
      </c>
      <c r="I74">
        <v>0</v>
      </c>
      <c r="K74" t="str">
        <v>Clay - Tile</v>
      </c>
      <c r="L74" s="322">
        <v>0</v>
      </c>
      <c r="M74" s="322">
        <v>0</v>
      </c>
      <c r="N74" s="322">
        <v>0</v>
      </c>
    </row>
    <row r="75" spans="1:14" x14ac:dyDescent="0.3">
      <c r="A75" t="s">
        <v>163</v>
      </c>
      <c r="B75" s="330">
        <f>SUMIF('Materials Calculations'!B:B,MaterialData32[[#This Row],[Material]],'Materials Calculations'!F:F)</f>
        <v>0</v>
      </c>
      <c r="C75" s="330">
        <f>SUMIF('Materials Calculations'!B:B,MaterialData32[[#This Row],[Material]],'Materials Calculations'!H:H)</f>
        <v>0</v>
      </c>
      <c r="D75" s="330">
        <f>SUMIF('Materials Calculations'!B:B,MaterialData32[[#This Row],[Material]],'Materials Calculations'!AI:AI)</f>
        <v>0</v>
      </c>
      <c r="F75" t="str">
        <v>Clay - Vitrified clay pipe DN 200 &amp; DN 300</v>
      </c>
      <c r="G75">
        <v>0</v>
      </c>
      <c r="H75">
        <v>0</v>
      </c>
      <c r="I75">
        <v>0</v>
      </c>
      <c r="K75" t="str">
        <v>Clay - Vitrified clay pipe DN 100 &amp; DN 150</v>
      </c>
      <c r="L75" s="322">
        <v>0</v>
      </c>
      <c r="M75" s="322">
        <v>0</v>
      </c>
      <c r="N75" s="322">
        <v>0</v>
      </c>
    </row>
    <row r="76" spans="1:14" x14ac:dyDescent="0.3">
      <c r="A76" t="s">
        <v>164</v>
      </c>
      <c r="B76" s="330">
        <f>SUMIF('Materials Calculations'!B:B,MaterialData32[[#This Row],[Material]],'Materials Calculations'!F:F)</f>
        <v>0</v>
      </c>
      <c r="C76" s="330">
        <f>SUMIF('Materials Calculations'!B:B,MaterialData32[[#This Row],[Material]],'Materials Calculations'!H:H)</f>
        <v>0</v>
      </c>
      <c r="D76" s="330">
        <f>SUMIF('Materials Calculations'!B:B,MaterialData32[[#This Row],[Material]],'Materials Calculations'!AI:AI)</f>
        <v>0</v>
      </c>
      <c r="F76" t="str">
        <v>Clay - Vitrified clay pipe DN 500</v>
      </c>
      <c r="G76">
        <v>0</v>
      </c>
      <c r="H76">
        <v>0</v>
      </c>
      <c r="I76">
        <v>0</v>
      </c>
      <c r="K76" t="str">
        <v>Clay - Vitrified clay pipe DN 200 &amp; DN 300</v>
      </c>
      <c r="L76" s="322">
        <v>0</v>
      </c>
      <c r="M76" s="322">
        <v>0</v>
      </c>
      <c r="N76" s="322">
        <v>0</v>
      </c>
    </row>
    <row r="77" spans="1:14" x14ac:dyDescent="0.3">
      <c r="A77" t="s">
        <v>165</v>
      </c>
      <c r="B77" s="330">
        <f>SUMIF('Materials Calculations'!B:B,MaterialData32[[#This Row],[Material]],'Materials Calculations'!F:F)</f>
        <v>0</v>
      </c>
      <c r="C77" s="330">
        <f>SUMIF('Materials Calculations'!B:B,MaterialData32[[#This Row],[Material]],'Materials Calculations'!H:H)</f>
        <v>0</v>
      </c>
      <c r="D77" s="330">
        <f>SUMIF('Materials Calculations'!B:B,MaterialData32[[#This Row],[Material]],'Materials Calculations'!AI:AI)</f>
        <v>0</v>
      </c>
      <c r="F77" t="str">
        <v>Concrete - In-situ, GEN 0 (6/8 MPa)</v>
      </c>
      <c r="G77">
        <v>0</v>
      </c>
      <c r="H77">
        <v>0</v>
      </c>
      <c r="I77">
        <v>0</v>
      </c>
      <c r="K77" t="str">
        <v>Clay - Vitrified clay pipe DN 500</v>
      </c>
      <c r="L77" s="322">
        <v>0</v>
      </c>
      <c r="M77" s="322">
        <v>0</v>
      </c>
      <c r="N77" s="322">
        <v>0</v>
      </c>
    </row>
    <row r="78" spans="1:14" x14ac:dyDescent="0.3">
      <c r="A78" t="s">
        <v>166</v>
      </c>
      <c r="B78" s="330">
        <f>SUMIF('Materials Calculations'!B:B,MaterialData32[[#This Row],[Material]],'Materials Calculations'!F:F)</f>
        <v>0</v>
      </c>
      <c r="C78" s="330">
        <f>SUMIF('Materials Calculations'!B:B,MaterialData32[[#This Row],[Material]],'Materials Calculations'!H:H)</f>
        <v>0</v>
      </c>
      <c r="D78" s="330">
        <f>SUMIF('Materials Calculations'!B:B,MaterialData32[[#This Row],[Material]],'Materials Calculations'!AI:AI)</f>
        <v>0</v>
      </c>
      <c r="F78" t="str">
        <v xml:space="preserve">Concrete - In-situ, GEN 0 (6/8 MPa)  25%GGBS </v>
      </c>
      <c r="G78">
        <v>0</v>
      </c>
      <c r="H78">
        <v>0</v>
      </c>
      <c r="I78">
        <v>0</v>
      </c>
      <c r="K78" t="str">
        <v>Concrete - In-situ, GEN 0 (6/8 MPa)</v>
      </c>
      <c r="L78" s="322">
        <v>0</v>
      </c>
      <c r="M78" s="322">
        <v>0</v>
      </c>
      <c r="N78" s="322">
        <v>0</v>
      </c>
    </row>
    <row r="79" spans="1:14" x14ac:dyDescent="0.3">
      <c r="A79" t="s">
        <v>167</v>
      </c>
      <c r="B79" s="330">
        <f>SUMIF('Materials Calculations'!B:B,MaterialData32[[#This Row],[Material]],'Materials Calculations'!F:F)</f>
        <v>0</v>
      </c>
      <c r="C79" s="330">
        <f>SUMIF('Materials Calculations'!B:B,MaterialData32[[#This Row],[Material]],'Materials Calculations'!H:H)</f>
        <v>0</v>
      </c>
      <c r="D79" s="330">
        <f>SUMIF('Materials Calculations'!B:B,MaterialData32[[#This Row],[Material]],'Materials Calculations'!AI:AI)</f>
        <v>0</v>
      </c>
      <c r="F79" t="str">
        <v xml:space="preserve">Concrete - In-situ, GEN 0 (6/8 MPa)  50%GGBS </v>
      </c>
      <c r="G79">
        <v>0</v>
      </c>
      <c r="H79">
        <v>0</v>
      </c>
      <c r="I79">
        <v>0</v>
      </c>
      <c r="K79" t="str">
        <v xml:space="preserve">Concrete - In-situ, GEN 0 (6/8 MPa)  25%GGBS </v>
      </c>
      <c r="L79" s="322">
        <v>0</v>
      </c>
      <c r="M79" s="322">
        <v>0</v>
      </c>
      <c r="N79" s="322">
        <v>0</v>
      </c>
    </row>
    <row r="80" spans="1:14" x14ac:dyDescent="0.3">
      <c r="A80" t="s">
        <v>168</v>
      </c>
      <c r="B80" s="330">
        <f>SUMIF('Materials Calculations'!B:B,MaterialData32[[#This Row],[Material]],'Materials Calculations'!F:F)</f>
        <v>0</v>
      </c>
      <c r="C80" s="330">
        <f>SUMIF('Materials Calculations'!B:B,MaterialData32[[#This Row],[Material]],'Materials Calculations'!H:H)</f>
        <v>0</v>
      </c>
      <c r="D80" s="330">
        <f>SUMIF('Materials Calculations'!B:B,MaterialData32[[#This Row],[Material]],'Materials Calculations'!AI:AI)</f>
        <v>0</v>
      </c>
      <c r="F80" t="str">
        <v xml:space="preserve">Concrete - In-situ, GEN 0 (6/8 MPa) 70% GGBS </v>
      </c>
      <c r="G80">
        <v>0</v>
      </c>
      <c r="H80">
        <v>0</v>
      </c>
      <c r="I80">
        <v>0</v>
      </c>
      <c r="K80" t="str">
        <v xml:space="preserve">Concrete - In-situ, GEN 0 (6/8 MPa)  50%GGBS </v>
      </c>
      <c r="L80" s="322">
        <v>0</v>
      </c>
      <c r="M80" s="322">
        <v>0</v>
      </c>
      <c r="N80" s="322">
        <v>0</v>
      </c>
    </row>
    <row r="81" spans="1:14" x14ac:dyDescent="0.3">
      <c r="A81" t="s">
        <v>169</v>
      </c>
      <c r="B81" s="330">
        <f>SUMIF('Materials Calculations'!B:B,MaterialData32[[#This Row],[Material]],'Materials Calculations'!F:F)</f>
        <v>0</v>
      </c>
      <c r="C81" s="330">
        <f>SUMIF('Materials Calculations'!B:B,MaterialData32[[#This Row],[Material]],'Materials Calculations'!H:H)</f>
        <v>0</v>
      </c>
      <c r="D81" s="330">
        <f>SUMIF('Materials Calculations'!B:B,MaterialData32[[#This Row],[Material]],'Materials Calculations'!AI:AI)</f>
        <v>0</v>
      </c>
      <c r="F81" t="str">
        <v>Concrete - In-situ, GEN 1 (8/10 MPa)</v>
      </c>
      <c r="G81">
        <v>0</v>
      </c>
      <c r="H81">
        <v>0</v>
      </c>
      <c r="I81">
        <v>0</v>
      </c>
      <c r="K81" t="str">
        <v xml:space="preserve">Concrete - In-situ, GEN 0 (6/8 MPa) 70% GGBS </v>
      </c>
      <c r="L81" s="322">
        <v>0</v>
      </c>
      <c r="M81" s="322">
        <v>0</v>
      </c>
      <c r="N81" s="322">
        <v>0</v>
      </c>
    </row>
    <row r="82" spans="1:14" x14ac:dyDescent="0.3">
      <c r="A82" t="s">
        <v>170</v>
      </c>
      <c r="B82" s="330">
        <f>SUMIF('Materials Calculations'!B:B,MaterialData32[[#This Row],[Material]],'Materials Calculations'!F:F)</f>
        <v>0</v>
      </c>
      <c r="C82" s="330">
        <f>SUMIF('Materials Calculations'!B:B,MaterialData32[[#This Row],[Material]],'Materials Calculations'!H:H)</f>
        <v>0</v>
      </c>
      <c r="D82" s="330">
        <f>SUMIF('Materials Calculations'!B:B,MaterialData32[[#This Row],[Material]],'Materials Calculations'!AI:AI)</f>
        <v>0</v>
      </c>
      <c r="F82" t="str">
        <v xml:space="preserve">Concrete - In-situ, GEN 1 (8/10 MPa)  25%GGBS </v>
      </c>
      <c r="G82">
        <v>0</v>
      </c>
      <c r="H82">
        <v>0</v>
      </c>
      <c r="I82">
        <v>0</v>
      </c>
      <c r="K82" t="str">
        <v>Concrete - In-situ, GEN 1 (8/10 MPa)</v>
      </c>
      <c r="L82" s="322">
        <v>0</v>
      </c>
      <c r="M82" s="322">
        <v>0</v>
      </c>
      <c r="N82" s="322">
        <v>0</v>
      </c>
    </row>
    <row r="83" spans="1:14" x14ac:dyDescent="0.3">
      <c r="A83" t="s">
        <v>171</v>
      </c>
      <c r="B83" s="330">
        <f>SUMIF('Materials Calculations'!B:B,MaterialData32[[#This Row],[Material]],'Materials Calculations'!F:F)</f>
        <v>0</v>
      </c>
      <c r="C83" s="330">
        <f>SUMIF('Materials Calculations'!B:B,MaterialData32[[#This Row],[Material]],'Materials Calculations'!H:H)</f>
        <v>0</v>
      </c>
      <c r="D83" s="330">
        <f>SUMIF('Materials Calculations'!B:B,MaterialData32[[#This Row],[Material]],'Materials Calculations'!AI:AI)</f>
        <v>0</v>
      </c>
      <c r="F83" t="str">
        <v xml:space="preserve">Concrete - In-situ, GEN 1 (8/10 MPa)  50%GGBS </v>
      </c>
      <c r="G83">
        <v>0</v>
      </c>
      <c r="H83">
        <v>0</v>
      </c>
      <c r="I83">
        <v>0</v>
      </c>
      <c r="K83" t="str">
        <v xml:space="preserve">Concrete - In-situ, GEN 1 (8/10 MPa)  25%GGBS </v>
      </c>
      <c r="L83" s="322">
        <v>0</v>
      </c>
      <c r="M83" s="322">
        <v>0</v>
      </c>
      <c r="N83" s="322">
        <v>0</v>
      </c>
    </row>
    <row r="84" spans="1:14" x14ac:dyDescent="0.3">
      <c r="A84" t="s">
        <v>172</v>
      </c>
      <c r="B84" s="330">
        <f>SUMIF('Materials Calculations'!B:B,MaterialData32[[#This Row],[Material]],'Materials Calculations'!F:F)</f>
        <v>0</v>
      </c>
      <c r="C84" s="330">
        <f>SUMIF('Materials Calculations'!B:B,MaterialData32[[#This Row],[Material]],'Materials Calculations'!H:H)</f>
        <v>0</v>
      </c>
      <c r="D84" s="330">
        <f>SUMIF('Materials Calculations'!B:B,MaterialData32[[#This Row],[Material]],'Materials Calculations'!AI:AI)</f>
        <v>0</v>
      </c>
      <c r="F84" t="str">
        <v xml:space="preserve">Concrete - In-situ, GEN 1 (8/10 MPa) 70% GGBS </v>
      </c>
      <c r="G84">
        <v>0</v>
      </c>
      <c r="H84">
        <v>0</v>
      </c>
      <c r="I84">
        <v>0</v>
      </c>
      <c r="K84" t="str">
        <v xml:space="preserve">Concrete - In-situ, GEN 1 (8/10 MPa)  50%GGBS </v>
      </c>
      <c r="L84" s="322">
        <v>0</v>
      </c>
      <c r="M84" s="322">
        <v>0</v>
      </c>
      <c r="N84" s="322">
        <v>0</v>
      </c>
    </row>
    <row r="85" spans="1:14" x14ac:dyDescent="0.3">
      <c r="A85" t="s">
        <v>173</v>
      </c>
      <c r="B85" s="330">
        <f>SUMIF('Materials Calculations'!B:B,MaterialData32[[#This Row],[Material]],'Materials Calculations'!F:F)</f>
        <v>0</v>
      </c>
      <c r="C85" s="330">
        <f>SUMIF('Materials Calculations'!B:B,MaterialData32[[#This Row],[Material]],'Materials Calculations'!H:H)</f>
        <v>0</v>
      </c>
      <c r="D85" s="330">
        <f>SUMIF('Materials Calculations'!B:B,MaterialData32[[#This Row],[Material]],'Materials Calculations'!AI:AI)</f>
        <v>0</v>
      </c>
      <c r="F85" t="str">
        <v>Concrete - In-situ, GEN 2 (12/15 MPa)</v>
      </c>
      <c r="G85">
        <v>0</v>
      </c>
      <c r="H85">
        <v>0</v>
      </c>
      <c r="I85">
        <v>0</v>
      </c>
      <c r="K85" t="str">
        <v xml:space="preserve">Concrete - In-situ, GEN 1 (8/10 MPa) 70% GGBS </v>
      </c>
      <c r="L85" s="322">
        <v>0</v>
      </c>
      <c r="M85" s="322">
        <v>0</v>
      </c>
      <c r="N85" s="322">
        <v>0</v>
      </c>
    </row>
    <row r="86" spans="1:14" x14ac:dyDescent="0.3">
      <c r="A86" t="s">
        <v>174</v>
      </c>
      <c r="B86" s="330">
        <f>SUMIF('Materials Calculations'!B:B,MaterialData32[[#This Row],[Material]],'Materials Calculations'!F:F)</f>
        <v>0</v>
      </c>
      <c r="C86" s="330">
        <f>SUMIF('Materials Calculations'!B:B,MaterialData32[[#This Row],[Material]],'Materials Calculations'!H:H)</f>
        <v>0</v>
      </c>
      <c r="D86" s="330">
        <f>SUMIF('Materials Calculations'!B:B,MaterialData32[[#This Row],[Material]],'Materials Calculations'!AI:AI)</f>
        <v>0</v>
      </c>
      <c r="F86" t="str">
        <v xml:space="preserve">Concrete - In-situ, GEN 2 (12/15 MPa) 25%GGBS </v>
      </c>
      <c r="G86">
        <v>0</v>
      </c>
      <c r="H86">
        <v>0</v>
      </c>
      <c r="I86">
        <v>0</v>
      </c>
      <c r="K86" t="str">
        <v>Concrete - In-situ, GEN 2 (12/15 MPa)</v>
      </c>
      <c r="L86" s="322">
        <v>0</v>
      </c>
      <c r="M86" s="322">
        <v>0</v>
      </c>
      <c r="N86" s="322">
        <v>0</v>
      </c>
    </row>
    <row r="87" spans="1:14" x14ac:dyDescent="0.3">
      <c r="A87" t="s">
        <v>175</v>
      </c>
      <c r="B87" s="330">
        <f>SUMIF('Materials Calculations'!B:B,MaterialData32[[#This Row],[Material]],'Materials Calculations'!F:F)</f>
        <v>0</v>
      </c>
      <c r="C87" s="330">
        <f>SUMIF('Materials Calculations'!B:B,MaterialData32[[#This Row],[Material]],'Materials Calculations'!H:H)</f>
        <v>0</v>
      </c>
      <c r="D87" s="330">
        <f>SUMIF('Materials Calculations'!B:B,MaterialData32[[#This Row],[Material]],'Materials Calculations'!AI:AI)</f>
        <v>0</v>
      </c>
      <c r="F87" t="str">
        <v xml:space="preserve">Concrete - In-situ, GEN 2 (12/15 MPa)  50%GGBS </v>
      </c>
      <c r="G87">
        <v>0</v>
      </c>
      <c r="H87">
        <v>0</v>
      </c>
      <c r="I87">
        <v>0</v>
      </c>
      <c r="K87" t="str">
        <v xml:space="preserve">Concrete - In-situ, GEN 2 (12/15 MPa) 25%GGBS </v>
      </c>
      <c r="L87" s="322">
        <v>0</v>
      </c>
      <c r="M87" s="322">
        <v>0</v>
      </c>
      <c r="N87" s="322">
        <v>0</v>
      </c>
    </row>
    <row r="88" spans="1:14" x14ac:dyDescent="0.3">
      <c r="A88" t="s">
        <v>176</v>
      </c>
      <c r="B88" s="330">
        <f>SUMIF('Materials Calculations'!B:B,MaterialData32[[#This Row],[Material]],'Materials Calculations'!F:F)</f>
        <v>0</v>
      </c>
      <c r="C88" s="330">
        <f>SUMIF('Materials Calculations'!B:B,MaterialData32[[#This Row],[Material]],'Materials Calculations'!H:H)</f>
        <v>0</v>
      </c>
      <c r="D88" s="330">
        <f>SUMIF('Materials Calculations'!B:B,MaterialData32[[#This Row],[Material]],'Materials Calculations'!AI:AI)</f>
        <v>0</v>
      </c>
      <c r="F88" t="str">
        <v xml:space="preserve">Concrete - In-situ, GEN 2 (12/15 MPa) 70% GGBS </v>
      </c>
      <c r="G88">
        <v>0</v>
      </c>
      <c r="H88">
        <v>0</v>
      </c>
      <c r="I88">
        <v>0</v>
      </c>
      <c r="K88" t="str">
        <v xml:space="preserve">Concrete - In-situ, GEN 2 (12/15 MPa)  50%GGBS </v>
      </c>
      <c r="L88" s="322">
        <v>0</v>
      </c>
      <c r="M88" s="322">
        <v>0</v>
      </c>
      <c r="N88" s="322">
        <v>0</v>
      </c>
    </row>
    <row r="89" spans="1:14" x14ac:dyDescent="0.3">
      <c r="A89" t="s">
        <v>178</v>
      </c>
      <c r="B89" s="330">
        <f>SUMIF('Materials Calculations'!B:B,MaterialData32[[#This Row],[Material]],'Materials Calculations'!F:F)</f>
        <v>0</v>
      </c>
      <c r="C89" s="330">
        <f>SUMIF('Materials Calculations'!B:B,MaterialData32[[#This Row],[Material]],'Materials Calculations'!H:H)</f>
        <v>0</v>
      </c>
      <c r="D89" s="330">
        <f>SUMIF('Materials Calculations'!B:B,MaterialData32[[#This Row],[Material]],'Materials Calculations'!AI:AI)</f>
        <v>0</v>
      </c>
      <c r="F89" t="str">
        <v xml:space="preserve">Concrete - In-situ, GEN 3 (16/20 M Pa) 25%GGBS </v>
      </c>
      <c r="G89">
        <v>0</v>
      </c>
      <c r="H89">
        <v>0</v>
      </c>
      <c r="I89">
        <v>0</v>
      </c>
      <c r="K89" t="str">
        <v xml:space="preserve">Concrete - In-situ, GEN 2 (12/15 MPa) 70% GGBS </v>
      </c>
      <c r="L89" s="322">
        <v>0</v>
      </c>
      <c r="M89" s="322">
        <v>0</v>
      </c>
      <c r="N89" s="322">
        <v>0</v>
      </c>
    </row>
    <row r="90" spans="1:14" x14ac:dyDescent="0.3">
      <c r="A90" t="s">
        <v>179</v>
      </c>
      <c r="B90" s="330">
        <f>SUMIF('Materials Calculations'!B:B,MaterialData32[[#This Row],[Material]],'Materials Calculations'!F:F)</f>
        <v>0</v>
      </c>
      <c r="C90" s="330">
        <f>SUMIF('Materials Calculations'!B:B,MaterialData32[[#This Row],[Material]],'Materials Calculations'!H:H)</f>
        <v>0</v>
      </c>
      <c r="D90" s="330">
        <f>SUMIF('Materials Calculations'!B:B,MaterialData32[[#This Row],[Material]],'Materials Calculations'!AI:AI)</f>
        <v>0</v>
      </c>
      <c r="F90" t="str">
        <v xml:space="preserve">Concrete - In-situ, GEN 3 (16/20 MPa)  50%GGBS </v>
      </c>
      <c r="G90">
        <v>0</v>
      </c>
      <c r="H90">
        <v>0</v>
      </c>
      <c r="I90">
        <v>0</v>
      </c>
      <c r="K90" t="str">
        <v xml:space="preserve">Concrete - In-situ, GEN 3 (16/20 M Pa) 25%GGBS </v>
      </c>
      <c r="L90" s="322">
        <v>0</v>
      </c>
      <c r="M90" s="322">
        <v>0</v>
      </c>
      <c r="N90" s="322">
        <v>0</v>
      </c>
    </row>
    <row r="91" spans="1:14" x14ac:dyDescent="0.3">
      <c r="A91" t="s">
        <v>180</v>
      </c>
      <c r="B91" s="330">
        <f>SUMIF('Materials Calculations'!B:B,MaterialData32[[#This Row],[Material]],'Materials Calculations'!F:F)</f>
        <v>0</v>
      </c>
      <c r="C91" s="330">
        <f>SUMIF('Materials Calculations'!B:B,MaterialData32[[#This Row],[Material]],'Materials Calculations'!H:H)</f>
        <v>0</v>
      </c>
      <c r="D91" s="330">
        <f>SUMIF('Materials Calculations'!B:B,MaterialData32[[#This Row],[Material]],'Materials Calculations'!AI:AI)</f>
        <v>0</v>
      </c>
      <c r="F91" t="str">
        <v xml:space="preserve">Concrete - In-situ, GEN 3 (16/20 MPa) 70% GGBS </v>
      </c>
      <c r="G91">
        <v>0</v>
      </c>
      <c r="H91">
        <v>0</v>
      </c>
      <c r="I91">
        <v>0</v>
      </c>
      <c r="K91" t="str">
        <v xml:space="preserve">Concrete - In-situ, GEN 3 (16/20 MPa)  50%GGBS </v>
      </c>
      <c r="L91" s="322">
        <v>0</v>
      </c>
      <c r="M91" s="322">
        <v>0</v>
      </c>
      <c r="N91" s="322">
        <v>0</v>
      </c>
    </row>
    <row r="92" spans="1:14" x14ac:dyDescent="0.3">
      <c r="A92" t="s">
        <v>181</v>
      </c>
      <c r="B92" s="330">
        <f>SUMIF('Materials Calculations'!B:B,MaterialData32[[#This Row],[Material]],'Materials Calculations'!F:F)</f>
        <v>0</v>
      </c>
      <c r="C92" s="330">
        <f>SUMIF('Materials Calculations'!B:B,MaterialData32[[#This Row],[Material]],'Materials Calculations'!H:H)</f>
        <v>0</v>
      </c>
      <c r="D92" s="330">
        <f>SUMIF('Materials Calculations'!B:B,MaterialData32[[#This Row],[Material]],'Materials Calculations'!AI:AI)</f>
        <v>0</v>
      </c>
      <c r="F92" t="str">
        <v>Concrete - In-situ, 20/25 MPa</v>
      </c>
      <c r="G92">
        <v>0</v>
      </c>
      <c r="H92">
        <v>0</v>
      </c>
      <c r="I92">
        <v>0</v>
      </c>
      <c r="K92" t="str">
        <v xml:space="preserve">Concrete - In-situ, GEN 3 (16/20 MPa) 70% GGBS </v>
      </c>
      <c r="L92" s="322">
        <v>0</v>
      </c>
      <c r="M92" s="322">
        <v>0</v>
      </c>
      <c r="N92" s="322">
        <v>0</v>
      </c>
    </row>
    <row r="93" spans="1:14" x14ac:dyDescent="0.3">
      <c r="A93" t="s">
        <v>183</v>
      </c>
      <c r="B93" s="330">
        <f>SUMIF('Materials Calculations'!B:B,MaterialData32[[#This Row],[Material]],'Materials Calculations'!F:F)</f>
        <v>0</v>
      </c>
      <c r="C93" s="330">
        <f>SUMIF('Materials Calculations'!B:B,MaterialData32[[#This Row],[Material]],'Materials Calculations'!H:H)</f>
        <v>0</v>
      </c>
      <c r="D93" s="330">
        <f>SUMIF('Materials Calculations'!B:B,MaterialData32[[#This Row],[Material]],'Materials Calculations'!AI:AI)</f>
        <v>0</v>
      </c>
      <c r="F93" t="str">
        <v>Concrete - In-situ, 28/35 MPa</v>
      </c>
      <c r="G93">
        <v>0</v>
      </c>
      <c r="H93">
        <v>0</v>
      </c>
      <c r="I93">
        <v>0</v>
      </c>
      <c r="K93" t="str">
        <v>Concrete - In-situ, 20/25 MPa</v>
      </c>
      <c r="L93" s="322">
        <v>0</v>
      </c>
      <c r="M93" s="322">
        <v>0</v>
      </c>
      <c r="N93" s="322">
        <v>0</v>
      </c>
    </row>
    <row r="94" spans="1:14" x14ac:dyDescent="0.3">
      <c r="A94" t="s">
        <v>184</v>
      </c>
      <c r="B94" s="330">
        <f>SUMIF('Materials Calculations'!B:B,MaterialData32[[#This Row],[Material]],'Materials Calculations'!F:F)</f>
        <v>0</v>
      </c>
      <c r="C94" s="330">
        <f>SUMIF('Materials Calculations'!B:B,MaterialData32[[#This Row],[Material]],'Materials Calculations'!H:H)</f>
        <v>0</v>
      </c>
      <c r="D94" s="330">
        <f>SUMIF('Materials Calculations'!B:B,MaterialData32[[#This Row],[Material]],'Materials Calculations'!AI:AI)</f>
        <v>0</v>
      </c>
      <c r="F94" t="str">
        <v>Concrete - In-situ, 32/40 MPa</v>
      </c>
      <c r="G94">
        <v>0</v>
      </c>
      <c r="H94">
        <v>0</v>
      </c>
      <c r="I94">
        <v>0</v>
      </c>
      <c r="K94" t="str">
        <v>Concrete - In-situ, 28/35 MPa</v>
      </c>
      <c r="L94" s="322">
        <v>0</v>
      </c>
      <c r="M94" s="322">
        <v>0</v>
      </c>
      <c r="N94" s="322">
        <v>0</v>
      </c>
    </row>
    <row r="95" spans="1:14" x14ac:dyDescent="0.3">
      <c r="A95" t="s">
        <v>187</v>
      </c>
      <c r="B95" s="330">
        <f>SUMIF('Materials Calculations'!B:B,MaterialData32[[#This Row],[Material]],'Materials Calculations'!F:F)</f>
        <v>0</v>
      </c>
      <c r="C95" s="330">
        <f>SUMIF('Materials Calculations'!B:B,MaterialData32[[#This Row],[Material]],'Materials Calculations'!H:H)</f>
        <v>0</v>
      </c>
      <c r="D95" s="330">
        <f>SUMIF('Materials Calculations'!B:B,MaterialData32[[#This Row],[Material]],'Materials Calculations'!AI:AI)</f>
        <v>0</v>
      </c>
      <c r="F95" t="str">
        <v>Concrete - In-situ, PAV1</v>
      </c>
      <c r="G95">
        <v>0</v>
      </c>
      <c r="H95">
        <v>0</v>
      </c>
      <c r="I95">
        <v>0</v>
      </c>
      <c r="K95" t="str">
        <v>Concrete - In-situ, 32/40 MPa</v>
      </c>
      <c r="L95" s="322">
        <v>0</v>
      </c>
      <c r="M95" s="322">
        <v>0</v>
      </c>
      <c r="N95" s="322">
        <v>0</v>
      </c>
    </row>
    <row r="96" spans="1:14" x14ac:dyDescent="0.3">
      <c r="A96" t="s">
        <v>188</v>
      </c>
      <c r="B96" s="330">
        <f>SUMIF('Materials Calculations'!B:B,MaterialData32[[#This Row],[Material]],'Materials Calculations'!F:F)</f>
        <v>0</v>
      </c>
      <c r="C96" s="330">
        <f>SUMIF('Materials Calculations'!B:B,MaterialData32[[#This Row],[Material]],'Materials Calculations'!H:H)</f>
        <v>0</v>
      </c>
      <c r="D96" s="330">
        <f>SUMIF('Materials Calculations'!B:B,MaterialData32[[#This Row],[Material]],'Materials Calculations'!AI:AI)</f>
        <v>0</v>
      </c>
      <c r="F96" t="str">
        <v xml:space="preserve">Concrete - In-situ, PAV1  25%GGBS </v>
      </c>
      <c r="G96">
        <v>0</v>
      </c>
      <c r="H96">
        <v>0</v>
      </c>
      <c r="I96">
        <v>0</v>
      </c>
      <c r="K96" t="str">
        <v>Concrete - In-situ, PAV1</v>
      </c>
      <c r="L96" s="322">
        <v>0</v>
      </c>
      <c r="M96" s="322">
        <v>0</v>
      </c>
      <c r="N96" s="322">
        <v>0</v>
      </c>
    </row>
    <row r="97" spans="1:14" x14ac:dyDescent="0.3">
      <c r="A97" t="s">
        <v>189</v>
      </c>
      <c r="B97" s="330">
        <f>SUMIF('Materials Calculations'!B:B,MaterialData32[[#This Row],[Material]],'Materials Calculations'!F:F)</f>
        <v>0</v>
      </c>
      <c r="C97" s="330">
        <f>SUMIF('Materials Calculations'!B:B,MaterialData32[[#This Row],[Material]],'Materials Calculations'!H:H)</f>
        <v>0</v>
      </c>
      <c r="D97" s="330">
        <f>SUMIF('Materials Calculations'!B:B,MaterialData32[[#This Row],[Material]],'Materials Calculations'!AI:AI)</f>
        <v>0</v>
      </c>
      <c r="F97" t="str">
        <v xml:space="preserve">Concrete - In-situ, PAV1 50%GGBS </v>
      </c>
      <c r="G97">
        <v>0</v>
      </c>
      <c r="H97">
        <v>0</v>
      </c>
      <c r="I97">
        <v>0</v>
      </c>
      <c r="K97" t="str">
        <v xml:space="preserve">Concrete - In-situ, PAV1  25%GGBS </v>
      </c>
      <c r="L97" s="322">
        <v>0</v>
      </c>
      <c r="M97" s="322">
        <v>0</v>
      </c>
      <c r="N97" s="322">
        <v>0</v>
      </c>
    </row>
    <row r="98" spans="1:14" x14ac:dyDescent="0.3">
      <c r="A98" t="s">
        <v>190</v>
      </c>
      <c r="B98" s="330">
        <f>SUMIF('Materials Calculations'!B:B,MaterialData32[[#This Row],[Material]],'Materials Calculations'!F:F)</f>
        <v>0</v>
      </c>
      <c r="C98" s="330">
        <f>SUMIF('Materials Calculations'!B:B,MaterialData32[[#This Row],[Material]],'Materials Calculations'!H:H)</f>
        <v>0</v>
      </c>
      <c r="D98" s="330">
        <f>SUMIF('Materials Calculations'!B:B,MaterialData32[[#This Row],[Material]],'Materials Calculations'!AI:AI)</f>
        <v>0</v>
      </c>
      <c r="F98" t="str">
        <v xml:space="preserve">Concrete - In-situ, PAV1  70% GGBS </v>
      </c>
      <c r="G98">
        <v>0</v>
      </c>
      <c r="H98">
        <v>0</v>
      </c>
      <c r="I98">
        <v>0</v>
      </c>
      <c r="K98" t="str">
        <v xml:space="preserve">Concrete - In-situ, PAV1 50%GGBS </v>
      </c>
      <c r="L98" s="322">
        <v>0</v>
      </c>
      <c r="M98" s="322">
        <v>0</v>
      </c>
      <c r="N98" s="322">
        <v>0</v>
      </c>
    </row>
    <row r="99" spans="1:14" x14ac:dyDescent="0.3">
      <c r="A99" t="s">
        <v>191</v>
      </c>
      <c r="B99" s="330">
        <f>SUMIF('Materials Calculations'!B:B,MaterialData32[[#This Row],[Material]],'Materials Calculations'!F:F)</f>
        <v>0</v>
      </c>
      <c r="C99" s="330">
        <f>SUMIF('Materials Calculations'!B:B,MaterialData32[[#This Row],[Material]],'Materials Calculations'!H:H)</f>
        <v>0</v>
      </c>
      <c r="D99" s="330">
        <f>SUMIF('Materials Calculations'!B:B,MaterialData32[[#This Row],[Material]],'Materials Calculations'!AI:AI)</f>
        <v>0</v>
      </c>
      <c r="F99" t="str">
        <v>Concrete - In-situ, PAV2</v>
      </c>
      <c r="G99">
        <v>0</v>
      </c>
      <c r="H99">
        <v>0</v>
      </c>
      <c r="I99">
        <v>0</v>
      </c>
      <c r="K99" t="str">
        <v xml:space="preserve">Concrete - In-situ, PAV1  70% GGBS </v>
      </c>
      <c r="L99" s="322">
        <v>0</v>
      </c>
      <c r="M99" s="322">
        <v>0</v>
      </c>
      <c r="N99" s="322">
        <v>0</v>
      </c>
    </row>
    <row r="100" spans="1:14" x14ac:dyDescent="0.3">
      <c r="A100" t="s">
        <v>192</v>
      </c>
      <c r="B100" s="330">
        <f>SUMIF('Materials Calculations'!B:B,MaterialData32[[#This Row],[Material]],'Materials Calculations'!F:F)</f>
        <v>0</v>
      </c>
      <c r="C100" s="330">
        <f>SUMIF('Materials Calculations'!B:B,MaterialData32[[#This Row],[Material]],'Materials Calculations'!H:H)</f>
        <v>0</v>
      </c>
      <c r="D100" s="330">
        <f>SUMIF('Materials Calculations'!B:B,MaterialData32[[#This Row],[Material]],'Materials Calculations'!AI:AI)</f>
        <v>0</v>
      </c>
      <c r="F100" t="str">
        <v xml:space="preserve">Concrete - In-situ, PAV2  25%GGBS </v>
      </c>
      <c r="G100">
        <v>0</v>
      </c>
      <c r="H100">
        <v>0</v>
      </c>
      <c r="I100">
        <v>0</v>
      </c>
      <c r="K100" t="str">
        <v>Concrete - In-situ, PAV2</v>
      </c>
      <c r="L100" s="322">
        <v>0</v>
      </c>
      <c r="M100" s="322">
        <v>0</v>
      </c>
      <c r="N100" s="322">
        <v>0</v>
      </c>
    </row>
    <row r="101" spans="1:14" x14ac:dyDescent="0.3">
      <c r="A101" t="s">
        <v>193</v>
      </c>
      <c r="B101" s="330">
        <f>SUMIF('Materials Calculations'!B:B,MaterialData32[[#This Row],[Material]],'Materials Calculations'!F:F)</f>
        <v>0</v>
      </c>
      <c r="C101" s="330">
        <f>SUMIF('Materials Calculations'!B:B,MaterialData32[[#This Row],[Material]],'Materials Calculations'!H:H)</f>
        <v>0</v>
      </c>
      <c r="D101" s="330">
        <f>SUMIF('Materials Calculations'!B:B,MaterialData32[[#This Row],[Material]],'Materials Calculations'!AI:AI)</f>
        <v>0</v>
      </c>
      <c r="F101" t="str">
        <v>Concrete - In-situ, PAV2 50%GGBS</v>
      </c>
      <c r="G101">
        <v>0</v>
      </c>
      <c r="H101">
        <v>0</v>
      </c>
      <c r="I101">
        <v>0</v>
      </c>
      <c r="K101" t="str">
        <v xml:space="preserve">Concrete - In-situ, PAV2  25%GGBS </v>
      </c>
      <c r="L101" s="322">
        <v>0</v>
      </c>
      <c r="M101" s="322">
        <v>0</v>
      </c>
      <c r="N101" s="322">
        <v>0</v>
      </c>
    </row>
    <row r="102" spans="1:14" x14ac:dyDescent="0.3">
      <c r="A102" t="s">
        <v>194</v>
      </c>
      <c r="B102" s="330">
        <f>SUMIF('Materials Calculations'!B:B,MaterialData32[[#This Row],[Material]],'Materials Calculations'!F:F)</f>
        <v>0</v>
      </c>
      <c r="C102" s="330">
        <f>SUMIF('Materials Calculations'!B:B,MaterialData32[[#This Row],[Material]],'Materials Calculations'!H:H)</f>
        <v>0</v>
      </c>
      <c r="D102" s="330">
        <f>SUMIF('Materials Calculations'!B:B,MaterialData32[[#This Row],[Material]],'Materials Calculations'!AI:AI)</f>
        <v>0</v>
      </c>
      <c r="F102" t="str">
        <v xml:space="preserve">Concrete - In-situ, PAV2  70% GGBS </v>
      </c>
      <c r="G102">
        <v>0</v>
      </c>
      <c r="H102">
        <v>0</v>
      </c>
      <c r="I102">
        <v>0</v>
      </c>
      <c r="K102" t="str">
        <v>Concrete - In-situ, PAV2 50%GGBS</v>
      </c>
      <c r="L102" s="322">
        <v>0</v>
      </c>
      <c r="M102" s="322">
        <v>0</v>
      </c>
      <c r="N102" s="322">
        <v>0</v>
      </c>
    </row>
    <row r="103" spans="1:14" x14ac:dyDescent="0.3">
      <c r="A103" t="s">
        <v>195</v>
      </c>
      <c r="B103" s="330">
        <f>SUMIF('Materials Calculations'!B:B,MaterialData32[[#This Row],[Material]],'Materials Calculations'!F:F)</f>
        <v>0</v>
      </c>
      <c r="C103" s="330">
        <f>SUMIF('Materials Calculations'!B:B,MaterialData32[[#This Row],[Material]],'Materials Calculations'!H:H)</f>
        <v>0</v>
      </c>
      <c r="D103" s="330">
        <f>SUMIF('Materials Calculations'!B:B,MaterialData32[[#This Row],[Material]],'Materials Calculations'!AI:AI)</f>
        <v>0</v>
      </c>
      <c r="F103" t="str">
        <v xml:space="preserve">Concrete - In-situ, RC 20/25 (20/25 MPa)  25%GGBS </v>
      </c>
      <c r="G103">
        <v>0</v>
      </c>
      <c r="H103">
        <v>0</v>
      </c>
      <c r="I103">
        <v>0</v>
      </c>
      <c r="K103" t="str">
        <v xml:space="preserve">Concrete - In-situ, PAV2  70% GGBS </v>
      </c>
      <c r="L103" s="322">
        <v>0</v>
      </c>
      <c r="M103" s="322">
        <v>0</v>
      </c>
      <c r="N103" s="322">
        <v>0</v>
      </c>
    </row>
    <row r="104" spans="1:14" x14ac:dyDescent="0.3">
      <c r="A104" t="s">
        <v>196</v>
      </c>
      <c r="B104" s="330">
        <f>SUMIF('Materials Calculations'!B:B,MaterialData32[[#This Row],[Material]],'Materials Calculations'!F:F)</f>
        <v>0</v>
      </c>
      <c r="C104" s="330">
        <f>SUMIF('Materials Calculations'!B:B,MaterialData32[[#This Row],[Material]],'Materials Calculations'!H:H)</f>
        <v>0</v>
      </c>
      <c r="D104" s="330">
        <f>SUMIF('Materials Calculations'!B:B,MaterialData32[[#This Row],[Material]],'Materials Calculations'!AI:AI)</f>
        <v>0</v>
      </c>
      <c r="F104" t="str">
        <v xml:space="preserve">Concrete - In-situ, RC 25/30 (25/30 MPa)  25%GGBS </v>
      </c>
      <c r="G104">
        <v>0</v>
      </c>
      <c r="H104">
        <v>0</v>
      </c>
      <c r="I104">
        <v>0</v>
      </c>
      <c r="K104" t="str">
        <v xml:space="preserve">Concrete - In-situ, RC 20/25 (20/25 MPa)  25%GGBS </v>
      </c>
      <c r="L104" s="322">
        <v>0</v>
      </c>
      <c r="M104" s="322">
        <v>0</v>
      </c>
      <c r="N104" s="322">
        <v>0</v>
      </c>
    </row>
    <row r="105" spans="1:14" x14ac:dyDescent="0.3">
      <c r="A105" t="s">
        <v>197</v>
      </c>
      <c r="B105" s="330">
        <f>SUMIF('Materials Calculations'!B:B,MaterialData32[[#This Row],[Material]],'Materials Calculations'!F:F)</f>
        <v>0</v>
      </c>
      <c r="C105" s="330">
        <f>SUMIF('Materials Calculations'!B:B,MaterialData32[[#This Row],[Material]],'Materials Calculations'!H:H)</f>
        <v>0</v>
      </c>
      <c r="D105" s="330">
        <f>SUMIF('Materials Calculations'!B:B,MaterialData32[[#This Row],[Material]],'Materials Calculations'!AI:AI)</f>
        <v>0</v>
      </c>
      <c r="F105" t="str">
        <v xml:space="preserve">Concrete - In-situ, RC 28/35 (28/35 MPa)  25%GGBS </v>
      </c>
      <c r="G105">
        <v>0</v>
      </c>
      <c r="H105">
        <v>0</v>
      </c>
      <c r="I105">
        <v>0</v>
      </c>
      <c r="K105" t="str">
        <v xml:space="preserve">Concrete - In-situ, RC 25/30 (25/30 MPa)  25%GGBS </v>
      </c>
      <c r="L105" s="322">
        <v>0</v>
      </c>
      <c r="M105" s="322">
        <v>0</v>
      </c>
      <c r="N105" s="322">
        <v>0</v>
      </c>
    </row>
    <row r="106" spans="1:14" x14ac:dyDescent="0.3">
      <c r="A106" t="s">
        <v>198</v>
      </c>
      <c r="B106" s="330">
        <f>SUMIF('Materials Calculations'!B:B,MaterialData32[[#This Row],[Material]],'Materials Calculations'!F:F)</f>
        <v>0</v>
      </c>
      <c r="C106" s="330">
        <f>SUMIF('Materials Calculations'!B:B,MaterialData32[[#This Row],[Material]],'Materials Calculations'!H:H)</f>
        <v>0</v>
      </c>
      <c r="D106" s="330">
        <f>SUMIF('Materials Calculations'!B:B,MaterialData32[[#This Row],[Material]],'Materials Calculations'!AI:AI)</f>
        <v>0</v>
      </c>
      <c r="F106" t="str">
        <v xml:space="preserve">Concrete - In-situ, RC 32/40 (32/40 MPa)  25%GGBS </v>
      </c>
      <c r="G106">
        <v>0</v>
      </c>
      <c r="H106">
        <v>0</v>
      </c>
      <c r="I106">
        <v>0</v>
      </c>
      <c r="K106" t="str">
        <v xml:space="preserve">Concrete - In-situ, RC 28/35 (28/35 MPa)  25%GGBS </v>
      </c>
      <c r="L106" s="322">
        <v>0</v>
      </c>
      <c r="M106" s="322">
        <v>0</v>
      </c>
      <c r="N106" s="322">
        <v>0</v>
      </c>
    </row>
    <row r="107" spans="1:14" x14ac:dyDescent="0.3">
      <c r="A107" t="s">
        <v>199</v>
      </c>
      <c r="B107" s="330">
        <f>SUMIF('Materials Calculations'!B:B,MaterialData32[[#This Row],[Material]],'Materials Calculations'!F:F)</f>
        <v>0</v>
      </c>
      <c r="C107" s="330">
        <f>SUMIF('Materials Calculations'!B:B,MaterialData32[[#This Row],[Material]],'Materials Calculations'!H:H)</f>
        <v>0</v>
      </c>
      <c r="D107" s="330">
        <f>SUMIF('Materials Calculations'!B:B,MaterialData32[[#This Row],[Material]],'Materials Calculations'!AI:AI)</f>
        <v>0</v>
      </c>
      <c r="F107" t="str">
        <v xml:space="preserve">Concrete - In-situ, RC 35/45 (35/45 MPa)  25%GGBS </v>
      </c>
      <c r="G107">
        <v>0</v>
      </c>
      <c r="H107">
        <v>0</v>
      </c>
      <c r="I107">
        <v>0</v>
      </c>
      <c r="K107" t="str">
        <v xml:space="preserve">Concrete - In-situ, RC 32/40 (32/40 MPa)  25%GGBS </v>
      </c>
      <c r="L107" s="322">
        <v>0</v>
      </c>
      <c r="M107" s="322">
        <v>0</v>
      </c>
      <c r="N107" s="322">
        <v>0</v>
      </c>
    </row>
    <row r="108" spans="1:14" x14ac:dyDescent="0.3">
      <c r="A108" t="s">
        <v>200</v>
      </c>
      <c r="B108" s="330">
        <f>SUMIF('Materials Calculations'!B:B,MaterialData32[[#This Row],[Material]],'Materials Calculations'!F:F)</f>
        <v>0</v>
      </c>
      <c r="C108" s="330">
        <f>SUMIF('Materials Calculations'!B:B,MaterialData32[[#This Row],[Material]],'Materials Calculations'!H:H)</f>
        <v>0</v>
      </c>
      <c r="D108" s="330">
        <f>SUMIF('Materials Calculations'!B:B,MaterialData32[[#This Row],[Material]],'Materials Calculations'!AI:AI)</f>
        <v>0</v>
      </c>
      <c r="F108" t="str">
        <v xml:space="preserve">Concrete - In-situ, RC 40/50 (40/50 MPa)  25%GGBS </v>
      </c>
      <c r="G108">
        <v>0</v>
      </c>
      <c r="H108">
        <v>0</v>
      </c>
      <c r="I108">
        <v>0</v>
      </c>
      <c r="K108" t="str">
        <v xml:space="preserve">Concrete - In-situ, RC 35/45 (35/45 MPa)  25%GGBS </v>
      </c>
      <c r="L108" s="322">
        <v>0</v>
      </c>
      <c r="M108" s="322">
        <v>0</v>
      </c>
      <c r="N108" s="322">
        <v>0</v>
      </c>
    </row>
    <row r="109" spans="1:14" x14ac:dyDescent="0.3">
      <c r="A109" t="s">
        <v>201</v>
      </c>
      <c r="B109" s="330">
        <f>SUMIF('Materials Calculations'!B:B,MaterialData32[[#This Row],[Material]],'Materials Calculations'!F:F)</f>
        <v>0</v>
      </c>
      <c r="C109" s="330">
        <f>SUMIF('Materials Calculations'!B:B,MaterialData32[[#This Row],[Material]],'Materials Calculations'!H:H)</f>
        <v>0</v>
      </c>
      <c r="D109" s="330">
        <f>SUMIF('Materials Calculations'!B:B,MaterialData32[[#This Row],[Material]],'Materials Calculations'!AI:AI)</f>
        <v>0</v>
      </c>
      <c r="F109" t="str">
        <v xml:space="preserve">Concrete - In-situ, RC 20/25 (20/25 MPa)  50%GGBS </v>
      </c>
      <c r="G109">
        <v>0</v>
      </c>
      <c r="H109">
        <v>0</v>
      </c>
      <c r="I109">
        <v>0</v>
      </c>
      <c r="K109" t="str">
        <v xml:space="preserve">Concrete - In-situ, RC 40/50 (40/50 MPa)  25%GGBS </v>
      </c>
      <c r="L109" s="322">
        <v>0</v>
      </c>
      <c r="M109" s="322">
        <v>0</v>
      </c>
      <c r="N109" s="322">
        <v>0</v>
      </c>
    </row>
    <row r="110" spans="1:14" x14ac:dyDescent="0.3">
      <c r="A110" t="s">
        <v>202</v>
      </c>
      <c r="B110" s="330">
        <f>SUMIF('Materials Calculations'!B:B,MaterialData32[[#This Row],[Material]],'Materials Calculations'!F:F)</f>
        <v>0</v>
      </c>
      <c r="C110" s="330">
        <f>SUMIF('Materials Calculations'!B:B,MaterialData32[[#This Row],[Material]],'Materials Calculations'!H:H)</f>
        <v>0</v>
      </c>
      <c r="D110" s="330">
        <f>SUMIF('Materials Calculations'!B:B,MaterialData32[[#This Row],[Material]],'Materials Calculations'!AI:AI)</f>
        <v>0</v>
      </c>
      <c r="F110" t="str">
        <v xml:space="preserve">Concrete - In-situ, RC 25/30 (25/30 MPa)  50%GGBS </v>
      </c>
      <c r="G110">
        <v>0</v>
      </c>
      <c r="H110">
        <v>0</v>
      </c>
      <c r="I110">
        <v>0</v>
      </c>
      <c r="K110" t="str">
        <v xml:space="preserve">Concrete - In-situ, RC 20/25 (20/25 MPa)  50%GGBS </v>
      </c>
      <c r="L110" s="322">
        <v>0</v>
      </c>
      <c r="M110" s="322">
        <v>0</v>
      </c>
      <c r="N110" s="322">
        <v>0</v>
      </c>
    </row>
    <row r="111" spans="1:14" x14ac:dyDescent="0.3">
      <c r="A111" t="s">
        <v>203</v>
      </c>
      <c r="B111" s="330">
        <f>SUMIF('Materials Calculations'!B:B,MaterialData32[[#This Row],[Material]],'Materials Calculations'!F:F)</f>
        <v>0</v>
      </c>
      <c r="C111" s="330">
        <f>SUMIF('Materials Calculations'!B:B,MaterialData32[[#This Row],[Material]],'Materials Calculations'!H:H)</f>
        <v>0</v>
      </c>
      <c r="D111" s="330">
        <f>SUMIF('Materials Calculations'!B:B,MaterialData32[[#This Row],[Material]],'Materials Calculations'!AI:AI)</f>
        <v>0</v>
      </c>
      <c r="F111" t="str">
        <v xml:space="preserve">Concrete - In-situ, RC 28/35 (28/35 MPa)  50%GGBS </v>
      </c>
      <c r="G111">
        <v>0</v>
      </c>
      <c r="H111">
        <v>0</v>
      </c>
      <c r="I111">
        <v>0</v>
      </c>
      <c r="K111" t="str">
        <v xml:space="preserve">Concrete - In-situ, RC 25/30 (25/30 MPa)  50%GGBS </v>
      </c>
      <c r="L111" s="322">
        <v>0</v>
      </c>
      <c r="M111" s="322">
        <v>0</v>
      </c>
      <c r="N111" s="322">
        <v>0</v>
      </c>
    </row>
    <row r="112" spans="1:14" x14ac:dyDescent="0.3">
      <c r="A112" t="s">
        <v>204</v>
      </c>
      <c r="B112" s="330">
        <f>SUMIF('Materials Calculations'!B:B,MaterialData32[[#This Row],[Material]],'Materials Calculations'!F:F)</f>
        <v>0</v>
      </c>
      <c r="C112" s="330">
        <f>SUMIF('Materials Calculations'!B:B,MaterialData32[[#This Row],[Material]],'Materials Calculations'!H:H)</f>
        <v>0</v>
      </c>
      <c r="D112" s="330">
        <f>SUMIF('Materials Calculations'!B:B,MaterialData32[[#This Row],[Material]],'Materials Calculations'!AI:AI)</f>
        <v>0</v>
      </c>
      <c r="F112" t="str">
        <v xml:space="preserve">Concrete - In-situ, RC 32/40 (32/40 MPa)  50%GGBS </v>
      </c>
      <c r="G112">
        <v>0</v>
      </c>
      <c r="H112">
        <v>0</v>
      </c>
      <c r="I112">
        <v>0</v>
      </c>
      <c r="K112" t="str">
        <v xml:space="preserve">Concrete - In-situ, RC 28/35 (28/35 MPa)  50%GGBS </v>
      </c>
      <c r="L112" s="322">
        <v>0</v>
      </c>
      <c r="M112" s="322">
        <v>0</v>
      </c>
      <c r="N112" s="322">
        <v>0</v>
      </c>
    </row>
    <row r="113" spans="1:14" x14ac:dyDescent="0.3">
      <c r="A113" t="s">
        <v>205</v>
      </c>
      <c r="B113" s="330">
        <f>SUMIF('Materials Calculations'!B:B,MaterialData32[[#This Row],[Material]],'Materials Calculations'!F:F)</f>
        <v>0</v>
      </c>
      <c r="C113" s="330">
        <f>SUMIF('Materials Calculations'!B:B,MaterialData32[[#This Row],[Material]],'Materials Calculations'!H:H)</f>
        <v>0</v>
      </c>
      <c r="D113" s="330">
        <f>SUMIF('Materials Calculations'!B:B,MaterialData32[[#This Row],[Material]],'Materials Calculations'!AI:AI)</f>
        <v>0</v>
      </c>
      <c r="F113" t="str">
        <v xml:space="preserve">Concrete - In-situ, RC 35/45 (35/45 MPa)  50%GGBS </v>
      </c>
      <c r="G113">
        <v>0</v>
      </c>
      <c r="H113">
        <v>0</v>
      </c>
      <c r="I113">
        <v>0</v>
      </c>
      <c r="K113" t="str">
        <v xml:space="preserve">Concrete - In-situ, RC 32/40 (32/40 MPa)  50%GGBS </v>
      </c>
      <c r="L113" s="322">
        <v>0</v>
      </c>
      <c r="M113" s="322">
        <v>0</v>
      </c>
      <c r="N113" s="322">
        <v>0</v>
      </c>
    </row>
    <row r="114" spans="1:14" x14ac:dyDescent="0.3">
      <c r="A114" t="s">
        <v>206</v>
      </c>
      <c r="B114" s="330">
        <f>SUMIF('Materials Calculations'!B:B,MaterialData32[[#This Row],[Material]],'Materials Calculations'!F:F)</f>
        <v>0</v>
      </c>
      <c r="C114" s="330">
        <f>SUMIF('Materials Calculations'!B:B,MaterialData32[[#This Row],[Material]],'Materials Calculations'!H:H)</f>
        <v>0</v>
      </c>
      <c r="D114" s="330">
        <f>SUMIF('Materials Calculations'!B:B,MaterialData32[[#This Row],[Material]],'Materials Calculations'!AI:AI)</f>
        <v>0</v>
      </c>
      <c r="F114" t="str">
        <v xml:space="preserve">Concrete - In-situ, RC 40/50 (40/50 MPa)  50%GGBS </v>
      </c>
      <c r="G114">
        <v>0</v>
      </c>
      <c r="H114">
        <v>0</v>
      </c>
      <c r="I114">
        <v>0</v>
      </c>
      <c r="K114" t="str">
        <v xml:space="preserve">Concrete - In-situ, RC 35/45 (35/45 MPa)  50%GGBS </v>
      </c>
      <c r="L114" s="322">
        <v>0</v>
      </c>
      <c r="M114" s="322">
        <v>0</v>
      </c>
      <c r="N114" s="322">
        <v>0</v>
      </c>
    </row>
    <row r="115" spans="1:14" x14ac:dyDescent="0.3">
      <c r="A115" t="s">
        <v>207</v>
      </c>
      <c r="B115" s="330">
        <f>SUMIF('Materials Calculations'!B:B,MaterialData32[[#This Row],[Material]],'Materials Calculations'!F:F)</f>
        <v>0</v>
      </c>
      <c r="C115" s="330">
        <f>SUMIF('Materials Calculations'!B:B,MaterialData32[[#This Row],[Material]],'Materials Calculations'!H:H)</f>
        <v>0</v>
      </c>
      <c r="D115" s="330">
        <f>SUMIF('Materials Calculations'!B:B,MaterialData32[[#This Row],[Material]],'Materials Calculations'!AI:AI)</f>
        <v>0</v>
      </c>
      <c r="F115" t="str">
        <v xml:space="preserve">Concrete - In-situ, RC 20/25 (20/25 MPa)  70% GGBS </v>
      </c>
      <c r="G115">
        <v>0</v>
      </c>
      <c r="H115">
        <v>0</v>
      </c>
      <c r="I115">
        <v>0</v>
      </c>
      <c r="K115" t="str">
        <v xml:space="preserve">Concrete - In-situ, RC 40/50 (40/50 MPa)  50%GGBS </v>
      </c>
      <c r="L115" s="322">
        <v>0</v>
      </c>
      <c r="M115" s="322">
        <v>0</v>
      </c>
      <c r="N115" s="322">
        <v>0</v>
      </c>
    </row>
    <row r="116" spans="1:14" x14ac:dyDescent="0.3">
      <c r="A116" t="s">
        <v>208</v>
      </c>
      <c r="B116" s="330">
        <f>SUMIF('Materials Calculations'!B:B,MaterialData32[[#This Row],[Material]],'Materials Calculations'!F:F)</f>
        <v>0</v>
      </c>
      <c r="C116" s="330">
        <f>SUMIF('Materials Calculations'!B:B,MaterialData32[[#This Row],[Material]],'Materials Calculations'!H:H)</f>
        <v>0</v>
      </c>
      <c r="D116" s="330">
        <f>SUMIF('Materials Calculations'!B:B,MaterialData32[[#This Row],[Material]],'Materials Calculations'!AI:AI)</f>
        <v>0</v>
      </c>
      <c r="F116" t="str">
        <v xml:space="preserve">Concrete - In-situ, RC 25/30 (25/30 MPa)  70% GGBS </v>
      </c>
      <c r="G116">
        <v>0</v>
      </c>
      <c r="H116">
        <v>0</v>
      </c>
      <c r="I116">
        <v>0</v>
      </c>
      <c r="K116" t="str">
        <v xml:space="preserve">Concrete - In-situ, RC 20/25 (20/25 MPa)  70% GGBS </v>
      </c>
      <c r="L116" s="322">
        <v>0</v>
      </c>
      <c r="M116" s="322">
        <v>0</v>
      </c>
      <c r="N116" s="322">
        <v>0</v>
      </c>
    </row>
    <row r="117" spans="1:14" x14ac:dyDescent="0.3">
      <c r="A117" t="s">
        <v>209</v>
      </c>
      <c r="B117" s="330">
        <f>SUMIF('Materials Calculations'!B:B,MaterialData32[[#This Row],[Material]],'Materials Calculations'!F:F)</f>
        <v>0</v>
      </c>
      <c r="C117" s="330">
        <f>SUMIF('Materials Calculations'!B:B,MaterialData32[[#This Row],[Material]],'Materials Calculations'!H:H)</f>
        <v>0</v>
      </c>
      <c r="D117" s="330">
        <f>SUMIF('Materials Calculations'!B:B,MaterialData32[[#This Row],[Material]],'Materials Calculations'!AI:AI)</f>
        <v>0</v>
      </c>
      <c r="F117" t="str">
        <v xml:space="preserve">Concrete - In-situ, RC 28/35 (28/35 MPa)  70% GGBS </v>
      </c>
      <c r="G117">
        <v>0</v>
      </c>
      <c r="H117">
        <v>0</v>
      </c>
      <c r="I117">
        <v>0</v>
      </c>
      <c r="K117" t="str">
        <v xml:space="preserve">Concrete - In-situ, RC 25/30 (25/30 MPa)  70% GGBS </v>
      </c>
      <c r="L117" s="322">
        <v>0</v>
      </c>
      <c r="M117" s="322">
        <v>0</v>
      </c>
      <c r="N117" s="322">
        <v>0</v>
      </c>
    </row>
    <row r="118" spans="1:14" x14ac:dyDescent="0.3">
      <c r="A118" t="s">
        <v>210</v>
      </c>
      <c r="B118" s="330">
        <f>SUMIF('Materials Calculations'!B:B,MaterialData32[[#This Row],[Material]],'Materials Calculations'!F:F)</f>
        <v>0</v>
      </c>
      <c r="C118" s="330">
        <f>SUMIF('Materials Calculations'!B:B,MaterialData32[[#This Row],[Material]],'Materials Calculations'!H:H)</f>
        <v>0</v>
      </c>
      <c r="D118" s="330">
        <f>SUMIF('Materials Calculations'!B:B,MaterialData32[[#This Row],[Material]],'Materials Calculations'!AI:AI)</f>
        <v>0</v>
      </c>
      <c r="F118" t="str">
        <v xml:space="preserve">Concrete - In-situ, RC 32/40 (32/40 MPa)  70% GGBS </v>
      </c>
      <c r="G118">
        <v>0</v>
      </c>
      <c r="H118">
        <v>0</v>
      </c>
      <c r="I118">
        <v>0</v>
      </c>
      <c r="K118" t="str">
        <v xml:space="preserve">Concrete - In-situ, RC 28/35 (28/35 MPa)  70% GGBS </v>
      </c>
      <c r="L118" s="322">
        <v>0</v>
      </c>
      <c r="M118" s="322">
        <v>0</v>
      </c>
      <c r="N118" s="322">
        <v>0</v>
      </c>
    </row>
    <row r="119" spans="1:14" x14ac:dyDescent="0.3">
      <c r="A119" t="s">
        <v>211</v>
      </c>
      <c r="B119" s="330">
        <f>SUMIF('Materials Calculations'!B:B,MaterialData32[[#This Row],[Material]],'Materials Calculations'!F:F)</f>
        <v>0</v>
      </c>
      <c r="C119" s="330">
        <f>SUMIF('Materials Calculations'!B:B,MaterialData32[[#This Row],[Material]],'Materials Calculations'!H:H)</f>
        <v>0</v>
      </c>
      <c r="D119" s="330">
        <f>SUMIF('Materials Calculations'!B:B,MaterialData32[[#This Row],[Material]],'Materials Calculations'!AI:AI)</f>
        <v>0</v>
      </c>
      <c r="F119" t="str">
        <v xml:space="preserve">Concrete - In-situ, RC 35/45 (35/45 MPa)  70% GGBS </v>
      </c>
      <c r="G119">
        <v>0</v>
      </c>
      <c r="H119">
        <v>0</v>
      </c>
      <c r="I119">
        <v>0</v>
      </c>
      <c r="K119" t="str">
        <v xml:space="preserve">Concrete - In-situ, RC 32/40 (32/40 MPa)  70% GGBS </v>
      </c>
      <c r="L119" s="322">
        <v>0</v>
      </c>
      <c r="M119" s="322">
        <v>0</v>
      </c>
      <c r="N119" s="322">
        <v>0</v>
      </c>
    </row>
    <row r="120" spans="1:14" x14ac:dyDescent="0.3">
      <c r="A120" t="s">
        <v>212</v>
      </c>
      <c r="B120" s="330">
        <f>SUMIF('Materials Calculations'!B:B,MaterialData32[[#This Row],[Material]],'Materials Calculations'!F:F)</f>
        <v>0</v>
      </c>
      <c r="C120" s="330">
        <f>SUMIF('Materials Calculations'!B:B,MaterialData32[[#This Row],[Material]],'Materials Calculations'!H:H)</f>
        <v>0</v>
      </c>
      <c r="D120" s="330">
        <f>SUMIF('Materials Calculations'!B:B,MaterialData32[[#This Row],[Material]],'Materials Calculations'!AI:AI)</f>
        <v>0</v>
      </c>
      <c r="F120" t="str">
        <v xml:space="preserve">Concrete - In-situ, RC 40/50 (40/50 MPa)  70% GGBS </v>
      </c>
      <c r="G120">
        <v>0</v>
      </c>
      <c r="H120">
        <v>0</v>
      </c>
      <c r="I120">
        <v>0</v>
      </c>
      <c r="K120" t="str">
        <v xml:space="preserve">Concrete - In-situ, RC 35/45 (35/45 MPa)  70% GGBS </v>
      </c>
      <c r="L120" s="322">
        <v>0</v>
      </c>
      <c r="M120" s="322">
        <v>0</v>
      </c>
      <c r="N120" s="322">
        <v>0</v>
      </c>
    </row>
    <row r="121" spans="1:14" x14ac:dyDescent="0.3">
      <c r="A121" t="s">
        <v>213</v>
      </c>
      <c r="B121" s="330">
        <f>SUMIF('Materials Calculations'!B:B,MaterialData32[[#This Row],[Material]],'Materials Calculations'!F:F)</f>
        <v>0</v>
      </c>
      <c r="C121" s="330">
        <f>SUMIF('Materials Calculations'!B:B,MaterialData32[[#This Row],[Material]],'Materials Calculations'!H:H)</f>
        <v>0</v>
      </c>
      <c r="D121" s="330">
        <f>SUMIF('Materials Calculations'!B:B,MaterialData32[[#This Row],[Material]],'Materials Calculations'!AI:AI)</f>
        <v>0</v>
      </c>
      <c r="F121" t="str">
        <v>Concrete - Precast - Pipe, DN600 unreinforced</v>
      </c>
      <c r="G121">
        <v>0</v>
      </c>
      <c r="H121">
        <v>0</v>
      </c>
      <c r="I121">
        <v>0</v>
      </c>
      <c r="K121" t="str">
        <v xml:space="preserve">Concrete - In-situ, RC 40/50 (40/50 MPa)  70% GGBS </v>
      </c>
      <c r="L121" s="322">
        <v>0</v>
      </c>
      <c r="M121" s="322">
        <v>0</v>
      </c>
      <c r="N121" s="322">
        <v>0</v>
      </c>
    </row>
    <row r="122" spans="1:14" x14ac:dyDescent="0.3">
      <c r="A122" t="s">
        <v>214</v>
      </c>
      <c r="B122" s="330">
        <f>SUMIF('Materials Calculations'!B:B,MaterialData32[[#This Row],[Material]],'Materials Calculations'!F:F)</f>
        <v>0</v>
      </c>
      <c r="C122" s="330">
        <f>SUMIF('Materials Calculations'!B:B,MaterialData32[[#This Row],[Material]],'Materials Calculations'!H:H)</f>
        <v>0</v>
      </c>
      <c r="D122" s="330">
        <f>SUMIF('Materials Calculations'!B:B,MaterialData32[[#This Row],[Material]],'Materials Calculations'!AI:AI)</f>
        <v>0</v>
      </c>
      <c r="F122" t="str">
        <v>Concrete - Precast - Pipe, DN600 unreinforced per kg</v>
      </c>
      <c r="G122">
        <v>0</v>
      </c>
      <c r="H122">
        <v>0</v>
      </c>
      <c r="I122">
        <v>0</v>
      </c>
      <c r="K122" t="str">
        <v>Concrete - Precast - Pipe, DN600 unreinforced</v>
      </c>
      <c r="L122" s="322">
        <v>0</v>
      </c>
      <c r="M122" s="322">
        <v>0</v>
      </c>
      <c r="N122" s="322">
        <v>0</v>
      </c>
    </row>
    <row r="123" spans="1:14" x14ac:dyDescent="0.3">
      <c r="A123" t="s">
        <v>215</v>
      </c>
      <c r="B123" s="330">
        <f>SUMIF('Materials Calculations'!B:B,MaterialData32[[#This Row],[Material]],'Materials Calculations'!F:F)</f>
        <v>0</v>
      </c>
      <c r="C123" s="330">
        <f>SUMIF('Materials Calculations'!B:B,MaterialData32[[#This Row],[Material]],'Materials Calculations'!H:H)</f>
        <v>0</v>
      </c>
      <c r="D123" s="330">
        <f>SUMIF('Materials Calculations'!B:B,MaterialData32[[#This Row],[Material]],'Materials Calculations'!AI:AI)</f>
        <v>0</v>
      </c>
      <c r="F123" t="str">
        <v>Concrete - Precast - Paving (Blocks, Slabs, Channels and Kerbs)</v>
      </c>
      <c r="G123">
        <v>0</v>
      </c>
      <c r="H123">
        <v>0</v>
      </c>
      <c r="I123">
        <v>0</v>
      </c>
      <c r="K123" t="str">
        <v>Concrete - Precast - Pipe, DN600 unreinforced per kg</v>
      </c>
      <c r="L123" s="322">
        <v>0</v>
      </c>
      <c r="M123" s="322">
        <v>0</v>
      </c>
      <c r="N123" s="322">
        <v>0</v>
      </c>
    </row>
    <row r="124" spans="1:14" x14ac:dyDescent="0.3">
      <c r="A124" t="s">
        <v>217</v>
      </c>
      <c r="B124" s="330">
        <f>SUMIF('Materials Calculations'!B:B,MaterialData32[[#This Row],[Material]],'Materials Calculations'!F:F)</f>
        <v>0</v>
      </c>
      <c r="C124" s="330">
        <f>SUMIF('Materials Calculations'!B:B,MaterialData32[[#This Row],[Material]],'Materials Calculations'!H:H)</f>
        <v>0</v>
      </c>
      <c r="D124" s="330">
        <f>SUMIF('Materials Calculations'!B:B,MaterialData32[[#This Row],[Material]],'Materials Calculations'!AI:AI)</f>
        <v>0</v>
      </c>
      <c r="F124" t="str">
        <v>Concrete - Precast - Beams and columns -steel reinforced with European recycled steel</v>
      </c>
      <c r="G124">
        <v>0</v>
      </c>
      <c r="H124">
        <v>0</v>
      </c>
      <c r="I124">
        <v>0</v>
      </c>
      <c r="K124" t="str">
        <v>Concrete - Precast - Paving (Blocks, Slabs, Channels and Kerbs)</v>
      </c>
      <c r="L124" s="322">
        <v>0</v>
      </c>
      <c r="M124" s="322">
        <v>0</v>
      </c>
      <c r="N124" s="322">
        <v>0</v>
      </c>
    </row>
    <row r="125" spans="1:14" x14ac:dyDescent="0.3">
      <c r="A125" t="s">
        <v>218</v>
      </c>
      <c r="B125" s="330">
        <f>SUMIF('Materials Calculations'!B:B,MaterialData32[[#This Row],[Material]],'Materials Calculations'!F:F)</f>
        <v>2400</v>
      </c>
      <c r="C125" s="330">
        <f>SUMIF('Materials Calculations'!B:B,MaterialData32[[#This Row],[Material]],'Materials Calculations'!H:H)</f>
        <v>0</v>
      </c>
      <c r="D125" s="330">
        <f>SUMIF('Materials Calculations'!B:B,MaterialData32[[#This Row],[Material]],'Materials Calculations'!AI:AI)</f>
        <v>0</v>
      </c>
      <c r="F125" t="str">
        <v>Concrete - Precast - Hollowcore concrete flooring, 150mm, prestressed steel reinforced with world average steel</v>
      </c>
      <c r="G125">
        <v>2400</v>
      </c>
      <c r="H125">
        <v>0</v>
      </c>
      <c r="I125">
        <v>0</v>
      </c>
      <c r="K125" t="str">
        <v>Concrete - Precast - Beams and columns -steel reinforced with European recycled steel</v>
      </c>
      <c r="L125" s="322">
        <v>0</v>
      </c>
      <c r="M125" s="322">
        <v>0</v>
      </c>
      <c r="N125" s="322">
        <v>0</v>
      </c>
    </row>
    <row r="126" spans="1:14" x14ac:dyDescent="0.3">
      <c r="A126" t="s">
        <v>219</v>
      </c>
      <c r="B126" s="330">
        <f>SUMIF('Materials Calculations'!B:B,MaterialData32[[#This Row],[Material]],'Materials Calculations'!F:F)</f>
        <v>0</v>
      </c>
      <c r="C126" s="330">
        <f>SUMIF('Materials Calculations'!B:B,MaterialData32[[#This Row],[Material]],'Materials Calculations'!H:H)</f>
        <v>0</v>
      </c>
      <c r="D126" s="330">
        <f>SUMIF('Materials Calculations'!B:B,MaterialData32[[#This Row],[Material]],'Materials Calculations'!AI:AI)</f>
        <v>0</v>
      </c>
      <c r="F126" t="str">
        <v>Concrete - Precast - Hollowcore concrete flooring, 150mm, prestressed steel reinforced  with European recycled steel</v>
      </c>
      <c r="G126">
        <v>0</v>
      </c>
      <c r="H126">
        <v>0</v>
      </c>
      <c r="I126">
        <v>0</v>
      </c>
      <c r="K126" t="str">
        <v>Concrete - Precast - Hollowcore concrete flooring, 150mm, prestressed steel reinforced  with European recycled steel</v>
      </c>
      <c r="L126" s="322">
        <v>0</v>
      </c>
      <c r="M126" s="322">
        <v>0</v>
      </c>
      <c r="N126" s="322">
        <v>0</v>
      </c>
    </row>
    <row r="127" spans="1:14" x14ac:dyDescent="0.3">
      <c r="A127" t="s">
        <v>220</v>
      </c>
      <c r="B127" s="330">
        <f>SUMIF('Materials Calculations'!B:B,MaterialData32[[#This Row],[Material]],'Materials Calculations'!F:F)</f>
        <v>0</v>
      </c>
      <c r="C127" s="330">
        <f>SUMIF('Materials Calculations'!B:B,MaterialData32[[#This Row],[Material]],'Materials Calculations'!H:H)</f>
        <v>0</v>
      </c>
      <c r="D127" s="330">
        <f>SUMIF('Materials Calculations'!B:B,MaterialData32[[#This Row],[Material]],'Materials Calculations'!AI:AI)</f>
        <v>0</v>
      </c>
      <c r="F127" t="str">
        <v>Concrete blocks (medium or high density)</v>
      </c>
      <c r="G127">
        <v>0</v>
      </c>
      <c r="H127">
        <v>0</v>
      </c>
      <c r="I127">
        <v>0</v>
      </c>
      <c r="K127" t="str">
        <v>Concrete blocks (medium or high density)</v>
      </c>
      <c r="L127" s="322">
        <v>0</v>
      </c>
      <c r="M127" s="322">
        <v>0</v>
      </c>
      <c r="N127" s="322">
        <v>0</v>
      </c>
    </row>
    <row r="128" spans="1:14" x14ac:dyDescent="0.3">
      <c r="A128" t="s">
        <v>222</v>
      </c>
      <c r="B128" s="330">
        <f>SUMIF('Materials Calculations'!B:B,MaterialData32[[#This Row],[Material]],'Materials Calculations'!F:F)</f>
        <v>0</v>
      </c>
      <c r="C128" s="330">
        <f>SUMIF('Materials Calculations'!B:B,MaterialData32[[#This Row],[Material]],'Materials Calculations'!H:H)</f>
        <v>0</v>
      </c>
      <c r="D128" s="330">
        <f>SUMIF('Materials Calculations'!B:B,MaterialData32[[#This Row],[Material]],'Materials Calculations'!AI:AI)</f>
        <v>0</v>
      </c>
      <c r="F128" t="str">
        <v>Concrete Block - Lightweight concrete blocks - AAC - Autoclaved Aerated Concrete(AAC)</v>
      </c>
      <c r="G128">
        <v>0</v>
      </c>
      <c r="H128">
        <v>0</v>
      </c>
      <c r="I128">
        <v>0</v>
      </c>
      <c r="K128" t="str">
        <v>Concrete Block - Lightweight concrete blocks - AAC - Autoclaved Aerated Concrete(AAC)</v>
      </c>
      <c r="L128" s="322">
        <v>0</v>
      </c>
      <c r="M128" s="322">
        <v>0</v>
      </c>
      <c r="N128" s="322">
        <v>0</v>
      </c>
    </row>
    <row r="129" spans="1:14" x14ac:dyDescent="0.3">
      <c r="A129" t="s">
        <v>224</v>
      </c>
      <c r="B129" s="330">
        <f>SUMIF('Materials Calculations'!B:B,MaterialData32[[#This Row],[Material]],'Materials Calculations'!F:F)</f>
        <v>0</v>
      </c>
      <c r="C129" s="330">
        <f>SUMIF('Materials Calculations'!B:B,MaterialData32[[#This Row],[Material]],'Materials Calculations'!H:H)</f>
        <v>0</v>
      </c>
      <c r="D129" s="330">
        <f>SUMIF('Materials Calculations'!B:B,MaterialData32[[#This Row],[Material]],'Materials Calculations'!AI:AI)</f>
        <v>0</v>
      </c>
      <c r="F129" t="str">
        <v>Concrete Block - Walls - With high density solid blocks inc. mortar</v>
      </c>
      <c r="G129">
        <v>0</v>
      </c>
      <c r="H129">
        <v>0</v>
      </c>
      <c r="I129">
        <v>0</v>
      </c>
      <c r="K129" t="str">
        <v>Concrete Block - Walls - With high density solid blocks inc. mortar</v>
      </c>
      <c r="L129" s="322">
        <v>0</v>
      </c>
      <c r="M129" s="322">
        <v>0</v>
      </c>
      <c r="N129" s="322">
        <v>0</v>
      </c>
    </row>
    <row r="130" spans="1:14" x14ac:dyDescent="0.3">
      <c r="A130" t="s">
        <v>225</v>
      </c>
      <c r="B130" s="330">
        <f>SUMIF('Materials Calculations'!B:B,MaterialData32[[#This Row],[Material]],'Materials Calculations'!F:F)</f>
        <v>0</v>
      </c>
      <c r="C130" s="330">
        <f>SUMIF('Materials Calculations'!B:B,MaterialData32[[#This Row],[Material]],'Materials Calculations'!H:H)</f>
        <v>0</v>
      </c>
      <c r="D130" s="330">
        <f>SUMIF('Materials Calculations'!B:B,MaterialData32[[#This Row],[Material]],'Materials Calculations'!AI:AI)</f>
        <v>0</v>
      </c>
      <c r="F130" t="str">
        <v>Concrete Block - Walls - With cellular high density solid blocks inc. mortar</v>
      </c>
      <c r="G130">
        <v>0</v>
      </c>
      <c r="H130">
        <v>0</v>
      </c>
      <c r="I130">
        <v>0</v>
      </c>
      <c r="K130" t="str">
        <v>Concrete Block - Walls - With cellular high density solid blocks inc. mortar</v>
      </c>
      <c r="L130" s="322">
        <v>0</v>
      </c>
      <c r="M130" s="322">
        <v>0</v>
      </c>
      <c r="N130" s="322">
        <v>0</v>
      </c>
    </row>
    <row r="131" spans="1:14" x14ac:dyDescent="0.3">
      <c r="A131" t="s">
        <v>226</v>
      </c>
      <c r="B131" s="330">
        <f>SUMIF('Materials Calculations'!B:B,MaterialData32[[#This Row],[Material]],'Materials Calculations'!F:F)</f>
        <v>0</v>
      </c>
      <c r="C131" s="330">
        <f>SUMIF('Materials Calculations'!B:B,MaterialData32[[#This Row],[Material]],'Materials Calculations'!H:H)</f>
        <v>0</v>
      </c>
      <c r="D131" s="330">
        <f>SUMIF('Materials Calculations'!B:B,MaterialData32[[#This Row],[Material]],'Materials Calculations'!AI:AI)</f>
        <v>0</v>
      </c>
      <c r="F131" t="str">
        <v>Concrete Block - Walls - With hollowcore high density solid blocks inc. mortar</v>
      </c>
      <c r="G131">
        <v>0</v>
      </c>
      <c r="H131">
        <v>0</v>
      </c>
      <c r="I131">
        <v>0</v>
      </c>
      <c r="K131" t="str">
        <v>Concrete Block - Walls - With hollowcore high density solid blocks inc. mortar</v>
      </c>
      <c r="L131" s="322">
        <v>0</v>
      </c>
      <c r="M131" s="322">
        <v>0</v>
      </c>
      <c r="N131" s="322">
        <v>0</v>
      </c>
    </row>
    <row r="132" spans="1:14" x14ac:dyDescent="0.3">
      <c r="A132" t="s">
        <v>227</v>
      </c>
      <c r="B132" s="330">
        <f>SUMIF('Materials Calculations'!B:B,MaterialData32[[#This Row],[Material]],'Materials Calculations'!F:F)</f>
        <v>0</v>
      </c>
      <c r="C132" s="330">
        <f>SUMIF('Materials Calculations'!B:B,MaterialData32[[#This Row],[Material]],'Materials Calculations'!H:H)</f>
        <v>0</v>
      </c>
      <c r="D132" s="330">
        <f>SUMIF('Materials Calculations'!B:B,MaterialData32[[#This Row],[Material]],'Materials Calculations'!AI:AI)</f>
        <v>0</v>
      </c>
      <c r="F132" t="str">
        <v>Concrete Block - Walls - With lightweight AAC blocks inc. mortar</v>
      </c>
      <c r="G132">
        <v>0</v>
      </c>
      <c r="H132">
        <v>0</v>
      </c>
      <c r="I132">
        <v>0</v>
      </c>
      <c r="K132" t="str">
        <v>Concrete Block - Walls - With lightweight AAC blocks inc. mortar</v>
      </c>
      <c r="L132" s="322">
        <v>0</v>
      </c>
      <c r="M132" s="322">
        <v>0</v>
      </c>
      <c r="N132" s="322">
        <v>0</v>
      </c>
    </row>
    <row r="133" spans="1:14" x14ac:dyDescent="0.3">
      <c r="A133" t="s">
        <v>228</v>
      </c>
      <c r="B133" s="330">
        <f>SUMIF('Materials Calculations'!B:B,MaterialData32[[#This Row],[Material]],'Materials Calculations'!F:F)</f>
        <v>0</v>
      </c>
      <c r="C133" s="330">
        <f>SUMIF('Materials Calculations'!B:B,MaterialData32[[#This Row],[Material]],'Materials Calculations'!H:H)</f>
        <v>0</v>
      </c>
      <c r="D133" s="330">
        <f>SUMIF('Materials Calculations'!B:B,MaterialData32[[#This Row],[Material]],'Materials Calculations'!AI:AI)</f>
        <v>0</v>
      </c>
      <c r="F133" t="str">
        <v>Floor Finish - Carpeting - General Carpet</v>
      </c>
      <c r="G133">
        <v>0</v>
      </c>
      <c r="H133">
        <v>0</v>
      </c>
      <c r="I133">
        <v>0</v>
      </c>
      <c r="K133" t="str">
        <v>Floor Finish - Carpeting - General Carpet</v>
      </c>
      <c r="L133" s="322">
        <v>0</v>
      </c>
      <c r="M133" s="322">
        <v>0</v>
      </c>
      <c r="N133" s="322">
        <v>0</v>
      </c>
    </row>
    <row r="134" spans="1:14" x14ac:dyDescent="0.3">
      <c r="A134" t="s">
        <v>229</v>
      </c>
      <c r="B134" s="330">
        <f>SUMIF('Materials Calculations'!B:B,MaterialData32[[#This Row],[Material]],'Materials Calculations'!F:F)</f>
        <v>0</v>
      </c>
      <c r="C134" s="330">
        <f>SUMIF('Materials Calculations'!B:B,MaterialData32[[#This Row],[Material]],'Materials Calculations'!H:H)</f>
        <v>0</v>
      </c>
      <c r="D134" s="330">
        <f>SUMIF('Materials Calculations'!B:B,MaterialData32[[#This Row],[Material]],'Materials Calculations'!AI:AI)</f>
        <v>0</v>
      </c>
      <c r="F134" t="str">
        <v>Floor Finish - Carpeting - Felt (Hair and Jute) Underlay</v>
      </c>
      <c r="G134">
        <v>0</v>
      </c>
      <c r="H134">
        <v>0</v>
      </c>
      <c r="I134">
        <v>0</v>
      </c>
      <c r="K134" t="str">
        <v>Floor Finish - Carpeting - Felt (Hair and Jute) Underlay</v>
      </c>
      <c r="L134" s="322">
        <v>0</v>
      </c>
      <c r="M134" s="322">
        <v>0</v>
      </c>
      <c r="N134" s="322">
        <v>0</v>
      </c>
    </row>
    <row r="135" spans="1:14" x14ac:dyDescent="0.3">
      <c r="A135" t="s">
        <v>230</v>
      </c>
      <c r="B135" s="330">
        <f>SUMIF('Materials Calculations'!B:B,MaterialData32[[#This Row],[Material]],'Materials Calculations'!F:F)</f>
        <v>0</v>
      </c>
      <c r="C135" s="330">
        <f>SUMIF('Materials Calculations'!B:B,MaterialData32[[#This Row],[Material]],'Materials Calculations'!H:H)</f>
        <v>0</v>
      </c>
      <c r="D135" s="330">
        <f>SUMIF('Materials Calculations'!B:B,MaterialData32[[#This Row],[Material]],'Materials Calculations'!AI:AI)</f>
        <v>0</v>
      </c>
      <c r="F135" t="str">
        <v>Floor Finish - Carpeting - Saturated Felt Underlay (impregnated with Asphalt or tar)</v>
      </c>
      <c r="G135">
        <v>0</v>
      </c>
      <c r="H135">
        <v>0</v>
      </c>
      <c r="I135">
        <v>0</v>
      </c>
      <c r="K135" t="str">
        <v>Floor Finish - Carpeting - Saturated Felt Underlay (impregnated with Asphalt or tar)</v>
      </c>
      <c r="L135" s="322">
        <v>0</v>
      </c>
      <c r="M135" s="322">
        <v>0</v>
      </c>
      <c r="N135" s="322">
        <v>0</v>
      </c>
    </row>
    <row r="136" spans="1:14" x14ac:dyDescent="0.3">
      <c r="A136" t="s">
        <v>231</v>
      </c>
      <c r="B136" s="330">
        <f>SUMIF('Materials Calculations'!B:B,MaterialData32[[#This Row],[Material]],'Materials Calculations'!F:F)</f>
        <v>0</v>
      </c>
      <c r="C136" s="330">
        <f>SUMIF('Materials Calculations'!B:B,MaterialData32[[#This Row],[Material]],'Materials Calculations'!H:H)</f>
        <v>0</v>
      </c>
      <c r="D136" s="330">
        <f>SUMIF('Materials Calculations'!B:B,MaterialData32[[#This Row],[Material]],'Materials Calculations'!AI:AI)</f>
        <v>0</v>
      </c>
      <c r="F136" t="str">
        <v>Floor Finish - Carpeting - Wool carpet</v>
      </c>
      <c r="G136">
        <v>0</v>
      </c>
      <c r="H136">
        <v>0</v>
      </c>
      <c r="I136">
        <v>0</v>
      </c>
      <c r="K136" t="str">
        <v>Floor Finish - Carpeting - Wool carpet</v>
      </c>
      <c r="L136" s="322">
        <v>0</v>
      </c>
      <c r="M136" s="322">
        <v>0</v>
      </c>
      <c r="N136" s="322">
        <v>0</v>
      </c>
    </row>
    <row r="137" spans="1:14" x14ac:dyDescent="0.3">
      <c r="A137" t="s">
        <v>232</v>
      </c>
      <c r="B137" s="330">
        <f>SUMIF('Materials Calculations'!B:B,MaterialData32[[#This Row],[Material]],'Materials Calculations'!F:F)</f>
        <v>0</v>
      </c>
      <c r="C137" s="330">
        <f>SUMIF('Materials Calculations'!B:B,MaterialData32[[#This Row],[Material]],'Materials Calculations'!H:H)</f>
        <v>0</v>
      </c>
      <c r="D137" s="330">
        <f>SUMIF('Materials Calculations'!B:B,MaterialData32[[#This Row],[Material]],'Materials Calculations'!AI:AI)</f>
        <v>0</v>
      </c>
      <c r="F137" t="str">
        <v>Floor Finish - Linoleum</v>
      </c>
      <c r="G137">
        <v>0</v>
      </c>
      <c r="H137">
        <v>0</v>
      </c>
      <c r="I137">
        <v>0</v>
      </c>
      <c r="K137" t="str">
        <v>Floor Finish - Linoleum</v>
      </c>
      <c r="L137" s="322">
        <v>0</v>
      </c>
      <c r="M137" s="322">
        <v>0</v>
      </c>
      <c r="N137" s="322">
        <v>0</v>
      </c>
    </row>
    <row r="138" spans="1:14" x14ac:dyDescent="0.3">
      <c r="A138" t="s">
        <v>233</v>
      </c>
      <c r="B138" s="330">
        <f>SUMIF('Materials Calculations'!B:B,MaterialData32[[#This Row],[Material]],'Materials Calculations'!F:F)</f>
        <v>0</v>
      </c>
      <c r="C138" s="330">
        <f>SUMIF('Materials Calculations'!B:B,MaterialData32[[#This Row],[Material]],'Materials Calculations'!H:H)</f>
        <v>0</v>
      </c>
      <c r="D138" s="330">
        <f>SUMIF('Materials Calculations'!B:B,MaterialData32[[#This Row],[Material]],'Materials Calculations'!AI:AI)</f>
        <v>0</v>
      </c>
      <c r="F138" t="str">
        <v>Floor Finish - Terrazzo Tiles</v>
      </c>
      <c r="G138">
        <v>0</v>
      </c>
      <c r="H138">
        <v>0</v>
      </c>
      <c r="I138">
        <v>0</v>
      </c>
      <c r="K138" t="str">
        <v>Floor Finish - Terrazzo Tiles</v>
      </c>
      <c r="L138" s="322">
        <v>0</v>
      </c>
      <c r="M138" s="322">
        <v>0</v>
      </c>
      <c r="N138" s="322">
        <v>0</v>
      </c>
    </row>
    <row r="139" spans="1:14" x14ac:dyDescent="0.3">
      <c r="A139" t="s">
        <v>234</v>
      </c>
      <c r="B139" s="330">
        <f>SUMIF('Materials Calculations'!B:B,MaterialData32[[#This Row],[Material]],'Materials Calculations'!F:F)</f>
        <v>0</v>
      </c>
      <c r="C139" s="330">
        <f>SUMIF('Materials Calculations'!B:B,MaterialData32[[#This Row],[Material]],'Materials Calculations'!H:H)</f>
        <v>0</v>
      </c>
      <c r="D139" s="330">
        <f>SUMIF('Materials Calculations'!B:B,MaterialData32[[#This Row],[Material]],'Materials Calculations'!AI:AI)</f>
        <v>0</v>
      </c>
      <c r="F139" t="str">
        <v>Floor Finish - Vinyl flooring - General</v>
      </c>
      <c r="G139">
        <v>0</v>
      </c>
      <c r="H139">
        <v>0</v>
      </c>
      <c r="I139">
        <v>0</v>
      </c>
      <c r="K139" t="str">
        <v>Floor Finish - Vinyl flooring - General</v>
      </c>
      <c r="L139" s="322">
        <v>0</v>
      </c>
      <c r="M139" s="322">
        <v>0</v>
      </c>
      <c r="N139" s="322">
        <v>0</v>
      </c>
    </row>
    <row r="140" spans="1:14" x14ac:dyDescent="0.3">
      <c r="A140" t="s">
        <v>235</v>
      </c>
      <c r="B140" s="330">
        <f>SUMIF('Materials Calculations'!B:B,MaterialData32[[#This Row],[Material]],'Materials Calculations'!F:F)</f>
        <v>0</v>
      </c>
      <c r="C140" s="330">
        <f>SUMIF('Materials Calculations'!B:B,MaterialData32[[#This Row],[Material]],'Materials Calculations'!H:H)</f>
        <v>0</v>
      </c>
      <c r="D140" s="330">
        <f>SUMIF('Materials Calculations'!B:B,MaterialData32[[#This Row],[Material]],'Materials Calculations'!AI:AI)</f>
        <v>0</v>
      </c>
      <c r="F140" t="str">
        <v xml:space="preserve">Glass - Float or coated glass </v>
      </c>
      <c r="G140">
        <v>0</v>
      </c>
      <c r="H140">
        <v>0</v>
      </c>
      <c r="I140">
        <v>0</v>
      </c>
      <c r="K140" t="str">
        <v xml:space="preserve">Glass - Float or coated glass </v>
      </c>
      <c r="L140" s="322">
        <v>0</v>
      </c>
      <c r="M140" s="322">
        <v>0</v>
      </c>
      <c r="N140" s="322">
        <v>0</v>
      </c>
    </row>
    <row r="141" spans="1:14" x14ac:dyDescent="0.3">
      <c r="A141" t="s">
        <v>237</v>
      </c>
      <c r="B141" s="330">
        <f>SUMIF('Materials Calculations'!B:B,MaterialData32[[#This Row],[Material]],'Materials Calculations'!F:F)</f>
        <v>0</v>
      </c>
      <c r="C141" s="330">
        <f>SUMIF('Materials Calculations'!B:B,MaterialData32[[#This Row],[Material]],'Materials Calculations'!H:H)</f>
        <v>0</v>
      </c>
      <c r="D141" s="330">
        <f>SUMIF('Materials Calculations'!B:B,MaterialData32[[#This Row],[Material]],'Materials Calculations'!AI:AI)</f>
        <v>0</v>
      </c>
      <c r="F141" t="str">
        <v xml:space="preserve">Glass - Glazing triple, per kg </v>
      </c>
      <c r="G141">
        <v>0</v>
      </c>
      <c r="H141">
        <v>0</v>
      </c>
      <c r="I141">
        <v>0</v>
      </c>
      <c r="K141" t="str">
        <v xml:space="preserve">Glass - Glazing triple, per kg </v>
      </c>
      <c r="L141" s="322">
        <v>0</v>
      </c>
      <c r="M141" s="322">
        <v>0</v>
      </c>
      <c r="N141" s="322">
        <v>0</v>
      </c>
    </row>
    <row r="142" spans="1:14" x14ac:dyDescent="0.3">
      <c r="A142" t="s">
        <v>238</v>
      </c>
      <c r="B142" s="330">
        <f>SUMIF('Materials Calculations'!B:B,MaterialData32[[#This Row],[Material]],'Materials Calculations'!F:F)</f>
        <v>0</v>
      </c>
      <c r="C142" s="330">
        <f>SUMIF('Materials Calculations'!B:B,MaterialData32[[#This Row],[Material]],'Materials Calculations'!H:H)</f>
        <v>0</v>
      </c>
      <c r="D142" s="330">
        <f>SUMIF('Materials Calculations'!B:B,MaterialData32[[#This Row],[Material]],'Materials Calculations'!AI:AI)</f>
        <v>0</v>
      </c>
      <c r="F142" t="str">
        <v xml:space="preserve">Glass - Toughened, per kg </v>
      </c>
      <c r="G142">
        <v>0</v>
      </c>
      <c r="H142">
        <v>0</v>
      </c>
      <c r="I142">
        <v>0</v>
      </c>
      <c r="K142" t="str">
        <v xml:space="preserve">Glass - Toughened, per kg </v>
      </c>
      <c r="L142" s="322">
        <v>0</v>
      </c>
      <c r="M142" s="322">
        <v>0</v>
      </c>
      <c r="N142" s="322">
        <v>0</v>
      </c>
    </row>
    <row r="143" spans="1:14" x14ac:dyDescent="0.3">
      <c r="A143" t="s">
        <v>239</v>
      </c>
      <c r="B143" s="330">
        <f>SUMIF('Materials Calculations'!B:B,MaterialData32[[#This Row],[Material]],'Materials Calculations'!F:F)</f>
        <v>0</v>
      </c>
      <c r="C143" s="330">
        <f>SUMIF('Materials Calculations'!B:B,MaterialData32[[#This Row],[Material]],'Materials Calculations'!H:H)</f>
        <v>0</v>
      </c>
      <c r="D143" s="330">
        <f>SUMIF('Materials Calculations'!B:B,MaterialData32[[#This Row],[Material]],'Materials Calculations'!AI:AI)</f>
        <v>0</v>
      </c>
      <c r="F143" t="str">
        <v xml:space="preserve">Glass - Multi layer safety, filled core, fire resistant, toughened, per kg </v>
      </c>
      <c r="G143">
        <v>0</v>
      </c>
      <c r="H143">
        <v>0</v>
      </c>
      <c r="I143">
        <v>0</v>
      </c>
      <c r="K143" t="str">
        <v xml:space="preserve">Glass - Multi layer safety, filled core, fire resistant, toughened, per kg </v>
      </c>
      <c r="L143" s="322">
        <v>0</v>
      </c>
      <c r="M143" s="322">
        <v>0</v>
      </c>
      <c r="N143" s="322">
        <v>0</v>
      </c>
    </row>
    <row r="144" spans="1:14" x14ac:dyDescent="0.3">
      <c r="A144" t="s">
        <v>240</v>
      </c>
      <c r="B144" s="330">
        <f>SUMIF('Materials Calculations'!B:B,MaterialData32[[#This Row],[Material]],'Materials Calculations'!F:F)</f>
        <v>0</v>
      </c>
      <c r="C144" s="330">
        <f>SUMIF('Materials Calculations'!B:B,MaterialData32[[#This Row],[Material]],'Materials Calculations'!H:H)</f>
        <v>0</v>
      </c>
      <c r="D144" s="330">
        <f>SUMIF('Materials Calculations'!B:B,MaterialData32[[#This Row],[Material]],'Materials Calculations'!AI:AI)</f>
        <v>0</v>
      </c>
      <c r="F144" t="str">
        <v xml:space="preserve">Glass - Multi layer safety, unfilled, per kg </v>
      </c>
      <c r="G144">
        <v>0</v>
      </c>
      <c r="H144">
        <v>0</v>
      </c>
      <c r="I144">
        <v>0</v>
      </c>
      <c r="K144" t="str">
        <v xml:space="preserve">Glass - Multi layer safety, unfilled, per kg </v>
      </c>
      <c r="L144" s="322">
        <v>0</v>
      </c>
      <c r="M144" s="322">
        <v>0</v>
      </c>
      <c r="N144" s="322">
        <v>0</v>
      </c>
    </row>
    <row r="145" spans="1:14" x14ac:dyDescent="0.3">
      <c r="A145" t="s">
        <v>241</v>
      </c>
      <c r="B145" s="330">
        <f>SUMIF('Materials Calculations'!B:B,MaterialData32[[#This Row],[Material]],'Materials Calculations'!F:F)</f>
        <v>0</v>
      </c>
      <c r="C145" s="330">
        <f>SUMIF('Materials Calculations'!B:B,MaterialData32[[#This Row],[Material]],'Materials Calculations'!H:H)</f>
        <v>0</v>
      </c>
      <c r="D145" s="330">
        <f>SUMIF('Materials Calculations'!B:B,MaterialData32[[#This Row],[Material]],'Materials Calculations'!AI:AI)</f>
        <v>0</v>
      </c>
      <c r="F145" t="str">
        <v xml:space="preserve">Glass - Sky light or roof, with frame, per kg </v>
      </c>
      <c r="G145">
        <v>0</v>
      </c>
      <c r="H145">
        <v>0</v>
      </c>
      <c r="I145">
        <v>0</v>
      </c>
      <c r="K145" t="str">
        <v xml:space="preserve">Glass - Sky light or roof, with frame, per kg </v>
      </c>
      <c r="L145" s="322">
        <v>0</v>
      </c>
      <c r="M145" s="322">
        <v>0</v>
      </c>
      <c r="N145" s="322">
        <v>0</v>
      </c>
    </row>
    <row r="146" spans="1:14" x14ac:dyDescent="0.3">
      <c r="A146" t="s">
        <v>244</v>
      </c>
      <c r="B146" s="330">
        <f>SUMIF('Materials Calculations'!B:B,MaterialData32[[#This Row],[Material]],'Materials Calculations'!F:F)</f>
        <v>0</v>
      </c>
      <c r="C146" s="330">
        <f>SUMIF('Materials Calculations'!B:B,MaterialData32[[#This Row],[Material]],'Materials Calculations'!H:H)</f>
        <v>0</v>
      </c>
      <c r="D146" s="330">
        <f>SUMIF('Materials Calculations'!B:B,MaterialData32[[#This Row],[Material]],'Materials Calculations'!AI:AI)</f>
        <v>0</v>
      </c>
      <c r="F146" t="str">
        <v>Insulation - Cellulose</v>
      </c>
      <c r="G146">
        <v>0</v>
      </c>
      <c r="H146">
        <v>0</v>
      </c>
      <c r="I146">
        <v>0</v>
      </c>
      <c r="K146" t="str">
        <v>Insulation - Cellulose</v>
      </c>
      <c r="L146" s="322">
        <v>0</v>
      </c>
      <c r="M146" s="322">
        <v>0</v>
      </c>
      <c r="N146" s="322">
        <v>0</v>
      </c>
    </row>
    <row r="147" spans="1:14" x14ac:dyDescent="0.3">
      <c r="A147" t="s">
        <v>246</v>
      </c>
      <c r="B147" s="330">
        <f>SUMIF('Materials Calculations'!B:B,MaterialData32[[#This Row],[Material]],'Materials Calculations'!F:F)</f>
        <v>0</v>
      </c>
      <c r="C147" s="330">
        <f>SUMIF('Materials Calculations'!B:B,MaterialData32[[#This Row],[Material]],'Materials Calculations'!H:H)</f>
        <v>0</v>
      </c>
      <c r="D147" s="330">
        <f>SUMIF('Materials Calculations'!B:B,MaterialData32[[#This Row],[Material]],'Materials Calculations'!AI:AI)</f>
        <v>0</v>
      </c>
      <c r="F147" t="str">
        <v>Insulation - Sheepswool</v>
      </c>
      <c r="G147">
        <v>0</v>
      </c>
      <c r="H147">
        <v>0</v>
      </c>
      <c r="I147">
        <v>0</v>
      </c>
      <c r="K147" t="str">
        <v>Insulation - Sheepswool</v>
      </c>
      <c r="L147" s="322">
        <v>0</v>
      </c>
      <c r="M147" s="322">
        <v>0</v>
      </c>
      <c r="N147" s="322">
        <v>0</v>
      </c>
    </row>
    <row r="148" spans="1:14" x14ac:dyDescent="0.3">
      <c r="A148" t="s">
        <v>247</v>
      </c>
      <c r="B148" s="330">
        <f>SUMIF('Materials Calculations'!B:B,MaterialData32[[#This Row],[Material]],'Materials Calculations'!F:F)</f>
        <v>0</v>
      </c>
      <c r="C148" s="330">
        <f>SUMIF('Materials Calculations'!B:B,MaterialData32[[#This Row],[Material]],'Materials Calculations'!H:H)</f>
        <v>0</v>
      </c>
      <c r="D148" s="330">
        <f>SUMIF('Materials Calculations'!B:B,MaterialData32[[#This Row],[Material]],'Materials Calculations'!AI:AI)</f>
        <v>0</v>
      </c>
      <c r="F148" t="str">
        <v>Insulation - Woodfibre</v>
      </c>
      <c r="G148">
        <v>0</v>
      </c>
      <c r="H148">
        <v>0</v>
      </c>
      <c r="I148">
        <v>0</v>
      </c>
      <c r="K148" t="str">
        <v>Insulation - Woodfibre</v>
      </c>
      <c r="L148" s="322">
        <v>0</v>
      </c>
      <c r="M148" s="322">
        <v>0</v>
      </c>
      <c r="N148" s="322">
        <v>0</v>
      </c>
    </row>
    <row r="149" spans="1:14" x14ac:dyDescent="0.3">
      <c r="A149" t="s">
        <v>248</v>
      </c>
      <c r="B149" s="330">
        <f>SUMIF('Materials Calculations'!B:B,MaterialData32[[#This Row],[Material]],'Materials Calculations'!F:F)</f>
        <v>0</v>
      </c>
      <c r="C149" s="330">
        <f>SUMIF('Materials Calculations'!B:B,MaterialData32[[#This Row],[Material]],'Materials Calculations'!H:H)</f>
        <v>0</v>
      </c>
      <c r="D149" s="330">
        <f>SUMIF('Materials Calculations'!B:B,MaterialData32[[#This Row],[Material]],'Materials Calculations'!AI:AI)</f>
        <v>0</v>
      </c>
      <c r="F149" t="str">
        <v>Insulation - Hemp fibre insulation (https://www.environdec.com/library/epd1961)</v>
      </c>
      <c r="G149">
        <v>0</v>
      </c>
      <c r="H149">
        <v>0</v>
      </c>
      <c r="I149">
        <v>0</v>
      </c>
      <c r="K149" t="str">
        <v>Insulation - Hemp fibre insulation (https://www.environdec.com/library/epd1961)</v>
      </c>
      <c r="L149" s="322">
        <v>0</v>
      </c>
      <c r="M149" s="322">
        <v>0</v>
      </c>
      <c r="N149" s="322">
        <v>0</v>
      </c>
    </row>
    <row r="150" spans="1:14" x14ac:dyDescent="0.3">
      <c r="A150" t="s">
        <v>251</v>
      </c>
      <c r="B150" s="330">
        <f>SUMIF('Materials Calculations'!B:B,MaterialData32[[#This Row],[Material]],'Materials Calculations'!F:F)</f>
        <v>0</v>
      </c>
      <c r="C150" s="330">
        <f>SUMIF('Materials Calculations'!B:B,MaterialData32[[#This Row],[Material]],'Materials Calculations'!H:H)</f>
        <v>0</v>
      </c>
      <c r="D150" s="330">
        <f>SUMIF('Materials Calculations'!B:B,MaterialData32[[#This Row],[Material]],'Materials Calculations'!AI:AI)</f>
        <v>0</v>
      </c>
      <c r="F150" t="str">
        <v>Insulation - Fibreglass (Glasswool)</v>
      </c>
      <c r="G150">
        <v>0</v>
      </c>
      <c r="H150">
        <v>0</v>
      </c>
      <c r="I150">
        <v>0</v>
      </c>
      <c r="K150" t="str">
        <v>Insulation - Fibreglass (Glasswool)</v>
      </c>
      <c r="L150" s="322">
        <v>0</v>
      </c>
      <c r="M150" s="322">
        <v>0</v>
      </c>
      <c r="N150" s="322">
        <v>0</v>
      </c>
    </row>
    <row r="151" spans="1:14" x14ac:dyDescent="0.3">
      <c r="A151" t="s">
        <v>252</v>
      </c>
      <c r="B151" s="330">
        <f>SUMIF('Materials Calculations'!B:B,MaterialData32[[#This Row],[Material]],'Materials Calculations'!F:F)</f>
        <v>0</v>
      </c>
      <c r="C151" s="330">
        <f>SUMIF('Materials Calculations'!B:B,MaterialData32[[#This Row],[Material]],'Materials Calculations'!H:H)</f>
        <v>0</v>
      </c>
      <c r="D151" s="330">
        <f>SUMIF('Materials Calculations'!B:B,MaterialData32[[#This Row],[Material]],'Materials Calculations'!AI:AI)</f>
        <v>0</v>
      </c>
      <c r="F151" t="str">
        <v>Insulation - Paper wool</v>
      </c>
      <c r="G151">
        <v>0</v>
      </c>
      <c r="H151">
        <v>0</v>
      </c>
      <c r="I151">
        <v>0</v>
      </c>
      <c r="K151" t="str">
        <v>Insulation - Paper wool</v>
      </c>
      <c r="L151" s="322">
        <v>0</v>
      </c>
      <c r="M151" s="322">
        <v>0</v>
      </c>
      <c r="N151" s="322">
        <v>0</v>
      </c>
    </row>
    <row r="152" spans="1:14" x14ac:dyDescent="0.3">
      <c r="A152" t="s">
        <v>253</v>
      </c>
      <c r="B152" s="330">
        <f>SUMIF('Materials Calculations'!B:B,MaterialData32[[#This Row],[Material]],'Materials Calculations'!F:F)</f>
        <v>0</v>
      </c>
      <c r="C152" s="330">
        <f>SUMIF('Materials Calculations'!B:B,MaterialData32[[#This Row],[Material]],'Materials Calculations'!H:H)</f>
        <v>0</v>
      </c>
      <c r="D152" s="330">
        <f>SUMIF('Materials Calculations'!B:B,MaterialData32[[#This Row],[Material]],'Materials Calculations'!AI:AI)</f>
        <v>0</v>
      </c>
      <c r="F152" t="str">
        <v>Insulation - Polystyrene</v>
      </c>
      <c r="G152">
        <v>0</v>
      </c>
      <c r="H152">
        <v>0</v>
      </c>
      <c r="I152">
        <v>0</v>
      </c>
      <c r="K152" t="str">
        <v>Insulation - Polystyrene</v>
      </c>
      <c r="L152" s="322">
        <v>0</v>
      </c>
      <c r="M152" s="322">
        <v>0</v>
      </c>
      <c r="N152" s="322">
        <v>0</v>
      </c>
    </row>
    <row r="153" spans="1:14" x14ac:dyDescent="0.3">
      <c r="A153" t="s">
        <v>254</v>
      </c>
      <c r="B153" s="330">
        <f>SUMIF('Materials Calculations'!B:B,MaterialData32[[#This Row],[Material]],'Materials Calculations'!F:F)</f>
        <v>0</v>
      </c>
      <c r="C153" s="330">
        <f>SUMIF('Materials Calculations'!B:B,MaterialData32[[#This Row],[Material]],'Materials Calculations'!H:H)</f>
        <v>0</v>
      </c>
      <c r="D153" s="330">
        <f>SUMIF('Materials Calculations'!B:B,MaterialData32[[#This Row],[Material]],'Materials Calculations'!AI:AI)</f>
        <v>0</v>
      </c>
      <c r="F153" t="str">
        <v>Insulation - Polyurethane</v>
      </c>
      <c r="G153">
        <v>0</v>
      </c>
      <c r="H153">
        <v>0</v>
      </c>
      <c r="I153">
        <v>0</v>
      </c>
      <c r="K153" t="str">
        <v>Insulation - Polyurethane</v>
      </c>
      <c r="L153" s="322">
        <v>0</v>
      </c>
      <c r="M153" s="322">
        <v>0</v>
      </c>
      <c r="N153" s="322">
        <v>0</v>
      </c>
    </row>
    <row r="154" spans="1:14" x14ac:dyDescent="0.3">
      <c r="A154" t="s">
        <v>255</v>
      </c>
      <c r="B154" s="330">
        <f>SUMIF('Materials Calculations'!B:B,MaterialData32[[#This Row],[Material]],'Materials Calculations'!F:F)</f>
        <v>0</v>
      </c>
      <c r="C154" s="330">
        <f>SUMIF('Materials Calculations'!B:B,MaterialData32[[#This Row],[Material]],'Materials Calculations'!H:H)</f>
        <v>0</v>
      </c>
      <c r="D154" s="330">
        <f>SUMIF('Materials Calculations'!B:B,MaterialData32[[#This Row],[Material]],'Materials Calculations'!AI:AI)</f>
        <v>0</v>
      </c>
      <c r="F154" t="str">
        <v>Insulation - Rockwool</v>
      </c>
      <c r="G154">
        <v>0</v>
      </c>
      <c r="H154">
        <v>0</v>
      </c>
      <c r="I154">
        <v>0</v>
      </c>
      <c r="K154" t="str">
        <v>Insulation - Rockwool</v>
      </c>
      <c r="L154" s="322">
        <v>0</v>
      </c>
      <c r="M154" s="322">
        <v>0</v>
      </c>
      <c r="N154" s="322">
        <v>0</v>
      </c>
    </row>
    <row r="155" spans="1:14" x14ac:dyDescent="0.3">
      <c r="A155" t="s">
        <v>256</v>
      </c>
      <c r="B155" s="330">
        <f>SUMIF('Materials Calculations'!B:B,MaterialData32[[#This Row],[Material]],'Materials Calculations'!F:F)</f>
        <v>0</v>
      </c>
      <c r="C155" s="330">
        <f>SUMIF('Materials Calculations'!B:B,MaterialData32[[#This Row],[Material]],'Materials Calculations'!H:H)</f>
        <v>0</v>
      </c>
      <c r="D155" s="330">
        <f>SUMIF('Materials Calculations'!B:B,MaterialData32[[#This Row],[Material]],'Materials Calculations'!AI:AI)</f>
        <v>0</v>
      </c>
      <c r="F155" t="str">
        <v>Insulation - Woodwool (Board)</v>
      </c>
      <c r="G155">
        <v>0</v>
      </c>
      <c r="H155">
        <v>0</v>
      </c>
      <c r="I155">
        <v>0</v>
      </c>
      <c r="K155" t="str">
        <v>Insulation - Woodwool (Board)</v>
      </c>
      <c r="L155" s="322">
        <v>0</v>
      </c>
      <c r="M155" s="322">
        <v>0</v>
      </c>
      <c r="N155" s="322">
        <v>0</v>
      </c>
    </row>
    <row r="156" spans="1:14" x14ac:dyDescent="0.3">
      <c r="A156" t="s">
        <v>258</v>
      </c>
      <c r="B156" s="330">
        <f>SUMIF('Materials Calculations'!B:B,MaterialData32[[#This Row],[Material]],'Materials Calculations'!F:F)</f>
        <v>0</v>
      </c>
      <c r="C156" s="330">
        <f>SUMIF('Materials Calculations'!B:B,MaterialData32[[#This Row],[Material]],'Materials Calculations'!H:H)</f>
        <v>0</v>
      </c>
      <c r="D156" s="330">
        <f>SUMIF('Materials Calculations'!B:B,MaterialData32[[#This Row],[Material]],'Materials Calculations'!AI:AI)</f>
        <v>0</v>
      </c>
      <c r="F156" t="str">
        <v xml:space="preserve">Metals - Hot rolled steel coil </v>
      </c>
      <c r="G156">
        <v>0</v>
      </c>
      <c r="H156">
        <v>0</v>
      </c>
      <c r="I156">
        <v>0</v>
      </c>
      <c r="K156" t="str">
        <v xml:space="preserve">Metals - Hot rolled steel coil </v>
      </c>
      <c r="L156" s="322">
        <v>0</v>
      </c>
      <c r="M156" s="322">
        <v>0</v>
      </c>
      <c r="N156" s="322">
        <v>0</v>
      </c>
    </row>
    <row r="157" spans="1:14" x14ac:dyDescent="0.3">
      <c r="A157" t="s">
        <v>259</v>
      </c>
      <c r="B157" s="330">
        <f>SUMIF('Materials Calculations'!B:B,MaterialData32[[#This Row],[Material]],'Materials Calculations'!F:F)</f>
        <v>0</v>
      </c>
      <c r="C157" s="330">
        <f>SUMIF('Materials Calculations'!B:B,MaterialData32[[#This Row],[Material]],'Materials Calculations'!H:H)</f>
        <v>0</v>
      </c>
      <c r="D157" s="330">
        <f>SUMIF('Materials Calculations'!B:B,MaterialData32[[#This Row],[Material]],'Materials Calculations'!AI:AI)</f>
        <v>0</v>
      </c>
      <c r="F157" t="str">
        <v xml:space="preserve">Metals - Cold rolled coil </v>
      </c>
      <c r="G157">
        <v>0</v>
      </c>
      <c r="H157">
        <v>0</v>
      </c>
      <c r="I157">
        <v>0</v>
      </c>
      <c r="K157" t="str">
        <v xml:space="preserve">Metals - Cold rolled coil </v>
      </c>
      <c r="L157" s="322">
        <v>0</v>
      </c>
      <c r="M157" s="322">
        <v>0</v>
      </c>
      <c r="N157" s="322">
        <v>0</v>
      </c>
    </row>
    <row r="158" spans="1:14" x14ac:dyDescent="0.3">
      <c r="A158" t="s">
        <v>261</v>
      </c>
      <c r="B158" s="330">
        <f>SUMIF('Materials Calculations'!B:B,MaterialData32[[#This Row],[Material]],'Materials Calculations'!F:F)</f>
        <v>0</v>
      </c>
      <c r="C158" s="330">
        <f>SUMIF('Materials Calculations'!B:B,MaterialData32[[#This Row],[Material]],'Materials Calculations'!H:H)</f>
        <v>0</v>
      </c>
      <c r="D158" s="330">
        <f>SUMIF('Materials Calculations'!B:B,MaterialData32[[#This Row],[Material]],'Materials Calculations'!AI:AI)</f>
        <v>0</v>
      </c>
      <c r="F158" t="str">
        <v xml:space="preserve">Metals - Organic coated steel </v>
      </c>
      <c r="G158">
        <v>0</v>
      </c>
      <c r="H158">
        <v>0</v>
      </c>
      <c r="I158">
        <v>0</v>
      </c>
      <c r="K158" t="str">
        <v xml:space="preserve">Metals - Organic coated steel </v>
      </c>
      <c r="L158" s="322">
        <v>0</v>
      </c>
      <c r="M158" s="322">
        <v>0</v>
      </c>
      <c r="N158" s="322">
        <v>0</v>
      </c>
    </row>
    <row r="159" spans="1:14" x14ac:dyDescent="0.3">
      <c r="A159" t="s">
        <v>262</v>
      </c>
      <c r="B159" s="330">
        <f>SUMIF('Materials Calculations'!B:B,MaterialData32[[#This Row],[Material]],'Materials Calculations'!F:F)</f>
        <v>0</v>
      </c>
      <c r="C159" s="330">
        <f>SUMIF('Materials Calculations'!B:B,MaterialData32[[#This Row],[Material]],'Materials Calculations'!H:H)</f>
        <v>0</v>
      </c>
      <c r="D159" s="330">
        <f>SUMIF('Materials Calculations'!B:B,MaterialData32[[#This Row],[Material]],'Materials Calculations'!AI:AI)</f>
        <v>0</v>
      </c>
      <c r="F159" t="str">
        <v>Metals - Steel section and steel rail value for Ireland</v>
      </c>
      <c r="G159">
        <v>0</v>
      </c>
      <c r="H159">
        <v>0</v>
      </c>
      <c r="I159">
        <v>0</v>
      </c>
      <c r="K159" t="str">
        <v>Metals - Steel section and steel rail value for Ireland</v>
      </c>
      <c r="L159" s="322">
        <v>0</v>
      </c>
      <c r="M159" s="322">
        <v>0</v>
      </c>
      <c r="N159" s="322">
        <v>0</v>
      </c>
    </row>
    <row r="160" spans="1:14" x14ac:dyDescent="0.3">
      <c r="A160" t="s">
        <v>265</v>
      </c>
      <c r="B160" s="330">
        <f>SUMIF('Materials Calculations'!B:B,MaterialData32[[#This Row],[Material]],'Materials Calculations'!F:F)</f>
        <v>0</v>
      </c>
      <c r="C160" s="330">
        <f>SUMIF('Materials Calculations'!B:B,MaterialData32[[#This Row],[Material]],'Materials Calculations'!H:H)</f>
        <v>0</v>
      </c>
      <c r="D160" s="330">
        <f>SUMIF('Materials Calculations'!B:B,MaterialData32[[#This Row],[Material]],'Materials Calculations'!AI:AI)</f>
        <v>0</v>
      </c>
      <c r="F160" t="str">
        <v xml:space="preserve">Metals - Aluminium foil </v>
      </c>
      <c r="G160">
        <v>0</v>
      </c>
      <c r="H160">
        <v>0</v>
      </c>
      <c r="I160">
        <v>0</v>
      </c>
      <c r="K160" t="str">
        <v xml:space="preserve">Metals - Aluminium foil </v>
      </c>
      <c r="L160" s="322">
        <v>0</v>
      </c>
      <c r="M160" s="322">
        <v>0</v>
      </c>
      <c r="N160" s="322">
        <v>0</v>
      </c>
    </row>
    <row r="161" spans="1:14" x14ac:dyDescent="0.3">
      <c r="A161" t="s">
        <v>266</v>
      </c>
      <c r="B161" s="330">
        <f>SUMIF('Materials Calculations'!B:B,MaterialData32[[#This Row],[Material]],'Materials Calculations'!F:F)</f>
        <v>0</v>
      </c>
      <c r="C161" s="330">
        <f>SUMIF('Materials Calculations'!B:B,MaterialData32[[#This Row],[Material]],'Materials Calculations'!H:H)</f>
        <v>0</v>
      </c>
      <c r="D161" s="330">
        <f>SUMIF('Materials Calculations'!B:B,MaterialData32[[#This Row],[Material]],'Materials Calculations'!AI:AI)</f>
        <v>0</v>
      </c>
      <c r="F161" t="str">
        <v xml:space="preserve">Metals - Aluminium extrusion </v>
      </c>
      <c r="G161">
        <v>0</v>
      </c>
      <c r="H161">
        <v>0</v>
      </c>
      <c r="I161">
        <v>0</v>
      </c>
      <c r="K161" t="str">
        <v xml:space="preserve">Metals - Aluminium extrusion </v>
      </c>
      <c r="L161" s="322">
        <v>0</v>
      </c>
      <c r="M161" s="322">
        <v>0</v>
      </c>
      <c r="N161" s="322">
        <v>0</v>
      </c>
    </row>
    <row r="162" spans="1:14" x14ac:dyDescent="0.3">
      <c r="A162" t="s">
        <v>267</v>
      </c>
      <c r="B162" s="330">
        <f>SUMIF('Materials Calculations'!B:B,MaterialData32[[#This Row],[Material]],'Materials Calculations'!F:F)</f>
        <v>0</v>
      </c>
      <c r="C162" s="330">
        <f>SUMIF('Materials Calculations'!B:B,MaterialData32[[#This Row],[Material]],'Materials Calculations'!H:H)</f>
        <v>0</v>
      </c>
      <c r="D162" s="330">
        <f>SUMIF('Materials Calculations'!B:B,MaterialData32[[#This Row],[Material]],'Materials Calculations'!AI:AI)</f>
        <v>0</v>
      </c>
      <c r="F162" t="str">
        <v>Metals - Bronze</v>
      </c>
      <c r="G162">
        <v>0</v>
      </c>
      <c r="H162">
        <v>0</v>
      </c>
      <c r="I162">
        <v>0</v>
      </c>
      <c r="K162" t="str">
        <v>Metals - Bronze</v>
      </c>
      <c r="L162" s="322">
        <v>0</v>
      </c>
      <c r="M162" s="322">
        <v>0</v>
      </c>
      <c r="N162" s="322">
        <v>0</v>
      </c>
    </row>
    <row r="163" spans="1:14" x14ac:dyDescent="0.3">
      <c r="A163" t="s">
        <v>269</v>
      </c>
      <c r="B163" s="330">
        <f>SUMIF('Materials Calculations'!B:B,MaterialData32[[#This Row],[Material]],'Materials Calculations'!F:F)</f>
        <v>0</v>
      </c>
      <c r="C163" s="330">
        <f>SUMIF('Materials Calculations'!B:B,MaterialData32[[#This Row],[Material]],'Materials Calculations'!H:H)</f>
        <v>0</v>
      </c>
      <c r="D163" s="330">
        <f>SUMIF('Materials Calculations'!B:B,MaterialData32[[#This Row],[Material]],'Materials Calculations'!AI:AI)</f>
        <v>0</v>
      </c>
      <c r="F163" t="str">
        <v>Metals -  Iron</v>
      </c>
      <c r="G163">
        <v>0</v>
      </c>
      <c r="H163">
        <v>0</v>
      </c>
      <c r="I163">
        <v>0</v>
      </c>
      <c r="K163" t="str">
        <v>Metals -  Iron</v>
      </c>
      <c r="L163" s="322">
        <v>0</v>
      </c>
      <c r="M163" s="322">
        <v>0</v>
      </c>
      <c r="N163" s="322">
        <v>0</v>
      </c>
    </row>
    <row r="164" spans="1:14" x14ac:dyDescent="0.3">
      <c r="A164" t="s">
        <v>270</v>
      </c>
      <c r="B164" s="330">
        <f>SUMIF('Materials Calculations'!B:B,MaterialData32[[#This Row],[Material]],'Materials Calculations'!F:F)</f>
        <v>0</v>
      </c>
      <c r="C164" s="330">
        <f>SUMIF('Materials Calculations'!B:B,MaterialData32[[#This Row],[Material]],'Materials Calculations'!H:H)</f>
        <v>0</v>
      </c>
      <c r="D164" s="330">
        <f>SUMIF('Materials Calculations'!B:B,MaterialData32[[#This Row],[Material]],'Materials Calculations'!AI:AI)</f>
        <v>0</v>
      </c>
      <c r="F164" t="str">
        <v>Metals - Lead</v>
      </c>
      <c r="G164">
        <v>0</v>
      </c>
      <c r="H164">
        <v>0</v>
      </c>
      <c r="I164">
        <v>0</v>
      </c>
      <c r="K164" t="str">
        <v>Metals - Lead</v>
      </c>
      <c r="L164" s="322">
        <v>0</v>
      </c>
      <c r="M164" s="322">
        <v>0</v>
      </c>
      <c r="N164" s="322">
        <v>0</v>
      </c>
    </row>
    <row r="165" spans="1:14" x14ac:dyDescent="0.3">
      <c r="A165" t="s">
        <v>271</v>
      </c>
      <c r="B165" s="330">
        <f>SUMIF('Materials Calculations'!B:B,MaterialData32[[#This Row],[Material]],'Materials Calculations'!F:F)</f>
        <v>0</v>
      </c>
      <c r="C165" s="330">
        <f>SUMIF('Materials Calculations'!B:B,MaterialData32[[#This Row],[Material]],'Materials Calculations'!H:H)</f>
        <v>0</v>
      </c>
      <c r="D165" s="330">
        <f>SUMIF('Materials Calculations'!B:B,MaterialData32[[#This Row],[Material]],'Materials Calculations'!AI:AI)</f>
        <v>0</v>
      </c>
      <c r="F165" t="str">
        <v>Metals - Chromium</v>
      </c>
      <c r="G165">
        <v>0</v>
      </c>
      <c r="H165">
        <v>0</v>
      </c>
      <c r="I165">
        <v>0</v>
      </c>
      <c r="K165" t="str">
        <v>Metals - Chromium</v>
      </c>
      <c r="L165" s="322">
        <v>0</v>
      </c>
      <c r="M165" s="322">
        <v>0</v>
      </c>
      <c r="N165" s="322">
        <v>0</v>
      </c>
    </row>
    <row r="166" spans="1:14" x14ac:dyDescent="0.3">
      <c r="A166" t="s">
        <v>272</v>
      </c>
      <c r="B166" s="330">
        <f>SUMIF('Materials Calculations'!B:B,MaterialData32[[#This Row],[Material]],'Materials Calculations'!F:F)</f>
        <v>0</v>
      </c>
      <c r="C166" s="330">
        <f>SUMIF('Materials Calculations'!B:B,MaterialData32[[#This Row],[Material]],'Materials Calculations'!H:H)</f>
        <v>0</v>
      </c>
      <c r="D166" s="330">
        <f>SUMIF('Materials Calculations'!B:B,MaterialData32[[#This Row],[Material]],'Materials Calculations'!AI:AI)</f>
        <v>0</v>
      </c>
      <c r="F166" t="str">
        <v>Metals - Lithium</v>
      </c>
      <c r="G166">
        <v>0</v>
      </c>
      <c r="H166">
        <v>0</v>
      </c>
      <c r="I166">
        <v>0</v>
      </c>
      <c r="K166" t="str">
        <v>Metals - Lithium</v>
      </c>
      <c r="L166" s="322">
        <v>0</v>
      </c>
      <c r="M166" s="322">
        <v>0</v>
      </c>
      <c r="N166" s="322">
        <v>0</v>
      </c>
    </row>
    <row r="167" spans="1:14" x14ac:dyDescent="0.3">
      <c r="A167" t="s">
        <v>273</v>
      </c>
      <c r="B167" s="330">
        <f>SUMIF('Materials Calculations'!B:B,MaterialData32[[#This Row],[Material]],'Materials Calculations'!F:F)</f>
        <v>0</v>
      </c>
      <c r="C167" s="330">
        <f>SUMIF('Materials Calculations'!B:B,MaterialData32[[#This Row],[Material]],'Materials Calculations'!H:H)</f>
        <v>0</v>
      </c>
      <c r="D167" s="330">
        <f>SUMIF('Materials Calculations'!B:B,MaterialData32[[#This Row],[Material]],'Materials Calculations'!AI:AI)</f>
        <v>0</v>
      </c>
      <c r="F167" t="str">
        <v>Metals - Manganese</v>
      </c>
      <c r="G167">
        <v>0</v>
      </c>
      <c r="H167">
        <v>0</v>
      </c>
      <c r="I167">
        <v>0</v>
      </c>
      <c r="K167" t="str">
        <v>Metals - Manganese</v>
      </c>
      <c r="L167" s="322">
        <v>0</v>
      </c>
      <c r="M167" s="322">
        <v>0</v>
      </c>
      <c r="N167" s="322">
        <v>0</v>
      </c>
    </row>
    <row r="168" spans="1:14" x14ac:dyDescent="0.3">
      <c r="A168" t="s">
        <v>274</v>
      </c>
      <c r="B168" s="330">
        <f>SUMIF('Materials Calculations'!B:B,MaterialData32[[#This Row],[Material]],'Materials Calculations'!F:F)</f>
        <v>0</v>
      </c>
      <c r="C168" s="330">
        <f>SUMIF('Materials Calculations'!B:B,MaterialData32[[#This Row],[Material]],'Materials Calculations'!H:H)</f>
        <v>0</v>
      </c>
      <c r="D168" s="330">
        <f>SUMIF('Materials Calculations'!B:B,MaterialData32[[#This Row],[Material]],'Materials Calculations'!AI:AI)</f>
        <v>0</v>
      </c>
      <c r="F168" t="str">
        <v>Metals - Mercury</v>
      </c>
      <c r="G168">
        <v>0</v>
      </c>
      <c r="H168">
        <v>0</v>
      </c>
      <c r="I168">
        <v>0</v>
      </c>
      <c r="K168" t="str">
        <v>Metals - Mercury</v>
      </c>
      <c r="L168" s="322">
        <v>0</v>
      </c>
      <c r="M168" s="322">
        <v>0</v>
      </c>
      <c r="N168" s="322">
        <v>0</v>
      </c>
    </row>
    <row r="169" spans="1:14" x14ac:dyDescent="0.3">
      <c r="A169" t="s">
        <v>275</v>
      </c>
      <c r="B169" s="330">
        <f>SUMIF('Materials Calculations'!B:B,MaterialData32[[#This Row],[Material]],'Materials Calculations'!F:F)</f>
        <v>0</v>
      </c>
      <c r="C169" s="330">
        <f>SUMIF('Materials Calculations'!B:B,MaterialData32[[#This Row],[Material]],'Materials Calculations'!H:H)</f>
        <v>0</v>
      </c>
      <c r="D169" s="330">
        <f>SUMIF('Materials Calculations'!B:B,MaterialData32[[#This Row],[Material]],'Materials Calculations'!AI:AI)</f>
        <v>0</v>
      </c>
      <c r="F169" t="str">
        <v>Metals - Nickel</v>
      </c>
      <c r="G169">
        <v>0</v>
      </c>
      <c r="H169">
        <v>0</v>
      </c>
      <c r="I169">
        <v>0</v>
      </c>
      <c r="K169" t="str">
        <v>Metals - Nickel</v>
      </c>
      <c r="L169" s="322">
        <v>0</v>
      </c>
      <c r="M169" s="322">
        <v>0</v>
      </c>
      <c r="N169" s="322">
        <v>0</v>
      </c>
    </row>
    <row r="170" spans="1:14" x14ac:dyDescent="0.3">
      <c r="A170" t="s">
        <v>276</v>
      </c>
      <c r="B170" s="330">
        <f>SUMIF('Materials Calculations'!B:B,MaterialData32[[#This Row],[Material]],'Materials Calculations'!F:F)</f>
        <v>0</v>
      </c>
      <c r="C170" s="330">
        <f>SUMIF('Materials Calculations'!B:B,MaterialData32[[#This Row],[Material]],'Materials Calculations'!H:H)</f>
        <v>0</v>
      </c>
      <c r="D170" s="330">
        <f>SUMIF('Materials Calculations'!B:B,MaterialData32[[#This Row],[Material]],'Materials Calculations'!AI:AI)</f>
        <v>0</v>
      </c>
      <c r="F170" t="str">
        <v>Metals - Silver</v>
      </c>
      <c r="G170">
        <v>0</v>
      </c>
      <c r="H170">
        <v>0</v>
      </c>
      <c r="I170">
        <v>0</v>
      </c>
      <c r="K170" t="str">
        <v>Metals - Silver</v>
      </c>
      <c r="L170" s="322">
        <v>0</v>
      </c>
      <c r="M170" s="322">
        <v>0</v>
      </c>
      <c r="N170" s="322">
        <v>0</v>
      </c>
    </row>
    <row r="171" spans="1:14" x14ac:dyDescent="0.3">
      <c r="A171" t="s">
        <v>277</v>
      </c>
      <c r="B171" s="330">
        <f>SUMIF('Materials Calculations'!B:B,MaterialData32[[#This Row],[Material]],'Materials Calculations'!F:F)</f>
        <v>0</v>
      </c>
      <c r="C171" s="330">
        <f>SUMIF('Materials Calculations'!B:B,MaterialData32[[#This Row],[Material]],'Materials Calculations'!H:H)</f>
        <v>0</v>
      </c>
      <c r="D171" s="330">
        <f>SUMIF('Materials Calculations'!B:B,MaterialData32[[#This Row],[Material]],'Materials Calculations'!AI:AI)</f>
        <v>0</v>
      </c>
      <c r="F171" t="str">
        <v>Metals - Steel, UO Pipe</v>
      </c>
      <c r="G171">
        <v>0</v>
      </c>
      <c r="H171">
        <v>0</v>
      </c>
      <c r="I171">
        <v>0</v>
      </c>
      <c r="K171" t="str">
        <v>Metals - Steel, UO Pipe</v>
      </c>
      <c r="L171" s="322">
        <v>0</v>
      </c>
      <c r="M171" s="322">
        <v>0</v>
      </c>
      <c r="N171" s="322">
        <v>0</v>
      </c>
    </row>
    <row r="172" spans="1:14" x14ac:dyDescent="0.3">
      <c r="A172" t="s">
        <v>278</v>
      </c>
      <c r="B172" s="330">
        <f>SUMIF('Materials Calculations'!B:B,MaterialData32[[#This Row],[Material]],'Materials Calculations'!F:F)</f>
        <v>0</v>
      </c>
      <c r="C172" s="330">
        <f>SUMIF('Materials Calculations'!B:B,MaterialData32[[#This Row],[Material]],'Materials Calculations'!H:H)</f>
        <v>0</v>
      </c>
      <c r="D172" s="330">
        <f>SUMIF('Materials Calculations'!B:B,MaterialData32[[#This Row],[Material]],'Materials Calculations'!AI:AI)</f>
        <v>0</v>
      </c>
      <c r="F172" t="str">
        <v>Metals - Steel, Tin-free Electrolytic Chrome Coated Steel Sheet - Tin-free (ECCS)</v>
      </c>
      <c r="G172">
        <v>0</v>
      </c>
      <c r="H172">
        <v>0</v>
      </c>
      <c r="I172">
        <v>0</v>
      </c>
      <c r="K172" t="str">
        <v>Metals - Steel, Tin-free Electrolytic Chrome Coated Steel Sheet - Tin-free (ECCS)</v>
      </c>
      <c r="L172" s="322">
        <v>0</v>
      </c>
      <c r="M172" s="322">
        <v>0</v>
      </c>
      <c r="N172" s="322">
        <v>0</v>
      </c>
    </row>
    <row r="173" spans="1:14" x14ac:dyDescent="0.3">
      <c r="A173" t="s">
        <v>279</v>
      </c>
      <c r="B173" s="330">
        <f>SUMIF('Materials Calculations'!B:B,MaterialData32[[#This Row],[Material]],'Materials Calculations'!F:F)</f>
        <v>0</v>
      </c>
      <c r="C173" s="330">
        <f>SUMIF('Materials Calculations'!B:B,MaterialData32[[#This Row],[Material]],'Materials Calculations'!H:H)</f>
        <v>0</v>
      </c>
      <c r="D173" s="330">
        <f>SUMIF('Materials Calculations'!B:B,MaterialData32[[#This Row],[Material]],'Materials Calculations'!AI:AI)</f>
        <v>0</v>
      </c>
      <c r="F173" t="str">
        <v>Metals - Steel, electrogalvanized steel</v>
      </c>
      <c r="G173">
        <v>0</v>
      </c>
      <c r="H173">
        <v>0</v>
      </c>
      <c r="I173">
        <v>0</v>
      </c>
      <c r="K173" t="str">
        <v>Metals - Steel, electrogalvanized steel</v>
      </c>
      <c r="L173" s="322">
        <v>0</v>
      </c>
      <c r="M173" s="322">
        <v>0</v>
      </c>
      <c r="N173" s="322">
        <v>0</v>
      </c>
    </row>
    <row r="174" spans="1:14" x14ac:dyDescent="0.3">
      <c r="A174" t="s">
        <v>280</v>
      </c>
      <c r="B174" s="330">
        <f>SUMIF('Materials Calculations'!B:B,MaterialData32[[#This Row],[Material]],'Materials Calculations'!F:F)</f>
        <v>0</v>
      </c>
      <c r="C174" s="330">
        <f>SUMIF('Materials Calculations'!B:B,MaterialData32[[#This Row],[Material]],'Materials Calculations'!H:H)</f>
        <v>0</v>
      </c>
      <c r="D174" s="330">
        <f>SUMIF('Materials Calculations'!B:B,MaterialData32[[#This Row],[Material]],'Materials Calculations'!AI:AI)</f>
        <v>0</v>
      </c>
      <c r="F174" t="str">
        <v>Metals - Steel, welded pipe</v>
      </c>
      <c r="G174">
        <v>0</v>
      </c>
      <c r="H174">
        <v>0</v>
      </c>
      <c r="I174">
        <v>0</v>
      </c>
      <c r="K174" t="str">
        <v>Metals - Steel, welded pipe</v>
      </c>
      <c r="L174" s="322">
        <v>0</v>
      </c>
      <c r="M174" s="322">
        <v>0</v>
      </c>
      <c r="N174" s="322">
        <v>0</v>
      </c>
    </row>
    <row r="175" spans="1:14" x14ac:dyDescent="0.3">
      <c r="A175" t="s">
        <v>281</v>
      </c>
      <c r="B175" s="330">
        <f>SUMIF('Materials Calculations'!B:B,MaterialData32[[#This Row],[Material]],'Materials Calculations'!F:F)</f>
        <v>0</v>
      </c>
      <c r="C175" s="330">
        <f>SUMIF('Materials Calculations'!B:B,MaterialData32[[#This Row],[Material]],'Materials Calculations'!H:H)</f>
        <v>0</v>
      </c>
      <c r="D175" s="330">
        <f>SUMIF('Materials Calculations'!B:B,MaterialData32[[#This Row],[Material]],'Materials Calculations'!AI:AI)</f>
        <v>0</v>
      </c>
      <c r="F175" t="str">
        <v>Metals - Steel, Organic coated sheet</v>
      </c>
      <c r="G175">
        <v>0</v>
      </c>
      <c r="H175">
        <v>0</v>
      </c>
      <c r="I175">
        <v>0</v>
      </c>
      <c r="K175" t="str">
        <v>Metals - Steel, Organic coated sheet</v>
      </c>
      <c r="L175" s="322">
        <v>0</v>
      </c>
      <c r="M175" s="322">
        <v>0</v>
      </c>
      <c r="N175" s="322">
        <v>0</v>
      </c>
    </row>
    <row r="176" spans="1:14" x14ac:dyDescent="0.3">
      <c r="A176" t="s">
        <v>282</v>
      </c>
      <c r="B176" s="330">
        <f>SUMIF('Materials Calculations'!B:B,MaterialData32[[#This Row],[Material]],'Materials Calculations'!F:F)</f>
        <v>0</v>
      </c>
      <c r="C176" s="330">
        <f>SUMIF('Materials Calculations'!B:B,MaterialData32[[#This Row],[Material]],'Materials Calculations'!H:H)</f>
        <v>0</v>
      </c>
      <c r="D176" s="330">
        <f>SUMIF('Materials Calculations'!B:B,MaterialData32[[#This Row],[Material]],'Materials Calculations'!AI:AI)</f>
        <v>0</v>
      </c>
      <c r="F176" t="str">
        <v>Metals - Steel, Tinplate</v>
      </c>
      <c r="G176">
        <v>0</v>
      </c>
      <c r="H176">
        <v>0</v>
      </c>
      <c r="I176">
        <v>0</v>
      </c>
      <c r="K176" t="str">
        <v>Metals - Steel, Tinplate</v>
      </c>
      <c r="L176" s="322">
        <v>0</v>
      </c>
      <c r="M176" s="322">
        <v>0</v>
      </c>
      <c r="N176" s="322">
        <v>0</v>
      </c>
    </row>
    <row r="177" spans="1:14" x14ac:dyDescent="0.3">
      <c r="A177" t="s">
        <v>283</v>
      </c>
      <c r="B177" s="330">
        <f>SUMIF('Materials Calculations'!B:B,MaterialData32[[#This Row],[Material]],'Materials Calculations'!F:F)</f>
        <v>0</v>
      </c>
      <c r="C177" s="330">
        <f>SUMIF('Materials Calculations'!B:B,MaterialData32[[#This Row],[Material]],'Materials Calculations'!H:H)</f>
        <v>0</v>
      </c>
      <c r="D177" s="330">
        <f>SUMIF('Materials Calculations'!B:B,MaterialData32[[#This Row],[Material]],'Materials Calculations'!AI:AI)</f>
        <v>0</v>
      </c>
      <c r="F177" t="str">
        <v>Metals - Steel, finished cold-rolled coil</v>
      </c>
      <c r="G177">
        <v>0</v>
      </c>
      <c r="H177">
        <v>0</v>
      </c>
      <c r="I177">
        <v>0</v>
      </c>
      <c r="K177" t="str">
        <v>Metals - Steel, finished cold-rolled coil</v>
      </c>
      <c r="L177" s="322">
        <v>0</v>
      </c>
      <c r="M177" s="322">
        <v>0</v>
      </c>
      <c r="N177" s="322">
        <v>0</v>
      </c>
    </row>
    <row r="178" spans="1:14" x14ac:dyDescent="0.3">
      <c r="A178" t="s">
        <v>286</v>
      </c>
      <c r="B178" s="330">
        <f>SUMIF('Materials Calculations'!B:B,MaterialData32[[#This Row],[Material]],'Materials Calculations'!F:F)</f>
        <v>0</v>
      </c>
      <c r="C178" s="330">
        <f>SUMIF('Materials Calculations'!B:B,MaterialData32[[#This Row],[Material]],'Materials Calculations'!H:H)</f>
        <v>0</v>
      </c>
      <c r="D178" s="330">
        <f>SUMIF('Materials Calculations'!B:B,MaterialData32[[#This Row],[Material]],'Materials Calculations'!AI:AI)</f>
        <v>0</v>
      </c>
      <c r="F178" t="str">
        <v>Metals - steel, Cold Rolled Coil</v>
      </c>
      <c r="G178">
        <v>0</v>
      </c>
      <c r="H178">
        <v>0</v>
      </c>
      <c r="I178">
        <v>0</v>
      </c>
      <c r="K178" t="str">
        <v>Metals - steel, Cold Rolled Coil</v>
      </c>
      <c r="L178" s="322">
        <v>0</v>
      </c>
      <c r="M178" s="322">
        <v>0</v>
      </c>
      <c r="N178" s="322">
        <v>0</v>
      </c>
    </row>
    <row r="179" spans="1:14" x14ac:dyDescent="0.3">
      <c r="A179" t="s">
        <v>287</v>
      </c>
      <c r="B179" s="330">
        <f>SUMIF('Materials Calculations'!B:B,MaterialData32[[#This Row],[Material]],'Materials Calculations'!F:F)</f>
        <v>0</v>
      </c>
      <c r="C179" s="330">
        <f>SUMIF('Materials Calculations'!B:B,MaterialData32[[#This Row],[Material]],'Materials Calculations'!H:H)</f>
        <v>0</v>
      </c>
      <c r="D179" s="330">
        <f>SUMIF('Materials Calculations'!B:B,MaterialData32[[#This Row],[Material]],'Materials Calculations'!AI:AI)</f>
        <v>0</v>
      </c>
      <c r="F179" t="str">
        <v>Metals - Steel, pickled hot-rolled coil</v>
      </c>
      <c r="G179">
        <v>0</v>
      </c>
      <c r="H179">
        <v>0</v>
      </c>
      <c r="I179">
        <v>0</v>
      </c>
      <c r="K179" t="str">
        <v>Metals - Steel, pickled hot-rolled coil</v>
      </c>
      <c r="L179" s="322">
        <v>0</v>
      </c>
      <c r="M179" s="322">
        <v>0</v>
      </c>
      <c r="N179" s="322">
        <v>0</v>
      </c>
    </row>
    <row r="180" spans="1:14" x14ac:dyDescent="0.3">
      <c r="A180" t="s">
        <v>288</v>
      </c>
      <c r="B180" s="330">
        <f>SUMIF('Materials Calculations'!B:B,MaterialData32[[#This Row],[Material]],'Materials Calculations'!F:F)</f>
        <v>0</v>
      </c>
      <c r="C180" s="330">
        <f>SUMIF('Materials Calculations'!B:B,MaterialData32[[#This Row],[Material]],'Materials Calculations'!H:H)</f>
        <v>0</v>
      </c>
      <c r="D180" s="330">
        <f>SUMIF('Materials Calculations'!B:B,MaterialData32[[#This Row],[Material]],'Materials Calculations'!AI:AI)</f>
        <v>0</v>
      </c>
      <c r="F180" t="str">
        <v>Metals - Steel, Wire rod</v>
      </c>
      <c r="G180">
        <v>0</v>
      </c>
      <c r="H180">
        <v>0</v>
      </c>
      <c r="I180">
        <v>0</v>
      </c>
      <c r="K180" t="str">
        <v>Metals - Steel, Wire rod</v>
      </c>
      <c r="L180" s="322">
        <v>0</v>
      </c>
      <c r="M180" s="322">
        <v>0</v>
      </c>
      <c r="N180" s="322">
        <v>0</v>
      </c>
    </row>
    <row r="181" spans="1:14" x14ac:dyDescent="0.3">
      <c r="A181" t="s">
        <v>289</v>
      </c>
      <c r="B181" s="330">
        <f>SUMIF('Materials Calculations'!B:B,MaterialData32[[#This Row],[Material]],'Materials Calculations'!F:F)</f>
        <v>0</v>
      </c>
      <c r="C181" s="330">
        <f>SUMIF('Materials Calculations'!B:B,MaterialData32[[#This Row],[Material]],'Materials Calculations'!H:H)</f>
        <v>0</v>
      </c>
      <c r="D181" s="330">
        <f>SUMIF('Materials Calculations'!B:B,MaterialData32[[#This Row],[Material]],'Materials Calculations'!AI:AI)</f>
        <v>0</v>
      </c>
      <c r="F181" t="str">
        <v>Metals - Steel, Hot Rolled Coil</v>
      </c>
      <c r="G181">
        <v>0</v>
      </c>
      <c r="H181">
        <v>0</v>
      </c>
      <c r="I181">
        <v>0</v>
      </c>
      <c r="K181" t="str">
        <v>Metals - Steel, Hot Rolled Coil</v>
      </c>
      <c r="L181" s="322">
        <v>0</v>
      </c>
      <c r="M181" s="322">
        <v>0</v>
      </c>
      <c r="N181" s="322">
        <v>0</v>
      </c>
    </row>
    <row r="182" spans="1:14" x14ac:dyDescent="0.3">
      <c r="A182" t="s">
        <v>292</v>
      </c>
      <c r="B182" s="330">
        <f>SUMIF('Materials Calculations'!B:B,MaterialData32[[#This Row],[Material]],'Materials Calculations'!F:F)</f>
        <v>0</v>
      </c>
      <c r="C182" s="330">
        <f>SUMIF('Materials Calculations'!B:B,MaterialData32[[#This Row],[Material]],'Materials Calculations'!H:H)</f>
        <v>0</v>
      </c>
      <c r="D182" s="330">
        <f>SUMIF('Materials Calculations'!B:B,MaterialData32[[#This Row],[Material]],'Materials Calculations'!AI:AI)</f>
        <v>0</v>
      </c>
      <c r="F182" t="str">
        <v>Metals - Steel, global seamless tube</v>
      </c>
      <c r="G182">
        <v>0</v>
      </c>
      <c r="H182">
        <v>0</v>
      </c>
      <c r="I182">
        <v>0</v>
      </c>
      <c r="K182" t="str">
        <v>Metals - Steel, global seamless tube</v>
      </c>
      <c r="L182" s="322">
        <v>0</v>
      </c>
      <c r="M182" s="322">
        <v>0</v>
      </c>
      <c r="N182" s="322">
        <v>0</v>
      </c>
    </row>
    <row r="183" spans="1:14" x14ac:dyDescent="0.3">
      <c r="A183" t="s">
        <v>293</v>
      </c>
      <c r="B183" s="330">
        <f>SUMIF('Materials Calculations'!B:B,MaterialData32[[#This Row],[Material]],'Materials Calculations'!F:F)</f>
        <v>0</v>
      </c>
      <c r="C183" s="330">
        <f>SUMIF('Materials Calculations'!B:B,MaterialData32[[#This Row],[Material]],'Materials Calculations'!H:H)</f>
        <v>0</v>
      </c>
      <c r="D183" s="330">
        <f>SUMIF('Materials Calculations'!B:B,MaterialData32[[#This Row],[Material]],'Materials Calculations'!AI:AI)</f>
        <v>0</v>
      </c>
      <c r="F183" t="str">
        <v>Metals - Tin Coated Plate (Steel)</v>
      </c>
      <c r="G183">
        <v>0</v>
      </c>
      <c r="H183">
        <v>0</v>
      </c>
      <c r="I183">
        <v>0</v>
      </c>
      <c r="K183" t="str">
        <v>Metals - Tin Coated Plate (Steel)</v>
      </c>
      <c r="L183" s="322">
        <v>0</v>
      </c>
      <c r="M183" s="322">
        <v>0</v>
      </c>
      <c r="N183" s="322">
        <v>0</v>
      </c>
    </row>
    <row r="184" spans="1:14" x14ac:dyDescent="0.3">
      <c r="A184" t="s">
        <v>294</v>
      </c>
      <c r="B184" s="330">
        <f>SUMIF('Materials Calculations'!B:B,MaterialData32[[#This Row],[Material]],'Materials Calculations'!F:F)</f>
        <v>0</v>
      </c>
      <c r="C184" s="330">
        <f>SUMIF('Materials Calculations'!B:B,MaterialData32[[#This Row],[Material]],'Materials Calculations'!H:H)</f>
        <v>0</v>
      </c>
      <c r="D184" s="330">
        <f>SUMIF('Materials Calculations'!B:B,MaterialData32[[#This Row],[Material]],'Materials Calculations'!AI:AI)</f>
        <v>0</v>
      </c>
      <c r="F184" t="str">
        <v>Metals - Tin</v>
      </c>
      <c r="G184">
        <v>0</v>
      </c>
      <c r="H184">
        <v>0</v>
      </c>
      <c r="I184">
        <v>0</v>
      </c>
      <c r="K184" t="str">
        <v>Metals - Tin</v>
      </c>
      <c r="L184" s="322">
        <v>0</v>
      </c>
      <c r="M184" s="322">
        <v>0</v>
      </c>
      <c r="N184" s="322">
        <v>0</v>
      </c>
    </row>
    <row r="185" spans="1:14" x14ac:dyDescent="0.3">
      <c r="A185" t="s">
        <v>295</v>
      </c>
      <c r="B185" s="330">
        <f>SUMIF('Materials Calculations'!B:B,MaterialData32[[#This Row],[Material]],'Materials Calculations'!F:F)</f>
        <v>0</v>
      </c>
      <c r="C185" s="330">
        <f>SUMIF('Materials Calculations'!B:B,MaterialData32[[#This Row],[Material]],'Materials Calculations'!H:H)</f>
        <v>0</v>
      </c>
      <c r="D185" s="330">
        <f>SUMIF('Materials Calculations'!B:B,MaterialData32[[#This Row],[Material]],'Materials Calculations'!AI:AI)</f>
        <v>0</v>
      </c>
      <c r="F185" t="str">
        <v>Metals - Titanium - Virgin</v>
      </c>
      <c r="G185">
        <v>0</v>
      </c>
      <c r="H185">
        <v>0</v>
      </c>
      <c r="I185">
        <v>0</v>
      </c>
      <c r="K185" t="str">
        <v>Metals - Titanium - Virgin</v>
      </c>
      <c r="L185" s="322">
        <v>0</v>
      </c>
      <c r="M185" s="322">
        <v>0</v>
      </c>
      <c r="N185" s="322">
        <v>0</v>
      </c>
    </row>
    <row r="186" spans="1:14" x14ac:dyDescent="0.3">
      <c r="A186" t="s">
        <v>296</v>
      </c>
      <c r="B186" s="330">
        <f>SUMIF('Materials Calculations'!B:B,MaterialData32[[#This Row],[Material]],'Materials Calculations'!F:F)</f>
        <v>0</v>
      </c>
      <c r="C186" s="330">
        <f>SUMIF('Materials Calculations'!B:B,MaterialData32[[#This Row],[Material]],'Materials Calculations'!H:H)</f>
        <v>0</v>
      </c>
      <c r="D186" s="330">
        <f>SUMIF('Materials Calculations'!B:B,MaterialData32[[#This Row],[Material]],'Materials Calculations'!AI:AI)</f>
        <v>0</v>
      </c>
      <c r="F186" t="str">
        <v>Metals - Titanium - Recycled</v>
      </c>
      <c r="G186">
        <v>0</v>
      </c>
      <c r="H186">
        <v>0</v>
      </c>
      <c r="I186">
        <v>0</v>
      </c>
      <c r="K186" t="str">
        <v>Metals - Titanium - Recycled</v>
      </c>
      <c r="L186" s="322">
        <v>0</v>
      </c>
      <c r="M186" s="322">
        <v>0</v>
      </c>
      <c r="N186" s="322">
        <v>0</v>
      </c>
    </row>
    <row r="187" spans="1:14" x14ac:dyDescent="0.3">
      <c r="A187" t="s">
        <v>297</v>
      </c>
      <c r="B187" s="330">
        <f>SUMIF('Materials Calculations'!B:B,MaterialData32[[#This Row],[Material]],'Materials Calculations'!F:F)</f>
        <v>0</v>
      </c>
      <c r="C187" s="330">
        <f>SUMIF('Materials Calculations'!B:B,MaterialData32[[#This Row],[Material]],'Materials Calculations'!H:H)</f>
        <v>0</v>
      </c>
      <c r="D187" s="330">
        <f>SUMIF('Materials Calculations'!B:B,MaterialData32[[#This Row],[Material]],'Materials Calculations'!AI:AI)</f>
        <v>0</v>
      </c>
      <c r="F187" t="str">
        <v>Metals - Zinc - Virgin</v>
      </c>
      <c r="G187">
        <v>0</v>
      </c>
      <c r="H187">
        <v>0</v>
      </c>
      <c r="I187">
        <v>0</v>
      </c>
      <c r="K187" t="str">
        <v>Metals - Zinc - Virgin</v>
      </c>
      <c r="L187" s="322">
        <v>0</v>
      </c>
      <c r="M187" s="322">
        <v>0</v>
      </c>
      <c r="N187" s="322">
        <v>0</v>
      </c>
    </row>
    <row r="188" spans="1:14" x14ac:dyDescent="0.3">
      <c r="A188" t="s">
        <v>298</v>
      </c>
      <c r="B188" s="330">
        <f>SUMIF('Materials Calculations'!B:B,MaterialData32[[#This Row],[Material]],'Materials Calculations'!F:F)</f>
        <v>0</v>
      </c>
      <c r="C188" s="330">
        <f>SUMIF('Materials Calculations'!B:B,MaterialData32[[#This Row],[Material]],'Materials Calculations'!H:H)</f>
        <v>0</v>
      </c>
      <c r="D188" s="330">
        <f>SUMIF('Materials Calculations'!B:B,MaterialData32[[#This Row],[Material]],'Materials Calculations'!AI:AI)</f>
        <v>0</v>
      </c>
      <c r="F188" t="str">
        <v>Metals - Zinc - Recycled</v>
      </c>
      <c r="G188">
        <v>0</v>
      </c>
      <c r="H188">
        <v>0</v>
      </c>
      <c r="I188">
        <v>0</v>
      </c>
      <c r="K188" t="str">
        <v>Metals - Zinc - Recycled</v>
      </c>
      <c r="L188" s="322">
        <v>0</v>
      </c>
      <c r="M188" s="322">
        <v>0</v>
      </c>
      <c r="N188" s="322">
        <v>0</v>
      </c>
    </row>
    <row r="189" spans="1:14" x14ac:dyDescent="0.3">
      <c r="A189" t="s">
        <v>299</v>
      </c>
      <c r="B189" s="330">
        <f>SUMIF('Materials Calculations'!B:B,MaterialData32[[#This Row],[Material]],'Materials Calculations'!F:F)</f>
        <v>0</v>
      </c>
      <c r="C189" s="330">
        <f>SUMIF('Materials Calculations'!B:B,MaterialData32[[#This Row],[Material]],'Materials Calculations'!H:H)</f>
        <v>0</v>
      </c>
      <c r="D189" s="330">
        <f>SUMIF('Materials Calculations'!B:B,MaterialData32[[#This Row],[Material]],'Materials Calculations'!AI:AI)</f>
        <v>0</v>
      </c>
      <c r="F189" t="str">
        <v>Miscelleneous - Lime</v>
      </c>
      <c r="G189">
        <v>0</v>
      </c>
      <c r="H189">
        <v>0</v>
      </c>
      <c r="I189">
        <v>0</v>
      </c>
      <c r="K189" t="str">
        <v>Miscelleneous - Lime</v>
      </c>
      <c r="L189" s="322">
        <v>0</v>
      </c>
      <c r="M189" s="322">
        <v>0</v>
      </c>
      <c r="N189" s="322">
        <v>0</v>
      </c>
    </row>
    <row r="190" spans="1:14" x14ac:dyDescent="0.3">
      <c r="A190" t="s">
        <v>300</v>
      </c>
      <c r="B190" s="330">
        <f>SUMIF('Materials Calculations'!B:B,MaterialData32[[#This Row],[Material]],'Materials Calculations'!F:F)</f>
        <v>0</v>
      </c>
      <c r="C190" s="330">
        <f>SUMIF('Materials Calculations'!B:B,MaterialData32[[#This Row],[Material]],'Materials Calculations'!H:H)</f>
        <v>0</v>
      </c>
      <c r="D190" s="330">
        <f>SUMIF('Materials Calculations'!B:B,MaterialData32[[#This Row],[Material]],'Materials Calculations'!AI:AI)</f>
        <v>0</v>
      </c>
      <c r="F190" t="str">
        <v>Miscelleneous - Calcium Silicate Sheet</v>
      </c>
      <c r="G190">
        <v>0</v>
      </c>
      <c r="H190">
        <v>0</v>
      </c>
      <c r="I190">
        <v>0</v>
      </c>
      <c r="K190" t="str">
        <v>Miscelleneous - Calcium Silicate Sheet</v>
      </c>
      <c r="L190" s="322">
        <v>0</v>
      </c>
      <c r="M190" s="322">
        <v>0</v>
      </c>
      <c r="N190" s="322">
        <v>0</v>
      </c>
    </row>
    <row r="191" spans="1:14" x14ac:dyDescent="0.3">
      <c r="A191" t="s">
        <v>301</v>
      </c>
      <c r="B191" s="330">
        <f>SUMIF('Materials Calculations'!B:B,MaterialData32[[#This Row],[Material]],'Materials Calculations'!F:F)</f>
        <v>0</v>
      </c>
      <c r="C191" s="330">
        <f>SUMIF('Materials Calculations'!B:B,MaterialData32[[#This Row],[Material]],'Materials Calculations'!H:H)</f>
        <v>0</v>
      </c>
      <c r="D191" s="330">
        <f>SUMIF('Materials Calculations'!B:B,MaterialData32[[#This Row],[Material]],'Materials Calculations'!AI:AI)</f>
        <v>0</v>
      </c>
      <c r="F191" t="str">
        <v>Miscelleneous - Fly Ash</v>
      </c>
      <c r="G191">
        <v>0</v>
      </c>
      <c r="H191">
        <v>0</v>
      </c>
      <c r="I191">
        <v>0</v>
      </c>
      <c r="K191" t="str">
        <v>Miscelleneous - Fly Ash</v>
      </c>
      <c r="L191" s="322">
        <v>0</v>
      </c>
      <c r="M191" s="322">
        <v>0</v>
      </c>
      <c r="N191" s="322">
        <v>0</v>
      </c>
    </row>
    <row r="192" spans="1:14" x14ac:dyDescent="0.3">
      <c r="A192" t="s">
        <v>302</v>
      </c>
      <c r="B192" s="330">
        <f>SUMIF('Materials Calculations'!B:B,MaterialData32[[#This Row],[Material]],'Materials Calculations'!F:F)</f>
        <v>0</v>
      </c>
      <c r="C192" s="330">
        <f>SUMIF('Materials Calculations'!B:B,MaterialData32[[#This Row],[Material]],'Materials Calculations'!H:H)</f>
        <v>0</v>
      </c>
      <c r="D192" s="330">
        <f>SUMIF('Materials Calculations'!B:B,MaterialData32[[#This Row],[Material]],'Materials Calculations'!AI:AI)</f>
        <v>0</v>
      </c>
      <c r="F192" t="str">
        <v>Miscelleneous - Grit</v>
      </c>
      <c r="G192">
        <v>0</v>
      </c>
      <c r="H192">
        <v>0</v>
      </c>
      <c r="I192">
        <v>0</v>
      </c>
      <c r="K192" t="str">
        <v>Miscelleneous - Grit</v>
      </c>
      <c r="L192" s="322">
        <v>0</v>
      </c>
      <c r="M192" s="322">
        <v>0</v>
      </c>
      <c r="N192" s="322">
        <v>0</v>
      </c>
    </row>
    <row r="193" spans="1:14" x14ac:dyDescent="0.3">
      <c r="A193" t="s">
        <v>303</v>
      </c>
      <c r="B193" s="330">
        <f>SUMIF('Materials Calculations'!B:B,MaterialData32[[#This Row],[Material]],'Materials Calculations'!F:F)</f>
        <v>0</v>
      </c>
      <c r="C193" s="330">
        <f>SUMIF('Materials Calculations'!B:B,MaterialData32[[#This Row],[Material]],'Materials Calculations'!H:H)</f>
        <v>0</v>
      </c>
      <c r="D193" s="330">
        <f>SUMIF('Materials Calculations'!B:B,MaterialData32[[#This Row],[Material]],'Materials Calculations'!AI:AI)</f>
        <v>0</v>
      </c>
      <c r="F193" t="str">
        <v>Miscelleneous - Ground Limestone</v>
      </c>
      <c r="G193">
        <v>0</v>
      </c>
      <c r="H193">
        <v>0</v>
      </c>
      <c r="I193">
        <v>0</v>
      </c>
      <c r="K193" t="str">
        <v>Miscelleneous - Ground Limestone</v>
      </c>
      <c r="L193" s="322">
        <v>0</v>
      </c>
      <c r="M193" s="322">
        <v>0</v>
      </c>
      <c r="N193" s="322">
        <v>0</v>
      </c>
    </row>
    <row r="194" spans="1:14" x14ac:dyDescent="0.3">
      <c r="A194" t="s">
        <v>304</v>
      </c>
      <c r="B194" s="330">
        <f>SUMIF('Materials Calculations'!B:B,MaterialData32[[#This Row],[Material]],'Materials Calculations'!F:F)</f>
        <v>0</v>
      </c>
      <c r="C194" s="330">
        <f>SUMIF('Materials Calculations'!B:B,MaterialData32[[#This Row],[Material]],'Materials Calculations'!H:H)</f>
        <v>0</v>
      </c>
      <c r="D194" s="330">
        <f>SUMIF('Materials Calculations'!B:B,MaterialData32[[#This Row],[Material]],'Materials Calculations'!AI:AI)</f>
        <v>0</v>
      </c>
      <c r="F194" t="str">
        <v>Miscelleneous - Glass Reinforced Plastic - GRP - Fibreglass</v>
      </c>
      <c r="G194">
        <v>0</v>
      </c>
      <c r="H194">
        <v>0</v>
      </c>
      <c r="I194">
        <v>0</v>
      </c>
      <c r="K194" t="str">
        <v>Miscelleneous - Glass Reinforced Plastic - GRP - Fibreglass</v>
      </c>
      <c r="L194" s="322">
        <v>0</v>
      </c>
      <c r="M194" s="322">
        <v>0</v>
      </c>
      <c r="N194" s="322">
        <v>0</v>
      </c>
    </row>
    <row r="195" spans="1:14" x14ac:dyDescent="0.3">
      <c r="A195" t="s">
        <v>305</v>
      </c>
      <c r="B195" s="330">
        <f>SUMIF('Materials Calculations'!B:B,MaterialData32[[#This Row],[Material]],'Materials Calculations'!F:F)</f>
        <v>0</v>
      </c>
      <c r="C195" s="330">
        <f>SUMIF('Materials Calculations'!B:B,MaterialData32[[#This Row],[Material]],'Materials Calculations'!H:H)</f>
        <v>0</v>
      </c>
      <c r="D195" s="330">
        <f>SUMIF('Materials Calculations'!B:B,MaterialData32[[#This Row],[Material]],'Materials Calculations'!AI:AI)</f>
        <v>0</v>
      </c>
      <c r="F195" t="str">
        <v>Miscelleneous - Slag (GGBS)</v>
      </c>
      <c r="G195">
        <v>0</v>
      </c>
      <c r="H195">
        <v>0</v>
      </c>
      <c r="I195">
        <v>0</v>
      </c>
      <c r="K195" t="str">
        <v>Miscelleneous - Slag (GGBS)</v>
      </c>
      <c r="L195" s="322">
        <v>0</v>
      </c>
      <c r="M195" s="322">
        <v>0</v>
      </c>
      <c r="N195" s="322">
        <v>0</v>
      </c>
    </row>
    <row r="196" spans="1:14" x14ac:dyDescent="0.3">
      <c r="A196" t="s">
        <v>306</v>
      </c>
      <c r="B196" s="330">
        <f>SUMIF('Materials Calculations'!B:B,MaterialData32[[#This Row],[Material]],'Materials Calculations'!F:F)</f>
        <v>0</v>
      </c>
      <c r="C196" s="330">
        <f>SUMIF('Materials Calculations'!B:B,MaterialData32[[#This Row],[Material]],'Materials Calculations'!H:H)</f>
        <v>0</v>
      </c>
      <c r="D196" s="330">
        <f>SUMIF('Materials Calculations'!B:B,MaterialData32[[#This Row],[Material]],'Materials Calculations'!AI:AI)</f>
        <v>0</v>
      </c>
      <c r="F196" t="str">
        <v>Miscelleneous - Straw</v>
      </c>
      <c r="G196">
        <v>0</v>
      </c>
      <c r="H196">
        <v>0</v>
      </c>
      <c r="I196">
        <v>0</v>
      </c>
      <c r="K196" t="str">
        <v>Miscelleneous - Straw</v>
      </c>
      <c r="L196" s="322">
        <v>0</v>
      </c>
      <c r="M196" s="322">
        <v>0</v>
      </c>
      <c r="N196" s="322">
        <v>0</v>
      </c>
    </row>
    <row r="197" spans="1:14" x14ac:dyDescent="0.3">
      <c r="A197" t="s">
        <v>382</v>
      </c>
      <c r="B197" s="330">
        <f>SUMIF('Materials Calculations'!B:B,MaterialData32[[#This Row],[Material]],'Materials Calculations'!F:F)</f>
        <v>0</v>
      </c>
      <c r="C197" s="330">
        <f>SUMIF('Materials Calculations'!B:B,MaterialData32[[#This Row],[Material]],'Materials Calculations'!H:H)</f>
        <v>0</v>
      </c>
      <c r="D197" s="330">
        <f>SUMIF('Materials Calculations'!B:B,MaterialData32[[#This Row],[Material]],'Materials Calculations'!AI:AI)</f>
        <v>0</v>
      </c>
      <c r="F197" t="str">
        <v>Straw</v>
      </c>
      <c r="G197">
        <v>0</v>
      </c>
      <c r="H197">
        <v>0</v>
      </c>
      <c r="I197">
        <v>0</v>
      </c>
      <c r="K197" t="str">
        <v>Straw</v>
      </c>
      <c r="L197" s="322">
        <v>0</v>
      </c>
      <c r="M197" s="322">
        <v>0</v>
      </c>
      <c r="N197" s="322">
        <v>0</v>
      </c>
    </row>
    <row r="198" spans="1:14" x14ac:dyDescent="0.3">
      <c r="A198" t="s">
        <v>307</v>
      </c>
      <c r="B198" s="330">
        <f>SUMIF('Materials Calculations'!B:B,MaterialData32[[#This Row],[Material]],'Materials Calculations'!F:F)</f>
        <v>0</v>
      </c>
      <c r="C198" s="330">
        <f>SUMIF('Materials Calculations'!B:B,MaterialData32[[#This Row],[Material]],'Materials Calculations'!H:H)</f>
        <v>0</v>
      </c>
      <c r="D198" s="330">
        <f>SUMIF('Materials Calculations'!B:B,MaterialData32[[#This Row],[Material]],'Materials Calculations'!AI:AI)</f>
        <v>0</v>
      </c>
      <c r="F198" t="str">
        <v>MiscelleneousPaperboard (General for construction use)</v>
      </c>
      <c r="G198">
        <v>0</v>
      </c>
      <c r="H198">
        <v>0</v>
      </c>
      <c r="I198">
        <v>0</v>
      </c>
      <c r="K198" t="str">
        <v>MiscelleneousPaperboard (General for construction use)</v>
      </c>
      <c r="L198" s="322">
        <v>0</v>
      </c>
      <c r="M198" s="322">
        <v>0</v>
      </c>
      <c r="N198" s="322">
        <v>0</v>
      </c>
    </row>
    <row r="199" spans="1:14" x14ac:dyDescent="0.3">
      <c r="A199" t="s">
        <v>308</v>
      </c>
      <c r="B199" s="330">
        <f>SUMIF('Materials Calculations'!B:B,MaterialData32[[#This Row],[Material]],'Materials Calculations'!F:F)</f>
        <v>0</v>
      </c>
      <c r="C199" s="330">
        <f>SUMIF('Materials Calculations'!B:B,MaterialData32[[#This Row],[Material]],'Materials Calculations'!H:H)</f>
        <v>0</v>
      </c>
      <c r="D199" s="330">
        <f>SUMIF('Materials Calculations'!B:B,MaterialData32[[#This Row],[Material]],'Materials Calculations'!AI:AI)</f>
        <v>0</v>
      </c>
      <c r="F199" t="str">
        <v>Mortar - Mortar (1:3 cement:sand mix)</v>
      </c>
      <c r="G199">
        <v>0</v>
      </c>
      <c r="H199">
        <v>0</v>
      </c>
      <c r="I199">
        <v>0</v>
      </c>
      <c r="K199" t="str">
        <v>Mortar - Mortar (1:3 cement:sand mix)</v>
      </c>
      <c r="L199" s="322">
        <v>0</v>
      </c>
      <c r="M199" s="322">
        <v>0</v>
      </c>
      <c r="N199" s="322">
        <v>0</v>
      </c>
    </row>
    <row r="200" spans="1:14" x14ac:dyDescent="0.3">
      <c r="A200" t="s">
        <v>310</v>
      </c>
      <c r="B200" s="330">
        <f>SUMIF('Materials Calculations'!B:B,MaterialData32[[#This Row],[Material]],'Materials Calculations'!F:F)</f>
        <v>0</v>
      </c>
      <c r="C200" s="330">
        <f>SUMIF('Materials Calculations'!B:B,MaterialData32[[#This Row],[Material]],'Materials Calculations'!H:H)</f>
        <v>0</v>
      </c>
      <c r="D200" s="330">
        <f>SUMIF('Materials Calculations'!B:B,MaterialData32[[#This Row],[Material]],'Materials Calculations'!AI:AI)</f>
        <v>0</v>
      </c>
      <c r="F200" t="str">
        <v>Mortar - Mortar (1:5)</v>
      </c>
      <c r="G200">
        <v>0</v>
      </c>
      <c r="H200">
        <v>0</v>
      </c>
      <c r="I200">
        <v>0</v>
      </c>
      <c r="K200" t="str">
        <v>Mortar - Mortar (1:5)</v>
      </c>
      <c r="L200" s="322">
        <v>0</v>
      </c>
      <c r="M200" s="322">
        <v>0</v>
      </c>
      <c r="N200" s="322">
        <v>0</v>
      </c>
    </row>
    <row r="201" spans="1:14" x14ac:dyDescent="0.3">
      <c r="A201" t="s">
        <v>311</v>
      </c>
      <c r="B201" s="330">
        <f>SUMIF('Materials Calculations'!B:B,MaterialData32[[#This Row],[Material]],'Materials Calculations'!F:F)</f>
        <v>0</v>
      </c>
      <c r="C201" s="330">
        <f>SUMIF('Materials Calculations'!B:B,MaterialData32[[#This Row],[Material]],'Materials Calculations'!H:H)</f>
        <v>0</v>
      </c>
      <c r="D201" s="330">
        <f>SUMIF('Materials Calculations'!B:B,MaterialData32[[#This Row],[Material]],'Materials Calculations'!AI:AI)</f>
        <v>0</v>
      </c>
      <c r="F201" t="str">
        <v>Mortar - Mortar (1:6)</v>
      </c>
      <c r="G201">
        <v>0</v>
      </c>
      <c r="H201">
        <v>0</v>
      </c>
      <c r="I201">
        <v>0</v>
      </c>
      <c r="K201" t="str">
        <v>Mortar - Mortar (1:6)</v>
      </c>
      <c r="L201" s="322">
        <v>0</v>
      </c>
      <c r="M201" s="322">
        <v>0</v>
      </c>
      <c r="N201" s="322">
        <v>0</v>
      </c>
    </row>
    <row r="202" spans="1:14" x14ac:dyDescent="0.3">
      <c r="A202" t="s">
        <v>312</v>
      </c>
      <c r="B202" s="330">
        <f>SUMIF('Materials Calculations'!B:B,MaterialData32[[#This Row],[Material]],'Materials Calculations'!F:F)</f>
        <v>0</v>
      </c>
      <c r="C202" s="330">
        <f>SUMIF('Materials Calculations'!B:B,MaterialData32[[#This Row],[Material]],'Materials Calculations'!H:H)</f>
        <v>0</v>
      </c>
      <c r="D202" s="330">
        <f>SUMIF('Materials Calculations'!B:B,MaterialData32[[#This Row],[Material]],'Materials Calculations'!AI:AI)</f>
        <v>0</v>
      </c>
      <c r="F202" t="str">
        <v>Mortar - Mortar (1:½:4½ Cement:Lime:Sand mix)</v>
      </c>
      <c r="G202">
        <v>0</v>
      </c>
      <c r="H202">
        <v>0</v>
      </c>
      <c r="I202">
        <v>0</v>
      </c>
      <c r="K202" t="str">
        <v>Mortar - Mortar (1:½:4½ Cement:Lime:Sand mix)</v>
      </c>
      <c r="L202" s="322">
        <v>0</v>
      </c>
      <c r="M202" s="322">
        <v>0</v>
      </c>
      <c r="N202" s="322">
        <v>0</v>
      </c>
    </row>
    <row r="203" spans="1:14" x14ac:dyDescent="0.3">
      <c r="A203" t="s">
        <v>313</v>
      </c>
      <c r="B203" s="330">
        <f>SUMIF('Materials Calculations'!B:B,MaterialData32[[#This Row],[Material]],'Materials Calculations'!F:F)</f>
        <v>0</v>
      </c>
      <c r="C203" s="330">
        <f>SUMIF('Materials Calculations'!B:B,MaterialData32[[#This Row],[Material]],'Materials Calculations'!H:H)</f>
        <v>0</v>
      </c>
      <c r="D203" s="330">
        <f>SUMIF('Materials Calculations'!B:B,MaterialData32[[#This Row],[Material]],'Materials Calculations'!AI:AI)</f>
        <v>0</v>
      </c>
      <c r="F203" t="str">
        <v>Mortar - Mortar (1:1:6 Cement:Lime:Sand mix)</v>
      </c>
      <c r="G203">
        <v>0</v>
      </c>
      <c r="H203">
        <v>0</v>
      </c>
      <c r="I203">
        <v>0</v>
      </c>
      <c r="K203" t="str">
        <v>Mortar - Mortar (1:1:6 Cement:Lime:Sand mix)</v>
      </c>
      <c r="L203" s="322">
        <v>0</v>
      </c>
      <c r="M203" s="322">
        <v>0</v>
      </c>
      <c r="N203" s="322">
        <v>0</v>
      </c>
    </row>
    <row r="204" spans="1:14" x14ac:dyDescent="0.3">
      <c r="A204" t="s">
        <v>314</v>
      </c>
      <c r="B204" s="330">
        <f>SUMIF('Materials Calculations'!B:B,MaterialData32[[#This Row],[Material]],'Materials Calculations'!F:F)</f>
        <v>0</v>
      </c>
      <c r="C204" s="330">
        <f>SUMIF('Materials Calculations'!B:B,MaterialData32[[#This Row],[Material]],'Materials Calculations'!H:H)</f>
        <v>0</v>
      </c>
      <c r="D204" s="330">
        <f>SUMIF('Materials Calculations'!B:B,MaterialData32[[#This Row],[Material]],'Materials Calculations'!AI:AI)</f>
        <v>0</v>
      </c>
      <c r="F204" t="str">
        <v>Mortar - Mortar (1:2:9 Cement:Lime:Sand mix)</v>
      </c>
      <c r="G204">
        <v>0</v>
      </c>
      <c r="H204">
        <v>0</v>
      </c>
      <c r="I204">
        <v>0</v>
      </c>
      <c r="K204" t="str">
        <v>Mortar - Mortar (1:2:9 Cement:Lime:Sand mix)</v>
      </c>
      <c r="L204" s="322">
        <v>0</v>
      </c>
      <c r="M204" s="322">
        <v>0</v>
      </c>
      <c r="N204" s="322">
        <v>0</v>
      </c>
    </row>
    <row r="205" spans="1:14" x14ac:dyDescent="0.3">
      <c r="A205" t="s">
        <v>315</v>
      </c>
      <c r="B205" s="330">
        <f>SUMIF('Materials Calculations'!B:B,MaterialData32[[#This Row],[Material]],'Materials Calculations'!F:F)</f>
        <v>0</v>
      </c>
      <c r="C205" s="330">
        <f>SUMIF('Materials Calculations'!B:B,MaterialData32[[#This Row],[Material]],'Materials Calculations'!H:H)</f>
        <v>0</v>
      </c>
      <c r="D205" s="330">
        <f>SUMIF('Materials Calculations'!B:B,MaterialData32[[#This Row],[Material]],'Materials Calculations'!AI:AI)</f>
        <v>0</v>
      </c>
      <c r="F205" t="str">
        <v>Paints, Sealants, Adhesives -Wood stain/Varnish</v>
      </c>
      <c r="G205">
        <v>0</v>
      </c>
      <c r="H205">
        <v>0</v>
      </c>
      <c r="I205">
        <v>0</v>
      </c>
      <c r="K205" t="str">
        <v>Paints, Sealants, Adhesives -Wood stain/Varnish</v>
      </c>
      <c r="L205" s="322">
        <v>0</v>
      </c>
      <c r="M205" s="322">
        <v>0</v>
      </c>
      <c r="N205" s="322">
        <v>0</v>
      </c>
    </row>
    <row r="206" spans="1:14" x14ac:dyDescent="0.3">
      <c r="A206" t="s">
        <v>317</v>
      </c>
      <c r="B206" s="330">
        <f>SUMIF('Materials Calculations'!B:B,MaterialData32[[#This Row],[Material]],'Materials Calculations'!F:F)</f>
        <v>0</v>
      </c>
      <c r="C206" s="330">
        <f>SUMIF('Materials Calculations'!B:B,MaterialData32[[#This Row],[Material]],'Materials Calculations'!H:H)</f>
        <v>0</v>
      </c>
      <c r="D206" s="330">
        <f>SUMIF('Materials Calculations'!B:B,MaterialData32[[#This Row],[Material]],'Materials Calculations'!AI:AI)</f>
        <v>0</v>
      </c>
      <c r="F206" t="str">
        <v>Paints, Sealants, Adhesives -Paint - Waterborne paint</v>
      </c>
      <c r="G206">
        <v>0</v>
      </c>
      <c r="H206">
        <v>0</v>
      </c>
      <c r="I206">
        <v>0</v>
      </c>
      <c r="K206" t="str">
        <v>Paints, Sealants, Adhesives -Paint - Waterborne paint</v>
      </c>
      <c r="L206" s="322">
        <v>0</v>
      </c>
      <c r="M206" s="322">
        <v>0</v>
      </c>
      <c r="N206" s="322">
        <v>0</v>
      </c>
    </row>
    <row r="207" spans="1:14" x14ac:dyDescent="0.3">
      <c r="A207" t="s">
        <v>318</v>
      </c>
      <c r="B207" s="330">
        <f>SUMIF('Materials Calculations'!B:B,MaterialData32[[#This Row],[Material]],'Materials Calculations'!F:F)</f>
        <v>0</v>
      </c>
      <c r="C207" s="330">
        <f>SUMIF('Materials Calculations'!B:B,MaterialData32[[#This Row],[Material]],'Materials Calculations'!H:H)</f>
        <v>0</v>
      </c>
      <c r="D207" s="330">
        <f>SUMIF('Materials Calculations'!B:B,MaterialData32[[#This Row],[Material]],'Materials Calculations'!AI:AI)</f>
        <v>0</v>
      </c>
      <c r="F207" t="str">
        <v>Paints, Sealants, Adhesives -Paint - Solventborne paint</v>
      </c>
      <c r="G207">
        <v>0</v>
      </c>
      <c r="H207">
        <v>0</v>
      </c>
      <c r="I207">
        <v>0</v>
      </c>
      <c r="K207" t="str">
        <v>Paints, Sealants, Adhesives -Paint - Solventborne paint</v>
      </c>
      <c r="L207" s="322">
        <v>0</v>
      </c>
      <c r="M207" s="322">
        <v>0</v>
      </c>
      <c r="N207" s="322">
        <v>0</v>
      </c>
    </row>
    <row r="208" spans="1:14" x14ac:dyDescent="0.3">
      <c r="A208" t="s">
        <v>319</v>
      </c>
      <c r="B208" s="330">
        <f>SUMIF('Materials Calculations'!B:B,MaterialData32[[#This Row],[Material]],'Materials Calculations'!F:F)</f>
        <v>0</v>
      </c>
      <c r="C208" s="330">
        <f>SUMIF('Materials Calculations'!B:B,MaterialData32[[#This Row],[Material]],'Materials Calculations'!H:H)</f>
        <v>0</v>
      </c>
      <c r="D208" s="330">
        <f>SUMIF('Materials Calculations'!B:B,MaterialData32[[#This Row],[Material]],'Materials Calculations'!AI:AI)</f>
        <v>0</v>
      </c>
      <c r="F208" t="str">
        <v>Paints, Sealants, Adhesives -Epoxide Resin</v>
      </c>
      <c r="G208">
        <v>0</v>
      </c>
      <c r="H208">
        <v>0</v>
      </c>
      <c r="I208">
        <v>0</v>
      </c>
      <c r="K208" t="str">
        <v>Paints, Sealants, Adhesives -Epoxide Resin</v>
      </c>
      <c r="L208" s="322">
        <v>0</v>
      </c>
      <c r="M208" s="322">
        <v>0</v>
      </c>
      <c r="N208" s="322">
        <v>0</v>
      </c>
    </row>
    <row r="209" spans="1:14" x14ac:dyDescent="0.3">
      <c r="A209" t="s">
        <v>320</v>
      </c>
      <c r="B209" s="330">
        <f>SUMIF('Materials Calculations'!B:B,MaterialData32[[#This Row],[Material]],'Materials Calculations'!F:F)</f>
        <v>0</v>
      </c>
      <c r="C209" s="330">
        <f>SUMIF('Materials Calculations'!B:B,MaterialData32[[#This Row],[Material]],'Materials Calculations'!H:H)</f>
        <v>0</v>
      </c>
      <c r="D209" s="330">
        <f>SUMIF('Materials Calculations'!B:B,MaterialData32[[#This Row],[Material]],'Materials Calculations'!AI:AI)</f>
        <v>0</v>
      </c>
      <c r="F209" t="str">
        <v>Paints, Sealants, Adhesives -Melamine Resin</v>
      </c>
      <c r="G209">
        <v>0</v>
      </c>
      <c r="H209">
        <v>0</v>
      </c>
      <c r="I209">
        <v>0</v>
      </c>
      <c r="K209" t="str">
        <v>Paints, Sealants, Adhesives -Melamine Resin</v>
      </c>
      <c r="L209" s="322">
        <v>0</v>
      </c>
      <c r="M209" s="322">
        <v>0</v>
      </c>
      <c r="N209" s="322">
        <v>0</v>
      </c>
    </row>
    <row r="210" spans="1:14" x14ac:dyDescent="0.3">
      <c r="A210" t="s">
        <v>321</v>
      </c>
      <c r="B210" s="330">
        <f>SUMIF('Materials Calculations'!B:B,MaterialData32[[#This Row],[Material]],'Materials Calculations'!F:F)</f>
        <v>0</v>
      </c>
      <c r="C210" s="330">
        <f>SUMIF('Materials Calculations'!B:B,MaterialData32[[#This Row],[Material]],'Materials Calculations'!H:H)</f>
        <v>0</v>
      </c>
      <c r="D210" s="330">
        <f>SUMIF('Materials Calculations'!B:B,MaterialData32[[#This Row],[Material]],'Materials Calculations'!AI:AI)</f>
        <v>0</v>
      </c>
      <c r="F210" t="str">
        <v>Paints, Sealants, Adhesives -Phenol Formaldehyde</v>
      </c>
      <c r="G210">
        <v>0</v>
      </c>
      <c r="H210">
        <v>0</v>
      </c>
      <c r="I210">
        <v>0</v>
      </c>
      <c r="K210" t="str">
        <v>Paints, Sealants, Adhesives -Phenol Formaldehyde</v>
      </c>
      <c r="L210" s="322">
        <v>0</v>
      </c>
      <c r="M210" s="322">
        <v>0</v>
      </c>
      <c r="N210" s="322">
        <v>0</v>
      </c>
    </row>
    <row r="211" spans="1:14" x14ac:dyDescent="0.3">
      <c r="A211" t="s">
        <v>322</v>
      </c>
      <c r="B211" s="330">
        <f>SUMIF('Materials Calculations'!B:B,MaterialData32[[#This Row],[Material]],'Materials Calculations'!F:F)</f>
        <v>0</v>
      </c>
      <c r="C211" s="330">
        <f>SUMIF('Materials Calculations'!B:B,MaterialData32[[#This Row],[Material]],'Materials Calculations'!H:H)</f>
        <v>0</v>
      </c>
      <c r="D211" s="330">
        <f>SUMIF('Materials Calculations'!B:B,MaterialData32[[#This Row],[Material]],'Materials Calculations'!AI:AI)</f>
        <v>0</v>
      </c>
      <c r="F211" t="str">
        <v>Paints, Sealants, Adhesives -Urea Formaldehyde</v>
      </c>
      <c r="G211">
        <v>0</v>
      </c>
      <c r="H211">
        <v>0</v>
      </c>
      <c r="I211">
        <v>0</v>
      </c>
      <c r="K211" t="str">
        <v>Paints, Sealants, Adhesives -Urea Formaldehyde</v>
      </c>
      <c r="L211" s="322">
        <v>0</v>
      </c>
      <c r="M211" s="322">
        <v>0</v>
      </c>
      <c r="N211" s="322">
        <v>0</v>
      </c>
    </row>
    <row r="212" spans="1:14" x14ac:dyDescent="0.3">
      <c r="A212" t="s">
        <v>323</v>
      </c>
      <c r="B212" s="330">
        <f>SUMIF('Materials Calculations'!B:B,MaterialData32[[#This Row],[Material]],'Materials Calculations'!F:F)</f>
        <v>0</v>
      </c>
      <c r="C212" s="330">
        <f>SUMIF('Materials Calculations'!B:B,MaterialData32[[#This Row],[Material]],'Materials Calculations'!H:H)</f>
        <v>0</v>
      </c>
      <c r="D212" s="330">
        <f>SUMIF('Materials Calculations'!B:B,MaterialData32[[#This Row],[Material]],'Materials Calculations'!AI:AI)</f>
        <v>0</v>
      </c>
      <c r="F212" t="str">
        <v>Plaster -Plaster - General (Gypsum)</v>
      </c>
      <c r="G212">
        <v>0</v>
      </c>
      <c r="H212">
        <v>0</v>
      </c>
      <c r="I212">
        <v>0</v>
      </c>
      <c r="K212" t="str">
        <v>Plaster -Plaster - General (Gypsum)</v>
      </c>
      <c r="L212" s="322">
        <v>0</v>
      </c>
      <c r="M212" s="322">
        <v>0</v>
      </c>
      <c r="N212" s="322">
        <v>0</v>
      </c>
    </row>
    <row r="213" spans="1:14" x14ac:dyDescent="0.3">
      <c r="A213" t="s">
        <v>325</v>
      </c>
      <c r="B213" s="330">
        <f>SUMIF('Materials Calculations'!B:B,MaterialData32[[#This Row],[Material]],'Materials Calculations'!F:F)</f>
        <v>0</v>
      </c>
      <c r="C213" s="330">
        <f>SUMIF('Materials Calculations'!B:B,MaterialData32[[#This Row],[Material]],'Materials Calculations'!H:H)</f>
        <v>0</v>
      </c>
      <c r="D213" s="330">
        <f>SUMIF('Materials Calculations'!B:B,MaterialData32[[#This Row],[Material]],'Materials Calculations'!AI:AI)</f>
        <v>0</v>
      </c>
      <c r="F213" t="str">
        <v>Plastics - General</v>
      </c>
      <c r="G213">
        <v>0</v>
      </c>
      <c r="H213">
        <v>0</v>
      </c>
      <c r="I213">
        <v>0</v>
      </c>
      <c r="K213" t="str">
        <v>Plastics - General</v>
      </c>
      <c r="L213" s="322">
        <v>0</v>
      </c>
      <c r="M213" s="322">
        <v>0</v>
      </c>
      <c r="N213" s="322">
        <v>0</v>
      </c>
    </row>
    <row r="214" spans="1:14" x14ac:dyDescent="0.3">
      <c r="A214" t="s">
        <v>326</v>
      </c>
      <c r="B214" s="330">
        <f>SUMIF('Materials Calculations'!B:B,MaterialData32[[#This Row],[Material]],'Materials Calculations'!F:F)</f>
        <v>0</v>
      </c>
      <c r="C214" s="330">
        <f>SUMIF('Materials Calculations'!B:B,MaterialData32[[#This Row],[Material]],'Materials Calculations'!H:H)</f>
        <v>0</v>
      </c>
      <c r="D214" s="330">
        <f>SUMIF('Materials Calculations'!B:B,MaterialData32[[#This Row],[Material]],'Materials Calculations'!AI:AI)</f>
        <v>0</v>
      </c>
      <c r="F214" t="str">
        <v>Plastics - ABS</v>
      </c>
      <c r="G214">
        <v>0</v>
      </c>
      <c r="H214">
        <v>0</v>
      </c>
      <c r="I214">
        <v>0</v>
      </c>
      <c r="K214" t="str">
        <v>Plastics - ABS</v>
      </c>
      <c r="L214" s="322">
        <v>0</v>
      </c>
      <c r="M214" s="322">
        <v>0</v>
      </c>
      <c r="N214" s="322">
        <v>0</v>
      </c>
    </row>
    <row r="215" spans="1:14" x14ac:dyDescent="0.3">
      <c r="A215" t="s">
        <v>328</v>
      </c>
      <c r="B215" s="330">
        <f>SUMIF('Materials Calculations'!B:B,MaterialData32[[#This Row],[Material]],'Materials Calculations'!F:F)</f>
        <v>0</v>
      </c>
      <c r="C215" s="330">
        <f>SUMIF('Materials Calculations'!B:B,MaterialData32[[#This Row],[Material]],'Materials Calculations'!H:H)</f>
        <v>0</v>
      </c>
      <c r="D215" s="330">
        <f>SUMIF('Materials Calculations'!B:B,MaterialData32[[#This Row],[Material]],'Materials Calculations'!AI:AI)</f>
        <v>0</v>
      </c>
      <c r="F215" t="str">
        <v>Plastics - High Density Polyethylene (HDPE) Resin</v>
      </c>
      <c r="G215">
        <v>0</v>
      </c>
      <c r="H215">
        <v>0</v>
      </c>
      <c r="I215">
        <v>0</v>
      </c>
      <c r="K215" t="str">
        <v>Plastics - High Density Polyethylene (HDPE) Resin</v>
      </c>
      <c r="L215" s="322">
        <v>0</v>
      </c>
      <c r="M215" s="322">
        <v>0</v>
      </c>
      <c r="N215" s="322">
        <v>0</v>
      </c>
    </row>
    <row r="216" spans="1:14" x14ac:dyDescent="0.3">
      <c r="A216" t="s">
        <v>329</v>
      </c>
      <c r="B216" s="330">
        <f>SUMIF('Materials Calculations'!B:B,MaterialData32[[#This Row],[Material]],'Materials Calculations'!F:F)</f>
        <v>0</v>
      </c>
      <c r="C216" s="330">
        <f>SUMIF('Materials Calculations'!B:B,MaterialData32[[#This Row],[Material]],'Materials Calculations'!H:H)</f>
        <v>0</v>
      </c>
      <c r="D216" s="330">
        <f>SUMIF('Materials Calculations'!B:B,MaterialData32[[#This Row],[Material]],'Materials Calculations'!AI:AI)</f>
        <v>0</v>
      </c>
      <c r="F216" t="str">
        <v>Plastics - HDPE Pipe</v>
      </c>
      <c r="G216">
        <v>0</v>
      </c>
      <c r="H216">
        <v>0</v>
      </c>
      <c r="I216">
        <v>0</v>
      </c>
      <c r="K216" t="str">
        <v>Plastics - HDPE Pipe</v>
      </c>
      <c r="L216" s="322">
        <v>0</v>
      </c>
      <c r="M216" s="322">
        <v>0</v>
      </c>
      <c r="N216" s="322">
        <v>0</v>
      </c>
    </row>
    <row r="217" spans="1:14" x14ac:dyDescent="0.3">
      <c r="A217" t="s">
        <v>330</v>
      </c>
      <c r="B217" s="330">
        <f>SUMIF('Materials Calculations'!B:B,MaterialData32[[#This Row],[Material]],'Materials Calculations'!F:F)</f>
        <v>0</v>
      </c>
      <c r="C217" s="330">
        <f>SUMIF('Materials Calculations'!B:B,MaterialData32[[#This Row],[Material]],'Materials Calculations'!H:H)</f>
        <v>0</v>
      </c>
      <c r="D217" s="330">
        <f>SUMIF('Materials Calculations'!B:B,MaterialData32[[#This Row],[Material]],'Materials Calculations'!AI:AI)</f>
        <v>0</v>
      </c>
      <c r="F217" t="str">
        <v>Plastics - Low Density Polyethylene (LDPE) Resin</v>
      </c>
      <c r="G217">
        <v>0</v>
      </c>
      <c r="H217">
        <v>0</v>
      </c>
      <c r="I217">
        <v>0</v>
      </c>
      <c r="K217" t="str">
        <v>Plastics - Low Density Polyethylene (LDPE) Resin</v>
      </c>
      <c r="L217" s="322">
        <v>0</v>
      </c>
      <c r="M217" s="322">
        <v>0</v>
      </c>
      <c r="N217" s="322">
        <v>0</v>
      </c>
    </row>
    <row r="218" spans="1:14" x14ac:dyDescent="0.3">
      <c r="A218" t="s">
        <v>331</v>
      </c>
      <c r="B218" s="330">
        <f>SUMIF('Materials Calculations'!B:B,MaterialData32[[#This Row],[Material]],'Materials Calculations'!F:F)</f>
        <v>0</v>
      </c>
      <c r="C218" s="330">
        <f>SUMIF('Materials Calculations'!B:B,MaterialData32[[#This Row],[Material]],'Materials Calculations'!H:H)</f>
        <v>0</v>
      </c>
      <c r="D218" s="330">
        <f>SUMIF('Materials Calculations'!B:B,MaterialData32[[#This Row],[Material]],'Materials Calculations'!AI:AI)</f>
        <v>0</v>
      </c>
      <c r="F218" t="str">
        <v>Plastics - LDPE Film</v>
      </c>
      <c r="G218">
        <v>0</v>
      </c>
      <c r="H218">
        <v>0</v>
      </c>
      <c r="I218">
        <v>0</v>
      </c>
      <c r="K218" t="str">
        <v>Plastics - LDPE Film</v>
      </c>
      <c r="L218" s="322">
        <v>0</v>
      </c>
      <c r="M218" s="322">
        <v>0</v>
      </c>
      <c r="N218" s="322">
        <v>0</v>
      </c>
    </row>
    <row r="219" spans="1:14" x14ac:dyDescent="0.3">
      <c r="A219" t="s">
        <v>332</v>
      </c>
      <c r="B219" s="330">
        <f>SUMIF('Materials Calculations'!B:B,MaterialData32[[#This Row],[Material]],'Materials Calculations'!F:F)</f>
        <v>0</v>
      </c>
      <c r="C219" s="330">
        <f>SUMIF('Materials Calculations'!B:B,MaterialData32[[#This Row],[Material]],'Materials Calculations'!H:H)</f>
        <v>0</v>
      </c>
      <c r="D219" s="330">
        <f>SUMIF('Materials Calculations'!B:B,MaterialData32[[#This Row],[Material]],'Materials Calculations'!AI:AI)</f>
        <v>0</v>
      </c>
      <c r="F219" t="str">
        <v>Plastics - Nylon (Polyamide) 6 Polymer</v>
      </c>
      <c r="G219">
        <v>0</v>
      </c>
      <c r="H219">
        <v>0</v>
      </c>
      <c r="I219">
        <v>0</v>
      </c>
      <c r="K219" t="str">
        <v>Plastics - Nylon (Polyamide) 6 Polymer</v>
      </c>
      <c r="L219" s="322">
        <v>0</v>
      </c>
      <c r="M219" s="322">
        <v>0</v>
      </c>
      <c r="N219" s="322">
        <v>0</v>
      </c>
    </row>
    <row r="220" spans="1:14" x14ac:dyDescent="0.3">
      <c r="A220" t="s">
        <v>333</v>
      </c>
      <c r="B220" s="330">
        <f>SUMIF('Materials Calculations'!B:B,MaterialData32[[#This Row],[Material]],'Materials Calculations'!F:F)</f>
        <v>0</v>
      </c>
      <c r="C220" s="330">
        <f>SUMIF('Materials Calculations'!B:B,MaterialData32[[#This Row],[Material]],'Materials Calculations'!H:H)</f>
        <v>0</v>
      </c>
      <c r="D220" s="330">
        <f>SUMIF('Materials Calculations'!B:B,MaterialData32[[#This Row],[Material]],'Materials Calculations'!AI:AI)</f>
        <v>0</v>
      </c>
      <c r="F220" t="str">
        <v>Plastics - Nylon (polyamide) 6,6 Polymer</v>
      </c>
      <c r="G220">
        <v>0</v>
      </c>
      <c r="H220">
        <v>0</v>
      </c>
      <c r="I220">
        <v>0</v>
      </c>
      <c r="K220" t="str">
        <v>Plastics - Nylon (polyamide) 6,6 Polymer</v>
      </c>
      <c r="L220" s="322">
        <v>0</v>
      </c>
      <c r="M220" s="322">
        <v>0</v>
      </c>
      <c r="N220" s="322">
        <v>0</v>
      </c>
    </row>
    <row r="221" spans="1:14" x14ac:dyDescent="0.3">
      <c r="A221" t="s">
        <v>334</v>
      </c>
      <c r="B221" s="330">
        <f>SUMIF('Materials Calculations'!B:B,MaterialData32[[#This Row],[Material]],'Materials Calculations'!F:F)</f>
        <v>0</v>
      </c>
      <c r="C221" s="330">
        <f>SUMIF('Materials Calculations'!B:B,MaterialData32[[#This Row],[Material]],'Materials Calculations'!H:H)</f>
        <v>0</v>
      </c>
      <c r="D221" s="330">
        <f>SUMIF('Materials Calculations'!B:B,MaterialData32[[#This Row],[Material]],'Materials Calculations'!AI:AI)</f>
        <v>0</v>
      </c>
      <c r="F221" t="str">
        <v>Plastics - Polycarbonate</v>
      </c>
      <c r="G221">
        <v>0</v>
      </c>
      <c r="H221">
        <v>0</v>
      </c>
      <c r="I221">
        <v>0</v>
      </c>
      <c r="K221" t="str">
        <v>Plastics - Polycarbonate</v>
      </c>
      <c r="L221" s="322">
        <v>0</v>
      </c>
      <c r="M221" s="322">
        <v>0</v>
      </c>
      <c r="N221" s="322">
        <v>0</v>
      </c>
    </row>
    <row r="222" spans="1:14" x14ac:dyDescent="0.3">
      <c r="A222" t="s">
        <v>335</v>
      </c>
      <c r="B222" s="330">
        <f>SUMIF('Materials Calculations'!B:B,MaterialData32[[#This Row],[Material]],'Materials Calculations'!F:F)</f>
        <v>0</v>
      </c>
      <c r="C222" s="330">
        <f>SUMIF('Materials Calculations'!B:B,MaterialData32[[#This Row],[Material]],'Materials Calculations'!H:H)</f>
        <v>0</v>
      </c>
      <c r="D222" s="330">
        <f>SUMIF('Materials Calculations'!B:B,MaterialData32[[#This Row],[Material]],'Materials Calculations'!AI:AI)</f>
        <v>0</v>
      </c>
      <c r="F222" t="str">
        <v>Plastics - Polypropylene, Orientated Film</v>
      </c>
      <c r="G222">
        <v>0</v>
      </c>
      <c r="H222">
        <v>0</v>
      </c>
      <c r="I222">
        <v>0</v>
      </c>
      <c r="K222" t="str">
        <v>Plastics - Polypropylene, Orientated Film</v>
      </c>
      <c r="L222" s="322">
        <v>0</v>
      </c>
      <c r="M222" s="322">
        <v>0</v>
      </c>
      <c r="N222" s="322">
        <v>0</v>
      </c>
    </row>
    <row r="223" spans="1:14" x14ac:dyDescent="0.3">
      <c r="A223" t="s">
        <v>336</v>
      </c>
      <c r="B223" s="330">
        <f>SUMIF('Materials Calculations'!B:B,MaterialData32[[#This Row],[Material]],'Materials Calculations'!F:F)</f>
        <v>0</v>
      </c>
      <c r="C223" s="330">
        <f>SUMIF('Materials Calculations'!B:B,MaterialData32[[#This Row],[Material]],'Materials Calculations'!H:H)</f>
        <v>0</v>
      </c>
      <c r="D223" s="330">
        <f>SUMIF('Materials Calculations'!B:B,MaterialData32[[#This Row],[Material]],'Materials Calculations'!AI:AI)</f>
        <v>0</v>
      </c>
      <c r="F223" t="str">
        <v>Plastics - Polypropylene, Injection Moulding</v>
      </c>
      <c r="G223">
        <v>0</v>
      </c>
      <c r="H223">
        <v>0</v>
      </c>
      <c r="I223">
        <v>0</v>
      </c>
      <c r="K223" t="str">
        <v>Plastics - Polypropylene, Injection Moulding</v>
      </c>
      <c r="L223" s="322">
        <v>0</v>
      </c>
      <c r="M223" s="322">
        <v>0</v>
      </c>
      <c r="N223" s="322">
        <v>0</v>
      </c>
    </row>
    <row r="224" spans="1:14" x14ac:dyDescent="0.3">
      <c r="A224" t="s">
        <v>337</v>
      </c>
      <c r="B224" s="330">
        <f>SUMIF('Materials Calculations'!B:B,MaterialData32[[#This Row],[Material]],'Materials Calculations'!F:F)</f>
        <v>0</v>
      </c>
      <c r="C224" s="330">
        <f>SUMIF('Materials Calculations'!B:B,MaterialData32[[#This Row],[Material]],'Materials Calculations'!H:H)</f>
        <v>0</v>
      </c>
      <c r="D224" s="330">
        <f>SUMIF('Materials Calculations'!B:B,MaterialData32[[#This Row],[Material]],'Materials Calculations'!AI:AI)</f>
        <v>0</v>
      </c>
      <c r="F224" t="str">
        <v>Plastics - Expanded Polystyrene</v>
      </c>
      <c r="G224">
        <v>0</v>
      </c>
      <c r="H224">
        <v>0</v>
      </c>
      <c r="I224">
        <v>0</v>
      </c>
      <c r="K224" t="str">
        <v>Plastics - Expanded Polystyrene</v>
      </c>
      <c r="L224" s="322">
        <v>0</v>
      </c>
      <c r="M224" s="322">
        <v>0</v>
      </c>
      <c r="N224" s="322">
        <v>0</v>
      </c>
    </row>
    <row r="225" spans="1:14" x14ac:dyDescent="0.3">
      <c r="A225" t="s">
        <v>338</v>
      </c>
      <c r="B225" s="330">
        <f>SUMIF('Materials Calculations'!B:B,MaterialData32[[#This Row],[Material]],'Materials Calculations'!F:F)</f>
        <v>0</v>
      </c>
      <c r="C225" s="330">
        <f>SUMIF('Materials Calculations'!B:B,MaterialData32[[#This Row],[Material]],'Materials Calculations'!H:H)</f>
        <v>0</v>
      </c>
      <c r="D225" s="330">
        <f>SUMIF('Materials Calculations'!B:B,MaterialData32[[#This Row],[Material]],'Materials Calculations'!AI:AI)</f>
        <v>0</v>
      </c>
      <c r="F225" t="str">
        <v>Plastics - General Purpose Polystyrene</v>
      </c>
      <c r="G225">
        <v>0</v>
      </c>
      <c r="H225">
        <v>0</v>
      </c>
      <c r="I225">
        <v>0</v>
      </c>
      <c r="K225" t="str">
        <v>Plastics - General Purpose Polystyrene</v>
      </c>
      <c r="L225" s="322">
        <v>0</v>
      </c>
      <c r="M225" s="322">
        <v>0</v>
      </c>
      <c r="N225" s="322">
        <v>0</v>
      </c>
    </row>
    <row r="226" spans="1:14" x14ac:dyDescent="0.3">
      <c r="A226" t="s">
        <v>339</v>
      </c>
      <c r="B226" s="330">
        <f>SUMIF('Materials Calculations'!B:B,MaterialData32[[#This Row],[Material]],'Materials Calculations'!F:F)</f>
        <v>0</v>
      </c>
      <c r="C226" s="330">
        <f>SUMIF('Materials Calculations'!B:B,MaterialData32[[#This Row],[Material]],'Materials Calculations'!H:H)</f>
        <v>0</v>
      </c>
      <c r="D226" s="330">
        <f>SUMIF('Materials Calculations'!B:B,MaterialData32[[#This Row],[Material]],'Materials Calculations'!AI:AI)</f>
        <v>0</v>
      </c>
      <c r="F226" t="str">
        <v>Plastics - High Impact Polystyrene</v>
      </c>
      <c r="G226">
        <v>0</v>
      </c>
      <c r="H226">
        <v>0</v>
      </c>
      <c r="I226">
        <v>0</v>
      </c>
      <c r="K226" t="str">
        <v>Plastics - High Impact Polystyrene</v>
      </c>
      <c r="L226" s="322">
        <v>0</v>
      </c>
      <c r="M226" s="322">
        <v>0</v>
      </c>
      <c r="N226" s="322">
        <v>0</v>
      </c>
    </row>
    <row r="227" spans="1:14" x14ac:dyDescent="0.3">
      <c r="A227" t="s">
        <v>340</v>
      </c>
      <c r="B227" s="330">
        <f>SUMIF('Materials Calculations'!B:B,MaterialData32[[#This Row],[Material]],'Materials Calculations'!F:F)</f>
        <v>0</v>
      </c>
      <c r="C227" s="330">
        <f>SUMIF('Materials Calculations'!B:B,MaterialData32[[#This Row],[Material]],'Materials Calculations'!H:H)</f>
        <v>0</v>
      </c>
      <c r="D227" s="330">
        <f>SUMIF('Materials Calculations'!B:B,MaterialData32[[#This Row],[Material]],'Materials Calculations'!AI:AI)</f>
        <v>0</v>
      </c>
      <c r="F227" t="str">
        <v>Plastics - Thermoformed Expanded Polystyrene</v>
      </c>
      <c r="G227">
        <v>0</v>
      </c>
      <c r="H227">
        <v>0</v>
      </c>
      <c r="I227">
        <v>0</v>
      </c>
      <c r="K227" t="str">
        <v>Plastics - Thermoformed Expanded Polystyrene</v>
      </c>
      <c r="L227" s="322">
        <v>0</v>
      </c>
      <c r="M227" s="322">
        <v>0</v>
      </c>
      <c r="N227" s="322">
        <v>0</v>
      </c>
    </row>
    <row r="228" spans="1:14" x14ac:dyDescent="0.3">
      <c r="A228" t="s">
        <v>341</v>
      </c>
      <c r="B228" s="330">
        <f>SUMIF('Materials Calculations'!B:B,MaterialData32[[#This Row],[Material]],'Materials Calculations'!F:F)</f>
        <v>0</v>
      </c>
      <c r="C228" s="330">
        <f>SUMIF('Materials Calculations'!B:B,MaterialData32[[#This Row],[Material]],'Materials Calculations'!H:H)</f>
        <v>0</v>
      </c>
      <c r="D228" s="330">
        <f>SUMIF('Materials Calculations'!B:B,MaterialData32[[#This Row],[Material]],'Materials Calculations'!AI:AI)</f>
        <v>0</v>
      </c>
      <c r="F228" t="str">
        <v>Plastics - Polyurethane Flexible Foam</v>
      </c>
      <c r="G228">
        <v>0</v>
      </c>
      <c r="H228">
        <v>0</v>
      </c>
      <c r="I228">
        <v>0</v>
      </c>
      <c r="K228" t="str">
        <v>Plastics - Polyurethane Flexible Foam</v>
      </c>
      <c r="L228" s="322">
        <v>0</v>
      </c>
      <c r="M228" s="322">
        <v>0</v>
      </c>
      <c r="N228" s="322">
        <v>0</v>
      </c>
    </row>
    <row r="229" spans="1:14" x14ac:dyDescent="0.3">
      <c r="A229" t="s">
        <v>342</v>
      </c>
      <c r="B229" s="330">
        <f>SUMIF('Materials Calculations'!B:B,MaterialData32[[#This Row],[Material]],'Materials Calculations'!F:F)</f>
        <v>0</v>
      </c>
      <c r="C229" s="330">
        <f>SUMIF('Materials Calculations'!B:B,MaterialData32[[#This Row],[Material]],'Materials Calculations'!H:H)</f>
        <v>0</v>
      </c>
      <c r="D229" s="330">
        <f>SUMIF('Materials Calculations'!B:B,MaterialData32[[#This Row],[Material]],'Materials Calculations'!AI:AI)</f>
        <v>0</v>
      </c>
      <c r="F229" t="str">
        <v>Plastics - Polyurethane Rigid Foam</v>
      </c>
      <c r="G229">
        <v>0</v>
      </c>
      <c r="H229">
        <v>0</v>
      </c>
      <c r="I229">
        <v>0</v>
      </c>
      <c r="K229" t="str">
        <v>Plastics - Polyurethane Rigid Foam</v>
      </c>
      <c r="L229" s="322">
        <v>0</v>
      </c>
      <c r="M229" s="322">
        <v>0</v>
      </c>
      <c r="N229" s="322">
        <v>0</v>
      </c>
    </row>
    <row r="230" spans="1:14" x14ac:dyDescent="0.3">
      <c r="A230" t="s">
        <v>344</v>
      </c>
      <c r="B230" s="330">
        <f>SUMIF('Materials Calculations'!B:B,MaterialData32[[#This Row],[Material]],'Materials Calculations'!F:F)</f>
        <v>0</v>
      </c>
      <c r="C230" s="330">
        <f>SUMIF('Materials Calculations'!B:B,MaterialData32[[#This Row],[Material]],'Materials Calculations'!H:H)</f>
        <v>0</v>
      </c>
      <c r="D230" s="330">
        <f>SUMIF('Materials Calculations'!B:B,MaterialData32[[#This Row],[Material]],'Materials Calculations'!AI:AI)</f>
        <v>0</v>
      </c>
      <c r="F230" t="str">
        <v>Plastics - PVC Pipe</v>
      </c>
      <c r="G230">
        <v>0</v>
      </c>
      <c r="H230">
        <v>0</v>
      </c>
      <c r="I230">
        <v>0</v>
      </c>
      <c r="K230" t="str">
        <v>Plastics - PVC Pipe</v>
      </c>
      <c r="L230" s="322">
        <v>0</v>
      </c>
      <c r="M230" s="322">
        <v>0</v>
      </c>
      <c r="N230" s="322">
        <v>0</v>
      </c>
    </row>
    <row r="231" spans="1:14" x14ac:dyDescent="0.3">
      <c r="A231" t="s">
        <v>345</v>
      </c>
      <c r="B231" s="330">
        <f>SUMIF('Materials Calculations'!B:B,MaterialData32[[#This Row],[Material]],'Materials Calculations'!F:F)</f>
        <v>0</v>
      </c>
      <c r="C231" s="330">
        <f>SUMIF('Materials Calculations'!B:B,MaterialData32[[#This Row],[Material]],'Materials Calculations'!H:H)</f>
        <v>0</v>
      </c>
      <c r="D231" s="330">
        <f>SUMIF('Materials Calculations'!B:B,MaterialData32[[#This Row],[Material]],'Materials Calculations'!AI:AI)</f>
        <v>0</v>
      </c>
      <c r="F231" t="str">
        <v>Plastics - Calendered Sheet PVC</v>
      </c>
      <c r="G231">
        <v>0</v>
      </c>
      <c r="H231">
        <v>0</v>
      </c>
      <c r="I231">
        <v>0</v>
      </c>
      <c r="K231" t="str">
        <v>Plastics - Calendered Sheet PVC</v>
      </c>
      <c r="L231" s="322">
        <v>0</v>
      </c>
      <c r="M231" s="322">
        <v>0</v>
      </c>
      <c r="N231" s="322">
        <v>0</v>
      </c>
    </row>
    <row r="232" spans="1:14" x14ac:dyDescent="0.3">
      <c r="A232" t="s">
        <v>346</v>
      </c>
      <c r="B232" s="330">
        <f>SUMIF('Materials Calculations'!B:B,MaterialData32[[#This Row],[Material]],'Materials Calculations'!F:F)</f>
        <v>0</v>
      </c>
      <c r="C232" s="330">
        <f>SUMIF('Materials Calculations'!B:B,MaterialData32[[#This Row],[Material]],'Materials Calculations'!H:H)</f>
        <v>0</v>
      </c>
      <c r="D232" s="330">
        <f>SUMIF('Materials Calculations'!B:B,MaterialData32[[#This Row],[Material]],'Materials Calculations'!AI:AI)</f>
        <v>0</v>
      </c>
      <c r="F232" t="str">
        <v>Plastics - PVC Injection Moulding</v>
      </c>
      <c r="G232">
        <v>0</v>
      </c>
      <c r="H232">
        <v>0</v>
      </c>
      <c r="I232">
        <v>0</v>
      </c>
      <c r="K232" t="str">
        <v>Plastics - PVC Injection Moulding</v>
      </c>
      <c r="L232" s="322">
        <v>0</v>
      </c>
      <c r="M232" s="322">
        <v>0</v>
      </c>
      <c r="N232" s="322">
        <v>0</v>
      </c>
    </row>
    <row r="233" spans="1:14" x14ac:dyDescent="0.3">
      <c r="A233" t="s">
        <v>347</v>
      </c>
      <c r="B233" s="330">
        <f>SUMIF('Materials Calculations'!B:B,MaterialData32[[#This Row],[Material]],'Materials Calculations'!F:F)</f>
        <v>0</v>
      </c>
      <c r="C233" s="330">
        <f>SUMIF('Materials Calculations'!B:B,MaterialData32[[#This Row],[Material]],'Materials Calculations'!H:H)</f>
        <v>0</v>
      </c>
      <c r="D233" s="330">
        <f>SUMIF('Materials Calculations'!B:B,MaterialData32[[#This Row],[Material]],'Materials Calculations'!AI:AI)</f>
        <v>0</v>
      </c>
      <c r="F233" t="str">
        <v>Plastics - UPVC Film</v>
      </c>
      <c r="G233">
        <v>0</v>
      </c>
      <c r="H233">
        <v>0</v>
      </c>
      <c r="I233">
        <v>0</v>
      </c>
      <c r="K233" t="str">
        <v>Plastics - UPVC Film</v>
      </c>
      <c r="L233" s="322">
        <v>0</v>
      </c>
      <c r="M233" s="322">
        <v>0</v>
      </c>
      <c r="N233" s="322">
        <v>0</v>
      </c>
    </row>
    <row r="234" spans="1:14" x14ac:dyDescent="0.3">
      <c r="A234" t="s">
        <v>348</v>
      </c>
      <c r="B234" s="330">
        <f>SUMIF('Materials Calculations'!B:B,MaterialData32[[#This Row],[Material]],'Materials Calculations'!F:F)</f>
        <v>0</v>
      </c>
      <c r="C234" s="330">
        <f>SUMIF('Materials Calculations'!B:B,MaterialData32[[#This Row],[Material]],'Materials Calculations'!H:H)</f>
        <v>0</v>
      </c>
      <c r="D234" s="330">
        <f>SUMIF('Materials Calculations'!B:B,MaterialData32[[#This Row],[Material]],'Materials Calculations'!AI:AI)</f>
        <v>0</v>
      </c>
      <c r="F234" t="str">
        <v>Roofing - Mineral Fibre Tile (Roofing)</v>
      </c>
      <c r="G234">
        <v>0</v>
      </c>
      <c r="H234">
        <v>0</v>
      </c>
      <c r="I234">
        <v>0</v>
      </c>
      <c r="K234" t="str">
        <v>Roofing - Mineral Fibre Tile (Roofing)</v>
      </c>
      <c r="L234" s="322">
        <v>0</v>
      </c>
      <c r="M234" s="322">
        <v>0</v>
      </c>
      <c r="N234" s="322">
        <v>0</v>
      </c>
    </row>
    <row r="235" spans="1:14" x14ac:dyDescent="0.3">
      <c r="A235" t="s">
        <v>349</v>
      </c>
      <c r="B235" s="330">
        <f>SUMIF('Materials Calculations'!B:B,MaterialData32[[#This Row],[Material]],'Materials Calculations'!F:F)</f>
        <v>0</v>
      </c>
      <c r="C235" s="330">
        <f>SUMIF('Materials Calculations'!B:B,MaterialData32[[#This Row],[Material]],'Materials Calculations'!H:H)</f>
        <v>0</v>
      </c>
      <c r="D235" s="330">
        <f>SUMIF('Materials Calculations'!B:B,MaterialData32[[#This Row],[Material]],'Materials Calculations'!AI:AI)</f>
        <v>0</v>
      </c>
      <c r="F235" t="str">
        <v>Roofing - Shingle</v>
      </c>
      <c r="G235">
        <v>0</v>
      </c>
      <c r="H235">
        <v>0</v>
      </c>
      <c r="I235">
        <v>0</v>
      </c>
      <c r="K235" t="str">
        <v>Roofing - Shingle</v>
      </c>
      <c r="L235" s="322">
        <v>0</v>
      </c>
      <c r="M235" s="322">
        <v>0</v>
      </c>
      <c r="N235" s="322">
        <v>0</v>
      </c>
    </row>
    <row r="236" spans="1:14" x14ac:dyDescent="0.3">
      <c r="A236" t="s">
        <v>350</v>
      </c>
      <c r="B236" s="330">
        <f>SUMIF('Materials Calculations'!B:B,MaterialData32[[#This Row],[Material]],'Materials Calculations'!F:F)</f>
        <v>0</v>
      </c>
      <c r="C236" s="330">
        <f>SUMIF('Materials Calculations'!B:B,MaterialData32[[#This Row],[Material]],'Materials Calculations'!H:H)</f>
        <v>0</v>
      </c>
      <c r="D236" s="330">
        <f>SUMIF('Materials Calculations'!B:B,MaterialData32[[#This Row],[Material]],'Materials Calculations'!AI:AI)</f>
        <v>0</v>
      </c>
      <c r="F236" t="str">
        <v>Rubber -Rubber</v>
      </c>
      <c r="G236">
        <v>0</v>
      </c>
      <c r="H236">
        <v>0</v>
      </c>
      <c r="I236">
        <v>0</v>
      </c>
      <c r="K236" t="str">
        <v>Rubber -Rubber</v>
      </c>
      <c r="L236" s="322">
        <v>0</v>
      </c>
      <c r="M236" s="322">
        <v>0</v>
      </c>
      <c r="N236" s="322">
        <v>0</v>
      </c>
    </row>
    <row r="237" spans="1:14" x14ac:dyDescent="0.3">
      <c r="A237" t="s">
        <v>352</v>
      </c>
      <c r="B237" s="330">
        <f>SUMIF('Materials Calculations'!B:B,MaterialData32[[#This Row],[Material]],'Materials Calculations'!F:F)</f>
        <v>0</v>
      </c>
      <c r="C237" s="330">
        <f>SUMIF('Materials Calculations'!B:B,MaterialData32[[#This Row],[Material]],'Materials Calculations'!H:H)</f>
        <v>0</v>
      </c>
      <c r="D237" s="330">
        <f>SUMIF('Materials Calculations'!B:B,MaterialData32[[#This Row],[Material]],'Materials Calculations'!AI:AI)</f>
        <v>0</v>
      </c>
      <c r="F237" t="str">
        <v>Soil - Cement stabilised soil @ 5%</v>
      </c>
      <c r="G237">
        <v>0</v>
      </c>
      <c r="H237">
        <v>0</v>
      </c>
      <c r="I237">
        <v>0</v>
      </c>
      <c r="K237" t="str">
        <v>Soil - Cement stabilised soil @ 5%</v>
      </c>
      <c r="L237" s="322">
        <v>0</v>
      </c>
      <c r="M237" s="322">
        <v>0</v>
      </c>
      <c r="N237" s="322">
        <v>0</v>
      </c>
    </row>
    <row r="238" spans="1:14" x14ac:dyDescent="0.3">
      <c r="A238" t="s">
        <v>353</v>
      </c>
      <c r="B238" s="330">
        <f>SUMIF('Materials Calculations'!B:B,MaterialData32[[#This Row],[Material]],'Materials Calculations'!F:F)</f>
        <v>0</v>
      </c>
      <c r="C238" s="330">
        <f>SUMIF('Materials Calculations'!B:B,MaterialData32[[#This Row],[Material]],'Materials Calculations'!H:H)</f>
        <v>0</v>
      </c>
      <c r="D238" s="330">
        <f>SUMIF('Materials Calculations'!B:B,MaterialData32[[#This Row],[Material]],'Materials Calculations'!AI:AI)</f>
        <v>0</v>
      </c>
      <c r="F238" t="str">
        <v>Soil - Cement stabilised soil @ 8%</v>
      </c>
      <c r="G238">
        <v>0</v>
      </c>
      <c r="H238">
        <v>0</v>
      </c>
      <c r="I238">
        <v>0</v>
      </c>
      <c r="K238" t="str">
        <v>Soil - Cement stabilised soil @ 8%</v>
      </c>
      <c r="L238" s="322">
        <v>0</v>
      </c>
      <c r="M238" s="322">
        <v>0</v>
      </c>
      <c r="N238" s="322">
        <v>0</v>
      </c>
    </row>
    <row r="239" spans="1:14" x14ac:dyDescent="0.3">
      <c r="A239" t="s">
        <v>354</v>
      </c>
      <c r="B239" s="330">
        <f>SUMIF('Materials Calculations'!B:B,MaterialData32[[#This Row],[Material]],'Materials Calculations'!F:F)</f>
        <v>0</v>
      </c>
      <c r="C239" s="330">
        <f>SUMIF('Materials Calculations'!B:B,MaterialData32[[#This Row],[Material]],'Materials Calculations'!H:H)</f>
        <v>0</v>
      </c>
      <c r="D239" s="330">
        <f>SUMIF('Materials Calculations'!B:B,MaterialData32[[#This Row],[Material]],'Materials Calculations'!AI:AI)</f>
        <v>0</v>
      </c>
      <c r="F239" t="str">
        <v>Soil - GGBS stabilised soil</v>
      </c>
      <c r="G239">
        <v>0</v>
      </c>
      <c r="H239">
        <v>0</v>
      </c>
      <c r="I239">
        <v>0</v>
      </c>
      <c r="K239" t="str">
        <v>Soil - GGBS stabilised soil</v>
      </c>
      <c r="L239" s="322">
        <v>0</v>
      </c>
      <c r="M239" s="322">
        <v>0</v>
      </c>
      <c r="N239" s="322">
        <v>0</v>
      </c>
    </row>
    <row r="240" spans="1:14" x14ac:dyDescent="0.3">
      <c r="A240" t="s">
        <v>355</v>
      </c>
      <c r="B240" s="330">
        <f>SUMIF('Materials Calculations'!B:B,MaterialData32[[#This Row],[Material]],'Materials Calculations'!F:F)</f>
        <v>0</v>
      </c>
      <c r="C240" s="330">
        <f>SUMIF('Materials Calculations'!B:B,MaterialData32[[#This Row],[Material]],'Materials Calculations'!H:H)</f>
        <v>0</v>
      </c>
      <c r="D240" s="330">
        <f>SUMIF('Materials Calculations'!B:B,MaterialData32[[#This Row],[Material]],'Materials Calculations'!AI:AI)</f>
        <v>0</v>
      </c>
      <c r="F240" t="str">
        <v>Soil - Fly ash stabilised soil</v>
      </c>
      <c r="G240">
        <v>0</v>
      </c>
      <c r="H240">
        <v>0</v>
      </c>
      <c r="I240">
        <v>0</v>
      </c>
      <c r="K240" t="str">
        <v>Soil - Fly ash stabilised soil</v>
      </c>
      <c r="L240" s="322">
        <v>0</v>
      </c>
      <c r="M240" s="322">
        <v>0</v>
      </c>
      <c r="N240" s="322">
        <v>0</v>
      </c>
    </row>
    <row r="241" spans="1:14" x14ac:dyDescent="0.3">
      <c r="A241" t="s">
        <v>357</v>
      </c>
      <c r="B241" s="330">
        <f>SUMIF('Materials Calculations'!B:B,MaterialData32[[#This Row],[Material]],'Materials Calculations'!F:F)</f>
        <v>0</v>
      </c>
      <c r="C241" s="330">
        <f>SUMIF('Materials Calculations'!B:B,MaterialData32[[#This Row],[Material]],'Materials Calculations'!H:H)</f>
        <v>0</v>
      </c>
      <c r="D241" s="330">
        <f>SUMIF('Materials Calculations'!B:B,MaterialData32[[#This Row],[Material]],'Materials Calculations'!AI:AI)</f>
        <v>0</v>
      </c>
      <c r="F241" t="str">
        <v>Stone -Granite</v>
      </c>
      <c r="G241">
        <v>0</v>
      </c>
      <c r="H241">
        <v>0</v>
      </c>
      <c r="I241">
        <v>0</v>
      </c>
      <c r="K241" t="str">
        <v>Stone -Granite</v>
      </c>
      <c r="L241" s="322">
        <v>0</v>
      </c>
      <c r="M241" s="322">
        <v>0</v>
      </c>
      <c r="N241" s="322">
        <v>0</v>
      </c>
    </row>
    <row r="242" spans="1:14" x14ac:dyDescent="0.3">
      <c r="A242" t="s">
        <v>358</v>
      </c>
      <c r="B242" s="330">
        <f>SUMIF('Materials Calculations'!B:B,MaterialData32[[#This Row],[Material]],'Materials Calculations'!F:F)</f>
        <v>0</v>
      </c>
      <c r="C242" s="330">
        <f>SUMIF('Materials Calculations'!B:B,MaterialData32[[#This Row],[Material]],'Materials Calculations'!H:H)</f>
        <v>0</v>
      </c>
      <c r="D242" s="330">
        <f>SUMIF('Materials Calculations'!B:B,MaterialData32[[#This Row],[Material]],'Materials Calculations'!AI:AI)</f>
        <v>0</v>
      </c>
      <c r="F242" t="str">
        <v>Stone -Limestone</v>
      </c>
      <c r="G242">
        <v>0</v>
      </c>
      <c r="H242">
        <v>0</v>
      </c>
      <c r="I242">
        <v>0</v>
      </c>
      <c r="K242" t="str">
        <v>Stone -Limestone</v>
      </c>
      <c r="L242" s="322">
        <v>0</v>
      </c>
      <c r="M242" s="322">
        <v>0</v>
      </c>
      <c r="N242" s="322">
        <v>0</v>
      </c>
    </row>
    <row r="243" spans="1:14" x14ac:dyDescent="0.3">
      <c r="A243" t="s">
        <v>359</v>
      </c>
      <c r="B243" s="330">
        <f>SUMIF('Materials Calculations'!B:B,MaterialData32[[#This Row],[Material]],'Materials Calculations'!F:F)</f>
        <v>0</v>
      </c>
      <c r="C243" s="330">
        <f>SUMIF('Materials Calculations'!B:B,MaterialData32[[#This Row],[Material]],'Materials Calculations'!H:H)</f>
        <v>0</v>
      </c>
      <c r="D243" s="330">
        <f>SUMIF('Materials Calculations'!B:B,MaterialData32[[#This Row],[Material]],'Materials Calculations'!AI:AI)</f>
        <v>0</v>
      </c>
      <c r="F243" t="str">
        <v>Stone -Marble</v>
      </c>
      <c r="G243">
        <v>0</v>
      </c>
      <c r="H243">
        <v>0</v>
      </c>
      <c r="I243">
        <v>0</v>
      </c>
      <c r="K243" t="str">
        <v>Stone -Marble</v>
      </c>
      <c r="L243" s="322">
        <v>0</v>
      </c>
      <c r="M243" s="322">
        <v>0</v>
      </c>
      <c r="N243" s="322">
        <v>0</v>
      </c>
    </row>
    <row r="244" spans="1:14" x14ac:dyDescent="0.3">
      <c r="A244" t="s">
        <v>361</v>
      </c>
      <c r="B244" s="330">
        <f>SUMIF('Materials Calculations'!B:B,MaterialData32[[#This Row],[Material]],'Materials Calculations'!F:F)</f>
        <v>0</v>
      </c>
      <c r="C244" s="330">
        <f>SUMIF('Materials Calculations'!B:B,MaterialData32[[#This Row],[Material]],'Materials Calculations'!H:H)</f>
        <v>0</v>
      </c>
      <c r="D244" s="330">
        <f>SUMIF('Materials Calculations'!B:B,MaterialData32[[#This Row],[Material]],'Materials Calculations'!AI:AI)</f>
        <v>0</v>
      </c>
      <c r="F244" t="str">
        <v>Stone -Sandstone</v>
      </c>
      <c r="G244">
        <v>0</v>
      </c>
      <c r="H244">
        <v>0</v>
      </c>
      <c r="I244">
        <v>0</v>
      </c>
      <c r="K244" t="str">
        <v>Stone -Sandstone</v>
      </c>
      <c r="L244" s="322">
        <v>0</v>
      </c>
      <c r="M244" s="322">
        <v>0</v>
      </c>
      <c r="N244" s="322">
        <v>0</v>
      </c>
    </row>
    <row r="245" spans="1:14" x14ac:dyDescent="0.3">
      <c r="A245" t="s">
        <v>362</v>
      </c>
      <c r="B245" s="330">
        <f>SUMIF('Materials Calculations'!B:B,MaterialData32[[#This Row],[Material]],'Materials Calculations'!F:F)</f>
        <v>0</v>
      </c>
      <c r="C245" s="330">
        <f>SUMIF('Materials Calculations'!B:B,MaterialData32[[#This Row],[Material]],'Materials Calculations'!H:H)</f>
        <v>0</v>
      </c>
      <c r="D245" s="330">
        <f>SUMIF('Materials Calculations'!B:B,MaterialData32[[#This Row],[Material]],'Materials Calculations'!AI:AI)</f>
        <v>0</v>
      </c>
      <c r="F245" t="str">
        <v>Stone -Shale</v>
      </c>
      <c r="G245">
        <v>0</v>
      </c>
      <c r="H245">
        <v>0</v>
      </c>
      <c r="I245">
        <v>0</v>
      </c>
      <c r="K245" t="str">
        <v>Stone -Shale</v>
      </c>
      <c r="L245" s="322">
        <v>0</v>
      </c>
      <c r="M245" s="322">
        <v>0</v>
      </c>
      <c r="N245" s="322">
        <v>0</v>
      </c>
    </row>
    <row r="246" spans="1:14" x14ac:dyDescent="0.3">
      <c r="A246" t="s">
        <v>363</v>
      </c>
      <c r="B246" s="330">
        <f>SUMIF('Materials Calculations'!B:B,MaterialData32[[#This Row],[Material]],'Materials Calculations'!F:F)</f>
        <v>0</v>
      </c>
      <c r="C246" s="330">
        <f>SUMIF('Materials Calculations'!B:B,MaterialData32[[#This Row],[Material]],'Materials Calculations'!H:H)</f>
        <v>0</v>
      </c>
      <c r="D246" s="330">
        <f>SUMIF('Materials Calculations'!B:B,MaterialData32[[#This Row],[Material]],'Materials Calculations'!AI:AI)</f>
        <v>0</v>
      </c>
      <c r="F246" t="str">
        <v>Stone -Slate</v>
      </c>
      <c r="G246">
        <v>0</v>
      </c>
      <c r="H246">
        <v>0</v>
      </c>
      <c r="I246">
        <v>0</v>
      </c>
      <c r="K246" t="str">
        <v>Stone -Slate</v>
      </c>
      <c r="L246" s="322">
        <v>0</v>
      </c>
      <c r="M246" s="322">
        <v>0</v>
      </c>
      <c r="N246" s="322">
        <v>0</v>
      </c>
    </row>
    <row r="247" spans="1:14" x14ac:dyDescent="0.3">
      <c r="A247" t="s">
        <v>365</v>
      </c>
      <c r="B247" s="330">
        <f>SUMIF('Materials Calculations'!B:B,MaterialData32[[#This Row],[Material]],'Materials Calculations'!F:F)</f>
        <v>0</v>
      </c>
      <c r="C247" s="330">
        <f>SUMIF('Materials Calculations'!B:B,MaterialData32[[#This Row],[Material]],'Materials Calculations'!H:H)</f>
        <v>0</v>
      </c>
      <c r="D247" s="330">
        <f>SUMIF('Materials Calculations'!B:B,MaterialData32[[#This Row],[Material]],'Materials Calculations'!AI:AI)</f>
        <v>0</v>
      </c>
      <c r="F247" t="str">
        <v>Timber -Swedish C24 timber</v>
      </c>
      <c r="G247">
        <v>0</v>
      </c>
      <c r="H247">
        <v>0</v>
      </c>
      <c r="I247">
        <v>0</v>
      </c>
      <c r="K247" t="str">
        <v>Timber -Swedish C24 timber</v>
      </c>
      <c r="L247" s="322">
        <v>0</v>
      </c>
      <c r="M247" s="322">
        <v>0</v>
      </c>
      <c r="N247" s="322">
        <v>0</v>
      </c>
    </row>
    <row r="248" spans="1:14" x14ac:dyDescent="0.3">
      <c r="A248" t="s">
        <v>366</v>
      </c>
      <c r="B248" s="330">
        <f>SUMIF('Materials Calculations'!B:B,MaterialData32[[#This Row],[Material]],'Materials Calculations'!F:F)</f>
        <v>0</v>
      </c>
      <c r="C248" s="330">
        <f>SUMIF('Materials Calculations'!B:B,MaterialData32[[#This Row],[Material]],'Materials Calculations'!H:H)</f>
        <v>0</v>
      </c>
      <c r="D248" s="330">
        <f>SUMIF('Materials Calculations'!B:B,MaterialData32[[#This Row],[Material]],'Materials Calculations'!AI:AI)</f>
        <v>0</v>
      </c>
      <c r="F248" t="str">
        <v>Timber -Average of all ICE timber data - No Carbon Storage</v>
      </c>
      <c r="G248">
        <v>0</v>
      </c>
      <c r="H248">
        <v>0</v>
      </c>
      <c r="I248">
        <v>0</v>
      </c>
      <c r="K248" t="str">
        <v>Timber -Average of all ICE timber data - No Carbon Storage</v>
      </c>
      <c r="L248" s="322">
        <v>0</v>
      </c>
      <c r="M248" s="322">
        <v>0</v>
      </c>
      <c r="N248" s="322">
        <v>0</v>
      </c>
    </row>
    <row r="249" spans="1:14" x14ac:dyDescent="0.3">
      <c r="A249" t="s">
        <v>367</v>
      </c>
      <c r="B249" s="330">
        <f>SUMIF('Materials Calculations'!B:B,MaterialData32[[#This Row],[Material]],'Materials Calculations'!F:F)</f>
        <v>0</v>
      </c>
      <c r="C249" s="330">
        <f>SUMIF('Materials Calculations'!B:B,MaterialData32[[#This Row],[Material]],'Materials Calculations'!H:H)</f>
        <v>0</v>
      </c>
      <c r="D249" s="330">
        <f>SUMIF('Materials Calculations'!B:B,MaterialData32[[#This Row],[Material]],'Materials Calculations'!AI:AI)</f>
        <v>0</v>
      </c>
      <c r="F249" t="str">
        <v>Timber -Closed panel timber frame system - No Carbon Storage</v>
      </c>
      <c r="G249">
        <v>0</v>
      </c>
      <c r="H249">
        <v>0</v>
      </c>
      <c r="I249">
        <v>0</v>
      </c>
      <c r="K249" t="str">
        <v>Timber -Closed panel timber frame system - No Carbon Storage</v>
      </c>
      <c r="L249" s="322">
        <v>0</v>
      </c>
      <c r="M249" s="322">
        <v>0</v>
      </c>
      <c r="N249" s="322">
        <v>0</v>
      </c>
    </row>
    <row r="250" spans="1:14" x14ac:dyDescent="0.3">
      <c r="A250" t="s">
        <v>368</v>
      </c>
      <c r="B250" s="330">
        <f>SUMIF('Materials Calculations'!B:B,MaterialData32[[#This Row],[Material]],'Materials Calculations'!F:F)</f>
        <v>0</v>
      </c>
      <c r="C250" s="330">
        <f>SUMIF('Materials Calculations'!B:B,MaterialData32[[#This Row],[Material]],'Materials Calculations'!H:H)</f>
        <v>0</v>
      </c>
      <c r="D250" s="330">
        <f>SUMIF('Materials Calculations'!B:B,MaterialData32[[#This Row],[Material]],'Materials Calculations'!AI:AI)</f>
        <v>0</v>
      </c>
      <c r="F250" t="str">
        <v>Timber -CLT - No Carbon Storage</v>
      </c>
      <c r="G250">
        <v>0</v>
      </c>
      <c r="H250">
        <v>0</v>
      </c>
      <c r="I250">
        <v>0</v>
      </c>
      <c r="K250" t="str">
        <v>Timber -CLT - No Carbon Storage</v>
      </c>
      <c r="L250" s="322">
        <v>0</v>
      </c>
      <c r="M250" s="322">
        <v>0</v>
      </c>
      <c r="N250" s="322">
        <v>0</v>
      </c>
    </row>
    <row r="251" spans="1:14" x14ac:dyDescent="0.3">
      <c r="A251" t="s">
        <v>369</v>
      </c>
      <c r="B251" s="330">
        <f>SUMIF('Materials Calculations'!B:B,MaterialData32[[#This Row],[Material]],'Materials Calculations'!F:F)</f>
        <v>0</v>
      </c>
      <c r="C251" s="330">
        <f>SUMIF('Materials Calculations'!B:B,MaterialData32[[#This Row],[Material]],'Materials Calculations'!H:H)</f>
        <v>0</v>
      </c>
      <c r="D251" s="330">
        <f>SUMIF('Materials Calculations'!B:B,MaterialData32[[#This Row],[Material]],'Materials Calculations'!AI:AI)</f>
        <v>0</v>
      </c>
      <c r="F251" t="str">
        <v>Timber -Fibreboard - No Carbon Storage</v>
      </c>
      <c r="G251">
        <v>0</v>
      </c>
      <c r="H251">
        <v>0</v>
      </c>
      <c r="I251">
        <v>0</v>
      </c>
      <c r="K251" t="str">
        <v>Timber -Fibreboard - No Carbon Storage</v>
      </c>
      <c r="L251" s="322">
        <v>0</v>
      </c>
      <c r="M251" s="322">
        <v>0</v>
      </c>
      <c r="N251" s="322">
        <v>0</v>
      </c>
    </row>
    <row r="252" spans="1:14" x14ac:dyDescent="0.3">
      <c r="A252" t="s">
        <v>370</v>
      </c>
      <c r="B252" s="330">
        <f>SUMIF('Materials Calculations'!B:B,MaterialData32[[#This Row],[Material]],'Materials Calculations'!F:F)</f>
        <v>0</v>
      </c>
      <c r="C252" s="330">
        <f>SUMIF('Materials Calculations'!B:B,MaterialData32[[#This Row],[Material]],'Materials Calculations'!H:H)</f>
        <v>0</v>
      </c>
      <c r="D252" s="330">
        <f>SUMIF('Materials Calculations'!B:B,MaterialData32[[#This Row],[Material]],'Materials Calculations'!AI:AI)</f>
        <v>0</v>
      </c>
      <c r="F252" t="str">
        <v>Timber -Glulam - No Carbon Storage</v>
      </c>
      <c r="G252">
        <v>0</v>
      </c>
      <c r="H252">
        <v>0</v>
      </c>
      <c r="I252">
        <v>0</v>
      </c>
      <c r="K252" t="str">
        <v>Timber -Glulam - No Carbon Storage</v>
      </c>
      <c r="L252" s="322">
        <v>0</v>
      </c>
      <c r="M252" s="322">
        <v>0</v>
      </c>
      <c r="N252" s="322">
        <v>0</v>
      </c>
    </row>
    <row r="253" spans="1:14" x14ac:dyDescent="0.3">
      <c r="A253" t="s">
        <v>371</v>
      </c>
      <c r="B253" s="330">
        <f>SUMIF('Materials Calculations'!B:B,MaterialData32[[#This Row],[Material]],'Materials Calculations'!F:F)</f>
        <v>0</v>
      </c>
      <c r="C253" s="330">
        <f>SUMIF('Materials Calculations'!B:B,MaterialData32[[#This Row],[Material]],'Materials Calculations'!H:H)</f>
        <v>0</v>
      </c>
      <c r="D253" s="330">
        <f>SUMIF('Materials Calculations'!B:B,MaterialData32[[#This Row],[Material]],'Materials Calculations'!AI:AI)</f>
        <v>0</v>
      </c>
      <c r="F253" t="str">
        <v>Timber -Hardboard - No Carbon Storage</v>
      </c>
      <c r="G253">
        <v>0</v>
      </c>
      <c r="H253">
        <v>0</v>
      </c>
      <c r="I253">
        <v>0</v>
      </c>
      <c r="K253" t="str">
        <v>Timber -Hardboard - No Carbon Storage</v>
      </c>
      <c r="L253" s="322">
        <v>0</v>
      </c>
      <c r="M253" s="322">
        <v>0</v>
      </c>
      <c r="N253" s="322">
        <v>0</v>
      </c>
    </row>
    <row r="254" spans="1:14" x14ac:dyDescent="0.3">
      <c r="A254" t="s">
        <v>372</v>
      </c>
      <c r="B254" s="330">
        <f>SUMIF('Materials Calculations'!B:B,MaterialData32[[#This Row],[Material]],'Materials Calculations'!F:F)</f>
        <v>0</v>
      </c>
      <c r="C254" s="330">
        <f>SUMIF('Materials Calculations'!B:B,MaterialData32[[#This Row],[Material]],'Materials Calculations'!H:H)</f>
        <v>0</v>
      </c>
      <c r="D254" s="330">
        <f>SUMIF('Materials Calculations'!B:B,MaterialData32[[#This Row],[Material]],'Materials Calculations'!AI:AI)</f>
        <v>0</v>
      </c>
      <c r="F254" t="str">
        <v>Timber -Hardwood - No Carbon Storage</v>
      </c>
      <c r="G254">
        <v>0</v>
      </c>
      <c r="H254">
        <v>0</v>
      </c>
      <c r="I254">
        <v>0</v>
      </c>
      <c r="K254" t="str">
        <v>Timber -Hardwood - No Carbon Storage</v>
      </c>
      <c r="L254" s="322">
        <v>0</v>
      </c>
      <c r="M254" s="322">
        <v>0</v>
      </c>
      <c r="N254" s="322">
        <v>0</v>
      </c>
    </row>
    <row r="255" spans="1:14" x14ac:dyDescent="0.3">
      <c r="A255" t="s">
        <v>373</v>
      </c>
      <c r="B255" s="330">
        <f>SUMIF('Materials Calculations'!B:B,MaterialData32[[#This Row],[Material]],'Materials Calculations'!F:F)</f>
        <v>0</v>
      </c>
      <c r="C255" s="330">
        <f>SUMIF('Materials Calculations'!B:B,MaterialData32[[#This Row],[Material]],'Materials Calculations'!H:H)</f>
        <v>0</v>
      </c>
      <c r="D255" s="330">
        <f>SUMIF('Materials Calculations'!B:B,MaterialData32[[#This Row],[Material]],'Materials Calculations'!AI:AI)</f>
        <v>0</v>
      </c>
      <c r="F255" t="str">
        <v>Timber -Laminate - No Carbon Storage</v>
      </c>
      <c r="G255">
        <v>0</v>
      </c>
      <c r="H255">
        <v>0</v>
      </c>
      <c r="I255">
        <v>0</v>
      </c>
      <c r="K255" t="str">
        <v>Timber -Laminate - No Carbon Storage</v>
      </c>
      <c r="L255" s="322">
        <v>0</v>
      </c>
      <c r="M255" s="322">
        <v>0</v>
      </c>
      <c r="N255" s="322">
        <v>0</v>
      </c>
    </row>
    <row r="256" spans="1:14" x14ac:dyDescent="0.3">
      <c r="A256" t="s">
        <v>374</v>
      </c>
      <c r="B256" s="330">
        <f>SUMIF('Materials Calculations'!B:B,MaterialData32[[#This Row],[Material]],'Materials Calculations'!F:F)</f>
        <v>0</v>
      </c>
      <c r="C256" s="330">
        <f>SUMIF('Materials Calculations'!B:B,MaterialData32[[#This Row],[Material]],'Materials Calculations'!H:H)</f>
        <v>0</v>
      </c>
      <c r="D256" s="330">
        <f>SUMIF('Materials Calculations'!B:B,MaterialData32[[#This Row],[Material]],'Materials Calculations'!AI:AI)</f>
        <v>0</v>
      </c>
      <c r="F256" t="str">
        <v>Timber -Laminated strand lumber - No Carbon Storage</v>
      </c>
      <c r="G256">
        <v>0</v>
      </c>
      <c r="H256">
        <v>0</v>
      </c>
      <c r="I256">
        <v>0</v>
      </c>
      <c r="K256" t="str">
        <v>Timber -Laminated strand lumber - No Carbon Storage</v>
      </c>
      <c r="L256" s="322">
        <v>0</v>
      </c>
      <c r="M256" s="322">
        <v>0</v>
      </c>
      <c r="N256" s="322">
        <v>0</v>
      </c>
    </row>
    <row r="257" spans="1:14" x14ac:dyDescent="0.3">
      <c r="A257" t="s">
        <v>375</v>
      </c>
      <c r="B257" s="330">
        <f>SUMIF('Materials Calculations'!B:B,MaterialData32[[#This Row],[Material]],'Materials Calculations'!F:F)</f>
        <v>0</v>
      </c>
      <c r="C257" s="330">
        <f>SUMIF('Materials Calculations'!B:B,MaterialData32[[#This Row],[Material]],'Materials Calculations'!H:H)</f>
        <v>0</v>
      </c>
      <c r="D257" s="330">
        <f>SUMIF('Materials Calculations'!B:B,MaterialData32[[#This Row],[Material]],'Materials Calculations'!AI:AI)</f>
        <v>0</v>
      </c>
      <c r="F257" t="str">
        <v>Timber -Laminated veneer lumber - No Carbon Storage</v>
      </c>
      <c r="G257">
        <v>0</v>
      </c>
      <c r="H257">
        <v>0</v>
      </c>
      <c r="I257">
        <v>0</v>
      </c>
      <c r="K257" t="str">
        <v>Timber -Laminated veneer lumber - No Carbon Storage</v>
      </c>
      <c r="L257" s="322">
        <v>0</v>
      </c>
      <c r="M257" s="322">
        <v>0</v>
      </c>
      <c r="N257" s="322">
        <v>0</v>
      </c>
    </row>
    <row r="258" spans="1:14" x14ac:dyDescent="0.3">
      <c r="A258" t="s">
        <v>376</v>
      </c>
      <c r="B258" s="330">
        <f>SUMIF('Materials Calculations'!B:B,MaterialData32[[#This Row],[Material]],'Materials Calculations'!F:F)</f>
        <v>0</v>
      </c>
      <c r="C258" s="330">
        <f>SUMIF('Materials Calculations'!B:B,MaterialData32[[#This Row],[Material]],'Materials Calculations'!H:H)</f>
        <v>0</v>
      </c>
      <c r="D258" s="330">
        <f>SUMIF('Materials Calculations'!B:B,MaterialData32[[#This Row],[Material]],'Materials Calculations'!AI:AI)</f>
        <v>0</v>
      </c>
      <c r="F258" t="str">
        <v>Timber -Open panel timber frame system - No Carbon Storage</v>
      </c>
      <c r="G258">
        <v>0</v>
      </c>
      <c r="H258">
        <v>0</v>
      </c>
      <c r="I258">
        <v>0</v>
      </c>
      <c r="K258" t="str">
        <v>Timber -Open panel timber frame system - No Carbon Storage</v>
      </c>
      <c r="L258" s="322">
        <v>0</v>
      </c>
      <c r="M258" s="322">
        <v>0</v>
      </c>
      <c r="N258" s="322">
        <v>0</v>
      </c>
    </row>
    <row r="259" spans="1:14" x14ac:dyDescent="0.3">
      <c r="A259" t="s">
        <v>377</v>
      </c>
      <c r="B259" s="330">
        <f>SUMIF('Materials Calculations'!B:B,MaterialData32[[#This Row],[Material]],'Materials Calculations'!F:F)</f>
        <v>0</v>
      </c>
      <c r="C259" s="330">
        <f>SUMIF('Materials Calculations'!B:B,MaterialData32[[#This Row],[Material]],'Materials Calculations'!H:H)</f>
        <v>0</v>
      </c>
      <c r="D259" s="330">
        <f>SUMIF('Materials Calculations'!B:B,MaterialData32[[#This Row],[Material]],'Materials Calculations'!AI:AI)</f>
        <v>0</v>
      </c>
      <c r="F259" t="str">
        <v>Timber -Parquet - No Carbon Storage</v>
      </c>
      <c r="G259">
        <v>0</v>
      </c>
      <c r="H259">
        <v>0</v>
      </c>
      <c r="I259">
        <v>0</v>
      </c>
      <c r="K259" t="str">
        <v>Timber -Parquet - No Carbon Storage</v>
      </c>
      <c r="L259" s="322">
        <v>0</v>
      </c>
      <c r="M259" s="322">
        <v>0</v>
      </c>
      <c r="N259" s="322">
        <v>0</v>
      </c>
    </row>
    <row r="260" spans="1:14" x14ac:dyDescent="0.3">
      <c r="A260" t="s">
        <v>378</v>
      </c>
      <c r="B260" s="330">
        <f>SUMIF('Materials Calculations'!B:B,MaterialData32[[#This Row],[Material]],'Materials Calculations'!F:F)</f>
        <v>0</v>
      </c>
      <c r="C260" s="330">
        <f>SUMIF('Materials Calculations'!B:B,MaterialData32[[#This Row],[Material]],'Materials Calculations'!H:H)</f>
        <v>0</v>
      </c>
      <c r="D260" s="330">
        <f>SUMIF('Materials Calculations'!B:B,MaterialData32[[#This Row],[Material]],'Materials Calculations'!AI:AI)</f>
        <v>0</v>
      </c>
      <c r="F260" t="str">
        <v>Timber -Softwood - No Carbon Storage</v>
      </c>
      <c r="G260">
        <v>0</v>
      </c>
      <c r="H260">
        <v>0</v>
      </c>
      <c r="I260">
        <v>0</v>
      </c>
      <c r="K260" t="str">
        <v>Timber -Softwood - No Carbon Storage</v>
      </c>
      <c r="L260" s="322">
        <v>0</v>
      </c>
      <c r="M260" s="322">
        <v>0</v>
      </c>
      <c r="N260" s="322">
        <v>0</v>
      </c>
    </row>
    <row r="261" spans="1:14" x14ac:dyDescent="0.3">
      <c r="A261" t="s">
        <v>379</v>
      </c>
      <c r="B261" s="330">
        <f>SUMIF('Materials Calculations'!B:B,MaterialData32[[#This Row],[Material]],'Materials Calculations'!F:F)</f>
        <v>0</v>
      </c>
      <c r="C261" s="330">
        <f>SUMIF('Materials Calculations'!B:B,MaterialData32[[#This Row],[Material]],'Materials Calculations'!H:H)</f>
        <v>0</v>
      </c>
      <c r="D261" s="330">
        <f>SUMIF('Materials Calculations'!B:B,MaterialData32[[#This Row],[Material]],'Materials Calculations'!AI:AI)</f>
        <v>0</v>
      </c>
      <c r="F261" t="str">
        <v>Timber -Wood I-Beam - No Carbon Storage</v>
      </c>
      <c r="G261">
        <v>0</v>
      </c>
      <c r="H261">
        <v>0</v>
      </c>
      <c r="I261">
        <v>0</v>
      </c>
      <c r="K261" t="str">
        <v>Timber -Wood I-Beam - No Carbon Storage</v>
      </c>
      <c r="L261" s="322">
        <v>0</v>
      </c>
      <c r="M261" s="322">
        <v>0</v>
      </c>
      <c r="N261" s="322">
        <v>0</v>
      </c>
    </row>
    <row r="262" spans="1:14" x14ac:dyDescent="0.3">
      <c r="A262" t="s">
        <v>380</v>
      </c>
      <c r="B262" s="330">
        <f>SUMIF('Materials Calculations'!B:B,MaterialData32[[#This Row],[Material]],'Materials Calculations'!F:F)</f>
        <v>0</v>
      </c>
      <c r="C262" s="330">
        <f>SUMIF('Materials Calculations'!B:B,MaterialData32[[#This Row],[Material]],'Materials Calculations'!H:H)</f>
        <v>0</v>
      </c>
      <c r="D262" s="330">
        <f>SUMIF('Materials Calculations'!B:B,MaterialData32[[#This Row],[Material]],'Materials Calculations'!AI:AI)</f>
        <v>0</v>
      </c>
      <c r="F262" t="str">
        <v>Timber -Wood-plastic composite - No Carbon Storage</v>
      </c>
      <c r="G262">
        <v>0</v>
      </c>
      <c r="H262">
        <v>0</v>
      </c>
      <c r="I262">
        <v>0</v>
      </c>
      <c r="K262" t="str">
        <v>Timber -Wood-plastic composite - No Carbon Storage</v>
      </c>
      <c r="L262" s="322">
        <v>0</v>
      </c>
      <c r="M262" s="322">
        <v>0</v>
      </c>
      <c r="N262" s="322">
        <v>0</v>
      </c>
    </row>
    <row r="263" spans="1:14" x14ac:dyDescent="0.3">
      <c r="A263" t="s">
        <v>381</v>
      </c>
      <c r="B263" s="330">
        <f>SUMIF('Materials Calculations'!B:B,MaterialData32[[#This Row],[Material]],'Materials Calculations'!F:F)</f>
        <v>0</v>
      </c>
      <c r="C263" s="330">
        <f>SUMIF('Materials Calculations'!B:B,MaterialData32[[#This Row],[Material]],'Materials Calculations'!H:H)</f>
        <v>0</v>
      </c>
      <c r="D263" s="330">
        <f>SUMIF('Materials Calculations'!B:B,MaterialData32[[#This Row],[Material]],'Materials Calculations'!AI:AI)</f>
        <v>0</v>
      </c>
      <c r="F263" t="str">
        <v>Hempcrete block</v>
      </c>
      <c r="G263">
        <v>0</v>
      </c>
      <c r="H263">
        <v>0</v>
      </c>
      <c r="I263">
        <v>0</v>
      </c>
      <c r="K263" t="str">
        <v>Hempcrete block</v>
      </c>
      <c r="L263" s="322">
        <v>0</v>
      </c>
      <c r="M263" s="322">
        <v>0</v>
      </c>
      <c r="N263" s="322">
        <v>0</v>
      </c>
    </row>
    <row r="264" spans="1:14" x14ac:dyDescent="0.3">
      <c r="A264" t="s">
        <v>383</v>
      </c>
      <c r="B264" s="330">
        <f>SUMIF('Materials Calculations'!B:B,MaterialData32[[#This Row],[Material]],'Materials Calculations'!F:F)</f>
        <v>0</v>
      </c>
      <c r="C264" s="330">
        <f>SUMIF('Materials Calculations'!B:B,MaterialData32[[#This Row],[Material]],'Materials Calculations'!H:H)</f>
        <v>0</v>
      </c>
      <c r="D264" s="330">
        <f>SUMIF('Materials Calculations'!B:B,MaterialData32[[#This Row],[Material]],'Materials Calculations'!AI:AI)</f>
        <v>0</v>
      </c>
      <c r="F264" t="str">
        <v>Concrete roof tiles</v>
      </c>
      <c r="G264">
        <v>0</v>
      </c>
      <c r="H264">
        <v>0</v>
      </c>
      <c r="I264">
        <v>0</v>
      </c>
      <c r="K264" t="str">
        <v>Concrete roof tiles</v>
      </c>
      <c r="L264" s="322">
        <v>0</v>
      </c>
      <c r="M264" s="322">
        <v>0</v>
      </c>
      <c r="N264" s="322">
        <v>0</v>
      </c>
    </row>
    <row r="265" spans="1:14" x14ac:dyDescent="0.3">
      <c r="A265" t="s">
        <v>384</v>
      </c>
      <c r="B265" s="330">
        <f>SUMIF('Materials Calculations'!B:B,MaterialData32[[#This Row],[Material]],'Materials Calculations'!F:F)</f>
        <v>0</v>
      </c>
      <c r="C265" s="330">
        <f>SUMIF('Materials Calculations'!B:B,MaterialData32[[#This Row],[Material]],'Materials Calculations'!H:H)</f>
        <v>0</v>
      </c>
      <c r="D265" s="330">
        <f>SUMIF('Materials Calculations'!B:B,MaterialData32[[#This Row],[Material]],'Materials Calculations'!AI:AI)</f>
        <v>0</v>
      </c>
      <c r="F265" t="str">
        <v>Hollowcore slabs</v>
      </c>
      <c r="G265">
        <v>0</v>
      </c>
      <c r="H265">
        <v>0</v>
      </c>
      <c r="I265">
        <v>0</v>
      </c>
      <c r="K265" t="str">
        <v>Hollowcore slabs</v>
      </c>
      <c r="L265" s="322">
        <v>0</v>
      </c>
      <c r="M265" s="322">
        <v>0</v>
      </c>
      <c r="N265" s="322">
        <v>0</v>
      </c>
    </row>
    <row r="266" spans="1:14" x14ac:dyDescent="0.3">
      <c r="A266" t="s">
        <v>385</v>
      </c>
      <c r="B266" s="330">
        <f>SUMIF('Materials Calculations'!B:B,MaterialData32[[#This Row],[Material]],'Materials Calculations'!F:F)</f>
        <v>0</v>
      </c>
      <c r="C266" s="330">
        <f>SUMIF('Materials Calculations'!B:B,MaterialData32[[#This Row],[Material]],'Materials Calculations'!H:H)</f>
        <v>0</v>
      </c>
      <c r="D266" s="330">
        <f>SUMIF('Materials Calculations'!B:B,MaterialData32[[#This Row],[Material]],'Materials Calculations'!AI:AI)</f>
        <v>0</v>
      </c>
      <c r="F266" t="str">
        <v>Slate</v>
      </c>
      <c r="G266">
        <v>0</v>
      </c>
      <c r="H266">
        <v>0</v>
      </c>
      <c r="I266">
        <v>0</v>
      </c>
      <c r="K266" t="str">
        <v>Slate</v>
      </c>
      <c r="L266" s="322">
        <v>0</v>
      </c>
      <c r="M266" s="322">
        <v>0</v>
      </c>
      <c r="N266" s="322">
        <v>0</v>
      </c>
    </row>
    <row r="267" spans="1:14" x14ac:dyDescent="0.3">
      <c r="A267" t="s">
        <v>387</v>
      </c>
      <c r="B267" s="330">
        <f>SUMIF('Materials Calculations'!B:B,MaterialData32[[#This Row],[Material]],'Materials Calculations'!F:F)</f>
        <v>0</v>
      </c>
      <c r="C267" s="330">
        <f>SUMIF('Materials Calculations'!B:B,MaterialData32[[#This Row],[Material]],'Materials Calculations'!H:H)</f>
        <v>0</v>
      </c>
      <c r="D267" s="330">
        <f>SUMIF('Materials Calculations'!B:B,MaterialData32[[#This Row],[Material]],'Materials Calculations'!AI:AI)</f>
        <v>0</v>
      </c>
      <c r="F267" t="str">
        <v>Windows / Doors - PVC (Double)</v>
      </c>
      <c r="G267">
        <v>0</v>
      </c>
      <c r="H267">
        <v>0</v>
      </c>
      <c r="I267">
        <v>0</v>
      </c>
      <c r="K267" t="str">
        <v>Windows / Doors - PVC (Double)</v>
      </c>
      <c r="L267" s="322">
        <v>0</v>
      </c>
      <c r="M267" s="322">
        <v>0</v>
      </c>
      <c r="N267" s="322">
        <v>0</v>
      </c>
    </row>
    <row r="268" spans="1:14" x14ac:dyDescent="0.3">
      <c r="A268" t="s">
        <v>388</v>
      </c>
      <c r="B268" s="330">
        <f>SUMIF('Materials Calculations'!B:B,MaterialData32[[#This Row],[Material]],'Materials Calculations'!F:F)</f>
        <v>0</v>
      </c>
      <c r="C268" s="330">
        <f>SUMIF('Materials Calculations'!B:B,MaterialData32[[#This Row],[Material]],'Materials Calculations'!H:H)</f>
        <v>0</v>
      </c>
      <c r="D268" s="330">
        <f>SUMIF('Materials Calculations'!B:B,MaterialData32[[#This Row],[Material]],'Materials Calculations'!AI:AI)</f>
        <v>0</v>
      </c>
      <c r="F268" t="str">
        <v>Windows / Doors - PVC (Triple)</v>
      </c>
      <c r="G268">
        <v>0</v>
      </c>
      <c r="H268">
        <v>0</v>
      </c>
      <c r="I268">
        <v>0</v>
      </c>
      <c r="K268" t="str">
        <v>Windows / Doors - PVC (Triple)</v>
      </c>
      <c r="L268" s="322">
        <v>0</v>
      </c>
      <c r="M268" s="322">
        <v>0</v>
      </c>
      <c r="N268" s="322">
        <v>0</v>
      </c>
    </row>
    <row r="269" spans="1:14" x14ac:dyDescent="0.3">
      <c r="A269" t="s">
        <v>390</v>
      </c>
      <c r="B269" s="330">
        <f>SUMIF('Materials Calculations'!B:B,MaterialData32[[#This Row],[Material]],'Materials Calculations'!F:F)</f>
        <v>0</v>
      </c>
      <c r="C269" s="330">
        <f>SUMIF('Materials Calculations'!B:B,MaterialData32[[#This Row],[Material]],'Materials Calculations'!H:H)</f>
        <v>0</v>
      </c>
      <c r="D269" s="330">
        <f>SUMIF('Materials Calculations'!B:B,MaterialData32[[#This Row],[Material]],'Materials Calculations'!AI:AI)</f>
        <v>0</v>
      </c>
      <c r="F269" t="str">
        <v>Windows / Doors - Timber (Triple)</v>
      </c>
      <c r="G269">
        <v>0</v>
      </c>
      <c r="H269">
        <v>0</v>
      </c>
      <c r="I269">
        <v>0</v>
      </c>
      <c r="K269" t="str">
        <v>Windows / Doors - Timber (Triple)</v>
      </c>
      <c r="L269" s="322">
        <v>0</v>
      </c>
      <c r="M269" s="322">
        <v>0</v>
      </c>
      <c r="N269" s="322">
        <v>0</v>
      </c>
    </row>
    <row r="270" spans="1:14" x14ac:dyDescent="0.3">
      <c r="A270" t="s">
        <v>391</v>
      </c>
      <c r="B270" s="330">
        <f>SUMIF('Materials Calculations'!B:B,MaterialData32[[#This Row],[Material]],'Materials Calculations'!F:F)</f>
        <v>0</v>
      </c>
      <c r="C270" s="330">
        <f>SUMIF('Materials Calculations'!B:B,MaterialData32[[#This Row],[Material]],'Materials Calculations'!H:H)</f>
        <v>0</v>
      </c>
      <c r="D270" s="330">
        <f>SUMIF('Materials Calculations'!B:B,MaterialData32[[#This Row],[Material]],'Materials Calculations'!AI:AI)</f>
        <v>0</v>
      </c>
      <c r="F270" t="str">
        <v>Windows / Doors - Aluminium (Double)</v>
      </c>
      <c r="G270">
        <v>0</v>
      </c>
      <c r="H270">
        <v>0</v>
      </c>
      <c r="I270">
        <v>0</v>
      </c>
      <c r="K270" t="str">
        <v>Windows / Doors - Aluminium (Double)</v>
      </c>
      <c r="L270" s="322">
        <v>0</v>
      </c>
      <c r="M270" s="322">
        <v>0</v>
      </c>
      <c r="N270" s="322">
        <v>0</v>
      </c>
    </row>
    <row r="271" spans="1:14" x14ac:dyDescent="0.3">
      <c r="A271" t="s">
        <v>392</v>
      </c>
      <c r="B271" s="330">
        <f>SUMIF('Materials Calculations'!B:B,MaterialData32[[#This Row],[Material]],'Materials Calculations'!F:F)</f>
        <v>0</v>
      </c>
      <c r="C271" s="330">
        <f>SUMIF('Materials Calculations'!B:B,MaterialData32[[#This Row],[Material]],'Materials Calculations'!H:H)</f>
        <v>0</v>
      </c>
      <c r="D271" s="330">
        <f>SUMIF('Materials Calculations'!B:B,MaterialData32[[#This Row],[Material]],'Materials Calculations'!AI:AI)</f>
        <v>0</v>
      </c>
      <c r="F271" t="str">
        <v>Windows / Doors - Aluminium (Triple)</v>
      </c>
      <c r="G271">
        <v>0</v>
      </c>
      <c r="H271">
        <v>0</v>
      </c>
      <c r="I271">
        <v>0</v>
      </c>
      <c r="K271" t="str">
        <v>Windows / Doors - Aluminium (Triple)</v>
      </c>
      <c r="L271" s="322">
        <v>0</v>
      </c>
      <c r="M271" s="322">
        <v>0</v>
      </c>
      <c r="N271" s="322">
        <v>0</v>
      </c>
    </row>
    <row r="272" spans="1:14" x14ac:dyDescent="0.3">
      <c r="A272" t="s">
        <v>393</v>
      </c>
      <c r="B272" s="330">
        <f>SUMIF('Materials Calculations'!B:B,MaterialData32[[#This Row],[Material]],'Materials Calculations'!F:F)</f>
        <v>0</v>
      </c>
      <c r="C272" s="330">
        <f>SUMIF('Materials Calculations'!B:B,MaterialData32[[#This Row],[Material]],'Materials Calculations'!H:H)</f>
        <v>0</v>
      </c>
      <c r="D272" s="330">
        <f>SUMIF('Materials Calculations'!B:B,MaterialData32[[#This Row],[Material]],'Materials Calculations'!AI:AI)</f>
        <v>0</v>
      </c>
      <c r="F272" t="str">
        <v>Windows / Doors - Timber Alu (Double)</v>
      </c>
      <c r="G272">
        <v>0</v>
      </c>
      <c r="H272">
        <v>0</v>
      </c>
      <c r="I272">
        <v>0</v>
      </c>
      <c r="K272" t="str">
        <v>Windows / Doors - Timber Alu (Double)</v>
      </c>
      <c r="L272" s="322">
        <v>0</v>
      </c>
      <c r="M272" s="322">
        <v>0</v>
      </c>
      <c r="N272" s="322">
        <v>0</v>
      </c>
    </row>
    <row r="273" spans="1:14" x14ac:dyDescent="0.3">
      <c r="A273" t="s">
        <v>394</v>
      </c>
      <c r="B273" s="330">
        <f>SUMIF('Materials Calculations'!B:B,MaterialData32[[#This Row],[Material]],'Materials Calculations'!F:F)</f>
        <v>0</v>
      </c>
      <c r="C273" s="330">
        <f>SUMIF('Materials Calculations'!B:B,MaterialData32[[#This Row],[Material]],'Materials Calculations'!H:H)</f>
        <v>0</v>
      </c>
      <c r="D273" s="330">
        <f>SUMIF('Materials Calculations'!B:B,MaterialData32[[#This Row],[Material]],'Materials Calculations'!AI:AI)</f>
        <v>0</v>
      </c>
      <c r="F273" t="str">
        <v>Windows / Doors - Timber Alu (Triple)</v>
      </c>
      <c r="G273">
        <v>0</v>
      </c>
      <c r="H273">
        <v>0</v>
      </c>
      <c r="I273">
        <v>0</v>
      </c>
      <c r="K273" t="str">
        <v>Windows / Doors - Timber Alu (Triple)</v>
      </c>
      <c r="L273" s="322">
        <v>0</v>
      </c>
      <c r="M273" s="322">
        <v>0</v>
      </c>
      <c r="N273" s="322">
        <v>0</v>
      </c>
    </row>
    <row r="274" spans="1:14" x14ac:dyDescent="0.3">
      <c r="A274" t="s">
        <v>395</v>
      </c>
      <c r="B274" s="330">
        <f>SUMIF('Materials Calculations'!B:B,MaterialData32[[#This Row],[Material]],'Materials Calculations'!F:F)</f>
        <v>0</v>
      </c>
      <c r="C274" s="330">
        <f>SUMIF('Materials Calculations'!B:B,MaterialData32[[#This Row],[Material]],'Materials Calculations'!H:H)</f>
        <v>0</v>
      </c>
      <c r="D274" s="330">
        <f>SUMIF('Materials Calculations'!B:B,MaterialData32[[#This Row],[Material]],'Materials Calculations'!AI:AI)</f>
        <v>0</v>
      </c>
      <c r="F274" t="str">
        <v>Cement fibre board</v>
      </c>
      <c r="G274">
        <v>0</v>
      </c>
      <c r="H274">
        <v>0</v>
      </c>
      <c r="I274">
        <v>0</v>
      </c>
      <c r="K274" t="str">
        <v>Cement fibre board</v>
      </c>
      <c r="L274" s="322">
        <v>0</v>
      </c>
      <c r="M274" s="322">
        <v>0</v>
      </c>
      <c r="N274" s="322">
        <v>0</v>
      </c>
    </row>
    <row r="275" spans="1:14" x14ac:dyDescent="0.3">
      <c r="A275" t="s">
        <v>396</v>
      </c>
      <c r="B275" s="330">
        <f>SUMIF('Materials Calculations'!B:B,MaterialData32[[#This Row],[Material]],'Materials Calculations'!F:F)</f>
        <v>0</v>
      </c>
      <c r="C275" s="330">
        <f>SUMIF('Materials Calculations'!B:B,MaterialData32[[#This Row],[Material]],'Materials Calculations'!H:H)</f>
        <v>0</v>
      </c>
      <c r="D275" s="330">
        <f>SUMIF('Materials Calculations'!B:B,MaterialData32[[#This Row],[Material]],'Materials Calculations'!AI:AI)</f>
        <v>0</v>
      </c>
      <c r="F275" t="str">
        <v>Plasterboard (gypsum)</v>
      </c>
      <c r="G275">
        <v>0</v>
      </c>
      <c r="H275">
        <v>0</v>
      </c>
      <c r="I275">
        <v>0</v>
      </c>
      <c r="K275" t="str">
        <v>Plasterboard (gypsum)</v>
      </c>
      <c r="L275" s="322">
        <v>0</v>
      </c>
      <c r="M275" s="322">
        <v>0</v>
      </c>
      <c r="N275" s="322">
        <v>0</v>
      </c>
    </row>
    <row r="276" spans="1:14" x14ac:dyDescent="0.3">
      <c r="A276" t="s">
        <v>912</v>
      </c>
      <c r="B276" s="330">
        <f>SUMIF('Materials Calculations'!B:B,MaterialData32[[#This Row],[Material]],'Materials Calculations'!F:F)</f>
        <v>0</v>
      </c>
      <c r="C276" s="330">
        <f>SUMIF('Materials Calculations'!B:B,MaterialData32[[#This Row],[Material]],'Materials Calculations'!H:H)</f>
        <v>0</v>
      </c>
      <c r="D276" s="330">
        <f>SUMIF('Materials Calculations'!B:B,MaterialData32[[#This Row],[Material]],'Materials Calculations'!AI:AI)</f>
        <v>0</v>
      </c>
      <c r="F276" t="str">
        <v>Brick wall inc mortar, single skin(per m2)</v>
      </c>
      <c r="G276">
        <v>0</v>
      </c>
      <c r="H276">
        <v>0</v>
      </c>
      <c r="I276">
        <v>0</v>
      </c>
      <c r="K276" t="str">
        <v>Brick wall inc mortar, single skin(per m2)</v>
      </c>
      <c r="L276" s="322">
        <v>0</v>
      </c>
      <c r="M276" s="322">
        <v>0</v>
      </c>
      <c r="N276" s="322">
        <v>0</v>
      </c>
    </row>
    <row r="277" spans="1:14" x14ac:dyDescent="0.3">
      <c r="A277" t="s">
        <v>398</v>
      </c>
      <c r="B277" s="330">
        <f>SUMIF('Materials Calculations'!B:B,MaterialData32[[#This Row],[Material]],'Materials Calculations'!F:F)</f>
        <v>0</v>
      </c>
      <c r="C277" s="330">
        <f>SUMIF('Materials Calculations'!B:B,MaterialData32[[#This Row],[Material]],'Materials Calculations'!H:H)</f>
        <v>0</v>
      </c>
      <c r="D277" s="330">
        <f>SUMIF('Materials Calculations'!B:B,MaterialData32[[#This Row],[Material]],'Materials Calculations'!AI:AI)</f>
        <v>0</v>
      </c>
      <c r="F277" t="str">
        <v>Timber stud wall</v>
      </c>
      <c r="G277">
        <v>0</v>
      </c>
      <c r="H277">
        <v>0</v>
      </c>
      <c r="I277">
        <v>0</v>
      </c>
      <c r="K277" t="str">
        <v>Timber stud wall</v>
      </c>
      <c r="L277" s="322">
        <v>0</v>
      </c>
      <c r="M277" s="322">
        <v>0</v>
      </c>
      <c r="N277" s="322">
        <v>0</v>
      </c>
    </row>
    <row r="278" spans="1:14" x14ac:dyDescent="0.3">
      <c r="A278" t="s">
        <v>399</v>
      </c>
      <c r="B278" s="330">
        <f>SUMIF('Materials Calculations'!B:B,MaterialData32[[#This Row],[Material]],'Materials Calculations'!F:F)</f>
        <v>0</v>
      </c>
      <c r="C278" s="330">
        <f>SUMIF('Materials Calculations'!B:B,MaterialData32[[#This Row],[Material]],'Materials Calculations'!H:H)</f>
        <v>0</v>
      </c>
      <c r="D278" s="330">
        <f>SUMIF('Materials Calculations'!B:B,MaterialData32[[#This Row],[Material]],'Materials Calculations'!AI:AI)</f>
        <v>0</v>
      </c>
      <c r="F278" t="str">
        <v>Suspended ceiling (metal)</v>
      </c>
      <c r="G278">
        <v>0</v>
      </c>
      <c r="H278">
        <v>0</v>
      </c>
      <c r="I278">
        <v>0</v>
      </c>
      <c r="K278" t="str">
        <v>Suspended ceiling (metal)</v>
      </c>
      <c r="L278" s="322">
        <v>0</v>
      </c>
      <c r="M278" s="322">
        <v>0</v>
      </c>
      <c r="N278" s="322">
        <v>0</v>
      </c>
    </row>
    <row r="279" spans="1:14" x14ac:dyDescent="0.3">
      <c r="A279" t="s">
        <v>400</v>
      </c>
      <c r="B279" s="330">
        <f>SUMIF('Materials Calculations'!B:B,MaterialData32[[#This Row],[Material]],'Materials Calculations'!F:F)</f>
        <v>0</v>
      </c>
      <c r="C279" s="330">
        <f>SUMIF('Materials Calculations'!B:B,MaterialData32[[#This Row],[Material]],'Materials Calculations'!H:H)</f>
        <v>0</v>
      </c>
      <c r="D279" s="330">
        <f>SUMIF('Materials Calculations'!B:B,MaterialData32[[#This Row],[Material]],'Materials Calculations'!AI:AI)</f>
        <v>0</v>
      </c>
      <c r="F279" t="str">
        <v>Suspended ceiling (other/timber)</v>
      </c>
      <c r="G279">
        <v>0</v>
      </c>
      <c r="H279">
        <v>0</v>
      </c>
      <c r="I279">
        <v>0</v>
      </c>
      <c r="K279" t="str">
        <v>Suspended ceiling (other/timber)</v>
      </c>
      <c r="L279" s="322">
        <v>0</v>
      </c>
      <c r="M279" s="322">
        <v>0</v>
      </c>
      <c r="N279" s="322">
        <v>0</v>
      </c>
    </row>
    <row r="280" spans="1:14" x14ac:dyDescent="0.3">
      <c r="A280" t="s">
        <v>401</v>
      </c>
      <c r="B280" s="330">
        <f>SUMIF('Materials Calculations'!B:B,MaterialData32[[#This Row],[Material]],'Materials Calculations'!F:F)</f>
        <v>0</v>
      </c>
      <c r="C280" s="330">
        <f>SUMIF('Materials Calculations'!B:B,MaterialData32[[#This Row],[Material]],'Materials Calculations'!H:H)</f>
        <v>0</v>
      </c>
      <c r="D280" s="330">
        <f>SUMIF('Materials Calculations'!B:B,MaterialData32[[#This Row],[Material]],'Materials Calculations'!AI:AI)</f>
        <v>0</v>
      </c>
      <c r="F280" t="str">
        <v>Vinyl flooring</v>
      </c>
      <c r="G280">
        <v>0</v>
      </c>
      <c r="H280">
        <v>0</v>
      </c>
      <c r="I280">
        <v>0</v>
      </c>
      <c r="K280" t="str">
        <v>Vinyl flooring</v>
      </c>
      <c r="L280" s="322">
        <v>0</v>
      </c>
      <c r="M280" s="322">
        <v>0</v>
      </c>
      <c r="N280" s="322">
        <v>0</v>
      </c>
    </row>
    <row r="281" spans="1:14" x14ac:dyDescent="0.3">
      <c r="A281" t="s">
        <v>402</v>
      </c>
      <c r="B281" s="330">
        <f>SUMIF('Materials Calculations'!B:B,MaterialData32[[#This Row],[Material]],'Materials Calculations'!F:F)</f>
        <v>0</v>
      </c>
      <c r="C281" s="330">
        <f>SUMIF('Materials Calculations'!B:B,MaterialData32[[#This Row],[Material]],'Materials Calculations'!H:H)</f>
        <v>0</v>
      </c>
      <c r="D281" s="330">
        <f>SUMIF('Materials Calculations'!B:B,MaterialData32[[#This Row],[Material]],'Materials Calculations'!AI:AI)</f>
        <v>0</v>
      </c>
      <c r="F281" t="str">
        <v>Ceramic tiles</v>
      </c>
      <c r="G281">
        <v>0</v>
      </c>
      <c r="H281">
        <v>0</v>
      </c>
      <c r="I281">
        <v>0</v>
      </c>
      <c r="K281" t="str">
        <v>Ceramic tiles</v>
      </c>
      <c r="L281" s="322">
        <v>0</v>
      </c>
      <c r="M281" s="322">
        <v>0</v>
      </c>
      <c r="N281" s="322">
        <v>0</v>
      </c>
    </row>
    <row r="282" spans="1:14" x14ac:dyDescent="0.3">
      <c r="A282" t="s">
        <v>403</v>
      </c>
      <c r="B282" s="330">
        <f>SUMIF('Materials Calculations'!B:B,MaterialData32[[#This Row],[Material]],'Materials Calculations'!F:F)</f>
        <v>0</v>
      </c>
      <c r="C282" s="330">
        <f>SUMIF('Materials Calculations'!B:B,MaterialData32[[#This Row],[Material]],'Materials Calculations'!H:H)</f>
        <v>0</v>
      </c>
      <c r="D282" s="330">
        <f>SUMIF('Materials Calculations'!B:B,MaterialData32[[#This Row],[Material]],'Materials Calculations'!AI:AI)</f>
        <v>0</v>
      </c>
      <c r="F282" t="str">
        <v>Cork flooring</v>
      </c>
      <c r="G282">
        <v>0</v>
      </c>
      <c r="H282">
        <v>0</v>
      </c>
      <c r="I282">
        <v>0</v>
      </c>
      <c r="K282" t="str">
        <v>Cork flooring</v>
      </c>
      <c r="L282" s="322">
        <v>0</v>
      </c>
      <c r="M282" s="322">
        <v>0</v>
      </c>
      <c r="N282" s="322">
        <v>0</v>
      </c>
    </row>
    <row r="283" spans="1:14" x14ac:dyDescent="0.3">
      <c r="A283" t="s">
        <v>405</v>
      </c>
      <c r="B283" s="330">
        <f>SUMIF('Materials Calculations'!B:B,MaterialData32[[#This Row],[Material]],'Materials Calculations'!F:F)</f>
        <v>0</v>
      </c>
      <c r="C283" s="330">
        <f>SUMIF('Materials Calculations'!B:B,MaterialData32[[#This Row],[Material]],'Materials Calculations'!H:H)</f>
        <v>0</v>
      </c>
      <c r="D283" s="330">
        <f>SUMIF('Materials Calculations'!B:B,MaterialData32[[#This Row],[Material]],'Materials Calculations'!AI:AI)</f>
        <v>0</v>
      </c>
      <c r="F283" t="str">
        <v>Zinc sheeting</v>
      </c>
      <c r="G283">
        <v>0</v>
      </c>
      <c r="H283">
        <v>0</v>
      </c>
      <c r="I283">
        <v>0</v>
      </c>
      <c r="K283" t="str">
        <v>Zinc sheeting</v>
      </c>
      <c r="L283" s="322">
        <v>0</v>
      </c>
      <c r="M283" s="322">
        <v>0</v>
      </c>
      <c r="N283" s="322">
        <v>0</v>
      </c>
    </row>
    <row r="284" spans="1:14" x14ac:dyDescent="0.3">
      <c r="A284" t="s">
        <v>406</v>
      </c>
      <c r="B284" s="330">
        <f>SUMIF('Materials Calculations'!B:B,MaterialData32[[#This Row],[Material]],'Materials Calculations'!F:F)</f>
        <v>0</v>
      </c>
      <c r="C284" s="330">
        <f>SUMIF('Materials Calculations'!B:B,MaterialData32[[#This Row],[Material]],'Materials Calculations'!H:H)</f>
        <v>0</v>
      </c>
      <c r="D284" s="330">
        <f>SUMIF('Materials Calculations'!B:B,MaterialData32[[#This Row],[Material]],'Materials Calculations'!AI:AI)</f>
        <v>0</v>
      </c>
      <c r="F284" t="str">
        <v>Recycled Copper sheeting</v>
      </c>
      <c r="G284">
        <v>0</v>
      </c>
      <c r="H284">
        <v>0</v>
      </c>
      <c r="I284">
        <v>0</v>
      </c>
      <c r="K284" t="str">
        <v>Recycled Copper sheeting</v>
      </c>
      <c r="L284" s="322">
        <v>0</v>
      </c>
      <c r="M284" s="322">
        <v>0</v>
      </c>
      <c r="N284" s="322">
        <v>0</v>
      </c>
    </row>
    <row r="285" spans="1:14" x14ac:dyDescent="0.3">
      <c r="A285" t="s">
        <v>407</v>
      </c>
      <c r="B285" s="330">
        <f>SUMIF('Materials Calculations'!B:B,MaterialData32[[#This Row],[Material]],'Materials Calculations'!F:F)</f>
        <v>0</v>
      </c>
      <c r="C285" s="330">
        <f>SUMIF('Materials Calculations'!B:B,MaterialData32[[#This Row],[Material]],'Materials Calculations'!H:H)</f>
        <v>0</v>
      </c>
      <c r="D285" s="330">
        <f>SUMIF('Materials Calculations'!B:B,MaterialData32[[#This Row],[Material]],'Materials Calculations'!AI:AI)</f>
        <v>0</v>
      </c>
      <c r="F285" t="str">
        <v>PVC Rainwater goods</v>
      </c>
      <c r="G285">
        <v>0</v>
      </c>
      <c r="H285">
        <v>0</v>
      </c>
      <c r="I285">
        <v>0</v>
      </c>
      <c r="K285" t="str">
        <v>PVC Rainwater goods</v>
      </c>
      <c r="L285" s="322">
        <v>0</v>
      </c>
      <c r="M285" s="322">
        <v>0</v>
      </c>
      <c r="N285" s="322">
        <v>0</v>
      </c>
    </row>
    <row r="286" spans="1:14" x14ac:dyDescent="0.3">
      <c r="A286" t="s">
        <v>408</v>
      </c>
      <c r="B286" s="330">
        <f>SUMIF('Materials Calculations'!B:B,MaterialData32[[#This Row],[Material]],'Materials Calculations'!F:F)</f>
        <v>0</v>
      </c>
      <c r="C286" s="330">
        <f>SUMIF('Materials Calculations'!B:B,MaterialData32[[#This Row],[Material]],'Materials Calculations'!H:H)</f>
        <v>0</v>
      </c>
      <c r="D286" s="330">
        <f>SUMIF('Materials Calculations'!B:B,MaterialData32[[#This Row],[Material]],'Materials Calculations'!AI:AI)</f>
        <v>0</v>
      </c>
      <c r="F286" t="str">
        <v>DPM</v>
      </c>
      <c r="G286">
        <v>0</v>
      </c>
      <c r="H286">
        <v>0</v>
      </c>
      <c r="I286">
        <v>0</v>
      </c>
      <c r="K286" t="str">
        <v>DPM</v>
      </c>
      <c r="L286" s="322">
        <v>0</v>
      </c>
      <c r="M286" s="322">
        <v>0</v>
      </c>
      <c r="N286" s="322">
        <v>0</v>
      </c>
    </row>
    <row r="287" spans="1:14" x14ac:dyDescent="0.3">
      <c r="A287" t="str">
        <f>EPD!B3</f>
        <v>User input EPD1</v>
      </c>
      <c r="B287" s="330">
        <f>SUMIF('Materials Calculations'!B:B,MaterialData32[[#This Row],[Material]],'Materials Calculations'!F:F)</f>
        <v>0</v>
      </c>
      <c r="C287" s="330">
        <f>SUMIF('Materials Calculations'!B:B,MaterialData32[[#This Row],[Material]],'Materials Calculations'!H:H)</f>
        <v>0</v>
      </c>
      <c r="D287" s="330">
        <f>SUMIF('Materials Calculations'!B:B,MaterialData32[[#This Row],[Material]],'Materials Calculations'!AI:AI)</f>
        <v>0</v>
      </c>
      <c r="F287" t="str">
        <v>User input EPD1</v>
      </c>
      <c r="G287">
        <v>0</v>
      </c>
      <c r="H287">
        <v>0</v>
      </c>
      <c r="I287">
        <v>0</v>
      </c>
      <c r="K287" t="str">
        <v>User input EPD1</v>
      </c>
      <c r="L287" s="322">
        <v>0</v>
      </c>
      <c r="M287" s="322">
        <v>0</v>
      </c>
      <c r="N287" s="322">
        <v>0</v>
      </c>
    </row>
    <row r="288" spans="1:14" x14ac:dyDescent="0.3">
      <c r="A288" t="str">
        <f>EPD!B4</f>
        <v>User input EPD2</v>
      </c>
      <c r="B288" s="330">
        <f>SUMIF('Materials Calculations'!B:B,MaterialData32[[#This Row],[Material]],'Materials Calculations'!F:F)</f>
        <v>0</v>
      </c>
      <c r="C288" s="330">
        <f>SUMIF('Materials Calculations'!B:B,MaterialData32[[#This Row],[Material]],'Materials Calculations'!H:H)</f>
        <v>0</v>
      </c>
      <c r="D288" s="330">
        <f>SUMIF('Materials Calculations'!B:B,MaterialData32[[#This Row],[Material]],'Materials Calculations'!AI:AI)</f>
        <v>0</v>
      </c>
      <c r="F288" t="str">
        <v>User input EPD2</v>
      </c>
      <c r="G288">
        <v>0</v>
      </c>
      <c r="H288">
        <v>0</v>
      </c>
      <c r="I288">
        <v>0</v>
      </c>
      <c r="K288" t="str">
        <v>User input EPD2</v>
      </c>
      <c r="L288" s="322">
        <v>0</v>
      </c>
      <c r="M288" s="322">
        <v>0</v>
      </c>
      <c r="N288" s="322">
        <v>0</v>
      </c>
    </row>
    <row r="289" spans="1:14" x14ac:dyDescent="0.3">
      <c r="A289" t="str">
        <f>EPD!B5</f>
        <v>User input EPD3</v>
      </c>
      <c r="B289" s="330">
        <f>SUMIF('Materials Calculations'!B:B,MaterialData32[[#This Row],[Material]],'Materials Calculations'!F:F)</f>
        <v>0</v>
      </c>
      <c r="C289" s="330">
        <f>SUMIF('Materials Calculations'!B:B,MaterialData32[[#This Row],[Material]],'Materials Calculations'!H:H)</f>
        <v>0</v>
      </c>
      <c r="D289" s="330">
        <f>SUMIF('Materials Calculations'!B:B,MaterialData32[[#This Row],[Material]],'Materials Calculations'!AI:AI)</f>
        <v>0</v>
      </c>
      <c r="F289" t="str">
        <v>User input EPD3</v>
      </c>
      <c r="G289">
        <v>0</v>
      </c>
      <c r="H289">
        <v>0</v>
      </c>
      <c r="I289">
        <v>0</v>
      </c>
      <c r="K289" t="str">
        <v>User input EPD3</v>
      </c>
      <c r="L289" s="322">
        <v>0</v>
      </c>
      <c r="M289" s="322">
        <v>0</v>
      </c>
      <c r="N289" s="322">
        <v>0</v>
      </c>
    </row>
    <row r="290" spans="1:14" x14ac:dyDescent="0.3">
      <c r="A290" t="str">
        <f>EPD!B6</f>
        <v>User input EPD4</v>
      </c>
      <c r="B290" s="330">
        <f>SUMIF('Materials Calculations'!B:B,MaterialData32[[#This Row],[Material]],'Materials Calculations'!F:F)</f>
        <v>0</v>
      </c>
      <c r="C290" s="330">
        <f>SUMIF('Materials Calculations'!B:B,MaterialData32[[#This Row],[Material]],'Materials Calculations'!H:H)</f>
        <v>0</v>
      </c>
      <c r="D290" s="330">
        <f>SUMIF('Materials Calculations'!B:B,MaterialData32[[#This Row],[Material]],'Materials Calculations'!AI:AI)</f>
        <v>0</v>
      </c>
      <c r="F290" t="str">
        <v>User input EPD4</v>
      </c>
      <c r="G290">
        <v>0</v>
      </c>
      <c r="H290">
        <v>0</v>
      </c>
      <c r="I290">
        <v>0</v>
      </c>
      <c r="K290" t="str">
        <v>User input EPD4</v>
      </c>
      <c r="L290" s="322">
        <v>0</v>
      </c>
      <c r="M290" s="322">
        <v>0</v>
      </c>
      <c r="N290" s="322">
        <v>0</v>
      </c>
    </row>
    <row r="291" spans="1:14" x14ac:dyDescent="0.3">
      <c r="A291" t="str">
        <f>EPD!B7</f>
        <v>User input EPD5</v>
      </c>
      <c r="B291" s="330">
        <f>SUMIF('Materials Calculations'!B:B,MaterialData32[[#This Row],[Material]],'Materials Calculations'!F:F)</f>
        <v>0</v>
      </c>
      <c r="C291" s="330">
        <f>SUMIF('Materials Calculations'!B:B,MaterialData32[[#This Row],[Material]],'Materials Calculations'!H:H)</f>
        <v>0</v>
      </c>
      <c r="D291" s="330">
        <f>SUMIF('Materials Calculations'!B:B,MaterialData32[[#This Row],[Material]],'Materials Calculations'!AI:AI)</f>
        <v>0</v>
      </c>
      <c r="F291" t="str">
        <v>User input EPD5</v>
      </c>
      <c r="G291">
        <v>0</v>
      </c>
      <c r="H291">
        <v>0</v>
      </c>
      <c r="I291">
        <v>0</v>
      </c>
      <c r="K291" t="str">
        <v>User input EPD5</v>
      </c>
      <c r="L291" s="322">
        <v>0</v>
      </c>
      <c r="M291" s="322">
        <v>0</v>
      </c>
      <c r="N291" s="322">
        <v>0</v>
      </c>
    </row>
    <row r="292" spans="1:14" x14ac:dyDescent="0.3">
      <c r="A292" t="str">
        <f>EPD!B8</f>
        <v>User input EPD6</v>
      </c>
      <c r="B292" s="330">
        <f>SUMIF('Materials Calculations'!B:B,MaterialData32[[#This Row],[Material]],'Materials Calculations'!F:F)</f>
        <v>0</v>
      </c>
      <c r="C292" s="330">
        <f>SUMIF('Materials Calculations'!B:B,MaterialData32[[#This Row],[Material]],'Materials Calculations'!H:H)</f>
        <v>0</v>
      </c>
      <c r="D292" s="330">
        <f>SUMIF('Materials Calculations'!B:B,MaterialData32[[#This Row],[Material]],'Materials Calculations'!AI:AI)</f>
        <v>0</v>
      </c>
      <c r="F292" t="str">
        <v>User input EPD6</v>
      </c>
      <c r="G292">
        <v>0</v>
      </c>
      <c r="H292">
        <v>0</v>
      </c>
      <c r="I292">
        <v>0</v>
      </c>
      <c r="K292" t="str">
        <v>User input EPD6</v>
      </c>
      <c r="L292" s="322">
        <v>0</v>
      </c>
      <c r="M292" s="322">
        <v>0</v>
      </c>
      <c r="N292" s="322">
        <v>0</v>
      </c>
    </row>
    <row r="293" spans="1:14" x14ac:dyDescent="0.3">
      <c r="A293" t="str">
        <f>EPD!B9</f>
        <v>User input EPD7</v>
      </c>
      <c r="B293" s="330">
        <f>SUMIF('Materials Calculations'!B:B,MaterialData32[[#This Row],[Material]],'Materials Calculations'!F:F)</f>
        <v>0</v>
      </c>
      <c r="C293" s="330">
        <f>SUMIF('Materials Calculations'!B:B,MaterialData32[[#This Row],[Material]],'Materials Calculations'!H:H)</f>
        <v>0</v>
      </c>
      <c r="D293" s="330">
        <f>SUMIF('Materials Calculations'!B:B,MaterialData32[[#This Row],[Material]],'Materials Calculations'!AI:AI)</f>
        <v>0</v>
      </c>
      <c r="F293" t="str">
        <v>User input EPD7</v>
      </c>
      <c r="G293">
        <v>0</v>
      </c>
      <c r="H293">
        <v>0</v>
      </c>
      <c r="I293">
        <v>0</v>
      </c>
      <c r="K293" t="str">
        <v>User input EPD7</v>
      </c>
      <c r="L293" s="322">
        <v>0</v>
      </c>
      <c r="M293" s="322">
        <v>0</v>
      </c>
      <c r="N293" s="322">
        <v>0</v>
      </c>
    </row>
    <row r="294" spans="1:14" x14ac:dyDescent="0.3">
      <c r="A294" t="str">
        <f>EPD!B10</f>
        <v>User input EPD8</v>
      </c>
      <c r="B294" s="330">
        <f>SUMIF('Materials Calculations'!B:B,MaterialData32[[#This Row],[Material]],'Materials Calculations'!F:F)</f>
        <v>0</v>
      </c>
      <c r="C294" s="330">
        <f>SUMIF('Materials Calculations'!B:B,MaterialData32[[#This Row],[Material]],'Materials Calculations'!H:H)</f>
        <v>0</v>
      </c>
      <c r="D294" s="330">
        <f>SUMIF('Materials Calculations'!B:B,MaterialData32[[#This Row],[Material]],'Materials Calculations'!AI:AI)</f>
        <v>0</v>
      </c>
      <c r="F294" t="str">
        <v>User input EPD8</v>
      </c>
      <c r="G294">
        <v>0</v>
      </c>
      <c r="H294">
        <v>0</v>
      </c>
      <c r="I294">
        <v>0</v>
      </c>
      <c r="K294" t="str">
        <v>User input EPD8</v>
      </c>
      <c r="L294" s="322">
        <v>0</v>
      </c>
      <c r="M294" s="322">
        <v>0</v>
      </c>
      <c r="N294" s="322">
        <v>0</v>
      </c>
    </row>
    <row r="295" spans="1:14" x14ac:dyDescent="0.3">
      <c r="A295" t="str">
        <f>EPD!B11</f>
        <v>User input EPD9</v>
      </c>
      <c r="B295" s="330">
        <f>SUMIF('Materials Calculations'!B:B,MaterialData32[[#This Row],[Material]],'Materials Calculations'!F:F)</f>
        <v>0</v>
      </c>
      <c r="C295" s="330">
        <f>SUMIF('Materials Calculations'!B:B,MaterialData32[[#This Row],[Material]],'Materials Calculations'!H:H)</f>
        <v>0</v>
      </c>
      <c r="D295" s="330">
        <f>SUMIF('Materials Calculations'!B:B,MaterialData32[[#This Row],[Material]],'Materials Calculations'!AI:AI)</f>
        <v>0</v>
      </c>
      <c r="F295" t="str">
        <v>User input EPD9</v>
      </c>
      <c r="G295">
        <v>0</v>
      </c>
      <c r="H295">
        <v>0</v>
      </c>
      <c r="I295">
        <v>0</v>
      </c>
      <c r="K295" t="str">
        <v>User input EPD9</v>
      </c>
      <c r="L295" s="322">
        <v>0</v>
      </c>
      <c r="M295" s="322">
        <v>0</v>
      </c>
      <c r="N295" s="322">
        <v>0</v>
      </c>
    </row>
    <row r="296" spans="1:14" x14ac:dyDescent="0.3">
      <c r="A296" t="str">
        <f>EPD!B12</f>
        <v>User input EPD10</v>
      </c>
      <c r="B296" s="330">
        <f>SUMIF('Materials Calculations'!B:B,MaterialData32[[#This Row],[Material]],'Materials Calculations'!F:F)</f>
        <v>0</v>
      </c>
      <c r="C296" s="330">
        <f>SUMIF('Materials Calculations'!B:B,MaterialData32[[#This Row],[Material]],'Materials Calculations'!H:H)</f>
        <v>0</v>
      </c>
      <c r="D296" s="330">
        <f>SUMIF('Materials Calculations'!B:B,MaterialData32[[#This Row],[Material]],'Materials Calculations'!AI:AI)</f>
        <v>0</v>
      </c>
      <c r="F296" t="str">
        <v>User input EPD10</v>
      </c>
      <c r="G296">
        <v>0</v>
      </c>
      <c r="H296">
        <v>0</v>
      </c>
      <c r="I296">
        <v>0</v>
      </c>
      <c r="K296" t="str">
        <v>User input EPD10</v>
      </c>
      <c r="L296" s="322">
        <v>0</v>
      </c>
      <c r="M296" s="322">
        <v>0</v>
      </c>
      <c r="N296" s="322">
        <v>0</v>
      </c>
    </row>
    <row r="297" spans="1:14" x14ac:dyDescent="0.3">
      <c r="A297" t="str">
        <f>EPD!B13</f>
        <v>User input EPD11</v>
      </c>
      <c r="B297" s="330">
        <f>SUMIF('Materials Calculations'!B:B,MaterialData32[[#This Row],[Material]],'Materials Calculations'!F:F)</f>
        <v>0</v>
      </c>
      <c r="C297" s="330">
        <f>SUMIF('Materials Calculations'!B:B,MaterialData32[[#This Row],[Material]],'Materials Calculations'!H:H)</f>
        <v>0</v>
      </c>
      <c r="D297" s="330">
        <f>SUMIF('Materials Calculations'!B:B,MaterialData32[[#This Row],[Material]],'Materials Calculations'!AI:AI)</f>
        <v>0</v>
      </c>
      <c r="F297" t="str">
        <v>User input EPD11</v>
      </c>
      <c r="G297">
        <v>0</v>
      </c>
      <c r="H297">
        <v>0</v>
      </c>
      <c r="I297">
        <v>0</v>
      </c>
      <c r="K297" t="str">
        <v>User input EPD11</v>
      </c>
      <c r="L297" s="322">
        <v>0</v>
      </c>
      <c r="M297" s="322">
        <v>0</v>
      </c>
      <c r="N297" s="322">
        <v>0</v>
      </c>
    </row>
    <row r="298" spans="1:14" x14ac:dyDescent="0.3">
      <c r="A298" t="str">
        <f>EPD!B14</f>
        <v>User input EPD12</v>
      </c>
      <c r="B298" s="330">
        <f>SUMIF('Materials Calculations'!B:B,MaterialData32[[#This Row],[Material]],'Materials Calculations'!F:F)</f>
        <v>0</v>
      </c>
      <c r="C298" s="330">
        <f>SUMIF('Materials Calculations'!B:B,MaterialData32[[#This Row],[Material]],'Materials Calculations'!H:H)</f>
        <v>0</v>
      </c>
      <c r="D298" s="330">
        <f>SUMIF('Materials Calculations'!B:B,MaterialData32[[#This Row],[Material]],'Materials Calculations'!AI:AI)</f>
        <v>0</v>
      </c>
      <c r="F298" t="str">
        <v>User input EPD12</v>
      </c>
      <c r="G298">
        <v>0</v>
      </c>
      <c r="H298">
        <v>0</v>
      </c>
      <c r="I298">
        <v>0</v>
      </c>
      <c r="K298" t="str">
        <v>User input EPD12</v>
      </c>
      <c r="L298" s="322">
        <v>0</v>
      </c>
      <c r="M298" s="322">
        <v>0</v>
      </c>
      <c r="N298" s="322">
        <v>0</v>
      </c>
    </row>
    <row r="299" spans="1:14" x14ac:dyDescent="0.3">
      <c r="A299" t="str">
        <f>EPD!B15</f>
        <v>User input EPD13</v>
      </c>
      <c r="B299" s="330">
        <f>SUMIF('Materials Calculations'!B:B,MaterialData32[[#This Row],[Material]],'Materials Calculations'!F:F)</f>
        <v>0</v>
      </c>
      <c r="C299" s="330">
        <f>SUMIF('Materials Calculations'!B:B,MaterialData32[[#This Row],[Material]],'Materials Calculations'!H:H)</f>
        <v>0</v>
      </c>
      <c r="D299" s="330">
        <f>SUMIF('Materials Calculations'!B:B,MaterialData32[[#This Row],[Material]],'Materials Calculations'!AI:AI)</f>
        <v>0</v>
      </c>
      <c r="F299" t="str">
        <v>User input EPD13</v>
      </c>
      <c r="G299">
        <v>0</v>
      </c>
      <c r="H299">
        <v>0</v>
      </c>
      <c r="I299">
        <v>0</v>
      </c>
      <c r="K299" t="str">
        <v>User input EPD13</v>
      </c>
      <c r="L299" s="322">
        <v>0</v>
      </c>
      <c r="M299" s="322">
        <v>0</v>
      </c>
      <c r="N299" s="322">
        <v>0</v>
      </c>
    </row>
    <row r="300" spans="1:14" x14ac:dyDescent="0.3">
      <c r="A300" t="str">
        <f>EPD!B16</f>
        <v>User input EPD14</v>
      </c>
      <c r="B300" s="330">
        <f>SUMIF('Materials Calculations'!B:B,MaterialData32[[#This Row],[Material]],'Materials Calculations'!F:F)</f>
        <v>0</v>
      </c>
      <c r="C300" s="330">
        <f>SUMIF('Materials Calculations'!B:B,MaterialData32[[#This Row],[Material]],'Materials Calculations'!H:H)</f>
        <v>0</v>
      </c>
      <c r="D300" s="330">
        <f>SUMIF('Materials Calculations'!B:B,MaterialData32[[#This Row],[Material]],'Materials Calculations'!AI:AI)</f>
        <v>0</v>
      </c>
      <c r="F300" t="str">
        <v>User input EPD14</v>
      </c>
      <c r="G300">
        <v>0</v>
      </c>
      <c r="H300">
        <v>0</v>
      </c>
      <c r="I300">
        <v>0</v>
      </c>
      <c r="K300" t="str">
        <v>User input EPD14</v>
      </c>
      <c r="L300" s="322">
        <v>0</v>
      </c>
      <c r="M300" s="322">
        <v>0</v>
      </c>
      <c r="N300" s="322">
        <v>0</v>
      </c>
    </row>
    <row r="301" spans="1:14" x14ac:dyDescent="0.3">
      <c r="A301" t="str">
        <f>EPD!B17</f>
        <v>User input EPD15</v>
      </c>
      <c r="B301" s="330">
        <f>SUMIF('Materials Calculations'!B:B,MaterialData32[[#This Row],[Material]],'Materials Calculations'!F:F)</f>
        <v>0</v>
      </c>
      <c r="C301" s="330">
        <f>SUMIF('Materials Calculations'!B:B,MaterialData32[[#This Row],[Material]],'Materials Calculations'!H:H)</f>
        <v>0</v>
      </c>
      <c r="D301" s="330">
        <f>SUMIF('Materials Calculations'!B:B,MaterialData32[[#This Row],[Material]],'Materials Calculations'!AI:AI)</f>
        <v>0</v>
      </c>
      <c r="F301" t="str">
        <v>User input EPD15</v>
      </c>
      <c r="G301">
        <v>0</v>
      </c>
      <c r="H301">
        <v>0</v>
      </c>
      <c r="I301">
        <v>0</v>
      </c>
      <c r="K301" t="str">
        <v>User input EPD15</v>
      </c>
      <c r="L301" s="322">
        <v>0</v>
      </c>
      <c r="M301" s="322">
        <v>0</v>
      </c>
      <c r="N301" s="322">
        <v>0</v>
      </c>
    </row>
    <row r="302" spans="1:14" x14ac:dyDescent="0.3">
      <c r="A302" t="str">
        <f>EPD!B18</f>
        <v>User input EPD16</v>
      </c>
      <c r="B302" s="330">
        <f>SUMIF('Materials Calculations'!B:B,MaterialData32[[#This Row],[Material]],'Materials Calculations'!F:F)</f>
        <v>0</v>
      </c>
      <c r="C302" s="330">
        <f>SUMIF('Materials Calculations'!B:B,MaterialData32[[#This Row],[Material]],'Materials Calculations'!H:H)</f>
        <v>0</v>
      </c>
      <c r="D302" s="330">
        <f>SUMIF('Materials Calculations'!B:B,MaterialData32[[#This Row],[Material]],'Materials Calculations'!AI:AI)</f>
        <v>0</v>
      </c>
      <c r="F302" t="str">
        <v>User input EPD16</v>
      </c>
      <c r="G302">
        <v>0</v>
      </c>
      <c r="H302">
        <v>0</v>
      </c>
      <c r="I302">
        <v>0</v>
      </c>
      <c r="K302" t="str">
        <v>User input EPD16</v>
      </c>
      <c r="L302" s="322">
        <v>0</v>
      </c>
      <c r="M302" s="322">
        <v>0</v>
      </c>
      <c r="N302" s="322">
        <v>0</v>
      </c>
    </row>
    <row r="303" spans="1:14" x14ac:dyDescent="0.3">
      <c r="A303" t="str">
        <f>EPD!B19</f>
        <v>User input EPD17</v>
      </c>
      <c r="B303" s="330">
        <f>SUMIF('Materials Calculations'!B:B,MaterialData32[[#This Row],[Material]],'Materials Calculations'!F:F)</f>
        <v>0</v>
      </c>
      <c r="C303" s="330">
        <f>SUMIF('Materials Calculations'!B:B,MaterialData32[[#This Row],[Material]],'Materials Calculations'!H:H)</f>
        <v>0</v>
      </c>
      <c r="D303" s="330">
        <f>SUMIF('Materials Calculations'!B:B,MaterialData32[[#This Row],[Material]],'Materials Calculations'!AI:AI)</f>
        <v>0</v>
      </c>
      <c r="F303" t="str">
        <v>User input EPD17</v>
      </c>
      <c r="G303">
        <v>0</v>
      </c>
      <c r="H303">
        <v>0</v>
      </c>
      <c r="I303">
        <v>0</v>
      </c>
      <c r="K303" t="str">
        <v>User input EPD17</v>
      </c>
      <c r="L303" s="322">
        <v>0</v>
      </c>
      <c r="M303" s="322">
        <v>0</v>
      </c>
      <c r="N303" s="322">
        <v>0</v>
      </c>
    </row>
    <row r="304" spans="1:14" x14ac:dyDescent="0.3">
      <c r="A304" t="str">
        <f>EPD!B20</f>
        <v>User input EPD18</v>
      </c>
      <c r="B304" s="330">
        <f>SUMIF('Materials Calculations'!B:B,MaterialData32[[#This Row],[Material]],'Materials Calculations'!F:F)</f>
        <v>0</v>
      </c>
      <c r="C304" s="330">
        <f>SUMIF('Materials Calculations'!B:B,MaterialData32[[#This Row],[Material]],'Materials Calculations'!H:H)</f>
        <v>0</v>
      </c>
      <c r="D304" s="330">
        <f>SUMIF('Materials Calculations'!B:B,MaterialData32[[#This Row],[Material]],'Materials Calculations'!AI:AI)</f>
        <v>0</v>
      </c>
      <c r="F304" t="str">
        <v>User input EPD18</v>
      </c>
      <c r="G304">
        <v>0</v>
      </c>
      <c r="H304">
        <v>0</v>
      </c>
      <c r="I304">
        <v>0</v>
      </c>
      <c r="K304" t="str">
        <v>User input EPD18</v>
      </c>
      <c r="L304" s="322">
        <v>0</v>
      </c>
      <c r="M304" s="322">
        <v>0</v>
      </c>
      <c r="N304" s="322">
        <v>0</v>
      </c>
    </row>
    <row r="305" spans="1:14" x14ac:dyDescent="0.3">
      <c r="A305" t="str">
        <f>EPD!B21</f>
        <v>User input EPD19</v>
      </c>
      <c r="B305" s="330">
        <f>SUMIF('Materials Calculations'!B:B,MaterialData32[[#This Row],[Material]],'Materials Calculations'!F:F)</f>
        <v>0</v>
      </c>
      <c r="C305" s="330">
        <f>SUMIF('Materials Calculations'!B:B,MaterialData32[[#This Row],[Material]],'Materials Calculations'!H:H)</f>
        <v>0</v>
      </c>
      <c r="D305" s="330">
        <f>SUMIF('Materials Calculations'!B:B,MaterialData32[[#This Row],[Material]],'Materials Calculations'!AI:AI)</f>
        <v>0</v>
      </c>
      <c r="F305" t="str">
        <v>User input EPD19</v>
      </c>
      <c r="G305">
        <v>0</v>
      </c>
      <c r="H305">
        <v>0</v>
      </c>
      <c r="I305">
        <v>0</v>
      </c>
      <c r="K305" t="str">
        <v>User input EPD19</v>
      </c>
      <c r="L305" s="322">
        <v>0</v>
      </c>
      <c r="M305" s="322">
        <v>0</v>
      </c>
      <c r="N305" s="322">
        <v>0</v>
      </c>
    </row>
    <row r="306" spans="1:14" x14ac:dyDescent="0.3">
      <c r="A306" t="str">
        <f>EPD!B22</f>
        <v>User input EPD20</v>
      </c>
      <c r="B306" s="330">
        <f>SUMIF('Materials Calculations'!B:B,MaterialData32[[#This Row],[Material]],'Materials Calculations'!F:F)</f>
        <v>0</v>
      </c>
      <c r="C306" s="330">
        <f>SUMIF('Materials Calculations'!B:B,MaterialData32[[#This Row],[Material]],'Materials Calculations'!H:H)</f>
        <v>0</v>
      </c>
      <c r="D306" s="330">
        <f>SUMIF('Materials Calculations'!B:B,MaterialData32[[#This Row],[Material]],'Materials Calculations'!AI:AI)</f>
        <v>0</v>
      </c>
      <c r="F306" t="str">
        <v>User input EPD20</v>
      </c>
      <c r="G306">
        <v>0</v>
      </c>
      <c r="H306">
        <v>0</v>
      </c>
      <c r="I306">
        <v>0</v>
      </c>
      <c r="K306" t="str">
        <v>User input EPD20</v>
      </c>
      <c r="L306" s="322">
        <v>0</v>
      </c>
      <c r="M306" s="322">
        <v>0</v>
      </c>
      <c r="N306" s="322">
        <v>0</v>
      </c>
    </row>
    <row r="307" spans="1:14" x14ac:dyDescent="0.3">
      <c r="A307" t="str">
        <f>EPD!B23</f>
        <v>User input EPD21</v>
      </c>
      <c r="B307" s="330">
        <f>SUMIF('Materials Calculations'!B:B,MaterialData32[[#This Row],[Material]],'Materials Calculations'!F:F)</f>
        <v>0</v>
      </c>
      <c r="C307" s="330">
        <f>SUMIF('Materials Calculations'!B:B,MaterialData32[[#This Row],[Material]],'Materials Calculations'!H:H)</f>
        <v>0</v>
      </c>
      <c r="D307" s="330">
        <f>SUMIF('Materials Calculations'!B:B,MaterialData32[[#This Row],[Material]],'Materials Calculations'!AI:AI)</f>
        <v>0</v>
      </c>
      <c r="F307" t="str">
        <v>User input EPD21</v>
      </c>
      <c r="G307">
        <v>0</v>
      </c>
      <c r="H307">
        <v>0</v>
      </c>
      <c r="I307">
        <v>0</v>
      </c>
      <c r="K307" t="str">
        <v>User input EPD21</v>
      </c>
      <c r="L307" s="322">
        <v>0</v>
      </c>
      <c r="M307" s="322">
        <v>0</v>
      </c>
      <c r="N307" s="322">
        <v>0</v>
      </c>
    </row>
    <row r="308" spans="1:14" x14ac:dyDescent="0.3">
      <c r="A308" t="str">
        <f>EPD!B24</f>
        <v>User input EPD22</v>
      </c>
      <c r="B308" s="330">
        <f>SUMIF('Materials Calculations'!B:B,MaterialData32[[#This Row],[Material]],'Materials Calculations'!F:F)</f>
        <v>0</v>
      </c>
      <c r="C308" s="330">
        <f>SUMIF('Materials Calculations'!B:B,MaterialData32[[#This Row],[Material]],'Materials Calculations'!H:H)</f>
        <v>0</v>
      </c>
      <c r="D308" s="330">
        <f>SUMIF('Materials Calculations'!B:B,MaterialData32[[#This Row],[Material]],'Materials Calculations'!AI:AI)</f>
        <v>0</v>
      </c>
      <c r="F308" t="str">
        <v>User input EPD22</v>
      </c>
      <c r="G308">
        <v>0</v>
      </c>
      <c r="H308">
        <v>0</v>
      </c>
      <c r="I308">
        <v>0</v>
      </c>
      <c r="K308" t="str">
        <v>User input EPD22</v>
      </c>
      <c r="L308" s="322">
        <v>0</v>
      </c>
      <c r="M308" s="322">
        <v>0</v>
      </c>
      <c r="N308" s="322">
        <v>0</v>
      </c>
    </row>
    <row r="309" spans="1:14" x14ac:dyDescent="0.3">
      <c r="A309" t="str">
        <f>EPD!B25</f>
        <v>User input EPD23</v>
      </c>
      <c r="B309" s="330">
        <f>SUMIF('Materials Calculations'!B:B,MaterialData32[[#This Row],[Material]],'Materials Calculations'!F:F)</f>
        <v>0</v>
      </c>
      <c r="C309" s="330">
        <f>SUMIF('Materials Calculations'!B:B,MaterialData32[[#This Row],[Material]],'Materials Calculations'!H:H)</f>
        <v>0</v>
      </c>
      <c r="D309" s="330">
        <f>SUMIF('Materials Calculations'!B:B,MaterialData32[[#This Row],[Material]],'Materials Calculations'!AI:AI)</f>
        <v>0</v>
      </c>
      <c r="F309" t="str">
        <v>User input EPD23</v>
      </c>
      <c r="G309">
        <v>0</v>
      </c>
      <c r="H309">
        <v>0</v>
      </c>
      <c r="I309">
        <v>0</v>
      </c>
      <c r="K309" t="str">
        <v>User input EPD23</v>
      </c>
      <c r="L309" s="322">
        <v>0</v>
      </c>
      <c r="M309" s="322">
        <v>0</v>
      </c>
      <c r="N309" s="322">
        <v>0</v>
      </c>
    </row>
    <row r="310" spans="1:14" x14ac:dyDescent="0.3">
      <c r="A310" t="str">
        <f>EPD!B26</f>
        <v>User input EPD24</v>
      </c>
      <c r="B310" s="330">
        <f>SUMIF('Materials Calculations'!B:B,MaterialData32[[#This Row],[Material]],'Materials Calculations'!F:F)</f>
        <v>0</v>
      </c>
      <c r="C310" s="330">
        <f>SUMIF('Materials Calculations'!B:B,MaterialData32[[#This Row],[Material]],'Materials Calculations'!H:H)</f>
        <v>0</v>
      </c>
      <c r="D310" s="330">
        <f>SUMIF('Materials Calculations'!B:B,MaterialData32[[#This Row],[Material]],'Materials Calculations'!AI:AI)</f>
        <v>0</v>
      </c>
      <c r="F310" t="str">
        <v>User input EPD24</v>
      </c>
      <c r="G310">
        <v>0</v>
      </c>
      <c r="H310">
        <v>0</v>
      </c>
      <c r="I310">
        <v>0</v>
      </c>
      <c r="K310" t="str">
        <v>User input EPD24</v>
      </c>
      <c r="L310" s="322">
        <v>0</v>
      </c>
      <c r="M310" s="322">
        <v>0</v>
      </c>
      <c r="N310" s="322">
        <v>0</v>
      </c>
    </row>
    <row r="311" spans="1:14" x14ac:dyDescent="0.3">
      <c r="A311" t="str">
        <f>EPD!B27</f>
        <v>User input EPD25</v>
      </c>
      <c r="B311" s="330">
        <f>SUMIF('Materials Calculations'!B:B,MaterialData32[[#This Row],[Material]],'Materials Calculations'!F:F)</f>
        <v>0</v>
      </c>
      <c r="C311" s="330">
        <f>SUMIF('Materials Calculations'!B:B,MaterialData32[[#This Row],[Material]],'Materials Calculations'!H:H)</f>
        <v>0</v>
      </c>
      <c r="D311" s="330">
        <f>SUMIF('Materials Calculations'!B:B,MaterialData32[[#This Row],[Material]],'Materials Calculations'!AI:AI)</f>
        <v>0</v>
      </c>
      <c r="F311" t="str">
        <v>User input EPD25</v>
      </c>
      <c r="G311">
        <v>0</v>
      </c>
      <c r="H311">
        <v>0</v>
      </c>
      <c r="I311">
        <v>0</v>
      </c>
      <c r="K311" t="str">
        <v>User input EPD25</v>
      </c>
      <c r="L311" s="322">
        <v>0</v>
      </c>
      <c r="M311" s="322">
        <v>0</v>
      </c>
      <c r="N311" s="322">
        <v>0</v>
      </c>
    </row>
    <row r="312" spans="1:14" x14ac:dyDescent="0.3">
      <c r="A312" t="str">
        <f>EPD!B28</f>
        <v>User input EPD26</v>
      </c>
      <c r="B312" s="330">
        <f>SUMIF('Materials Calculations'!B:B,MaterialData32[[#This Row],[Material]],'Materials Calculations'!F:F)</f>
        <v>0</v>
      </c>
      <c r="C312" s="330">
        <f>SUMIF('Materials Calculations'!B:B,MaterialData32[[#This Row],[Material]],'Materials Calculations'!H:H)</f>
        <v>0</v>
      </c>
      <c r="D312" s="330">
        <f>SUMIF('Materials Calculations'!B:B,MaterialData32[[#This Row],[Material]],'Materials Calculations'!AI:AI)</f>
        <v>0</v>
      </c>
      <c r="F312" t="str">
        <v>User input EPD26</v>
      </c>
      <c r="G312">
        <v>0</v>
      </c>
      <c r="H312">
        <v>0</v>
      </c>
      <c r="I312">
        <v>0</v>
      </c>
      <c r="K312" t="str">
        <v>User input EPD26</v>
      </c>
      <c r="L312" s="322">
        <v>0</v>
      </c>
      <c r="M312" s="322">
        <v>0</v>
      </c>
      <c r="N312" s="322">
        <v>0</v>
      </c>
    </row>
    <row r="313" spans="1:14" x14ac:dyDescent="0.3">
      <c r="A313" t="str">
        <f>EPD!B29</f>
        <v>User input EPD27</v>
      </c>
      <c r="B313" s="330">
        <f>SUMIF('Materials Calculations'!B:B,MaterialData32[[#This Row],[Material]],'Materials Calculations'!F:F)</f>
        <v>0</v>
      </c>
      <c r="C313" s="330">
        <f>SUMIF('Materials Calculations'!B:B,MaterialData32[[#This Row],[Material]],'Materials Calculations'!H:H)</f>
        <v>0</v>
      </c>
      <c r="D313" s="330">
        <f>SUMIF('Materials Calculations'!B:B,MaterialData32[[#This Row],[Material]],'Materials Calculations'!AI:AI)</f>
        <v>0</v>
      </c>
      <c r="F313" t="str">
        <v>User input EPD27</v>
      </c>
      <c r="G313">
        <v>0</v>
      </c>
      <c r="H313">
        <v>0</v>
      </c>
      <c r="I313">
        <v>0</v>
      </c>
      <c r="K313" t="str">
        <v>User input EPD27</v>
      </c>
      <c r="L313" s="322">
        <v>0</v>
      </c>
      <c r="M313" s="322">
        <v>0</v>
      </c>
      <c r="N313" s="322">
        <v>0</v>
      </c>
    </row>
    <row r="314" spans="1:14" x14ac:dyDescent="0.3">
      <c r="A314" t="str">
        <f>EPD!B30</f>
        <v>User input EPD28</v>
      </c>
      <c r="B314" s="330">
        <f>SUMIF('Materials Calculations'!B:B,MaterialData32[[#This Row],[Material]],'Materials Calculations'!F:F)</f>
        <v>0</v>
      </c>
      <c r="C314" s="330">
        <f>SUMIF('Materials Calculations'!B:B,MaterialData32[[#This Row],[Material]],'Materials Calculations'!H:H)</f>
        <v>0</v>
      </c>
      <c r="D314" s="330">
        <f>SUMIF('Materials Calculations'!B:B,MaterialData32[[#This Row],[Material]],'Materials Calculations'!AI:AI)</f>
        <v>0</v>
      </c>
      <c r="F314" t="str">
        <v>User input EPD28</v>
      </c>
      <c r="G314">
        <v>0</v>
      </c>
      <c r="H314">
        <v>0</v>
      </c>
      <c r="I314">
        <v>0</v>
      </c>
      <c r="K314" t="str">
        <v>User input EPD28</v>
      </c>
      <c r="L314" s="322">
        <v>0</v>
      </c>
      <c r="M314" s="322">
        <v>0</v>
      </c>
      <c r="N314" s="322">
        <v>0</v>
      </c>
    </row>
    <row r="315" spans="1:14" x14ac:dyDescent="0.3">
      <c r="A315" t="str">
        <f>EPD!B31</f>
        <v>User input EPD29</v>
      </c>
      <c r="B315" s="330">
        <f>SUMIF('Materials Calculations'!B:B,MaterialData32[[#This Row],[Material]],'Materials Calculations'!F:F)</f>
        <v>0</v>
      </c>
      <c r="C315" s="330">
        <f>SUMIF('Materials Calculations'!B:B,MaterialData32[[#This Row],[Material]],'Materials Calculations'!H:H)</f>
        <v>0</v>
      </c>
      <c r="D315" s="330">
        <f>SUMIF('Materials Calculations'!B:B,MaterialData32[[#This Row],[Material]],'Materials Calculations'!AI:AI)</f>
        <v>0</v>
      </c>
      <c r="F315" t="str">
        <v>User input EPD29</v>
      </c>
      <c r="G315">
        <v>0</v>
      </c>
      <c r="H315">
        <v>0</v>
      </c>
      <c r="I315">
        <v>0</v>
      </c>
      <c r="K315" t="str">
        <v>User input EPD29</v>
      </c>
      <c r="L315" s="322">
        <v>0</v>
      </c>
      <c r="M315" s="322">
        <v>0</v>
      </c>
      <c r="N315" s="322">
        <v>0</v>
      </c>
    </row>
    <row r="316" spans="1:14" x14ac:dyDescent="0.3">
      <c r="A316" t="str">
        <f>EPD!B32</f>
        <v>User input EPD30</v>
      </c>
      <c r="B316" s="330">
        <f>SUMIF('Materials Calculations'!B:B,MaterialData32[[#This Row],[Material]],'Materials Calculations'!F:F)</f>
        <v>0</v>
      </c>
      <c r="C316" s="330">
        <f>SUMIF('Materials Calculations'!B:B,MaterialData32[[#This Row],[Material]],'Materials Calculations'!H:H)</f>
        <v>0</v>
      </c>
      <c r="D316" s="330">
        <f>SUMIF('Materials Calculations'!B:B,MaterialData32[[#This Row],[Material]],'Materials Calculations'!AI:AI)</f>
        <v>0</v>
      </c>
      <c r="F316" t="str">
        <v>User input EPD30</v>
      </c>
      <c r="G316">
        <v>0</v>
      </c>
      <c r="H316">
        <v>0</v>
      </c>
      <c r="I316">
        <v>0</v>
      </c>
      <c r="K316" t="str">
        <v>User input EPD30</v>
      </c>
      <c r="L316" s="322">
        <v>0</v>
      </c>
      <c r="M316" s="322">
        <v>0</v>
      </c>
      <c r="N316" s="322">
        <v>0</v>
      </c>
    </row>
    <row r="317" spans="1:14" x14ac:dyDescent="0.3">
      <c r="A317" t="str">
        <f>EPD!B33</f>
        <v>User input EPD31</v>
      </c>
      <c r="B317" s="330">
        <f>SUMIF('Materials Calculations'!B:B,MaterialData32[[#This Row],[Material]],'Materials Calculations'!F:F)</f>
        <v>0</v>
      </c>
      <c r="C317" s="330">
        <f>SUMIF('Materials Calculations'!B:B,MaterialData32[[#This Row],[Material]],'Materials Calculations'!H:H)</f>
        <v>0</v>
      </c>
      <c r="D317" s="330">
        <f>SUMIF('Materials Calculations'!B:B,MaterialData32[[#This Row],[Material]],'Materials Calculations'!AI:AI)</f>
        <v>0</v>
      </c>
      <c r="F317" t="str">
        <v>User input EPD31</v>
      </c>
      <c r="G317">
        <v>0</v>
      </c>
      <c r="H317">
        <v>0</v>
      </c>
      <c r="I317">
        <v>0</v>
      </c>
      <c r="K317" t="str">
        <v>User input EPD31</v>
      </c>
      <c r="L317" s="322">
        <v>0</v>
      </c>
      <c r="M317" s="322">
        <v>0</v>
      </c>
      <c r="N317" s="322">
        <v>0</v>
      </c>
    </row>
    <row r="318" spans="1:14" x14ac:dyDescent="0.3">
      <c r="A318" t="str">
        <f>EPD!B34</f>
        <v>User input EPD32</v>
      </c>
      <c r="B318" s="330">
        <f>SUMIF('Materials Calculations'!B:B,MaterialData32[[#This Row],[Material]],'Materials Calculations'!F:F)</f>
        <v>0</v>
      </c>
      <c r="C318" s="330">
        <f>SUMIF('Materials Calculations'!B:B,MaterialData32[[#This Row],[Material]],'Materials Calculations'!H:H)</f>
        <v>0</v>
      </c>
      <c r="D318" s="330">
        <f>SUMIF('Materials Calculations'!B:B,MaterialData32[[#This Row],[Material]],'Materials Calculations'!AI:AI)</f>
        <v>0</v>
      </c>
      <c r="F318" t="str">
        <v>User input EPD32</v>
      </c>
      <c r="G318">
        <v>0</v>
      </c>
      <c r="H318">
        <v>0</v>
      </c>
      <c r="I318">
        <v>0</v>
      </c>
      <c r="K318" t="str">
        <v>User input EPD32</v>
      </c>
      <c r="L318" s="322">
        <v>0</v>
      </c>
      <c r="M318" s="322">
        <v>0</v>
      </c>
      <c r="N318" s="322">
        <v>0</v>
      </c>
    </row>
    <row r="319" spans="1:14" x14ac:dyDescent="0.3">
      <c r="A319" t="str">
        <f>EPD!B35</f>
        <v>User input EPD33</v>
      </c>
      <c r="B319" s="330">
        <f>SUMIF('Materials Calculations'!B:B,MaterialData32[[#This Row],[Material]],'Materials Calculations'!F:F)</f>
        <v>0</v>
      </c>
      <c r="C319" s="330">
        <f>SUMIF('Materials Calculations'!B:B,MaterialData32[[#This Row],[Material]],'Materials Calculations'!H:H)</f>
        <v>0</v>
      </c>
      <c r="D319" s="330">
        <f>SUMIF('Materials Calculations'!B:B,MaterialData32[[#This Row],[Material]],'Materials Calculations'!AI:AI)</f>
        <v>0</v>
      </c>
      <c r="F319" t="str">
        <v>User input EPD33</v>
      </c>
      <c r="G319">
        <v>0</v>
      </c>
      <c r="H319">
        <v>0</v>
      </c>
      <c r="I319">
        <v>0</v>
      </c>
      <c r="K319" t="str">
        <v>User input EPD33</v>
      </c>
      <c r="L319" s="322">
        <v>0</v>
      </c>
      <c r="M319" s="322">
        <v>0</v>
      </c>
      <c r="N319" s="322">
        <v>0</v>
      </c>
    </row>
    <row r="320" spans="1:14" x14ac:dyDescent="0.3">
      <c r="A320" t="str">
        <f>EPD!B36</f>
        <v>User input EPD34</v>
      </c>
      <c r="B320" s="330">
        <f>SUMIF('Materials Calculations'!B:B,MaterialData32[[#This Row],[Material]],'Materials Calculations'!F:F)</f>
        <v>0</v>
      </c>
      <c r="C320" s="330">
        <f>SUMIF('Materials Calculations'!B:B,MaterialData32[[#This Row],[Material]],'Materials Calculations'!H:H)</f>
        <v>0</v>
      </c>
      <c r="D320" s="330">
        <f>SUMIF('Materials Calculations'!B:B,MaterialData32[[#This Row],[Material]],'Materials Calculations'!AI:AI)</f>
        <v>0</v>
      </c>
      <c r="F320" t="str">
        <v>User input EPD34</v>
      </c>
      <c r="G320">
        <v>0</v>
      </c>
      <c r="H320">
        <v>0</v>
      </c>
      <c r="I320">
        <v>0</v>
      </c>
      <c r="K320" t="str">
        <v>User input EPD34</v>
      </c>
      <c r="L320" s="322">
        <v>0</v>
      </c>
      <c r="M320" s="322">
        <v>0</v>
      </c>
      <c r="N320" s="322">
        <v>0</v>
      </c>
    </row>
    <row r="321" spans="1:14" x14ac:dyDescent="0.3">
      <c r="A321" t="str">
        <f>EPD!B37</f>
        <v>User input EPD35</v>
      </c>
      <c r="B321" s="330">
        <f>SUMIF('Materials Calculations'!B:B,MaterialData32[[#This Row],[Material]],'Materials Calculations'!F:F)</f>
        <v>0</v>
      </c>
      <c r="C321" s="330">
        <f>SUMIF('Materials Calculations'!B:B,MaterialData32[[#This Row],[Material]],'Materials Calculations'!H:H)</f>
        <v>0</v>
      </c>
      <c r="D321" s="330">
        <f>SUMIF('Materials Calculations'!B:B,MaterialData32[[#This Row],[Material]],'Materials Calculations'!AI:AI)</f>
        <v>0</v>
      </c>
      <c r="F321" t="str">
        <v>User input EPD35</v>
      </c>
      <c r="G321">
        <v>0</v>
      </c>
      <c r="H321">
        <v>0</v>
      </c>
      <c r="I321">
        <v>0</v>
      </c>
      <c r="K321" t="str">
        <v>User input EPD35</v>
      </c>
      <c r="L321" s="322">
        <v>0</v>
      </c>
      <c r="M321" s="322">
        <v>0</v>
      </c>
      <c r="N321" s="322">
        <v>0</v>
      </c>
    </row>
    <row r="322" spans="1:14" x14ac:dyDescent="0.3">
      <c r="A322" t="str">
        <f>EPD!B38</f>
        <v>User input EPD36</v>
      </c>
      <c r="B322" s="330">
        <f>SUMIF('Materials Calculations'!B:B,MaterialData32[[#This Row],[Material]],'Materials Calculations'!F:F)</f>
        <v>0</v>
      </c>
      <c r="C322" s="330">
        <f>SUMIF('Materials Calculations'!B:B,MaterialData32[[#This Row],[Material]],'Materials Calculations'!H:H)</f>
        <v>0</v>
      </c>
      <c r="D322" s="330">
        <f>SUMIF('Materials Calculations'!B:B,MaterialData32[[#This Row],[Material]],'Materials Calculations'!AI:AI)</f>
        <v>0</v>
      </c>
      <c r="F322" t="str">
        <v>User input EPD36</v>
      </c>
      <c r="G322">
        <v>0</v>
      </c>
      <c r="H322">
        <v>0</v>
      </c>
      <c r="I322">
        <v>0</v>
      </c>
      <c r="K322" t="str">
        <v>User input EPD36</v>
      </c>
      <c r="L322" s="322">
        <v>0</v>
      </c>
      <c r="M322" s="322">
        <v>0</v>
      </c>
      <c r="N322" s="322">
        <v>0</v>
      </c>
    </row>
    <row r="323" spans="1:14" x14ac:dyDescent="0.3">
      <c r="A323" t="str">
        <f>EPD!B39</f>
        <v>User input EPD37</v>
      </c>
      <c r="B323" s="330">
        <f>SUMIF('Materials Calculations'!B:B,MaterialData32[[#This Row],[Material]],'Materials Calculations'!F:F)</f>
        <v>0</v>
      </c>
      <c r="C323" s="330">
        <f>SUMIF('Materials Calculations'!B:B,MaterialData32[[#This Row],[Material]],'Materials Calculations'!H:H)</f>
        <v>0</v>
      </c>
      <c r="D323" s="330">
        <f>SUMIF('Materials Calculations'!B:B,MaterialData32[[#This Row],[Material]],'Materials Calculations'!AI:AI)</f>
        <v>0</v>
      </c>
      <c r="F323" t="str">
        <v>User input EPD37</v>
      </c>
      <c r="G323">
        <v>0</v>
      </c>
      <c r="H323">
        <v>0</v>
      </c>
      <c r="I323">
        <v>0</v>
      </c>
      <c r="K323" t="str">
        <v>User input EPD37</v>
      </c>
      <c r="L323" s="322">
        <v>0</v>
      </c>
      <c r="M323" s="322">
        <v>0</v>
      </c>
      <c r="N323" s="322">
        <v>0</v>
      </c>
    </row>
    <row r="324" spans="1:14" x14ac:dyDescent="0.3">
      <c r="A324" t="str">
        <f>EPD!B40</f>
        <v>User input EPD38</v>
      </c>
      <c r="B324" s="330">
        <f>SUMIF('Materials Calculations'!B:B,MaterialData32[[#This Row],[Material]],'Materials Calculations'!F:F)</f>
        <v>0</v>
      </c>
      <c r="C324" s="330">
        <f>SUMIF('Materials Calculations'!B:B,MaterialData32[[#This Row],[Material]],'Materials Calculations'!H:H)</f>
        <v>0</v>
      </c>
      <c r="D324" s="330">
        <f>SUMIF('Materials Calculations'!B:B,MaterialData32[[#This Row],[Material]],'Materials Calculations'!AI:AI)</f>
        <v>0</v>
      </c>
      <c r="F324" t="str">
        <v>User input EPD38</v>
      </c>
      <c r="G324">
        <v>0</v>
      </c>
      <c r="H324">
        <v>0</v>
      </c>
      <c r="I324">
        <v>0</v>
      </c>
      <c r="K324" t="str">
        <v>User input EPD38</v>
      </c>
      <c r="L324" s="322">
        <v>0</v>
      </c>
      <c r="M324" s="322">
        <v>0</v>
      </c>
      <c r="N324" s="322">
        <v>0</v>
      </c>
    </row>
    <row r="325" spans="1:14" x14ac:dyDescent="0.3">
      <c r="A325" t="str">
        <f>EPD!B41</f>
        <v>User input EPD39</v>
      </c>
      <c r="B325" s="330">
        <f>SUMIF('Materials Calculations'!B:B,MaterialData32[[#This Row],[Material]],'Materials Calculations'!F:F)</f>
        <v>0</v>
      </c>
      <c r="C325" s="330">
        <f>SUMIF('Materials Calculations'!B:B,MaterialData32[[#This Row],[Material]],'Materials Calculations'!H:H)</f>
        <v>0</v>
      </c>
      <c r="D325" s="330">
        <f>SUMIF('Materials Calculations'!B:B,MaterialData32[[#This Row],[Material]],'Materials Calculations'!AI:AI)</f>
        <v>0</v>
      </c>
      <c r="F325" t="str">
        <v>User input EPD39</v>
      </c>
      <c r="G325">
        <v>0</v>
      </c>
      <c r="H325">
        <v>0</v>
      </c>
      <c r="I325">
        <v>0</v>
      </c>
      <c r="K325" t="str">
        <v>User input EPD39</v>
      </c>
      <c r="L325" s="322">
        <v>0</v>
      </c>
      <c r="M325" s="322">
        <v>0</v>
      </c>
      <c r="N325" s="322">
        <v>0</v>
      </c>
    </row>
    <row r="326" spans="1:14" x14ac:dyDescent="0.3">
      <c r="A326" t="str">
        <f>EPD!B42</f>
        <v>User input EPD40</v>
      </c>
      <c r="B326" s="330">
        <f>SUMIF('Materials Calculations'!B:B,MaterialData32[[#This Row],[Material]],'Materials Calculations'!F:F)</f>
        <v>0</v>
      </c>
      <c r="C326" s="330">
        <f>SUMIF('Materials Calculations'!B:B,MaterialData32[[#This Row],[Material]],'Materials Calculations'!H:H)</f>
        <v>0</v>
      </c>
      <c r="D326" s="330">
        <f>SUMIF('Materials Calculations'!B:B,MaterialData32[[#This Row],[Material]],'Materials Calculations'!AI:AI)</f>
        <v>0</v>
      </c>
      <c r="F326" t="str">
        <v>User input EPD40</v>
      </c>
      <c r="G326">
        <v>0</v>
      </c>
      <c r="H326">
        <v>0</v>
      </c>
      <c r="I326">
        <v>0</v>
      </c>
      <c r="K326" t="str">
        <v>User input EPD40</v>
      </c>
      <c r="L326" s="322">
        <v>0</v>
      </c>
      <c r="M326" s="322">
        <v>0</v>
      </c>
      <c r="N326" s="322">
        <v>0</v>
      </c>
    </row>
    <row r="327" spans="1:14" x14ac:dyDescent="0.3">
      <c r="A327" t="str">
        <f>EPD!B43</f>
        <v>User input EPD41</v>
      </c>
      <c r="B327" s="330">
        <f>SUMIF('Materials Calculations'!B:B,MaterialData32[[#This Row],[Material]],'Materials Calculations'!F:F)</f>
        <v>0</v>
      </c>
      <c r="C327" s="330">
        <f>SUMIF('Materials Calculations'!B:B,MaterialData32[[#This Row],[Material]],'Materials Calculations'!H:H)</f>
        <v>0</v>
      </c>
      <c r="D327" s="330">
        <f>SUMIF('Materials Calculations'!B:B,MaterialData32[[#This Row],[Material]],'Materials Calculations'!AI:AI)</f>
        <v>0</v>
      </c>
      <c r="F327" t="str">
        <v>User input EPD41</v>
      </c>
      <c r="G327">
        <v>0</v>
      </c>
      <c r="H327">
        <v>0</v>
      </c>
      <c r="I327">
        <v>0</v>
      </c>
      <c r="K327" t="str">
        <v>User input EPD41</v>
      </c>
      <c r="L327" s="322">
        <v>0</v>
      </c>
      <c r="M327" s="322">
        <v>0</v>
      </c>
      <c r="N327" s="322">
        <v>0</v>
      </c>
    </row>
    <row r="328" spans="1:14" x14ac:dyDescent="0.3">
      <c r="A328" t="str">
        <f>EPD!B44</f>
        <v>User input EPD42</v>
      </c>
      <c r="B328" s="330">
        <f>SUMIF('Materials Calculations'!B:B,MaterialData32[[#This Row],[Material]],'Materials Calculations'!F:F)</f>
        <v>0</v>
      </c>
      <c r="C328" s="330">
        <f>SUMIF('Materials Calculations'!B:B,MaterialData32[[#This Row],[Material]],'Materials Calculations'!H:H)</f>
        <v>0</v>
      </c>
      <c r="D328" s="330">
        <f>SUMIF('Materials Calculations'!B:B,MaterialData32[[#This Row],[Material]],'Materials Calculations'!AI:AI)</f>
        <v>0</v>
      </c>
      <c r="F328" t="str">
        <v>User input EPD42</v>
      </c>
      <c r="G328">
        <v>0</v>
      </c>
      <c r="H328">
        <v>0</v>
      </c>
      <c r="I328">
        <v>0</v>
      </c>
      <c r="K328" t="str">
        <v>User input EPD42</v>
      </c>
      <c r="L328" s="322">
        <v>0</v>
      </c>
      <c r="M328" s="322">
        <v>0</v>
      </c>
      <c r="N328" s="322">
        <v>0</v>
      </c>
    </row>
    <row r="329" spans="1:14" x14ac:dyDescent="0.3">
      <c r="A329" t="str">
        <f>EPD!B45</f>
        <v>User input EPD43</v>
      </c>
      <c r="B329" s="330">
        <f>SUMIF('Materials Calculations'!B:B,MaterialData32[[#This Row],[Material]],'Materials Calculations'!F:F)</f>
        <v>0</v>
      </c>
      <c r="C329" s="330">
        <f>SUMIF('Materials Calculations'!B:B,MaterialData32[[#This Row],[Material]],'Materials Calculations'!H:H)</f>
        <v>0</v>
      </c>
      <c r="D329" s="330">
        <f>SUMIF('Materials Calculations'!B:B,MaterialData32[[#This Row],[Material]],'Materials Calculations'!AI:AI)</f>
        <v>0</v>
      </c>
      <c r="F329" t="str">
        <v>User input EPD43</v>
      </c>
      <c r="G329">
        <v>0</v>
      </c>
      <c r="H329">
        <v>0</v>
      </c>
      <c r="I329">
        <v>0</v>
      </c>
      <c r="K329" t="str">
        <v>User input EPD43</v>
      </c>
      <c r="L329" s="322">
        <v>0</v>
      </c>
      <c r="M329" s="322">
        <v>0</v>
      </c>
      <c r="N329" s="322">
        <v>0</v>
      </c>
    </row>
    <row r="330" spans="1:14" x14ac:dyDescent="0.3">
      <c r="A330" t="str">
        <f>EPD!B46</f>
        <v>User input EPD44</v>
      </c>
      <c r="B330" s="330">
        <f>SUMIF('Materials Calculations'!B:B,MaterialData32[[#This Row],[Material]],'Materials Calculations'!F:F)</f>
        <v>0</v>
      </c>
      <c r="C330" s="330">
        <f>SUMIF('Materials Calculations'!B:B,MaterialData32[[#This Row],[Material]],'Materials Calculations'!H:H)</f>
        <v>0</v>
      </c>
      <c r="D330" s="330">
        <f>SUMIF('Materials Calculations'!B:B,MaterialData32[[#This Row],[Material]],'Materials Calculations'!AI:AI)</f>
        <v>0</v>
      </c>
      <c r="F330" t="str">
        <v>User input EPD44</v>
      </c>
      <c r="G330">
        <v>0</v>
      </c>
      <c r="H330">
        <v>0</v>
      </c>
      <c r="I330">
        <v>0</v>
      </c>
      <c r="K330" t="str">
        <v>User input EPD44</v>
      </c>
      <c r="L330" s="322">
        <v>0</v>
      </c>
      <c r="M330" s="322">
        <v>0</v>
      </c>
      <c r="N330" s="322">
        <v>0</v>
      </c>
    </row>
    <row r="331" spans="1:14" x14ac:dyDescent="0.3">
      <c r="A331" t="str">
        <f>EPD!B47</f>
        <v>User input EPD45</v>
      </c>
      <c r="B331" s="330">
        <f>SUMIF('Materials Calculations'!B:B,MaterialData32[[#This Row],[Material]],'Materials Calculations'!F:F)</f>
        <v>0</v>
      </c>
      <c r="C331" s="330">
        <f>SUMIF('Materials Calculations'!B:B,MaterialData32[[#This Row],[Material]],'Materials Calculations'!H:H)</f>
        <v>0</v>
      </c>
      <c r="D331" s="330">
        <f>SUMIF('Materials Calculations'!B:B,MaterialData32[[#This Row],[Material]],'Materials Calculations'!AI:AI)</f>
        <v>0</v>
      </c>
      <c r="F331" t="str">
        <v>User input EPD45</v>
      </c>
      <c r="G331">
        <v>0</v>
      </c>
      <c r="H331">
        <v>0</v>
      </c>
      <c r="I331">
        <v>0</v>
      </c>
      <c r="K331" t="str">
        <v>User input EPD45</v>
      </c>
      <c r="L331" s="322">
        <v>0</v>
      </c>
      <c r="M331" s="322">
        <v>0</v>
      </c>
      <c r="N331" s="322">
        <v>0</v>
      </c>
    </row>
    <row r="332" spans="1:14" x14ac:dyDescent="0.3">
      <c r="A332" t="str">
        <f>EPD!B48</f>
        <v>User input EPD46</v>
      </c>
      <c r="B332" s="330">
        <f>SUMIF('Materials Calculations'!B:B,MaterialData32[[#This Row],[Material]],'Materials Calculations'!F:F)</f>
        <v>0</v>
      </c>
      <c r="C332" s="330">
        <f>SUMIF('Materials Calculations'!B:B,MaterialData32[[#This Row],[Material]],'Materials Calculations'!H:H)</f>
        <v>0</v>
      </c>
      <c r="D332" s="330">
        <f>SUMIF('Materials Calculations'!B:B,MaterialData32[[#This Row],[Material]],'Materials Calculations'!AI:AI)</f>
        <v>0</v>
      </c>
      <c r="F332" t="str">
        <v>User input EPD46</v>
      </c>
      <c r="G332">
        <v>0</v>
      </c>
      <c r="H332">
        <v>0</v>
      </c>
      <c r="I332">
        <v>0</v>
      </c>
      <c r="K332" t="str">
        <v>User input EPD46</v>
      </c>
      <c r="L332" s="322">
        <v>0</v>
      </c>
      <c r="M332" s="322">
        <v>0</v>
      </c>
      <c r="N332" s="322">
        <v>0</v>
      </c>
    </row>
    <row r="333" spans="1:14" x14ac:dyDescent="0.3">
      <c r="A333" t="str">
        <f>EPD!B49</f>
        <v>User input EPD47</v>
      </c>
      <c r="B333" s="330">
        <f>SUMIF('Materials Calculations'!B:B,MaterialData32[[#This Row],[Material]],'Materials Calculations'!F:F)</f>
        <v>0</v>
      </c>
      <c r="C333" s="330">
        <f>SUMIF('Materials Calculations'!B:B,MaterialData32[[#This Row],[Material]],'Materials Calculations'!H:H)</f>
        <v>0</v>
      </c>
      <c r="D333" s="330">
        <f>SUMIF('Materials Calculations'!B:B,MaterialData32[[#This Row],[Material]],'Materials Calculations'!AI:AI)</f>
        <v>0</v>
      </c>
      <c r="F333" t="str">
        <v>User input EPD47</v>
      </c>
      <c r="G333">
        <v>0</v>
      </c>
      <c r="H333">
        <v>0</v>
      </c>
      <c r="I333">
        <v>0</v>
      </c>
      <c r="K333" t="str">
        <v>User input EPD47</v>
      </c>
      <c r="L333" s="322">
        <v>0</v>
      </c>
      <c r="M333" s="322">
        <v>0</v>
      </c>
      <c r="N333" s="322">
        <v>0</v>
      </c>
    </row>
    <row r="334" spans="1:14" x14ac:dyDescent="0.3">
      <c r="A334" t="str">
        <f>EPD!B50</f>
        <v>User input EPD48</v>
      </c>
      <c r="B334" s="330">
        <f>SUMIF('Materials Calculations'!B:B,MaterialData32[[#This Row],[Material]],'Materials Calculations'!F:F)</f>
        <v>0</v>
      </c>
      <c r="C334" s="330">
        <f>SUMIF('Materials Calculations'!B:B,MaterialData32[[#This Row],[Material]],'Materials Calculations'!H:H)</f>
        <v>0</v>
      </c>
      <c r="D334" s="330">
        <f>SUMIF('Materials Calculations'!B:B,MaterialData32[[#This Row],[Material]],'Materials Calculations'!AI:AI)</f>
        <v>0</v>
      </c>
      <c r="F334" t="str">
        <v>User input EPD48</v>
      </c>
      <c r="G334">
        <v>0</v>
      </c>
      <c r="H334">
        <v>0</v>
      </c>
      <c r="I334">
        <v>0</v>
      </c>
      <c r="K334" t="str">
        <v>User input EPD48</v>
      </c>
      <c r="L334" s="322">
        <v>0</v>
      </c>
      <c r="M334" s="322">
        <v>0</v>
      </c>
      <c r="N334" s="322">
        <v>0</v>
      </c>
    </row>
    <row r="335" spans="1:14" x14ac:dyDescent="0.3">
      <c r="A335" t="str">
        <f>EPD!B51</f>
        <v>User input EPD49</v>
      </c>
      <c r="B335" s="330">
        <f>SUMIF('Materials Calculations'!B:B,MaterialData32[[#This Row],[Material]],'Materials Calculations'!F:F)</f>
        <v>0</v>
      </c>
      <c r="C335" s="330">
        <f>SUMIF('Materials Calculations'!B:B,MaterialData32[[#This Row],[Material]],'Materials Calculations'!H:H)</f>
        <v>0</v>
      </c>
      <c r="D335" s="330">
        <f>SUMIF('Materials Calculations'!B:B,MaterialData32[[#This Row],[Material]],'Materials Calculations'!AI:AI)</f>
        <v>0</v>
      </c>
      <c r="F335" t="str">
        <v>User input EPD49</v>
      </c>
      <c r="G335">
        <v>0</v>
      </c>
      <c r="H335">
        <v>0</v>
      </c>
      <c r="I335">
        <v>0</v>
      </c>
      <c r="K335" t="str">
        <v>User input EPD49</v>
      </c>
      <c r="L335" s="322">
        <v>0</v>
      </c>
      <c r="M335" s="322">
        <v>0</v>
      </c>
      <c r="N335" s="322">
        <v>0</v>
      </c>
    </row>
    <row r="336" spans="1:14" x14ac:dyDescent="0.3">
      <c r="A336" t="str">
        <f>EPD!B52</f>
        <v>User input EPD50</v>
      </c>
      <c r="B336" s="330">
        <f>SUMIF('Materials Calculations'!B:B,MaterialData32[[#This Row],[Material]],'Materials Calculations'!F:F)</f>
        <v>0</v>
      </c>
      <c r="C336" s="330">
        <f>SUMIF('Materials Calculations'!B:B,MaterialData32[[#This Row],[Material]],'Materials Calculations'!H:H)</f>
        <v>0</v>
      </c>
      <c r="D336" s="330">
        <f>SUMIF('Materials Calculations'!B:B,MaterialData32[[#This Row],[Material]],'Materials Calculations'!AI:AI)</f>
        <v>0</v>
      </c>
      <c r="F336" t="str">
        <v>User input EPD50</v>
      </c>
      <c r="G336">
        <v>0</v>
      </c>
      <c r="H336">
        <v>0</v>
      </c>
      <c r="I336">
        <v>0</v>
      </c>
      <c r="K336" t="str">
        <v>User input EPD50</v>
      </c>
      <c r="L336" s="322">
        <v>0</v>
      </c>
      <c r="M336" s="322">
        <v>0</v>
      </c>
      <c r="N336" s="322">
        <v>0</v>
      </c>
    </row>
    <row r="337" spans="1:14" x14ac:dyDescent="0.3">
      <c r="A337" t="str">
        <f>EPD!B53</f>
        <v>User input EPD51</v>
      </c>
      <c r="B337" s="330">
        <f>SUMIF('Materials Calculations'!B:B,MaterialData32[[#This Row],[Material]],'Materials Calculations'!F:F)</f>
        <v>0</v>
      </c>
      <c r="C337" s="330">
        <f>SUMIF('Materials Calculations'!B:B,MaterialData32[[#This Row],[Material]],'Materials Calculations'!H:H)</f>
        <v>0</v>
      </c>
      <c r="D337" s="330">
        <f>SUMIF('Materials Calculations'!B:B,MaterialData32[[#This Row],[Material]],'Materials Calculations'!AI:AI)</f>
        <v>0</v>
      </c>
      <c r="F337" t="str">
        <v>User input EPD51</v>
      </c>
      <c r="G337">
        <v>0</v>
      </c>
      <c r="H337">
        <v>0</v>
      </c>
      <c r="I337">
        <v>0</v>
      </c>
      <c r="K337" t="str">
        <v>User input EPD51</v>
      </c>
      <c r="L337" s="322">
        <v>0</v>
      </c>
      <c r="M337" s="322">
        <v>0</v>
      </c>
      <c r="N337" s="322">
        <v>0</v>
      </c>
    </row>
    <row r="338" spans="1:14" x14ac:dyDescent="0.3">
      <c r="A338" t="str">
        <f>EPD!B54</f>
        <v>User input EPD52</v>
      </c>
      <c r="B338" s="330">
        <f>SUMIF('Materials Calculations'!B:B,MaterialData32[[#This Row],[Material]],'Materials Calculations'!F:F)</f>
        <v>0</v>
      </c>
      <c r="C338" s="330">
        <f>SUMIF('Materials Calculations'!B:B,MaterialData32[[#This Row],[Material]],'Materials Calculations'!H:H)</f>
        <v>0</v>
      </c>
      <c r="D338" s="330">
        <f>SUMIF('Materials Calculations'!B:B,MaterialData32[[#This Row],[Material]],'Materials Calculations'!AI:AI)</f>
        <v>0</v>
      </c>
      <c r="F338" t="str">
        <v>User input EPD52</v>
      </c>
      <c r="G338">
        <v>0</v>
      </c>
      <c r="H338">
        <v>0</v>
      </c>
      <c r="I338">
        <v>0</v>
      </c>
      <c r="K338" t="str">
        <v>User input EPD52</v>
      </c>
      <c r="L338" s="322">
        <v>0</v>
      </c>
      <c r="M338" s="322">
        <v>0</v>
      </c>
      <c r="N338" s="322">
        <v>0</v>
      </c>
    </row>
    <row r="339" spans="1:14" x14ac:dyDescent="0.3">
      <c r="A339" t="str">
        <f>EPD!B55</f>
        <v>User input EPD53</v>
      </c>
      <c r="B339" s="330">
        <f>SUMIF('Materials Calculations'!B:B,MaterialData32[[#This Row],[Material]],'Materials Calculations'!F:F)</f>
        <v>0</v>
      </c>
      <c r="C339" s="330">
        <f>SUMIF('Materials Calculations'!B:B,MaterialData32[[#This Row],[Material]],'Materials Calculations'!H:H)</f>
        <v>0</v>
      </c>
      <c r="D339" s="330">
        <f>SUMIF('Materials Calculations'!B:B,MaterialData32[[#This Row],[Material]],'Materials Calculations'!AI:AI)</f>
        <v>0</v>
      </c>
      <c r="F339" t="str">
        <v>User input EPD53</v>
      </c>
      <c r="G339">
        <v>0</v>
      </c>
      <c r="H339">
        <v>0</v>
      </c>
      <c r="I339">
        <v>0</v>
      </c>
      <c r="K339" t="str">
        <v>User input EPD53</v>
      </c>
      <c r="L339" s="322">
        <v>0</v>
      </c>
      <c r="M339" s="322">
        <v>0</v>
      </c>
      <c r="N339" s="322">
        <v>0</v>
      </c>
    </row>
    <row r="340" spans="1:14" x14ac:dyDescent="0.3">
      <c r="A340" t="str">
        <f>EPD!B56</f>
        <v>User input EPD54</v>
      </c>
      <c r="B340" s="330">
        <f>SUMIF('Materials Calculations'!B:B,MaterialData32[[#This Row],[Material]],'Materials Calculations'!F:F)</f>
        <v>0</v>
      </c>
      <c r="C340" s="330">
        <f>SUMIF('Materials Calculations'!B:B,MaterialData32[[#This Row],[Material]],'Materials Calculations'!H:H)</f>
        <v>0</v>
      </c>
      <c r="D340" s="330">
        <f>SUMIF('Materials Calculations'!B:B,MaterialData32[[#This Row],[Material]],'Materials Calculations'!AI:AI)</f>
        <v>0</v>
      </c>
      <c r="F340" t="str">
        <v>User input EPD54</v>
      </c>
      <c r="G340">
        <v>0</v>
      </c>
      <c r="H340">
        <v>0</v>
      </c>
      <c r="I340">
        <v>0</v>
      </c>
      <c r="K340" t="str">
        <v>User input EPD54</v>
      </c>
      <c r="L340" s="322">
        <v>0</v>
      </c>
      <c r="M340" s="322">
        <v>0</v>
      </c>
      <c r="N340" s="322">
        <v>0</v>
      </c>
    </row>
    <row r="341" spans="1:14" x14ac:dyDescent="0.3">
      <c r="A341" t="str">
        <f>EPD!B57</f>
        <v>User input EPD55</v>
      </c>
      <c r="B341" s="330">
        <f>SUMIF('Materials Calculations'!B:B,MaterialData32[[#This Row],[Material]],'Materials Calculations'!F:F)</f>
        <v>0</v>
      </c>
      <c r="C341" s="330">
        <f>SUMIF('Materials Calculations'!B:B,MaterialData32[[#This Row],[Material]],'Materials Calculations'!H:H)</f>
        <v>0</v>
      </c>
      <c r="D341" s="330">
        <f>SUMIF('Materials Calculations'!B:B,MaterialData32[[#This Row],[Material]],'Materials Calculations'!AI:AI)</f>
        <v>0</v>
      </c>
      <c r="F341" t="str">
        <v>User input EPD55</v>
      </c>
      <c r="G341">
        <v>0</v>
      </c>
      <c r="H341">
        <v>0</v>
      </c>
      <c r="I341">
        <v>0</v>
      </c>
      <c r="K341" t="str">
        <v>User input EPD55</v>
      </c>
      <c r="L341" s="322">
        <v>0</v>
      </c>
      <c r="M341" s="322">
        <v>0</v>
      </c>
      <c r="N341" s="322">
        <v>0</v>
      </c>
    </row>
    <row r="342" spans="1:14" x14ac:dyDescent="0.3">
      <c r="A342" t="str">
        <f>EPD!B58</f>
        <v>User input EPD56</v>
      </c>
      <c r="B342" s="330">
        <f>SUMIF('Materials Calculations'!B:B,MaterialData32[[#This Row],[Material]],'Materials Calculations'!F:F)</f>
        <v>0</v>
      </c>
      <c r="C342" s="330">
        <f>SUMIF('Materials Calculations'!B:B,MaterialData32[[#This Row],[Material]],'Materials Calculations'!H:H)</f>
        <v>0</v>
      </c>
      <c r="D342" s="330">
        <f>SUMIF('Materials Calculations'!B:B,MaterialData32[[#This Row],[Material]],'Materials Calculations'!AI:AI)</f>
        <v>0</v>
      </c>
      <c r="F342" t="str">
        <v>User input EPD56</v>
      </c>
      <c r="G342">
        <v>0</v>
      </c>
      <c r="H342">
        <v>0</v>
      </c>
      <c r="I342">
        <v>0</v>
      </c>
      <c r="K342" t="str">
        <v>User input EPD56</v>
      </c>
      <c r="L342" s="322">
        <v>0</v>
      </c>
      <c r="M342" s="322">
        <v>0</v>
      </c>
      <c r="N342" s="322">
        <v>0</v>
      </c>
    </row>
    <row r="343" spans="1:14" x14ac:dyDescent="0.3">
      <c r="A343" t="str">
        <f>EPD!B59</f>
        <v>User input EPD57</v>
      </c>
      <c r="B343" s="330">
        <f>SUMIF('Materials Calculations'!B:B,MaterialData32[[#This Row],[Material]],'Materials Calculations'!F:F)</f>
        <v>0</v>
      </c>
      <c r="C343" s="330">
        <f>SUMIF('Materials Calculations'!B:B,MaterialData32[[#This Row],[Material]],'Materials Calculations'!H:H)</f>
        <v>0</v>
      </c>
      <c r="D343" s="330">
        <f>SUMIF('Materials Calculations'!B:B,MaterialData32[[#This Row],[Material]],'Materials Calculations'!AI:AI)</f>
        <v>0</v>
      </c>
      <c r="F343" t="str">
        <v>User input EPD57</v>
      </c>
      <c r="G343">
        <v>0</v>
      </c>
      <c r="H343">
        <v>0</v>
      </c>
      <c r="I343">
        <v>0</v>
      </c>
      <c r="K343" t="str">
        <v>User input EPD57</v>
      </c>
      <c r="L343" s="322">
        <v>0</v>
      </c>
      <c r="M343" s="322">
        <v>0</v>
      </c>
      <c r="N343" s="322">
        <v>0</v>
      </c>
    </row>
    <row r="344" spans="1:14" x14ac:dyDescent="0.3">
      <c r="A344" t="str">
        <f>EPD!B60</f>
        <v>User input EPD58</v>
      </c>
      <c r="B344" s="330">
        <f>SUMIF('Materials Calculations'!B:B,MaterialData32[[#This Row],[Material]],'Materials Calculations'!F:F)</f>
        <v>0</v>
      </c>
      <c r="C344" s="330">
        <f>SUMIF('Materials Calculations'!B:B,MaterialData32[[#This Row],[Material]],'Materials Calculations'!H:H)</f>
        <v>0</v>
      </c>
      <c r="D344" s="330">
        <f>SUMIF('Materials Calculations'!B:B,MaterialData32[[#This Row],[Material]],'Materials Calculations'!AI:AI)</f>
        <v>0</v>
      </c>
      <c r="F344" t="str">
        <v>User input EPD58</v>
      </c>
      <c r="G344">
        <v>0</v>
      </c>
      <c r="H344">
        <v>0</v>
      </c>
      <c r="I344">
        <v>0</v>
      </c>
      <c r="K344" t="str">
        <v>User input EPD58</v>
      </c>
      <c r="L344" s="322">
        <v>0</v>
      </c>
      <c r="M344" s="322">
        <v>0</v>
      </c>
      <c r="N344" s="322">
        <v>0</v>
      </c>
    </row>
    <row r="345" spans="1:14" x14ac:dyDescent="0.3">
      <c r="A345" t="str">
        <f>EPD!B61</f>
        <v>User input EPD59</v>
      </c>
      <c r="B345" s="330">
        <f>SUMIF('Materials Calculations'!B:B,MaterialData32[[#This Row],[Material]],'Materials Calculations'!F:F)</f>
        <v>0</v>
      </c>
      <c r="C345" s="330">
        <f>SUMIF('Materials Calculations'!B:B,MaterialData32[[#This Row],[Material]],'Materials Calculations'!H:H)</f>
        <v>0</v>
      </c>
      <c r="D345" s="330">
        <f>SUMIF('Materials Calculations'!B:B,MaterialData32[[#This Row],[Material]],'Materials Calculations'!AI:AI)</f>
        <v>0</v>
      </c>
      <c r="F345" t="str">
        <v>User input EPD59</v>
      </c>
      <c r="G345">
        <v>0</v>
      </c>
      <c r="H345">
        <v>0</v>
      </c>
      <c r="I345">
        <v>0</v>
      </c>
      <c r="K345" t="str">
        <v>User input EPD59</v>
      </c>
      <c r="L345" s="322">
        <v>0</v>
      </c>
      <c r="M345" s="322">
        <v>0</v>
      </c>
      <c r="N345" s="322">
        <v>0</v>
      </c>
    </row>
    <row r="346" spans="1:14" x14ac:dyDescent="0.3">
      <c r="A346" t="str">
        <f>EPD!B62</f>
        <v>User input EPD60</v>
      </c>
      <c r="B346" s="330">
        <f>SUMIF('Materials Calculations'!B:B,MaterialData32[[#This Row],[Material]],'Materials Calculations'!F:F)</f>
        <v>0</v>
      </c>
      <c r="C346" s="330">
        <f>SUMIF('Materials Calculations'!B:B,MaterialData32[[#This Row],[Material]],'Materials Calculations'!H:H)</f>
        <v>0</v>
      </c>
      <c r="D346" s="330">
        <f>SUMIF('Materials Calculations'!B:B,MaterialData32[[#This Row],[Material]],'Materials Calculations'!AI:AI)</f>
        <v>0</v>
      </c>
      <c r="F346" t="str">
        <v>User input EPD60</v>
      </c>
      <c r="G346">
        <v>0</v>
      </c>
      <c r="H346">
        <v>0</v>
      </c>
      <c r="I346">
        <v>0</v>
      </c>
      <c r="K346" t="str">
        <v>User input EPD60</v>
      </c>
      <c r="L346" s="322">
        <v>0</v>
      </c>
      <c r="M346" s="322">
        <v>0</v>
      </c>
      <c r="N346" s="322">
        <v>0</v>
      </c>
    </row>
    <row r="347" spans="1:14" x14ac:dyDescent="0.3">
      <c r="A347" t="str">
        <f>EPD!B63</f>
        <v>User input EPD61</v>
      </c>
      <c r="B347" s="330">
        <f>SUMIF('Materials Calculations'!B:B,MaterialData32[[#This Row],[Material]],'Materials Calculations'!F:F)</f>
        <v>0</v>
      </c>
      <c r="C347" s="330">
        <f>SUMIF('Materials Calculations'!B:B,MaterialData32[[#This Row],[Material]],'Materials Calculations'!H:H)</f>
        <v>0</v>
      </c>
      <c r="D347" s="330">
        <f>SUMIF('Materials Calculations'!B:B,MaterialData32[[#This Row],[Material]],'Materials Calculations'!AI:AI)</f>
        <v>0</v>
      </c>
      <c r="F347" t="str">
        <v>User input EPD61</v>
      </c>
      <c r="G347">
        <v>0</v>
      </c>
      <c r="H347">
        <v>0</v>
      </c>
      <c r="I347">
        <v>0</v>
      </c>
      <c r="K347" t="str">
        <v>User input EPD61</v>
      </c>
      <c r="L347" s="322">
        <v>0</v>
      </c>
      <c r="M347" s="322">
        <v>0</v>
      </c>
      <c r="N347" s="322">
        <v>0</v>
      </c>
    </row>
    <row r="348" spans="1:14" x14ac:dyDescent="0.3">
      <c r="A348" t="str">
        <f>EPD!B64</f>
        <v>User input EPD62</v>
      </c>
      <c r="B348" s="330">
        <f>SUMIF('Materials Calculations'!B:B,MaterialData32[[#This Row],[Material]],'Materials Calculations'!F:F)</f>
        <v>0</v>
      </c>
      <c r="C348" s="330">
        <f>SUMIF('Materials Calculations'!B:B,MaterialData32[[#This Row],[Material]],'Materials Calculations'!H:H)</f>
        <v>0</v>
      </c>
      <c r="D348" s="330">
        <f>SUMIF('Materials Calculations'!B:B,MaterialData32[[#This Row],[Material]],'Materials Calculations'!AI:AI)</f>
        <v>0</v>
      </c>
      <c r="F348" t="str">
        <v>User input EPD62</v>
      </c>
      <c r="G348">
        <v>0</v>
      </c>
      <c r="H348">
        <v>0</v>
      </c>
      <c r="I348">
        <v>0</v>
      </c>
      <c r="K348" t="str">
        <v>User input EPD62</v>
      </c>
      <c r="L348" s="322">
        <v>0</v>
      </c>
      <c r="M348" s="322">
        <v>0</v>
      </c>
      <c r="N348" s="322">
        <v>0</v>
      </c>
    </row>
    <row r="349" spans="1:14" x14ac:dyDescent="0.3">
      <c r="A349" t="str">
        <f>EPD!B65</f>
        <v>User input EPD63</v>
      </c>
      <c r="B349" s="330">
        <f>SUMIF('Materials Calculations'!B:B,MaterialData32[[#This Row],[Material]],'Materials Calculations'!F:F)</f>
        <v>0</v>
      </c>
      <c r="C349" s="330">
        <f>SUMIF('Materials Calculations'!B:B,MaterialData32[[#This Row],[Material]],'Materials Calculations'!H:H)</f>
        <v>0</v>
      </c>
      <c r="D349" s="330">
        <f>SUMIF('Materials Calculations'!B:B,MaterialData32[[#This Row],[Material]],'Materials Calculations'!AI:AI)</f>
        <v>0</v>
      </c>
      <c r="F349" t="str">
        <v>User input EPD63</v>
      </c>
      <c r="G349">
        <v>0</v>
      </c>
      <c r="H349">
        <v>0</v>
      </c>
      <c r="I349">
        <v>0</v>
      </c>
      <c r="K349" t="str">
        <v>User input EPD63</v>
      </c>
      <c r="L349" s="322">
        <v>0</v>
      </c>
      <c r="M349" s="322">
        <v>0</v>
      </c>
      <c r="N349" s="322">
        <v>0</v>
      </c>
    </row>
    <row r="350" spans="1:14" x14ac:dyDescent="0.3">
      <c r="A350" t="str">
        <f>EPD!B66</f>
        <v>User input EPD64</v>
      </c>
      <c r="B350" s="330">
        <f>SUMIF('Materials Calculations'!B:B,MaterialData32[[#This Row],[Material]],'Materials Calculations'!F:F)</f>
        <v>0</v>
      </c>
      <c r="C350" s="330">
        <f>SUMIF('Materials Calculations'!B:B,MaterialData32[[#This Row],[Material]],'Materials Calculations'!H:H)</f>
        <v>0</v>
      </c>
      <c r="D350" s="330">
        <f>SUMIF('Materials Calculations'!B:B,MaterialData32[[#This Row],[Material]],'Materials Calculations'!AI:AI)</f>
        <v>0</v>
      </c>
      <c r="F350" t="str">
        <v>User input EPD64</v>
      </c>
      <c r="G350">
        <v>0</v>
      </c>
      <c r="H350">
        <v>0</v>
      </c>
      <c r="I350">
        <v>0</v>
      </c>
      <c r="K350" t="str">
        <v>User input EPD64</v>
      </c>
      <c r="L350" s="322">
        <v>0</v>
      </c>
      <c r="M350" s="322">
        <v>0</v>
      </c>
      <c r="N350" s="322">
        <v>0</v>
      </c>
    </row>
    <row r="351" spans="1:14" x14ac:dyDescent="0.3">
      <c r="A351" t="str">
        <f>EPD!B67</f>
        <v>User input EPD65</v>
      </c>
      <c r="B351" s="330">
        <f>SUMIF('Materials Calculations'!B:B,MaterialData32[[#This Row],[Material]],'Materials Calculations'!F:F)</f>
        <v>0</v>
      </c>
      <c r="C351" s="330">
        <f>SUMIF('Materials Calculations'!B:B,MaterialData32[[#This Row],[Material]],'Materials Calculations'!H:H)</f>
        <v>0</v>
      </c>
      <c r="D351" s="330">
        <f>SUMIF('Materials Calculations'!B:B,MaterialData32[[#This Row],[Material]],'Materials Calculations'!AI:AI)</f>
        <v>0</v>
      </c>
      <c r="F351" t="str">
        <v>User input EPD65</v>
      </c>
      <c r="G351">
        <v>0</v>
      </c>
      <c r="H351">
        <v>0</v>
      </c>
      <c r="I351">
        <v>0</v>
      </c>
      <c r="K351" t="str">
        <v>User input EPD65</v>
      </c>
      <c r="L351" s="322">
        <v>0</v>
      </c>
      <c r="M351" s="322">
        <v>0</v>
      </c>
      <c r="N351" s="322">
        <v>0</v>
      </c>
    </row>
    <row r="352" spans="1:14" x14ac:dyDescent="0.3">
      <c r="A352" t="str">
        <f>EPD!B68</f>
        <v>User input EPD66</v>
      </c>
      <c r="B352" s="330">
        <f>SUMIF('Materials Calculations'!B:B,MaterialData32[[#This Row],[Material]],'Materials Calculations'!F:F)</f>
        <v>0</v>
      </c>
      <c r="C352" s="330">
        <f>SUMIF('Materials Calculations'!B:B,MaterialData32[[#This Row],[Material]],'Materials Calculations'!H:H)</f>
        <v>0</v>
      </c>
      <c r="D352" s="330">
        <f>SUMIF('Materials Calculations'!B:B,MaterialData32[[#This Row],[Material]],'Materials Calculations'!AI:AI)</f>
        <v>0</v>
      </c>
      <c r="F352" t="str">
        <v>User input EPD66</v>
      </c>
      <c r="G352">
        <v>0</v>
      </c>
      <c r="H352">
        <v>0</v>
      </c>
      <c r="I352">
        <v>0</v>
      </c>
      <c r="K352" t="str">
        <v>User input EPD66</v>
      </c>
      <c r="L352" s="322">
        <v>0</v>
      </c>
      <c r="M352" s="322">
        <v>0</v>
      </c>
      <c r="N352" s="322">
        <v>0</v>
      </c>
    </row>
    <row r="353" spans="1:14" x14ac:dyDescent="0.3">
      <c r="A353" t="str">
        <f>EPD!B69</f>
        <v>User input EPD67</v>
      </c>
      <c r="B353" s="330">
        <f>SUMIF('Materials Calculations'!B:B,MaterialData32[[#This Row],[Material]],'Materials Calculations'!F:F)</f>
        <v>0</v>
      </c>
      <c r="C353" s="330">
        <f>SUMIF('Materials Calculations'!B:B,MaterialData32[[#This Row],[Material]],'Materials Calculations'!H:H)</f>
        <v>0</v>
      </c>
      <c r="D353" s="330">
        <f>SUMIF('Materials Calculations'!B:B,MaterialData32[[#This Row],[Material]],'Materials Calculations'!AI:AI)</f>
        <v>0</v>
      </c>
      <c r="F353" t="str">
        <v>User input EPD67</v>
      </c>
      <c r="G353">
        <v>0</v>
      </c>
      <c r="H353">
        <v>0</v>
      </c>
      <c r="I353">
        <v>0</v>
      </c>
      <c r="K353" t="str">
        <v>User input EPD67</v>
      </c>
      <c r="L353" s="322">
        <v>0</v>
      </c>
      <c r="M353" s="322">
        <v>0</v>
      </c>
      <c r="N353" s="322">
        <v>0</v>
      </c>
    </row>
    <row r="354" spans="1:14" x14ac:dyDescent="0.3">
      <c r="A354" t="str">
        <f>EPD!B70</f>
        <v>User input EPD68</v>
      </c>
      <c r="B354" s="330">
        <f>SUMIF('Materials Calculations'!B:B,MaterialData32[[#This Row],[Material]],'Materials Calculations'!F:F)</f>
        <v>0</v>
      </c>
      <c r="C354" s="330">
        <f>SUMIF('Materials Calculations'!B:B,MaterialData32[[#This Row],[Material]],'Materials Calculations'!H:H)</f>
        <v>0</v>
      </c>
      <c r="D354" s="330">
        <f>SUMIF('Materials Calculations'!B:B,MaterialData32[[#This Row],[Material]],'Materials Calculations'!AI:AI)</f>
        <v>0</v>
      </c>
      <c r="F354" t="str">
        <v>User input EPD68</v>
      </c>
      <c r="G354">
        <v>0</v>
      </c>
      <c r="H354">
        <v>0</v>
      </c>
      <c r="I354">
        <v>0</v>
      </c>
      <c r="K354" t="str">
        <v>User input EPD68</v>
      </c>
      <c r="L354" s="322">
        <v>0</v>
      </c>
      <c r="M354" s="322">
        <v>0</v>
      </c>
      <c r="N354" s="322">
        <v>0</v>
      </c>
    </row>
    <row r="355" spans="1:14" x14ac:dyDescent="0.3">
      <c r="A355" t="str">
        <f>EPD!B71</f>
        <v>User input EPD69</v>
      </c>
      <c r="B355" s="330">
        <f>SUMIF('Materials Calculations'!B:B,MaterialData32[[#This Row],[Material]],'Materials Calculations'!F:F)</f>
        <v>0</v>
      </c>
      <c r="C355" s="330">
        <f>SUMIF('Materials Calculations'!B:B,MaterialData32[[#This Row],[Material]],'Materials Calculations'!H:H)</f>
        <v>0</v>
      </c>
      <c r="D355" s="330">
        <f>SUMIF('Materials Calculations'!B:B,MaterialData32[[#This Row],[Material]],'Materials Calculations'!AI:AI)</f>
        <v>0</v>
      </c>
      <c r="F355" t="str">
        <v>User input EPD69</v>
      </c>
      <c r="G355">
        <v>0</v>
      </c>
      <c r="H355">
        <v>0</v>
      </c>
      <c r="I355">
        <v>0</v>
      </c>
      <c r="K355" t="str">
        <v>User input EPD69</v>
      </c>
      <c r="L355" s="322">
        <v>0</v>
      </c>
      <c r="M355" s="322">
        <v>0</v>
      </c>
      <c r="N355" s="322">
        <v>0</v>
      </c>
    </row>
    <row r="356" spans="1:14" x14ac:dyDescent="0.3">
      <c r="A356" t="str">
        <f>EPD!B72</f>
        <v>User input EPD70</v>
      </c>
      <c r="B356" s="330">
        <f>SUMIF('Materials Calculations'!B:B,MaterialData32[[#This Row],[Material]],'Materials Calculations'!F:F)</f>
        <v>0</v>
      </c>
      <c r="C356" s="330">
        <f>SUMIF('Materials Calculations'!B:B,MaterialData32[[#This Row],[Material]],'Materials Calculations'!H:H)</f>
        <v>0</v>
      </c>
      <c r="D356" s="330">
        <f>SUMIF('Materials Calculations'!B:B,MaterialData32[[#This Row],[Material]],'Materials Calculations'!AI:AI)</f>
        <v>0</v>
      </c>
      <c r="F356" t="str">
        <v>User input EPD70</v>
      </c>
      <c r="G356">
        <v>0</v>
      </c>
      <c r="H356">
        <v>0</v>
      </c>
      <c r="I356">
        <v>0</v>
      </c>
      <c r="K356" t="str">
        <v>User input EPD70</v>
      </c>
      <c r="L356" s="322">
        <v>0</v>
      </c>
      <c r="M356" s="322">
        <v>0</v>
      </c>
      <c r="N356" s="322">
        <v>0</v>
      </c>
    </row>
    <row r="357" spans="1:14" x14ac:dyDescent="0.3">
      <c r="A357" t="str">
        <f>EPD!B73</f>
        <v>User input EPD71</v>
      </c>
      <c r="B357" s="330">
        <f>SUMIF('Materials Calculations'!B:B,MaterialData32[[#This Row],[Material]],'Materials Calculations'!F:F)</f>
        <v>0</v>
      </c>
      <c r="C357" s="330">
        <f>SUMIF('Materials Calculations'!B:B,MaterialData32[[#This Row],[Material]],'Materials Calculations'!H:H)</f>
        <v>0</v>
      </c>
      <c r="D357" s="330">
        <f>SUMIF('Materials Calculations'!B:B,MaterialData32[[#This Row],[Material]],'Materials Calculations'!AI:AI)</f>
        <v>0</v>
      </c>
      <c r="F357" t="str">
        <v>User input EPD71</v>
      </c>
      <c r="G357">
        <v>0</v>
      </c>
      <c r="H357">
        <v>0</v>
      </c>
      <c r="I357">
        <v>0</v>
      </c>
      <c r="K357" t="str">
        <v>User input EPD71</v>
      </c>
      <c r="L357" s="322">
        <v>0</v>
      </c>
      <c r="M357" s="322">
        <v>0</v>
      </c>
      <c r="N357" s="322">
        <v>0</v>
      </c>
    </row>
    <row r="358" spans="1:14" x14ac:dyDescent="0.3">
      <c r="A358" t="str">
        <f>EPD!B74</f>
        <v>User input EPD72</v>
      </c>
      <c r="B358" s="330">
        <f>SUMIF('Materials Calculations'!B:B,MaterialData32[[#This Row],[Material]],'Materials Calculations'!F:F)</f>
        <v>0</v>
      </c>
      <c r="C358" s="330">
        <f>SUMIF('Materials Calculations'!B:B,MaterialData32[[#This Row],[Material]],'Materials Calculations'!H:H)</f>
        <v>0</v>
      </c>
      <c r="D358" s="330">
        <f>SUMIF('Materials Calculations'!B:B,MaterialData32[[#This Row],[Material]],'Materials Calculations'!AI:AI)</f>
        <v>0</v>
      </c>
      <c r="F358" t="str">
        <v>User input EPD72</v>
      </c>
      <c r="G358">
        <v>0</v>
      </c>
      <c r="H358">
        <v>0</v>
      </c>
      <c r="I358">
        <v>0</v>
      </c>
      <c r="K358" t="str">
        <v>User input EPD72</v>
      </c>
      <c r="L358" s="322">
        <v>0</v>
      </c>
      <c r="M358" s="322">
        <v>0</v>
      </c>
      <c r="N358" s="322">
        <v>0</v>
      </c>
    </row>
    <row r="359" spans="1:14" x14ac:dyDescent="0.3">
      <c r="A359" t="str">
        <f>EPD!B75</f>
        <v>User input EPD73</v>
      </c>
      <c r="B359" s="330">
        <f>SUMIF('Materials Calculations'!B:B,MaterialData32[[#This Row],[Material]],'Materials Calculations'!F:F)</f>
        <v>0</v>
      </c>
      <c r="C359" s="330">
        <f>SUMIF('Materials Calculations'!B:B,MaterialData32[[#This Row],[Material]],'Materials Calculations'!H:H)</f>
        <v>0</v>
      </c>
      <c r="D359" s="330">
        <f>SUMIF('Materials Calculations'!B:B,MaterialData32[[#This Row],[Material]],'Materials Calculations'!AI:AI)</f>
        <v>0</v>
      </c>
      <c r="F359" t="str">
        <v>User input EPD73</v>
      </c>
      <c r="G359">
        <v>0</v>
      </c>
      <c r="H359">
        <v>0</v>
      </c>
      <c r="I359">
        <v>0</v>
      </c>
      <c r="K359" t="str">
        <v>User input EPD73</v>
      </c>
      <c r="L359" s="322">
        <v>0</v>
      </c>
      <c r="M359" s="322">
        <v>0</v>
      </c>
      <c r="N359" s="322">
        <v>0</v>
      </c>
    </row>
    <row r="360" spans="1:14" x14ac:dyDescent="0.3">
      <c r="A360" t="str">
        <f>EPD!B76</f>
        <v>User input EPD74</v>
      </c>
      <c r="B360" s="330">
        <f>SUMIF('Materials Calculations'!B:B,MaterialData32[[#This Row],[Material]],'Materials Calculations'!F:F)</f>
        <v>0</v>
      </c>
      <c r="C360" s="330">
        <f>SUMIF('Materials Calculations'!B:B,MaterialData32[[#This Row],[Material]],'Materials Calculations'!H:H)</f>
        <v>0</v>
      </c>
      <c r="D360" s="330">
        <f>SUMIF('Materials Calculations'!B:B,MaterialData32[[#This Row],[Material]],'Materials Calculations'!AI:AI)</f>
        <v>0</v>
      </c>
      <c r="F360" t="str">
        <v>User input EPD74</v>
      </c>
      <c r="G360">
        <v>0</v>
      </c>
      <c r="H360">
        <v>0</v>
      </c>
      <c r="I360">
        <v>0</v>
      </c>
      <c r="K360" t="str">
        <v>User input EPD74</v>
      </c>
      <c r="L360" s="322">
        <v>0</v>
      </c>
      <c r="M360" s="322">
        <v>0</v>
      </c>
      <c r="N360" s="322">
        <v>0</v>
      </c>
    </row>
    <row r="361" spans="1:14" x14ac:dyDescent="0.3">
      <c r="A361" t="str">
        <f>EPD!B77</f>
        <v>User input EPD75</v>
      </c>
      <c r="B361" s="330">
        <f>SUMIF('Materials Calculations'!B:B,MaterialData32[[#This Row],[Material]],'Materials Calculations'!F:F)</f>
        <v>0</v>
      </c>
      <c r="C361" s="330">
        <f>SUMIF('Materials Calculations'!B:B,MaterialData32[[#This Row],[Material]],'Materials Calculations'!H:H)</f>
        <v>0</v>
      </c>
      <c r="D361" s="330">
        <f>SUMIF('Materials Calculations'!B:B,MaterialData32[[#This Row],[Material]],'Materials Calculations'!AI:AI)</f>
        <v>0</v>
      </c>
      <c r="F361" t="str">
        <v>User input EPD75</v>
      </c>
      <c r="G361">
        <v>0</v>
      </c>
      <c r="H361">
        <v>0</v>
      </c>
      <c r="I361">
        <v>0</v>
      </c>
      <c r="K361" t="str">
        <v>User input EPD75</v>
      </c>
      <c r="L361" s="322">
        <v>0</v>
      </c>
      <c r="M361" s="322">
        <v>0</v>
      </c>
      <c r="N361" s="322">
        <v>0</v>
      </c>
    </row>
    <row r="362" spans="1:14" x14ac:dyDescent="0.3">
      <c r="A362" t="str">
        <f>EPD!B78</f>
        <v>User input EPD76</v>
      </c>
      <c r="B362" s="330">
        <f>SUMIF('Materials Calculations'!B:B,MaterialData32[[#This Row],[Material]],'Materials Calculations'!F:F)</f>
        <v>0</v>
      </c>
      <c r="C362" s="330">
        <f>SUMIF('Materials Calculations'!B:B,MaterialData32[[#This Row],[Material]],'Materials Calculations'!H:H)</f>
        <v>0</v>
      </c>
      <c r="D362" s="330">
        <f>SUMIF('Materials Calculations'!B:B,MaterialData32[[#This Row],[Material]],'Materials Calculations'!AI:AI)</f>
        <v>0</v>
      </c>
      <c r="F362" t="str">
        <v>User input EPD76</v>
      </c>
      <c r="G362">
        <v>0</v>
      </c>
      <c r="H362">
        <v>0</v>
      </c>
      <c r="I362">
        <v>0</v>
      </c>
      <c r="K362" t="str">
        <v>User input EPD76</v>
      </c>
      <c r="L362" s="322">
        <v>0</v>
      </c>
      <c r="M362" s="322">
        <v>0</v>
      </c>
      <c r="N362" s="322">
        <v>0</v>
      </c>
    </row>
    <row r="363" spans="1:14" x14ac:dyDescent="0.3">
      <c r="A363" t="str">
        <f>EPD!B79</f>
        <v>User input EPD77</v>
      </c>
      <c r="B363" s="330">
        <f>SUMIF('Materials Calculations'!B:B,MaterialData32[[#This Row],[Material]],'Materials Calculations'!F:F)</f>
        <v>0</v>
      </c>
      <c r="C363" s="330">
        <f>SUMIF('Materials Calculations'!B:B,MaterialData32[[#This Row],[Material]],'Materials Calculations'!H:H)</f>
        <v>0</v>
      </c>
      <c r="D363" s="330">
        <f>SUMIF('Materials Calculations'!B:B,MaterialData32[[#This Row],[Material]],'Materials Calculations'!AI:AI)</f>
        <v>0</v>
      </c>
      <c r="F363" t="str">
        <v>User input EPD77</v>
      </c>
      <c r="G363">
        <v>0</v>
      </c>
      <c r="H363">
        <v>0</v>
      </c>
      <c r="I363">
        <v>0</v>
      </c>
      <c r="K363" t="str">
        <v>User input EPD77</v>
      </c>
      <c r="L363" s="322">
        <v>0</v>
      </c>
      <c r="M363" s="322">
        <v>0</v>
      </c>
      <c r="N363" s="322">
        <v>0</v>
      </c>
    </row>
    <row r="364" spans="1:14" x14ac:dyDescent="0.3">
      <c r="A364" t="str">
        <f>EPD!B80</f>
        <v>User input EPD78</v>
      </c>
      <c r="B364" s="330">
        <f>SUMIF('Materials Calculations'!B:B,MaterialData32[[#This Row],[Material]],'Materials Calculations'!F:F)</f>
        <v>0</v>
      </c>
      <c r="C364" s="330">
        <f>SUMIF('Materials Calculations'!B:B,MaterialData32[[#This Row],[Material]],'Materials Calculations'!H:H)</f>
        <v>0</v>
      </c>
      <c r="D364" s="330">
        <f>SUMIF('Materials Calculations'!B:B,MaterialData32[[#This Row],[Material]],'Materials Calculations'!AI:AI)</f>
        <v>0</v>
      </c>
      <c r="F364" t="str">
        <v>User input EPD78</v>
      </c>
      <c r="G364">
        <v>0</v>
      </c>
      <c r="H364">
        <v>0</v>
      </c>
      <c r="I364">
        <v>0</v>
      </c>
      <c r="K364" t="str">
        <v>User input EPD78</v>
      </c>
      <c r="L364" s="322">
        <v>0</v>
      </c>
      <c r="M364" s="322">
        <v>0</v>
      </c>
      <c r="N364" s="322">
        <v>0</v>
      </c>
    </row>
    <row r="365" spans="1:14" x14ac:dyDescent="0.3">
      <c r="A365" t="str">
        <f>EPD!B81</f>
        <v>User input EPD79</v>
      </c>
      <c r="B365" s="330">
        <f>SUMIF('Materials Calculations'!B:B,MaterialData32[[#This Row],[Material]],'Materials Calculations'!F:F)</f>
        <v>0</v>
      </c>
      <c r="C365" s="330">
        <f>SUMIF('Materials Calculations'!B:B,MaterialData32[[#This Row],[Material]],'Materials Calculations'!H:H)</f>
        <v>0</v>
      </c>
      <c r="D365" s="330">
        <f>SUMIF('Materials Calculations'!B:B,MaterialData32[[#This Row],[Material]],'Materials Calculations'!AI:AI)</f>
        <v>0</v>
      </c>
      <c r="F365" t="str">
        <v>User input EPD79</v>
      </c>
      <c r="G365">
        <v>0</v>
      </c>
      <c r="H365">
        <v>0</v>
      </c>
      <c r="I365">
        <v>0</v>
      </c>
      <c r="K365" t="str">
        <v>User input EPD79</v>
      </c>
      <c r="L365" s="322">
        <v>0</v>
      </c>
      <c r="M365" s="322">
        <v>0</v>
      </c>
      <c r="N365" s="322">
        <v>0</v>
      </c>
    </row>
    <row r="366" spans="1:14" x14ac:dyDescent="0.3">
      <c r="A366" t="str">
        <f>EPD!B82</f>
        <v>User input EPD80</v>
      </c>
      <c r="B366" s="330">
        <f>SUMIF('Materials Calculations'!B:B,MaterialData32[[#This Row],[Material]],'Materials Calculations'!F:F)</f>
        <v>0</v>
      </c>
      <c r="C366" s="330">
        <f>SUMIF('Materials Calculations'!B:B,MaterialData32[[#This Row],[Material]],'Materials Calculations'!H:H)</f>
        <v>0</v>
      </c>
      <c r="D366" s="330">
        <f>SUMIF('Materials Calculations'!B:B,MaterialData32[[#This Row],[Material]],'Materials Calculations'!AI:AI)</f>
        <v>0</v>
      </c>
      <c r="F366" t="str">
        <v>User input EPD80</v>
      </c>
      <c r="G366">
        <v>0</v>
      </c>
      <c r="H366">
        <v>0</v>
      </c>
      <c r="I366">
        <v>0</v>
      </c>
      <c r="K366" t="str">
        <v>User input EPD80</v>
      </c>
      <c r="L366" s="322">
        <v>0</v>
      </c>
      <c r="M366" s="322">
        <v>0</v>
      </c>
      <c r="N366" s="322">
        <v>0</v>
      </c>
    </row>
    <row r="367" spans="1:14" x14ac:dyDescent="0.3">
      <c r="A367" t="str">
        <f>EPD!B83</f>
        <v>User input EPD81</v>
      </c>
      <c r="B367" s="330">
        <f>SUMIF('Materials Calculations'!B:B,MaterialData32[[#This Row],[Material]],'Materials Calculations'!F:F)</f>
        <v>0</v>
      </c>
      <c r="C367" s="330">
        <f>SUMIF('Materials Calculations'!B:B,MaterialData32[[#This Row],[Material]],'Materials Calculations'!H:H)</f>
        <v>0</v>
      </c>
      <c r="D367" s="330">
        <f>SUMIF('Materials Calculations'!B:B,MaterialData32[[#This Row],[Material]],'Materials Calculations'!AI:AI)</f>
        <v>0</v>
      </c>
      <c r="F367" t="str">
        <v>User input EPD81</v>
      </c>
      <c r="G367">
        <v>0</v>
      </c>
      <c r="H367">
        <v>0</v>
      </c>
      <c r="I367">
        <v>0</v>
      </c>
      <c r="K367" t="str">
        <v>User input EPD81</v>
      </c>
      <c r="L367" s="322">
        <v>0</v>
      </c>
      <c r="M367" s="322">
        <v>0</v>
      </c>
      <c r="N367" s="322">
        <v>0</v>
      </c>
    </row>
    <row r="368" spans="1:14" x14ac:dyDescent="0.3">
      <c r="A368" t="str">
        <f>EPD!B84</f>
        <v>User input EPD82</v>
      </c>
      <c r="B368" s="330">
        <f>SUMIF('Materials Calculations'!B:B,MaterialData32[[#This Row],[Material]],'Materials Calculations'!F:F)</f>
        <v>0</v>
      </c>
      <c r="C368" s="330">
        <f>SUMIF('Materials Calculations'!B:B,MaterialData32[[#This Row],[Material]],'Materials Calculations'!H:H)</f>
        <v>0</v>
      </c>
      <c r="D368" s="330">
        <f>SUMIF('Materials Calculations'!B:B,MaterialData32[[#This Row],[Material]],'Materials Calculations'!AI:AI)</f>
        <v>0</v>
      </c>
      <c r="F368" t="str">
        <v>User input EPD82</v>
      </c>
      <c r="G368">
        <v>0</v>
      </c>
      <c r="H368">
        <v>0</v>
      </c>
      <c r="I368">
        <v>0</v>
      </c>
      <c r="K368" t="str">
        <v>User input EPD82</v>
      </c>
      <c r="L368" s="322">
        <v>0</v>
      </c>
      <c r="M368" s="322">
        <v>0</v>
      </c>
      <c r="N368" s="322">
        <v>0</v>
      </c>
    </row>
    <row r="369" spans="1:14" x14ac:dyDescent="0.3">
      <c r="A369" t="str">
        <f>EPD!B85</f>
        <v>User input EPD83</v>
      </c>
      <c r="B369" s="330">
        <f>SUMIF('Materials Calculations'!B:B,MaterialData32[[#This Row],[Material]],'Materials Calculations'!F:F)</f>
        <v>0</v>
      </c>
      <c r="C369" s="330">
        <f>SUMIF('Materials Calculations'!B:B,MaterialData32[[#This Row],[Material]],'Materials Calculations'!H:H)</f>
        <v>0</v>
      </c>
      <c r="D369" s="330">
        <f>SUMIF('Materials Calculations'!B:B,MaterialData32[[#This Row],[Material]],'Materials Calculations'!AI:AI)</f>
        <v>0</v>
      </c>
      <c r="F369" t="str">
        <v>User input EPD83</v>
      </c>
      <c r="G369">
        <v>0</v>
      </c>
      <c r="H369">
        <v>0</v>
      </c>
      <c r="I369">
        <v>0</v>
      </c>
      <c r="K369" t="str">
        <v>User input EPD83</v>
      </c>
      <c r="L369" s="322">
        <v>0</v>
      </c>
      <c r="M369" s="322">
        <v>0</v>
      </c>
      <c r="N369" s="322">
        <v>0</v>
      </c>
    </row>
    <row r="370" spans="1:14" x14ac:dyDescent="0.3">
      <c r="A370" t="str">
        <f>EPD!B86</f>
        <v>User input EPD84</v>
      </c>
      <c r="B370" s="330">
        <f>SUMIF('Materials Calculations'!B:B,MaterialData32[[#This Row],[Material]],'Materials Calculations'!F:F)</f>
        <v>0</v>
      </c>
      <c r="C370" s="330">
        <f>SUMIF('Materials Calculations'!B:B,MaterialData32[[#This Row],[Material]],'Materials Calculations'!H:H)</f>
        <v>0</v>
      </c>
      <c r="D370" s="330">
        <f>SUMIF('Materials Calculations'!B:B,MaterialData32[[#This Row],[Material]],'Materials Calculations'!AI:AI)</f>
        <v>0</v>
      </c>
      <c r="F370" t="str">
        <v>User input EPD84</v>
      </c>
      <c r="G370">
        <v>0</v>
      </c>
      <c r="H370">
        <v>0</v>
      </c>
      <c r="I370">
        <v>0</v>
      </c>
      <c r="K370" t="str">
        <v>User input EPD84</v>
      </c>
      <c r="L370" s="322">
        <v>0</v>
      </c>
      <c r="M370" s="322">
        <v>0</v>
      </c>
      <c r="N370" s="322">
        <v>0</v>
      </c>
    </row>
    <row r="371" spans="1:14" x14ac:dyDescent="0.3">
      <c r="A371" t="str">
        <f>EPD!B87</f>
        <v>User input EPD85</v>
      </c>
      <c r="B371" s="330">
        <f>SUMIF('Materials Calculations'!B:B,MaterialData32[[#This Row],[Material]],'Materials Calculations'!F:F)</f>
        <v>0</v>
      </c>
      <c r="C371" s="330">
        <f>SUMIF('Materials Calculations'!B:B,MaterialData32[[#This Row],[Material]],'Materials Calculations'!H:H)</f>
        <v>0</v>
      </c>
      <c r="D371" s="330">
        <f>SUMIF('Materials Calculations'!B:B,MaterialData32[[#This Row],[Material]],'Materials Calculations'!AI:AI)</f>
        <v>0</v>
      </c>
      <c r="F371" t="str">
        <v>User input EPD85</v>
      </c>
      <c r="G371">
        <v>0</v>
      </c>
      <c r="H371">
        <v>0</v>
      </c>
      <c r="I371">
        <v>0</v>
      </c>
      <c r="K371" t="str">
        <v>User input EPD85</v>
      </c>
      <c r="L371" s="322">
        <v>0</v>
      </c>
      <c r="M371" s="322">
        <v>0</v>
      </c>
      <c r="N371" s="322">
        <v>0</v>
      </c>
    </row>
    <row r="372" spans="1:14" x14ac:dyDescent="0.3">
      <c r="A372" t="str">
        <f>EPD!B88</f>
        <v>User input EPD86</v>
      </c>
      <c r="B372" s="330">
        <f>SUMIF('Materials Calculations'!B:B,MaterialData32[[#This Row],[Material]],'Materials Calculations'!F:F)</f>
        <v>0</v>
      </c>
      <c r="C372" s="330">
        <f>SUMIF('Materials Calculations'!B:B,MaterialData32[[#This Row],[Material]],'Materials Calculations'!H:H)</f>
        <v>0</v>
      </c>
      <c r="D372" s="330">
        <f>SUMIF('Materials Calculations'!B:B,MaterialData32[[#This Row],[Material]],'Materials Calculations'!AI:AI)</f>
        <v>0</v>
      </c>
      <c r="F372" t="str">
        <v>User input EPD86</v>
      </c>
      <c r="G372">
        <v>0</v>
      </c>
      <c r="H372">
        <v>0</v>
      </c>
      <c r="I372">
        <v>0</v>
      </c>
      <c r="K372" t="str">
        <v>User input EPD86</v>
      </c>
      <c r="L372" s="322">
        <v>0</v>
      </c>
      <c r="M372" s="322">
        <v>0</v>
      </c>
      <c r="N372" s="322">
        <v>0</v>
      </c>
    </row>
    <row r="373" spans="1:14" x14ac:dyDescent="0.3">
      <c r="A373" t="str">
        <f>EPD!B89</f>
        <v>User input EPD87</v>
      </c>
      <c r="B373" s="330">
        <f>SUMIF('Materials Calculations'!B:B,MaterialData32[[#This Row],[Material]],'Materials Calculations'!F:F)</f>
        <v>0</v>
      </c>
      <c r="C373" s="330">
        <f>SUMIF('Materials Calculations'!B:B,MaterialData32[[#This Row],[Material]],'Materials Calculations'!H:H)</f>
        <v>0</v>
      </c>
      <c r="D373" s="330">
        <f>SUMIF('Materials Calculations'!B:B,MaterialData32[[#This Row],[Material]],'Materials Calculations'!AI:AI)</f>
        <v>0</v>
      </c>
      <c r="F373" t="str">
        <v>User input EPD87</v>
      </c>
      <c r="G373">
        <v>0</v>
      </c>
      <c r="H373">
        <v>0</v>
      </c>
      <c r="I373">
        <v>0</v>
      </c>
      <c r="K373" t="str">
        <v>User input EPD87</v>
      </c>
      <c r="L373" s="322">
        <v>0</v>
      </c>
      <c r="M373" s="322">
        <v>0</v>
      </c>
      <c r="N373" s="322">
        <v>0</v>
      </c>
    </row>
    <row r="374" spans="1:14" x14ac:dyDescent="0.3">
      <c r="A374" t="str">
        <f>EPD!B90</f>
        <v>User input EPD88</v>
      </c>
      <c r="B374" s="330">
        <f>SUMIF('Materials Calculations'!B:B,MaterialData32[[#This Row],[Material]],'Materials Calculations'!F:F)</f>
        <v>0</v>
      </c>
      <c r="C374" s="330">
        <f>SUMIF('Materials Calculations'!B:B,MaterialData32[[#This Row],[Material]],'Materials Calculations'!H:H)</f>
        <v>0</v>
      </c>
      <c r="D374" s="330">
        <f>SUMIF('Materials Calculations'!B:B,MaterialData32[[#This Row],[Material]],'Materials Calculations'!AI:AI)</f>
        <v>0</v>
      </c>
      <c r="F374" t="str">
        <v>User input EPD88</v>
      </c>
      <c r="G374">
        <v>0</v>
      </c>
      <c r="H374">
        <v>0</v>
      </c>
      <c r="I374">
        <v>0</v>
      </c>
      <c r="K374" t="str">
        <v>User input EPD88</v>
      </c>
      <c r="L374" s="322">
        <v>0</v>
      </c>
      <c r="M374" s="322">
        <v>0</v>
      </c>
      <c r="N374" s="322">
        <v>0</v>
      </c>
    </row>
    <row r="375" spans="1:14" x14ac:dyDescent="0.3">
      <c r="A375" t="str">
        <f>EPD!B91</f>
        <v>User input EPD89</v>
      </c>
      <c r="B375" s="330">
        <f>SUMIF('Materials Calculations'!B:B,MaterialData32[[#This Row],[Material]],'Materials Calculations'!F:F)</f>
        <v>0</v>
      </c>
      <c r="C375" s="330">
        <f>SUMIF('Materials Calculations'!B:B,MaterialData32[[#This Row],[Material]],'Materials Calculations'!H:H)</f>
        <v>0</v>
      </c>
      <c r="D375" s="330">
        <f>SUMIF('Materials Calculations'!B:B,MaterialData32[[#This Row],[Material]],'Materials Calculations'!AI:AI)</f>
        <v>0</v>
      </c>
      <c r="F375" t="str">
        <v>User input EPD89</v>
      </c>
      <c r="G375">
        <v>0</v>
      </c>
      <c r="H375">
        <v>0</v>
      </c>
      <c r="I375">
        <v>0</v>
      </c>
      <c r="K375" t="str">
        <v>User input EPD89</v>
      </c>
      <c r="L375" s="322">
        <v>0</v>
      </c>
      <c r="M375" s="322">
        <v>0</v>
      </c>
      <c r="N375" s="322">
        <v>0</v>
      </c>
    </row>
    <row r="376" spans="1:14" x14ac:dyDescent="0.3">
      <c r="A376" t="str">
        <f>EPD!B92</f>
        <v>User input EPD90</v>
      </c>
      <c r="B376" s="330">
        <f>SUMIF('Materials Calculations'!B:B,MaterialData32[[#This Row],[Material]],'Materials Calculations'!F:F)</f>
        <v>0</v>
      </c>
      <c r="C376" s="330">
        <f>SUMIF('Materials Calculations'!B:B,MaterialData32[[#This Row],[Material]],'Materials Calculations'!H:H)</f>
        <v>0</v>
      </c>
      <c r="D376" s="330">
        <f>SUMIF('Materials Calculations'!B:B,MaterialData32[[#This Row],[Material]],'Materials Calculations'!AI:AI)</f>
        <v>0</v>
      </c>
      <c r="F376" t="str">
        <v>User input EPD90</v>
      </c>
      <c r="G376">
        <v>0</v>
      </c>
      <c r="H376">
        <v>0</v>
      </c>
      <c r="I376">
        <v>0</v>
      </c>
      <c r="K376" t="str">
        <v>User input EPD90</v>
      </c>
      <c r="L376" s="322">
        <v>0</v>
      </c>
      <c r="M376" s="322">
        <v>0</v>
      </c>
      <c r="N376" s="322">
        <v>0</v>
      </c>
    </row>
    <row r="377" spans="1:14" x14ac:dyDescent="0.3">
      <c r="A377" t="str">
        <f>EPD!B93</f>
        <v>User input EPD91</v>
      </c>
      <c r="B377" s="330">
        <f>SUMIF('Materials Calculations'!B:B,MaterialData32[[#This Row],[Material]],'Materials Calculations'!F:F)</f>
        <v>0</v>
      </c>
      <c r="C377" s="330">
        <f>SUMIF('Materials Calculations'!B:B,MaterialData32[[#This Row],[Material]],'Materials Calculations'!H:H)</f>
        <v>0</v>
      </c>
      <c r="D377" s="330">
        <f>SUMIF('Materials Calculations'!B:B,MaterialData32[[#This Row],[Material]],'Materials Calculations'!AI:AI)</f>
        <v>0</v>
      </c>
      <c r="F377" t="str">
        <v>User input EPD91</v>
      </c>
      <c r="G377">
        <v>0</v>
      </c>
      <c r="H377">
        <v>0</v>
      </c>
      <c r="I377">
        <v>0</v>
      </c>
      <c r="K377" t="str">
        <v>User input EPD91</v>
      </c>
      <c r="L377" s="322">
        <v>0</v>
      </c>
      <c r="M377" s="322">
        <v>0</v>
      </c>
      <c r="N377" s="322">
        <v>0</v>
      </c>
    </row>
    <row r="378" spans="1:14" x14ac:dyDescent="0.3">
      <c r="A378" t="str">
        <f>EPD!B94</f>
        <v>User input EPD92</v>
      </c>
      <c r="B378" s="330">
        <f>SUMIF('Materials Calculations'!B:B,MaterialData32[[#This Row],[Material]],'Materials Calculations'!F:F)</f>
        <v>0</v>
      </c>
      <c r="C378" s="330">
        <f>SUMIF('Materials Calculations'!B:B,MaterialData32[[#This Row],[Material]],'Materials Calculations'!H:H)</f>
        <v>0</v>
      </c>
      <c r="D378" s="330">
        <f>SUMIF('Materials Calculations'!B:B,MaterialData32[[#This Row],[Material]],'Materials Calculations'!AI:AI)</f>
        <v>0</v>
      </c>
      <c r="F378" t="str">
        <v>User input EPD92</v>
      </c>
      <c r="G378">
        <v>0</v>
      </c>
      <c r="H378">
        <v>0</v>
      </c>
      <c r="I378">
        <v>0</v>
      </c>
      <c r="K378" t="str">
        <v>User input EPD92</v>
      </c>
      <c r="L378" s="322">
        <v>0</v>
      </c>
      <c r="M378" s="322">
        <v>0</v>
      </c>
      <c r="N378" s="322">
        <v>0</v>
      </c>
    </row>
    <row r="379" spans="1:14" x14ac:dyDescent="0.3">
      <c r="A379" t="str">
        <f>EPD!B95</f>
        <v>User input EPD93</v>
      </c>
      <c r="B379" s="330">
        <f>SUMIF('Materials Calculations'!B:B,MaterialData32[[#This Row],[Material]],'Materials Calculations'!F:F)</f>
        <v>0</v>
      </c>
      <c r="C379" s="330">
        <f>SUMIF('Materials Calculations'!B:B,MaterialData32[[#This Row],[Material]],'Materials Calculations'!H:H)</f>
        <v>0</v>
      </c>
      <c r="D379" s="330">
        <f>SUMIF('Materials Calculations'!B:B,MaterialData32[[#This Row],[Material]],'Materials Calculations'!AI:AI)</f>
        <v>0</v>
      </c>
      <c r="F379" t="str">
        <v>User input EPD93</v>
      </c>
      <c r="G379">
        <v>0</v>
      </c>
      <c r="H379">
        <v>0</v>
      </c>
      <c r="I379">
        <v>0</v>
      </c>
      <c r="K379" t="str">
        <v>User input EPD93</v>
      </c>
      <c r="L379" s="322">
        <v>0</v>
      </c>
      <c r="M379" s="322">
        <v>0</v>
      </c>
      <c r="N379" s="322">
        <v>0</v>
      </c>
    </row>
    <row r="380" spans="1:14" x14ac:dyDescent="0.3">
      <c r="A380" t="str">
        <f>EPD!B96</f>
        <v>User input EPD94</v>
      </c>
      <c r="B380" s="330">
        <f>SUMIF('Materials Calculations'!B:B,MaterialData32[[#This Row],[Material]],'Materials Calculations'!F:F)</f>
        <v>0</v>
      </c>
      <c r="C380" s="330">
        <f>SUMIF('Materials Calculations'!B:B,MaterialData32[[#This Row],[Material]],'Materials Calculations'!H:H)</f>
        <v>0</v>
      </c>
      <c r="D380" s="330">
        <f>SUMIF('Materials Calculations'!B:B,MaterialData32[[#This Row],[Material]],'Materials Calculations'!AI:AI)</f>
        <v>0</v>
      </c>
      <c r="F380" t="str">
        <v>User input EPD94</v>
      </c>
      <c r="G380">
        <v>0</v>
      </c>
      <c r="H380">
        <v>0</v>
      </c>
      <c r="I380">
        <v>0</v>
      </c>
      <c r="K380" t="str">
        <v>User input EPD94</v>
      </c>
      <c r="L380" s="322">
        <v>0</v>
      </c>
      <c r="M380" s="322">
        <v>0</v>
      </c>
      <c r="N380" s="322">
        <v>0</v>
      </c>
    </row>
    <row r="381" spans="1:14" x14ac:dyDescent="0.3">
      <c r="A381" t="str">
        <f>EPD!B97</f>
        <v>User input EPD95</v>
      </c>
      <c r="B381" s="330">
        <f>SUMIF('Materials Calculations'!B:B,MaterialData32[[#This Row],[Material]],'Materials Calculations'!F:F)</f>
        <v>0</v>
      </c>
      <c r="C381" s="330">
        <f>SUMIF('Materials Calculations'!B:B,MaterialData32[[#This Row],[Material]],'Materials Calculations'!H:H)</f>
        <v>0</v>
      </c>
      <c r="D381" s="330">
        <f>SUMIF('Materials Calculations'!B:B,MaterialData32[[#This Row],[Material]],'Materials Calculations'!AI:AI)</f>
        <v>0</v>
      </c>
      <c r="F381" t="str">
        <v>User input EPD95</v>
      </c>
      <c r="G381">
        <v>0</v>
      </c>
      <c r="H381">
        <v>0</v>
      </c>
      <c r="I381">
        <v>0</v>
      </c>
      <c r="K381" t="str">
        <v>User input EPD95</v>
      </c>
      <c r="L381" s="322">
        <v>0</v>
      </c>
      <c r="M381" s="322">
        <v>0</v>
      </c>
      <c r="N381" s="322">
        <v>0</v>
      </c>
    </row>
    <row r="382" spans="1:14" x14ac:dyDescent="0.3">
      <c r="A382" t="str">
        <f>EPD!B98</f>
        <v>User input EPD96</v>
      </c>
      <c r="B382" s="330">
        <f>SUMIF('Materials Calculations'!B:B,MaterialData32[[#This Row],[Material]],'Materials Calculations'!F:F)</f>
        <v>0</v>
      </c>
      <c r="C382" s="330">
        <f>SUMIF('Materials Calculations'!B:B,MaterialData32[[#This Row],[Material]],'Materials Calculations'!H:H)</f>
        <v>0</v>
      </c>
      <c r="D382" s="330">
        <f>SUMIF('Materials Calculations'!B:B,MaterialData32[[#This Row],[Material]],'Materials Calculations'!AI:AI)</f>
        <v>0</v>
      </c>
      <c r="F382" t="str">
        <v>User input EPD96</v>
      </c>
      <c r="G382">
        <v>0</v>
      </c>
      <c r="H382">
        <v>0</v>
      </c>
      <c r="I382">
        <v>0</v>
      </c>
      <c r="K382" t="str">
        <v>User input EPD96</v>
      </c>
      <c r="L382" s="322">
        <v>0</v>
      </c>
      <c r="M382" s="322">
        <v>0</v>
      </c>
      <c r="N382" s="322">
        <v>0</v>
      </c>
    </row>
    <row r="383" spans="1:14" x14ac:dyDescent="0.3">
      <c r="A383" t="str">
        <f>EPD!B99</f>
        <v>User input EPD97</v>
      </c>
      <c r="B383" s="330">
        <f>SUMIF('Materials Calculations'!B:B,MaterialData32[[#This Row],[Material]],'Materials Calculations'!F:F)</f>
        <v>0</v>
      </c>
      <c r="C383" s="330">
        <f>SUMIF('Materials Calculations'!B:B,MaterialData32[[#This Row],[Material]],'Materials Calculations'!H:H)</f>
        <v>0</v>
      </c>
      <c r="D383" s="330">
        <f>SUMIF('Materials Calculations'!B:B,MaterialData32[[#This Row],[Material]],'Materials Calculations'!AI:AI)</f>
        <v>0</v>
      </c>
      <c r="F383" t="str">
        <v>User input EPD97</v>
      </c>
      <c r="G383">
        <v>0</v>
      </c>
      <c r="H383">
        <v>0</v>
      </c>
      <c r="I383">
        <v>0</v>
      </c>
      <c r="K383" t="str">
        <v>User input EPD97</v>
      </c>
      <c r="L383" s="322">
        <v>0</v>
      </c>
      <c r="M383" s="322">
        <v>0</v>
      </c>
      <c r="N383" s="322">
        <v>0</v>
      </c>
    </row>
    <row r="384" spans="1:14" x14ac:dyDescent="0.3">
      <c r="A384" t="str">
        <f>EPD!B100</f>
        <v>User input EPD98</v>
      </c>
      <c r="B384" s="330">
        <f>SUMIF('Materials Calculations'!B:B,MaterialData32[[#This Row],[Material]],'Materials Calculations'!F:F)</f>
        <v>0</v>
      </c>
      <c r="C384" s="330">
        <f>SUMIF('Materials Calculations'!B:B,MaterialData32[[#This Row],[Material]],'Materials Calculations'!H:H)</f>
        <v>0</v>
      </c>
      <c r="D384" s="330">
        <f>SUMIF('Materials Calculations'!B:B,MaterialData32[[#This Row],[Material]],'Materials Calculations'!AI:AI)</f>
        <v>0</v>
      </c>
      <c r="F384" t="str">
        <v>User input EPD98</v>
      </c>
      <c r="G384">
        <v>0</v>
      </c>
      <c r="H384">
        <v>0</v>
      </c>
      <c r="I384">
        <v>0</v>
      </c>
      <c r="K384" t="str">
        <v>User input EPD98</v>
      </c>
      <c r="L384" s="322">
        <v>0</v>
      </c>
      <c r="M384" s="322">
        <v>0</v>
      </c>
      <c r="N384" s="322">
        <v>0</v>
      </c>
    </row>
    <row r="385" spans="1:14" x14ac:dyDescent="0.3">
      <c r="A385" t="str">
        <f>EPD!B101</f>
        <v>User input EPD99</v>
      </c>
      <c r="B385" s="330">
        <f>SUMIF('Materials Calculations'!B:B,MaterialData32[[#This Row],[Material]],'Materials Calculations'!F:F)</f>
        <v>0</v>
      </c>
      <c r="C385" s="330">
        <f>SUMIF('Materials Calculations'!B:B,MaterialData32[[#This Row],[Material]],'Materials Calculations'!H:H)</f>
        <v>0</v>
      </c>
      <c r="D385" s="330">
        <f>SUMIF('Materials Calculations'!B:B,MaterialData32[[#This Row],[Material]],'Materials Calculations'!AI:AI)</f>
        <v>0</v>
      </c>
      <c r="F385" t="str">
        <v>User input EPD99</v>
      </c>
      <c r="G385">
        <v>0</v>
      </c>
      <c r="H385">
        <v>0</v>
      </c>
      <c r="I385">
        <v>0</v>
      </c>
      <c r="K385" t="str">
        <v>User input EPD99</v>
      </c>
      <c r="L385" s="322">
        <v>0</v>
      </c>
      <c r="M385" s="322">
        <v>0</v>
      </c>
      <c r="N385" s="322">
        <v>0</v>
      </c>
    </row>
    <row r="386" spans="1:14" x14ac:dyDescent="0.3">
      <c r="A386" t="str">
        <f>EPD!B102</f>
        <v>User input EPD100</v>
      </c>
      <c r="B386" s="330">
        <f>SUMIF('Materials Calculations'!B:B,MaterialData32[[#This Row],[Material]],'Materials Calculations'!F:F)</f>
        <v>0</v>
      </c>
      <c r="C386" s="330">
        <f>SUMIF('Materials Calculations'!B:B,MaterialData32[[#This Row],[Material]],'Materials Calculations'!H:H)</f>
        <v>0</v>
      </c>
      <c r="D386" s="330">
        <f>SUMIF('Materials Calculations'!B:B,MaterialData32[[#This Row],[Material]],'Materials Calculations'!AI:AI)</f>
        <v>0</v>
      </c>
      <c r="F386" t="str">
        <v>User input EPD100</v>
      </c>
      <c r="G386">
        <v>0</v>
      </c>
      <c r="H386">
        <v>0</v>
      </c>
      <c r="I386">
        <v>0</v>
      </c>
      <c r="K386" t="str">
        <v>User input EPD100</v>
      </c>
      <c r="L386" s="322">
        <v>0</v>
      </c>
      <c r="M386" s="322">
        <v>0</v>
      </c>
      <c r="N386" s="322">
        <v>0</v>
      </c>
    </row>
    <row r="387" spans="1:14" x14ac:dyDescent="0.3">
      <c r="A387" t="str">
        <f>EPD!B103</f>
        <v>User input EPD101</v>
      </c>
      <c r="B387" s="330">
        <f>SUMIF('Materials Calculations'!B:B,MaterialData32[[#This Row],[Material]],'Materials Calculations'!F:F)</f>
        <v>0</v>
      </c>
      <c r="C387" s="330">
        <f>SUMIF('Materials Calculations'!B:B,MaterialData32[[#This Row],[Material]],'Materials Calculations'!H:H)</f>
        <v>0</v>
      </c>
      <c r="D387" s="330">
        <f>SUMIF('Materials Calculations'!B:B,MaterialData32[[#This Row],[Material]],'Materials Calculations'!AI:AI)</f>
        <v>0</v>
      </c>
      <c r="F387" t="str">
        <v>User input EPD101</v>
      </c>
      <c r="G387">
        <v>0</v>
      </c>
      <c r="H387">
        <v>0</v>
      </c>
      <c r="I387">
        <v>0</v>
      </c>
      <c r="K387" t="str">
        <v>User input EPD101</v>
      </c>
      <c r="L387" s="322">
        <v>0</v>
      </c>
      <c r="M387" s="322">
        <v>0</v>
      </c>
      <c r="N387" s="322">
        <v>0</v>
      </c>
    </row>
    <row r="388" spans="1:14" x14ac:dyDescent="0.3">
      <c r="A388" t="str">
        <f>EPD!B104</f>
        <v>User input EPD102</v>
      </c>
      <c r="B388" s="330">
        <f>SUMIF('Materials Calculations'!B:B,MaterialData32[[#This Row],[Material]],'Materials Calculations'!F:F)</f>
        <v>0</v>
      </c>
      <c r="C388" s="330">
        <f>SUMIF('Materials Calculations'!B:B,MaterialData32[[#This Row],[Material]],'Materials Calculations'!H:H)</f>
        <v>0</v>
      </c>
      <c r="D388" s="330">
        <f>SUMIF('Materials Calculations'!B:B,MaterialData32[[#This Row],[Material]],'Materials Calculations'!AI:AI)</f>
        <v>0</v>
      </c>
      <c r="F388" t="str">
        <v>User input EPD102</v>
      </c>
      <c r="G388">
        <v>0</v>
      </c>
      <c r="H388">
        <v>0</v>
      </c>
      <c r="I388">
        <v>0</v>
      </c>
      <c r="K388" t="str">
        <v>User input EPD102</v>
      </c>
      <c r="L388" s="322">
        <v>0</v>
      </c>
      <c r="M388" s="322">
        <v>0</v>
      </c>
      <c r="N388" s="322">
        <v>0</v>
      </c>
    </row>
    <row r="389" spans="1:14" x14ac:dyDescent="0.3">
      <c r="A389" t="str">
        <f>EPD!B105</f>
        <v>User input EPD103</v>
      </c>
      <c r="B389" s="330">
        <f>SUMIF('Materials Calculations'!B:B,MaterialData32[[#This Row],[Material]],'Materials Calculations'!F:F)</f>
        <v>0</v>
      </c>
      <c r="C389" s="330">
        <f>SUMIF('Materials Calculations'!B:B,MaterialData32[[#This Row],[Material]],'Materials Calculations'!H:H)</f>
        <v>0</v>
      </c>
      <c r="D389" s="330">
        <f>SUMIF('Materials Calculations'!B:B,MaterialData32[[#This Row],[Material]],'Materials Calculations'!AI:AI)</f>
        <v>0</v>
      </c>
      <c r="F389" t="str">
        <v>User input EPD103</v>
      </c>
      <c r="G389">
        <v>0</v>
      </c>
      <c r="H389">
        <v>0</v>
      </c>
      <c r="I389">
        <v>0</v>
      </c>
      <c r="K389" t="str">
        <v>User input EPD103</v>
      </c>
      <c r="L389" s="322">
        <v>0</v>
      </c>
      <c r="M389" s="322">
        <v>0</v>
      </c>
      <c r="N389" s="322">
        <v>0</v>
      </c>
    </row>
    <row r="390" spans="1:14" x14ac:dyDescent="0.3">
      <c r="A390" t="str">
        <f>EPD!B106</f>
        <v>User input EPD104</v>
      </c>
      <c r="B390" s="330">
        <f>SUMIF('Materials Calculations'!B:B,MaterialData32[[#This Row],[Material]],'Materials Calculations'!F:F)</f>
        <v>0</v>
      </c>
      <c r="C390" s="330">
        <f>SUMIF('Materials Calculations'!B:B,MaterialData32[[#This Row],[Material]],'Materials Calculations'!H:H)</f>
        <v>0</v>
      </c>
      <c r="D390" s="330">
        <f>SUMIF('Materials Calculations'!B:B,MaterialData32[[#This Row],[Material]],'Materials Calculations'!AI:AI)</f>
        <v>0</v>
      </c>
      <c r="F390" t="str">
        <v>User input EPD104</v>
      </c>
      <c r="G390">
        <v>0</v>
      </c>
      <c r="H390">
        <v>0</v>
      </c>
      <c r="I390">
        <v>0</v>
      </c>
      <c r="K390" t="str">
        <v>User input EPD104</v>
      </c>
      <c r="L390" s="322">
        <v>0</v>
      </c>
      <c r="M390" s="322">
        <v>0</v>
      </c>
      <c r="N390" s="322">
        <v>0</v>
      </c>
    </row>
    <row r="391" spans="1:14" x14ac:dyDescent="0.3">
      <c r="A391" t="str">
        <f>EPD!B107</f>
        <v>User input EPD105</v>
      </c>
      <c r="B391" s="330">
        <f>SUMIF('Materials Calculations'!B:B,MaterialData32[[#This Row],[Material]],'Materials Calculations'!F:F)</f>
        <v>0</v>
      </c>
      <c r="C391" s="330">
        <f>SUMIF('Materials Calculations'!B:B,MaterialData32[[#This Row],[Material]],'Materials Calculations'!H:H)</f>
        <v>0</v>
      </c>
      <c r="D391" s="330">
        <f>SUMIF('Materials Calculations'!B:B,MaterialData32[[#This Row],[Material]],'Materials Calculations'!AI:AI)</f>
        <v>0</v>
      </c>
      <c r="F391" t="str">
        <v>User input EPD105</v>
      </c>
      <c r="G391">
        <v>0</v>
      </c>
      <c r="H391">
        <v>0</v>
      </c>
      <c r="I391">
        <v>0</v>
      </c>
      <c r="K391" t="str">
        <v>User input EPD105</v>
      </c>
      <c r="L391" s="322">
        <v>0</v>
      </c>
      <c r="M391" s="322">
        <v>0</v>
      </c>
      <c r="N391" s="322">
        <v>0</v>
      </c>
    </row>
    <row r="392" spans="1:14" x14ac:dyDescent="0.3">
      <c r="A392" t="str">
        <f>EPD!B108</f>
        <v>User input EPD106</v>
      </c>
      <c r="B392" s="330">
        <f>SUMIF('Materials Calculations'!B:B,MaterialData32[[#This Row],[Material]],'Materials Calculations'!F:F)</f>
        <v>0</v>
      </c>
      <c r="C392" s="330">
        <f>SUMIF('Materials Calculations'!B:B,MaterialData32[[#This Row],[Material]],'Materials Calculations'!H:H)</f>
        <v>0</v>
      </c>
      <c r="D392" s="330">
        <f>SUMIF('Materials Calculations'!B:B,MaterialData32[[#This Row],[Material]],'Materials Calculations'!AI:AI)</f>
        <v>0</v>
      </c>
      <c r="F392" t="str">
        <v>User input EPD106</v>
      </c>
      <c r="G392">
        <v>0</v>
      </c>
      <c r="H392">
        <v>0</v>
      </c>
      <c r="I392">
        <v>0</v>
      </c>
      <c r="K392" t="str">
        <v>User input EPD106</v>
      </c>
      <c r="L392" s="322">
        <v>0</v>
      </c>
      <c r="M392" s="322">
        <v>0</v>
      </c>
      <c r="N392" s="322">
        <v>0</v>
      </c>
    </row>
    <row r="393" spans="1:14" x14ac:dyDescent="0.3">
      <c r="A393" t="str">
        <f>EPD!B109</f>
        <v>User input EPD107</v>
      </c>
      <c r="B393" s="330">
        <f>SUMIF('Materials Calculations'!B:B,MaterialData32[[#This Row],[Material]],'Materials Calculations'!F:F)</f>
        <v>0</v>
      </c>
      <c r="C393" s="330">
        <f>SUMIF('Materials Calculations'!B:B,MaterialData32[[#This Row],[Material]],'Materials Calculations'!H:H)</f>
        <v>0</v>
      </c>
      <c r="D393" s="330">
        <f>SUMIF('Materials Calculations'!B:B,MaterialData32[[#This Row],[Material]],'Materials Calculations'!AI:AI)</f>
        <v>0</v>
      </c>
      <c r="F393" t="str">
        <v>User input EPD107</v>
      </c>
      <c r="G393">
        <v>0</v>
      </c>
      <c r="H393">
        <v>0</v>
      </c>
      <c r="I393">
        <v>0</v>
      </c>
      <c r="K393" t="str">
        <v>User input EPD107</v>
      </c>
      <c r="L393" s="322">
        <v>0</v>
      </c>
      <c r="M393" s="322">
        <v>0</v>
      </c>
      <c r="N393" s="322">
        <v>0</v>
      </c>
    </row>
    <row r="394" spans="1:14" x14ac:dyDescent="0.3">
      <c r="A394" t="str">
        <f>EPD!B110</f>
        <v>User input EPD108</v>
      </c>
      <c r="B394" s="330">
        <f>SUMIF('Materials Calculations'!B:B,MaterialData32[[#This Row],[Material]],'Materials Calculations'!F:F)</f>
        <v>0</v>
      </c>
      <c r="C394" s="330">
        <f>SUMIF('Materials Calculations'!B:B,MaterialData32[[#This Row],[Material]],'Materials Calculations'!H:H)</f>
        <v>0</v>
      </c>
      <c r="D394" s="330">
        <f>SUMIF('Materials Calculations'!B:B,MaterialData32[[#This Row],[Material]],'Materials Calculations'!AI:AI)</f>
        <v>0</v>
      </c>
      <c r="F394" t="str">
        <v>User input EPD108</v>
      </c>
      <c r="G394">
        <v>0</v>
      </c>
      <c r="H394">
        <v>0</v>
      </c>
      <c r="I394">
        <v>0</v>
      </c>
      <c r="K394" t="str">
        <v>User input EPD108</v>
      </c>
      <c r="L394" s="322">
        <v>0</v>
      </c>
      <c r="M394" s="322">
        <v>0</v>
      </c>
      <c r="N394" s="322">
        <v>0</v>
      </c>
    </row>
    <row r="395" spans="1:14" x14ac:dyDescent="0.3">
      <c r="A395" t="str">
        <f>EPD!B111</f>
        <v>User input EPD109</v>
      </c>
      <c r="B395" s="330">
        <f>SUMIF('Materials Calculations'!B:B,MaterialData32[[#This Row],[Material]],'Materials Calculations'!F:F)</f>
        <v>0</v>
      </c>
      <c r="C395" s="330">
        <f>SUMIF('Materials Calculations'!B:B,MaterialData32[[#This Row],[Material]],'Materials Calculations'!H:H)</f>
        <v>0</v>
      </c>
      <c r="D395" s="330">
        <f>SUMIF('Materials Calculations'!B:B,MaterialData32[[#This Row],[Material]],'Materials Calculations'!AI:AI)</f>
        <v>0</v>
      </c>
      <c r="F395" t="str">
        <v>User input EPD109</v>
      </c>
      <c r="G395">
        <v>0</v>
      </c>
      <c r="H395">
        <v>0</v>
      </c>
      <c r="I395">
        <v>0</v>
      </c>
      <c r="K395" t="str">
        <v>User input EPD109</v>
      </c>
      <c r="L395" s="322">
        <v>0</v>
      </c>
      <c r="M395" s="322">
        <v>0</v>
      </c>
      <c r="N395" s="322">
        <v>0</v>
      </c>
    </row>
    <row r="396" spans="1:14" x14ac:dyDescent="0.3">
      <c r="A396" t="str">
        <f>EPD!B112</f>
        <v>User input EPD110</v>
      </c>
      <c r="B396" s="330">
        <f>SUMIF('Materials Calculations'!B:B,MaterialData32[[#This Row],[Material]],'Materials Calculations'!F:F)</f>
        <v>0</v>
      </c>
      <c r="C396" s="330">
        <f>SUMIF('Materials Calculations'!B:B,MaterialData32[[#This Row],[Material]],'Materials Calculations'!H:H)</f>
        <v>0</v>
      </c>
      <c r="D396" s="330">
        <f>SUMIF('Materials Calculations'!B:B,MaterialData32[[#This Row],[Material]],'Materials Calculations'!AI:AI)</f>
        <v>0</v>
      </c>
      <c r="F396" t="str">
        <v>User input EPD110</v>
      </c>
      <c r="G396">
        <v>0</v>
      </c>
      <c r="H396">
        <v>0</v>
      </c>
      <c r="I396">
        <v>0</v>
      </c>
      <c r="K396" t="str">
        <v>User input EPD110</v>
      </c>
      <c r="L396" s="322">
        <v>0</v>
      </c>
      <c r="M396" s="322">
        <v>0</v>
      </c>
      <c r="N396" s="322">
        <v>0</v>
      </c>
    </row>
    <row r="397" spans="1:14" x14ac:dyDescent="0.3">
      <c r="A397" t="str">
        <f>EPD!B113</f>
        <v>User input EPD111</v>
      </c>
      <c r="B397" s="330">
        <f>SUMIF('Materials Calculations'!B:B,MaterialData32[[#This Row],[Material]],'Materials Calculations'!F:F)</f>
        <v>0</v>
      </c>
      <c r="C397" s="330">
        <f>SUMIF('Materials Calculations'!B:B,MaterialData32[[#This Row],[Material]],'Materials Calculations'!H:H)</f>
        <v>0</v>
      </c>
      <c r="D397" s="330">
        <f>SUMIF('Materials Calculations'!B:B,MaterialData32[[#This Row],[Material]],'Materials Calculations'!AI:AI)</f>
        <v>0</v>
      </c>
      <c r="F397" t="str">
        <v>User input EPD111</v>
      </c>
      <c r="G397">
        <v>0</v>
      </c>
      <c r="H397">
        <v>0</v>
      </c>
      <c r="I397">
        <v>0</v>
      </c>
      <c r="K397" t="str">
        <v>User input EPD111</v>
      </c>
      <c r="L397" s="322">
        <v>0</v>
      </c>
      <c r="M397" s="322">
        <v>0</v>
      </c>
      <c r="N397" s="322">
        <v>0</v>
      </c>
    </row>
    <row r="398" spans="1:14" x14ac:dyDescent="0.3">
      <c r="A398" t="str">
        <f>EPD!B114</f>
        <v>User input EPD112</v>
      </c>
      <c r="B398" s="330">
        <f>SUMIF('Materials Calculations'!B:B,MaterialData32[[#This Row],[Material]],'Materials Calculations'!F:F)</f>
        <v>0</v>
      </c>
      <c r="C398" s="330">
        <f>SUMIF('Materials Calculations'!B:B,MaterialData32[[#This Row],[Material]],'Materials Calculations'!H:H)</f>
        <v>0</v>
      </c>
      <c r="D398" s="330">
        <f>SUMIF('Materials Calculations'!B:B,MaterialData32[[#This Row],[Material]],'Materials Calculations'!AI:AI)</f>
        <v>0</v>
      </c>
      <c r="F398" t="str">
        <v>User input EPD112</v>
      </c>
      <c r="G398">
        <v>0</v>
      </c>
      <c r="H398">
        <v>0</v>
      </c>
      <c r="I398">
        <v>0</v>
      </c>
      <c r="K398" t="str">
        <v>User input EPD112</v>
      </c>
      <c r="L398" s="322">
        <v>0</v>
      </c>
      <c r="M398" s="322">
        <v>0</v>
      </c>
      <c r="N398" s="322">
        <v>0</v>
      </c>
    </row>
    <row r="399" spans="1:14" x14ac:dyDescent="0.3">
      <c r="A399" t="str">
        <f>EPD!B115</f>
        <v>User input EPD113</v>
      </c>
      <c r="B399" s="330">
        <f>SUMIF('Materials Calculations'!B:B,MaterialData32[[#This Row],[Material]],'Materials Calculations'!F:F)</f>
        <v>0</v>
      </c>
      <c r="C399" s="330">
        <f>SUMIF('Materials Calculations'!B:B,MaterialData32[[#This Row],[Material]],'Materials Calculations'!H:H)</f>
        <v>0</v>
      </c>
      <c r="D399" s="330">
        <f>SUMIF('Materials Calculations'!B:B,MaterialData32[[#This Row],[Material]],'Materials Calculations'!AI:AI)</f>
        <v>0</v>
      </c>
      <c r="F399" t="str">
        <v>User input EPD113</v>
      </c>
      <c r="G399">
        <v>0</v>
      </c>
      <c r="H399">
        <v>0</v>
      </c>
      <c r="I399">
        <v>0</v>
      </c>
      <c r="K399" t="str">
        <v>User input EPD113</v>
      </c>
      <c r="L399" s="322">
        <v>0</v>
      </c>
      <c r="M399" s="322">
        <v>0</v>
      </c>
      <c r="N399" s="322">
        <v>0</v>
      </c>
    </row>
    <row r="400" spans="1:14" x14ac:dyDescent="0.3">
      <c r="A400" t="str">
        <f>EPD!B116</f>
        <v>User input EPD114</v>
      </c>
      <c r="B400" s="330">
        <f>SUMIF('Materials Calculations'!B:B,MaterialData32[[#This Row],[Material]],'Materials Calculations'!F:F)</f>
        <v>0</v>
      </c>
      <c r="C400" s="330">
        <f>SUMIF('Materials Calculations'!B:B,MaterialData32[[#This Row],[Material]],'Materials Calculations'!H:H)</f>
        <v>0</v>
      </c>
      <c r="D400" s="330">
        <f>SUMIF('Materials Calculations'!B:B,MaterialData32[[#This Row],[Material]],'Materials Calculations'!AI:AI)</f>
        <v>0</v>
      </c>
      <c r="F400" t="str">
        <v>User input EPD114</v>
      </c>
      <c r="G400">
        <v>0</v>
      </c>
      <c r="H400">
        <v>0</v>
      </c>
      <c r="I400">
        <v>0</v>
      </c>
      <c r="K400" t="str">
        <v>User input EPD114</v>
      </c>
      <c r="L400" s="322">
        <v>0</v>
      </c>
      <c r="M400" s="322">
        <v>0</v>
      </c>
      <c r="N400" s="322">
        <v>0</v>
      </c>
    </row>
    <row r="401" spans="1:14" x14ac:dyDescent="0.3">
      <c r="A401" t="str">
        <f>EPD!B117</f>
        <v>User input EPD115</v>
      </c>
      <c r="B401" s="330">
        <f>SUMIF('Materials Calculations'!B:B,MaterialData32[[#This Row],[Material]],'Materials Calculations'!F:F)</f>
        <v>0</v>
      </c>
      <c r="C401" s="330">
        <f>SUMIF('Materials Calculations'!B:B,MaterialData32[[#This Row],[Material]],'Materials Calculations'!H:H)</f>
        <v>0</v>
      </c>
      <c r="D401" s="330">
        <f>SUMIF('Materials Calculations'!B:B,MaterialData32[[#This Row],[Material]],'Materials Calculations'!AI:AI)</f>
        <v>0</v>
      </c>
      <c r="F401" t="str">
        <v>User input EPD115</v>
      </c>
      <c r="G401">
        <v>0</v>
      </c>
      <c r="H401">
        <v>0</v>
      </c>
      <c r="I401">
        <v>0</v>
      </c>
      <c r="K401" t="str">
        <v>User input EPD115</v>
      </c>
      <c r="L401" s="322">
        <v>0</v>
      </c>
      <c r="M401" s="322">
        <v>0</v>
      </c>
      <c r="N401" s="322">
        <v>0</v>
      </c>
    </row>
    <row r="402" spans="1:14" x14ac:dyDescent="0.3">
      <c r="A402" t="str">
        <f>EPD!B118</f>
        <v>User input EPD116</v>
      </c>
      <c r="B402" s="330">
        <f>SUMIF('Materials Calculations'!B:B,MaterialData32[[#This Row],[Material]],'Materials Calculations'!F:F)</f>
        <v>0</v>
      </c>
      <c r="C402" s="330">
        <f>SUMIF('Materials Calculations'!B:B,MaterialData32[[#This Row],[Material]],'Materials Calculations'!H:H)</f>
        <v>0</v>
      </c>
      <c r="D402" s="330">
        <f>SUMIF('Materials Calculations'!B:B,MaterialData32[[#This Row],[Material]],'Materials Calculations'!AI:AI)</f>
        <v>0</v>
      </c>
      <c r="F402" t="str">
        <v>User input EPD116</v>
      </c>
      <c r="G402">
        <v>0</v>
      </c>
      <c r="H402">
        <v>0</v>
      </c>
      <c r="I402">
        <v>0</v>
      </c>
      <c r="K402" t="str">
        <v>User input EPD116</v>
      </c>
      <c r="L402" s="322">
        <v>0</v>
      </c>
      <c r="M402" s="322">
        <v>0</v>
      </c>
      <c r="N402" s="322">
        <v>0</v>
      </c>
    </row>
    <row r="403" spans="1:14" x14ac:dyDescent="0.3">
      <c r="A403" t="str">
        <f>EPD!B119</f>
        <v>User input EPD117</v>
      </c>
      <c r="B403" s="330">
        <f>SUMIF('Materials Calculations'!B:B,MaterialData32[[#This Row],[Material]],'Materials Calculations'!F:F)</f>
        <v>0</v>
      </c>
      <c r="C403" s="330">
        <f>SUMIF('Materials Calculations'!B:B,MaterialData32[[#This Row],[Material]],'Materials Calculations'!H:H)</f>
        <v>0</v>
      </c>
      <c r="D403" s="330">
        <f>SUMIF('Materials Calculations'!B:B,MaterialData32[[#This Row],[Material]],'Materials Calculations'!AI:AI)</f>
        <v>0</v>
      </c>
      <c r="F403" t="str">
        <v>User input EPD117</v>
      </c>
      <c r="G403">
        <v>0</v>
      </c>
      <c r="H403">
        <v>0</v>
      </c>
      <c r="I403">
        <v>0</v>
      </c>
      <c r="K403" t="str">
        <v>User input EPD117</v>
      </c>
      <c r="L403" s="322">
        <v>0</v>
      </c>
      <c r="M403" s="322">
        <v>0</v>
      </c>
      <c r="N403" s="322">
        <v>0</v>
      </c>
    </row>
    <row r="404" spans="1:14" x14ac:dyDescent="0.3">
      <c r="A404" t="str">
        <f>EPD!B120</f>
        <v>User input EPD118</v>
      </c>
      <c r="B404" s="330">
        <f>SUMIF('Materials Calculations'!B:B,MaterialData32[[#This Row],[Material]],'Materials Calculations'!F:F)</f>
        <v>0</v>
      </c>
      <c r="C404" s="330">
        <f>SUMIF('Materials Calculations'!B:B,MaterialData32[[#This Row],[Material]],'Materials Calculations'!H:H)</f>
        <v>0</v>
      </c>
      <c r="D404" s="330">
        <f>SUMIF('Materials Calculations'!B:B,MaterialData32[[#This Row],[Material]],'Materials Calculations'!AI:AI)</f>
        <v>0</v>
      </c>
      <c r="F404" t="str">
        <v>User input EPD118</v>
      </c>
      <c r="G404">
        <v>0</v>
      </c>
      <c r="H404">
        <v>0</v>
      </c>
      <c r="I404">
        <v>0</v>
      </c>
      <c r="K404" t="str">
        <v>User input EPD118</v>
      </c>
      <c r="L404" s="322">
        <v>0</v>
      </c>
      <c r="M404" s="322">
        <v>0</v>
      </c>
      <c r="N404" s="322">
        <v>0</v>
      </c>
    </row>
    <row r="405" spans="1:14" x14ac:dyDescent="0.3">
      <c r="A405" t="str">
        <f>EPD!B121</f>
        <v>User input EPD119</v>
      </c>
      <c r="B405" s="330">
        <f>SUMIF('Materials Calculations'!B:B,MaterialData32[[#This Row],[Material]],'Materials Calculations'!F:F)</f>
        <v>0</v>
      </c>
      <c r="C405" s="330">
        <f>SUMIF('Materials Calculations'!B:B,MaterialData32[[#This Row],[Material]],'Materials Calculations'!H:H)</f>
        <v>0</v>
      </c>
      <c r="D405" s="330">
        <f>SUMIF('Materials Calculations'!B:B,MaterialData32[[#This Row],[Material]],'Materials Calculations'!AI:AI)</f>
        <v>0</v>
      </c>
      <c r="F405" t="str">
        <v>User input EPD119</v>
      </c>
      <c r="G405">
        <v>0</v>
      </c>
      <c r="H405">
        <v>0</v>
      </c>
      <c r="I405">
        <v>0</v>
      </c>
      <c r="K405" t="str">
        <v>User input EPD119</v>
      </c>
      <c r="L405" s="322">
        <v>0</v>
      </c>
      <c r="M405" s="322">
        <v>0</v>
      </c>
      <c r="N405" s="322">
        <v>0</v>
      </c>
    </row>
    <row r="406" spans="1:14" x14ac:dyDescent="0.3">
      <c r="A406" t="str">
        <f>EPD!B122</f>
        <v>User input EPD120</v>
      </c>
      <c r="B406" s="330">
        <f>SUMIF('Materials Calculations'!B:B,MaterialData32[[#This Row],[Material]],'Materials Calculations'!F:F)</f>
        <v>0</v>
      </c>
      <c r="C406" s="330">
        <f>SUMIF('Materials Calculations'!B:B,MaterialData32[[#This Row],[Material]],'Materials Calculations'!H:H)</f>
        <v>0</v>
      </c>
      <c r="D406" s="330">
        <f>SUMIF('Materials Calculations'!B:B,MaterialData32[[#This Row],[Material]],'Materials Calculations'!AI:AI)</f>
        <v>0</v>
      </c>
      <c r="F406" t="str">
        <v>User input EPD120</v>
      </c>
      <c r="G406">
        <v>0</v>
      </c>
      <c r="H406">
        <v>0</v>
      </c>
      <c r="I406">
        <v>0</v>
      </c>
      <c r="K406" t="str">
        <v>User input EPD120</v>
      </c>
      <c r="L406" s="322">
        <v>0</v>
      </c>
      <c r="M406" s="322">
        <v>0</v>
      </c>
      <c r="N406" s="322">
        <v>0</v>
      </c>
    </row>
    <row r="407" spans="1:14" x14ac:dyDescent="0.3">
      <c r="A407" t="str">
        <f>EPD!B123</f>
        <v>User input EPD121</v>
      </c>
      <c r="B407" s="330">
        <f>SUMIF('Materials Calculations'!B:B,MaterialData32[[#This Row],[Material]],'Materials Calculations'!F:F)</f>
        <v>0</v>
      </c>
      <c r="C407" s="330">
        <f>SUMIF('Materials Calculations'!B:B,MaterialData32[[#This Row],[Material]],'Materials Calculations'!H:H)</f>
        <v>0</v>
      </c>
      <c r="D407" s="330">
        <f>SUMIF('Materials Calculations'!B:B,MaterialData32[[#This Row],[Material]],'Materials Calculations'!AI:AI)</f>
        <v>0</v>
      </c>
      <c r="F407" t="str">
        <v>User input EPD121</v>
      </c>
      <c r="G407">
        <v>0</v>
      </c>
      <c r="H407">
        <v>0</v>
      </c>
      <c r="I407">
        <v>0</v>
      </c>
      <c r="K407" t="str">
        <v>User input EPD121</v>
      </c>
      <c r="L407" s="322">
        <v>0</v>
      </c>
      <c r="M407" s="322">
        <v>0</v>
      </c>
      <c r="N407" s="322">
        <v>0</v>
      </c>
    </row>
    <row r="408" spans="1:14" x14ac:dyDescent="0.3">
      <c r="A408" t="str">
        <f>EPD!B124</f>
        <v>User input EPD122</v>
      </c>
      <c r="B408" s="330">
        <f>SUMIF('Materials Calculations'!B:B,MaterialData32[[#This Row],[Material]],'Materials Calculations'!F:F)</f>
        <v>0</v>
      </c>
      <c r="C408" s="330">
        <f>SUMIF('Materials Calculations'!B:B,MaterialData32[[#This Row],[Material]],'Materials Calculations'!H:H)</f>
        <v>0</v>
      </c>
      <c r="D408" s="330">
        <f>SUMIF('Materials Calculations'!B:B,MaterialData32[[#This Row],[Material]],'Materials Calculations'!AI:AI)</f>
        <v>0</v>
      </c>
      <c r="F408" t="str">
        <v>User input EPD122</v>
      </c>
      <c r="G408">
        <v>0</v>
      </c>
      <c r="H408">
        <v>0</v>
      </c>
      <c r="I408">
        <v>0</v>
      </c>
      <c r="K408" t="str">
        <v>User input EPD122</v>
      </c>
      <c r="L408" s="322">
        <v>0</v>
      </c>
      <c r="M408" s="322">
        <v>0</v>
      </c>
      <c r="N408" s="322">
        <v>0</v>
      </c>
    </row>
    <row r="409" spans="1:14" x14ac:dyDescent="0.3">
      <c r="A409" t="str">
        <f>EPD!B125</f>
        <v>User input EPD123</v>
      </c>
      <c r="B409" s="330">
        <f>SUMIF('Materials Calculations'!B:B,MaterialData32[[#This Row],[Material]],'Materials Calculations'!F:F)</f>
        <v>0</v>
      </c>
      <c r="C409" s="330">
        <f>SUMIF('Materials Calculations'!B:B,MaterialData32[[#This Row],[Material]],'Materials Calculations'!H:H)</f>
        <v>0</v>
      </c>
      <c r="D409" s="330">
        <f>SUMIF('Materials Calculations'!B:B,MaterialData32[[#This Row],[Material]],'Materials Calculations'!AI:AI)</f>
        <v>0</v>
      </c>
      <c r="F409" t="str">
        <v>User input EPD123</v>
      </c>
      <c r="G409">
        <v>0</v>
      </c>
      <c r="H409">
        <v>0</v>
      </c>
      <c r="I409">
        <v>0</v>
      </c>
      <c r="K409" t="str">
        <v>User input EPD123</v>
      </c>
      <c r="L409" s="322">
        <v>0</v>
      </c>
      <c r="M409" s="322">
        <v>0</v>
      </c>
      <c r="N409" s="322">
        <v>0</v>
      </c>
    </row>
    <row r="410" spans="1:14" x14ac:dyDescent="0.3">
      <c r="A410" t="str">
        <f>EPD!B126</f>
        <v>User input EPD124</v>
      </c>
      <c r="B410" s="330">
        <f>SUMIF('Materials Calculations'!B:B,MaterialData32[[#This Row],[Material]],'Materials Calculations'!F:F)</f>
        <v>0</v>
      </c>
      <c r="C410" s="330">
        <f>SUMIF('Materials Calculations'!B:B,MaterialData32[[#This Row],[Material]],'Materials Calculations'!H:H)</f>
        <v>0</v>
      </c>
      <c r="D410" s="330">
        <f>SUMIF('Materials Calculations'!B:B,MaterialData32[[#This Row],[Material]],'Materials Calculations'!AI:AI)</f>
        <v>0</v>
      </c>
      <c r="F410" t="str">
        <v>User input EPD124</v>
      </c>
      <c r="G410">
        <v>0</v>
      </c>
      <c r="H410">
        <v>0</v>
      </c>
      <c r="I410">
        <v>0</v>
      </c>
      <c r="K410" t="str">
        <v>User input EPD124</v>
      </c>
      <c r="L410" s="322">
        <v>0</v>
      </c>
      <c r="M410" s="322">
        <v>0</v>
      </c>
      <c r="N410" s="322">
        <v>0</v>
      </c>
    </row>
    <row r="411" spans="1:14" x14ac:dyDescent="0.3">
      <c r="A411" t="str">
        <f>EPD!B127</f>
        <v>User input EPD125</v>
      </c>
      <c r="B411" s="330">
        <f>SUMIF('Materials Calculations'!B:B,MaterialData32[[#This Row],[Material]],'Materials Calculations'!F:F)</f>
        <v>0</v>
      </c>
      <c r="C411" s="330">
        <f>SUMIF('Materials Calculations'!B:B,MaterialData32[[#This Row],[Material]],'Materials Calculations'!H:H)</f>
        <v>0</v>
      </c>
      <c r="D411" s="330">
        <f>SUMIF('Materials Calculations'!B:B,MaterialData32[[#This Row],[Material]],'Materials Calculations'!AI:AI)</f>
        <v>0</v>
      </c>
      <c r="F411" t="str">
        <v>User input EPD125</v>
      </c>
      <c r="G411">
        <v>0</v>
      </c>
      <c r="H411">
        <v>0</v>
      </c>
      <c r="I411">
        <v>0</v>
      </c>
      <c r="K411" t="str">
        <v>User input EPD125</v>
      </c>
      <c r="L411" s="322">
        <v>0</v>
      </c>
      <c r="M411" s="322">
        <v>0</v>
      </c>
      <c r="N411" s="322">
        <v>0</v>
      </c>
    </row>
    <row r="412" spans="1:14" x14ac:dyDescent="0.3">
      <c r="A412" t="str">
        <f>EPD!B128</f>
        <v>User input EPD126</v>
      </c>
      <c r="B412" s="330">
        <f>SUMIF('Materials Calculations'!B:B,MaterialData32[[#This Row],[Material]],'Materials Calculations'!F:F)</f>
        <v>0</v>
      </c>
      <c r="C412" s="330">
        <f>SUMIF('Materials Calculations'!B:B,MaterialData32[[#This Row],[Material]],'Materials Calculations'!H:H)</f>
        <v>0</v>
      </c>
      <c r="D412" s="330">
        <f>SUMIF('Materials Calculations'!B:B,MaterialData32[[#This Row],[Material]],'Materials Calculations'!AI:AI)</f>
        <v>0</v>
      </c>
      <c r="F412" t="str">
        <v>User input EPD126</v>
      </c>
      <c r="G412">
        <v>0</v>
      </c>
      <c r="H412">
        <v>0</v>
      </c>
      <c r="I412">
        <v>0</v>
      </c>
      <c r="K412" t="str">
        <v>User input EPD126</v>
      </c>
      <c r="L412" s="322">
        <v>0</v>
      </c>
      <c r="M412" s="322">
        <v>0</v>
      </c>
      <c r="N412" s="322">
        <v>0</v>
      </c>
    </row>
    <row r="413" spans="1:14" x14ac:dyDescent="0.3">
      <c r="A413" t="str">
        <f>EPD!B129</f>
        <v>User input EPD127</v>
      </c>
      <c r="B413" s="330">
        <f>SUMIF('Materials Calculations'!B:B,MaterialData32[[#This Row],[Material]],'Materials Calculations'!F:F)</f>
        <v>0</v>
      </c>
      <c r="C413" s="330">
        <f>SUMIF('Materials Calculations'!B:B,MaterialData32[[#This Row],[Material]],'Materials Calculations'!H:H)</f>
        <v>0</v>
      </c>
      <c r="D413" s="330">
        <f>SUMIF('Materials Calculations'!B:B,MaterialData32[[#This Row],[Material]],'Materials Calculations'!AI:AI)</f>
        <v>0</v>
      </c>
      <c r="F413" t="str">
        <v>User input EPD127</v>
      </c>
      <c r="G413">
        <v>0</v>
      </c>
      <c r="H413">
        <v>0</v>
      </c>
      <c r="I413">
        <v>0</v>
      </c>
      <c r="K413" t="str">
        <v>User input EPD127</v>
      </c>
      <c r="L413" s="322">
        <v>0</v>
      </c>
      <c r="M413" s="322">
        <v>0</v>
      </c>
      <c r="N413" s="322">
        <v>0</v>
      </c>
    </row>
    <row r="414" spans="1:14" x14ac:dyDescent="0.3">
      <c r="A414" t="str">
        <f>EPD!B130</f>
        <v>User input EPD128</v>
      </c>
      <c r="B414" s="330">
        <f>SUMIF('Materials Calculations'!B:B,MaterialData32[[#This Row],[Material]],'Materials Calculations'!F:F)</f>
        <v>0</v>
      </c>
      <c r="C414" s="330">
        <f>SUMIF('Materials Calculations'!B:B,MaterialData32[[#This Row],[Material]],'Materials Calculations'!H:H)</f>
        <v>0</v>
      </c>
      <c r="D414" s="330">
        <f>SUMIF('Materials Calculations'!B:B,MaterialData32[[#This Row],[Material]],'Materials Calculations'!AI:AI)</f>
        <v>0</v>
      </c>
      <c r="F414" t="str">
        <v>User input EPD128</v>
      </c>
      <c r="G414">
        <v>0</v>
      </c>
      <c r="H414">
        <v>0</v>
      </c>
      <c r="I414">
        <v>0</v>
      </c>
      <c r="K414" t="str">
        <v>User input EPD128</v>
      </c>
      <c r="L414" s="322">
        <v>0</v>
      </c>
      <c r="M414" s="322">
        <v>0</v>
      </c>
      <c r="N414" s="322">
        <v>0</v>
      </c>
    </row>
    <row r="415" spans="1:14" x14ac:dyDescent="0.3">
      <c r="A415" t="str">
        <f>EPD!B131</f>
        <v>User input EPD129</v>
      </c>
      <c r="B415" s="330">
        <f>SUMIF('Materials Calculations'!B:B,MaterialData32[[#This Row],[Material]],'Materials Calculations'!F:F)</f>
        <v>0</v>
      </c>
      <c r="C415" s="330">
        <f>SUMIF('Materials Calculations'!B:B,MaterialData32[[#This Row],[Material]],'Materials Calculations'!H:H)</f>
        <v>0</v>
      </c>
      <c r="D415" s="330">
        <f>SUMIF('Materials Calculations'!B:B,MaterialData32[[#This Row],[Material]],'Materials Calculations'!AI:AI)</f>
        <v>0</v>
      </c>
      <c r="F415" t="str">
        <v>User input EPD129</v>
      </c>
      <c r="G415">
        <v>0</v>
      </c>
      <c r="H415">
        <v>0</v>
      </c>
      <c r="I415">
        <v>0</v>
      </c>
      <c r="K415" t="str">
        <v>User input EPD129</v>
      </c>
      <c r="L415" s="322">
        <v>0</v>
      </c>
      <c r="M415" s="322">
        <v>0</v>
      </c>
      <c r="N415" s="322">
        <v>0</v>
      </c>
    </row>
    <row r="416" spans="1:14" x14ac:dyDescent="0.3">
      <c r="A416" t="str">
        <f>EPD!B132</f>
        <v>User input EPD130</v>
      </c>
      <c r="B416" s="330">
        <f>SUMIF('Materials Calculations'!B:B,MaterialData32[[#This Row],[Material]],'Materials Calculations'!F:F)</f>
        <v>0</v>
      </c>
      <c r="C416" s="330">
        <f>SUMIF('Materials Calculations'!B:B,MaterialData32[[#This Row],[Material]],'Materials Calculations'!H:H)</f>
        <v>0</v>
      </c>
      <c r="D416" s="330">
        <f>SUMIF('Materials Calculations'!B:B,MaterialData32[[#This Row],[Material]],'Materials Calculations'!AI:AI)</f>
        <v>0</v>
      </c>
      <c r="F416" t="str">
        <v>User input EPD130</v>
      </c>
      <c r="G416">
        <v>0</v>
      </c>
      <c r="H416">
        <v>0</v>
      </c>
      <c r="I416">
        <v>0</v>
      </c>
      <c r="K416" t="str">
        <v>User input EPD130</v>
      </c>
      <c r="L416" s="322">
        <v>0</v>
      </c>
      <c r="M416" s="322">
        <v>0</v>
      </c>
      <c r="N416" s="322">
        <v>0</v>
      </c>
    </row>
    <row r="417" spans="1:14" x14ac:dyDescent="0.3">
      <c r="A417" t="str">
        <f>EPD!B133</f>
        <v>User input EPD131</v>
      </c>
      <c r="B417" s="330">
        <f>SUMIF('Materials Calculations'!B:B,MaterialData32[[#This Row],[Material]],'Materials Calculations'!F:F)</f>
        <v>0</v>
      </c>
      <c r="C417" s="330">
        <f>SUMIF('Materials Calculations'!B:B,MaterialData32[[#This Row],[Material]],'Materials Calculations'!H:H)</f>
        <v>0</v>
      </c>
      <c r="D417" s="330">
        <f>SUMIF('Materials Calculations'!B:B,MaterialData32[[#This Row],[Material]],'Materials Calculations'!AI:AI)</f>
        <v>0</v>
      </c>
      <c r="F417" t="str">
        <v>User input EPD131</v>
      </c>
      <c r="G417">
        <v>0</v>
      </c>
      <c r="H417">
        <v>0</v>
      </c>
      <c r="I417">
        <v>0</v>
      </c>
      <c r="K417" t="str">
        <v>User input EPD131</v>
      </c>
      <c r="L417" s="322">
        <v>0</v>
      </c>
      <c r="M417" s="322">
        <v>0</v>
      </c>
      <c r="N417" s="322">
        <v>0</v>
      </c>
    </row>
    <row r="418" spans="1:14" x14ac:dyDescent="0.3">
      <c r="A418" t="str">
        <f>EPD!B134</f>
        <v>User input EPD132</v>
      </c>
      <c r="B418" s="330">
        <f>SUMIF('Materials Calculations'!B:B,MaterialData32[[#This Row],[Material]],'Materials Calculations'!F:F)</f>
        <v>0</v>
      </c>
      <c r="C418" s="330">
        <f>SUMIF('Materials Calculations'!B:B,MaterialData32[[#This Row],[Material]],'Materials Calculations'!H:H)</f>
        <v>0</v>
      </c>
      <c r="D418" s="330">
        <f>SUMIF('Materials Calculations'!B:B,MaterialData32[[#This Row],[Material]],'Materials Calculations'!AI:AI)</f>
        <v>0</v>
      </c>
      <c r="F418" t="str">
        <v>User input EPD132</v>
      </c>
      <c r="G418">
        <v>0</v>
      </c>
      <c r="H418">
        <v>0</v>
      </c>
      <c r="I418">
        <v>0</v>
      </c>
      <c r="K418" t="str">
        <v>User input EPD132</v>
      </c>
      <c r="L418" s="322">
        <v>0</v>
      </c>
      <c r="M418" s="322">
        <v>0</v>
      </c>
      <c r="N418" s="322">
        <v>0</v>
      </c>
    </row>
    <row r="419" spans="1:14" x14ac:dyDescent="0.3">
      <c r="A419" t="str">
        <f>EPD!B135</f>
        <v>User input EPD133</v>
      </c>
      <c r="B419" s="330">
        <f>SUMIF('Materials Calculations'!B:B,MaterialData32[[#This Row],[Material]],'Materials Calculations'!F:F)</f>
        <v>0</v>
      </c>
      <c r="C419" s="330">
        <f>SUMIF('Materials Calculations'!B:B,MaterialData32[[#This Row],[Material]],'Materials Calculations'!H:H)</f>
        <v>0</v>
      </c>
      <c r="D419" s="330">
        <f>SUMIF('Materials Calculations'!B:B,MaterialData32[[#This Row],[Material]],'Materials Calculations'!AI:AI)</f>
        <v>0</v>
      </c>
      <c r="F419" t="str">
        <v>User input EPD133</v>
      </c>
      <c r="G419">
        <v>0</v>
      </c>
      <c r="H419">
        <v>0</v>
      </c>
      <c r="I419">
        <v>0</v>
      </c>
      <c r="K419" t="str">
        <v>User input EPD133</v>
      </c>
      <c r="L419" s="322">
        <v>0</v>
      </c>
      <c r="M419" s="322">
        <v>0</v>
      </c>
      <c r="N419" s="322">
        <v>0</v>
      </c>
    </row>
    <row r="420" spans="1:14" x14ac:dyDescent="0.3">
      <c r="A420" t="str">
        <f>EPD!B136</f>
        <v>User input EPD134</v>
      </c>
      <c r="B420" s="330">
        <f>SUMIF('Materials Calculations'!B:B,MaterialData32[[#This Row],[Material]],'Materials Calculations'!F:F)</f>
        <v>0</v>
      </c>
      <c r="C420" s="330">
        <f>SUMIF('Materials Calculations'!B:B,MaterialData32[[#This Row],[Material]],'Materials Calculations'!H:H)</f>
        <v>0</v>
      </c>
      <c r="D420" s="330">
        <f>SUMIF('Materials Calculations'!B:B,MaterialData32[[#This Row],[Material]],'Materials Calculations'!AI:AI)</f>
        <v>0</v>
      </c>
      <c r="F420" t="str">
        <v>User input EPD134</v>
      </c>
      <c r="G420">
        <v>0</v>
      </c>
      <c r="H420">
        <v>0</v>
      </c>
      <c r="I420">
        <v>0</v>
      </c>
      <c r="K420" t="str">
        <v>User input EPD134</v>
      </c>
      <c r="L420" s="322">
        <v>0</v>
      </c>
      <c r="M420" s="322">
        <v>0</v>
      </c>
      <c r="N420" s="322">
        <v>0</v>
      </c>
    </row>
    <row r="421" spans="1:14" x14ac:dyDescent="0.3">
      <c r="A421" t="str">
        <f>EPD!B137</f>
        <v>User input EPD135</v>
      </c>
      <c r="B421" s="330">
        <f>SUMIF('Materials Calculations'!B:B,MaterialData32[[#This Row],[Material]],'Materials Calculations'!F:F)</f>
        <v>0</v>
      </c>
      <c r="C421" s="330">
        <f>SUMIF('Materials Calculations'!B:B,MaterialData32[[#This Row],[Material]],'Materials Calculations'!H:H)</f>
        <v>0</v>
      </c>
      <c r="D421" s="330">
        <f>SUMIF('Materials Calculations'!B:B,MaterialData32[[#This Row],[Material]],'Materials Calculations'!AI:AI)</f>
        <v>0</v>
      </c>
      <c r="F421" t="str">
        <v>User input EPD135</v>
      </c>
      <c r="G421">
        <v>0</v>
      </c>
      <c r="H421">
        <v>0</v>
      </c>
      <c r="I421">
        <v>0</v>
      </c>
      <c r="K421" t="str">
        <v>User input EPD135</v>
      </c>
      <c r="L421" s="322">
        <v>0</v>
      </c>
      <c r="M421" s="322">
        <v>0</v>
      </c>
      <c r="N421" s="322">
        <v>0</v>
      </c>
    </row>
    <row r="422" spans="1:14" x14ac:dyDescent="0.3">
      <c r="A422" t="str">
        <f>EPD!B138</f>
        <v>User input EPD136</v>
      </c>
      <c r="B422" s="330">
        <f>SUMIF('Materials Calculations'!B:B,MaterialData32[[#This Row],[Material]],'Materials Calculations'!F:F)</f>
        <v>0</v>
      </c>
      <c r="C422" s="330">
        <f>SUMIF('Materials Calculations'!B:B,MaterialData32[[#This Row],[Material]],'Materials Calculations'!H:H)</f>
        <v>0</v>
      </c>
      <c r="D422" s="330">
        <f>SUMIF('Materials Calculations'!B:B,MaterialData32[[#This Row],[Material]],'Materials Calculations'!AI:AI)</f>
        <v>0</v>
      </c>
      <c r="F422" t="str">
        <v>User input EPD136</v>
      </c>
      <c r="G422">
        <v>0</v>
      </c>
      <c r="H422">
        <v>0</v>
      </c>
      <c r="I422">
        <v>0</v>
      </c>
      <c r="K422" t="str">
        <v>User input EPD136</v>
      </c>
      <c r="L422" s="322">
        <v>0</v>
      </c>
      <c r="M422" s="322">
        <v>0</v>
      </c>
      <c r="N422" s="322">
        <v>0</v>
      </c>
    </row>
    <row r="423" spans="1:14" x14ac:dyDescent="0.3">
      <c r="A423" t="str">
        <f>EPD!B139</f>
        <v>User input EPD137</v>
      </c>
      <c r="B423" s="330">
        <f>SUMIF('Materials Calculations'!B:B,MaterialData32[[#This Row],[Material]],'Materials Calculations'!F:F)</f>
        <v>0</v>
      </c>
      <c r="C423" s="330">
        <f>SUMIF('Materials Calculations'!B:B,MaterialData32[[#This Row],[Material]],'Materials Calculations'!H:H)</f>
        <v>0</v>
      </c>
      <c r="D423" s="330">
        <f>SUMIF('Materials Calculations'!B:B,MaterialData32[[#This Row],[Material]],'Materials Calculations'!AI:AI)</f>
        <v>0</v>
      </c>
      <c r="F423" t="str">
        <v>User input EPD137</v>
      </c>
      <c r="G423">
        <v>0</v>
      </c>
      <c r="H423">
        <v>0</v>
      </c>
      <c r="I423">
        <v>0</v>
      </c>
      <c r="K423" t="str">
        <v>User input EPD137</v>
      </c>
      <c r="L423" s="322">
        <v>0</v>
      </c>
      <c r="M423" s="322">
        <v>0</v>
      </c>
      <c r="N423" s="322">
        <v>0</v>
      </c>
    </row>
    <row r="424" spans="1:14" x14ac:dyDescent="0.3">
      <c r="A424" t="str">
        <f>EPD!B140</f>
        <v>User input EPD138</v>
      </c>
      <c r="B424" s="330">
        <f>SUMIF('Materials Calculations'!B:B,MaterialData32[[#This Row],[Material]],'Materials Calculations'!F:F)</f>
        <v>0</v>
      </c>
      <c r="C424" s="330">
        <f>SUMIF('Materials Calculations'!B:B,MaterialData32[[#This Row],[Material]],'Materials Calculations'!H:H)</f>
        <v>0</v>
      </c>
      <c r="D424" s="330">
        <f>SUMIF('Materials Calculations'!B:B,MaterialData32[[#This Row],[Material]],'Materials Calculations'!AI:AI)</f>
        <v>0</v>
      </c>
      <c r="F424" t="str">
        <v>User input EPD138</v>
      </c>
      <c r="G424">
        <v>0</v>
      </c>
      <c r="H424">
        <v>0</v>
      </c>
      <c r="I424">
        <v>0</v>
      </c>
      <c r="K424" t="str">
        <v>User input EPD138</v>
      </c>
      <c r="L424" s="322">
        <v>0</v>
      </c>
      <c r="M424" s="322">
        <v>0</v>
      </c>
      <c r="N424" s="322">
        <v>0</v>
      </c>
    </row>
    <row r="425" spans="1:14" x14ac:dyDescent="0.3">
      <c r="A425" t="str">
        <f>EPD!B141</f>
        <v>User input EPD139</v>
      </c>
      <c r="B425" s="330">
        <f>SUMIF('Materials Calculations'!B:B,MaterialData32[[#This Row],[Material]],'Materials Calculations'!F:F)</f>
        <v>0</v>
      </c>
      <c r="C425" s="330">
        <f>SUMIF('Materials Calculations'!B:B,MaterialData32[[#This Row],[Material]],'Materials Calculations'!H:H)</f>
        <v>0</v>
      </c>
      <c r="D425" s="330">
        <f>SUMIF('Materials Calculations'!B:B,MaterialData32[[#This Row],[Material]],'Materials Calculations'!AI:AI)</f>
        <v>0</v>
      </c>
      <c r="F425" t="str">
        <v>User input EPD139</v>
      </c>
      <c r="G425">
        <v>0</v>
      </c>
      <c r="H425">
        <v>0</v>
      </c>
      <c r="I425">
        <v>0</v>
      </c>
      <c r="K425" t="str">
        <v>User input EPD139</v>
      </c>
      <c r="L425" s="322">
        <v>0</v>
      </c>
      <c r="M425" s="322">
        <v>0</v>
      </c>
      <c r="N425" s="322">
        <v>0</v>
      </c>
    </row>
    <row r="426" spans="1:14" x14ac:dyDescent="0.3">
      <c r="A426" t="str">
        <f>EPD!B142</f>
        <v>User input EPD140</v>
      </c>
      <c r="B426" s="330">
        <f>SUMIF('Materials Calculations'!B:B,MaterialData32[[#This Row],[Material]],'Materials Calculations'!F:F)</f>
        <v>0</v>
      </c>
      <c r="C426" s="330">
        <f>SUMIF('Materials Calculations'!B:B,MaterialData32[[#This Row],[Material]],'Materials Calculations'!H:H)</f>
        <v>0</v>
      </c>
      <c r="D426" s="330">
        <f>SUMIF('Materials Calculations'!B:B,MaterialData32[[#This Row],[Material]],'Materials Calculations'!AI:AI)</f>
        <v>0</v>
      </c>
      <c r="F426" t="str">
        <v>User input EPD140</v>
      </c>
      <c r="G426">
        <v>0</v>
      </c>
      <c r="H426">
        <v>0</v>
      </c>
      <c r="I426">
        <v>0</v>
      </c>
      <c r="K426" t="str">
        <v>User input EPD140</v>
      </c>
      <c r="L426" s="322">
        <v>0</v>
      </c>
      <c r="M426" s="322">
        <v>0</v>
      </c>
      <c r="N426" s="322">
        <v>0</v>
      </c>
    </row>
    <row r="427" spans="1:14" x14ac:dyDescent="0.3">
      <c r="A427" t="str">
        <f>EPD!B143</f>
        <v>User input EPD141</v>
      </c>
      <c r="B427" s="330">
        <f>SUMIF('Materials Calculations'!B:B,MaterialData32[[#This Row],[Material]],'Materials Calculations'!F:F)</f>
        <v>0</v>
      </c>
      <c r="C427" s="330">
        <f>SUMIF('Materials Calculations'!B:B,MaterialData32[[#This Row],[Material]],'Materials Calculations'!H:H)</f>
        <v>0</v>
      </c>
      <c r="D427" s="330">
        <f>SUMIF('Materials Calculations'!B:B,MaterialData32[[#This Row],[Material]],'Materials Calculations'!AI:AI)</f>
        <v>0</v>
      </c>
      <c r="F427" t="str">
        <v>User input EPD141</v>
      </c>
      <c r="G427">
        <v>0</v>
      </c>
      <c r="H427">
        <v>0</v>
      </c>
      <c r="I427">
        <v>0</v>
      </c>
      <c r="K427" t="str">
        <v>User input EPD141</v>
      </c>
      <c r="L427" s="322">
        <v>0</v>
      </c>
      <c r="M427" s="322">
        <v>0</v>
      </c>
      <c r="N427" s="322">
        <v>0</v>
      </c>
    </row>
    <row r="428" spans="1:14" x14ac:dyDescent="0.3">
      <c r="A428" t="str">
        <f>EPD!B144</f>
        <v>User input EPD142</v>
      </c>
      <c r="B428" s="330">
        <f>SUMIF('Materials Calculations'!B:B,MaterialData32[[#This Row],[Material]],'Materials Calculations'!F:F)</f>
        <v>0</v>
      </c>
      <c r="C428" s="330">
        <f>SUMIF('Materials Calculations'!B:B,MaterialData32[[#This Row],[Material]],'Materials Calculations'!H:H)</f>
        <v>0</v>
      </c>
      <c r="D428" s="330">
        <f>SUMIF('Materials Calculations'!B:B,MaterialData32[[#This Row],[Material]],'Materials Calculations'!AI:AI)</f>
        <v>0</v>
      </c>
      <c r="F428" t="str">
        <v>User input EPD142</v>
      </c>
      <c r="G428">
        <v>0</v>
      </c>
      <c r="H428">
        <v>0</v>
      </c>
      <c r="I428">
        <v>0</v>
      </c>
      <c r="K428" t="str">
        <v>User input EPD142</v>
      </c>
      <c r="L428" s="322">
        <v>0</v>
      </c>
      <c r="M428" s="322">
        <v>0</v>
      </c>
      <c r="N428" s="322">
        <v>0</v>
      </c>
    </row>
    <row r="429" spans="1:14" x14ac:dyDescent="0.3">
      <c r="A429" t="str">
        <f>EPD!B145</f>
        <v>User input EPD143</v>
      </c>
      <c r="B429" s="330">
        <f>SUMIF('Materials Calculations'!B:B,MaterialData32[[#This Row],[Material]],'Materials Calculations'!F:F)</f>
        <v>0</v>
      </c>
      <c r="C429" s="330">
        <f>SUMIF('Materials Calculations'!B:B,MaterialData32[[#This Row],[Material]],'Materials Calculations'!H:H)</f>
        <v>0</v>
      </c>
      <c r="D429" s="330">
        <f>SUMIF('Materials Calculations'!B:B,MaterialData32[[#This Row],[Material]],'Materials Calculations'!AI:AI)</f>
        <v>0</v>
      </c>
      <c r="F429" t="str">
        <v>User input EPD143</v>
      </c>
      <c r="G429">
        <v>0</v>
      </c>
      <c r="H429">
        <v>0</v>
      </c>
      <c r="I429">
        <v>0</v>
      </c>
      <c r="K429" t="str">
        <v>User input EPD143</v>
      </c>
      <c r="L429" s="322">
        <v>0</v>
      </c>
      <c r="M429" s="322">
        <v>0</v>
      </c>
      <c r="N429" s="322">
        <v>0</v>
      </c>
    </row>
    <row r="430" spans="1:14" x14ac:dyDescent="0.3">
      <c r="A430" t="str">
        <f>EPD!B146</f>
        <v>User input EPD144</v>
      </c>
      <c r="B430" s="330">
        <f>SUMIF('Materials Calculations'!B:B,MaterialData32[[#This Row],[Material]],'Materials Calculations'!F:F)</f>
        <v>0</v>
      </c>
      <c r="C430" s="330">
        <f>SUMIF('Materials Calculations'!B:B,MaterialData32[[#This Row],[Material]],'Materials Calculations'!H:H)</f>
        <v>0</v>
      </c>
      <c r="D430" s="330">
        <f>SUMIF('Materials Calculations'!B:B,MaterialData32[[#This Row],[Material]],'Materials Calculations'!AI:AI)</f>
        <v>0</v>
      </c>
      <c r="F430" t="str">
        <v>User input EPD144</v>
      </c>
      <c r="G430">
        <v>0</v>
      </c>
      <c r="H430">
        <v>0</v>
      </c>
      <c r="I430">
        <v>0</v>
      </c>
      <c r="K430" t="str">
        <v>User input EPD144</v>
      </c>
      <c r="L430" s="322">
        <v>0</v>
      </c>
      <c r="M430" s="322">
        <v>0</v>
      </c>
      <c r="N430" s="322">
        <v>0</v>
      </c>
    </row>
    <row r="431" spans="1:14" x14ac:dyDescent="0.3">
      <c r="A431" t="str">
        <f>EPD!B147</f>
        <v>User input EPD145</v>
      </c>
      <c r="B431" s="330">
        <f>SUMIF('Materials Calculations'!B:B,MaterialData32[[#This Row],[Material]],'Materials Calculations'!F:F)</f>
        <v>0</v>
      </c>
      <c r="C431" s="330">
        <f>SUMIF('Materials Calculations'!B:B,MaterialData32[[#This Row],[Material]],'Materials Calculations'!H:H)</f>
        <v>0</v>
      </c>
      <c r="D431" s="330">
        <f>SUMIF('Materials Calculations'!B:B,MaterialData32[[#This Row],[Material]],'Materials Calculations'!AI:AI)</f>
        <v>0</v>
      </c>
      <c r="F431" t="str">
        <v>User input EPD145</v>
      </c>
      <c r="G431">
        <v>0</v>
      </c>
      <c r="H431">
        <v>0</v>
      </c>
      <c r="I431">
        <v>0</v>
      </c>
      <c r="K431" t="str">
        <v>User input EPD145</v>
      </c>
      <c r="L431" s="322">
        <v>0</v>
      </c>
      <c r="M431" s="322">
        <v>0</v>
      </c>
      <c r="N431" s="322">
        <v>0</v>
      </c>
    </row>
    <row r="432" spans="1:14" x14ac:dyDescent="0.3">
      <c r="A432" t="str">
        <f>EPD!B148</f>
        <v>User input EPD146</v>
      </c>
      <c r="B432" s="330">
        <f>SUMIF('Materials Calculations'!B:B,MaterialData32[[#This Row],[Material]],'Materials Calculations'!F:F)</f>
        <v>0</v>
      </c>
      <c r="C432" s="330">
        <f>SUMIF('Materials Calculations'!B:B,MaterialData32[[#This Row],[Material]],'Materials Calculations'!H:H)</f>
        <v>0</v>
      </c>
      <c r="D432" s="330">
        <f>SUMIF('Materials Calculations'!B:B,MaterialData32[[#This Row],[Material]],'Materials Calculations'!AI:AI)</f>
        <v>0</v>
      </c>
      <c r="F432" t="str">
        <v>User input EPD146</v>
      </c>
      <c r="G432">
        <v>0</v>
      </c>
      <c r="H432">
        <v>0</v>
      </c>
      <c r="I432">
        <v>0</v>
      </c>
      <c r="K432" t="str">
        <v>User input EPD146</v>
      </c>
      <c r="L432" s="322">
        <v>0</v>
      </c>
      <c r="M432" s="322">
        <v>0</v>
      </c>
      <c r="N432" s="322">
        <v>0</v>
      </c>
    </row>
    <row r="433" spans="1:14" x14ac:dyDescent="0.3">
      <c r="A433" t="str">
        <f>EPD!B149</f>
        <v>User input EPD147</v>
      </c>
      <c r="B433" s="330">
        <f>SUMIF('Materials Calculations'!B:B,MaterialData32[[#This Row],[Material]],'Materials Calculations'!F:F)</f>
        <v>0</v>
      </c>
      <c r="C433" s="330">
        <f>SUMIF('Materials Calculations'!B:B,MaterialData32[[#This Row],[Material]],'Materials Calculations'!H:H)</f>
        <v>0</v>
      </c>
      <c r="D433" s="330">
        <f>SUMIF('Materials Calculations'!B:B,MaterialData32[[#This Row],[Material]],'Materials Calculations'!AI:AI)</f>
        <v>0</v>
      </c>
      <c r="F433" t="str">
        <v>User input EPD147</v>
      </c>
      <c r="G433">
        <v>0</v>
      </c>
      <c r="H433">
        <v>0</v>
      </c>
      <c r="I433">
        <v>0</v>
      </c>
      <c r="K433" t="str">
        <v>User input EPD147</v>
      </c>
      <c r="L433" s="322">
        <v>0</v>
      </c>
      <c r="M433" s="322">
        <v>0</v>
      </c>
      <c r="N433" s="322">
        <v>0</v>
      </c>
    </row>
    <row r="434" spans="1:14" x14ac:dyDescent="0.3">
      <c r="A434" t="str">
        <f>EPD!B150</f>
        <v>User input EPD148</v>
      </c>
      <c r="B434" s="330">
        <f>SUMIF('Materials Calculations'!B:B,MaterialData32[[#This Row],[Material]],'Materials Calculations'!F:F)</f>
        <v>0</v>
      </c>
      <c r="C434" s="330">
        <f>SUMIF('Materials Calculations'!B:B,MaterialData32[[#This Row],[Material]],'Materials Calculations'!H:H)</f>
        <v>0</v>
      </c>
      <c r="D434" s="330">
        <f>SUMIF('Materials Calculations'!B:B,MaterialData32[[#This Row],[Material]],'Materials Calculations'!AI:AI)</f>
        <v>0</v>
      </c>
      <c r="F434" t="str">
        <v>User input EPD148</v>
      </c>
      <c r="G434">
        <v>0</v>
      </c>
      <c r="H434">
        <v>0</v>
      </c>
      <c r="I434">
        <v>0</v>
      </c>
      <c r="K434" t="str">
        <v>User input EPD148</v>
      </c>
      <c r="L434" s="322">
        <v>0</v>
      </c>
      <c r="M434" s="322">
        <v>0</v>
      </c>
      <c r="N434" s="322">
        <v>0</v>
      </c>
    </row>
    <row r="435" spans="1:14" x14ac:dyDescent="0.3">
      <c r="A435" t="str">
        <f>EPD!B151</f>
        <v>User input EPD149</v>
      </c>
      <c r="B435" s="330">
        <f>SUMIF('Materials Calculations'!B:B,MaterialData32[[#This Row],[Material]],'Materials Calculations'!F:F)</f>
        <v>0</v>
      </c>
      <c r="C435" s="330">
        <f>SUMIF('Materials Calculations'!B:B,MaterialData32[[#This Row],[Material]],'Materials Calculations'!H:H)</f>
        <v>0</v>
      </c>
      <c r="D435" s="330">
        <f>SUMIF('Materials Calculations'!B:B,MaterialData32[[#This Row],[Material]],'Materials Calculations'!AI:AI)</f>
        <v>0</v>
      </c>
      <c r="F435" t="str">
        <v>User input EPD149</v>
      </c>
      <c r="G435">
        <v>0</v>
      </c>
      <c r="H435">
        <v>0</v>
      </c>
      <c r="I435">
        <v>0</v>
      </c>
      <c r="K435" t="str">
        <v>User input EPD149</v>
      </c>
      <c r="L435" s="322">
        <v>0</v>
      </c>
      <c r="M435" s="322">
        <v>0</v>
      </c>
      <c r="N435" s="322">
        <v>0</v>
      </c>
    </row>
    <row r="436" spans="1:14" x14ac:dyDescent="0.3">
      <c r="A436">
        <f>EPD!A151</f>
        <v>0</v>
      </c>
      <c r="B436" s="330">
        <f>SUMIF('Materials Calculations'!B:B,MaterialData32[[#This Row],[Material]],'Materials Calculations'!F:F)</f>
        <v>0</v>
      </c>
      <c r="C436" s="330">
        <f>SUMIF('Materials Calculations'!B:B,MaterialData32[[#This Row],[Material]],'Materials Calculations'!H:H)</f>
        <v>0</v>
      </c>
      <c r="D436" s="330">
        <f>SUMIF('Materials Calculations'!B:B,MaterialData32[[#This Row],[Material]],'Materials Calculations'!AI:AI)</f>
        <v>0</v>
      </c>
      <c r="F436">
        <v>0</v>
      </c>
      <c r="G436">
        <v>0</v>
      </c>
      <c r="H436">
        <v>0</v>
      </c>
      <c r="I436">
        <v>0</v>
      </c>
      <c r="K436">
        <v>0</v>
      </c>
      <c r="L436" s="322">
        <v>0</v>
      </c>
      <c r="M436" s="322">
        <v>0</v>
      </c>
      <c r="N436" s="322">
        <v>0</v>
      </c>
    </row>
    <row r="437" spans="1:14" x14ac:dyDescent="0.3">
      <c r="A437">
        <f>EPD!A152</f>
        <v>0</v>
      </c>
      <c r="B437" s="330">
        <f>SUMIF('Materials Calculations'!B:B,MaterialData32[[#This Row],[Material]],'Materials Calculations'!F:F)</f>
        <v>0</v>
      </c>
      <c r="C437" s="330">
        <f>SUMIF('Materials Calculations'!B:B,MaterialData32[[#This Row],[Material]],'Materials Calculations'!H:H)</f>
        <v>0</v>
      </c>
      <c r="D437" s="330">
        <f>SUMIF('Materials Calculations'!B:B,MaterialData32[[#This Row],[Material]],'Materials Calculations'!AI:AI)</f>
        <v>0</v>
      </c>
      <c r="F437">
        <v>0</v>
      </c>
      <c r="G437">
        <v>0</v>
      </c>
      <c r="H437">
        <v>0</v>
      </c>
      <c r="I437">
        <v>0</v>
      </c>
      <c r="K437">
        <v>0</v>
      </c>
      <c r="L437" s="322">
        <v>0</v>
      </c>
      <c r="M437" s="322">
        <v>0</v>
      </c>
      <c r="N437" s="322">
        <v>0</v>
      </c>
    </row>
    <row r="438" spans="1:14" x14ac:dyDescent="0.3">
      <c r="A438">
        <f>EPD!A153</f>
        <v>0</v>
      </c>
      <c r="B438" s="330">
        <f>SUMIF('Materials Calculations'!B:B,MaterialData32[[#This Row],[Material]],'Materials Calculations'!F:F)</f>
        <v>0</v>
      </c>
      <c r="C438" s="330">
        <f>SUMIF('Materials Calculations'!B:B,MaterialData32[[#This Row],[Material]],'Materials Calculations'!H:H)</f>
        <v>0</v>
      </c>
      <c r="D438" s="330">
        <f>SUMIF('Materials Calculations'!B:B,MaterialData32[[#This Row],[Material]],'Materials Calculations'!AI:AI)</f>
        <v>0</v>
      </c>
      <c r="F438">
        <v>0</v>
      </c>
      <c r="G438">
        <v>0</v>
      </c>
      <c r="H438">
        <v>0</v>
      </c>
      <c r="I438">
        <v>0</v>
      </c>
      <c r="K438">
        <v>0</v>
      </c>
      <c r="L438" s="322">
        <v>0</v>
      </c>
      <c r="M438" s="322">
        <v>0</v>
      </c>
      <c r="N438" s="322">
        <v>0</v>
      </c>
    </row>
    <row r="439" spans="1:14" x14ac:dyDescent="0.3">
      <c r="A439">
        <f>EPD!A154</f>
        <v>0</v>
      </c>
      <c r="B439" s="330">
        <f>SUMIF('Materials Calculations'!B:B,MaterialData32[[#This Row],[Material]],'Materials Calculations'!F:F)</f>
        <v>0</v>
      </c>
      <c r="C439" s="330">
        <f>SUMIF('Materials Calculations'!B:B,MaterialData32[[#This Row],[Material]],'Materials Calculations'!H:H)</f>
        <v>0</v>
      </c>
      <c r="D439" s="330">
        <f>SUMIF('Materials Calculations'!B:B,MaterialData32[[#This Row],[Material]],'Materials Calculations'!AI:AI)</f>
        <v>0</v>
      </c>
      <c r="F439">
        <v>0</v>
      </c>
      <c r="G439">
        <v>0</v>
      </c>
      <c r="H439">
        <v>0</v>
      </c>
      <c r="I439">
        <v>0</v>
      </c>
      <c r="K439">
        <v>0</v>
      </c>
      <c r="L439" s="322">
        <v>0</v>
      </c>
      <c r="M439" s="322">
        <v>0</v>
      </c>
      <c r="N439" s="322">
        <v>0</v>
      </c>
    </row>
    <row r="440" spans="1:14" x14ac:dyDescent="0.3">
      <c r="A440">
        <f>EPD!A155</f>
        <v>0</v>
      </c>
      <c r="B440" s="330">
        <f>SUMIF('Materials Calculations'!B:B,MaterialData32[[#This Row],[Material]],'Materials Calculations'!F:F)</f>
        <v>0</v>
      </c>
      <c r="C440" s="330">
        <f>SUMIF('Materials Calculations'!B:B,MaterialData32[[#This Row],[Material]],'Materials Calculations'!H:H)</f>
        <v>0</v>
      </c>
      <c r="D440" s="330">
        <f>SUMIF('Materials Calculations'!B:B,MaterialData32[[#This Row],[Material]],'Materials Calculations'!AI:AI)</f>
        <v>0</v>
      </c>
      <c r="F440">
        <v>0</v>
      </c>
      <c r="G440">
        <v>0</v>
      </c>
      <c r="H440">
        <v>0</v>
      </c>
      <c r="I440">
        <v>0</v>
      </c>
      <c r="K440">
        <v>0</v>
      </c>
      <c r="L440" s="322">
        <v>0</v>
      </c>
      <c r="M440" s="322">
        <v>0</v>
      </c>
      <c r="N440" s="322">
        <v>0</v>
      </c>
    </row>
    <row r="441" spans="1:14" x14ac:dyDescent="0.3">
      <c r="A441">
        <f>EPD!A156</f>
        <v>0</v>
      </c>
      <c r="B441" s="330">
        <f>SUMIF('Materials Calculations'!B:B,MaterialData32[[#This Row],[Material]],'Materials Calculations'!F:F)</f>
        <v>0</v>
      </c>
      <c r="C441" s="330">
        <f>SUMIF('Materials Calculations'!B:B,MaterialData32[[#This Row],[Material]],'Materials Calculations'!H:H)</f>
        <v>0</v>
      </c>
      <c r="D441" s="330">
        <f>SUMIF('Materials Calculations'!B:B,MaterialData32[[#This Row],[Material]],'Materials Calculations'!AI:AI)</f>
        <v>0</v>
      </c>
      <c r="F441">
        <v>0</v>
      </c>
      <c r="G441">
        <v>0</v>
      </c>
      <c r="H441">
        <v>0</v>
      </c>
      <c r="I441">
        <v>0</v>
      </c>
      <c r="K441">
        <v>0</v>
      </c>
      <c r="L441" s="322">
        <v>0</v>
      </c>
      <c r="M441" s="322">
        <v>0</v>
      </c>
      <c r="N441" s="322">
        <v>0</v>
      </c>
    </row>
    <row r="442" spans="1:14" x14ac:dyDescent="0.3">
      <c r="A442">
        <f>EPD!A157</f>
        <v>0</v>
      </c>
      <c r="B442" s="330">
        <f>SUMIF('Materials Calculations'!B:B,MaterialData32[[#This Row],[Material]],'Materials Calculations'!F:F)</f>
        <v>0</v>
      </c>
      <c r="C442" s="330">
        <f>SUMIF('Materials Calculations'!B:B,MaterialData32[[#This Row],[Material]],'Materials Calculations'!H:H)</f>
        <v>0</v>
      </c>
      <c r="D442" s="330">
        <f>SUMIF('Materials Calculations'!B:B,MaterialData32[[#This Row],[Material]],'Materials Calculations'!AI:AI)</f>
        <v>0</v>
      </c>
      <c r="F442">
        <v>0</v>
      </c>
      <c r="G442">
        <v>0</v>
      </c>
      <c r="H442">
        <v>0</v>
      </c>
      <c r="I442">
        <v>0</v>
      </c>
      <c r="K442">
        <v>0</v>
      </c>
      <c r="L442" s="322">
        <v>0</v>
      </c>
      <c r="M442" s="322">
        <v>0</v>
      </c>
      <c r="N442" s="322">
        <v>0</v>
      </c>
    </row>
    <row r="443" spans="1:14" x14ac:dyDescent="0.3">
      <c r="A443">
        <f>EPD!A158</f>
        <v>0</v>
      </c>
      <c r="B443" s="330">
        <f>SUMIF('Materials Calculations'!B:B,MaterialData32[[#This Row],[Material]],'Materials Calculations'!F:F)</f>
        <v>0</v>
      </c>
      <c r="C443" s="330">
        <f>SUMIF('Materials Calculations'!B:B,MaterialData32[[#This Row],[Material]],'Materials Calculations'!H:H)</f>
        <v>0</v>
      </c>
      <c r="D443" s="330">
        <f>SUMIF('Materials Calculations'!B:B,MaterialData32[[#This Row],[Material]],'Materials Calculations'!AI:AI)</f>
        <v>0</v>
      </c>
      <c r="F443">
        <v>0</v>
      </c>
      <c r="G443">
        <v>0</v>
      </c>
      <c r="H443">
        <v>0</v>
      </c>
      <c r="I443">
        <v>0</v>
      </c>
      <c r="K443">
        <v>0</v>
      </c>
      <c r="L443" s="322">
        <v>0</v>
      </c>
      <c r="M443" s="322">
        <v>0</v>
      </c>
      <c r="N443" s="322">
        <v>0</v>
      </c>
    </row>
    <row r="444" spans="1:14" x14ac:dyDescent="0.3">
      <c r="A444">
        <f>EPD!A159</f>
        <v>0</v>
      </c>
      <c r="B444" s="330">
        <f>SUMIF('Materials Calculations'!B:B,MaterialData32[[#This Row],[Material]],'Materials Calculations'!F:F)</f>
        <v>0</v>
      </c>
      <c r="C444" s="330">
        <f>SUMIF('Materials Calculations'!B:B,MaterialData32[[#This Row],[Material]],'Materials Calculations'!H:H)</f>
        <v>0</v>
      </c>
      <c r="D444" s="330">
        <f>SUMIF('Materials Calculations'!B:B,MaterialData32[[#This Row],[Material]],'Materials Calculations'!AI:AI)</f>
        <v>0</v>
      </c>
      <c r="F444">
        <v>0</v>
      </c>
      <c r="G444">
        <v>0</v>
      </c>
      <c r="H444">
        <v>0</v>
      </c>
      <c r="I444">
        <v>0</v>
      </c>
      <c r="K444">
        <v>0</v>
      </c>
      <c r="L444" s="322">
        <v>0</v>
      </c>
      <c r="M444" s="322">
        <v>0</v>
      </c>
      <c r="N444" s="322">
        <v>0</v>
      </c>
    </row>
    <row r="445" spans="1:14" x14ac:dyDescent="0.3">
      <c r="A445">
        <f>EPD!A160</f>
        <v>0</v>
      </c>
      <c r="B445" s="330">
        <f>SUMIF('Materials Calculations'!B:B,MaterialData32[[#This Row],[Material]],'Materials Calculations'!F:F)</f>
        <v>0</v>
      </c>
      <c r="C445" s="330">
        <f>SUMIF('Materials Calculations'!B:B,MaterialData32[[#This Row],[Material]],'Materials Calculations'!H:H)</f>
        <v>0</v>
      </c>
      <c r="D445" s="330">
        <f>SUMIF('Materials Calculations'!B:B,MaterialData32[[#This Row],[Material]],'Materials Calculations'!AI:AI)</f>
        <v>0</v>
      </c>
      <c r="F445">
        <v>0</v>
      </c>
      <c r="G445">
        <v>0</v>
      </c>
      <c r="H445">
        <v>0</v>
      </c>
      <c r="I445">
        <v>0</v>
      </c>
      <c r="K445">
        <v>0</v>
      </c>
      <c r="L445" s="322">
        <v>0</v>
      </c>
      <c r="M445" s="322">
        <v>0</v>
      </c>
      <c r="N445" s="322">
        <v>0</v>
      </c>
    </row>
    <row r="446" spans="1:14" x14ac:dyDescent="0.3">
      <c r="A446">
        <f>EPD!A161</f>
        <v>0</v>
      </c>
      <c r="B446" s="330">
        <f>SUMIF('Materials Calculations'!B:B,MaterialData32[[#This Row],[Material]],'Materials Calculations'!F:F)</f>
        <v>0</v>
      </c>
      <c r="C446" s="330">
        <f>SUMIF('Materials Calculations'!B:B,MaterialData32[[#This Row],[Material]],'Materials Calculations'!H:H)</f>
        <v>0</v>
      </c>
      <c r="D446" s="330">
        <f>SUMIF('Materials Calculations'!B:B,MaterialData32[[#This Row],[Material]],'Materials Calculations'!AI:AI)</f>
        <v>0</v>
      </c>
      <c r="F446">
        <v>0</v>
      </c>
      <c r="G446">
        <v>0</v>
      </c>
      <c r="H446">
        <v>0</v>
      </c>
      <c r="I446">
        <v>0</v>
      </c>
      <c r="K446">
        <v>0</v>
      </c>
      <c r="L446" s="322">
        <v>0</v>
      </c>
      <c r="M446" s="322">
        <v>0</v>
      </c>
      <c r="N446" s="322">
        <v>0</v>
      </c>
    </row>
    <row r="447" spans="1:14" x14ac:dyDescent="0.3">
      <c r="A447">
        <f>EPD!A162</f>
        <v>0</v>
      </c>
      <c r="B447" s="330">
        <f>SUMIF('Materials Calculations'!B:B,MaterialData32[[#This Row],[Material]],'Materials Calculations'!F:F)</f>
        <v>0</v>
      </c>
      <c r="C447" s="330">
        <f>SUMIF('Materials Calculations'!B:B,MaterialData32[[#This Row],[Material]],'Materials Calculations'!H:H)</f>
        <v>0</v>
      </c>
      <c r="D447" s="330">
        <f>SUMIF('Materials Calculations'!B:B,MaterialData32[[#This Row],[Material]],'Materials Calculations'!AI:AI)</f>
        <v>0</v>
      </c>
      <c r="F447">
        <v>0</v>
      </c>
      <c r="G447">
        <v>0</v>
      </c>
      <c r="H447">
        <v>0</v>
      </c>
      <c r="I447">
        <v>0</v>
      </c>
      <c r="K447">
        <v>0</v>
      </c>
      <c r="L447" s="322">
        <v>0</v>
      </c>
      <c r="M447" s="322">
        <v>0</v>
      </c>
      <c r="N447" s="322">
        <v>0</v>
      </c>
    </row>
    <row r="448" spans="1:14" x14ac:dyDescent="0.3">
      <c r="A448">
        <f>EPD!A163</f>
        <v>0</v>
      </c>
      <c r="B448" s="330">
        <f>SUMIF('Materials Calculations'!B:B,MaterialData32[[#This Row],[Material]],'Materials Calculations'!F:F)</f>
        <v>0</v>
      </c>
      <c r="C448" s="330">
        <f>SUMIF('Materials Calculations'!B:B,MaterialData32[[#This Row],[Material]],'Materials Calculations'!H:H)</f>
        <v>0</v>
      </c>
      <c r="D448" s="330">
        <f>SUMIF('Materials Calculations'!B:B,MaterialData32[[#This Row],[Material]],'Materials Calculations'!AI:AI)</f>
        <v>0</v>
      </c>
      <c r="F448">
        <v>0</v>
      </c>
      <c r="G448">
        <v>0</v>
      </c>
      <c r="H448">
        <v>0</v>
      </c>
      <c r="I448">
        <v>0</v>
      </c>
      <c r="K448">
        <v>0</v>
      </c>
      <c r="L448" s="322">
        <v>0</v>
      </c>
      <c r="M448" s="322">
        <v>0</v>
      </c>
      <c r="N448" s="322">
        <v>0</v>
      </c>
    </row>
    <row r="449" spans="1:14" x14ac:dyDescent="0.3">
      <c r="A449">
        <f>EPD!A164</f>
        <v>0</v>
      </c>
      <c r="B449" s="330">
        <f>SUMIF('Materials Calculations'!B:B,MaterialData32[[#This Row],[Material]],'Materials Calculations'!F:F)</f>
        <v>0</v>
      </c>
      <c r="C449" s="330">
        <f>SUMIF('Materials Calculations'!B:B,MaterialData32[[#This Row],[Material]],'Materials Calculations'!H:H)</f>
        <v>0</v>
      </c>
      <c r="D449" s="330">
        <f>SUMIF('Materials Calculations'!B:B,MaterialData32[[#This Row],[Material]],'Materials Calculations'!AI:AI)</f>
        <v>0</v>
      </c>
      <c r="F449">
        <v>0</v>
      </c>
      <c r="G449">
        <v>0</v>
      </c>
      <c r="H449">
        <v>0</v>
      </c>
      <c r="I449">
        <v>0</v>
      </c>
      <c r="K449">
        <v>0</v>
      </c>
      <c r="L449" s="322">
        <v>0</v>
      </c>
      <c r="M449" s="322">
        <v>0</v>
      </c>
      <c r="N449" s="322">
        <v>0</v>
      </c>
    </row>
    <row r="450" spans="1:14" x14ac:dyDescent="0.3">
      <c r="A450">
        <f>EPD!A165</f>
        <v>0</v>
      </c>
      <c r="B450" s="330">
        <f>SUMIF('Materials Calculations'!B:B,MaterialData32[[#This Row],[Material]],'Materials Calculations'!F:F)</f>
        <v>0</v>
      </c>
      <c r="C450" s="330">
        <f>SUMIF('Materials Calculations'!B:B,MaterialData32[[#This Row],[Material]],'Materials Calculations'!H:H)</f>
        <v>0</v>
      </c>
      <c r="D450" s="330">
        <f>SUMIF('Materials Calculations'!B:B,MaterialData32[[#This Row],[Material]],'Materials Calculations'!AI:AI)</f>
        <v>0</v>
      </c>
      <c r="F450">
        <v>0</v>
      </c>
      <c r="G450">
        <v>0</v>
      </c>
      <c r="H450">
        <v>0</v>
      </c>
      <c r="I450">
        <v>0</v>
      </c>
      <c r="K450">
        <v>0</v>
      </c>
      <c r="L450" s="322">
        <v>0</v>
      </c>
      <c r="M450" s="322">
        <v>0</v>
      </c>
      <c r="N450" s="322">
        <v>0</v>
      </c>
    </row>
    <row r="451" spans="1:14" x14ac:dyDescent="0.3">
      <c r="A451">
        <f>EPD!A166</f>
        <v>0</v>
      </c>
      <c r="B451" s="330">
        <f>SUMIF('Materials Calculations'!B:B,MaterialData32[[#This Row],[Material]],'Materials Calculations'!F:F)</f>
        <v>0</v>
      </c>
      <c r="C451" s="330">
        <f>SUMIF('Materials Calculations'!B:B,MaterialData32[[#This Row],[Material]],'Materials Calculations'!H:H)</f>
        <v>0</v>
      </c>
      <c r="D451" s="330">
        <f>SUMIF('Materials Calculations'!B:B,MaterialData32[[#This Row],[Material]],'Materials Calculations'!AI:AI)</f>
        <v>0</v>
      </c>
      <c r="F451">
        <v>0</v>
      </c>
      <c r="G451">
        <v>0</v>
      </c>
      <c r="H451">
        <v>0</v>
      </c>
      <c r="I451">
        <v>0</v>
      </c>
      <c r="K451">
        <v>0</v>
      </c>
      <c r="L451" s="322">
        <v>0</v>
      </c>
      <c r="M451" s="322">
        <v>0</v>
      </c>
      <c r="N451" s="322">
        <v>0</v>
      </c>
    </row>
    <row r="452" spans="1:14" x14ac:dyDescent="0.3">
      <c r="A452">
        <f>EPD!A167</f>
        <v>0</v>
      </c>
      <c r="B452" s="330">
        <f>SUMIF('Materials Calculations'!B:B,MaterialData32[[#This Row],[Material]],'Materials Calculations'!F:F)</f>
        <v>0</v>
      </c>
      <c r="C452" s="330">
        <f>SUMIF('Materials Calculations'!B:B,MaterialData32[[#This Row],[Material]],'Materials Calculations'!H:H)</f>
        <v>0</v>
      </c>
      <c r="D452" s="330">
        <f>SUMIF('Materials Calculations'!B:B,MaterialData32[[#This Row],[Material]],'Materials Calculations'!AI:AI)</f>
        <v>0</v>
      </c>
      <c r="F452">
        <v>0</v>
      </c>
      <c r="G452">
        <v>0</v>
      </c>
      <c r="H452">
        <v>0</v>
      </c>
      <c r="I452">
        <v>0</v>
      </c>
      <c r="K452">
        <v>0</v>
      </c>
      <c r="L452" s="322">
        <v>0</v>
      </c>
      <c r="M452" s="322">
        <v>0</v>
      </c>
      <c r="N452" s="322">
        <v>0</v>
      </c>
    </row>
    <row r="453" spans="1:14" x14ac:dyDescent="0.3">
      <c r="A453">
        <f>EPD!A168</f>
        <v>0</v>
      </c>
      <c r="B453" s="330">
        <f>SUMIF('Materials Calculations'!B:B,MaterialData32[[#This Row],[Material]],'Materials Calculations'!F:F)</f>
        <v>0</v>
      </c>
      <c r="C453" s="330">
        <f>SUMIF('Materials Calculations'!B:B,MaterialData32[[#This Row],[Material]],'Materials Calculations'!H:H)</f>
        <v>0</v>
      </c>
      <c r="D453" s="330">
        <f>SUMIF('Materials Calculations'!B:B,MaterialData32[[#This Row],[Material]],'Materials Calculations'!AI:AI)</f>
        <v>0</v>
      </c>
      <c r="F453">
        <v>0</v>
      </c>
      <c r="G453">
        <v>0</v>
      </c>
      <c r="H453">
        <v>0</v>
      </c>
      <c r="I453">
        <v>0</v>
      </c>
      <c r="K453">
        <v>0</v>
      </c>
      <c r="L453" s="322">
        <v>0</v>
      </c>
      <c r="M453" s="322">
        <v>0</v>
      </c>
      <c r="N453" s="322">
        <v>0</v>
      </c>
    </row>
    <row r="454" spans="1:14" x14ac:dyDescent="0.3">
      <c r="A454">
        <f>EPD!A169</f>
        <v>0</v>
      </c>
      <c r="B454" s="330">
        <f>SUMIF('Materials Calculations'!B:B,MaterialData32[[#This Row],[Material]],'Materials Calculations'!F:F)</f>
        <v>0</v>
      </c>
      <c r="C454" s="330">
        <f>SUMIF('Materials Calculations'!B:B,MaterialData32[[#This Row],[Material]],'Materials Calculations'!H:H)</f>
        <v>0</v>
      </c>
      <c r="D454" s="330">
        <f>SUMIF('Materials Calculations'!B:B,MaterialData32[[#This Row],[Material]],'Materials Calculations'!AI:AI)</f>
        <v>0</v>
      </c>
      <c r="F454">
        <v>0</v>
      </c>
      <c r="G454">
        <v>0</v>
      </c>
      <c r="H454">
        <v>0</v>
      </c>
      <c r="I454">
        <v>0</v>
      </c>
      <c r="K454">
        <v>0</v>
      </c>
      <c r="L454" s="322">
        <v>0</v>
      </c>
      <c r="M454" s="322">
        <v>0</v>
      </c>
      <c r="N454" s="322">
        <v>0</v>
      </c>
    </row>
    <row r="455" spans="1:14" x14ac:dyDescent="0.3">
      <c r="A455">
        <f>EPD!A170</f>
        <v>0</v>
      </c>
      <c r="B455" s="330">
        <f>SUMIF('Materials Calculations'!B:B,MaterialData32[[#This Row],[Material]],'Materials Calculations'!F:F)</f>
        <v>0</v>
      </c>
      <c r="C455" s="330">
        <f>SUMIF('Materials Calculations'!B:B,MaterialData32[[#This Row],[Material]],'Materials Calculations'!H:H)</f>
        <v>0</v>
      </c>
      <c r="D455" s="330">
        <f>SUMIF('Materials Calculations'!B:B,MaterialData32[[#This Row],[Material]],'Materials Calculations'!AI:AI)</f>
        <v>0</v>
      </c>
      <c r="F455">
        <v>0</v>
      </c>
      <c r="G455">
        <v>0</v>
      </c>
      <c r="H455">
        <v>0</v>
      </c>
      <c r="I455">
        <v>0</v>
      </c>
      <c r="K455">
        <v>0</v>
      </c>
      <c r="L455" s="322">
        <v>0</v>
      </c>
      <c r="M455" s="322">
        <v>0</v>
      </c>
      <c r="N455" s="322">
        <v>0</v>
      </c>
    </row>
    <row r="456" spans="1:14" x14ac:dyDescent="0.3">
      <c r="A456">
        <f>EPD!A171</f>
        <v>0</v>
      </c>
      <c r="B456" s="330">
        <f>SUMIF('Materials Calculations'!B:B,MaterialData32[[#This Row],[Material]],'Materials Calculations'!F:F)</f>
        <v>0</v>
      </c>
      <c r="C456" s="330">
        <f>SUMIF('Materials Calculations'!B:B,MaterialData32[[#This Row],[Material]],'Materials Calculations'!H:H)</f>
        <v>0</v>
      </c>
      <c r="D456" s="330">
        <f>SUMIF('Materials Calculations'!B:B,MaterialData32[[#This Row],[Material]],'Materials Calculations'!AI:AI)</f>
        <v>0</v>
      </c>
      <c r="F456">
        <v>0</v>
      </c>
      <c r="G456">
        <v>0</v>
      </c>
      <c r="H456">
        <v>0</v>
      </c>
      <c r="I456">
        <v>0</v>
      </c>
      <c r="K456">
        <v>0</v>
      </c>
      <c r="L456" s="322">
        <v>0</v>
      </c>
      <c r="M456" s="322">
        <v>0</v>
      </c>
      <c r="N456" s="322">
        <v>0</v>
      </c>
    </row>
    <row r="457" spans="1:14" x14ac:dyDescent="0.3">
      <c r="A457">
        <f>EPD!A172</f>
        <v>0</v>
      </c>
      <c r="B457" s="330">
        <f>SUMIF('Materials Calculations'!B:B,MaterialData32[[#This Row],[Material]],'Materials Calculations'!F:F)</f>
        <v>0</v>
      </c>
      <c r="C457" s="330">
        <f>SUMIF('Materials Calculations'!B:B,MaterialData32[[#This Row],[Material]],'Materials Calculations'!H:H)</f>
        <v>0</v>
      </c>
      <c r="D457" s="330">
        <f>SUMIF('Materials Calculations'!B:B,MaterialData32[[#This Row],[Material]],'Materials Calculations'!AI:AI)</f>
        <v>0</v>
      </c>
      <c r="F457">
        <v>0</v>
      </c>
      <c r="G457">
        <v>0</v>
      </c>
      <c r="H457">
        <v>0</v>
      </c>
      <c r="I457">
        <v>0</v>
      </c>
      <c r="K457">
        <v>0</v>
      </c>
      <c r="L457" s="322">
        <v>0</v>
      </c>
      <c r="M457" s="322">
        <v>0</v>
      </c>
      <c r="N457" s="322">
        <v>0</v>
      </c>
    </row>
    <row r="458" spans="1:14" x14ac:dyDescent="0.3">
      <c r="A458">
        <f>EPD!A173</f>
        <v>0</v>
      </c>
      <c r="B458" s="330">
        <f>SUMIF('Materials Calculations'!B:B,MaterialData32[[#This Row],[Material]],'Materials Calculations'!F:F)</f>
        <v>0</v>
      </c>
      <c r="C458" s="330">
        <f>SUMIF('Materials Calculations'!B:B,MaterialData32[[#This Row],[Material]],'Materials Calculations'!H:H)</f>
        <v>0</v>
      </c>
      <c r="D458" s="330">
        <f>SUMIF('Materials Calculations'!B:B,MaterialData32[[#This Row],[Material]],'Materials Calculations'!AI:AI)</f>
        <v>0</v>
      </c>
      <c r="F458">
        <v>0</v>
      </c>
      <c r="G458">
        <v>0</v>
      </c>
      <c r="H458">
        <v>0</v>
      </c>
      <c r="I458">
        <v>0</v>
      </c>
      <c r="K458">
        <v>0</v>
      </c>
      <c r="L458" s="322">
        <v>0</v>
      </c>
      <c r="M458" s="322">
        <v>0</v>
      </c>
      <c r="N458" s="322">
        <v>0</v>
      </c>
    </row>
    <row r="459" spans="1:14" x14ac:dyDescent="0.3">
      <c r="A459">
        <f>EPD!A174</f>
        <v>0</v>
      </c>
      <c r="B459" s="330">
        <f>SUMIF('Materials Calculations'!B:B,MaterialData32[[#This Row],[Material]],'Materials Calculations'!F:F)</f>
        <v>0</v>
      </c>
      <c r="C459" s="330">
        <f>SUMIF('Materials Calculations'!B:B,MaterialData32[[#This Row],[Material]],'Materials Calculations'!H:H)</f>
        <v>0</v>
      </c>
      <c r="D459" s="330">
        <f>SUMIF('Materials Calculations'!B:B,MaterialData32[[#This Row],[Material]],'Materials Calculations'!AI:AI)</f>
        <v>0</v>
      </c>
      <c r="F459">
        <v>0</v>
      </c>
      <c r="G459">
        <v>0</v>
      </c>
      <c r="H459">
        <v>0</v>
      </c>
      <c r="I459">
        <v>0</v>
      </c>
      <c r="K459">
        <v>0</v>
      </c>
      <c r="L459" s="322">
        <v>0</v>
      </c>
      <c r="M459" s="322">
        <v>0</v>
      </c>
      <c r="N459" s="322">
        <v>0</v>
      </c>
    </row>
    <row r="460" spans="1:14" x14ac:dyDescent="0.3">
      <c r="A460">
        <f>EPD!A175</f>
        <v>0</v>
      </c>
      <c r="B460" s="330">
        <f>SUMIF('Materials Calculations'!B:B,MaterialData32[[#This Row],[Material]],'Materials Calculations'!F:F)</f>
        <v>0</v>
      </c>
      <c r="C460" s="330">
        <f>SUMIF('Materials Calculations'!B:B,MaterialData32[[#This Row],[Material]],'Materials Calculations'!H:H)</f>
        <v>0</v>
      </c>
      <c r="D460" s="330">
        <f>SUMIF('Materials Calculations'!B:B,MaterialData32[[#This Row],[Material]],'Materials Calculations'!AI:AI)</f>
        <v>0</v>
      </c>
      <c r="F460">
        <v>0</v>
      </c>
      <c r="G460">
        <v>0</v>
      </c>
      <c r="H460">
        <v>0</v>
      </c>
      <c r="I460">
        <v>0</v>
      </c>
      <c r="K460">
        <v>0</v>
      </c>
      <c r="L460" s="322">
        <v>0</v>
      </c>
      <c r="M460" s="322">
        <v>0</v>
      </c>
      <c r="N460" s="322">
        <v>0</v>
      </c>
    </row>
    <row r="461" spans="1:14" x14ac:dyDescent="0.3">
      <c r="A461">
        <f>EPD!A176</f>
        <v>0</v>
      </c>
      <c r="B461" s="330">
        <f>SUMIF('Materials Calculations'!B:B,MaterialData32[[#This Row],[Material]],'Materials Calculations'!F:F)</f>
        <v>0</v>
      </c>
      <c r="C461" s="330">
        <f>SUMIF('Materials Calculations'!B:B,MaterialData32[[#This Row],[Material]],'Materials Calculations'!H:H)</f>
        <v>0</v>
      </c>
      <c r="D461" s="330">
        <f>SUMIF('Materials Calculations'!B:B,MaterialData32[[#This Row],[Material]],'Materials Calculations'!AI:AI)</f>
        <v>0</v>
      </c>
      <c r="F461">
        <v>0</v>
      </c>
      <c r="G461">
        <v>0</v>
      </c>
      <c r="H461">
        <v>0</v>
      </c>
      <c r="I461">
        <v>0</v>
      </c>
      <c r="K461">
        <v>0</v>
      </c>
      <c r="L461" s="322">
        <v>0</v>
      </c>
      <c r="M461" s="322">
        <v>0</v>
      </c>
      <c r="N461" s="322">
        <v>0</v>
      </c>
    </row>
    <row r="462" spans="1:14" x14ac:dyDescent="0.3">
      <c r="A462">
        <f>EPD!A177</f>
        <v>0</v>
      </c>
      <c r="B462" s="330">
        <f>SUMIF('Materials Calculations'!B:B,MaterialData32[[#This Row],[Material]],'Materials Calculations'!F:F)</f>
        <v>0</v>
      </c>
      <c r="C462" s="330">
        <f>SUMIF('Materials Calculations'!B:B,MaterialData32[[#This Row],[Material]],'Materials Calculations'!H:H)</f>
        <v>0</v>
      </c>
      <c r="D462" s="330">
        <f>SUMIF('Materials Calculations'!B:B,MaterialData32[[#This Row],[Material]],'Materials Calculations'!AI:AI)</f>
        <v>0</v>
      </c>
      <c r="F462">
        <v>0</v>
      </c>
      <c r="G462">
        <v>0</v>
      </c>
      <c r="H462">
        <v>0</v>
      </c>
      <c r="I462">
        <v>0</v>
      </c>
      <c r="K462">
        <v>0</v>
      </c>
      <c r="L462" s="322">
        <v>0</v>
      </c>
      <c r="M462" s="322">
        <v>0</v>
      </c>
      <c r="N462" s="322">
        <v>0</v>
      </c>
    </row>
    <row r="463" spans="1:14" x14ac:dyDescent="0.3">
      <c r="A463">
        <f>EPD!A178</f>
        <v>0</v>
      </c>
      <c r="B463" s="330">
        <f>SUMIF('Materials Calculations'!B:B,MaterialData32[[#This Row],[Material]],'Materials Calculations'!F:F)</f>
        <v>0</v>
      </c>
      <c r="C463" s="330">
        <f>SUMIF('Materials Calculations'!B:B,MaterialData32[[#This Row],[Material]],'Materials Calculations'!H:H)</f>
        <v>0</v>
      </c>
      <c r="D463" s="330">
        <f>SUMIF('Materials Calculations'!B:B,MaterialData32[[#This Row],[Material]],'Materials Calculations'!AI:AI)</f>
        <v>0</v>
      </c>
      <c r="F463">
        <v>0</v>
      </c>
      <c r="G463">
        <v>0</v>
      </c>
      <c r="H463">
        <v>0</v>
      </c>
      <c r="I463">
        <v>0</v>
      </c>
      <c r="K463">
        <v>0</v>
      </c>
      <c r="L463" s="322">
        <v>0</v>
      </c>
      <c r="M463" s="322">
        <v>0</v>
      </c>
      <c r="N463" s="322">
        <v>0</v>
      </c>
    </row>
    <row r="464" spans="1:14" x14ac:dyDescent="0.3">
      <c r="A464">
        <f>EPD!A179</f>
        <v>0</v>
      </c>
      <c r="B464" s="330">
        <f>SUMIF('Materials Calculations'!B:B,MaterialData32[[#This Row],[Material]],'Materials Calculations'!F:F)</f>
        <v>0</v>
      </c>
      <c r="C464" s="330">
        <f>SUMIF('Materials Calculations'!B:B,MaterialData32[[#This Row],[Material]],'Materials Calculations'!H:H)</f>
        <v>0</v>
      </c>
      <c r="D464" s="330">
        <f>SUMIF('Materials Calculations'!B:B,MaterialData32[[#This Row],[Material]],'Materials Calculations'!AI:AI)</f>
        <v>0</v>
      </c>
      <c r="F464">
        <v>0</v>
      </c>
      <c r="G464">
        <v>0</v>
      </c>
      <c r="H464">
        <v>0</v>
      </c>
      <c r="I464">
        <v>0</v>
      </c>
      <c r="K464">
        <v>0</v>
      </c>
      <c r="L464" s="322">
        <v>0</v>
      </c>
      <c r="M464" s="322">
        <v>0</v>
      </c>
      <c r="N464" s="322">
        <v>0</v>
      </c>
    </row>
    <row r="465" spans="1:14" x14ac:dyDescent="0.3">
      <c r="A465">
        <f>EPD!A180</f>
        <v>0</v>
      </c>
      <c r="B465" s="330">
        <f>SUMIF('Materials Calculations'!B:B,MaterialData32[[#This Row],[Material]],'Materials Calculations'!F:F)</f>
        <v>0</v>
      </c>
      <c r="C465" s="330">
        <f>SUMIF('Materials Calculations'!B:B,MaterialData32[[#This Row],[Material]],'Materials Calculations'!H:H)</f>
        <v>0</v>
      </c>
      <c r="D465" s="330">
        <f>SUMIF('Materials Calculations'!B:B,MaterialData32[[#This Row],[Material]],'Materials Calculations'!AI:AI)</f>
        <v>0</v>
      </c>
      <c r="F465">
        <v>0</v>
      </c>
      <c r="G465">
        <v>0</v>
      </c>
      <c r="H465">
        <v>0</v>
      </c>
      <c r="I465">
        <v>0</v>
      </c>
      <c r="K465">
        <v>0</v>
      </c>
      <c r="L465" s="322">
        <v>0</v>
      </c>
      <c r="M465" s="322">
        <v>0</v>
      </c>
      <c r="N465" s="322">
        <v>0</v>
      </c>
    </row>
    <row r="466" spans="1:14" x14ac:dyDescent="0.3">
      <c r="A466">
        <f>EPD!A181</f>
        <v>0</v>
      </c>
      <c r="B466" s="330">
        <f>SUMIF('Materials Calculations'!B:B,MaterialData32[[#This Row],[Material]],'Materials Calculations'!F:F)</f>
        <v>0</v>
      </c>
      <c r="C466" s="330">
        <f>SUMIF('Materials Calculations'!B:B,MaterialData32[[#This Row],[Material]],'Materials Calculations'!H:H)</f>
        <v>0</v>
      </c>
      <c r="D466" s="330">
        <f>SUMIF('Materials Calculations'!B:B,MaterialData32[[#This Row],[Material]],'Materials Calculations'!AI:AI)</f>
        <v>0</v>
      </c>
      <c r="F466">
        <v>0</v>
      </c>
      <c r="G466">
        <v>0</v>
      </c>
      <c r="H466">
        <v>0</v>
      </c>
      <c r="I466">
        <v>0</v>
      </c>
      <c r="K466">
        <v>0</v>
      </c>
      <c r="L466" s="322">
        <v>0</v>
      </c>
      <c r="M466" s="322">
        <v>0</v>
      </c>
      <c r="N466" s="322">
        <v>0</v>
      </c>
    </row>
    <row r="467" spans="1:14" x14ac:dyDescent="0.3">
      <c r="A467">
        <f>EPD!A182</f>
        <v>0</v>
      </c>
      <c r="B467" s="330">
        <f>SUMIF('Materials Calculations'!B:B,MaterialData32[[#This Row],[Material]],'Materials Calculations'!F:F)</f>
        <v>0</v>
      </c>
      <c r="C467" s="330">
        <f>SUMIF('Materials Calculations'!B:B,MaterialData32[[#This Row],[Material]],'Materials Calculations'!H:H)</f>
        <v>0</v>
      </c>
      <c r="D467" s="330">
        <f>SUMIF('Materials Calculations'!B:B,MaterialData32[[#This Row],[Material]],'Materials Calculations'!AI:AI)</f>
        <v>0</v>
      </c>
      <c r="F467">
        <v>0</v>
      </c>
      <c r="G467">
        <v>0</v>
      </c>
      <c r="H467">
        <v>0</v>
      </c>
      <c r="I467">
        <v>0</v>
      </c>
      <c r="K467">
        <v>0</v>
      </c>
      <c r="L467" s="322">
        <v>0</v>
      </c>
      <c r="M467" s="322">
        <v>0</v>
      </c>
      <c r="N467" s="322">
        <v>0</v>
      </c>
    </row>
    <row r="468" spans="1:14" x14ac:dyDescent="0.3">
      <c r="A468">
        <f>EPD!A183</f>
        <v>0</v>
      </c>
      <c r="B468" s="330">
        <f>SUMIF('Materials Calculations'!B:B,MaterialData32[[#This Row],[Material]],'Materials Calculations'!F:F)</f>
        <v>0</v>
      </c>
      <c r="C468" s="330">
        <f>SUMIF('Materials Calculations'!B:B,MaterialData32[[#This Row],[Material]],'Materials Calculations'!H:H)</f>
        <v>0</v>
      </c>
      <c r="D468" s="330">
        <f>SUMIF('Materials Calculations'!B:B,MaterialData32[[#This Row],[Material]],'Materials Calculations'!AI:AI)</f>
        <v>0</v>
      </c>
      <c r="F468">
        <v>0</v>
      </c>
      <c r="G468">
        <v>0</v>
      </c>
      <c r="H468">
        <v>0</v>
      </c>
      <c r="I468">
        <v>0</v>
      </c>
      <c r="K468">
        <v>0</v>
      </c>
      <c r="L468" s="322">
        <v>0</v>
      </c>
      <c r="M468" s="322">
        <v>0</v>
      </c>
      <c r="N468" s="322">
        <v>0</v>
      </c>
    </row>
    <row r="469" spans="1:14" x14ac:dyDescent="0.3">
      <c r="A469">
        <f>EPD!A184</f>
        <v>0</v>
      </c>
      <c r="B469" s="330">
        <f>SUMIF('Materials Calculations'!B:B,MaterialData32[[#This Row],[Material]],'Materials Calculations'!F:F)</f>
        <v>0</v>
      </c>
      <c r="C469" s="330">
        <f>SUMIF('Materials Calculations'!B:B,MaterialData32[[#This Row],[Material]],'Materials Calculations'!H:H)</f>
        <v>0</v>
      </c>
      <c r="D469" s="330">
        <f>SUMIF('Materials Calculations'!B:B,MaterialData32[[#This Row],[Material]],'Materials Calculations'!AI:AI)</f>
        <v>0</v>
      </c>
      <c r="F469">
        <v>0</v>
      </c>
      <c r="G469">
        <v>0</v>
      </c>
      <c r="H469">
        <v>0</v>
      </c>
      <c r="I469">
        <v>0</v>
      </c>
      <c r="K469">
        <v>0</v>
      </c>
      <c r="L469" s="322">
        <v>0</v>
      </c>
      <c r="M469" s="322">
        <v>0</v>
      </c>
      <c r="N469" s="322">
        <v>0</v>
      </c>
    </row>
    <row r="470" spans="1:14" x14ac:dyDescent="0.3">
      <c r="A470">
        <f>EPD!A185</f>
        <v>0</v>
      </c>
      <c r="B470" s="330">
        <f>SUMIF('Materials Calculations'!B:B,MaterialData32[[#This Row],[Material]],'Materials Calculations'!F:F)</f>
        <v>0</v>
      </c>
      <c r="C470" s="330">
        <f>SUMIF('Materials Calculations'!B:B,MaterialData32[[#This Row],[Material]],'Materials Calculations'!H:H)</f>
        <v>0</v>
      </c>
      <c r="D470" s="330">
        <f>SUMIF('Materials Calculations'!B:B,MaterialData32[[#This Row],[Material]],'Materials Calculations'!AI:AI)</f>
        <v>0</v>
      </c>
      <c r="F470">
        <v>0</v>
      </c>
      <c r="G470">
        <v>0</v>
      </c>
      <c r="H470">
        <v>0</v>
      </c>
      <c r="I470">
        <v>0</v>
      </c>
      <c r="K470">
        <v>0</v>
      </c>
      <c r="L470" s="322">
        <v>0</v>
      </c>
      <c r="M470" s="322">
        <v>0</v>
      </c>
      <c r="N470" s="322">
        <v>0</v>
      </c>
    </row>
    <row r="471" spans="1:14" x14ac:dyDescent="0.3">
      <c r="A471">
        <f>EPD!A186</f>
        <v>0</v>
      </c>
      <c r="B471" s="330">
        <f>SUMIF('Materials Calculations'!B:B,MaterialData32[[#This Row],[Material]],'Materials Calculations'!F:F)</f>
        <v>0</v>
      </c>
      <c r="C471" s="330">
        <f>SUMIF('Materials Calculations'!B:B,MaterialData32[[#This Row],[Material]],'Materials Calculations'!H:H)</f>
        <v>0</v>
      </c>
      <c r="D471" s="330">
        <f>SUMIF('Materials Calculations'!B:B,MaterialData32[[#This Row],[Material]],'Materials Calculations'!AI:AI)</f>
        <v>0</v>
      </c>
      <c r="F471">
        <v>0</v>
      </c>
      <c r="G471">
        <v>0</v>
      </c>
      <c r="H471">
        <v>0</v>
      </c>
      <c r="I471">
        <v>0</v>
      </c>
      <c r="K471">
        <v>0</v>
      </c>
      <c r="L471" s="322">
        <v>0</v>
      </c>
      <c r="M471" s="322">
        <v>0</v>
      </c>
      <c r="N471" s="322">
        <v>0</v>
      </c>
    </row>
    <row r="472" spans="1:14" x14ac:dyDescent="0.3">
      <c r="A472">
        <f>EPD!A187</f>
        <v>0</v>
      </c>
      <c r="B472" s="330">
        <f>SUMIF('Materials Calculations'!B:B,MaterialData32[[#This Row],[Material]],'Materials Calculations'!F:F)</f>
        <v>0</v>
      </c>
      <c r="C472" s="330">
        <f>SUMIF('Materials Calculations'!B:B,MaterialData32[[#This Row],[Material]],'Materials Calculations'!H:H)</f>
        <v>0</v>
      </c>
      <c r="D472" s="330">
        <f>SUMIF('Materials Calculations'!B:B,MaterialData32[[#This Row],[Material]],'Materials Calculations'!AI:AI)</f>
        <v>0</v>
      </c>
      <c r="F472">
        <v>0</v>
      </c>
      <c r="G472">
        <v>0</v>
      </c>
      <c r="H472">
        <v>0</v>
      </c>
      <c r="I472">
        <v>0</v>
      </c>
      <c r="K472">
        <v>0</v>
      </c>
      <c r="L472" s="322">
        <v>0</v>
      </c>
      <c r="M472" s="322">
        <v>0</v>
      </c>
      <c r="N472" s="322">
        <v>0</v>
      </c>
    </row>
    <row r="473" spans="1:14" x14ac:dyDescent="0.3">
      <c r="A473">
        <f>EPD!A188</f>
        <v>0</v>
      </c>
      <c r="B473" s="330">
        <f>SUMIF('Materials Calculations'!B:B,MaterialData32[[#This Row],[Material]],'Materials Calculations'!F:F)</f>
        <v>0</v>
      </c>
      <c r="C473" s="330">
        <f>SUMIF('Materials Calculations'!B:B,MaterialData32[[#This Row],[Material]],'Materials Calculations'!H:H)</f>
        <v>0</v>
      </c>
      <c r="D473" s="330">
        <f>SUMIF('Materials Calculations'!B:B,MaterialData32[[#This Row],[Material]],'Materials Calculations'!AI:AI)</f>
        <v>0</v>
      </c>
      <c r="F473">
        <v>0</v>
      </c>
      <c r="G473">
        <v>0</v>
      </c>
      <c r="H473">
        <v>0</v>
      </c>
      <c r="I473">
        <v>0</v>
      </c>
      <c r="K473">
        <v>0</v>
      </c>
      <c r="L473" s="322">
        <v>0</v>
      </c>
      <c r="M473" s="322">
        <v>0</v>
      </c>
      <c r="N473" s="322">
        <v>0</v>
      </c>
    </row>
    <row r="474" spans="1:14" x14ac:dyDescent="0.3">
      <c r="A474">
        <f>EPD!A189</f>
        <v>0</v>
      </c>
      <c r="B474" s="330">
        <f>SUMIF('Materials Calculations'!B:B,MaterialData32[[#This Row],[Material]],'Materials Calculations'!F:F)</f>
        <v>0</v>
      </c>
      <c r="C474" s="330">
        <f>SUMIF('Materials Calculations'!B:B,MaterialData32[[#This Row],[Material]],'Materials Calculations'!H:H)</f>
        <v>0</v>
      </c>
      <c r="D474" s="330">
        <f>SUMIF('Materials Calculations'!B:B,MaterialData32[[#This Row],[Material]],'Materials Calculations'!AI:AI)</f>
        <v>0</v>
      </c>
      <c r="F474">
        <v>0</v>
      </c>
      <c r="G474">
        <v>0</v>
      </c>
      <c r="H474">
        <v>0</v>
      </c>
      <c r="I474">
        <v>0</v>
      </c>
      <c r="K474">
        <v>0</v>
      </c>
      <c r="L474" s="322">
        <v>0</v>
      </c>
      <c r="M474" s="322">
        <v>0</v>
      </c>
      <c r="N474" s="322">
        <v>0</v>
      </c>
    </row>
    <row r="475" spans="1:14" x14ac:dyDescent="0.3">
      <c r="A475">
        <f>EPD!A190</f>
        <v>0</v>
      </c>
      <c r="B475" s="330">
        <f>SUMIF('Materials Calculations'!B:B,MaterialData32[[#This Row],[Material]],'Materials Calculations'!F:F)</f>
        <v>0</v>
      </c>
      <c r="C475" s="330">
        <f>SUMIF('Materials Calculations'!B:B,MaterialData32[[#This Row],[Material]],'Materials Calculations'!H:H)</f>
        <v>0</v>
      </c>
      <c r="D475" s="330">
        <f>SUMIF('Materials Calculations'!B:B,MaterialData32[[#This Row],[Material]],'Materials Calculations'!AI:AI)</f>
        <v>0</v>
      </c>
      <c r="F475">
        <v>0</v>
      </c>
      <c r="G475">
        <v>0</v>
      </c>
      <c r="H475">
        <v>0</v>
      </c>
      <c r="I475">
        <v>0</v>
      </c>
      <c r="K475">
        <v>0</v>
      </c>
      <c r="L475" s="322">
        <v>0</v>
      </c>
      <c r="M475" s="322">
        <v>0</v>
      </c>
      <c r="N475" s="322">
        <v>0</v>
      </c>
    </row>
    <row r="476" spans="1:14" x14ac:dyDescent="0.3">
      <c r="A476">
        <f>EPD!A191</f>
        <v>0</v>
      </c>
      <c r="B476" s="330">
        <f>SUMIF('Materials Calculations'!B:B,MaterialData32[[#This Row],[Material]],'Materials Calculations'!F:F)</f>
        <v>0</v>
      </c>
      <c r="C476" s="330">
        <f>SUMIF('Materials Calculations'!B:B,MaterialData32[[#This Row],[Material]],'Materials Calculations'!H:H)</f>
        <v>0</v>
      </c>
      <c r="D476" s="330">
        <f>SUMIF('Materials Calculations'!B:B,MaterialData32[[#This Row],[Material]],'Materials Calculations'!AI:AI)</f>
        <v>0</v>
      </c>
      <c r="F476">
        <v>0</v>
      </c>
      <c r="G476">
        <v>0</v>
      </c>
      <c r="H476">
        <v>0</v>
      </c>
      <c r="I476">
        <v>0</v>
      </c>
      <c r="K476">
        <v>0</v>
      </c>
      <c r="L476" s="322">
        <v>0</v>
      </c>
      <c r="M476" s="322">
        <v>0</v>
      </c>
      <c r="N476" s="322">
        <v>0</v>
      </c>
    </row>
    <row r="477" spans="1:14" x14ac:dyDescent="0.3">
      <c r="A477">
        <f>EPD!A192</f>
        <v>0</v>
      </c>
      <c r="B477" s="330">
        <f>SUMIF('Materials Calculations'!B:B,MaterialData32[[#This Row],[Material]],'Materials Calculations'!F:F)</f>
        <v>0</v>
      </c>
      <c r="C477" s="330">
        <f>SUMIF('Materials Calculations'!B:B,MaterialData32[[#This Row],[Material]],'Materials Calculations'!H:H)</f>
        <v>0</v>
      </c>
      <c r="D477" s="330">
        <f>SUMIF('Materials Calculations'!B:B,MaterialData32[[#This Row],[Material]],'Materials Calculations'!AI:AI)</f>
        <v>0</v>
      </c>
      <c r="F477">
        <v>0</v>
      </c>
      <c r="G477">
        <v>0</v>
      </c>
      <c r="H477">
        <v>0</v>
      </c>
      <c r="I477">
        <v>0</v>
      </c>
      <c r="K477">
        <v>0</v>
      </c>
      <c r="L477" s="322">
        <v>0</v>
      </c>
      <c r="M477" s="322">
        <v>0</v>
      </c>
      <c r="N477" s="322">
        <v>0</v>
      </c>
    </row>
    <row r="478" spans="1:14" x14ac:dyDescent="0.3">
      <c r="A478">
        <f>EPD!A193</f>
        <v>0</v>
      </c>
      <c r="B478" s="330">
        <f>SUMIF('Materials Calculations'!B:B,MaterialData32[[#This Row],[Material]],'Materials Calculations'!F:F)</f>
        <v>0</v>
      </c>
      <c r="C478" s="330">
        <f>SUMIF('Materials Calculations'!B:B,MaterialData32[[#This Row],[Material]],'Materials Calculations'!H:H)</f>
        <v>0</v>
      </c>
      <c r="D478" s="330">
        <f>SUMIF('Materials Calculations'!B:B,MaterialData32[[#This Row],[Material]],'Materials Calculations'!AI:AI)</f>
        <v>0</v>
      </c>
      <c r="F478">
        <v>0</v>
      </c>
      <c r="G478">
        <v>0</v>
      </c>
      <c r="H478">
        <v>0</v>
      </c>
      <c r="I478">
        <v>0</v>
      </c>
      <c r="K478">
        <v>0</v>
      </c>
      <c r="L478" s="322">
        <v>0</v>
      </c>
      <c r="M478" s="322">
        <v>0</v>
      </c>
      <c r="N478" s="322">
        <v>0</v>
      </c>
    </row>
    <row r="479" spans="1:14" x14ac:dyDescent="0.3">
      <c r="A479">
        <f>EPD!A194</f>
        <v>0</v>
      </c>
      <c r="B479" s="330">
        <f>SUMIF('Materials Calculations'!B:B,MaterialData32[[#This Row],[Material]],'Materials Calculations'!F:F)</f>
        <v>0</v>
      </c>
      <c r="C479" s="330">
        <f>SUMIF('Materials Calculations'!B:B,MaterialData32[[#This Row],[Material]],'Materials Calculations'!H:H)</f>
        <v>0</v>
      </c>
      <c r="D479" s="330">
        <f>SUMIF('Materials Calculations'!B:B,MaterialData32[[#This Row],[Material]],'Materials Calculations'!AI:AI)</f>
        <v>0</v>
      </c>
      <c r="F479">
        <v>0</v>
      </c>
      <c r="G479">
        <v>0</v>
      </c>
      <c r="H479">
        <v>0</v>
      </c>
      <c r="I479">
        <v>0</v>
      </c>
      <c r="K479">
        <v>0</v>
      </c>
      <c r="L479" s="322">
        <v>0</v>
      </c>
      <c r="M479" s="322">
        <v>0</v>
      </c>
      <c r="N479" s="322">
        <v>0</v>
      </c>
    </row>
    <row r="480" spans="1:14" x14ac:dyDescent="0.3">
      <c r="A480">
        <f>EPD!A195</f>
        <v>0</v>
      </c>
      <c r="B480" s="330">
        <f>SUMIF('Materials Calculations'!B:B,MaterialData32[[#This Row],[Material]],'Materials Calculations'!F:F)</f>
        <v>0</v>
      </c>
      <c r="C480" s="330">
        <f>SUMIF('Materials Calculations'!B:B,MaterialData32[[#This Row],[Material]],'Materials Calculations'!H:H)</f>
        <v>0</v>
      </c>
      <c r="D480" s="330">
        <f>SUMIF('Materials Calculations'!B:B,MaterialData32[[#This Row],[Material]],'Materials Calculations'!AI:AI)</f>
        <v>0</v>
      </c>
      <c r="F480">
        <v>0</v>
      </c>
      <c r="G480">
        <v>0</v>
      </c>
      <c r="H480">
        <v>0</v>
      </c>
      <c r="I480">
        <v>0</v>
      </c>
      <c r="K480">
        <v>0</v>
      </c>
      <c r="L480" s="322">
        <v>0</v>
      </c>
      <c r="M480" s="322">
        <v>0</v>
      </c>
      <c r="N480" s="322">
        <v>0</v>
      </c>
    </row>
    <row r="481" spans="1:14" x14ac:dyDescent="0.3">
      <c r="A481">
        <f>EPD!A196</f>
        <v>0</v>
      </c>
      <c r="B481" s="330">
        <f>SUMIF('Materials Calculations'!B:B,MaterialData32[[#This Row],[Material]],'Materials Calculations'!F:F)</f>
        <v>0</v>
      </c>
      <c r="C481" s="330">
        <f>SUMIF('Materials Calculations'!B:B,MaterialData32[[#This Row],[Material]],'Materials Calculations'!H:H)</f>
        <v>0</v>
      </c>
      <c r="D481" s="330">
        <f>SUMIF('Materials Calculations'!B:B,MaterialData32[[#This Row],[Material]],'Materials Calculations'!AI:AI)</f>
        <v>0</v>
      </c>
      <c r="F481">
        <v>0</v>
      </c>
      <c r="G481">
        <v>0</v>
      </c>
      <c r="H481">
        <v>0</v>
      </c>
      <c r="I481">
        <v>0</v>
      </c>
      <c r="K481">
        <v>0</v>
      </c>
      <c r="L481" s="322">
        <v>0</v>
      </c>
      <c r="M481" s="322">
        <v>0</v>
      </c>
      <c r="N481" s="322">
        <v>0</v>
      </c>
    </row>
    <row r="482" spans="1:14" x14ac:dyDescent="0.3">
      <c r="A482">
        <f>EPD!A197</f>
        <v>0</v>
      </c>
      <c r="B482" s="330">
        <f>SUMIF('Materials Calculations'!B:B,MaterialData32[[#This Row],[Material]],'Materials Calculations'!F:F)</f>
        <v>0</v>
      </c>
      <c r="C482" s="330">
        <f>SUMIF('Materials Calculations'!B:B,MaterialData32[[#This Row],[Material]],'Materials Calculations'!H:H)</f>
        <v>0</v>
      </c>
      <c r="D482" s="330">
        <f>SUMIF('Materials Calculations'!B:B,MaterialData32[[#This Row],[Material]],'Materials Calculations'!AI:AI)</f>
        <v>0</v>
      </c>
      <c r="F482">
        <v>0</v>
      </c>
      <c r="G482">
        <v>0</v>
      </c>
      <c r="H482">
        <v>0</v>
      </c>
      <c r="I482">
        <v>0</v>
      </c>
      <c r="K482">
        <v>0</v>
      </c>
      <c r="L482" s="322">
        <v>0</v>
      </c>
      <c r="M482" s="322">
        <v>0</v>
      </c>
      <c r="N482" s="322">
        <v>0</v>
      </c>
    </row>
    <row r="483" spans="1:14" x14ac:dyDescent="0.3">
      <c r="A483">
        <f>EPD!A198</f>
        <v>0</v>
      </c>
      <c r="B483" s="330">
        <f>SUMIF('Materials Calculations'!B:B,MaterialData32[[#This Row],[Material]],'Materials Calculations'!F:F)</f>
        <v>0</v>
      </c>
      <c r="C483" s="330">
        <f>SUMIF('Materials Calculations'!B:B,MaterialData32[[#This Row],[Material]],'Materials Calculations'!H:H)</f>
        <v>0</v>
      </c>
      <c r="D483" s="330">
        <f>SUMIF('Materials Calculations'!B:B,MaterialData32[[#This Row],[Material]],'Materials Calculations'!AI:AI)</f>
        <v>0</v>
      </c>
      <c r="F483">
        <v>0</v>
      </c>
      <c r="G483">
        <v>0</v>
      </c>
      <c r="H483">
        <v>0</v>
      </c>
      <c r="I483">
        <v>0</v>
      </c>
      <c r="K483">
        <v>0</v>
      </c>
      <c r="L483" s="322">
        <v>0</v>
      </c>
      <c r="M483" s="322">
        <v>0</v>
      </c>
      <c r="N483" s="322">
        <v>0</v>
      </c>
    </row>
    <row r="484" spans="1:14" x14ac:dyDescent="0.3">
      <c r="A484">
        <f>EPD!A199</f>
        <v>0</v>
      </c>
      <c r="B484" s="330">
        <f>SUMIF('Materials Calculations'!B:B,MaterialData32[[#This Row],[Material]],'Materials Calculations'!F:F)</f>
        <v>0</v>
      </c>
      <c r="C484" s="330">
        <f>SUMIF('Materials Calculations'!B:B,MaterialData32[[#This Row],[Material]],'Materials Calculations'!H:H)</f>
        <v>0</v>
      </c>
      <c r="D484" s="330">
        <f>SUMIF('Materials Calculations'!B:B,MaterialData32[[#This Row],[Material]],'Materials Calculations'!AI:AI)</f>
        <v>0</v>
      </c>
      <c r="F484">
        <v>0</v>
      </c>
      <c r="G484">
        <v>0</v>
      </c>
      <c r="H484">
        <v>0</v>
      </c>
      <c r="I484">
        <v>0</v>
      </c>
      <c r="K484">
        <v>0</v>
      </c>
      <c r="L484" s="322">
        <v>0</v>
      </c>
      <c r="M484" s="322">
        <v>0</v>
      </c>
      <c r="N484" s="322">
        <v>0</v>
      </c>
    </row>
    <row r="485" spans="1:14" x14ac:dyDescent="0.3">
      <c r="A485">
        <f>EPD!A200</f>
        <v>0</v>
      </c>
      <c r="B485" s="330">
        <f>SUMIF('Materials Calculations'!B:B,MaterialData32[[#This Row],[Material]],'Materials Calculations'!F:F)</f>
        <v>0</v>
      </c>
      <c r="C485" s="330">
        <f>SUMIF('Materials Calculations'!B:B,MaterialData32[[#This Row],[Material]],'Materials Calculations'!H:H)</f>
        <v>0</v>
      </c>
      <c r="D485" s="330">
        <f>SUMIF('Materials Calculations'!B:B,MaterialData32[[#This Row],[Material]],'Materials Calculations'!AI:AI)</f>
        <v>0</v>
      </c>
      <c r="F485">
        <v>0</v>
      </c>
      <c r="G485">
        <v>0</v>
      </c>
      <c r="H485">
        <v>0</v>
      </c>
      <c r="I485">
        <v>0</v>
      </c>
      <c r="K485">
        <v>0</v>
      </c>
      <c r="L485" s="322">
        <v>0</v>
      </c>
      <c r="M485" s="322">
        <v>0</v>
      </c>
      <c r="N485" s="322">
        <v>0</v>
      </c>
    </row>
    <row r="486" spans="1:14" x14ac:dyDescent="0.3">
      <c r="A486">
        <f>EPD!A201</f>
        <v>0</v>
      </c>
      <c r="B486" s="330">
        <f>SUMIF('Materials Calculations'!B:B,MaterialData32[[#This Row],[Material]],'Materials Calculations'!F:F)</f>
        <v>0</v>
      </c>
      <c r="C486" s="330">
        <f>SUMIF('Materials Calculations'!B:B,MaterialData32[[#This Row],[Material]],'Materials Calculations'!H:H)</f>
        <v>0</v>
      </c>
      <c r="D486" s="330">
        <f>SUMIF('Materials Calculations'!B:B,MaterialData32[[#This Row],[Material]],'Materials Calculations'!AI:AI)</f>
        <v>0</v>
      </c>
      <c r="F486">
        <v>0</v>
      </c>
      <c r="G486">
        <v>0</v>
      </c>
      <c r="H486">
        <v>0</v>
      </c>
      <c r="I486">
        <v>0</v>
      </c>
      <c r="K486">
        <v>0</v>
      </c>
      <c r="L486" s="322">
        <v>0</v>
      </c>
      <c r="M486" s="322">
        <v>0</v>
      </c>
      <c r="N486" s="322">
        <v>0</v>
      </c>
    </row>
    <row r="487" spans="1:14" x14ac:dyDescent="0.3">
      <c r="A487">
        <f>EPD!A202</f>
        <v>0</v>
      </c>
      <c r="B487" s="330">
        <f>SUMIF('Materials Calculations'!B:B,MaterialData32[[#This Row],[Material]],'Materials Calculations'!F:F)</f>
        <v>0</v>
      </c>
      <c r="C487" s="330">
        <f>SUMIF('Materials Calculations'!B:B,MaterialData32[[#This Row],[Material]],'Materials Calculations'!H:H)</f>
        <v>0</v>
      </c>
      <c r="D487" s="330">
        <f>SUMIF('Materials Calculations'!B:B,MaterialData32[[#This Row],[Material]],'Materials Calculations'!AI:AI)</f>
        <v>0</v>
      </c>
      <c r="F487">
        <v>0</v>
      </c>
      <c r="G487">
        <v>0</v>
      </c>
      <c r="H487">
        <v>0</v>
      </c>
      <c r="I487">
        <v>0</v>
      </c>
      <c r="K487">
        <v>0</v>
      </c>
      <c r="L487" s="322">
        <v>0</v>
      </c>
      <c r="M487" s="322">
        <v>0</v>
      </c>
      <c r="N487" s="322">
        <v>0</v>
      </c>
    </row>
    <row r="488" spans="1:14" x14ac:dyDescent="0.3">
      <c r="A488">
        <f>EPD!A203</f>
        <v>0</v>
      </c>
      <c r="B488" s="330">
        <f>SUMIF('Materials Calculations'!B:B,MaterialData32[[#This Row],[Material]],'Materials Calculations'!F:F)</f>
        <v>0</v>
      </c>
      <c r="C488" s="330">
        <f>SUMIF('Materials Calculations'!B:B,MaterialData32[[#This Row],[Material]],'Materials Calculations'!H:H)</f>
        <v>0</v>
      </c>
      <c r="D488" s="330">
        <f>SUMIF('Materials Calculations'!B:B,MaterialData32[[#This Row],[Material]],'Materials Calculations'!AI:AI)</f>
        <v>0</v>
      </c>
      <c r="F488">
        <v>0</v>
      </c>
      <c r="G488">
        <v>0</v>
      </c>
      <c r="H488">
        <v>0</v>
      </c>
      <c r="I488">
        <v>0</v>
      </c>
      <c r="K488">
        <v>0</v>
      </c>
      <c r="L488" s="322">
        <v>0</v>
      </c>
      <c r="M488" s="322">
        <v>0</v>
      </c>
      <c r="N488" s="322">
        <v>0</v>
      </c>
    </row>
    <row r="489" spans="1:14" x14ac:dyDescent="0.3">
      <c r="A489">
        <f>EPD!A204</f>
        <v>0</v>
      </c>
      <c r="B489" s="330">
        <f>SUMIF('Materials Calculations'!B:B,MaterialData32[[#This Row],[Material]],'Materials Calculations'!F:F)</f>
        <v>0</v>
      </c>
      <c r="C489" s="330">
        <f>SUMIF('Materials Calculations'!B:B,MaterialData32[[#This Row],[Material]],'Materials Calculations'!H:H)</f>
        <v>0</v>
      </c>
      <c r="D489" s="330">
        <f>SUMIF('Materials Calculations'!B:B,MaterialData32[[#This Row],[Material]],'Materials Calculations'!AI:AI)</f>
        <v>0</v>
      </c>
      <c r="F489">
        <v>0</v>
      </c>
      <c r="G489">
        <v>0</v>
      </c>
      <c r="H489">
        <v>0</v>
      </c>
      <c r="I489">
        <v>0</v>
      </c>
      <c r="K489">
        <v>0</v>
      </c>
      <c r="L489" s="322">
        <v>0</v>
      </c>
      <c r="M489" s="322">
        <v>0</v>
      </c>
      <c r="N489" s="322">
        <v>0</v>
      </c>
    </row>
    <row r="490" spans="1:14" x14ac:dyDescent="0.3">
      <c r="A490">
        <f>EPD!A205</f>
        <v>0</v>
      </c>
      <c r="B490" s="330">
        <f>SUMIF('Materials Calculations'!B:B,MaterialData32[[#This Row],[Material]],'Materials Calculations'!F:F)</f>
        <v>0</v>
      </c>
      <c r="C490" s="330">
        <f>SUMIF('Materials Calculations'!B:B,MaterialData32[[#This Row],[Material]],'Materials Calculations'!H:H)</f>
        <v>0</v>
      </c>
      <c r="D490" s="330">
        <f>SUMIF('Materials Calculations'!B:B,MaterialData32[[#This Row],[Material]],'Materials Calculations'!AI:AI)</f>
        <v>0</v>
      </c>
      <c r="F490">
        <v>0</v>
      </c>
      <c r="G490">
        <v>0</v>
      </c>
      <c r="H490">
        <v>0</v>
      </c>
      <c r="I490">
        <v>0</v>
      </c>
      <c r="K490">
        <v>0</v>
      </c>
      <c r="L490" s="322">
        <v>0</v>
      </c>
      <c r="M490" s="322">
        <v>0</v>
      </c>
      <c r="N490" s="322">
        <v>0</v>
      </c>
    </row>
    <row r="491" spans="1:14" x14ac:dyDescent="0.3">
      <c r="A491">
        <f>EPD!A206</f>
        <v>0</v>
      </c>
      <c r="B491" s="330">
        <f>SUMIF('Materials Calculations'!B:B,MaterialData32[[#This Row],[Material]],'Materials Calculations'!F:F)</f>
        <v>0</v>
      </c>
      <c r="C491" s="330">
        <f>SUMIF('Materials Calculations'!B:B,MaterialData32[[#This Row],[Material]],'Materials Calculations'!H:H)</f>
        <v>0</v>
      </c>
      <c r="D491" s="330">
        <f>SUMIF('Materials Calculations'!B:B,MaterialData32[[#This Row],[Material]],'Materials Calculations'!AI:AI)</f>
        <v>0</v>
      </c>
      <c r="F491">
        <v>0</v>
      </c>
      <c r="G491">
        <v>0</v>
      </c>
      <c r="H491">
        <v>0</v>
      </c>
      <c r="I491">
        <v>0</v>
      </c>
      <c r="K491">
        <v>0</v>
      </c>
      <c r="L491" s="322">
        <v>0</v>
      </c>
      <c r="M491" s="322">
        <v>0</v>
      </c>
      <c r="N491" s="322">
        <v>0</v>
      </c>
    </row>
    <row r="492" spans="1:14" x14ac:dyDescent="0.3">
      <c r="A492">
        <f>EPD!A207</f>
        <v>0</v>
      </c>
      <c r="B492" s="330">
        <f>SUMIF('Materials Calculations'!B:B,MaterialData32[[#This Row],[Material]],'Materials Calculations'!F:F)</f>
        <v>0</v>
      </c>
      <c r="C492" s="330">
        <f>SUMIF('Materials Calculations'!B:B,MaterialData32[[#This Row],[Material]],'Materials Calculations'!H:H)</f>
        <v>0</v>
      </c>
      <c r="D492" s="330">
        <f>SUMIF('Materials Calculations'!B:B,MaterialData32[[#This Row],[Material]],'Materials Calculations'!AI:AI)</f>
        <v>0</v>
      </c>
      <c r="F492">
        <v>0</v>
      </c>
      <c r="G492">
        <v>0</v>
      </c>
      <c r="H492">
        <v>0</v>
      </c>
      <c r="I492">
        <v>0</v>
      </c>
      <c r="K492">
        <v>0</v>
      </c>
      <c r="L492" s="322">
        <v>0</v>
      </c>
      <c r="M492" s="322">
        <v>0</v>
      </c>
      <c r="N492" s="322">
        <v>0</v>
      </c>
    </row>
    <row r="493" spans="1:14" x14ac:dyDescent="0.3">
      <c r="A493">
        <f>EPD!A208</f>
        <v>0</v>
      </c>
      <c r="B493" s="330">
        <f>SUMIF('Materials Calculations'!B:B,MaterialData32[[#This Row],[Material]],'Materials Calculations'!F:F)</f>
        <v>0</v>
      </c>
      <c r="C493" s="330">
        <f>SUMIF('Materials Calculations'!B:B,MaterialData32[[#This Row],[Material]],'Materials Calculations'!H:H)</f>
        <v>0</v>
      </c>
      <c r="D493" s="330">
        <f>SUMIF('Materials Calculations'!B:B,MaterialData32[[#This Row],[Material]],'Materials Calculations'!AI:AI)</f>
        <v>0</v>
      </c>
      <c r="F493">
        <v>0</v>
      </c>
      <c r="G493">
        <v>0</v>
      </c>
      <c r="H493">
        <v>0</v>
      </c>
      <c r="I493">
        <v>0</v>
      </c>
      <c r="K493">
        <v>0</v>
      </c>
      <c r="L493" s="322">
        <v>0</v>
      </c>
      <c r="M493" s="322">
        <v>0</v>
      </c>
      <c r="N493" s="322">
        <v>0</v>
      </c>
    </row>
    <row r="494" spans="1:14" x14ac:dyDescent="0.3">
      <c r="A494">
        <f>EPD!A209</f>
        <v>0</v>
      </c>
      <c r="B494" s="330">
        <f>SUMIF('Materials Calculations'!B:B,MaterialData32[[#This Row],[Material]],'Materials Calculations'!F:F)</f>
        <v>0</v>
      </c>
      <c r="C494" s="330">
        <f>SUMIF('Materials Calculations'!B:B,MaterialData32[[#This Row],[Material]],'Materials Calculations'!H:H)</f>
        <v>0</v>
      </c>
      <c r="D494" s="330">
        <f>SUMIF('Materials Calculations'!B:B,MaterialData32[[#This Row],[Material]],'Materials Calculations'!AI:AI)</f>
        <v>0</v>
      </c>
      <c r="F494">
        <v>0</v>
      </c>
      <c r="G494">
        <v>0</v>
      </c>
      <c r="H494">
        <v>0</v>
      </c>
      <c r="I494">
        <v>0</v>
      </c>
      <c r="K494">
        <v>0</v>
      </c>
      <c r="L494" s="322">
        <v>0</v>
      </c>
      <c r="M494" s="322">
        <v>0</v>
      </c>
      <c r="N494" s="322">
        <v>0</v>
      </c>
    </row>
    <row r="495" spans="1:14" x14ac:dyDescent="0.3">
      <c r="A495">
        <f>EPD!A210</f>
        <v>0</v>
      </c>
      <c r="B495" s="330">
        <f>SUMIF('Materials Calculations'!B:B,MaterialData32[[#This Row],[Material]],'Materials Calculations'!F:F)</f>
        <v>0</v>
      </c>
      <c r="C495" s="330">
        <f>SUMIF('Materials Calculations'!B:B,MaterialData32[[#This Row],[Material]],'Materials Calculations'!H:H)</f>
        <v>0</v>
      </c>
      <c r="D495" s="330">
        <f>SUMIF('Materials Calculations'!B:B,MaterialData32[[#This Row],[Material]],'Materials Calculations'!AI:AI)</f>
        <v>0</v>
      </c>
      <c r="F495">
        <v>0</v>
      </c>
      <c r="G495">
        <v>0</v>
      </c>
      <c r="H495">
        <v>0</v>
      </c>
      <c r="I495">
        <v>0</v>
      </c>
      <c r="K495">
        <v>0</v>
      </c>
      <c r="L495" s="322">
        <v>0</v>
      </c>
      <c r="M495" s="322">
        <v>0</v>
      </c>
      <c r="N495" s="322">
        <v>0</v>
      </c>
    </row>
    <row r="496" spans="1:14" x14ac:dyDescent="0.3">
      <c r="A496">
        <f>EPD!A211</f>
        <v>0</v>
      </c>
      <c r="B496" s="330">
        <f>SUMIF('Materials Calculations'!B:B,MaterialData32[[#This Row],[Material]],'Materials Calculations'!F:F)</f>
        <v>0</v>
      </c>
      <c r="C496" s="330">
        <f>SUMIF('Materials Calculations'!B:B,MaterialData32[[#This Row],[Material]],'Materials Calculations'!H:H)</f>
        <v>0</v>
      </c>
      <c r="D496" s="330">
        <f>SUMIF('Materials Calculations'!B:B,MaterialData32[[#This Row],[Material]],'Materials Calculations'!AI:AI)</f>
        <v>0</v>
      </c>
      <c r="F496">
        <v>0</v>
      </c>
      <c r="G496">
        <v>0</v>
      </c>
      <c r="H496">
        <v>0</v>
      </c>
      <c r="I496">
        <v>0</v>
      </c>
      <c r="K496">
        <v>0</v>
      </c>
      <c r="L496" s="322">
        <v>0</v>
      </c>
      <c r="M496" s="322">
        <v>0</v>
      </c>
      <c r="N496" s="322">
        <v>0</v>
      </c>
    </row>
    <row r="497" spans="1:14" x14ac:dyDescent="0.3">
      <c r="A497">
        <f>EPD!A212</f>
        <v>0</v>
      </c>
      <c r="B497" s="330">
        <f>SUMIF('Materials Calculations'!B:B,MaterialData32[[#This Row],[Material]],'Materials Calculations'!F:F)</f>
        <v>0</v>
      </c>
      <c r="C497" s="330">
        <f>SUMIF('Materials Calculations'!B:B,MaterialData32[[#This Row],[Material]],'Materials Calculations'!H:H)</f>
        <v>0</v>
      </c>
      <c r="D497" s="330">
        <f>SUMIF('Materials Calculations'!B:B,MaterialData32[[#This Row],[Material]],'Materials Calculations'!AI:AI)</f>
        <v>0</v>
      </c>
      <c r="F497">
        <v>0</v>
      </c>
      <c r="G497">
        <v>0</v>
      </c>
      <c r="H497">
        <v>0</v>
      </c>
      <c r="I497">
        <v>0</v>
      </c>
      <c r="K497">
        <v>0</v>
      </c>
      <c r="L497" s="322">
        <v>0</v>
      </c>
      <c r="M497" s="322">
        <v>0</v>
      </c>
      <c r="N497" s="322">
        <v>0</v>
      </c>
    </row>
    <row r="498" spans="1:14" x14ac:dyDescent="0.3">
      <c r="A498">
        <f>EPD!A213</f>
        <v>0</v>
      </c>
      <c r="B498" s="330">
        <f>SUMIF('Materials Calculations'!B:B,MaterialData32[[#This Row],[Material]],'Materials Calculations'!F:F)</f>
        <v>0</v>
      </c>
      <c r="C498" s="330">
        <f>SUMIF('Materials Calculations'!B:B,MaterialData32[[#This Row],[Material]],'Materials Calculations'!H:H)</f>
        <v>0</v>
      </c>
      <c r="D498" s="330">
        <f>SUMIF('Materials Calculations'!B:B,MaterialData32[[#This Row],[Material]],'Materials Calculations'!AI:AI)</f>
        <v>0</v>
      </c>
      <c r="F498">
        <v>0</v>
      </c>
      <c r="G498">
        <v>0</v>
      </c>
      <c r="H498">
        <v>0</v>
      </c>
      <c r="I498">
        <v>0</v>
      </c>
      <c r="K498">
        <v>0</v>
      </c>
      <c r="L498" s="322">
        <v>0</v>
      </c>
      <c r="M498" s="322">
        <v>0</v>
      </c>
      <c r="N498" s="322">
        <v>0</v>
      </c>
    </row>
    <row r="499" spans="1:14" x14ac:dyDescent="0.3">
      <c r="A499">
        <f>EPD!A214</f>
        <v>0</v>
      </c>
      <c r="B499" s="330">
        <f>SUMIF('Materials Calculations'!B:B,MaterialData32[[#This Row],[Material]],'Materials Calculations'!F:F)</f>
        <v>0</v>
      </c>
      <c r="C499" s="330">
        <f>SUMIF('Materials Calculations'!B:B,MaterialData32[[#This Row],[Material]],'Materials Calculations'!H:H)</f>
        <v>0</v>
      </c>
      <c r="D499" s="330">
        <f>SUMIF('Materials Calculations'!B:B,MaterialData32[[#This Row],[Material]],'Materials Calculations'!AI:AI)</f>
        <v>0</v>
      </c>
      <c r="F499">
        <v>0</v>
      </c>
      <c r="G499">
        <v>0</v>
      </c>
      <c r="H499">
        <v>0</v>
      </c>
      <c r="I499">
        <v>0</v>
      </c>
      <c r="K499">
        <v>0</v>
      </c>
      <c r="L499" s="322">
        <v>0</v>
      </c>
      <c r="M499" s="322">
        <v>0</v>
      </c>
      <c r="N499" s="322">
        <v>0</v>
      </c>
    </row>
    <row r="500" spans="1:14" x14ac:dyDescent="0.3">
      <c r="A500">
        <f>EPD!A215</f>
        <v>0</v>
      </c>
      <c r="B500" s="330">
        <f>SUMIF('Materials Calculations'!B:B,MaterialData32[[#This Row],[Material]],'Materials Calculations'!F:F)</f>
        <v>0</v>
      </c>
      <c r="C500" s="330">
        <f>SUMIF('Materials Calculations'!B:B,MaterialData32[[#This Row],[Material]],'Materials Calculations'!H:H)</f>
        <v>0</v>
      </c>
      <c r="D500" s="330">
        <f>SUMIF('Materials Calculations'!B:B,MaterialData32[[#This Row],[Material]],'Materials Calculations'!AI:AI)</f>
        <v>0</v>
      </c>
      <c r="F500">
        <v>0</v>
      </c>
      <c r="G500">
        <v>0</v>
      </c>
      <c r="H500">
        <v>0</v>
      </c>
      <c r="I500">
        <v>0</v>
      </c>
      <c r="K500">
        <v>0</v>
      </c>
      <c r="L500" s="322">
        <v>0</v>
      </c>
      <c r="M500" s="322">
        <v>0</v>
      </c>
      <c r="N500" s="322">
        <v>0</v>
      </c>
    </row>
    <row r="501" spans="1:14" x14ac:dyDescent="0.3">
      <c r="A501">
        <f>EPD!A216</f>
        <v>0</v>
      </c>
      <c r="B501" s="330">
        <f>SUMIF('Materials Calculations'!B:B,MaterialData32[[#This Row],[Material]],'Materials Calculations'!F:F)</f>
        <v>0</v>
      </c>
      <c r="C501" s="330">
        <f>SUMIF('Materials Calculations'!B:B,MaterialData32[[#This Row],[Material]],'Materials Calculations'!H:H)</f>
        <v>0</v>
      </c>
      <c r="D501" s="330">
        <f>SUMIF('Materials Calculations'!B:B,MaterialData32[[#This Row],[Material]],'Materials Calculations'!AI:AI)</f>
        <v>0</v>
      </c>
      <c r="F501">
        <v>0</v>
      </c>
      <c r="G501">
        <v>0</v>
      </c>
      <c r="H501">
        <v>0</v>
      </c>
      <c r="I501">
        <v>0</v>
      </c>
      <c r="K501">
        <v>0</v>
      </c>
      <c r="L501" s="322">
        <v>0</v>
      </c>
      <c r="M501" s="322">
        <v>0</v>
      </c>
      <c r="N501" s="322">
        <v>0</v>
      </c>
    </row>
    <row r="502" spans="1:14" x14ac:dyDescent="0.3">
      <c r="A502">
        <f>EPD!A217</f>
        <v>0</v>
      </c>
      <c r="B502" s="330">
        <f>SUMIF('Materials Calculations'!B:B,MaterialData32[[#This Row],[Material]],'Materials Calculations'!F:F)</f>
        <v>0</v>
      </c>
      <c r="C502" s="330">
        <f>SUMIF('Materials Calculations'!B:B,MaterialData32[[#This Row],[Material]],'Materials Calculations'!H:H)</f>
        <v>0</v>
      </c>
      <c r="D502" s="330">
        <f>SUMIF('Materials Calculations'!B:B,MaterialData32[[#This Row],[Material]],'Materials Calculations'!AI:AI)</f>
        <v>0</v>
      </c>
      <c r="F502">
        <v>0</v>
      </c>
      <c r="G502">
        <v>0</v>
      </c>
      <c r="H502">
        <v>0</v>
      </c>
      <c r="I502">
        <v>0</v>
      </c>
      <c r="K502">
        <v>0</v>
      </c>
      <c r="L502" s="322">
        <v>0</v>
      </c>
      <c r="M502" s="322">
        <v>0</v>
      </c>
      <c r="N502" s="322">
        <v>0</v>
      </c>
    </row>
    <row r="503" spans="1:14" x14ac:dyDescent="0.3">
      <c r="A503">
        <f>EPD!A218</f>
        <v>0</v>
      </c>
      <c r="B503" s="330">
        <f>SUMIF('Materials Calculations'!B:B,MaterialData32[[#This Row],[Material]],'Materials Calculations'!F:F)</f>
        <v>0</v>
      </c>
      <c r="C503" s="330">
        <f>SUMIF('Materials Calculations'!B:B,MaterialData32[[#This Row],[Material]],'Materials Calculations'!H:H)</f>
        <v>0</v>
      </c>
      <c r="D503" s="330">
        <f>SUMIF('Materials Calculations'!B:B,MaterialData32[[#This Row],[Material]],'Materials Calculations'!AI:AI)</f>
        <v>0</v>
      </c>
      <c r="F503">
        <v>0</v>
      </c>
      <c r="G503">
        <v>0</v>
      </c>
      <c r="H503">
        <v>0</v>
      </c>
      <c r="I503">
        <v>0</v>
      </c>
      <c r="K503">
        <v>0</v>
      </c>
      <c r="L503" s="322">
        <v>0</v>
      </c>
      <c r="M503" s="322">
        <v>0</v>
      </c>
      <c r="N503" s="322">
        <v>0</v>
      </c>
    </row>
    <row r="504" spans="1:14" x14ac:dyDescent="0.3">
      <c r="A504">
        <f>EPD!A219</f>
        <v>0</v>
      </c>
      <c r="B504" s="330">
        <f>SUMIF('Materials Calculations'!B:B,MaterialData32[[#This Row],[Material]],'Materials Calculations'!F:F)</f>
        <v>0</v>
      </c>
      <c r="C504" s="330">
        <f>SUMIF('Materials Calculations'!B:B,MaterialData32[[#This Row],[Material]],'Materials Calculations'!H:H)</f>
        <v>0</v>
      </c>
      <c r="D504" s="330">
        <f>SUMIF('Materials Calculations'!B:B,MaterialData32[[#This Row],[Material]],'Materials Calculations'!AI:AI)</f>
        <v>0</v>
      </c>
      <c r="F504">
        <v>0</v>
      </c>
      <c r="G504">
        <v>0</v>
      </c>
      <c r="H504">
        <v>0</v>
      </c>
      <c r="I504">
        <v>0</v>
      </c>
      <c r="K504">
        <v>0</v>
      </c>
      <c r="L504" s="322">
        <v>0</v>
      </c>
      <c r="M504" s="322">
        <v>0</v>
      </c>
      <c r="N504" s="322">
        <v>0</v>
      </c>
    </row>
    <row r="505" spans="1:14" x14ac:dyDescent="0.3">
      <c r="A505">
        <f>EPD!A220</f>
        <v>0</v>
      </c>
      <c r="B505" s="330">
        <f>SUMIF('Materials Calculations'!B:B,MaterialData32[[#This Row],[Material]],'Materials Calculations'!F:F)</f>
        <v>0</v>
      </c>
      <c r="C505" s="330">
        <f>SUMIF('Materials Calculations'!B:B,MaterialData32[[#This Row],[Material]],'Materials Calculations'!H:H)</f>
        <v>0</v>
      </c>
      <c r="D505" s="330">
        <f>SUMIF('Materials Calculations'!B:B,MaterialData32[[#This Row],[Material]],'Materials Calculations'!AI:AI)</f>
        <v>0</v>
      </c>
      <c r="F505">
        <v>0</v>
      </c>
      <c r="G505">
        <v>0</v>
      </c>
      <c r="H505">
        <v>0</v>
      </c>
      <c r="I505">
        <v>0</v>
      </c>
      <c r="K505">
        <v>0</v>
      </c>
      <c r="L505" s="322">
        <v>0</v>
      </c>
      <c r="M505" s="322">
        <v>0</v>
      </c>
      <c r="N505" s="322">
        <v>0</v>
      </c>
    </row>
    <row r="506" spans="1:14" x14ac:dyDescent="0.3">
      <c r="A506">
        <f>EPD!A221</f>
        <v>0</v>
      </c>
      <c r="B506" s="330">
        <f>SUMIF('Materials Calculations'!B:B,MaterialData32[[#This Row],[Material]],'Materials Calculations'!F:F)</f>
        <v>0</v>
      </c>
      <c r="C506" s="330">
        <f>SUMIF('Materials Calculations'!B:B,MaterialData32[[#This Row],[Material]],'Materials Calculations'!H:H)</f>
        <v>0</v>
      </c>
      <c r="D506" s="330">
        <f>SUMIF('Materials Calculations'!B:B,MaterialData32[[#This Row],[Material]],'Materials Calculations'!AI:AI)</f>
        <v>0</v>
      </c>
      <c r="F506">
        <v>0</v>
      </c>
      <c r="G506">
        <v>0</v>
      </c>
      <c r="H506">
        <v>0</v>
      </c>
      <c r="I506">
        <v>0</v>
      </c>
      <c r="K506">
        <v>0</v>
      </c>
      <c r="L506" s="322">
        <v>0</v>
      </c>
      <c r="M506" s="322">
        <v>0</v>
      </c>
      <c r="N506" s="322">
        <v>0</v>
      </c>
    </row>
    <row r="507" spans="1:14" x14ac:dyDescent="0.3">
      <c r="A507">
        <f>EPD!A222</f>
        <v>0</v>
      </c>
      <c r="B507" s="330">
        <f>SUMIF('Materials Calculations'!B:B,MaterialData32[[#This Row],[Material]],'Materials Calculations'!F:F)</f>
        <v>0</v>
      </c>
      <c r="C507" s="330">
        <f>SUMIF('Materials Calculations'!B:B,MaterialData32[[#This Row],[Material]],'Materials Calculations'!H:H)</f>
        <v>0</v>
      </c>
      <c r="D507" s="330">
        <f>SUMIF('Materials Calculations'!B:B,MaterialData32[[#This Row],[Material]],'Materials Calculations'!AI:AI)</f>
        <v>0</v>
      </c>
      <c r="F507">
        <v>0</v>
      </c>
      <c r="G507">
        <v>0</v>
      </c>
      <c r="H507">
        <v>0</v>
      </c>
      <c r="I507">
        <v>0</v>
      </c>
      <c r="K507">
        <v>0</v>
      </c>
      <c r="L507" s="322">
        <v>0</v>
      </c>
      <c r="M507" s="322">
        <v>0</v>
      </c>
      <c r="N507" s="322">
        <v>0</v>
      </c>
    </row>
    <row r="508" spans="1:14" x14ac:dyDescent="0.3">
      <c r="A508">
        <f>EPD!A223</f>
        <v>0</v>
      </c>
      <c r="B508" s="330">
        <f>SUMIF('Materials Calculations'!B:B,MaterialData32[[#This Row],[Material]],'Materials Calculations'!F:F)</f>
        <v>0</v>
      </c>
      <c r="C508" s="330">
        <f>SUMIF('Materials Calculations'!B:B,MaterialData32[[#This Row],[Material]],'Materials Calculations'!H:H)</f>
        <v>0</v>
      </c>
      <c r="D508" s="330">
        <f>SUMIF('Materials Calculations'!B:B,MaterialData32[[#This Row],[Material]],'Materials Calculations'!AI:AI)</f>
        <v>0</v>
      </c>
      <c r="F508">
        <v>0</v>
      </c>
      <c r="G508">
        <v>0</v>
      </c>
      <c r="H508">
        <v>0</v>
      </c>
      <c r="I508">
        <v>0</v>
      </c>
      <c r="K508">
        <v>0</v>
      </c>
      <c r="L508" s="322">
        <v>0</v>
      </c>
      <c r="M508" s="322">
        <v>0</v>
      </c>
      <c r="N508" s="322">
        <v>0</v>
      </c>
    </row>
    <row r="509" spans="1:14" x14ac:dyDescent="0.3">
      <c r="A509">
        <f>EPD!A224</f>
        <v>0</v>
      </c>
      <c r="B509" s="330">
        <f>SUMIF('Materials Calculations'!B:B,MaterialData32[[#This Row],[Material]],'Materials Calculations'!F:F)</f>
        <v>0</v>
      </c>
      <c r="C509" s="330">
        <f>SUMIF('Materials Calculations'!B:B,MaterialData32[[#This Row],[Material]],'Materials Calculations'!H:H)</f>
        <v>0</v>
      </c>
      <c r="D509" s="330">
        <f>SUMIF('Materials Calculations'!B:B,MaterialData32[[#This Row],[Material]],'Materials Calculations'!AI:AI)</f>
        <v>0</v>
      </c>
      <c r="F509">
        <v>0</v>
      </c>
      <c r="G509">
        <v>0</v>
      </c>
      <c r="H509">
        <v>0</v>
      </c>
      <c r="I509">
        <v>0</v>
      </c>
      <c r="K509">
        <v>0</v>
      </c>
      <c r="L509" s="322">
        <v>0</v>
      </c>
      <c r="M509" s="322">
        <v>0</v>
      </c>
      <c r="N509" s="322">
        <v>0</v>
      </c>
    </row>
    <row r="510" spans="1:14" x14ac:dyDescent="0.3">
      <c r="A510">
        <f>EPD!A225</f>
        <v>0</v>
      </c>
      <c r="B510" s="330">
        <f>SUMIF('Materials Calculations'!B:B,MaterialData32[[#This Row],[Material]],'Materials Calculations'!F:F)</f>
        <v>0</v>
      </c>
      <c r="C510" s="330">
        <f>SUMIF('Materials Calculations'!B:B,MaterialData32[[#This Row],[Material]],'Materials Calculations'!H:H)</f>
        <v>0</v>
      </c>
      <c r="D510" s="330">
        <f>SUMIF('Materials Calculations'!B:B,MaterialData32[[#This Row],[Material]],'Materials Calculations'!AI:AI)</f>
        <v>0</v>
      </c>
      <c r="F510">
        <v>0</v>
      </c>
      <c r="G510">
        <v>0</v>
      </c>
      <c r="H510">
        <v>0</v>
      </c>
      <c r="I510">
        <v>0</v>
      </c>
      <c r="K510">
        <v>0</v>
      </c>
      <c r="L510" s="322">
        <v>0</v>
      </c>
      <c r="M510" s="322">
        <v>0</v>
      </c>
      <c r="N510" s="322">
        <v>0</v>
      </c>
    </row>
    <row r="511" spans="1:14" x14ac:dyDescent="0.3">
      <c r="A511">
        <f>EPD!A226</f>
        <v>0</v>
      </c>
      <c r="B511" s="330">
        <f>SUMIF('Materials Calculations'!B:B,MaterialData32[[#This Row],[Material]],'Materials Calculations'!F:F)</f>
        <v>0</v>
      </c>
      <c r="C511" s="330">
        <f>SUMIF('Materials Calculations'!B:B,MaterialData32[[#This Row],[Material]],'Materials Calculations'!H:H)</f>
        <v>0</v>
      </c>
      <c r="D511" s="330">
        <f>SUMIF('Materials Calculations'!B:B,MaterialData32[[#This Row],[Material]],'Materials Calculations'!AI:AI)</f>
        <v>0</v>
      </c>
      <c r="F511">
        <v>0</v>
      </c>
      <c r="G511">
        <v>0</v>
      </c>
      <c r="H511">
        <v>0</v>
      </c>
      <c r="I511">
        <v>0</v>
      </c>
      <c r="K511">
        <v>0</v>
      </c>
      <c r="L511" s="322">
        <v>0</v>
      </c>
      <c r="M511" s="322">
        <v>0</v>
      </c>
      <c r="N511" s="322">
        <v>0</v>
      </c>
    </row>
    <row r="512" spans="1:14" x14ac:dyDescent="0.3">
      <c r="A512">
        <f>EPD!A227</f>
        <v>0</v>
      </c>
      <c r="B512" s="330">
        <f>SUMIF('Materials Calculations'!B:B,MaterialData32[[#This Row],[Material]],'Materials Calculations'!F:F)</f>
        <v>0</v>
      </c>
      <c r="C512" s="330">
        <f>SUMIF('Materials Calculations'!B:B,MaterialData32[[#This Row],[Material]],'Materials Calculations'!H:H)</f>
        <v>0</v>
      </c>
      <c r="D512" s="330">
        <f>SUMIF('Materials Calculations'!B:B,MaterialData32[[#This Row],[Material]],'Materials Calculations'!AI:AI)</f>
        <v>0</v>
      </c>
      <c r="F512">
        <v>0</v>
      </c>
      <c r="G512">
        <v>0</v>
      </c>
      <c r="H512">
        <v>0</v>
      </c>
      <c r="I512">
        <v>0</v>
      </c>
      <c r="K512">
        <v>0</v>
      </c>
      <c r="L512" s="322">
        <v>0</v>
      </c>
      <c r="M512" s="322">
        <v>0</v>
      </c>
      <c r="N512" s="322">
        <v>0</v>
      </c>
    </row>
    <row r="513" spans="1:14" x14ac:dyDescent="0.3">
      <c r="A513">
        <f>EPD!A228</f>
        <v>0</v>
      </c>
      <c r="B513" s="330">
        <f>SUMIF('Materials Calculations'!B:B,MaterialData32[[#This Row],[Material]],'Materials Calculations'!F:F)</f>
        <v>0</v>
      </c>
      <c r="C513" s="330">
        <f>SUMIF('Materials Calculations'!B:B,MaterialData32[[#This Row],[Material]],'Materials Calculations'!H:H)</f>
        <v>0</v>
      </c>
      <c r="D513" s="330">
        <f>SUMIF('Materials Calculations'!B:B,MaterialData32[[#This Row],[Material]],'Materials Calculations'!AI:AI)</f>
        <v>0</v>
      </c>
      <c r="F513">
        <v>0</v>
      </c>
      <c r="G513">
        <v>0</v>
      </c>
      <c r="H513">
        <v>0</v>
      </c>
      <c r="I513">
        <v>0</v>
      </c>
      <c r="K513">
        <v>0</v>
      </c>
      <c r="L513" s="322">
        <v>0</v>
      </c>
      <c r="M513" s="322">
        <v>0</v>
      </c>
      <c r="N513" s="322">
        <v>0</v>
      </c>
    </row>
    <row r="514" spans="1:14" x14ac:dyDescent="0.3">
      <c r="A514">
        <f>EPD!A229</f>
        <v>0</v>
      </c>
      <c r="B514" s="330">
        <f>SUMIF('Materials Calculations'!B:B,MaterialData32[[#This Row],[Material]],'Materials Calculations'!F:F)</f>
        <v>0</v>
      </c>
      <c r="C514" s="330">
        <f>SUMIF('Materials Calculations'!B:B,MaterialData32[[#This Row],[Material]],'Materials Calculations'!H:H)</f>
        <v>0</v>
      </c>
      <c r="D514" s="330">
        <f>SUMIF('Materials Calculations'!B:B,MaterialData32[[#This Row],[Material]],'Materials Calculations'!AI:AI)</f>
        <v>0</v>
      </c>
      <c r="F514">
        <v>0</v>
      </c>
      <c r="G514">
        <v>0</v>
      </c>
      <c r="H514">
        <v>0</v>
      </c>
      <c r="I514">
        <v>0</v>
      </c>
      <c r="K514">
        <v>0</v>
      </c>
      <c r="L514" s="322">
        <v>0</v>
      </c>
      <c r="M514" s="322">
        <v>0</v>
      </c>
      <c r="N514" s="322">
        <v>0</v>
      </c>
    </row>
    <row r="515" spans="1:14" x14ac:dyDescent="0.3">
      <c r="A515">
        <f>EPD!A230</f>
        <v>0</v>
      </c>
      <c r="B515" s="330">
        <f>SUMIF('Materials Calculations'!B:B,MaterialData32[[#This Row],[Material]],'Materials Calculations'!F:F)</f>
        <v>0</v>
      </c>
      <c r="C515" s="330">
        <f>SUMIF('Materials Calculations'!B:B,MaterialData32[[#This Row],[Material]],'Materials Calculations'!H:H)</f>
        <v>0</v>
      </c>
      <c r="D515" s="330">
        <f>SUMIF('Materials Calculations'!B:B,MaterialData32[[#This Row],[Material]],'Materials Calculations'!AI:AI)</f>
        <v>0</v>
      </c>
      <c r="F515">
        <v>0</v>
      </c>
      <c r="G515">
        <v>0</v>
      </c>
      <c r="H515">
        <v>0</v>
      </c>
      <c r="I515">
        <v>0</v>
      </c>
      <c r="K515">
        <v>0</v>
      </c>
      <c r="L515" s="322">
        <v>0</v>
      </c>
      <c r="M515" s="322">
        <v>0</v>
      </c>
      <c r="N515" s="322">
        <v>0</v>
      </c>
    </row>
    <row r="516" spans="1:14" x14ac:dyDescent="0.3">
      <c r="A516">
        <f>EPD!A231</f>
        <v>0</v>
      </c>
      <c r="B516" s="330">
        <f>SUMIF('Materials Calculations'!B:B,MaterialData32[[#This Row],[Material]],'Materials Calculations'!F:F)</f>
        <v>0</v>
      </c>
      <c r="C516" s="330">
        <f>SUMIF('Materials Calculations'!B:B,MaterialData32[[#This Row],[Material]],'Materials Calculations'!H:H)</f>
        <v>0</v>
      </c>
      <c r="D516" s="330">
        <f>SUMIF('Materials Calculations'!B:B,MaterialData32[[#This Row],[Material]],'Materials Calculations'!AI:AI)</f>
        <v>0</v>
      </c>
      <c r="F516">
        <v>0</v>
      </c>
      <c r="G516">
        <v>0</v>
      </c>
      <c r="H516">
        <v>0</v>
      </c>
      <c r="I516">
        <v>0</v>
      </c>
      <c r="K516">
        <v>0</v>
      </c>
      <c r="L516" s="322">
        <v>0</v>
      </c>
      <c r="M516" s="322">
        <v>0</v>
      </c>
      <c r="N516" s="322">
        <v>0</v>
      </c>
    </row>
    <row r="517" spans="1:14" x14ac:dyDescent="0.3">
      <c r="A517">
        <f>EPD!A232</f>
        <v>0</v>
      </c>
      <c r="B517" s="330">
        <f>SUMIF('Materials Calculations'!B:B,MaterialData32[[#This Row],[Material]],'Materials Calculations'!F:F)</f>
        <v>0</v>
      </c>
      <c r="C517" s="330">
        <f>SUMIF('Materials Calculations'!B:B,MaterialData32[[#This Row],[Material]],'Materials Calculations'!H:H)</f>
        <v>0</v>
      </c>
      <c r="D517" s="330">
        <f>SUMIF('Materials Calculations'!B:B,MaterialData32[[#This Row],[Material]],'Materials Calculations'!AI:AI)</f>
        <v>0</v>
      </c>
      <c r="F517">
        <v>0</v>
      </c>
      <c r="G517">
        <v>0</v>
      </c>
      <c r="H517">
        <v>0</v>
      </c>
      <c r="I517">
        <v>0</v>
      </c>
      <c r="K517">
        <v>0</v>
      </c>
      <c r="L517" s="322">
        <v>0</v>
      </c>
      <c r="M517" s="322">
        <v>0</v>
      </c>
      <c r="N517" s="322">
        <v>0</v>
      </c>
    </row>
    <row r="518" spans="1:14" x14ac:dyDescent="0.3">
      <c r="A518">
        <f>EPD!A233</f>
        <v>0</v>
      </c>
      <c r="B518" s="330">
        <f>SUMIF('Materials Calculations'!B:B,MaterialData32[[#This Row],[Material]],'Materials Calculations'!F:F)</f>
        <v>0</v>
      </c>
      <c r="C518" s="330">
        <f>SUMIF('Materials Calculations'!B:B,MaterialData32[[#This Row],[Material]],'Materials Calculations'!H:H)</f>
        <v>0</v>
      </c>
      <c r="D518" s="330">
        <f>SUMIF('Materials Calculations'!B:B,MaterialData32[[#This Row],[Material]],'Materials Calculations'!AI:AI)</f>
        <v>0</v>
      </c>
      <c r="F518">
        <v>0</v>
      </c>
      <c r="G518">
        <v>0</v>
      </c>
      <c r="H518">
        <v>0</v>
      </c>
      <c r="I518">
        <v>0</v>
      </c>
      <c r="K518">
        <v>0</v>
      </c>
      <c r="L518" s="322">
        <v>0</v>
      </c>
      <c r="M518" s="322">
        <v>0</v>
      </c>
      <c r="N518" s="322">
        <v>0</v>
      </c>
    </row>
    <row r="519" spans="1:14" x14ac:dyDescent="0.3">
      <c r="A519">
        <f>EPD!A234</f>
        <v>0</v>
      </c>
      <c r="B519" s="330">
        <f>SUMIF('Materials Calculations'!B:B,MaterialData32[[#This Row],[Material]],'Materials Calculations'!F:F)</f>
        <v>0</v>
      </c>
      <c r="C519" s="330">
        <f>SUMIF('Materials Calculations'!B:B,MaterialData32[[#This Row],[Material]],'Materials Calculations'!H:H)</f>
        <v>0</v>
      </c>
      <c r="D519" s="330">
        <f>SUMIF('Materials Calculations'!B:B,MaterialData32[[#This Row],[Material]],'Materials Calculations'!AI:AI)</f>
        <v>0</v>
      </c>
      <c r="F519">
        <v>0</v>
      </c>
      <c r="G519">
        <v>0</v>
      </c>
      <c r="H519">
        <v>0</v>
      </c>
      <c r="I519">
        <v>0</v>
      </c>
      <c r="K519">
        <v>0</v>
      </c>
      <c r="L519" s="322">
        <v>0</v>
      </c>
      <c r="M519" s="322">
        <v>0</v>
      </c>
      <c r="N519" s="322">
        <v>0</v>
      </c>
    </row>
    <row r="520" spans="1:14" x14ac:dyDescent="0.3">
      <c r="A520">
        <f>EPD!A235</f>
        <v>0</v>
      </c>
      <c r="B520" s="330">
        <f>SUMIF('Materials Calculations'!B:B,MaterialData32[[#This Row],[Material]],'Materials Calculations'!F:F)</f>
        <v>0</v>
      </c>
      <c r="C520" s="330">
        <f>SUMIF('Materials Calculations'!B:B,MaterialData32[[#This Row],[Material]],'Materials Calculations'!H:H)</f>
        <v>0</v>
      </c>
      <c r="D520" s="330">
        <f>SUMIF('Materials Calculations'!B:B,MaterialData32[[#This Row],[Material]],'Materials Calculations'!AI:AI)</f>
        <v>0</v>
      </c>
      <c r="F520">
        <v>0</v>
      </c>
      <c r="G520">
        <v>0</v>
      </c>
      <c r="H520">
        <v>0</v>
      </c>
      <c r="I520">
        <v>0</v>
      </c>
      <c r="K520">
        <v>0</v>
      </c>
      <c r="L520" s="322">
        <v>0</v>
      </c>
      <c r="M520" s="322">
        <v>0</v>
      </c>
      <c r="N520" s="322">
        <v>0</v>
      </c>
    </row>
    <row r="521" spans="1:14" x14ac:dyDescent="0.3">
      <c r="A521">
        <f>EPD!A236</f>
        <v>0</v>
      </c>
      <c r="B521" s="330">
        <f>SUMIF('Materials Calculations'!B:B,MaterialData32[[#This Row],[Material]],'Materials Calculations'!F:F)</f>
        <v>0</v>
      </c>
      <c r="C521" s="330">
        <f>SUMIF('Materials Calculations'!B:B,MaterialData32[[#This Row],[Material]],'Materials Calculations'!H:H)</f>
        <v>0</v>
      </c>
      <c r="D521" s="330">
        <f>SUMIF('Materials Calculations'!B:B,MaterialData32[[#This Row],[Material]],'Materials Calculations'!AI:AI)</f>
        <v>0</v>
      </c>
      <c r="F521">
        <v>0</v>
      </c>
      <c r="G521">
        <v>0</v>
      </c>
      <c r="H521">
        <v>0</v>
      </c>
      <c r="I521">
        <v>0</v>
      </c>
      <c r="K521">
        <v>0</v>
      </c>
      <c r="L521" s="322">
        <v>0</v>
      </c>
      <c r="M521" s="322">
        <v>0</v>
      </c>
      <c r="N521" s="322">
        <v>0</v>
      </c>
    </row>
    <row r="522" spans="1:14" x14ac:dyDescent="0.3">
      <c r="A522">
        <f>EPD!A237</f>
        <v>0</v>
      </c>
      <c r="B522" s="330">
        <f>SUMIF('Materials Calculations'!B:B,MaterialData32[[#This Row],[Material]],'Materials Calculations'!F:F)</f>
        <v>0</v>
      </c>
      <c r="C522" s="330">
        <f>SUMIF('Materials Calculations'!B:B,MaterialData32[[#This Row],[Material]],'Materials Calculations'!H:H)</f>
        <v>0</v>
      </c>
      <c r="D522" s="330">
        <f>SUMIF('Materials Calculations'!B:B,MaterialData32[[#This Row],[Material]],'Materials Calculations'!AI:AI)</f>
        <v>0</v>
      </c>
      <c r="F522">
        <v>0</v>
      </c>
      <c r="G522">
        <v>0</v>
      </c>
      <c r="H522">
        <v>0</v>
      </c>
      <c r="I522">
        <v>0</v>
      </c>
      <c r="K522">
        <v>0</v>
      </c>
      <c r="L522" s="322">
        <v>0</v>
      </c>
      <c r="M522" s="322">
        <v>0</v>
      </c>
      <c r="N522" s="322">
        <v>0</v>
      </c>
    </row>
    <row r="523" spans="1:14" x14ac:dyDescent="0.3">
      <c r="A523">
        <f>EPD!A238</f>
        <v>0</v>
      </c>
      <c r="B523" s="330">
        <f>SUMIF('Materials Calculations'!B:B,MaterialData32[[#This Row],[Material]],'Materials Calculations'!F:F)</f>
        <v>0</v>
      </c>
      <c r="C523" s="330">
        <f>SUMIF('Materials Calculations'!B:B,MaterialData32[[#This Row],[Material]],'Materials Calculations'!H:H)</f>
        <v>0</v>
      </c>
      <c r="D523" s="330">
        <f>SUMIF('Materials Calculations'!B:B,MaterialData32[[#This Row],[Material]],'Materials Calculations'!AI:AI)</f>
        <v>0</v>
      </c>
      <c r="F523">
        <v>0</v>
      </c>
      <c r="G523">
        <v>0</v>
      </c>
      <c r="H523">
        <v>0</v>
      </c>
      <c r="I523">
        <v>0</v>
      </c>
      <c r="K523">
        <v>0</v>
      </c>
      <c r="L523" s="322">
        <v>0</v>
      </c>
      <c r="M523" s="322">
        <v>0</v>
      </c>
      <c r="N523" s="322">
        <v>0</v>
      </c>
    </row>
    <row r="524" spans="1:14" x14ac:dyDescent="0.3">
      <c r="A524">
        <f>EPD!A239</f>
        <v>0</v>
      </c>
      <c r="B524" s="330">
        <f>SUMIF('Materials Calculations'!B:B,MaterialData32[[#This Row],[Material]],'Materials Calculations'!F:F)</f>
        <v>0</v>
      </c>
      <c r="C524" s="330">
        <f>SUMIF('Materials Calculations'!B:B,MaterialData32[[#This Row],[Material]],'Materials Calculations'!H:H)</f>
        <v>0</v>
      </c>
      <c r="D524" s="330">
        <f>SUMIF('Materials Calculations'!B:B,MaterialData32[[#This Row],[Material]],'Materials Calculations'!AI:AI)</f>
        <v>0</v>
      </c>
      <c r="F524">
        <v>0</v>
      </c>
      <c r="G524">
        <v>0</v>
      </c>
      <c r="H524">
        <v>0</v>
      </c>
      <c r="I524">
        <v>0</v>
      </c>
      <c r="K524">
        <v>0</v>
      </c>
      <c r="L524" s="322">
        <v>0</v>
      </c>
      <c r="M524" s="322">
        <v>0</v>
      </c>
      <c r="N524" s="322">
        <v>0</v>
      </c>
    </row>
    <row r="525" spans="1:14" x14ac:dyDescent="0.3">
      <c r="A525">
        <f>EPD!A240</f>
        <v>0</v>
      </c>
      <c r="B525" s="330">
        <f>SUMIF('Materials Calculations'!B:B,MaterialData32[[#This Row],[Material]],'Materials Calculations'!F:F)</f>
        <v>0</v>
      </c>
      <c r="C525" s="330">
        <f>SUMIF('Materials Calculations'!B:B,MaterialData32[[#This Row],[Material]],'Materials Calculations'!H:H)</f>
        <v>0</v>
      </c>
      <c r="D525" s="330">
        <f>SUMIF('Materials Calculations'!B:B,MaterialData32[[#This Row],[Material]],'Materials Calculations'!AI:AI)</f>
        <v>0</v>
      </c>
      <c r="F525">
        <v>0</v>
      </c>
      <c r="G525">
        <v>0</v>
      </c>
      <c r="H525">
        <v>0</v>
      </c>
      <c r="I525">
        <v>0</v>
      </c>
      <c r="K525">
        <v>0</v>
      </c>
      <c r="L525" s="322">
        <v>0</v>
      </c>
      <c r="M525" s="322">
        <v>0</v>
      </c>
      <c r="N525" s="322">
        <v>0</v>
      </c>
    </row>
    <row r="526" spans="1:14" x14ac:dyDescent="0.3">
      <c r="A526">
        <f>EPD!A241</f>
        <v>0</v>
      </c>
      <c r="B526" s="330">
        <f>SUMIF('Materials Calculations'!B:B,MaterialData32[[#This Row],[Material]],'Materials Calculations'!F:F)</f>
        <v>0</v>
      </c>
      <c r="C526" s="330">
        <f>SUMIF('Materials Calculations'!B:B,MaterialData32[[#This Row],[Material]],'Materials Calculations'!H:H)</f>
        <v>0</v>
      </c>
      <c r="D526" s="330">
        <f>SUMIF('Materials Calculations'!B:B,MaterialData32[[#This Row],[Material]],'Materials Calculations'!AI:AI)</f>
        <v>0</v>
      </c>
      <c r="F526">
        <v>0</v>
      </c>
      <c r="G526">
        <v>0</v>
      </c>
      <c r="H526">
        <v>0</v>
      </c>
      <c r="I526">
        <v>0</v>
      </c>
      <c r="K526">
        <v>0</v>
      </c>
      <c r="L526" s="322">
        <v>0</v>
      </c>
      <c r="M526" s="322">
        <v>0</v>
      </c>
      <c r="N526" s="322">
        <v>0</v>
      </c>
    </row>
    <row r="527" spans="1:14" x14ac:dyDescent="0.3">
      <c r="A527">
        <f>EPD!A242</f>
        <v>0</v>
      </c>
      <c r="B527" s="330">
        <f>SUMIF('Materials Calculations'!B:B,MaterialData32[[#This Row],[Material]],'Materials Calculations'!F:F)</f>
        <v>0</v>
      </c>
      <c r="C527" s="330">
        <f>SUMIF('Materials Calculations'!B:B,MaterialData32[[#This Row],[Material]],'Materials Calculations'!H:H)</f>
        <v>0</v>
      </c>
      <c r="D527" s="330">
        <f>SUMIF('Materials Calculations'!B:B,MaterialData32[[#This Row],[Material]],'Materials Calculations'!AI:AI)</f>
        <v>0</v>
      </c>
      <c r="F527">
        <v>0</v>
      </c>
      <c r="G527">
        <v>0</v>
      </c>
      <c r="H527">
        <v>0</v>
      </c>
      <c r="I527">
        <v>0</v>
      </c>
      <c r="K527">
        <v>0</v>
      </c>
      <c r="L527" s="322">
        <v>0</v>
      </c>
      <c r="M527" s="322">
        <v>0</v>
      </c>
      <c r="N527" s="322">
        <v>0</v>
      </c>
    </row>
    <row r="528" spans="1:14" x14ac:dyDescent="0.3">
      <c r="A528">
        <f>EPD!A243</f>
        <v>0</v>
      </c>
      <c r="B528" s="330">
        <f>SUMIF('Materials Calculations'!B:B,MaterialData32[[#This Row],[Material]],'Materials Calculations'!F:F)</f>
        <v>0</v>
      </c>
      <c r="C528" s="330">
        <f>SUMIF('Materials Calculations'!B:B,MaterialData32[[#This Row],[Material]],'Materials Calculations'!H:H)</f>
        <v>0</v>
      </c>
      <c r="D528" s="330">
        <f>SUMIF('Materials Calculations'!B:B,MaterialData32[[#This Row],[Material]],'Materials Calculations'!AI:AI)</f>
        <v>0</v>
      </c>
      <c r="F528">
        <v>0</v>
      </c>
      <c r="G528">
        <v>0</v>
      </c>
      <c r="H528">
        <v>0</v>
      </c>
      <c r="I528">
        <v>0</v>
      </c>
      <c r="K528">
        <v>0</v>
      </c>
      <c r="L528" s="322">
        <v>0</v>
      </c>
      <c r="M528" s="322">
        <v>0</v>
      </c>
      <c r="N528" s="322">
        <v>0</v>
      </c>
    </row>
    <row r="529" spans="1:14" x14ac:dyDescent="0.3">
      <c r="A529">
        <f>EPD!A244</f>
        <v>0</v>
      </c>
      <c r="B529" s="330">
        <f>SUMIF('Materials Calculations'!B:B,MaterialData32[[#This Row],[Material]],'Materials Calculations'!F:F)</f>
        <v>0</v>
      </c>
      <c r="C529" s="330">
        <f>SUMIF('Materials Calculations'!B:B,MaterialData32[[#This Row],[Material]],'Materials Calculations'!H:H)</f>
        <v>0</v>
      </c>
      <c r="D529" s="330">
        <f>SUMIF('Materials Calculations'!B:B,MaterialData32[[#This Row],[Material]],'Materials Calculations'!AI:AI)</f>
        <v>0</v>
      </c>
      <c r="F529">
        <v>0</v>
      </c>
      <c r="G529">
        <v>0</v>
      </c>
      <c r="H529">
        <v>0</v>
      </c>
      <c r="I529">
        <v>0</v>
      </c>
      <c r="K529">
        <v>0</v>
      </c>
      <c r="L529" s="322">
        <v>0</v>
      </c>
      <c r="M529" s="322">
        <v>0</v>
      </c>
      <c r="N529" s="322">
        <v>0</v>
      </c>
    </row>
    <row r="530" spans="1:14" x14ac:dyDescent="0.3">
      <c r="A530">
        <f>EPD!A245</f>
        <v>0</v>
      </c>
      <c r="B530" s="330">
        <f>SUMIF('Materials Calculations'!B:B,MaterialData32[[#This Row],[Material]],'Materials Calculations'!F:F)</f>
        <v>0</v>
      </c>
      <c r="C530" s="330">
        <f>SUMIF('Materials Calculations'!B:B,MaterialData32[[#This Row],[Material]],'Materials Calculations'!H:H)</f>
        <v>0</v>
      </c>
      <c r="D530" s="330">
        <f>SUMIF('Materials Calculations'!B:B,MaterialData32[[#This Row],[Material]],'Materials Calculations'!AI:AI)</f>
        <v>0</v>
      </c>
      <c r="F530">
        <v>0</v>
      </c>
      <c r="G530">
        <v>0</v>
      </c>
      <c r="H530">
        <v>0</v>
      </c>
      <c r="I530">
        <v>0</v>
      </c>
      <c r="K530">
        <v>0</v>
      </c>
      <c r="L530" s="322">
        <v>0</v>
      </c>
      <c r="M530" s="322">
        <v>0</v>
      </c>
      <c r="N530" s="322">
        <v>0</v>
      </c>
    </row>
    <row r="531" spans="1:14" x14ac:dyDescent="0.3">
      <c r="A531">
        <f>EPD!A246</f>
        <v>0</v>
      </c>
      <c r="B531" s="330">
        <f>SUMIF('Materials Calculations'!B:B,MaterialData32[[#This Row],[Material]],'Materials Calculations'!F:F)</f>
        <v>0</v>
      </c>
      <c r="C531" s="330">
        <f>SUMIF('Materials Calculations'!B:B,MaterialData32[[#This Row],[Material]],'Materials Calculations'!H:H)</f>
        <v>0</v>
      </c>
      <c r="D531" s="330">
        <f>SUMIF('Materials Calculations'!B:B,MaterialData32[[#This Row],[Material]],'Materials Calculations'!AI:AI)</f>
        <v>0</v>
      </c>
      <c r="F531">
        <v>0</v>
      </c>
      <c r="G531">
        <v>0</v>
      </c>
      <c r="H531">
        <v>0</v>
      </c>
      <c r="I531">
        <v>0</v>
      </c>
      <c r="K531">
        <v>0</v>
      </c>
      <c r="L531" s="322">
        <v>0</v>
      </c>
      <c r="M531" s="322">
        <v>0</v>
      </c>
      <c r="N531" s="322">
        <v>0</v>
      </c>
    </row>
    <row r="532" spans="1:14" x14ac:dyDescent="0.3">
      <c r="A532">
        <f>EPD!A247</f>
        <v>0</v>
      </c>
      <c r="B532" s="330">
        <f>SUMIF('Materials Calculations'!B:B,MaterialData32[[#This Row],[Material]],'Materials Calculations'!F:F)</f>
        <v>0</v>
      </c>
      <c r="C532" s="330">
        <f>SUMIF('Materials Calculations'!B:B,MaterialData32[[#This Row],[Material]],'Materials Calculations'!H:H)</f>
        <v>0</v>
      </c>
      <c r="D532" s="330">
        <f>SUMIF('Materials Calculations'!B:B,MaterialData32[[#This Row],[Material]],'Materials Calculations'!AI:AI)</f>
        <v>0</v>
      </c>
      <c r="F532">
        <v>0</v>
      </c>
      <c r="G532">
        <v>0</v>
      </c>
      <c r="H532">
        <v>0</v>
      </c>
      <c r="I532">
        <v>0</v>
      </c>
      <c r="K532">
        <v>0</v>
      </c>
      <c r="L532" s="322">
        <v>0</v>
      </c>
      <c r="M532" s="322">
        <v>0</v>
      </c>
      <c r="N532" s="322">
        <v>0</v>
      </c>
    </row>
    <row r="533" spans="1:14" x14ac:dyDescent="0.3">
      <c r="A533">
        <f>EPD!A248</f>
        <v>0</v>
      </c>
      <c r="B533" s="330">
        <f>SUMIF('Materials Calculations'!B:B,MaterialData32[[#This Row],[Material]],'Materials Calculations'!F:F)</f>
        <v>0</v>
      </c>
      <c r="C533" s="330">
        <f>SUMIF('Materials Calculations'!B:B,MaterialData32[[#This Row],[Material]],'Materials Calculations'!H:H)</f>
        <v>0</v>
      </c>
      <c r="D533" s="330">
        <f>SUMIF('Materials Calculations'!B:B,MaterialData32[[#This Row],[Material]],'Materials Calculations'!AI:AI)</f>
        <v>0</v>
      </c>
      <c r="F533">
        <v>0</v>
      </c>
      <c r="G533">
        <v>0</v>
      </c>
      <c r="H533">
        <v>0</v>
      </c>
      <c r="I533">
        <v>0</v>
      </c>
      <c r="K533">
        <v>0</v>
      </c>
      <c r="L533" s="322">
        <v>0</v>
      </c>
      <c r="M533" s="322">
        <v>0</v>
      </c>
      <c r="N533" s="322">
        <v>0</v>
      </c>
    </row>
    <row r="534" spans="1:14" x14ac:dyDescent="0.3">
      <c r="A534">
        <f>EPD!A249</f>
        <v>0</v>
      </c>
      <c r="B534" s="330">
        <f>SUMIF('Materials Calculations'!B:B,MaterialData32[[#This Row],[Material]],'Materials Calculations'!F:F)</f>
        <v>0</v>
      </c>
      <c r="C534" s="330">
        <f>SUMIF('Materials Calculations'!B:B,MaterialData32[[#This Row],[Material]],'Materials Calculations'!H:H)</f>
        <v>0</v>
      </c>
      <c r="D534" s="330">
        <f>SUMIF('Materials Calculations'!B:B,MaterialData32[[#This Row],[Material]],'Materials Calculations'!AI:AI)</f>
        <v>0</v>
      </c>
      <c r="F534">
        <v>0</v>
      </c>
      <c r="G534">
        <v>0</v>
      </c>
      <c r="H534">
        <v>0</v>
      </c>
      <c r="I534">
        <v>0</v>
      </c>
      <c r="K534">
        <v>0</v>
      </c>
      <c r="L534" s="322">
        <v>0</v>
      </c>
      <c r="M534" s="322">
        <v>0</v>
      </c>
      <c r="N534" s="322">
        <v>0</v>
      </c>
    </row>
    <row r="535" spans="1:14" x14ac:dyDescent="0.3">
      <c r="A535">
        <f>EPD!A250</f>
        <v>0</v>
      </c>
      <c r="B535" s="330">
        <f>SUMIF('Materials Calculations'!B:B,MaterialData32[[#This Row],[Material]],'Materials Calculations'!F:F)</f>
        <v>0</v>
      </c>
      <c r="C535" s="330">
        <f>SUMIF('Materials Calculations'!B:B,MaterialData32[[#This Row],[Material]],'Materials Calculations'!H:H)</f>
        <v>0</v>
      </c>
      <c r="D535" s="330">
        <f>SUMIF('Materials Calculations'!B:B,MaterialData32[[#This Row],[Material]],'Materials Calculations'!AI:AI)</f>
        <v>0</v>
      </c>
      <c r="F535">
        <v>0</v>
      </c>
      <c r="G535">
        <v>0</v>
      </c>
      <c r="H535">
        <v>0</v>
      </c>
      <c r="I535">
        <v>0</v>
      </c>
      <c r="K535">
        <v>0</v>
      </c>
      <c r="L535" s="322">
        <v>0</v>
      </c>
      <c r="M535" s="322">
        <v>0</v>
      </c>
      <c r="N535" s="322">
        <v>0</v>
      </c>
    </row>
    <row r="536" spans="1:14" x14ac:dyDescent="0.3">
      <c r="A536">
        <f>EPD!A251</f>
        <v>0</v>
      </c>
      <c r="F536">
        <v>0</v>
      </c>
      <c r="G536">
        <v>0</v>
      </c>
      <c r="H536">
        <v>0</v>
      </c>
      <c r="I536">
        <v>0</v>
      </c>
      <c r="K536">
        <v>0</v>
      </c>
      <c r="L536" s="322">
        <v>0</v>
      </c>
      <c r="M536" s="322">
        <v>0</v>
      </c>
      <c r="N536" s="322">
        <v>0</v>
      </c>
    </row>
    <row r="537" spans="1:14" x14ac:dyDescent="0.3">
      <c r="A537">
        <f>EPD!A252</f>
        <v>0</v>
      </c>
      <c r="F537">
        <v>0</v>
      </c>
      <c r="G537">
        <v>0</v>
      </c>
      <c r="H537">
        <v>0</v>
      </c>
      <c r="I537">
        <v>0</v>
      </c>
      <c r="K537">
        <v>0</v>
      </c>
      <c r="L537" s="322">
        <v>0</v>
      </c>
      <c r="M537" s="322">
        <v>0</v>
      </c>
      <c r="N537" s="322">
        <v>0</v>
      </c>
    </row>
    <row r="538" spans="1:14" x14ac:dyDescent="0.3">
      <c r="A538">
        <f>EPD!A253</f>
        <v>0</v>
      </c>
      <c r="F538">
        <v>0</v>
      </c>
      <c r="G538">
        <v>0</v>
      </c>
      <c r="H538">
        <v>0</v>
      </c>
      <c r="I538">
        <v>0</v>
      </c>
      <c r="K538">
        <v>0</v>
      </c>
      <c r="L538" s="322">
        <v>0</v>
      </c>
      <c r="M538" s="322">
        <v>0</v>
      </c>
      <c r="N538" s="322">
        <v>0</v>
      </c>
    </row>
    <row r="539" spans="1:14" x14ac:dyDescent="0.3">
      <c r="A539">
        <f>EPD!A254</f>
        <v>0</v>
      </c>
      <c r="F539">
        <v>0</v>
      </c>
      <c r="G539">
        <v>0</v>
      </c>
      <c r="H539">
        <v>0</v>
      </c>
      <c r="I539">
        <v>0</v>
      </c>
      <c r="K539">
        <v>0</v>
      </c>
      <c r="L539" s="322">
        <v>0</v>
      </c>
      <c r="M539" s="322">
        <v>0</v>
      </c>
      <c r="N539" s="322">
        <v>0</v>
      </c>
    </row>
    <row r="540" spans="1:14" x14ac:dyDescent="0.3">
      <c r="A540">
        <f>EPD!A255</f>
        <v>0</v>
      </c>
      <c r="F540">
        <v>0</v>
      </c>
      <c r="G540">
        <v>0</v>
      </c>
      <c r="H540">
        <v>0</v>
      </c>
      <c r="I540">
        <v>0</v>
      </c>
      <c r="K540">
        <v>0</v>
      </c>
      <c r="L540" s="322">
        <v>0</v>
      </c>
      <c r="M540" s="322">
        <v>0</v>
      </c>
      <c r="N540" s="322">
        <v>0</v>
      </c>
    </row>
    <row r="541" spans="1:14" x14ac:dyDescent="0.3">
      <c r="A541">
        <f>EPD!A256</f>
        <v>0</v>
      </c>
      <c r="F541">
        <v>0</v>
      </c>
      <c r="G541">
        <v>0</v>
      </c>
      <c r="H541">
        <v>0</v>
      </c>
      <c r="I541">
        <v>0</v>
      </c>
      <c r="K541">
        <v>0</v>
      </c>
      <c r="L541" s="322">
        <v>0</v>
      </c>
      <c r="M541" s="322">
        <v>0</v>
      </c>
      <c r="N541" s="322">
        <v>0</v>
      </c>
    </row>
    <row r="542" spans="1:14" x14ac:dyDescent="0.3">
      <c r="A542">
        <f>EPD!A257</f>
        <v>0</v>
      </c>
      <c r="F542">
        <v>0</v>
      </c>
      <c r="G542">
        <v>0</v>
      </c>
      <c r="H542">
        <v>0</v>
      </c>
      <c r="I542">
        <v>0</v>
      </c>
      <c r="K542">
        <v>0</v>
      </c>
      <c r="L542" s="322">
        <v>0</v>
      </c>
      <c r="M542" s="322">
        <v>0</v>
      </c>
      <c r="N542" s="322">
        <v>0</v>
      </c>
    </row>
    <row r="543" spans="1:14" x14ac:dyDescent="0.3">
      <c r="A543">
        <f>EPD!A258</f>
        <v>0</v>
      </c>
      <c r="F543">
        <v>0</v>
      </c>
      <c r="G543">
        <v>0</v>
      </c>
      <c r="H543">
        <v>0</v>
      </c>
      <c r="I543">
        <v>0</v>
      </c>
      <c r="K543">
        <v>0</v>
      </c>
      <c r="L543" s="322">
        <v>0</v>
      </c>
      <c r="M543" s="322">
        <v>0</v>
      </c>
      <c r="N543" s="322">
        <v>0</v>
      </c>
    </row>
    <row r="544" spans="1:14" x14ac:dyDescent="0.3">
      <c r="A544">
        <f>EPD!A259</f>
        <v>0</v>
      </c>
      <c r="F544">
        <v>0</v>
      </c>
      <c r="G544">
        <v>0</v>
      </c>
      <c r="H544">
        <v>0</v>
      </c>
      <c r="I544">
        <v>0</v>
      </c>
      <c r="K544">
        <v>0</v>
      </c>
      <c r="L544" s="322">
        <v>0</v>
      </c>
      <c r="M544" s="322">
        <v>0</v>
      </c>
      <c r="N544" s="322">
        <v>0</v>
      </c>
    </row>
    <row r="545" spans="1:14" x14ac:dyDescent="0.3">
      <c r="A545">
        <f>EPD!A260</f>
        <v>0</v>
      </c>
      <c r="F545">
        <v>0</v>
      </c>
      <c r="G545">
        <v>0</v>
      </c>
      <c r="H545">
        <v>0</v>
      </c>
      <c r="I545">
        <v>0</v>
      </c>
      <c r="K545">
        <v>0</v>
      </c>
      <c r="L545" s="322">
        <v>0</v>
      </c>
      <c r="M545" s="322">
        <v>0</v>
      </c>
      <c r="N545" s="322">
        <v>0</v>
      </c>
    </row>
    <row r="546" spans="1:14" x14ac:dyDescent="0.3">
      <c r="A546">
        <f>EPD!A261</f>
        <v>0</v>
      </c>
      <c r="F546">
        <v>0</v>
      </c>
      <c r="G546">
        <v>0</v>
      </c>
      <c r="H546">
        <v>0</v>
      </c>
      <c r="I546">
        <v>0</v>
      </c>
      <c r="K546">
        <v>0</v>
      </c>
      <c r="L546" s="322">
        <v>0</v>
      </c>
      <c r="M546" s="322">
        <v>0</v>
      </c>
      <c r="N546" s="322">
        <v>0</v>
      </c>
    </row>
    <row r="547" spans="1:14" x14ac:dyDescent="0.3">
      <c r="A547">
        <f>EPD!A262</f>
        <v>0</v>
      </c>
      <c r="F547">
        <v>0</v>
      </c>
      <c r="G547">
        <v>0</v>
      </c>
      <c r="H547">
        <v>0</v>
      </c>
      <c r="I547">
        <v>0</v>
      </c>
      <c r="K547">
        <v>0</v>
      </c>
      <c r="L547" s="322">
        <v>0</v>
      </c>
      <c r="M547" s="322">
        <v>0</v>
      </c>
      <c r="N547" s="322">
        <v>0</v>
      </c>
    </row>
    <row r="548" spans="1:14" x14ac:dyDescent="0.3">
      <c r="A548">
        <f>EPD!A263</f>
        <v>0</v>
      </c>
      <c r="F548">
        <v>0</v>
      </c>
      <c r="G548">
        <v>0</v>
      </c>
      <c r="H548">
        <v>0</v>
      </c>
      <c r="I548">
        <v>0</v>
      </c>
      <c r="K548">
        <v>0</v>
      </c>
      <c r="L548" s="322">
        <v>0</v>
      </c>
      <c r="M548" s="322">
        <v>0</v>
      </c>
      <c r="N548" s="322">
        <v>0</v>
      </c>
    </row>
    <row r="549" spans="1:14" x14ac:dyDescent="0.3">
      <c r="A549">
        <f>EPD!A264</f>
        <v>0</v>
      </c>
      <c r="F549">
        <v>0</v>
      </c>
      <c r="G549">
        <v>0</v>
      </c>
      <c r="H549">
        <v>0</v>
      </c>
      <c r="I549">
        <v>0</v>
      </c>
      <c r="K549">
        <v>0</v>
      </c>
      <c r="L549" s="322">
        <v>0</v>
      </c>
      <c r="M549" s="322">
        <v>0</v>
      </c>
      <c r="N549" s="322">
        <v>0</v>
      </c>
    </row>
    <row r="550" spans="1:14" x14ac:dyDescent="0.3">
      <c r="A550">
        <f>EPD!A265</f>
        <v>0</v>
      </c>
      <c r="F550">
        <v>0</v>
      </c>
      <c r="G550">
        <v>0</v>
      </c>
      <c r="H550">
        <v>0</v>
      </c>
      <c r="I550">
        <v>0</v>
      </c>
      <c r="K550">
        <v>0</v>
      </c>
      <c r="L550" s="322">
        <v>0</v>
      </c>
      <c r="M550" s="322">
        <v>0</v>
      </c>
      <c r="N550" s="322">
        <v>0</v>
      </c>
    </row>
    <row r="551" spans="1:14" x14ac:dyDescent="0.3">
      <c r="A551">
        <f>EPD!A266</f>
        <v>0</v>
      </c>
      <c r="F551">
        <v>0</v>
      </c>
      <c r="G551">
        <v>0</v>
      </c>
      <c r="H551">
        <v>0</v>
      </c>
      <c r="I551">
        <v>0</v>
      </c>
      <c r="K551">
        <v>0</v>
      </c>
      <c r="L551" s="322">
        <v>0</v>
      </c>
      <c r="M551" s="322">
        <v>0</v>
      </c>
      <c r="N551" s="322">
        <v>0</v>
      </c>
    </row>
    <row r="552" spans="1:14" x14ac:dyDescent="0.3">
      <c r="A552">
        <f>EPD!A267</f>
        <v>0</v>
      </c>
      <c r="F552">
        <v>0</v>
      </c>
      <c r="G552">
        <v>0</v>
      </c>
      <c r="H552">
        <v>0</v>
      </c>
      <c r="I552">
        <v>0</v>
      </c>
      <c r="K552">
        <v>0</v>
      </c>
      <c r="L552" s="322">
        <v>0</v>
      </c>
      <c r="M552" s="322">
        <v>0</v>
      </c>
      <c r="N552" s="322">
        <v>0</v>
      </c>
    </row>
    <row r="553" spans="1:14" x14ac:dyDescent="0.3">
      <c r="A553">
        <f>EPD!A268</f>
        <v>0</v>
      </c>
      <c r="F553">
        <v>0</v>
      </c>
      <c r="G553">
        <v>0</v>
      </c>
      <c r="H553">
        <v>0</v>
      </c>
      <c r="I553">
        <v>0</v>
      </c>
      <c r="K553">
        <v>0</v>
      </c>
      <c r="L553" s="322">
        <v>0</v>
      </c>
      <c r="M553" s="322">
        <v>0</v>
      </c>
      <c r="N553" s="322">
        <v>0</v>
      </c>
    </row>
    <row r="554" spans="1:14" x14ac:dyDescent="0.3">
      <c r="A554">
        <f>EPD!A269</f>
        <v>0</v>
      </c>
      <c r="F554">
        <v>0</v>
      </c>
      <c r="G554">
        <v>0</v>
      </c>
      <c r="H554">
        <v>0</v>
      </c>
      <c r="I554">
        <v>0</v>
      </c>
      <c r="K554">
        <v>0</v>
      </c>
      <c r="L554" s="322">
        <v>0</v>
      </c>
      <c r="M554" s="322">
        <v>0</v>
      </c>
      <c r="N554" s="322">
        <v>0</v>
      </c>
    </row>
    <row r="555" spans="1:14" x14ac:dyDescent="0.3">
      <c r="A555">
        <f>EPD!A270</f>
        <v>0</v>
      </c>
      <c r="F555">
        <v>0</v>
      </c>
      <c r="G555">
        <v>0</v>
      </c>
      <c r="H555">
        <v>0</v>
      </c>
      <c r="I555">
        <v>0</v>
      </c>
      <c r="K555">
        <v>0</v>
      </c>
      <c r="L555" s="322">
        <v>0</v>
      </c>
      <c r="M555" s="322">
        <v>0</v>
      </c>
      <c r="N555" s="322">
        <v>0</v>
      </c>
    </row>
    <row r="556" spans="1:14" x14ac:dyDescent="0.3">
      <c r="A556">
        <f>EPD!A271</f>
        <v>0</v>
      </c>
      <c r="F556">
        <v>0</v>
      </c>
      <c r="G556">
        <v>0</v>
      </c>
      <c r="H556">
        <v>0</v>
      </c>
      <c r="I556">
        <v>0</v>
      </c>
      <c r="K556">
        <v>0</v>
      </c>
      <c r="L556" s="322">
        <v>0</v>
      </c>
      <c r="M556" s="322">
        <v>0</v>
      </c>
      <c r="N556" s="322">
        <v>0</v>
      </c>
    </row>
    <row r="557" spans="1:14" x14ac:dyDescent="0.3">
      <c r="A557">
        <f>EPD!A272</f>
        <v>0</v>
      </c>
      <c r="F557">
        <v>0</v>
      </c>
      <c r="G557">
        <v>0</v>
      </c>
      <c r="H557">
        <v>0</v>
      </c>
      <c r="I557">
        <v>0</v>
      </c>
      <c r="K557">
        <v>0</v>
      </c>
      <c r="L557" s="322">
        <v>0</v>
      </c>
      <c r="M557" s="322">
        <v>0</v>
      </c>
      <c r="N557" s="322">
        <v>0</v>
      </c>
    </row>
    <row r="558" spans="1:14" x14ac:dyDescent="0.3">
      <c r="A558">
        <f>EPD!A273</f>
        <v>0</v>
      </c>
      <c r="F558">
        <v>0</v>
      </c>
      <c r="G558">
        <v>0</v>
      </c>
      <c r="H558">
        <v>0</v>
      </c>
      <c r="I558">
        <v>0</v>
      </c>
      <c r="K558">
        <v>0</v>
      </c>
      <c r="L558" s="322">
        <v>0</v>
      </c>
      <c r="M558" s="322">
        <v>0</v>
      </c>
      <c r="N558" s="322">
        <v>0</v>
      </c>
    </row>
    <row r="559" spans="1:14" x14ac:dyDescent="0.3">
      <c r="A559">
        <f>EPD!A274</f>
        <v>0</v>
      </c>
      <c r="F559">
        <v>0</v>
      </c>
      <c r="G559">
        <v>0</v>
      </c>
      <c r="H559">
        <v>0</v>
      </c>
      <c r="I559">
        <v>0</v>
      </c>
      <c r="K559">
        <v>0</v>
      </c>
      <c r="L559" s="322">
        <v>0</v>
      </c>
      <c r="M559" s="322">
        <v>0</v>
      </c>
      <c r="N559" s="322">
        <v>0</v>
      </c>
    </row>
    <row r="560" spans="1:14" x14ac:dyDescent="0.3">
      <c r="A560">
        <f>EPD!A275</f>
        <v>0</v>
      </c>
      <c r="F560">
        <v>0</v>
      </c>
      <c r="G560">
        <v>0</v>
      </c>
      <c r="H560">
        <v>0</v>
      </c>
      <c r="I560">
        <v>0</v>
      </c>
      <c r="K560">
        <v>0</v>
      </c>
      <c r="L560" s="322">
        <v>0</v>
      </c>
      <c r="M560" s="322">
        <v>0</v>
      </c>
      <c r="N560" s="322">
        <v>0</v>
      </c>
    </row>
    <row r="561" spans="1:14" x14ac:dyDescent="0.3">
      <c r="A561">
        <f>EPD!A276</f>
        <v>0</v>
      </c>
      <c r="F561">
        <v>0</v>
      </c>
      <c r="G561">
        <v>0</v>
      </c>
      <c r="H561">
        <v>0</v>
      </c>
      <c r="I561">
        <v>0</v>
      </c>
      <c r="K561">
        <v>0</v>
      </c>
      <c r="L561" s="322">
        <v>0</v>
      </c>
      <c r="M561" s="322">
        <v>0</v>
      </c>
      <c r="N561" s="322">
        <v>0</v>
      </c>
    </row>
    <row r="562" spans="1:14" x14ac:dyDescent="0.3">
      <c r="A562">
        <f>EPD!A277</f>
        <v>0</v>
      </c>
      <c r="F562">
        <v>0</v>
      </c>
      <c r="G562">
        <v>0</v>
      </c>
      <c r="H562">
        <v>0</v>
      </c>
      <c r="I562">
        <v>0</v>
      </c>
      <c r="K562">
        <v>0</v>
      </c>
      <c r="L562" s="322">
        <v>0</v>
      </c>
      <c r="M562" s="322">
        <v>0</v>
      </c>
      <c r="N562" s="322">
        <v>0</v>
      </c>
    </row>
    <row r="563" spans="1:14" x14ac:dyDescent="0.3">
      <c r="A563">
        <f>EPD!A278</f>
        <v>0</v>
      </c>
      <c r="F563">
        <v>0</v>
      </c>
      <c r="G563">
        <v>0</v>
      </c>
      <c r="H563">
        <v>0</v>
      </c>
      <c r="I563">
        <v>0</v>
      </c>
      <c r="K563">
        <v>0</v>
      </c>
      <c r="L563" s="322">
        <v>0</v>
      </c>
      <c r="M563" s="322">
        <v>0</v>
      </c>
      <c r="N563" s="322">
        <v>0</v>
      </c>
    </row>
    <row r="564" spans="1:14" x14ac:dyDescent="0.3">
      <c r="A564">
        <f>EPD!A279</f>
        <v>0</v>
      </c>
      <c r="F564">
        <v>0</v>
      </c>
      <c r="G564">
        <v>0</v>
      </c>
      <c r="H564">
        <v>0</v>
      </c>
      <c r="I564">
        <v>0</v>
      </c>
      <c r="K564">
        <v>0</v>
      </c>
      <c r="L564" s="322">
        <v>0</v>
      </c>
      <c r="M564" s="322">
        <v>0</v>
      </c>
      <c r="N564" s="322">
        <v>0</v>
      </c>
    </row>
    <row r="565" spans="1:14" x14ac:dyDescent="0.3">
      <c r="A565">
        <f>EPD!A280</f>
        <v>0</v>
      </c>
      <c r="F565">
        <v>0</v>
      </c>
      <c r="G565">
        <v>0</v>
      </c>
      <c r="H565">
        <v>0</v>
      </c>
      <c r="I565">
        <v>0</v>
      </c>
      <c r="K565">
        <v>0</v>
      </c>
      <c r="L565" s="322">
        <v>0</v>
      </c>
      <c r="M565" s="322">
        <v>0</v>
      </c>
      <c r="N565" s="322">
        <v>0</v>
      </c>
    </row>
    <row r="566" spans="1:14" x14ac:dyDescent="0.3">
      <c r="A566">
        <f>EPD!A281</f>
        <v>0</v>
      </c>
      <c r="F566">
        <v>0</v>
      </c>
      <c r="G566">
        <v>0</v>
      </c>
      <c r="H566">
        <v>0</v>
      </c>
      <c r="I566">
        <v>0</v>
      </c>
      <c r="K566">
        <v>0</v>
      </c>
      <c r="L566" s="322">
        <v>0</v>
      </c>
      <c r="M566" s="322">
        <v>0</v>
      </c>
      <c r="N566" s="322">
        <v>0</v>
      </c>
    </row>
    <row r="567" spans="1:14" x14ac:dyDescent="0.3">
      <c r="A567">
        <f>EPD!A282</f>
        <v>0</v>
      </c>
      <c r="F567">
        <v>0</v>
      </c>
      <c r="G567">
        <v>0</v>
      </c>
      <c r="H567">
        <v>0</v>
      </c>
      <c r="I567">
        <v>0</v>
      </c>
      <c r="K567">
        <v>0</v>
      </c>
      <c r="L567" s="322">
        <v>0</v>
      </c>
      <c r="M567" s="322">
        <v>0</v>
      </c>
      <c r="N567" s="322">
        <v>0</v>
      </c>
    </row>
    <row r="568" spans="1:14" x14ac:dyDescent="0.3">
      <c r="A568">
        <f>EPD!A283</f>
        <v>0</v>
      </c>
      <c r="F568">
        <v>0</v>
      </c>
      <c r="G568">
        <v>0</v>
      </c>
      <c r="H568">
        <v>0</v>
      </c>
      <c r="I568">
        <v>0</v>
      </c>
      <c r="K568">
        <v>0</v>
      </c>
      <c r="L568" s="322">
        <v>0</v>
      </c>
      <c r="M568" s="322">
        <v>0</v>
      </c>
      <c r="N568" s="322">
        <v>0</v>
      </c>
    </row>
    <row r="569" spans="1:14" x14ac:dyDescent="0.3">
      <c r="A569">
        <f>EPD!A284</f>
        <v>0</v>
      </c>
      <c r="F569">
        <v>0</v>
      </c>
      <c r="G569">
        <v>0</v>
      </c>
      <c r="H569">
        <v>0</v>
      </c>
      <c r="I569">
        <v>0</v>
      </c>
      <c r="K569">
        <v>0</v>
      </c>
      <c r="L569" s="322">
        <v>0</v>
      </c>
      <c r="M569" s="322">
        <v>0</v>
      </c>
      <c r="N569" s="322">
        <v>0</v>
      </c>
    </row>
    <row r="570" spans="1:14" x14ac:dyDescent="0.3">
      <c r="A570">
        <f>EPD!A285</f>
        <v>0</v>
      </c>
      <c r="F570">
        <v>0</v>
      </c>
      <c r="G570">
        <v>0</v>
      </c>
      <c r="H570">
        <v>0</v>
      </c>
      <c r="I570">
        <v>0</v>
      </c>
      <c r="K570">
        <v>0</v>
      </c>
      <c r="L570" s="322">
        <v>0</v>
      </c>
      <c r="M570" s="322">
        <v>0</v>
      </c>
      <c r="N570" s="322">
        <v>0</v>
      </c>
    </row>
    <row r="571" spans="1:14" x14ac:dyDescent="0.3">
      <c r="A571">
        <f>EPD!A286</f>
        <v>0</v>
      </c>
      <c r="F571">
        <v>0</v>
      </c>
      <c r="G571">
        <v>0</v>
      </c>
      <c r="H571">
        <v>0</v>
      </c>
      <c r="I571">
        <v>0</v>
      </c>
      <c r="K571">
        <v>0</v>
      </c>
      <c r="L571" s="322">
        <v>0</v>
      </c>
      <c r="M571" s="322">
        <v>0</v>
      </c>
      <c r="N571" s="322">
        <v>0</v>
      </c>
    </row>
    <row r="572" spans="1:14" x14ac:dyDescent="0.3">
      <c r="A572">
        <f>EPD!A287</f>
        <v>0</v>
      </c>
      <c r="F572">
        <v>0</v>
      </c>
      <c r="G572">
        <v>0</v>
      </c>
      <c r="H572">
        <v>0</v>
      </c>
      <c r="I572">
        <v>0</v>
      </c>
      <c r="K572">
        <v>0</v>
      </c>
      <c r="L572" s="322">
        <v>0</v>
      </c>
      <c r="M572" s="322">
        <v>0</v>
      </c>
      <c r="N572" s="322">
        <v>0</v>
      </c>
    </row>
    <row r="573" spans="1:14" x14ac:dyDescent="0.3">
      <c r="A573">
        <f>EPD!A288</f>
        <v>0</v>
      </c>
      <c r="F573">
        <v>0</v>
      </c>
      <c r="G573">
        <v>0</v>
      </c>
      <c r="H573">
        <v>0</v>
      </c>
      <c r="I573">
        <v>0</v>
      </c>
      <c r="K573">
        <v>0</v>
      </c>
      <c r="L573" s="322">
        <v>0</v>
      </c>
      <c r="M573" s="322">
        <v>0</v>
      </c>
      <c r="N573" s="322">
        <v>0</v>
      </c>
    </row>
    <row r="574" spans="1:14" x14ac:dyDescent="0.3">
      <c r="A574">
        <f>EPD!A289</f>
        <v>0</v>
      </c>
      <c r="F574">
        <v>0</v>
      </c>
      <c r="G574">
        <v>0</v>
      </c>
      <c r="H574">
        <v>0</v>
      </c>
      <c r="I574">
        <v>0</v>
      </c>
      <c r="K574">
        <v>0</v>
      </c>
      <c r="L574" s="322">
        <v>0</v>
      </c>
      <c r="M574" s="322">
        <v>0</v>
      </c>
      <c r="N574" s="322">
        <v>0</v>
      </c>
    </row>
    <row r="575" spans="1:14" x14ac:dyDescent="0.3">
      <c r="A575">
        <f>EPD!A290</f>
        <v>0</v>
      </c>
      <c r="F575">
        <v>0</v>
      </c>
      <c r="G575">
        <v>0</v>
      </c>
      <c r="H575">
        <v>0</v>
      </c>
      <c r="I575">
        <v>0</v>
      </c>
      <c r="K575">
        <v>0</v>
      </c>
      <c r="L575" s="322">
        <v>0</v>
      </c>
      <c r="M575" s="322">
        <v>0</v>
      </c>
      <c r="N575" s="322">
        <v>0</v>
      </c>
    </row>
    <row r="576" spans="1:14" x14ac:dyDescent="0.3">
      <c r="A576">
        <f>EPD!A291</f>
        <v>0</v>
      </c>
      <c r="F576">
        <v>0</v>
      </c>
      <c r="G576">
        <v>0</v>
      </c>
      <c r="H576">
        <v>0</v>
      </c>
      <c r="I576">
        <v>0</v>
      </c>
      <c r="K576">
        <v>0</v>
      </c>
      <c r="L576" s="322">
        <v>0</v>
      </c>
      <c r="M576" s="322">
        <v>0</v>
      </c>
      <c r="N576" s="322">
        <v>0</v>
      </c>
    </row>
    <row r="577" spans="1:14" x14ac:dyDescent="0.3">
      <c r="A577">
        <f>EPD!A292</f>
        <v>0</v>
      </c>
      <c r="F577">
        <v>0</v>
      </c>
      <c r="G577">
        <v>0</v>
      </c>
      <c r="H577">
        <v>0</v>
      </c>
      <c r="I577">
        <v>0</v>
      </c>
      <c r="K577">
        <v>0</v>
      </c>
      <c r="L577" s="322">
        <v>0</v>
      </c>
      <c r="M577" s="322">
        <v>0</v>
      </c>
      <c r="N577" s="322">
        <v>0</v>
      </c>
    </row>
    <row r="578" spans="1:14" x14ac:dyDescent="0.3">
      <c r="A578">
        <f>EPD!A293</f>
        <v>0</v>
      </c>
      <c r="F578">
        <v>0</v>
      </c>
      <c r="G578">
        <v>0</v>
      </c>
      <c r="H578">
        <v>0</v>
      </c>
      <c r="I578">
        <v>0</v>
      </c>
      <c r="K578">
        <v>0</v>
      </c>
      <c r="L578" s="322">
        <v>0</v>
      </c>
      <c r="M578" s="322">
        <v>0</v>
      </c>
      <c r="N578" s="322">
        <v>0</v>
      </c>
    </row>
    <row r="579" spans="1:14" x14ac:dyDescent="0.3">
      <c r="A579">
        <f>EPD!A294</f>
        <v>0</v>
      </c>
      <c r="F579">
        <v>0</v>
      </c>
      <c r="G579">
        <v>0</v>
      </c>
      <c r="H579">
        <v>0</v>
      </c>
      <c r="I579">
        <v>0</v>
      </c>
      <c r="K579">
        <v>0</v>
      </c>
      <c r="L579" s="322">
        <v>0</v>
      </c>
      <c r="M579" s="322">
        <v>0</v>
      </c>
      <c r="N579" s="322">
        <v>0</v>
      </c>
    </row>
    <row r="580" spans="1:14" x14ac:dyDescent="0.3">
      <c r="A580">
        <f>EPD!A295</f>
        <v>0</v>
      </c>
      <c r="F580">
        <v>0</v>
      </c>
      <c r="G580">
        <v>0</v>
      </c>
      <c r="H580">
        <v>0</v>
      </c>
      <c r="I580">
        <v>0</v>
      </c>
      <c r="K580">
        <v>0</v>
      </c>
      <c r="L580" s="322">
        <v>0</v>
      </c>
      <c r="M580" s="322">
        <v>0</v>
      </c>
      <c r="N580" s="322">
        <v>0</v>
      </c>
    </row>
    <row r="581" spans="1:14" x14ac:dyDescent="0.3">
      <c r="A581">
        <f>EPD!A296</f>
        <v>0</v>
      </c>
      <c r="F581">
        <v>0</v>
      </c>
      <c r="G581">
        <v>0</v>
      </c>
      <c r="H581">
        <v>0</v>
      </c>
      <c r="I581">
        <v>0</v>
      </c>
      <c r="K581">
        <v>0</v>
      </c>
      <c r="L581" s="322">
        <v>0</v>
      </c>
      <c r="M581" s="322">
        <v>0</v>
      </c>
      <c r="N581" s="322">
        <v>0</v>
      </c>
    </row>
    <row r="582" spans="1:14" x14ac:dyDescent="0.3">
      <c r="A582">
        <f>EPD!A297</f>
        <v>0</v>
      </c>
      <c r="F582">
        <v>0</v>
      </c>
      <c r="G582">
        <v>0</v>
      </c>
      <c r="H582">
        <v>0</v>
      </c>
      <c r="I582">
        <v>0</v>
      </c>
      <c r="K582">
        <v>0</v>
      </c>
      <c r="L582" s="322">
        <v>0</v>
      </c>
      <c r="M582" s="322">
        <v>0</v>
      </c>
      <c r="N582" s="322">
        <v>0</v>
      </c>
    </row>
    <row r="583" spans="1:14" x14ac:dyDescent="0.3">
      <c r="A583">
        <f>EPD!A298</f>
        <v>0</v>
      </c>
      <c r="F583">
        <v>0</v>
      </c>
      <c r="G583">
        <v>0</v>
      </c>
      <c r="H583">
        <v>0</v>
      </c>
      <c r="I583">
        <v>0</v>
      </c>
      <c r="K583">
        <v>0</v>
      </c>
      <c r="L583" s="322">
        <v>0</v>
      </c>
      <c r="M583" s="322">
        <v>0</v>
      </c>
      <c r="N583" s="322">
        <v>0</v>
      </c>
    </row>
    <row r="584" spans="1:14" x14ac:dyDescent="0.3">
      <c r="A584">
        <f>EPD!A299</f>
        <v>0</v>
      </c>
      <c r="F584">
        <v>0</v>
      </c>
      <c r="G584">
        <v>0</v>
      </c>
      <c r="H584">
        <v>0</v>
      </c>
      <c r="I584">
        <v>0</v>
      </c>
      <c r="K584">
        <v>0</v>
      </c>
      <c r="L584" s="322">
        <v>0</v>
      </c>
      <c r="M584" s="322">
        <v>0</v>
      </c>
      <c r="N584" s="322">
        <v>0</v>
      </c>
    </row>
    <row r="585" spans="1:14" x14ac:dyDescent="0.3">
      <c r="A585">
        <f>EPD!A300</f>
        <v>0</v>
      </c>
      <c r="F585">
        <v>0</v>
      </c>
      <c r="G585">
        <v>0</v>
      </c>
      <c r="H585">
        <v>0</v>
      </c>
      <c r="I585">
        <v>0</v>
      </c>
      <c r="K585">
        <v>0</v>
      </c>
      <c r="L585" s="322">
        <v>0</v>
      </c>
      <c r="M585" s="322">
        <v>0</v>
      </c>
      <c r="N585" s="322">
        <v>0</v>
      </c>
    </row>
    <row r="586" spans="1:14" x14ac:dyDescent="0.3">
      <c r="A586">
        <f>EPD!A301</f>
        <v>0</v>
      </c>
      <c r="F586">
        <v>0</v>
      </c>
      <c r="G586">
        <v>0</v>
      </c>
      <c r="H586">
        <v>0</v>
      </c>
      <c r="I586">
        <v>0</v>
      </c>
      <c r="K586">
        <v>0</v>
      </c>
      <c r="L586" s="322">
        <v>0</v>
      </c>
      <c r="M586" s="322">
        <v>0</v>
      </c>
      <c r="N586" s="322">
        <v>0</v>
      </c>
    </row>
    <row r="587" spans="1:14" x14ac:dyDescent="0.3">
      <c r="A587">
        <f>EPD!A302</f>
        <v>0</v>
      </c>
      <c r="F587">
        <v>0</v>
      </c>
      <c r="G587">
        <v>0</v>
      </c>
      <c r="H587">
        <v>0</v>
      </c>
      <c r="I587">
        <v>0</v>
      </c>
      <c r="K587">
        <v>0</v>
      </c>
      <c r="L587" s="322">
        <v>0</v>
      </c>
      <c r="M587" s="322">
        <v>0</v>
      </c>
      <c r="N587" s="322">
        <v>0</v>
      </c>
    </row>
    <row r="588" spans="1:14" x14ac:dyDescent="0.3">
      <c r="A588">
        <f>EPD!A303</f>
        <v>0</v>
      </c>
      <c r="F588">
        <v>0</v>
      </c>
      <c r="G588">
        <v>0</v>
      </c>
      <c r="H588">
        <v>0</v>
      </c>
      <c r="I588">
        <v>0</v>
      </c>
      <c r="K588">
        <v>0</v>
      </c>
      <c r="L588" s="322">
        <v>0</v>
      </c>
      <c r="M588" s="322">
        <v>0</v>
      </c>
      <c r="N588" s="322">
        <v>0</v>
      </c>
    </row>
    <row r="589" spans="1:14" x14ac:dyDescent="0.3">
      <c r="A589">
        <f>EPD!A304</f>
        <v>0</v>
      </c>
      <c r="F589">
        <v>0</v>
      </c>
      <c r="G589">
        <v>0</v>
      </c>
      <c r="H589">
        <v>0</v>
      </c>
      <c r="I589">
        <v>0</v>
      </c>
      <c r="K589">
        <v>0</v>
      </c>
      <c r="L589" s="322">
        <v>0</v>
      </c>
      <c r="M589" s="322">
        <v>0</v>
      </c>
      <c r="N589" s="322">
        <v>0</v>
      </c>
    </row>
    <row r="590" spans="1:14" x14ac:dyDescent="0.3">
      <c r="A590">
        <f>EPD!A305</f>
        <v>0</v>
      </c>
      <c r="F590">
        <v>0</v>
      </c>
      <c r="G590">
        <v>0</v>
      </c>
      <c r="H590">
        <v>0</v>
      </c>
      <c r="I590">
        <v>0</v>
      </c>
      <c r="K590">
        <v>0</v>
      </c>
      <c r="L590" s="322">
        <v>0</v>
      </c>
      <c r="M590" s="322">
        <v>0</v>
      </c>
      <c r="N590" s="322">
        <v>0</v>
      </c>
    </row>
    <row r="591" spans="1:14" x14ac:dyDescent="0.3">
      <c r="A591">
        <f>EPD!A306</f>
        <v>0</v>
      </c>
      <c r="F591">
        <v>0</v>
      </c>
      <c r="G591">
        <v>0</v>
      </c>
      <c r="H591">
        <v>0</v>
      </c>
      <c r="I591">
        <v>0</v>
      </c>
      <c r="K591">
        <v>0</v>
      </c>
      <c r="L591" s="322">
        <v>0</v>
      </c>
      <c r="M591" s="322">
        <v>0</v>
      </c>
      <c r="N591" s="322">
        <v>0</v>
      </c>
    </row>
    <row r="592" spans="1:14" x14ac:dyDescent="0.3">
      <c r="A592">
        <f>EPD!A307</f>
        <v>0</v>
      </c>
      <c r="F592">
        <v>0</v>
      </c>
      <c r="G592">
        <v>0</v>
      </c>
      <c r="H592">
        <v>0</v>
      </c>
      <c r="I592">
        <v>0</v>
      </c>
      <c r="K592">
        <v>0</v>
      </c>
      <c r="L592" s="322">
        <v>0</v>
      </c>
      <c r="M592" s="322">
        <v>0</v>
      </c>
      <c r="N592" s="322">
        <v>0</v>
      </c>
    </row>
    <row r="593" spans="1:14" x14ac:dyDescent="0.3">
      <c r="A593">
        <f>EPD!A308</f>
        <v>0</v>
      </c>
      <c r="F593">
        <v>0</v>
      </c>
      <c r="G593">
        <v>0</v>
      </c>
      <c r="H593">
        <v>0</v>
      </c>
      <c r="I593">
        <v>0</v>
      </c>
      <c r="K593">
        <v>0</v>
      </c>
      <c r="L593" s="322">
        <v>0</v>
      </c>
      <c r="M593" s="322">
        <v>0</v>
      </c>
      <c r="N593" s="322">
        <v>0</v>
      </c>
    </row>
    <row r="594" spans="1:14" x14ac:dyDescent="0.3">
      <c r="A594">
        <f>EPD!A309</f>
        <v>0</v>
      </c>
      <c r="F594">
        <v>0</v>
      </c>
      <c r="G594">
        <v>0</v>
      </c>
      <c r="H594">
        <v>0</v>
      </c>
      <c r="I594">
        <v>0</v>
      </c>
      <c r="K594">
        <v>0</v>
      </c>
      <c r="L594" s="322">
        <v>0</v>
      </c>
      <c r="M594" s="322">
        <v>0</v>
      </c>
      <c r="N594" s="322">
        <v>0</v>
      </c>
    </row>
    <row r="595" spans="1:14" x14ac:dyDescent="0.3">
      <c r="A595">
        <f>EPD!A310</f>
        <v>0</v>
      </c>
      <c r="F595">
        <v>0</v>
      </c>
      <c r="G595">
        <v>0</v>
      </c>
      <c r="H595">
        <v>0</v>
      </c>
      <c r="I595">
        <v>0</v>
      </c>
      <c r="K595">
        <v>0</v>
      </c>
      <c r="L595" s="322">
        <v>0</v>
      </c>
      <c r="M595" s="322">
        <v>0</v>
      </c>
      <c r="N595" s="322">
        <v>0</v>
      </c>
    </row>
    <row r="596" spans="1:14" x14ac:dyDescent="0.3">
      <c r="A596">
        <f>EPD!A311</f>
        <v>0</v>
      </c>
      <c r="F596">
        <v>0</v>
      </c>
      <c r="G596">
        <v>0</v>
      </c>
      <c r="H596">
        <v>0</v>
      </c>
      <c r="I596">
        <v>0</v>
      </c>
      <c r="K596">
        <v>0</v>
      </c>
      <c r="L596" s="322">
        <v>0</v>
      </c>
      <c r="M596" s="322">
        <v>0</v>
      </c>
      <c r="N596" s="322">
        <v>0</v>
      </c>
    </row>
    <row r="597" spans="1:14" x14ac:dyDescent="0.3">
      <c r="A597">
        <f>EPD!A312</f>
        <v>0</v>
      </c>
      <c r="F597">
        <v>0</v>
      </c>
      <c r="G597">
        <v>0</v>
      </c>
      <c r="H597">
        <v>0</v>
      </c>
      <c r="I597">
        <v>0</v>
      </c>
      <c r="K597">
        <v>0</v>
      </c>
      <c r="L597" s="322">
        <v>0</v>
      </c>
      <c r="M597" s="322">
        <v>0</v>
      </c>
      <c r="N597" s="322">
        <v>0</v>
      </c>
    </row>
    <row r="598" spans="1:14" x14ac:dyDescent="0.3">
      <c r="A598">
        <f>EPD!A313</f>
        <v>0</v>
      </c>
      <c r="F598">
        <v>0</v>
      </c>
      <c r="G598">
        <v>0</v>
      </c>
      <c r="H598">
        <v>0</v>
      </c>
      <c r="I598">
        <v>0</v>
      </c>
      <c r="K598">
        <v>0</v>
      </c>
      <c r="L598" s="322">
        <v>0</v>
      </c>
      <c r="M598" s="322">
        <v>0</v>
      </c>
      <c r="N598" s="322">
        <v>0</v>
      </c>
    </row>
    <row r="599" spans="1:14" x14ac:dyDescent="0.3">
      <c r="A599">
        <f>EPD!A314</f>
        <v>0</v>
      </c>
      <c r="F599">
        <v>0</v>
      </c>
      <c r="G599">
        <v>0</v>
      </c>
      <c r="H599">
        <v>0</v>
      </c>
      <c r="I599">
        <v>0</v>
      </c>
      <c r="K599">
        <v>0</v>
      </c>
      <c r="L599" s="322">
        <v>0</v>
      </c>
      <c r="M599" s="322">
        <v>0</v>
      </c>
      <c r="N599" s="322">
        <v>0</v>
      </c>
    </row>
    <row r="600" spans="1:14" x14ac:dyDescent="0.3">
      <c r="A600">
        <f>EPD!A315</f>
        <v>0</v>
      </c>
      <c r="F600">
        <v>0</v>
      </c>
      <c r="G600">
        <v>0</v>
      </c>
      <c r="H600">
        <v>0</v>
      </c>
      <c r="I600">
        <v>0</v>
      </c>
      <c r="K600">
        <v>0</v>
      </c>
      <c r="L600" s="322">
        <v>0</v>
      </c>
      <c r="M600" s="322">
        <v>0</v>
      </c>
      <c r="N600" s="322">
        <v>0</v>
      </c>
    </row>
    <row r="601" spans="1:14" x14ac:dyDescent="0.3">
      <c r="A601">
        <f>EPD!A316</f>
        <v>0</v>
      </c>
      <c r="F601">
        <v>0</v>
      </c>
      <c r="G601">
        <v>0</v>
      </c>
      <c r="H601">
        <v>0</v>
      </c>
      <c r="I601">
        <v>0</v>
      </c>
      <c r="K601">
        <v>0</v>
      </c>
      <c r="L601" s="322">
        <v>0</v>
      </c>
      <c r="M601" s="322">
        <v>0</v>
      </c>
      <c r="N601" s="322">
        <v>0</v>
      </c>
    </row>
    <row r="602" spans="1:14" x14ac:dyDescent="0.3">
      <c r="A602">
        <f>EPD!A317</f>
        <v>0</v>
      </c>
      <c r="F602">
        <v>0</v>
      </c>
      <c r="G602">
        <v>0</v>
      </c>
      <c r="H602">
        <v>0</v>
      </c>
      <c r="I602">
        <v>0</v>
      </c>
      <c r="K602">
        <v>0</v>
      </c>
      <c r="L602" s="322">
        <v>0</v>
      </c>
      <c r="M602" s="322">
        <v>0</v>
      </c>
      <c r="N602" s="322">
        <v>0</v>
      </c>
    </row>
    <row r="603" spans="1:14" x14ac:dyDescent="0.3">
      <c r="A603">
        <f>EPD!A318</f>
        <v>0</v>
      </c>
      <c r="F603">
        <v>0</v>
      </c>
      <c r="G603">
        <v>0</v>
      </c>
      <c r="H603">
        <v>0</v>
      </c>
      <c r="I603">
        <v>0</v>
      </c>
      <c r="K603">
        <v>0</v>
      </c>
      <c r="L603" s="322">
        <v>0</v>
      </c>
      <c r="M603" s="322">
        <v>0</v>
      </c>
      <c r="N603" s="322">
        <v>0</v>
      </c>
    </row>
    <row r="604" spans="1:14" x14ac:dyDescent="0.3">
      <c r="A604">
        <f>EPD!A319</f>
        <v>0</v>
      </c>
      <c r="F604">
        <v>0</v>
      </c>
      <c r="G604">
        <v>0</v>
      </c>
      <c r="H604">
        <v>0</v>
      </c>
      <c r="I604">
        <v>0</v>
      </c>
      <c r="K604">
        <v>0</v>
      </c>
      <c r="L604" s="322">
        <v>0</v>
      </c>
      <c r="M604" s="322">
        <v>0</v>
      </c>
      <c r="N604" s="322">
        <v>0</v>
      </c>
    </row>
    <row r="605" spans="1:14" x14ac:dyDescent="0.3">
      <c r="A605">
        <f>EPD!A320</f>
        <v>0</v>
      </c>
      <c r="F605">
        <v>0</v>
      </c>
      <c r="G605">
        <v>0</v>
      </c>
      <c r="H605">
        <v>0</v>
      </c>
      <c r="I605">
        <v>0</v>
      </c>
      <c r="K605">
        <v>0</v>
      </c>
      <c r="L605" s="322">
        <v>0</v>
      </c>
      <c r="M605" s="322">
        <v>0</v>
      </c>
      <c r="N605" s="322">
        <v>0</v>
      </c>
    </row>
    <row r="606" spans="1:14" x14ac:dyDescent="0.3">
      <c r="A606">
        <f>EPD!A321</f>
        <v>0</v>
      </c>
      <c r="F606">
        <v>0</v>
      </c>
      <c r="G606">
        <v>0</v>
      </c>
      <c r="H606">
        <v>0</v>
      </c>
      <c r="I606">
        <v>0</v>
      </c>
      <c r="K606">
        <v>0</v>
      </c>
      <c r="L606" s="322">
        <v>0</v>
      </c>
      <c r="M606" s="322">
        <v>0</v>
      </c>
      <c r="N606" s="322">
        <v>0</v>
      </c>
    </row>
    <row r="607" spans="1:14" x14ac:dyDescent="0.3">
      <c r="A607">
        <f>EPD!A322</f>
        <v>0</v>
      </c>
      <c r="F607">
        <v>0</v>
      </c>
      <c r="G607">
        <v>0</v>
      </c>
      <c r="H607">
        <v>0</v>
      </c>
      <c r="I607">
        <v>0</v>
      </c>
      <c r="K607">
        <v>0</v>
      </c>
      <c r="L607" s="322">
        <v>0</v>
      </c>
      <c r="M607" s="322">
        <v>0</v>
      </c>
      <c r="N607" s="322">
        <v>0</v>
      </c>
    </row>
    <row r="608" spans="1:14" x14ac:dyDescent="0.3">
      <c r="A608">
        <f>EPD!A323</f>
        <v>0</v>
      </c>
      <c r="F608">
        <v>0</v>
      </c>
      <c r="G608">
        <v>0</v>
      </c>
      <c r="H608">
        <v>0</v>
      </c>
      <c r="I608">
        <v>0</v>
      </c>
      <c r="K608">
        <v>0</v>
      </c>
      <c r="L608" s="322">
        <v>0</v>
      </c>
      <c r="M608" s="322">
        <v>0</v>
      </c>
      <c r="N608" s="322">
        <v>0</v>
      </c>
    </row>
    <row r="609" spans="1:14" x14ac:dyDescent="0.3">
      <c r="A609">
        <f>EPD!A324</f>
        <v>0</v>
      </c>
      <c r="F609">
        <v>0</v>
      </c>
      <c r="G609">
        <v>0</v>
      </c>
      <c r="H609">
        <v>0</v>
      </c>
      <c r="I609">
        <v>0</v>
      </c>
      <c r="K609">
        <v>0</v>
      </c>
      <c r="L609" s="322">
        <v>0</v>
      </c>
      <c r="M609" s="322">
        <v>0</v>
      </c>
      <c r="N609" s="322">
        <v>0</v>
      </c>
    </row>
    <row r="610" spans="1:14" x14ac:dyDescent="0.3">
      <c r="A610">
        <f>EPD!A325</f>
        <v>0</v>
      </c>
      <c r="F610">
        <v>0</v>
      </c>
      <c r="G610">
        <v>0</v>
      </c>
      <c r="H610">
        <v>0</v>
      </c>
      <c r="I610">
        <v>0</v>
      </c>
      <c r="K610">
        <v>0</v>
      </c>
      <c r="L610" s="322">
        <v>0</v>
      </c>
      <c r="M610" s="322">
        <v>0</v>
      </c>
      <c r="N610" s="322">
        <v>0</v>
      </c>
    </row>
    <row r="611" spans="1:14" x14ac:dyDescent="0.3">
      <c r="A611">
        <f>EPD!A326</f>
        <v>0</v>
      </c>
      <c r="F611">
        <v>0</v>
      </c>
      <c r="G611">
        <v>0</v>
      </c>
      <c r="H611">
        <v>0</v>
      </c>
      <c r="I611">
        <v>0</v>
      </c>
      <c r="K611">
        <v>0</v>
      </c>
      <c r="L611" s="322">
        <v>0</v>
      </c>
      <c r="M611" s="322">
        <v>0</v>
      </c>
      <c r="N611" s="322">
        <v>0</v>
      </c>
    </row>
    <row r="612" spans="1:14" x14ac:dyDescent="0.3">
      <c r="A612">
        <f>EPD!A327</f>
        <v>0</v>
      </c>
      <c r="F612">
        <v>0</v>
      </c>
      <c r="G612">
        <v>0</v>
      </c>
      <c r="H612">
        <v>0</v>
      </c>
      <c r="I612">
        <v>0</v>
      </c>
      <c r="K612">
        <v>0</v>
      </c>
      <c r="L612" s="322">
        <v>0</v>
      </c>
      <c r="M612" s="322">
        <v>0</v>
      </c>
      <c r="N612" s="322">
        <v>0</v>
      </c>
    </row>
    <row r="613" spans="1:14" x14ac:dyDescent="0.3">
      <c r="A613">
        <f>EPD!A328</f>
        <v>0</v>
      </c>
      <c r="F613">
        <v>0</v>
      </c>
      <c r="G613">
        <v>0</v>
      </c>
      <c r="H613">
        <v>0</v>
      </c>
      <c r="I613">
        <v>0</v>
      </c>
      <c r="K613">
        <v>0</v>
      </c>
      <c r="L613" s="322">
        <v>0</v>
      </c>
      <c r="M613" s="322">
        <v>0</v>
      </c>
      <c r="N613" s="322">
        <v>0</v>
      </c>
    </row>
    <row r="614" spans="1:14" x14ac:dyDescent="0.3">
      <c r="A614">
        <f>EPD!A329</f>
        <v>0</v>
      </c>
      <c r="F614">
        <v>0</v>
      </c>
      <c r="G614">
        <v>0</v>
      </c>
      <c r="H614">
        <v>0</v>
      </c>
      <c r="I614">
        <v>0</v>
      </c>
      <c r="K614">
        <v>0</v>
      </c>
      <c r="L614" s="322">
        <v>0</v>
      </c>
      <c r="M614" s="322">
        <v>0</v>
      </c>
      <c r="N614" s="322">
        <v>0</v>
      </c>
    </row>
    <row r="615" spans="1:14" x14ac:dyDescent="0.3">
      <c r="A615">
        <f>EPD!A330</f>
        <v>0</v>
      </c>
      <c r="F615">
        <v>0</v>
      </c>
      <c r="G615">
        <v>0</v>
      </c>
      <c r="H615">
        <v>0</v>
      </c>
      <c r="I615">
        <v>0</v>
      </c>
      <c r="K615">
        <v>0</v>
      </c>
      <c r="L615" s="322">
        <v>0</v>
      </c>
      <c r="M615" s="322">
        <v>0</v>
      </c>
      <c r="N615" s="322">
        <v>0</v>
      </c>
    </row>
    <row r="616" spans="1:14" x14ac:dyDescent="0.3">
      <c r="A616">
        <f>EPD!A331</f>
        <v>0</v>
      </c>
      <c r="F616">
        <v>0</v>
      </c>
      <c r="G616">
        <v>0</v>
      </c>
      <c r="H616">
        <v>0</v>
      </c>
      <c r="I616">
        <v>0</v>
      </c>
      <c r="K616">
        <v>0</v>
      </c>
      <c r="L616" s="322">
        <v>0</v>
      </c>
      <c r="M616" s="322">
        <v>0</v>
      </c>
      <c r="N616" s="322">
        <v>0</v>
      </c>
    </row>
    <row r="617" spans="1:14" x14ac:dyDescent="0.3">
      <c r="A617">
        <f>EPD!A332</f>
        <v>0</v>
      </c>
      <c r="F617">
        <v>0</v>
      </c>
      <c r="G617">
        <v>0</v>
      </c>
      <c r="H617">
        <v>0</v>
      </c>
      <c r="I617">
        <v>0</v>
      </c>
      <c r="K617">
        <v>0</v>
      </c>
      <c r="L617" s="322">
        <v>0</v>
      </c>
      <c r="M617" s="322">
        <v>0</v>
      </c>
      <c r="N617" s="322">
        <v>0</v>
      </c>
    </row>
    <row r="618" spans="1:14" x14ac:dyDescent="0.3">
      <c r="A618">
        <f>EPD!A333</f>
        <v>0</v>
      </c>
      <c r="F618">
        <v>0</v>
      </c>
      <c r="G618">
        <v>0</v>
      </c>
      <c r="H618">
        <v>0</v>
      </c>
      <c r="I618">
        <v>0</v>
      </c>
      <c r="K618">
        <v>0</v>
      </c>
      <c r="L618" s="322">
        <v>0</v>
      </c>
      <c r="M618" s="322">
        <v>0</v>
      </c>
      <c r="N618" s="322">
        <v>0</v>
      </c>
    </row>
    <row r="619" spans="1:14" x14ac:dyDescent="0.3">
      <c r="A619">
        <f>EPD!A334</f>
        <v>0</v>
      </c>
      <c r="F619">
        <v>0</v>
      </c>
      <c r="G619">
        <v>0</v>
      </c>
      <c r="H619">
        <v>0</v>
      </c>
      <c r="I619">
        <v>0</v>
      </c>
      <c r="K619">
        <v>0</v>
      </c>
      <c r="L619" s="322">
        <v>0</v>
      </c>
      <c r="M619" s="322">
        <v>0</v>
      </c>
      <c r="N619" s="322">
        <v>0</v>
      </c>
    </row>
    <row r="620" spans="1:14" x14ac:dyDescent="0.3">
      <c r="A620">
        <f>EPD!A335</f>
        <v>0</v>
      </c>
      <c r="F620">
        <v>0</v>
      </c>
      <c r="G620">
        <v>0</v>
      </c>
      <c r="H620">
        <v>0</v>
      </c>
      <c r="I620">
        <v>0</v>
      </c>
      <c r="K620">
        <v>0</v>
      </c>
      <c r="L620" s="322">
        <v>0</v>
      </c>
      <c r="M620" s="322">
        <v>0</v>
      </c>
      <c r="N620" s="322">
        <v>0</v>
      </c>
    </row>
    <row r="621" spans="1:14" x14ac:dyDescent="0.3">
      <c r="A621">
        <f>EPD!A336</f>
        <v>0</v>
      </c>
      <c r="F621">
        <v>0</v>
      </c>
      <c r="G621">
        <v>0</v>
      </c>
      <c r="H621">
        <v>0</v>
      </c>
      <c r="I621">
        <v>0</v>
      </c>
      <c r="K621">
        <v>0</v>
      </c>
      <c r="L621" s="322">
        <v>0</v>
      </c>
      <c r="M621" s="322">
        <v>0</v>
      </c>
      <c r="N621" s="322">
        <v>0</v>
      </c>
    </row>
    <row r="622" spans="1:14" x14ac:dyDescent="0.3">
      <c r="A622">
        <f>EPD!A337</f>
        <v>0</v>
      </c>
      <c r="F622">
        <v>0</v>
      </c>
      <c r="G622">
        <v>0</v>
      </c>
      <c r="H622">
        <v>0</v>
      </c>
      <c r="I622">
        <v>0</v>
      </c>
      <c r="K622">
        <v>0</v>
      </c>
      <c r="L622" s="322">
        <v>0</v>
      </c>
      <c r="M622" s="322">
        <v>0</v>
      </c>
      <c r="N622" s="322">
        <v>0</v>
      </c>
    </row>
    <row r="623" spans="1:14" x14ac:dyDescent="0.3">
      <c r="A623">
        <f>EPD!A338</f>
        <v>0</v>
      </c>
      <c r="F623">
        <v>0</v>
      </c>
      <c r="G623">
        <v>0</v>
      </c>
      <c r="H623">
        <v>0</v>
      </c>
      <c r="I623">
        <v>0</v>
      </c>
      <c r="K623">
        <v>0</v>
      </c>
      <c r="L623" s="322">
        <v>0</v>
      </c>
      <c r="M623" s="322">
        <v>0</v>
      </c>
      <c r="N623" s="322">
        <v>0</v>
      </c>
    </row>
    <row r="624" spans="1:14" x14ac:dyDescent="0.3">
      <c r="A624">
        <f>EPD!A339</f>
        <v>0</v>
      </c>
      <c r="F624">
        <v>0</v>
      </c>
      <c r="G624">
        <v>0</v>
      </c>
      <c r="H624">
        <v>0</v>
      </c>
      <c r="I624">
        <v>0</v>
      </c>
      <c r="K624">
        <v>0</v>
      </c>
      <c r="L624" s="322">
        <v>0</v>
      </c>
      <c r="M624" s="322">
        <v>0</v>
      </c>
      <c r="N624" s="322">
        <v>0</v>
      </c>
    </row>
    <row r="625" spans="1:14" x14ac:dyDescent="0.3">
      <c r="A625">
        <f>EPD!A340</f>
        <v>0</v>
      </c>
      <c r="F625">
        <v>0</v>
      </c>
      <c r="G625">
        <v>0</v>
      </c>
      <c r="H625">
        <v>0</v>
      </c>
      <c r="I625">
        <v>0</v>
      </c>
      <c r="K625">
        <v>0</v>
      </c>
      <c r="L625" s="322">
        <v>0</v>
      </c>
      <c r="M625" s="322">
        <v>0</v>
      </c>
      <c r="N625" s="322">
        <v>0</v>
      </c>
    </row>
    <row r="626" spans="1:14" x14ac:dyDescent="0.3">
      <c r="A626">
        <f>EPD!A341</f>
        <v>0</v>
      </c>
      <c r="F626">
        <v>0</v>
      </c>
      <c r="G626">
        <v>0</v>
      </c>
      <c r="H626">
        <v>0</v>
      </c>
      <c r="I626">
        <v>0</v>
      </c>
      <c r="K626">
        <v>0</v>
      </c>
      <c r="L626" s="322">
        <v>0</v>
      </c>
      <c r="M626" s="322">
        <v>0</v>
      </c>
      <c r="N626" s="322">
        <v>0</v>
      </c>
    </row>
    <row r="627" spans="1:14" x14ac:dyDescent="0.3">
      <c r="A627">
        <f>EPD!A342</f>
        <v>0</v>
      </c>
      <c r="F627">
        <v>0</v>
      </c>
      <c r="G627">
        <v>0</v>
      </c>
      <c r="H627">
        <v>0</v>
      </c>
      <c r="I627">
        <v>0</v>
      </c>
      <c r="K627">
        <v>0</v>
      </c>
      <c r="L627" s="322">
        <v>0</v>
      </c>
      <c r="M627" s="322">
        <v>0</v>
      </c>
      <c r="N627" s="322">
        <v>0</v>
      </c>
    </row>
    <row r="628" spans="1:14" x14ac:dyDescent="0.3">
      <c r="A628">
        <f>EPD!A343</f>
        <v>0</v>
      </c>
      <c r="F628">
        <v>0</v>
      </c>
      <c r="G628">
        <v>0</v>
      </c>
      <c r="H628">
        <v>0</v>
      </c>
      <c r="I628">
        <v>0</v>
      </c>
      <c r="K628">
        <v>0</v>
      </c>
      <c r="L628" s="322">
        <v>0</v>
      </c>
      <c r="M628" s="322">
        <v>0</v>
      </c>
      <c r="N628" s="322">
        <v>0</v>
      </c>
    </row>
    <row r="629" spans="1:14" x14ac:dyDescent="0.3">
      <c r="A629">
        <f>EPD!A344</f>
        <v>0</v>
      </c>
      <c r="F629">
        <v>0</v>
      </c>
      <c r="G629">
        <v>0</v>
      </c>
      <c r="H629">
        <v>0</v>
      </c>
      <c r="I629">
        <v>0</v>
      </c>
      <c r="K629">
        <v>0</v>
      </c>
      <c r="L629" s="322">
        <v>0</v>
      </c>
      <c r="M629" s="322">
        <v>0</v>
      </c>
      <c r="N629" s="322">
        <v>0</v>
      </c>
    </row>
    <row r="630" spans="1:14" x14ac:dyDescent="0.3">
      <c r="A630">
        <f>EPD!A345</f>
        <v>0</v>
      </c>
      <c r="F630">
        <v>0</v>
      </c>
      <c r="G630">
        <v>0</v>
      </c>
      <c r="H630">
        <v>0</v>
      </c>
      <c r="I630">
        <v>0</v>
      </c>
      <c r="K630">
        <v>0</v>
      </c>
      <c r="L630" s="322">
        <v>0</v>
      </c>
      <c r="M630" s="322">
        <v>0</v>
      </c>
      <c r="N630" s="322">
        <v>0</v>
      </c>
    </row>
    <row r="631" spans="1:14" x14ac:dyDescent="0.3">
      <c r="A631">
        <f>EPD!A346</f>
        <v>0</v>
      </c>
      <c r="F631">
        <v>0</v>
      </c>
      <c r="G631">
        <v>0</v>
      </c>
      <c r="H631">
        <v>0</v>
      </c>
      <c r="I631">
        <v>0</v>
      </c>
      <c r="K631">
        <v>0</v>
      </c>
      <c r="L631" s="322">
        <v>0</v>
      </c>
      <c r="M631" s="322">
        <v>0</v>
      </c>
      <c r="N631" s="322">
        <v>0</v>
      </c>
    </row>
    <row r="632" spans="1:14" x14ac:dyDescent="0.3">
      <c r="A632">
        <f>EPD!A347</f>
        <v>0</v>
      </c>
      <c r="F632">
        <v>0</v>
      </c>
      <c r="G632">
        <v>0</v>
      </c>
      <c r="H632">
        <v>0</v>
      </c>
      <c r="I632">
        <v>0</v>
      </c>
      <c r="K632">
        <v>0</v>
      </c>
      <c r="L632" s="322">
        <v>0</v>
      </c>
      <c r="M632" s="322">
        <v>0</v>
      </c>
      <c r="N632" s="322">
        <v>0</v>
      </c>
    </row>
    <row r="633" spans="1:14" x14ac:dyDescent="0.3">
      <c r="A633">
        <f>EPD!A348</f>
        <v>0</v>
      </c>
      <c r="F633">
        <v>0</v>
      </c>
      <c r="G633">
        <v>0</v>
      </c>
      <c r="H633">
        <v>0</v>
      </c>
      <c r="I633">
        <v>0</v>
      </c>
      <c r="K633">
        <v>0</v>
      </c>
      <c r="L633" s="322">
        <v>0</v>
      </c>
      <c r="M633" s="322">
        <v>0</v>
      </c>
      <c r="N633" s="322">
        <v>0</v>
      </c>
    </row>
    <row r="634" spans="1:14" x14ac:dyDescent="0.3">
      <c r="A634">
        <f>EPD!A349</f>
        <v>0</v>
      </c>
      <c r="F634">
        <v>0</v>
      </c>
      <c r="G634">
        <v>0</v>
      </c>
      <c r="H634">
        <v>0</v>
      </c>
      <c r="I634">
        <v>0</v>
      </c>
      <c r="K634">
        <v>0</v>
      </c>
      <c r="L634" s="322">
        <v>0</v>
      </c>
      <c r="M634" s="322">
        <v>0</v>
      </c>
      <c r="N634" s="322">
        <v>0</v>
      </c>
    </row>
    <row r="635" spans="1:14" x14ac:dyDescent="0.3">
      <c r="A635">
        <f>EPD!A350</f>
        <v>0</v>
      </c>
      <c r="F635">
        <v>0</v>
      </c>
      <c r="G635">
        <v>0</v>
      </c>
      <c r="H635">
        <v>0</v>
      </c>
      <c r="I635">
        <v>0</v>
      </c>
      <c r="K635">
        <v>0</v>
      </c>
      <c r="L635" s="322">
        <v>0</v>
      </c>
      <c r="M635" s="322">
        <v>0</v>
      </c>
      <c r="N635" s="322">
        <v>0</v>
      </c>
    </row>
    <row r="636" spans="1:14" x14ac:dyDescent="0.3">
      <c r="A636">
        <f>EPD!A351</f>
        <v>0</v>
      </c>
      <c r="F636">
        <v>0</v>
      </c>
      <c r="G636">
        <v>0</v>
      </c>
      <c r="H636">
        <v>0</v>
      </c>
      <c r="I636">
        <v>0</v>
      </c>
      <c r="K636">
        <v>0</v>
      </c>
      <c r="L636" s="322">
        <v>0</v>
      </c>
      <c r="M636" s="322">
        <v>0</v>
      </c>
      <c r="N636" s="322">
        <v>0</v>
      </c>
    </row>
    <row r="637" spans="1:14" x14ac:dyDescent="0.3">
      <c r="A637">
        <f>EPD!A352</f>
        <v>0</v>
      </c>
      <c r="F637">
        <v>0</v>
      </c>
      <c r="G637">
        <v>0</v>
      </c>
      <c r="H637">
        <v>0</v>
      </c>
      <c r="I637">
        <v>0</v>
      </c>
      <c r="K637">
        <v>0</v>
      </c>
      <c r="L637" s="322">
        <v>0</v>
      </c>
      <c r="M637" s="322">
        <v>0</v>
      </c>
      <c r="N637" s="322">
        <v>0</v>
      </c>
    </row>
    <row r="638" spans="1:14" x14ac:dyDescent="0.3">
      <c r="A638">
        <f>EPD!A353</f>
        <v>0</v>
      </c>
      <c r="F638">
        <v>0</v>
      </c>
      <c r="G638">
        <v>0</v>
      </c>
      <c r="H638">
        <v>0</v>
      </c>
      <c r="I638">
        <v>0</v>
      </c>
      <c r="K638">
        <v>0</v>
      </c>
      <c r="L638" s="322">
        <v>0</v>
      </c>
      <c r="M638" s="322">
        <v>0</v>
      </c>
      <c r="N638" s="322">
        <v>0</v>
      </c>
    </row>
    <row r="639" spans="1:14" x14ac:dyDescent="0.3">
      <c r="A639">
        <f>EPD!A354</f>
        <v>0</v>
      </c>
      <c r="F639">
        <v>0</v>
      </c>
      <c r="G639">
        <v>0</v>
      </c>
      <c r="H639">
        <v>0</v>
      </c>
      <c r="I639">
        <v>0</v>
      </c>
      <c r="K639">
        <v>0</v>
      </c>
      <c r="L639" s="322">
        <v>0</v>
      </c>
      <c r="M639" s="322">
        <v>0</v>
      </c>
      <c r="N639" s="322">
        <v>0</v>
      </c>
    </row>
    <row r="640" spans="1:14" x14ac:dyDescent="0.3">
      <c r="A640">
        <f>EPD!A355</f>
        <v>0</v>
      </c>
      <c r="F640">
        <v>0</v>
      </c>
      <c r="G640">
        <v>0</v>
      </c>
      <c r="H640">
        <v>0</v>
      </c>
      <c r="I640">
        <v>0</v>
      </c>
      <c r="K640">
        <v>0</v>
      </c>
      <c r="L640" s="322">
        <v>0</v>
      </c>
      <c r="M640" s="322">
        <v>0</v>
      </c>
      <c r="N640" s="322">
        <v>0</v>
      </c>
    </row>
    <row r="641" spans="1:14" x14ac:dyDescent="0.3">
      <c r="A641">
        <f>EPD!A356</f>
        <v>0</v>
      </c>
      <c r="F641">
        <v>0</v>
      </c>
      <c r="G641">
        <v>0</v>
      </c>
      <c r="H641">
        <v>0</v>
      </c>
      <c r="I641">
        <v>0</v>
      </c>
      <c r="K641">
        <v>0</v>
      </c>
      <c r="L641" s="322">
        <v>0</v>
      </c>
      <c r="M641" s="322">
        <v>0</v>
      </c>
      <c r="N641" s="322">
        <v>0</v>
      </c>
    </row>
    <row r="642" spans="1:14" x14ac:dyDescent="0.3">
      <c r="A642">
        <f>EPD!A357</f>
        <v>0</v>
      </c>
      <c r="F642">
        <v>0</v>
      </c>
      <c r="G642">
        <v>0</v>
      </c>
      <c r="H642">
        <v>0</v>
      </c>
      <c r="I642">
        <v>0</v>
      </c>
      <c r="K642">
        <v>0</v>
      </c>
      <c r="L642" s="322">
        <v>0</v>
      </c>
      <c r="M642" s="322">
        <v>0</v>
      </c>
      <c r="N642" s="322">
        <v>0</v>
      </c>
    </row>
    <row r="643" spans="1:14" x14ac:dyDescent="0.3">
      <c r="A643">
        <f>EPD!A358</f>
        <v>0</v>
      </c>
      <c r="F643">
        <v>0</v>
      </c>
      <c r="G643">
        <v>0</v>
      </c>
      <c r="H643">
        <v>0</v>
      </c>
      <c r="I643">
        <v>0</v>
      </c>
      <c r="K643">
        <v>0</v>
      </c>
      <c r="L643" s="322">
        <v>0</v>
      </c>
      <c r="M643" s="322">
        <v>0</v>
      </c>
      <c r="N643" s="322">
        <v>0</v>
      </c>
    </row>
    <row r="644" spans="1:14" x14ac:dyDescent="0.3">
      <c r="A644">
        <f>EPD!A359</f>
        <v>0</v>
      </c>
      <c r="F644">
        <v>0</v>
      </c>
      <c r="G644">
        <v>0</v>
      </c>
      <c r="H644">
        <v>0</v>
      </c>
      <c r="I644">
        <v>0</v>
      </c>
      <c r="K644">
        <v>0</v>
      </c>
      <c r="L644" s="322">
        <v>0</v>
      </c>
      <c r="M644" s="322">
        <v>0</v>
      </c>
      <c r="N644" s="322">
        <v>0</v>
      </c>
    </row>
    <row r="645" spans="1:14" x14ac:dyDescent="0.3">
      <c r="A645">
        <f>EPD!A360</f>
        <v>0</v>
      </c>
      <c r="F645">
        <v>0</v>
      </c>
      <c r="G645">
        <v>0</v>
      </c>
      <c r="H645">
        <v>0</v>
      </c>
      <c r="I645">
        <v>0</v>
      </c>
      <c r="K645">
        <v>0</v>
      </c>
      <c r="L645" s="322">
        <v>0</v>
      </c>
      <c r="M645" s="322">
        <v>0</v>
      </c>
      <c r="N645" s="322">
        <v>0</v>
      </c>
    </row>
    <row r="646" spans="1:14" x14ac:dyDescent="0.3">
      <c r="A646">
        <f>EPD!A361</f>
        <v>0</v>
      </c>
      <c r="F646">
        <v>0</v>
      </c>
      <c r="G646">
        <v>0</v>
      </c>
      <c r="H646">
        <v>0</v>
      </c>
      <c r="I646">
        <v>0</v>
      </c>
      <c r="K646">
        <v>0</v>
      </c>
      <c r="L646" s="322">
        <v>0</v>
      </c>
      <c r="M646" s="322">
        <v>0</v>
      </c>
      <c r="N646" s="322">
        <v>0</v>
      </c>
    </row>
    <row r="647" spans="1:14" x14ac:dyDescent="0.3">
      <c r="A647">
        <f>EPD!A362</f>
        <v>0</v>
      </c>
      <c r="F647">
        <v>0</v>
      </c>
      <c r="G647">
        <v>0</v>
      </c>
      <c r="H647">
        <v>0</v>
      </c>
      <c r="I647">
        <v>0</v>
      </c>
      <c r="K647">
        <v>0</v>
      </c>
      <c r="L647" s="322">
        <v>0</v>
      </c>
      <c r="M647" s="322">
        <v>0</v>
      </c>
      <c r="N647" s="322">
        <v>0</v>
      </c>
    </row>
    <row r="648" spans="1:14" x14ac:dyDescent="0.3">
      <c r="A648">
        <f>EPD!A363</f>
        <v>0</v>
      </c>
      <c r="F648">
        <v>0</v>
      </c>
      <c r="G648">
        <v>0</v>
      </c>
      <c r="H648">
        <v>0</v>
      </c>
      <c r="I648">
        <v>0</v>
      </c>
      <c r="K648">
        <v>0</v>
      </c>
      <c r="L648" s="322">
        <v>0</v>
      </c>
      <c r="M648" s="322">
        <v>0</v>
      </c>
      <c r="N648" s="322">
        <v>0</v>
      </c>
    </row>
    <row r="649" spans="1:14" x14ac:dyDescent="0.3">
      <c r="A649">
        <f>EPD!A364</f>
        <v>0</v>
      </c>
      <c r="F649">
        <v>0</v>
      </c>
      <c r="G649">
        <v>0</v>
      </c>
      <c r="H649">
        <v>0</v>
      </c>
      <c r="I649">
        <v>0</v>
      </c>
      <c r="K649">
        <v>0</v>
      </c>
      <c r="L649" s="322">
        <v>0</v>
      </c>
      <c r="M649" s="322">
        <v>0</v>
      </c>
      <c r="N649" s="322">
        <v>0</v>
      </c>
    </row>
    <row r="650" spans="1:14" x14ac:dyDescent="0.3">
      <c r="A650">
        <f>EPD!A365</f>
        <v>0</v>
      </c>
      <c r="F650">
        <v>0</v>
      </c>
      <c r="G650">
        <v>0</v>
      </c>
      <c r="H650">
        <v>0</v>
      </c>
      <c r="I650">
        <v>0</v>
      </c>
      <c r="K650">
        <v>0</v>
      </c>
      <c r="L650" s="322">
        <v>0</v>
      </c>
      <c r="M650" s="322">
        <v>0</v>
      </c>
      <c r="N650" s="322">
        <v>0</v>
      </c>
    </row>
    <row r="651" spans="1:14" x14ac:dyDescent="0.3">
      <c r="A651">
        <f>EPD!A366</f>
        <v>0</v>
      </c>
      <c r="F651">
        <v>0</v>
      </c>
      <c r="G651">
        <v>0</v>
      </c>
      <c r="H651">
        <v>0</v>
      </c>
      <c r="I651">
        <v>0</v>
      </c>
      <c r="K651">
        <v>0</v>
      </c>
      <c r="L651" s="322">
        <v>0</v>
      </c>
      <c r="M651" s="322">
        <v>0</v>
      </c>
      <c r="N651" s="322">
        <v>0</v>
      </c>
    </row>
    <row r="652" spans="1:14" x14ac:dyDescent="0.3">
      <c r="A652">
        <f>EPD!A367</f>
        <v>0</v>
      </c>
      <c r="F652">
        <v>0</v>
      </c>
      <c r="G652">
        <v>0</v>
      </c>
      <c r="H652">
        <v>0</v>
      </c>
      <c r="I652">
        <v>0</v>
      </c>
      <c r="K652">
        <v>0</v>
      </c>
      <c r="L652" s="322">
        <v>0</v>
      </c>
      <c r="M652" s="322">
        <v>0</v>
      </c>
      <c r="N652" s="322">
        <v>0</v>
      </c>
    </row>
    <row r="653" spans="1:14" x14ac:dyDescent="0.3">
      <c r="A653">
        <f>EPD!A368</f>
        <v>0</v>
      </c>
      <c r="F653">
        <v>0</v>
      </c>
      <c r="G653">
        <v>0</v>
      </c>
      <c r="H653">
        <v>0</v>
      </c>
      <c r="I653">
        <v>0</v>
      </c>
      <c r="K653">
        <v>0</v>
      </c>
      <c r="L653" s="322">
        <v>0</v>
      </c>
      <c r="M653" s="322">
        <v>0</v>
      </c>
      <c r="N653" s="322">
        <v>0</v>
      </c>
    </row>
    <row r="654" spans="1:14" x14ac:dyDescent="0.3">
      <c r="A654">
        <f>EPD!A369</f>
        <v>0</v>
      </c>
      <c r="F654">
        <v>0</v>
      </c>
      <c r="G654">
        <v>0</v>
      </c>
      <c r="H654">
        <v>0</v>
      </c>
      <c r="I654">
        <v>0</v>
      </c>
      <c r="K654">
        <v>0</v>
      </c>
      <c r="L654" s="322">
        <v>0</v>
      </c>
      <c r="M654" s="322">
        <v>0</v>
      </c>
      <c r="N654" s="322">
        <v>0</v>
      </c>
    </row>
    <row r="655" spans="1:14" x14ac:dyDescent="0.3">
      <c r="A655">
        <f>EPD!A370</f>
        <v>0</v>
      </c>
      <c r="F655">
        <v>0</v>
      </c>
      <c r="G655">
        <v>0</v>
      </c>
      <c r="H655">
        <v>0</v>
      </c>
      <c r="I655">
        <v>0</v>
      </c>
      <c r="K655">
        <v>0</v>
      </c>
      <c r="L655" s="322">
        <v>0</v>
      </c>
      <c r="M655" s="322">
        <v>0</v>
      </c>
      <c r="N655" s="322">
        <v>0</v>
      </c>
    </row>
    <row r="656" spans="1:14" x14ac:dyDescent="0.3">
      <c r="A656">
        <f>EPD!A371</f>
        <v>0</v>
      </c>
      <c r="F656">
        <v>0</v>
      </c>
      <c r="G656">
        <v>0</v>
      </c>
      <c r="H656">
        <v>0</v>
      </c>
      <c r="I656">
        <v>0</v>
      </c>
      <c r="K656">
        <v>0</v>
      </c>
      <c r="L656" s="322">
        <v>0</v>
      </c>
      <c r="M656" s="322">
        <v>0</v>
      </c>
      <c r="N656" s="322">
        <v>0</v>
      </c>
    </row>
    <row r="657" spans="1:14" x14ac:dyDescent="0.3">
      <c r="A657">
        <f>EPD!A372</f>
        <v>0</v>
      </c>
      <c r="F657">
        <v>0</v>
      </c>
      <c r="G657">
        <v>0</v>
      </c>
      <c r="H657">
        <v>0</v>
      </c>
      <c r="I657">
        <v>0</v>
      </c>
      <c r="K657">
        <v>0</v>
      </c>
      <c r="L657" s="322">
        <v>0</v>
      </c>
      <c r="M657" s="322">
        <v>0</v>
      </c>
      <c r="N657" s="322">
        <v>0</v>
      </c>
    </row>
    <row r="658" spans="1:14" x14ac:dyDescent="0.3">
      <c r="A658">
        <f>EPD!A373</f>
        <v>0</v>
      </c>
      <c r="F658">
        <v>0</v>
      </c>
      <c r="G658">
        <v>0</v>
      </c>
      <c r="H658">
        <v>0</v>
      </c>
      <c r="I658">
        <v>0</v>
      </c>
      <c r="K658">
        <v>0</v>
      </c>
      <c r="L658" s="322">
        <v>0</v>
      </c>
      <c r="M658" s="322">
        <v>0</v>
      </c>
      <c r="N658" s="322">
        <v>0</v>
      </c>
    </row>
    <row r="659" spans="1:14" x14ac:dyDescent="0.3">
      <c r="A659">
        <f>EPD!A374</f>
        <v>0</v>
      </c>
      <c r="F659">
        <v>0</v>
      </c>
      <c r="G659">
        <v>0</v>
      </c>
      <c r="H659">
        <v>0</v>
      </c>
      <c r="I659">
        <v>0</v>
      </c>
      <c r="K659">
        <v>0</v>
      </c>
      <c r="L659" s="322">
        <v>0</v>
      </c>
      <c r="M659" s="322">
        <v>0</v>
      </c>
      <c r="N659" s="322">
        <v>0</v>
      </c>
    </row>
    <row r="660" spans="1:14" x14ac:dyDescent="0.3">
      <c r="A660">
        <f>EPD!A375</f>
        <v>0</v>
      </c>
      <c r="F660">
        <v>0</v>
      </c>
      <c r="G660">
        <v>0</v>
      </c>
      <c r="H660">
        <v>0</v>
      </c>
      <c r="I660">
        <v>0</v>
      </c>
      <c r="K660">
        <v>0</v>
      </c>
      <c r="L660" s="322">
        <v>0</v>
      </c>
      <c r="M660" s="322">
        <v>0</v>
      </c>
      <c r="N660" s="322">
        <v>0</v>
      </c>
    </row>
    <row r="661" spans="1:14" x14ac:dyDescent="0.3">
      <c r="A661">
        <f>EPD!A376</f>
        <v>0</v>
      </c>
      <c r="F661">
        <v>0</v>
      </c>
      <c r="G661">
        <v>0</v>
      </c>
      <c r="H661">
        <v>0</v>
      </c>
      <c r="I661">
        <v>0</v>
      </c>
      <c r="K661">
        <v>0</v>
      </c>
      <c r="L661" s="322">
        <v>0</v>
      </c>
      <c r="M661" s="322">
        <v>0</v>
      </c>
      <c r="N661" s="322">
        <v>0</v>
      </c>
    </row>
    <row r="662" spans="1:14" x14ac:dyDescent="0.3">
      <c r="A662">
        <f>EPD!A377</f>
        <v>0</v>
      </c>
      <c r="F662">
        <v>0</v>
      </c>
      <c r="G662">
        <v>0</v>
      </c>
      <c r="H662">
        <v>0</v>
      </c>
      <c r="I662">
        <v>0</v>
      </c>
      <c r="K662">
        <v>0</v>
      </c>
      <c r="L662" s="322">
        <v>0</v>
      </c>
      <c r="M662" s="322">
        <v>0</v>
      </c>
      <c r="N662" s="322">
        <v>0</v>
      </c>
    </row>
    <row r="663" spans="1:14" x14ac:dyDescent="0.3">
      <c r="A663">
        <f>EPD!A378</f>
        <v>0</v>
      </c>
      <c r="F663">
        <v>0</v>
      </c>
      <c r="G663">
        <v>0</v>
      </c>
      <c r="H663">
        <v>0</v>
      </c>
      <c r="I663">
        <v>0</v>
      </c>
      <c r="K663">
        <v>0</v>
      </c>
      <c r="L663" s="322">
        <v>0</v>
      </c>
      <c r="M663" s="322">
        <v>0</v>
      </c>
      <c r="N663" s="322">
        <v>0</v>
      </c>
    </row>
    <row r="664" spans="1:14" x14ac:dyDescent="0.3">
      <c r="A664">
        <f>EPD!A379</f>
        <v>0</v>
      </c>
      <c r="F664">
        <v>0</v>
      </c>
      <c r="G664">
        <v>0</v>
      </c>
      <c r="H664">
        <v>0</v>
      </c>
      <c r="I664">
        <v>0</v>
      </c>
      <c r="K664">
        <v>0</v>
      </c>
      <c r="L664" s="322">
        <v>0</v>
      </c>
      <c r="M664" s="322">
        <v>0</v>
      </c>
      <c r="N664" s="322">
        <v>0</v>
      </c>
    </row>
    <row r="665" spans="1:14" x14ac:dyDescent="0.3">
      <c r="A665">
        <f>EPD!A380</f>
        <v>0</v>
      </c>
      <c r="F665">
        <v>0</v>
      </c>
      <c r="G665">
        <v>0</v>
      </c>
      <c r="H665">
        <v>0</v>
      </c>
      <c r="I665">
        <v>0</v>
      </c>
      <c r="K665">
        <v>0</v>
      </c>
      <c r="L665" s="322">
        <v>0</v>
      </c>
      <c r="M665" s="322">
        <v>0</v>
      </c>
      <c r="N665" s="322">
        <v>0</v>
      </c>
    </row>
    <row r="666" spans="1:14" x14ac:dyDescent="0.3">
      <c r="A666">
        <f>EPD!A381</f>
        <v>0</v>
      </c>
      <c r="F666">
        <v>0</v>
      </c>
      <c r="G666">
        <v>0</v>
      </c>
      <c r="H666">
        <v>0</v>
      </c>
      <c r="I666">
        <v>0</v>
      </c>
      <c r="K666">
        <v>0</v>
      </c>
      <c r="L666" s="322">
        <v>0</v>
      </c>
      <c r="M666" s="322">
        <v>0</v>
      </c>
      <c r="N666" s="322">
        <v>0</v>
      </c>
    </row>
    <row r="667" spans="1:14" x14ac:dyDescent="0.3">
      <c r="A667">
        <f>EPD!A382</f>
        <v>0</v>
      </c>
      <c r="F667">
        <v>0</v>
      </c>
      <c r="G667">
        <v>0</v>
      </c>
      <c r="H667">
        <v>0</v>
      </c>
      <c r="I667">
        <v>0</v>
      </c>
      <c r="K667">
        <v>0</v>
      </c>
      <c r="L667" s="322">
        <v>0</v>
      </c>
      <c r="M667" s="322">
        <v>0</v>
      </c>
      <c r="N667" s="322">
        <v>0</v>
      </c>
    </row>
    <row r="668" spans="1:14" x14ac:dyDescent="0.3">
      <c r="A668">
        <f>EPD!A383</f>
        <v>0</v>
      </c>
      <c r="F668">
        <v>0</v>
      </c>
      <c r="G668">
        <v>0</v>
      </c>
      <c r="H668">
        <v>0</v>
      </c>
      <c r="I668">
        <v>0</v>
      </c>
      <c r="K668">
        <v>0</v>
      </c>
      <c r="L668" s="322">
        <v>0</v>
      </c>
      <c r="M668" s="322">
        <v>0</v>
      </c>
      <c r="N668" s="322">
        <v>0</v>
      </c>
    </row>
    <row r="669" spans="1:14" x14ac:dyDescent="0.3">
      <c r="A669">
        <f>EPD!A384</f>
        <v>0</v>
      </c>
      <c r="F669">
        <v>0</v>
      </c>
      <c r="G669">
        <v>0</v>
      </c>
      <c r="H669">
        <v>0</v>
      </c>
      <c r="I669">
        <v>0</v>
      </c>
      <c r="K669">
        <v>0</v>
      </c>
      <c r="L669" s="322">
        <v>0</v>
      </c>
      <c r="M669" s="322">
        <v>0</v>
      </c>
      <c r="N669" s="322">
        <v>0</v>
      </c>
    </row>
    <row r="670" spans="1:14" x14ac:dyDescent="0.3">
      <c r="A670">
        <f>EPD!A385</f>
        <v>0</v>
      </c>
      <c r="F670">
        <v>0</v>
      </c>
      <c r="G670">
        <v>0</v>
      </c>
      <c r="H670">
        <v>0</v>
      </c>
      <c r="I670">
        <v>0</v>
      </c>
      <c r="K670">
        <v>0</v>
      </c>
      <c r="L670" s="322">
        <v>0</v>
      </c>
      <c r="M670" s="322">
        <v>0</v>
      </c>
      <c r="N670" s="322">
        <v>0</v>
      </c>
    </row>
    <row r="671" spans="1:14" x14ac:dyDescent="0.3">
      <c r="A671">
        <f>EPD!A386</f>
        <v>0</v>
      </c>
      <c r="F671">
        <v>0</v>
      </c>
      <c r="G671">
        <v>0</v>
      </c>
      <c r="H671">
        <v>0</v>
      </c>
      <c r="I671">
        <v>0</v>
      </c>
      <c r="K671">
        <v>0</v>
      </c>
      <c r="L671" s="322">
        <v>0</v>
      </c>
      <c r="M671" s="322">
        <v>0</v>
      </c>
      <c r="N671" s="322">
        <v>0</v>
      </c>
    </row>
    <row r="672" spans="1:14" x14ac:dyDescent="0.3">
      <c r="A672">
        <f>EPD!A387</f>
        <v>0</v>
      </c>
      <c r="F672">
        <v>0</v>
      </c>
      <c r="G672">
        <v>0</v>
      </c>
      <c r="H672">
        <v>0</v>
      </c>
      <c r="I672">
        <v>0</v>
      </c>
      <c r="K672">
        <v>0</v>
      </c>
      <c r="L672" s="322">
        <v>0</v>
      </c>
      <c r="M672" s="322">
        <v>0</v>
      </c>
      <c r="N672" s="322">
        <v>0</v>
      </c>
    </row>
    <row r="673" spans="1:14" x14ac:dyDescent="0.3">
      <c r="A673">
        <f>EPD!A388</f>
        <v>0</v>
      </c>
      <c r="F673">
        <v>0</v>
      </c>
      <c r="G673">
        <v>0</v>
      </c>
      <c r="H673">
        <v>0</v>
      </c>
      <c r="I673">
        <v>0</v>
      </c>
      <c r="K673">
        <v>0</v>
      </c>
      <c r="L673" s="322">
        <v>0</v>
      </c>
      <c r="M673" s="322">
        <v>0</v>
      </c>
      <c r="N673" s="322">
        <v>0</v>
      </c>
    </row>
    <row r="674" spans="1:14" x14ac:dyDescent="0.3">
      <c r="A674">
        <f>EPD!A389</f>
        <v>0</v>
      </c>
      <c r="F674">
        <v>0</v>
      </c>
      <c r="G674">
        <v>0</v>
      </c>
      <c r="H674">
        <v>0</v>
      </c>
      <c r="I674">
        <v>0</v>
      </c>
      <c r="K674">
        <v>0</v>
      </c>
      <c r="L674" s="322">
        <v>0</v>
      </c>
      <c r="M674" s="322">
        <v>0</v>
      </c>
      <c r="N674" s="322">
        <v>0</v>
      </c>
    </row>
    <row r="675" spans="1:14" x14ac:dyDescent="0.3">
      <c r="A675">
        <f>EPD!A390</f>
        <v>0</v>
      </c>
      <c r="F675">
        <v>0</v>
      </c>
      <c r="G675">
        <v>0</v>
      </c>
      <c r="H675">
        <v>0</v>
      </c>
      <c r="I675">
        <v>0</v>
      </c>
      <c r="K675">
        <v>0</v>
      </c>
      <c r="L675" s="322">
        <v>0</v>
      </c>
      <c r="M675" s="322">
        <v>0</v>
      </c>
      <c r="N675" s="322">
        <v>0</v>
      </c>
    </row>
    <row r="676" spans="1:14" x14ac:dyDescent="0.3">
      <c r="A676">
        <f>EPD!A391</f>
        <v>0</v>
      </c>
      <c r="F676">
        <v>0</v>
      </c>
      <c r="G676">
        <v>0</v>
      </c>
      <c r="H676">
        <v>0</v>
      </c>
      <c r="I676">
        <v>0</v>
      </c>
      <c r="K676">
        <v>0</v>
      </c>
      <c r="L676" s="322">
        <v>0</v>
      </c>
      <c r="M676" s="322">
        <v>0</v>
      </c>
      <c r="N676" s="322">
        <v>0</v>
      </c>
    </row>
    <row r="677" spans="1:14" x14ac:dyDescent="0.3">
      <c r="A677">
        <f>EPD!A392</f>
        <v>0</v>
      </c>
      <c r="F677">
        <v>0</v>
      </c>
      <c r="G677">
        <v>0</v>
      </c>
      <c r="H677">
        <v>0</v>
      </c>
      <c r="I677">
        <v>0</v>
      </c>
      <c r="K677">
        <v>0</v>
      </c>
      <c r="L677" s="322">
        <v>0</v>
      </c>
      <c r="M677" s="322">
        <v>0</v>
      </c>
      <c r="N677" s="322">
        <v>0</v>
      </c>
    </row>
    <row r="678" spans="1:14" x14ac:dyDescent="0.3">
      <c r="A678">
        <f>EPD!A393</f>
        <v>0</v>
      </c>
      <c r="F678">
        <v>0</v>
      </c>
      <c r="G678">
        <v>0</v>
      </c>
      <c r="H678">
        <v>0</v>
      </c>
      <c r="I678">
        <v>0</v>
      </c>
      <c r="K678">
        <v>0</v>
      </c>
      <c r="L678" s="322">
        <v>0</v>
      </c>
      <c r="M678" s="322">
        <v>0</v>
      </c>
      <c r="N678" s="322">
        <v>0</v>
      </c>
    </row>
    <row r="679" spans="1:14" x14ac:dyDescent="0.3">
      <c r="A679">
        <f>EPD!A394</f>
        <v>0</v>
      </c>
      <c r="F679">
        <v>0</v>
      </c>
      <c r="G679">
        <v>0</v>
      </c>
      <c r="H679">
        <v>0</v>
      </c>
      <c r="I679">
        <v>0</v>
      </c>
      <c r="K679">
        <v>0</v>
      </c>
      <c r="L679" s="322">
        <v>0</v>
      </c>
      <c r="M679" s="322">
        <v>0</v>
      </c>
      <c r="N679" s="322">
        <v>0</v>
      </c>
    </row>
    <row r="680" spans="1:14" x14ac:dyDescent="0.3">
      <c r="A680">
        <f>EPD!A395</f>
        <v>0</v>
      </c>
      <c r="F680">
        <v>0</v>
      </c>
      <c r="G680">
        <v>0</v>
      </c>
      <c r="H680">
        <v>0</v>
      </c>
      <c r="I680">
        <v>0</v>
      </c>
      <c r="K680">
        <v>0</v>
      </c>
      <c r="L680" s="322">
        <v>0</v>
      </c>
      <c r="M680" s="322">
        <v>0</v>
      </c>
      <c r="N680" s="322">
        <v>0</v>
      </c>
    </row>
    <row r="681" spans="1:14" x14ac:dyDescent="0.3">
      <c r="A681">
        <f>EPD!A396</f>
        <v>0</v>
      </c>
      <c r="F681">
        <v>0</v>
      </c>
      <c r="G681">
        <v>0</v>
      </c>
      <c r="H681">
        <v>0</v>
      </c>
      <c r="I681">
        <v>0</v>
      </c>
      <c r="K681">
        <v>0</v>
      </c>
      <c r="L681" s="322">
        <v>0</v>
      </c>
      <c r="M681" s="322">
        <v>0</v>
      </c>
      <c r="N681" s="322">
        <v>0</v>
      </c>
    </row>
    <row r="682" spans="1:14" x14ac:dyDescent="0.3">
      <c r="A682">
        <f>EPD!A397</f>
        <v>0</v>
      </c>
      <c r="F682">
        <v>0</v>
      </c>
      <c r="G682">
        <v>0</v>
      </c>
      <c r="H682">
        <v>0</v>
      </c>
      <c r="I682">
        <v>0</v>
      </c>
      <c r="K682">
        <v>0</v>
      </c>
      <c r="L682" s="322">
        <v>0</v>
      </c>
      <c r="M682" s="322">
        <v>0</v>
      </c>
      <c r="N682" s="322">
        <v>0</v>
      </c>
    </row>
    <row r="683" spans="1:14" x14ac:dyDescent="0.3">
      <c r="A683">
        <f>EPD!A398</f>
        <v>0</v>
      </c>
      <c r="F683">
        <v>0</v>
      </c>
      <c r="G683">
        <v>0</v>
      </c>
      <c r="H683">
        <v>0</v>
      </c>
      <c r="I683">
        <v>0</v>
      </c>
      <c r="K683">
        <v>0</v>
      </c>
      <c r="L683" s="322">
        <v>0</v>
      </c>
      <c r="M683" s="322">
        <v>0</v>
      </c>
      <c r="N683" s="322">
        <v>0</v>
      </c>
    </row>
    <row r="684" spans="1:14" x14ac:dyDescent="0.3">
      <c r="A684">
        <f>EPD!A399</f>
        <v>0</v>
      </c>
      <c r="F684">
        <v>0</v>
      </c>
      <c r="G684">
        <v>0</v>
      </c>
      <c r="H684">
        <v>0</v>
      </c>
      <c r="I684">
        <v>0</v>
      </c>
      <c r="K684">
        <v>0</v>
      </c>
      <c r="L684" s="322">
        <v>0</v>
      </c>
      <c r="M684" s="322">
        <v>0</v>
      </c>
      <c r="N684" s="322">
        <v>0</v>
      </c>
    </row>
    <row r="685" spans="1:14" x14ac:dyDescent="0.3">
      <c r="A685">
        <f>EPD!A400</f>
        <v>0</v>
      </c>
      <c r="F685">
        <v>0</v>
      </c>
      <c r="G685">
        <v>0</v>
      </c>
      <c r="H685">
        <v>0</v>
      </c>
      <c r="I685">
        <v>0</v>
      </c>
      <c r="K685">
        <v>0</v>
      </c>
      <c r="L685" s="322">
        <v>0</v>
      </c>
      <c r="M685" s="322">
        <v>0</v>
      </c>
      <c r="N685" s="322">
        <v>0</v>
      </c>
    </row>
    <row r="686" spans="1:14" x14ac:dyDescent="0.3">
      <c r="A686">
        <f>EPD!A401</f>
        <v>0</v>
      </c>
      <c r="F686">
        <v>0</v>
      </c>
      <c r="G686">
        <v>0</v>
      </c>
      <c r="H686">
        <v>0</v>
      </c>
      <c r="I686">
        <v>0</v>
      </c>
      <c r="K686">
        <v>0</v>
      </c>
      <c r="L686" s="322">
        <v>0</v>
      </c>
      <c r="M686" s="322">
        <v>0</v>
      </c>
      <c r="N686" s="322">
        <v>0</v>
      </c>
    </row>
    <row r="687" spans="1:14" x14ac:dyDescent="0.3">
      <c r="A687">
        <f>EPD!A402</f>
        <v>0</v>
      </c>
      <c r="F687">
        <v>0</v>
      </c>
      <c r="G687">
        <v>0</v>
      </c>
      <c r="H687">
        <v>0</v>
      </c>
      <c r="I687">
        <v>0</v>
      </c>
      <c r="K687">
        <v>0</v>
      </c>
      <c r="L687" s="322">
        <v>0</v>
      </c>
      <c r="M687" s="322">
        <v>0</v>
      </c>
      <c r="N687" s="322">
        <v>0</v>
      </c>
    </row>
    <row r="688" spans="1:14" x14ac:dyDescent="0.3">
      <c r="A688">
        <f>EPD!A403</f>
        <v>0</v>
      </c>
      <c r="F688">
        <v>0</v>
      </c>
      <c r="G688">
        <v>0</v>
      </c>
      <c r="H688">
        <v>0</v>
      </c>
      <c r="I688">
        <v>0</v>
      </c>
      <c r="K688">
        <v>0</v>
      </c>
      <c r="L688" s="322">
        <v>0</v>
      </c>
      <c r="M688" s="322">
        <v>0</v>
      </c>
      <c r="N688" s="322">
        <v>0</v>
      </c>
    </row>
    <row r="689" spans="1:14" x14ac:dyDescent="0.3">
      <c r="A689">
        <f>EPD!A404</f>
        <v>0</v>
      </c>
      <c r="F689">
        <v>0</v>
      </c>
      <c r="G689">
        <v>0</v>
      </c>
      <c r="H689">
        <v>0</v>
      </c>
      <c r="I689">
        <v>0</v>
      </c>
      <c r="K689">
        <v>0</v>
      </c>
      <c r="L689" s="322">
        <v>0</v>
      </c>
      <c r="M689" s="322">
        <v>0</v>
      </c>
      <c r="N689" s="322">
        <v>0</v>
      </c>
    </row>
    <row r="690" spans="1:14" x14ac:dyDescent="0.3">
      <c r="A690">
        <f>EPD!A405</f>
        <v>0</v>
      </c>
      <c r="F690">
        <v>0</v>
      </c>
      <c r="G690">
        <v>0</v>
      </c>
      <c r="H690">
        <v>0</v>
      </c>
      <c r="I690">
        <v>0</v>
      </c>
      <c r="K690">
        <v>0</v>
      </c>
      <c r="L690" s="322">
        <v>0</v>
      </c>
      <c r="M690" s="322">
        <v>0</v>
      </c>
      <c r="N690" s="322">
        <v>0</v>
      </c>
    </row>
    <row r="691" spans="1:14" x14ac:dyDescent="0.3">
      <c r="A691">
        <f>EPD!A406</f>
        <v>0</v>
      </c>
      <c r="F691">
        <v>0</v>
      </c>
      <c r="G691">
        <v>0</v>
      </c>
      <c r="H691">
        <v>0</v>
      </c>
      <c r="I691">
        <v>0</v>
      </c>
      <c r="K691">
        <v>0</v>
      </c>
      <c r="L691" s="322">
        <v>0</v>
      </c>
      <c r="M691" s="322">
        <v>0</v>
      </c>
      <c r="N691" s="322">
        <v>0</v>
      </c>
    </row>
    <row r="692" spans="1:14" x14ac:dyDescent="0.3">
      <c r="A692">
        <f>EPD!A407</f>
        <v>0</v>
      </c>
      <c r="F692">
        <v>0</v>
      </c>
      <c r="G692">
        <v>0</v>
      </c>
      <c r="H692">
        <v>0</v>
      </c>
      <c r="I692">
        <v>0</v>
      </c>
      <c r="K692">
        <v>0</v>
      </c>
      <c r="L692" s="322">
        <v>0</v>
      </c>
      <c r="M692" s="322">
        <v>0</v>
      </c>
      <c r="N692" s="322">
        <v>0</v>
      </c>
    </row>
    <row r="693" spans="1:14" x14ac:dyDescent="0.3">
      <c r="A693">
        <f>EPD!A408</f>
        <v>0</v>
      </c>
      <c r="F693">
        <v>0</v>
      </c>
      <c r="G693">
        <v>0</v>
      </c>
      <c r="H693">
        <v>0</v>
      </c>
      <c r="I693">
        <v>0</v>
      </c>
      <c r="K693">
        <v>0</v>
      </c>
      <c r="L693" s="322">
        <v>0</v>
      </c>
      <c r="M693" s="322">
        <v>0</v>
      </c>
      <c r="N693" s="322">
        <v>0</v>
      </c>
    </row>
    <row r="694" spans="1:14" x14ac:dyDescent="0.3">
      <c r="A694">
        <f>EPD!A409</f>
        <v>0</v>
      </c>
      <c r="F694">
        <v>0</v>
      </c>
      <c r="G694">
        <v>0</v>
      </c>
      <c r="H694">
        <v>0</v>
      </c>
      <c r="I694">
        <v>0</v>
      </c>
      <c r="K694">
        <v>0</v>
      </c>
      <c r="L694" s="322">
        <v>0</v>
      </c>
      <c r="M694" s="322">
        <v>0</v>
      </c>
      <c r="N694" s="322">
        <v>0</v>
      </c>
    </row>
    <row r="695" spans="1:14" x14ac:dyDescent="0.3">
      <c r="A695">
        <f>EPD!A410</f>
        <v>0</v>
      </c>
      <c r="F695">
        <v>0</v>
      </c>
      <c r="G695">
        <v>0</v>
      </c>
      <c r="H695">
        <v>0</v>
      </c>
      <c r="I695">
        <v>0</v>
      </c>
      <c r="K695">
        <v>0</v>
      </c>
      <c r="L695" s="322">
        <v>0</v>
      </c>
      <c r="M695" s="322">
        <v>0</v>
      </c>
      <c r="N695" s="322">
        <v>0</v>
      </c>
    </row>
    <row r="696" spans="1:14" x14ac:dyDescent="0.3">
      <c r="A696">
        <f>EPD!A411</f>
        <v>0</v>
      </c>
      <c r="F696">
        <v>0</v>
      </c>
      <c r="G696">
        <v>0</v>
      </c>
      <c r="H696">
        <v>0</v>
      </c>
      <c r="I696">
        <v>0</v>
      </c>
      <c r="K696">
        <v>0</v>
      </c>
      <c r="L696" s="322">
        <v>0</v>
      </c>
      <c r="M696" s="322">
        <v>0</v>
      </c>
      <c r="N696" s="322">
        <v>0</v>
      </c>
    </row>
    <row r="697" spans="1:14" x14ac:dyDescent="0.3">
      <c r="A697">
        <f>EPD!A412</f>
        <v>0</v>
      </c>
      <c r="F697">
        <v>0</v>
      </c>
      <c r="G697">
        <v>0</v>
      </c>
      <c r="H697">
        <v>0</v>
      </c>
      <c r="I697">
        <v>0</v>
      </c>
      <c r="K697">
        <v>0</v>
      </c>
      <c r="L697" s="322">
        <v>0</v>
      </c>
      <c r="M697" s="322">
        <v>0</v>
      </c>
      <c r="N697" s="322">
        <v>0</v>
      </c>
    </row>
    <row r="698" spans="1:14" x14ac:dyDescent="0.3">
      <c r="A698">
        <f>EPD!A413</f>
        <v>0</v>
      </c>
      <c r="F698">
        <v>0</v>
      </c>
      <c r="G698">
        <v>0</v>
      </c>
      <c r="H698">
        <v>0</v>
      </c>
      <c r="I698">
        <v>0</v>
      </c>
      <c r="K698">
        <v>0</v>
      </c>
      <c r="L698" s="322">
        <v>0</v>
      </c>
      <c r="M698" s="322">
        <v>0</v>
      </c>
      <c r="N698" s="322">
        <v>0</v>
      </c>
    </row>
    <row r="699" spans="1:14" x14ac:dyDescent="0.3">
      <c r="A699">
        <f>EPD!A414</f>
        <v>0</v>
      </c>
      <c r="F699">
        <v>0</v>
      </c>
      <c r="G699">
        <v>0</v>
      </c>
      <c r="H699">
        <v>0</v>
      </c>
      <c r="I699">
        <v>0</v>
      </c>
      <c r="K699">
        <v>0</v>
      </c>
      <c r="L699" s="322">
        <v>0</v>
      </c>
      <c r="M699" s="322">
        <v>0</v>
      </c>
      <c r="N699" s="322">
        <v>0</v>
      </c>
    </row>
    <row r="700" spans="1:14" x14ac:dyDescent="0.3">
      <c r="A700">
        <f>EPD!A415</f>
        <v>0</v>
      </c>
      <c r="F700">
        <v>0</v>
      </c>
      <c r="G700">
        <v>0</v>
      </c>
      <c r="H700">
        <v>0</v>
      </c>
      <c r="I700">
        <v>0</v>
      </c>
      <c r="K700">
        <v>0</v>
      </c>
      <c r="L700" s="322">
        <v>0</v>
      </c>
      <c r="M700" s="322">
        <v>0</v>
      </c>
      <c r="N700" s="322">
        <v>0</v>
      </c>
    </row>
    <row r="701" spans="1:14" x14ac:dyDescent="0.3">
      <c r="A701">
        <f>EPD!A416</f>
        <v>0</v>
      </c>
      <c r="F701">
        <v>0</v>
      </c>
      <c r="G701">
        <v>0</v>
      </c>
      <c r="H701">
        <v>0</v>
      </c>
      <c r="I701">
        <v>0</v>
      </c>
      <c r="K701">
        <v>0</v>
      </c>
      <c r="L701" s="322">
        <v>0</v>
      </c>
      <c r="M701" s="322">
        <v>0</v>
      </c>
      <c r="N701" s="322">
        <v>0</v>
      </c>
    </row>
    <row r="702" spans="1:14" x14ac:dyDescent="0.3">
      <c r="A702">
        <f>EPD!A417</f>
        <v>0</v>
      </c>
      <c r="F702">
        <v>0</v>
      </c>
      <c r="G702">
        <v>0</v>
      </c>
      <c r="H702">
        <v>0</v>
      </c>
      <c r="I702">
        <v>0</v>
      </c>
      <c r="K702">
        <v>0</v>
      </c>
      <c r="L702" s="322">
        <v>0</v>
      </c>
      <c r="M702" s="322">
        <v>0</v>
      </c>
      <c r="N702" s="322">
        <v>0</v>
      </c>
    </row>
    <row r="703" spans="1:14" x14ac:dyDescent="0.3">
      <c r="A703">
        <f>EPD!A418</f>
        <v>0</v>
      </c>
      <c r="F703">
        <v>0</v>
      </c>
      <c r="G703">
        <v>0</v>
      </c>
      <c r="H703">
        <v>0</v>
      </c>
      <c r="I703">
        <v>0</v>
      </c>
      <c r="K703">
        <v>0</v>
      </c>
      <c r="L703" s="322">
        <v>0</v>
      </c>
      <c r="M703" s="322">
        <v>0</v>
      </c>
      <c r="N703" s="322">
        <v>0</v>
      </c>
    </row>
    <row r="704" spans="1:14" x14ac:dyDescent="0.3">
      <c r="A704">
        <f>EPD!A419</f>
        <v>0</v>
      </c>
      <c r="F704">
        <v>0</v>
      </c>
      <c r="G704">
        <v>0</v>
      </c>
      <c r="H704">
        <v>0</v>
      </c>
      <c r="I704">
        <v>0</v>
      </c>
      <c r="K704">
        <v>0</v>
      </c>
      <c r="L704" s="322">
        <v>0</v>
      </c>
      <c r="M704" s="322">
        <v>0</v>
      </c>
      <c r="N704" s="322">
        <v>0</v>
      </c>
    </row>
    <row r="705" spans="1:14" x14ac:dyDescent="0.3">
      <c r="A705">
        <f>EPD!A420</f>
        <v>0</v>
      </c>
      <c r="F705">
        <v>0</v>
      </c>
      <c r="G705">
        <v>0</v>
      </c>
      <c r="H705">
        <v>0</v>
      </c>
      <c r="I705">
        <v>0</v>
      </c>
      <c r="K705">
        <v>0</v>
      </c>
      <c r="L705" s="322">
        <v>0</v>
      </c>
      <c r="M705" s="322">
        <v>0</v>
      </c>
      <c r="N705" s="322">
        <v>0</v>
      </c>
    </row>
    <row r="706" spans="1:14" x14ac:dyDescent="0.3">
      <c r="A706">
        <f>EPD!A421</f>
        <v>0</v>
      </c>
      <c r="F706">
        <v>0</v>
      </c>
      <c r="G706">
        <v>0</v>
      </c>
      <c r="H706">
        <v>0</v>
      </c>
      <c r="I706">
        <v>0</v>
      </c>
      <c r="K706">
        <v>0</v>
      </c>
      <c r="L706" s="322">
        <v>0</v>
      </c>
      <c r="M706" s="322">
        <v>0</v>
      </c>
      <c r="N706" s="322">
        <v>0</v>
      </c>
    </row>
    <row r="707" spans="1:14" x14ac:dyDescent="0.3">
      <c r="A707">
        <f>EPD!A422</f>
        <v>0</v>
      </c>
      <c r="F707">
        <v>0</v>
      </c>
      <c r="G707">
        <v>0</v>
      </c>
      <c r="H707">
        <v>0</v>
      </c>
      <c r="I707">
        <v>0</v>
      </c>
      <c r="K707">
        <v>0</v>
      </c>
      <c r="L707" s="322">
        <v>0</v>
      </c>
      <c r="M707" s="322">
        <v>0</v>
      </c>
      <c r="N707" s="322">
        <v>0</v>
      </c>
    </row>
    <row r="708" spans="1:14" x14ac:dyDescent="0.3">
      <c r="A708">
        <f>EPD!A423</f>
        <v>0</v>
      </c>
      <c r="F708">
        <v>0</v>
      </c>
      <c r="G708">
        <v>0</v>
      </c>
      <c r="H708">
        <v>0</v>
      </c>
      <c r="I708">
        <v>0</v>
      </c>
      <c r="K708">
        <v>0</v>
      </c>
      <c r="L708" s="322">
        <v>0</v>
      </c>
      <c r="M708" s="322">
        <v>0</v>
      </c>
      <c r="N708" s="322">
        <v>0</v>
      </c>
    </row>
    <row r="709" spans="1:14" x14ac:dyDescent="0.3">
      <c r="A709">
        <f>EPD!A424</f>
        <v>0</v>
      </c>
      <c r="F709">
        <v>0</v>
      </c>
      <c r="G709">
        <v>0</v>
      </c>
      <c r="H709">
        <v>0</v>
      </c>
      <c r="I709">
        <v>0</v>
      </c>
      <c r="K709">
        <v>0</v>
      </c>
      <c r="L709" s="322">
        <v>0</v>
      </c>
      <c r="M709" s="322">
        <v>0</v>
      </c>
      <c r="N709" s="322">
        <v>0</v>
      </c>
    </row>
    <row r="710" spans="1:14" x14ac:dyDescent="0.3">
      <c r="A710">
        <f>EPD!A425</f>
        <v>0</v>
      </c>
      <c r="F710">
        <v>0</v>
      </c>
      <c r="G710">
        <v>0</v>
      </c>
      <c r="H710">
        <v>0</v>
      </c>
      <c r="I710">
        <v>0</v>
      </c>
      <c r="K710">
        <v>0</v>
      </c>
      <c r="L710" s="322">
        <v>0</v>
      </c>
      <c r="M710" s="322">
        <v>0</v>
      </c>
      <c r="N710" s="322">
        <v>0</v>
      </c>
    </row>
    <row r="711" spans="1:14" x14ac:dyDescent="0.3">
      <c r="A711">
        <f>EPD!A426</f>
        <v>0</v>
      </c>
      <c r="F711">
        <v>0</v>
      </c>
      <c r="G711">
        <v>0</v>
      </c>
      <c r="H711">
        <v>0</v>
      </c>
      <c r="I711">
        <v>0</v>
      </c>
      <c r="K711">
        <v>0</v>
      </c>
      <c r="L711" s="322">
        <v>0</v>
      </c>
      <c r="M711" s="322">
        <v>0</v>
      </c>
      <c r="N711" s="322">
        <v>0</v>
      </c>
    </row>
    <row r="712" spans="1:14" x14ac:dyDescent="0.3">
      <c r="A712">
        <f>EPD!A427</f>
        <v>0</v>
      </c>
      <c r="F712">
        <v>0</v>
      </c>
      <c r="G712">
        <v>0</v>
      </c>
      <c r="H712">
        <v>0</v>
      </c>
      <c r="I712">
        <v>0</v>
      </c>
      <c r="K712">
        <v>0</v>
      </c>
      <c r="L712" s="322">
        <v>0</v>
      </c>
      <c r="M712" s="322">
        <v>0</v>
      </c>
      <c r="N712" s="322">
        <v>0</v>
      </c>
    </row>
    <row r="713" spans="1:14" x14ac:dyDescent="0.3">
      <c r="A713">
        <f>EPD!A428</f>
        <v>0</v>
      </c>
      <c r="F713">
        <v>0</v>
      </c>
      <c r="G713">
        <v>0</v>
      </c>
      <c r="H713">
        <v>0</v>
      </c>
      <c r="I713">
        <v>0</v>
      </c>
      <c r="K713">
        <v>0</v>
      </c>
      <c r="L713" s="322">
        <v>0</v>
      </c>
      <c r="M713" s="322">
        <v>0</v>
      </c>
      <c r="N713" s="322">
        <v>0</v>
      </c>
    </row>
    <row r="714" spans="1:14" x14ac:dyDescent="0.3">
      <c r="A714">
        <f>EPD!A429</f>
        <v>0</v>
      </c>
      <c r="F714">
        <v>0</v>
      </c>
      <c r="G714">
        <v>0</v>
      </c>
      <c r="H714">
        <v>0</v>
      </c>
      <c r="I714">
        <v>0</v>
      </c>
      <c r="K714">
        <v>0</v>
      </c>
      <c r="L714" s="322">
        <v>0</v>
      </c>
      <c r="M714" s="322">
        <v>0</v>
      </c>
      <c r="N714" s="322">
        <v>0</v>
      </c>
    </row>
    <row r="715" spans="1:14" x14ac:dyDescent="0.3">
      <c r="A715">
        <f>EPD!A430</f>
        <v>0</v>
      </c>
      <c r="F715">
        <v>0</v>
      </c>
      <c r="G715">
        <v>0</v>
      </c>
      <c r="H715">
        <v>0</v>
      </c>
      <c r="I715">
        <v>0</v>
      </c>
      <c r="K715">
        <v>0</v>
      </c>
      <c r="L715" s="322">
        <v>0</v>
      </c>
      <c r="M715" s="322">
        <v>0</v>
      </c>
      <c r="N715" s="322">
        <v>0</v>
      </c>
    </row>
    <row r="716" spans="1:14" x14ac:dyDescent="0.3">
      <c r="A716">
        <f>EPD!A431</f>
        <v>0</v>
      </c>
      <c r="F716">
        <v>0</v>
      </c>
      <c r="G716">
        <v>0</v>
      </c>
      <c r="H716">
        <v>0</v>
      </c>
      <c r="I716">
        <v>0</v>
      </c>
      <c r="K716">
        <v>0</v>
      </c>
      <c r="L716" s="322">
        <v>0</v>
      </c>
      <c r="M716" s="322">
        <v>0</v>
      </c>
      <c r="N716" s="322">
        <v>0</v>
      </c>
    </row>
    <row r="717" spans="1:14" x14ac:dyDescent="0.3">
      <c r="A717">
        <f>EPD!A432</f>
        <v>0</v>
      </c>
      <c r="F717">
        <v>0</v>
      </c>
      <c r="G717">
        <v>0</v>
      </c>
      <c r="H717">
        <v>0</v>
      </c>
      <c r="I717">
        <v>0</v>
      </c>
      <c r="K717">
        <v>0</v>
      </c>
      <c r="L717" s="322">
        <v>0</v>
      </c>
      <c r="M717" s="322">
        <v>0</v>
      </c>
      <c r="N717" s="322">
        <v>0</v>
      </c>
    </row>
    <row r="718" spans="1:14" x14ac:dyDescent="0.3">
      <c r="A718">
        <f>EPD!A433</f>
        <v>0</v>
      </c>
      <c r="F718">
        <v>0</v>
      </c>
      <c r="G718">
        <v>0</v>
      </c>
      <c r="H718">
        <v>0</v>
      </c>
      <c r="I718">
        <v>0</v>
      </c>
      <c r="K718">
        <v>0</v>
      </c>
      <c r="L718" s="322">
        <v>0</v>
      </c>
      <c r="M718" s="322">
        <v>0</v>
      </c>
      <c r="N718" s="322">
        <v>0</v>
      </c>
    </row>
    <row r="719" spans="1:14" x14ac:dyDescent="0.3">
      <c r="A719">
        <f>EPD!A434</f>
        <v>0</v>
      </c>
      <c r="F719">
        <v>0</v>
      </c>
      <c r="G719">
        <v>0</v>
      </c>
      <c r="H719">
        <v>0</v>
      </c>
      <c r="I719">
        <v>0</v>
      </c>
      <c r="K719">
        <v>0</v>
      </c>
      <c r="L719" s="322">
        <v>0</v>
      </c>
      <c r="M719" s="322">
        <v>0</v>
      </c>
      <c r="N719" s="322">
        <v>0</v>
      </c>
    </row>
    <row r="720" spans="1:14" x14ac:dyDescent="0.3">
      <c r="A720">
        <f>EPD!A435</f>
        <v>0</v>
      </c>
      <c r="F720">
        <v>0</v>
      </c>
      <c r="G720">
        <v>0</v>
      </c>
      <c r="H720">
        <v>0</v>
      </c>
      <c r="I720">
        <v>0</v>
      </c>
      <c r="K720">
        <v>0</v>
      </c>
      <c r="L720" s="322">
        <v>0</v>
      </c>
      <c r="M720" s="322">
        <v>0</v>
      </c>
      <c r="N720" s="322">
        <v>0</v>
      </c>
    </row>
    <row r="721" spans="1:14" x14ac:dyDescent="0.3">
      <c r="A721">
        <f>EPD!A436</f>
        <v>0</v>
      </c>
      <c r="F721">
        <v>0</v>
      </c>
      <c r="G721">
        <v>0</v>
      </c>
      <c r="H721">
        <v>0</v>
      </c>
      <c r="I721">
        <v>0</v>
      </c>
      <c r="K721">
        <v>0</v>
      </c>
      <c r="L721" s="322">
        <v>0</v>
      </c>
      <c r="M721" s="322">
        <v>0</v>
      </c>
      <c r="N721" s="322">
        <v>0</v>
      </c>
    </row>
    <row r="722" spans="1:14" x14ac:dyDescent="0.3">
      <c r="A722">
        <f>EPD!A437</f>
        <v>0</v>
      </c>
      <c r="F722">
        <v>0</v>
      </c>
      <c r="G722">
        <v>0</v>
      </c>
      <c r="H722">
        <v>0</v>
      </c>
      <c r="I722">
        <v>0</v>
      </c>
      <c r="K722">
        <v>0</v>
      </c>
      <c r="L722" s="322">
        <v>0</v>
      </c>
      <c r="M722" s="322">
        <v>0</v>
      </c>
      <c r="N722" s="322">
        <v>0</v>
      </c>
    </row>
    <row r="723" spans="1:14" x14ac:dyDescent="0.3">
      <c r="A723">
        <f>EPD!A438</f>
        <v>0</v>
      </c>
      <c r="F723">
        <v>0</v>
      </c>
      <c r="G723">
        <v>0</v>
      </c>
      <c r="H723">
        <v>0</v>
      </c>
      <c r="I723">
        <v>0</v>
      </c>
      <c r="K723">
        <v>0</v>
      </c>
      <c r="L723" s="322">
        <v>0</v>
      </c>
      <c r="M723" s="322">
        <v>0</v>
      </c>
      <c r="N723" s="322">
        <v>0</v>
      </c>
    </row>
    <row r="724" spans="1:14" x14ac:dyDescent="0.3">
      <c r="A724">
        <f>EPD!A439</f>
        <v>0</v>
      </c>
      <c r="F724">
        <v>0</v>
      </c>
      <c r="G724">
        <v>0</v>
      </c>
      <c r="H724">
        <v>0</v>
      </c>
      <c r="I724">
        <v>0</v>
      </c>
      <c r="K724">
        <v>0</v>
      </c>
      <c r="L724" s="322">
        <v>0</v>
      </c>
      <c r="M724" s="322">
        <v>0</v>
      </c>
      <c r="N724" s="322">
        <v>0</v>
      </c>
    </row>
    <row r="725" spans="1:14" x14ac:dyDescent="0.3">
      <c r="A725">
        <f>EPD!A440</f>
        <v>0</v>
      </c>
      <c r="F725">
        <v>0</v>
      </c>
      <c r="G725">
        <v>0</v>
      </c>
      <c r="H725">
        <v>0</v>
      </c>
      <c r="I725">
        <v>0</v>
      </c>
      <c r="K725">
        <v>0</v>
      </c>
      <c r="L725" s="322">
        <v>0</v>
      </c>
      <c r="M725" s="322">
        <v>0</v>
      </c>
      <c r="N725" s="322">
        <v>0</v>
      </c>
    </row>
    <row r="726" spans="1:14" x14ac:dyDescent="0.3">
      <c r="A726">
        <f>EPD!A441</f>
        <v>0</v>
      </c>
      <c r="F726">
        <v>0</v>
      </c>
      <c r="G726">
        <v>0</v>
      </c>
      <c r="H726">
        <v>0</v>
      </c>
      <c r="I726">
        <v>0</v>
      </c>
      <c r="K726">
        <v>0</v>
      </c>
      <c r="L726" s="322">
        <v>0</v>
      </c>
      <c r="M726" s="322">
        <v>0</v>
      </c>
      <c r="N726" s="322">
        <v>0</v>
      </c>
    </row>
    <row r="727" spans="1:14" x14ac:dyDescent="0.3">
      <c r="A727">
        <f>EPD!A442</f>
        <v>0</v>
      </c>
      <c r="F727">
        <v>0</v>
      </c>
      <c r="G727">
        <v>0</v>
      </c>
      <c r="H727">
        <v>0</v>
      </c>
      <c r="I727">
        <v>0</v>
      </c>
      <c r="K727">
        <v>0</v>
      </c>
      <c r="L727" s="322">
        <v>0</v>
      </c>
      <c r="M727" s="322">
        <v>0</v>
      </c>
      <c r="N727" s="322">
        <v>0</v>
      </c>
    </row>
    <row r="728" spans="1:14" x14ac:dyDescent="0.3">
      <c r="A728">
        <f>EPD!A443</f>
        <v>0</v>
      </c>
      <c r="F728">
        <v>0</v>
      </c>
      <c r="G728">
        <v>0</v>
      </c>
      <c r="H728">
        <v>0</v>
      </c>
      <c r="I728">
        <v>0</v>
      </c>
      <c r="K728">
        <v>0</v>
      </c>
      <c r="L728" s="322">
        <v>0</v>
      </c>
      <c r="M728" s="322">
        <v>0</v>
      </c>
      <c r="N728" s="322">
        <v>0</v>
      </c>
    </row>
    <row r="729" spans="1:14" x14ac:dyDescent="0.3">
      <c r="A729">
        <f>EPD!A444</f>
        <v>0</v>
      </c>
      <c r="F729">
        <v>0</v>
      </c>
      <c r="G729">
        <v>0</v>
      </c>
      <c r="H729">
        <v>0</v>
      </c>
      <c r="I729">
        <v>0</v>
      </c>
      <c r="K729">
        <v>0</v>
      </c>
      <c r="L729" s="322">
        <v>0</v>
      </c>
      <c r="M729" s="322">
        <v>0</v>
      </c>
      <c r="N729" s="322">
        <v>0</v>
      </c>
    </row>
    <row r="730" spans="1:14" x14ac:dyDescent="0.3">
      <c r="A730">
        <f>EPD!A445</f>
        <v>0</v>
      </c>
      <c r="F730">
        <v>0</v>
      </c>
      <c r="G730">
        <v>0</v>
      </c>
      <c r="H730">
        <v>0</v>
      </c>
      <c r="I730">
        <v>0</v>
      </c>
      <c r="K730">
        <v>0</v>
      </c>
      <c r="L730" s="322">
        <v>0</v>
      </c>
      <c r="M730" s="322">
        <v>0</v>
      </c>
      <c r="N730" s="322">
        <v>0</v>
      </c>
    </row>
    <row r="731" spans="1:14" x14ac:dyDescent="0.3">
      <c r="A731">
        <f>EPD!A446</f>
        <v>0</v>
      </c>
      <c r="F731">
        <v>0</v>
      </c>
      <c r="G731">
        <v>0</v>
      </c>
      <c r="H731">
        <v>0</v>
      </c>
      <c r="I731">
        <v>0</v>
      </c>
      <c r="K731">
        <v>0</v>
      </c>
      <c r="L731" s="322">
        <v>0</v>
      </c>
      <c r="M731" s="322">
        <v>0</v>
      </c>
      <c r="N731" s="322">
        <v>0</v>
      </c>
    </row>
    <row r="732" spans="1:14" x14ac:dyDescent="0.3">
      <c r="A732">
        <f>EPD!A447</f>
        <v>0</v>
      </c>
      <c r="F732">
        <v>0</v>
      </c>
      <c r="G732">
        <v>0</v>
      </c>
      <c r="H732">
        <v>0</v>
      </c>
      <c r="I732">
        <v>0</v>
      </c>
      <c r="K732">
        <v>0</v>
      </c>
      <c r="L732" s="322">
        <v>0</v>
      </c>
      <c r="M732" s="322">
        <v>0</v>
      </c>
      <c r="N732" s="322">
        <v>0</v>
      </c>
    </row>
    <row r="733" spans="1:14" x14ac:dyDescent="0.3">
      <c r="A733">
        <f>EPD!A448</f>
        <v>0</v>
      </c>
      <c r="F733">
        <v>0</v>
      </c>
      <c r="G733">
        <v>0</v>
      </c>
      <c r="H733">
        <v>0</v>
      </c>
      <c r="I733">
        <v>0</v>
      </c>
      <c r="K733">
        <v>0</v>
      </c>
      <c r="L733" s="322">
        <v>0</v>
      </c>
      <c r="M733" s="322">
        <v>0</v>
      </c>
      <c r="N733" s="322">
        <v>0</v>
      </c>
    </row>
    <row r="734" spans="1:14" x14ac:dyDescent="0.3">
      <c r="A734">
        <f>EPD!A449</f>
        <v>0</v>
      </c>
      <c r="F734">
        <v>0</v>
      </c>
      <c r="G734">
        <v>0</v>
      </c>
      <c r="H734">
        <v>0</v>
      </c>
      <c r="I734">
        <v>0</v>
      </c>
      <c r="K734">
        <v>0</v>
      </c>
      <c r="L734" s="322">
        <v>0</v>
      </c>
      <c r="M734" s="322">
        <v>0</v>
      </c>
      <c r="N734" s="322">
        <v>0</v>
      </c>
    </row>
    <row r="735" spans="1:14" x14ac:dyDescent="0.3">
      <c r="A735">
        <f>EPD!A450</f>
        <v>0</v>
      </c>
      <c r="F735">
        <v>0</v>
      </c>
      <c r="G735">
        <v>0</v>
      </c>
      <c r="H735">
        <v>0</v>
      </c>
      <c r="I735">
        <v>0</v>
      </c>
      <c r="K735">
        <v>0</v>
      </c>
      <c r="L735" s="322">
        <v>0</v>
      </c>
      <c r="M735" s="322">
        <v>0</v>
      </c>
      <c r="N735" s="322">
        <v>0</v>
      </c>
    </row>
    <row r="736" spans="1:14" x14ac:dyDescent="0.3">
      <c r="A736">
        <f>EPD!A451</f>
        <v>0</v>
      </c>
      <c r="F736">
        <v>0</v>
      </c>
      <c r="G736">
        <v>0</v>
      </c>
      <c r="H736">
        <v>0</v>
      </c>
      <c r="I736">
        <v>0</v>
      </c>
      <c r="K736">
        <v>0</v>
      </c>
      <c r="L736" s="322">
        <v>0</v>
      </c>
      <c r="M736" s="322">
        <v>0</v>
      </c>
      <c r="N736" s="322">
        <v>0</v>
      </c>
    </row>
    <row r="737" spans="1:14" x14ac:dyDescent="0.3">
      <c r="A737">
        <f>EPD!A452</f>
        <v>0</v>
      </c>
      <c r="F737">
        <v>0</v>
      </c>
      <c r="G737">
        <v>0</v>
      </c>
      <c r="H737">
        <v>0</v>
      </c>
      <c r="I737">
        <v>0</v>
      </c>
      <c r="K737">
        <v>0</v>
      </c>
      <c r="L737" s="322">
        <v>0</v>
      </c>
      <c r="M737" s="322">
        <v>0</v>
      </c>
      <c r="N737" s="322">
        <v>0</v>
      </c>
    </row>
    <row r="738" spans="1:14" x14ac:dyDescent="0.3">
      <c r="A738">
        <f>EPD!A453</f>
        <v>0</v>
      </c>
      <c r="F738">
        <v>0</v>
      </c>
      <c r="G738">
        <v>0</v>
      </c>
      <c r="H738">
        <v>0</v>
      </c>
      <c r="I738">
        <v>0</v>
      </c>
      <c r="K738">
        <v>0</v>
      </c>
      <c r="L738" s="322">
        <v>0</v>
      </c>
      <c r="M738" s="322">
        <v>0</v>
      </c>
      <c r="N738" s="322">
        <v>0</v>
      </c>
    </row>
    <row r="739" spans="1:14" x14ac:dyDescent="0.3">
      <c r="A739">
        <f>EPD!A454</f>
        <v>0</v>
      </c>
      <c r="F739">
        <v>0</v>
      </c>
      <c r="G739">
        <v>0</v>
      </c>
      <c r="H739">
        <v>0</v>
      </c>
      <c r="I739">
        <v>0</v>
      </c>
      <c r="K739">
        <v>0</v>
      </c>
      <c r="L739" s="322">
        <v>0</v>
      </c>
      <c r="M739" s="322">
        <v>0</v>
      </c>
      <c r="N739" s="322">
        <v>0</v>
      </c>
    </row>
    <row r="740" spans="1:14" x14ac:dyDescent="0.3">
      <c r="A740">
        <f>EPD!A455</f>
        <v>0</v>
      </c>
      <c r="F740">
        <v>0</v>
      </c>
      <c r="G740">
        <v>0</v>
      </c>
      <c r="H740">
        <v>0</v>
      </c>
      <c r="I740">
        <v>0</v>
      </c>
      <c r="K740">
        <v>0</v>
      </c>
      <c r="L740" s="322">
        <v>0</v>
      </c>
      <c r="M740" s="322">
        <v>0</v>
      </c>
      <c r="N740" s="322">
        <v>0</v>
      </c>
    </row>
    <row r="741" spans="1:14" x14ac:dyDescent="0.3">
      <c r="A741">
        <f>EPD!A456</f>
        <v>0</v>
      </c>
      <c r="F741">
        <v>0</v>
      </c>
      <c r="G741">
        <v>0</v>
      </c>
      <c r="H741">
        <v>0</v>
      </c>
      <c r="I741">
        <v>0</v>
      </c>
      <c r="K741">
        <v>0</v>
      </c>
      <c r="L741" s="322">
        <v>0</v>
      </c>
      <c r="M741" s="322">
        <v>0</v>
      </c>
      <c r="N741" s="322">
        <v>0</v>
      </c>
    </row>
    <row r="742" spans="1:14" x14ac:dyDescent="0.3">
      <c r="A742">
        <f>EPD!A457</f>
        <v>0</v>
      </c>
      <c r="F742">
        <v>0</v>
      </c>
      <c r="G742">
        <v>0</v>
      </c>
      <c r="H742">
        <v>0</v>
      </c>
      <c r="I742">
        <v>0</v>
      </c>
      <c r="K742">
        <v>0</v>
      </c>
      <c r="L742" s="322">
        <v>0</v>
      </c>
      <c r="M742" s="322">
        <v>0</v>
      </c>
      <c r="N742" s="322">
        <v>0</v>
      </c>
    </row>
    <row r="743" spans="1:14" x14ac:dyDescent="0.3">
      <c r="A743">
        <f>EPD!A458</f>
        <v>0</v>
      </c>
      <c r="F743">
        <v>0</v>
      </c>
      <c r="G743">
        <v>0</v>
      </c>
      <c r="H743">
        <v>0</v>
      </c>
      <c r="I743">
        <v>0</v>
      </c>
      <c r="K743">
        <v>0</v>
      </c>
      <c r="L743" s="322">
        <v>0</v>
      </c>
      <c r="M743" s="322">
        <v>0</v>
      </c>
      <c r="N743" s="322">
        <v>0</v>
      </c>
    </row>
    <row r="744" spans="1:14" x14ac:dyDescent="0.3">
      <c r="A744">
        <f>EPD!A459</f>
        <v>0</v>
      </c>
      <c r="F744">
        <v>0</v>
      </c>
      <c r="G744">
        <v>0</v>
      </c>
      <c r="H744">
        <v>0</v>
      </c>
      <c r="I744">
        <v>0</v>
      </c>
      <c r="K744">
        <v>0</v>
      </c>
      <c r="L744" s="322">
        <v>0</v>
      </c>
      <c r="M744" s="322">
        <v>0</v>
      </c>
      <c r="N744" s="322">
        <v>0</v>
      </c>
    </row>
    <row r="745" spans="1:14" x14ac:dyDescent="0.3">
      <c r="A745">
        <f>EPD!A460</f>
        <v>0</v>
      </c>
      <c r="F745">
        <v>0</v>
      </c>
      <c r="G745">
        <v>0</v>
      </c>
      <c r="H745">
        <v>0</v>
      </c>
      <c r="I745">
        <v>0</v>
      </c>
      <c r="K745">
        <v>0</v>
      </c>
      <c r="L745" s="322">
        <v>0</v>
      </c>
      <c r="M745" s="322">
        <v>0</v>
      </c>
      <c r="N745" s="322">
        <v>0</v>
      </c>
    </row>
    <row r="746" spans="1:14" x14ac:dyDescent="0.3">
      <c r="A746">
        <f>EPD!A461</f>
        <v>0</v>
      </c>
      <c r="F746">
        <v>0</v>
      </c>
      <c r="G746">
        <v>0</v>
      </c>
      <c r="H746">
        <v>0</v>
      </c>
      <c r="I746">
        <v>0</v>
      </c>
      <c r="K746">
        <v>0</v>
      </c>
      <c r="L746" s="322">
        <v>0</v>
      </c>
      <c r="M746" s="322">
        <v>0</v>
      </c>
      <c r="N746" s="322">
        <v>0</v>
      </c>
    </row>
    <row r="747" spans="1:14" x14ac:dyDescent="0.3">
      <c r="A747">
        <f>EPD!A462</f>
        <v>0</v>
      </c>
      <c r="F747">
        <v>0</v>
      </c>
      <c r="G747">
        <v>0</v>
      </c>
      <c r="H747">
        <v>0</v>
      </c>
      <c r="I747">
        <v>0</v>
      </c>
      <c r="K747">
        <v>0</v>
      </c>
      <c r="L747" s="322">
        <v>0</v>
      </c>
      <c r="M747" s="322">
        <v>0</v>
      </c>
      <c r="N747" s="322">
        <v>0</v>
      </c>
    </row>
    <row r="748" spans="1:14" x14ac:dyDescent="0.3">
      <c r="A748">
        <f>EPD!A463</f>
        <v>0</v>
      </c>
      <c r="F748">
        <v>0</v>
      </c>
      <c r="G748">
        <v>0</v>
      </c>
      <c r="H748">
        <v>0</v>
      </c>
      <c r="I748">
        <v>0</v>
      </c>
      <c r="K748">
        <v>0</v>
      </c>
      <c r="L748" s="322">
        <v>0</v>
      </c>
      <c r="M748" s="322">
        <v>0</v>
      </c>
      <c r="N748" s="322">
        <v>0</v>
      </c>
    </row>
    <row r="749" spans="1:14" x14ac:dyDescent="0.3">
      <c r="A749">
        <f>EPD!A464</f>
        <v>0</v>
      </c>
      <c r="F749">
        <v>0</v>
      </c>
      <c r="G749">
        <v>0</v>
      </c>
      <c r="H749">
        <v>0</v>
      </c>
      <c r="I749">
        <v>0</v>
      </c>
      <c r="K749">
        <v>0</v>
      </c>
      <c r="L749" s="322">
        <v>0</v>
      </c>
      <c r="M749" s="322">
        <v>0</v>
      </c>
      <c r="N749" s="322">
        <v>0</v>
      </c>
    </row>
    <row r="750" spans="1:14" x14ac:dyDescent="0.3">
      <c r="A750">
        <f>EPD!A465</f>
        <v>0</v>
      </c>
      <c r="F750">
        <v>0</v>
      </c>
      <c r="G750">
        <v>0</v>
      </c>
      <c r="H750">
        <v>0</v>
      </c>
      <c r="I750">
        <v>0</v>
      </c>
      <c r="K750">
        <v>0</v>
      </c>
      <c r="L750" s="322">
        <v>0</v>
      </c>
      <c r="M750" s="322">
        <v>0</v>
      </c>
      <c r="N750" s="322">
        <v>0</v>
      </c>
    </row>
    <row r="751" spans="1:14" x14ac:dyDescent="0.3">
      <c r="A751">
        <f>EPD!A466</f>
        <v>0</v>
      </c>
      <c r="F751">
        <v>0</v>
      </c>
      <c r="G751">
        <v>0</v>
      </c>
      <c r="H751">
        <v>0</v>
      </c>
      <c r="I751">
        <v>0</v>
      </c>
      <c r="K751">
        <v>0</v>
      </c>
      <c r="L751" s="322">
        <v>0</v>
      </c>
      <c r="M751" s="322">
        <v>0</v>
      </c>
      <c r="N751" s="322">
        <v>0</v>
      </c>
    </row>
    <row r="752" spans="1:14" x14ac:dyDescent="0.3">
      <c r="A752">
        <f>EPD!A467</f>
        <v>0</v>
      </c>
      <c r="F752">
        <v>0</v>
      </c>
      <c r="G752">
        <v>0</v>
      </c>
      <c r="H752">
        <v>0</v>
      </c>
      <c r="I752">
        <v>0</v>
      </c>
      <c r="K752">
        <v>0</v>
      </c>
      <c r="L752" s="322">
        <v>0</v>
      </c>
      <c r="M752" s="322">
        <v>0</v>
      </c>
      <c r="N752" s="322">
        <v>0</v>
      </c>
    </row>
    <row r="753" spans="1:14" x14ac:dyDescent="0.3">
      <c r="A753">
        <f>EPD!A468</f>
        <v>0</v>
      </c>
      <c r="F753">
        <v>0</v>
      </c>
      <c r="G753">
        <v>0</v>
      </c>
      <c r="H753">
        <v>0</v>
      </c>
      <c r="I753">
        <v>0</v>
      </c>
      <c r="K753">
        <v>0</v>
      </c>
      <c r="L753" s="322">
        <v>0</v>
      </c>
      <c r="M753" s="322">
        <v>0</v>
      </c>
      <c r="N753" s="322">
        <v>0</v>
      </c>
    </row>
    <row r="754" spans="1:14" x14ac:dyDescent="0.3">
      <c r="A754">
        <f>EPD!A469</f>
        <v>0</v>
      </c>
      <c r="F754">
        <v>0</v>
      </c>
      <c r="G754">
        <v>0</v>
      </c>
      <c r="H754">
        <v>0</v>
      </c>
      <c r="I754">
        <v>0</v>
      </c>
      <c r="K754">
        <v>0</v>
      </c>
      <c r="L754" s="322">
        <v>0</v>
      </c>
      <c r="M754" s="322">
        <v>0</v>
      </c>
      <c r="N754" s="322">
        <v>0</v>
      </c>
    </row>
    <row r="755" spans="1:14" x14ac:dyDescent="0.3">
      <c r="A755">
        <f>EPD!A470</f>
        <v>0</v>
      </c>
      <c r="F755">
        <v>0</v>
      </c>
      <c r="G755">
        <v>0</v>
      </c>
      <c r="H755">
        <v>0</v>
      </c>
      <c r="I755">
        <v>0</v>
      </c>
      <c r="K755">
        <v>0</v>
      </c>
      <c r="L755" s="322">
        <v>0</v>
      </c>
      <c r="M755" s="322">
        <v>0</v>
      </c>
      <c r="N755" s="322">
        <v>0</v>
      </c>
    </row>
    <row r="756" spans="1:14" x14ac:dyDescent="0.3">
      <c r="A756">
        <f>EPD!A471</f>
        <v>0</v>
      </c>
      <c r="F756">
        <v>0</v>
      </c>
      <c r="G756">
        <v>0</v>
      </c>
      <c r="H756">
        <v>0</v>
      </c>
      <c r="I756">
        <v>0</v>
      </c>
      <c r="K756">
        <v>0</v>
      </c>
      <c r="L756" s="322">
        <v>0</v>
      </c>
      <c r="M756" s="322">
        <v>0</v>
      </c>
      <c r="N756" s="322">
        <v>0</v>
      </c>
    </row>
    <row r="757" spans="1:14" x14ac:dyDescent="0.3">
      <c r="A757">
        <f>EPD!A472</f>
        <v>0</v>
      </c>
      <c r="F757">
        <v>0</v>
      </c>
      <c r="G757">
        <v>0</v>
      </c>
      <c r="H757">
        <v>0</v>
      </c>
      <c r="I757">
        <v>0</v>
      </c>
      <c r="K757">
        <v>0</v>
      </c>
      <c r="L757" s="322">
        <v>0</v>
      </c>
      <c r="M757" s="322">
        <v>0</v>
      </c>
      <c r="N757" s="322">
        <v>0</v>
      </c>
    </row>
    <row r="758" spans="1:14" x14ac:dyDescent="0.3">
      <c r="A758">
        <f>EPD!A473</f>
        <v>0</v>
      </c>
      <c r="F758">
        <v>0</v>
      </c>
      <c r="G758">
        <v>0</v>
      </c>
      <c r="H758">
        <v>0</v>
      </c>
      <c r="I758">
        <v>0</v>
      </c>
      <c r="K758">
        <v>0</v>
      </c>
      <c r="L758" s="322">
        <v>0</v>
      </c>
      <c r="M758" s="322">
        <v>0</v>
      </c>
      <c r="N758" s="322">
        <v>0</v>
      </c>
    </row>
    <row r="759" spans="1:14" x14ac:dyDescent="0.3">
      <c r="A759">
        <f>EPD!A474</f>
        <v>0</v>
      </c>
      <c r="F759">
        <v>0</v>
      </c>
      <c r="G759">
        <v>0</v>
      </c>
      <c r="H759">
        <v>0</v>
      </c>
      <c r="I759">
        <v>0</v>
      </c>
      <c r="K759">
        <v>0</v>
      </c>
      <c r="L759" s="322">
        <v>0</v>
      </c>
      <c r="M759" s="322">
        <v>0</v>
      </c>
      <c r="N759" s="322">
        <v>0</v>
      </c>
    </row>
    <row r="760" spans="1:14" x14ac:dyDescent="0.3">
      <c r="A760">
        <f>EPD!A475</f>
        <v>0</v>
      </c>
      <c r="F760">
        <v>0</v>
      </c>
      <c r="G760">
        <v>0</v>
      </c>
      <c r="H760">
        <v>0</v>
      </c>
      <c r="I760">
        <v>0</v>
      </c>
      <c r="K760">
        <v>0</v>
      </c>
      <c r="L760" s="322">
        <v>0</v>
      </c>
      <c r="M760" s="322">
        <v>0</v>
      </c>
      <c r="N760" s="322">
        <v>0</v>
      </c>
    </row>
    <row r="761" spans="1:14" x14ac:dyDescent="0.3">
      <c r="A761">
        <f>EPD!A476</f>
        <v>0</v>
      </c>
      <c r="F761">
        <v>0</v>
      </c>
      <c r="G761">
        <v>0</v>
      </c>
      <c r="H761">
        <v>0</v>
      </c>
      <c r="I761">
        <v>0</v>
      </c>
      <c r="K761">
        <v>0</v>
      </c>
      <c r="L761" s="322">
        <v>0</v>
      </c>
      <c r="M761" s="322">
        <v>0</v>
      </c>
      <c r="N761" s="322">
        <v>0</v>
      </c>
    </row>
    <row r="762" spans="1:14" x14ac:dyDescent="0.3">
      <c r="A762">
        <f>EPD!A477</f>
        <v>0</v>
      </c>
      <c r="F762">
        <v>0</v>
      </c>
      <c r="G762">
        <v>0</v>
      </c>
      <c r="H762">
        <v>0</v>
      </c>
      <c r="I762">
        <v>0</v>
      </c>
      <c r="K762">
        <v>0</v>
      </c>
      <c r="L762" s="322">
        <v>0</v>
      </c>
      <c r="M762" s="322">
        <v>0</v>
      </c>
      <c r="N762" s="322">
        <v>0</v>
      </c>
    </row>
    <row r="763" spans="1:14" x14ac:dyDescent="0.3">
      <c r="A763">
        <f>EPD!A478</f>
        <v>0</v>
      </c>
      <c r="F763">
        <v>0</v>
      </c>
      <c r="G763">
        <v>0</v>
      </c>
      <c r="H763">
        <v>0</v>
      </c>
      <c r="I763">
        <v>0</v>
      </c>
      <c r="K763">
        <v>0</v>
      </c>
      <c r="L763" s="322">
        <v>0</v>
      </c>
      <c r="M763" s="322">
        <v>0</v>
      </c>
      <c r="N763" s="322">
        <v>0</v>
      </c>
    </row>
    <row r="764" spans="1:14" x14ac:dyDescent="0.3">
      <c r="A764">
        <f>EPD!A479</f>
        <v>0</v>
      </c>
      <c r="F764">
        <v>0</v>
      </c>
      <c r="G764">
        <v>0</v>
      </c>
      <c r="H764">
        <v>0</v>
      </c>
      <c r="I764">
        <v>0</v>
      </c>
      <c r="K764">
        <v>0</v>
      </c>
      <c r="L764" s="322">
        <v>0</v>
      </c>
      <c r="M764" s="322">
        <v>0</v>
      </c>
      <c r="N764" s="322">
        <v>0</v>
      </c>
    </row>
    <row r="765" spans="1:14" x14ac:dyDescent="0.3">
      <c r="A765">
        <f>EPD!A480</f>
        <v>0</v>
      </c>
      <c r="F765">
        <v>0</v>
      </c>
      <c r="G765">
        <v>0</v>
      </c>
      <c r="H765">
        <v>0</v>
      </c>
      <c r="I765">
        <v>0</v>
      </c>
      <c r="K765">
        <v>0</v>
      </c>
      <c r="L765" s="322">
        <v>0</v>
      </c>
      <c r="M765" s="322">
        <v>0</v>
      </c>
      <c r="N765" s="322">
        <v>0</v>
      </c>
    </row>
    <row r="766" spans="1:14" x14ac:dyDescent="0.3">
      <c r="A766">
        <f>EPD!A481</f>
        <v>0</v>
      </c>
      <c r="F766">
        <v>0</v>
      </c>
      <c r="G766">
        <v>0</v>
      </c>
      <c r="H766">
        <v>0</v>
      </c>
      <c r="I766">
        <v>0</v>
      </c>
      <c r="K766">
        <v>0</v>
      </c>
      <c r="L766" s="322">
        <v>0</v>
      </c>
      <c r="M766" s="322">
        <v>0</v>
      </c>
      <c r="N766" s="322">
        <v>0</v>
      </c>
    </row>
    <row r="767" spans="1:14" x14ac:dyDescent="0.3">
      <c r="A767">
        <f>EPD!A482</f>
        <v>0</v>
      </c>
      <c r="F767">
        <v>0</v>
      </c>
      <c r="G767">
        <v>0</v>
      </c>
      <c r="H767">
        <v>0</v>
      </c>
      <c r="I767">
        <v>0</v>
      </c>
      <c r="K767">
        <v>0</v>
      </c>
      <c r="L767" s="322">
        <v>0</v>
      </c>
      <c r="M767" s="322">
        <v>0</v>
      </c>
      <c r="N767" s="322">
        <v>0</v>
      </c>
    </row>
    <row r="768" spans="1:14" x14ac:dyDescent="0.3">
      <c r="A768">
        <f>EPD!A483</f>
        <v>0</v>
      </c>
      <c r="F768">
        <v>0</v>
      </c>
      <c r="G768">
        <v>0</v>
      </c>
      <c r="H768">
        <v>0</v>
      </c>
      <c r="I768">
        <v>0</v>
      </c>
      <c r="K768">
        <v>0</v>
      </c>
      <c r="L768" s="322">
        <v>0</v>
      </c>
      <c r="M768" s="322">
        <v>0</v>
      </c>
      <c r="N768" s="322">
        <v>0</v>
      </c>
    </row>
    <row r="769" spans="1:14" x14ac:dyDescent="0.3">
      <c r="A769">
        <f>EPD!A484</f>
        <v>0</v>
      </c>
      <c r="F769">
        <v>0</v>
      </c>
      <c r="G769">
        <v>0</v>
      </c>
      <c r="H769">
        <v>0</v>
      </c>
      <c r="I769">
        <v>0</v>
      </c>
      <c r="K769">
        <v>0</v>
      </c>
      <c r="L769" s="322">
        <v>0</v>
      </c>
      <c r="M769" s="322">
        <v>0</v>
      </c>
      <c r="N769" s="322">
        <v>0</v>
      </c>
    </row>
    <row r="770" spans="1:14" x14ac:dyDescent="0.3">
      <c r="A770">
        <f>EPD!A485</f>
        <v>0</v>
      </c>
      <c r="F770">
        <v>0</v>
      </c>
      <c r="G770">
        <v>0</v>
      </c>
      <c r="H770">
        <v>0</v>
      </c>
      <c r="I770">
        <v>0</v>
      </c>
      <c r="K770">
        <v>0</v>
      </c>
      <c r="L770" s="322">
        <v>0</v>
      </c>
      <c r="M770" s="322">
        <v>0</v>
      </c>
      <c r="N770" s="322">
        <v>0</v>
      </c>
    </row>
    <row r="771" spans="1:14" x14ac:dyDescent="0.3">
      <c r="A771">
        <f>EPD!A486</f>
        <v>0</v>
      </c>
      <c r="F771">
        <v>0</v>
      </c>
      <c r="G771">
        <v>0</v>
      </c>
      <c r="H771">
        <v>0</v>
      </c>
      <c r="I771">
        <v>0</v>
      </c>
      <c r="K771">
        <v>0</v>
      </c>
      <c r="L771" s="322">
        <v>0</v>
      </c>
      <c r="M771" s="322">
        <v>0</v>
      </c>
      <c r="N771" s="322">
        <v>0</v>
      </c>
    </row>
    <row r="772" spans="1:14" x14ac:dyDescent="0.3">
      <c r="A772">
        <f>EPD!A487</f>
        <v>0</v>
      </c>
      <c r="F772">
        <v>0</v>
      </c>
      <c r="G772">
        <v>0</v>
      </c>
      <c r="H772">
        <v>0</v>
      </c>
      <c r="I772">
        <v>0</v>
      </c>
      <c r="K772">
        <v>0</v>
      </c>
      <c r="L772" s="322">
        <v>0</v>
      </c>
      <c r="M772" s="322">
        <v>0</v>
      </c>
      <c r="N772" s="322">
        <v>0</v>
      </c>
    </row>
    <row r="773" spans="1:14" x14ac:dyDescent="0.3">
      <c r="A773">
        <f>EPD!A488</f>
        <v>0</v>
      </c>
      <c r="F773">
        <v>0</v>
      </c>
      <c r="G773">
        <v>0</v>
      </c>
      <c r="H773">
        <v>0</v>
      </c>
      <c r="I773">
        <v>0</v>
      </c>
      <c r="K773">
        <v>0</v>
      </c>
      <c r="L773" s="322">
        <v>0</v>
      </c>
      <c r="M773" s="322">
        <v>0</v>
      </c>
      <c r="N773" s="322">
        <v>0</v>
      </c>
    </row>
    <row r="774" spans="1:14" x14ac:dyDescent="0.3">
      <c r="A774">
        <f>EPD!A489</f>
        <v>0</v>
      </c>
      <c r="F774">
        <v>0</v>
      </c>
      <c r="G774">
        <v>0</v>
      </c>
      <c r="H774">
        <v>0</v>
      </c>
      <c r="I774">
        <v>0</v>
      </c>
      <c r="K774">
        <v>0</v>
      </c>
      <c r="L774" s="322">
        <v>0</v>
      </c>
      <c r="M774" s="322">
        <v>0</v>
      </c>
      <c r="N774" s="322">
        <v>0</v>
      </c>
    </row>
    <row r="775" spans="1:14" x14ac:dyDescent="0.3">
      <c r="A775">
        <f>EPD!A490</f>
        <v>0</v>
      </c>
      <c r="F775">
        <v>0</v>
      </c>
      <c r="G775">
        <v>0</v>
      </c>
      <c r="H775">
        <v>0</v>
      </c>
      <c r="I775">
        <v>0</v>
      </c>
      <c r="K775">
        <v>0</v>
      </c>
      <c r="L775" s="322">
        <v>0</v>
      </c>
      <c r="M775" s="322">
        <v>0</v>
      </c>
      <c r="N775" s="322">
        <v>0</v>
      </c>
    </row>
    <row r="776" spans="1:14" x14ac:dyDescent="0.3">
      <c r="A776">
        <f>EPD!A491</f>
        <v>0</v>
      </c>
      <c r="F776">
        <v>0</v>
      </c>
      <c r="G776">
        <v>0</v>
      </c>
      <c r="H776">
        <v>0</v>
      </c>
      <c r="I776">
        <v>0</v>
      </c>
      <c r="K776">
        <v>0</v>
      </c>
      <c r="L776" s="322">
        <v>0</v>
      </c>
      <c r="M776" s="322">
        <v>0</v>
      </c>
      <c r="N776" s="322">
        <v>0</v>
      </c>
    </row>
    <row r="777" spans="1:14" x14ac:dyDescent="0.3">
      <c r="A777">
        <f>EPD!A492</f>
        <v>0</v>
      </c>
      <c r="F777">
        <v>0</v>
      </c>
      <c r="G777">
        <v>0</v>
      </c>
      <c r="H777">
        <v>0</v>
      </c>
      <c r="I777">
        <v>0</v>
      </c>
      <c r="K777">
        <v>0</v>
      </c>
      <c r="L777" s="322">
        <v>0</v>
      </c>
      <c r="M777" s="322">
        <v>0</v>
      </c>
      <c r="N777" s="322">
        <v>0</v>
      </c>
    </row>
    <row r="778" spans="1:14" x14ac:dyDescent="0.3">
      <c r="A778">
        <f>EPD!A493</f>
        <v>0</v>
      </c>
      <c r="F778">
        <v>0</v>
      </c>
      <c r="G778">
        <v>0</v>
      </c>
      <c r="H778">
        <v>0</v>
      </c>
      <c r="I778">
        <v>0</v>
      </c>
      <c r="K778">
        <v>0</v>
      </c>
      <c r="L778" s="322">
        <v>0</v>
      </c>
      <c r="M778" s="322">
        <v>0</v>
      </c>
      <c r="N778" s="322">
        <v>0</v>
      </c>
    </row>
    <row r="779" spans="1:14" x14ac:dyDescent="0.3">
      <c r="A779">
        <f>EPD!A494</f>
        <v>0</v>
      </c>
      <c r="F779">
        <v>0</v>
      </c>
      <c r="G779">
        <v>0</v>
      </c>
      <c r="H779">
        <v>0</v>
      </c>
      <c r="I779">
        <v>0</v>
      </c>
      <c r="K779">
        <v>0</v>
      </c>
      <c r="L779" s="322">
        <v>0</v>
      </c>
      <c r="M779" s="322">
        <v>0</v>
      </c>
      <c r="N779" s="322">
        <v>0</v>
      </c>
    </row>
    <row r="780" spans="1:14" x14ac:dyDescent="0.3">
      <c r="A780">
        <f>EPD!A495</f>
        <v>0</v>
      </c>
      <c r="F780">
        <v>0</v>
      </c>
      <c r="G780">
        <v>0</v>
      </c>
      <c r="H780">
        <v>0</v>
      </c>
      <c r="I780">
        <v>0</v>
      </c>
      <c r="K780">
        <v>0</v>
      </c>
      <c r="L780" s="322">
        <v>0</v>
      </c>
      <c r="M780" s="322">
        <v>0</v>
      </c>
      <c r="N780" s="322">
        <v>0</v>
      </c>
    </row>
    <row r="781" spans="1:14" x14ac:dyDescent="0.3">
      <c r="A781">
        <f>EPD!A496</f>
        <v>0</v>
      </c>
      <c r="F781">
        <v>0</v>
      </c>
      <c r="G781">
        <v>0</v>
      </c>
      <c r="H781">
        <v>0</v>
      </c>
      <c r="I781">
        <v>0</v>
      </c>
      <c r="K781">
        <v>0</v>
      </c>
      <c r="L781" s="322">
        <v>0</v>
      </c>
      <c r="M781" s="322">
        <v>0</v>
      </c>
      <c r="N781" s="322">
        <v>0</v>
      </c>
    </row>
    <row r="782" spans="1:14" x14ac:dyDescent="0.3">
      <c r="A782">
        <f>EPD!A497</f>
        <v>0</v>
      </c>
      <c r="F782">
        <v>0</v>
      </c>
      <c r="G782">
        <v>0</v>
      </c>
      <c r="H782">
        <v>0</v>
      </c>
      <c r="I782">
        <v>0</v>
      </c>
      <c r="K782">
        <v>0</v>
      </c>
      <c r="L782" s="322">
        <v>0</v>
      </c>
      <c r="M782" s="322">
        <v>0</v>
      </c>
      <c r="N782" s="322">
        <v>0</v>
      </c>
    </row>
    <row r="783" spans="1:14" x14ac:dyDescent="0.3">
      <c r="A783">
        <f>EPD!A498</f>
        <v>0</v>
      </c>
      <c r="F783">
        <v>0</v>
      </c>
      <c r="G783">
        <v>0</v>
      </c>
      <c r="H783">
        <v>0</v>
      </c>
      <c r="I783">
        <v>0</v>
      </c>
      <c r="K783">
        <v>0</v>
      </c>
      <c r="L783" s="322">
        <v>0</v>
      </c>
      <c r="M783" s="322">
        <v>0</v>
      </c>
      <c r="N783" s="322">
        <v>0</v>
      </c>
    </row>
    <row r="784" spans="1:14" x14ac:dyDescent="0.3">
      <c r="A784">
        <f>EPD!A499</f>
        <v>0</v>
      </c>
      <c r="F784">
        <v>0</v>
      </c>
      <c r="G784">
        <v>0</v>
      </c>
      <c r="H784">
        <v>0</v>
      </c>
      <c r="I784">
        <v>0</v>
      </c>
      <c r="K784">
        <v>0</v>
      </c>
      <c r="L784" s="322">
        <v>0</v>
      </c>
      <c r="M784" s="322">
        <v>0</v>
      </c>
      <c r="N784" s="322">
        <v>0</v>
      </c>
    </row>
    <row r="785" spans="1:14" x14ac:dyDescent="0.3">
      <c r="A785">
        <f>EPD!A500</f>
        <v>0</v>
      </c>
      <c r="F785">
        <v>0</v>
      </c>
      <c r="G785">
        <v>0</v>
      </c>
      <c r="H785">
        <v>0</v>
      </c>
      <c r="I785">
        <v>0</v>
      </c>
      <c r="K785">
        <v>0</v>
      </c>
      <c r="L785" s="322">
        <v>0</v>
      </c>
      <c r="M785" s="322">
        <v>0</v>
      </c>
      <c r="N785" s="322">
        <v>0</v>
      </c>
    </row>
    <row r="786" spans="1:14" x14ac:dyDescent="0.3">
      <c r="A786">
        <f>EPD!A501</f>
        <v>0</v>
      </c>
      <c r="F786">
        <v>0</v>
      </c>
      <c r="G786">
        <v>0</v>
      </c>
      <c r="H786">
        <v>0</v>
      </c>
      <c r="I786">
        <v>0</v>
      </c>
      <c r="K786">
        <v>0</v>
      </c>
      <c r="L786" s="322">
        <v>0</v>
      </c>
      <c r="M786" s="322">
        <v>0</v>
      </c>
      <c r="N786" s="322">
        <v>0</v>
      </c>
    </row>
    <row r="787" spans="1:14" x14ac:dyDescent="0.3">
      <c r="A787">
        <f>EPD!A502</f>
        <v>0</v>
      </c>
      <c r="F787">
        <v>0</v>
      </c>
      <c r="G787">
        <v>0</v>
      </c>
      <c r="H787">
        <v>0</v>
      </c>
      <c r="I787">
        <v>0</v>
      </c>
      <c r="K787">
        <v>0</v>
      </c>
      <c r="L787" s="322">
        <v>0</v>
      </c>
      <c r="M787" s="322">
        <v>0</v>
      </c>
      <c r="N787" s="322">
        <v>0</v>
      </c>
    </row>
    <row r="788" spans="1:14" x14ac:dyDescent="0.3">
      <c r="A788">
        <f>EPD!A503</f>
        <v>0</v>
      </c>
      <c r="F788">
        <v>0</v>
      </c>
      <c r="G788">
        <v>0</v>
      </c>
      <c r="H788">
        <v>0</v>
      </c>
      <c r="I788">
        <v>0</v>
      </c>
      <c r="K788">
        <v>0</v>
      </c>
      <c r="L788" s="322">
        <v>0</v>
      </c>
      <c r="M788" s="322">
        <v>0</v>
      </c>
      <c r="N788" s="322">
        <v>0</v>
      </c>
    </row>
    <row r="789" spans="1:14" x14ac:dyDescent="0.3">
      <c r="A789">
        <f>EPD!A504</f>
        <v>0</v>
      </c>
      <c r="F789">
        <v>0</v>
      </c>
      <c r="G789">
        <v>0</v>
      </c>
      <c r="H789">
        <v>0</v>
      </c>
      <c r="I789">
        <v>0</v>
      </c>
      <c r="K789">
        <v>0</v>
      </c>
      <c r="L789" s="322">
        <v>0</v>
      </c>
      <c r="M789" s="322">
        <v>0</v>
      </c>
      <c r="N789" s="322">
        <v>0</v>
      </c>
    </row>
    <row r="790" spans="1:14" x14ac:dyDescent="0.3">
      <c r="A790">
        <f>EPD!A505</f>
        <v>0</v>
      </c>
      <c r="F790">
        <v>0</v>
      </c>
      <c r="G790">
        <v>0</v>
      </c>
      <c r="H790">
        <v>0</v>
      </c>
      <c r="I790">
        <v>0</v>
      </c>
      <c r="K790">
        <v>0</v>
      </c>
      <c r="L790" s="322">
        <v>0</v>
      </c>
      <c r="M790" s="322">
        <v>0</v>
      </c>
      <c r="N790" s="322">
        <v>0</v>
      </c>
    </row>
    <row r="791" spans="1:14" x14ac:dyDescent="0.3">
      <c r="A791">
        <f>EPD!A506</f>
        <v>0</v>
      </c>
      <c r="F791">
        <v>0</v>
      </c>
      <c r="G791">
        <v>0</v>
      </c>
      <c r="H791">
        <v>0</v>
      </c>
      <c r="I791">
        <v>0</v>
      </c>
      <c r="K791">
        <v>0</v>
      </c>
      <c r="L791" s="322">
        <v>0</v>
      </c>
      <c r="M791" s="322">
        <v>0</v>
      </c>
      <c r="N791" s="322">
        <v>0</v>
      </c>
    </row>
    <row r="792" spans="1:14" x14ac:dyDescent="0.3">
      <c r="A792">
        <f>EPD!A507</f>
        <v>0</v>
      </c>
      <c r="F792">
        <v>0</v>
      </c>
      <c r="G792">
        <v>0</v>
      </c>
      <c r="H792">
        <v>0</v>
      </c>
      <c r="I792">
        <v>0</v>
      </c>
      <c r="K792">
        <v>0</v>
      </c>
      <c r="L792" s="322">
        <v>0</v>
      </c>
      <c r="M792" s="322">
        <v>0</v>
      </c>
      <c r="N792" s="322">
        <v>0</v>
      </c>
    </row>
    <row r="793" spans="1:14" x14ac:dyDescent="0.3">
      <c r="A793">
        <f>EPD!A508</f>
        <v>0</v>
      </c>
      <c r="F793">
        <v>0</v>
      </c>
      <c r="G793">
        <v>0</v>
      </c>
      <c r="H793">
        <v>0</v>
      </c>
      <c r="I793">
        <v>0</v>
      </c>
      <c r="K793">
        <v>0</v>
      </c>
      <c r="L793" s="322">
        <v>0</v>
      </c>
      <c r="M793" s="322">
        <v>0</v>
      </c>
      <c r="N793" s="322">
        <v>0</v>
      </c>
    </row>
    <row r="794" spans="1:14" x14ac:dyDescent="0.3">
      <c r="A794">
        <f>EPD!A509</f>
        <v>0</v>
      </c>
      <c r="F794">
        <v>0</v>
      </c>
      <c r="G794">
        <v>0</v>
      </c>
      <c r="H794">
        <v>0</v>
      </c>
      <c r="I794">
        <v>0</v>
      </c>
      <c r="K794">
        <v>0</v>
      </c>
      <c r="L794" s="322">
        <v>0</v>
      </c>
      <c r="M794" s="322">
        <v>0</v>
      </c>
      <c r="N794" s="322">
        <v>0</v>
      </c>
    </row>
    <row r="795" spans="1:14" x14ac:dyDescent="0.3">
      <c r="A795">
        <f>EPD!A510</f>
        <v>0</v>
      </c>
      <c r="F795">
        <v>0</v>
      </c>
      <c r="G795">
        <v>0</v>
      </c>
      <c r="H795">
        <v>0</v>
      </c>
      <c r="I795">
        <v>0</v>
      </c>
      <c r="K795">
        <v>0</v>
      </c>
      <c r="L795" s="322">
        <v>0</v>
      </c>
      <c r="M795" s="322">
        <v>0</v>
      </c>
      <c r="N795" s="322">
        <v>0</v>
      </c>
    </row>
    <row r="796" spans="1:14" x14ac:dyDescent="0.3">
      <c r="A796">
        <f>EPD!A511</f>
        <v>0</v>
      </c>
      <c r="F796">
        <v>0</v>
      </c>
      <c r="G796">
        <v>0</v>
      </c>
      <c r="H796">
        <v>0</v>
      </c>
      <c r="I796">
        <v>0</v>
      </c>
      <c r="K796">
        <v>0</v>
      </c>
      <c r="L796" s="322">
        <v>0</v>
      </c>
      <c r="M796" s="322">
        <v>0</v>
      </c>
      <c r="N796" s="322">
        <v>0</v>
      </c>
    </row>
    <row r="797" spans="1:14" x14ac:dyDescent="0.3">
      <c r="A797">
        <f>EPD!A512</f>
        <v>0</v>
      </c>
      <c r="F797">
        <v>0</v>
      </c>
      <c r="G797">
        <v>0</v>
      </c>
      <c r="H797">
        <v>0</v>
      </c>
      <c r="I797">
        <v>0</v>
      </c>
      <c r="K797">
        <v>0</v>
      </c>
      <c r="L797" s="322">
        <v>0</v>
      </c>
      <c r="M797" s="322">
        <v>0</v>
      </c>
      <c r="N797" s="322">
        <v>0</v>
      </c>
    </row>
    <row r="798" spans="1:14" x14ac:dyDescent="0.3">
      <c r="A798">
        <f>EPD!A513</f>
        <v>0</v>
      </c>
      <c r="F798">
        <v>0</v>
      </c>
      <c r="G798">
        <v>0</v>
      </c>
      <c r="H798">
        <v>0</v>
      </c>
      <c r="I798">
        <v>0</v>
      </c>
      <c r="K798">
        <v>0</v>
      </c>
      <c r="L798" s="322">
        <v>0</v>
      </c>
      <c r="M798" s="322">
        <v>0</v>
      </c>
      <c r="N798" s="322">
        <v>0</v>
      </c>
    </row>
    <row r="799" spans="1:14" x14ac:dyDescent="0.3">
      <c r="A799">
        <f>EPD!A514</f>
        <v>0</v>
      </c>
      <c r="F799">
        <v>0</v>
      </c>
      <c r="G799">
        <v>0</v>
      </c>
      <c r="H799">
        <v>0</v>
      </c>
      <c r="I799">
        <v>0</v>
      </c>
      <c r="K799">
        <v>0</v>
      </c>
      <c r="L799" s="322">
        <v>0</v>
      </c>
      <c r="M799" s="322">
        <v>0</v>
      </c>
      <c r="N799" s="322">
        <v>0</v>
      </c>
    </row>
    <row r="800" spans="1:14" x14ac:dyDescent="0.3">
      <c r="A800">
        <f>EPD!A515</f>
        <v>0</v>
      </c>
      <c r="F800">
        <v>0</v>
      </c>
      <c r="G800">
        <v>0</v>
      </c>
      <c r="H800">
        <v>0</v>
      </c>
      <c r="I800">
        <v>0</v>
      </c>
      <c r="K800">
        <v>0</v>
      </c>
      <c r="L800" s="322">
        <v>0</v>
      </c>
      <c r="M800" s="322">
        <v>0</v>
      </c>
      <c r="N800" s="322">
        <v>0</v>
      </c>
    </row>
    <row r="801" spans="1:14" x14ac:dyDescent="0.3">
      <c r="A801">
        <f>EPD!A516</f>
        <v>0</v>
      </c>
      <c r="F801">
        <v>0</v>
      </c>
      <c r="G801">
        <v>0</v>
      </c>
      <c r="H801">
        <v>0</v>
      </c>
      <c r="I801">
        <v>0</v>
      </c>
      <c r="K801">
        <v>0</v>
      </c>
      <c r="L801" s="322">
        <v>0</v>
      </c>
      <c r="M801" s="322">
        <v>0</v>
      </c>
      <c r="N801" s="322">
        <v>0</v>
      </c>
    </row>
    <row r="802" spans="1:14" x14ac:dyDescent="0.3">
      <c r="A802">
        <f>EPD!A517</f>
        <v>0</v>
      </c>
      <c r="F802">
        <v>0</v>
      </c>
      <c r="G802">
        <v>0</v>
      </c>
      <c r="H802">
        <v>0</v>
      </c>
      <c r="I802">
        <v>0</v>
      </c>
      <c r="K802">
        <v>0</v>
      </c>
      <c r="L802" s="322">
        <v>0</v>
      </c>
      <c r="M802" s="322">
        <v>0</v>
      </c>
      <c r="N802" s="322">
        <v>0</v>
      </c>
    </row>
    <row r="803" spans="1:14" x14ac:dyDescent="0.3">
      <c r="A803">
        <f>EPD!A518</f>
        <v>0</v>
      </c>
      <c r="F803">
        <v>0</v>
      </c>
      <c r="G803">
        <v>0</v>
      </c>
      <c r="H803">
        <v>0</v>
      </c>
      <c r="I803">
        <v>0</v>
      </c>
      <c r="K803">
        <v>0</v>
      </c>
      <c r="L803" s="322">
        <v>0</v>
      </c>
      <c r="M803" s="322">
        <v>0</v>
      </c>
      <c r="N803" s="322">
        <v>0</v>
      </c>
    </row>
    <row r="804" spans="1:14" x14ac:dyDescent="0.3">
      <c r="A804">
        <f>EPD!A519</f>
        <v>0</v>
      </c>
      <c r="F804">
        <v>0</v>
      </c>
      <c r="G804">
        <v>0</v>
      </c>
      <c r="H804">
        <v>0</v>
      </c>
      <c r="I804">
        <v>0</v>
      </c>
      <c r="K804">
        <v>0</v>
      </c>
      <c r="L804" s="322">
        <v>0</v>
      </c>
      <c r="M804" s="322">
        <v>0</v>
      </c>
      <c r="N804" s="322">
        <v>0</v>
      </c>
    </row>
    <row r="805" spans="1:14" x14ac:dyDescent="0.3">
      <c r="A805">
        <f>EPD!A520</f>
        <v>0</v>
      </c>
      <c r="F805">
        <v>0</v>
      </c>
      <c r="G805">
        <v>0</v>
      </c>
      <c r="H805">
        <v>0</v>
      </c>
      <c r="I805">
        <v>0</v>
      </c>
      <c r="K805">
        <v>0</v>
      </c>
      <c r="L805" s="322">
        <v>0</v>
      </c>
      <c r="M805" s="322">
        <v>0</v>
      </c>
      <c r="N805" s="322">
        <v>0</v>
      </c>
    </row>
    <row r="806" spans="1:14" x14ac:dyDescent="0.3">
      <c r="A806">
        <f>EPD!A521</f>
        <v>0</v>
      </c>
      <c r="F806">
        <v>0</v>
      </c>
      <c r="G806">
        <v>0</v>
      </c>
      <c r="H806">
        <v>0</v>
      </c>
      <c r="I806">
        <v>0</v>
      </c>
      <c r="K806">
        <v>0</v>
      </c>
      <c r="L806" s="322">
        <v>0</v>
      </c>
      <c r="M806" s="322">
        <v>0</v>
      </c>
      <c r="N806" s="322">
        <v>0</v>
      </c>
    </row>
    <row r="807" spans="1:14" x14ac:dyDescent="0.3">
      <c r="A807">
        <f>EPD!A522</f>
        <v>0</v>
      </c>
      <c r="F807">
        <v>0</v>
      </c>
      <c r="G807">
        <v>0</v>
      </c>
      <c r="H807">
        <v>0</v>
      </c>
      <c r="I807">
        <v>0</v>
      </c>
      <c r="K807">
        <v>0</v>
      </c>
      <c r="L807" s="322">
        <v>0</v>
      </c>
      <c r="M807" s="322">
        <v>0</v>
      </c>
      <c r="N807" s="322">
        <v>0</v>
      </c>
    </row>
    <row r="808" spans="1:14" x14ac:dyDescent="0.3">
      <c r="A808">
        <f>EPD!A523</f>
        <v>0</v>
      </c>
      <c r="F808">
        <v>0</v>
      </c>
      <c r="G808">
        <v>0</v>
      </c>
      <c r="H808">
        <v>0</v>
      </c>
      <c r="I808">
        <v>0</v>
      </c>
      <c r="K808">
        <v>0</v>
      </c>
      <c r="L808" s="322">
        <v>0</v>
      </c>
      <c r="M808" s="322">
        <v>0</v>
      </c>
      <c r="N808" s="322">
        <v>0</v>
      </c>
    </row>
    <row r="809" spans="1:14" x14ac:dyDescent="0.3">
      <c r="A809">
        <f>EPD!A524</f>
        <v>0</v>
      </c>
      <c r="F809">
        <v>0</v>
      </c>
      <c r="G809">
        <v>0</v>
      </c>
      <c r="H809">
        <v>0</v>
      </c>
      <c r="I809">
        <v>0</v>
      </c>
      <c r="K809">
        <v>0</v>
      </c>
      <c r="L809" s="322">
        <v>0</v>
      </c>
      <c r="M809" s="322">
        <v>0</v>
      </c>
      <c r="N809" s="322">
        <v>0</v>
      </c>
    </row>
    <row r="810" spans="1:14" x14ac:dyDescent="0.3">
      <c r="A810">
        <f>EPD!A525</f>
        <v>0</v>
      </c>
      <c r="F810">
        <v>0</v>
      </c>
      <c r="G810">
        <v>0</v>
      </c>
      <c r="H810">
        <v>0</v>
      </c>
      <c r="I810">
        <v>0</v>
      </c>
      <c r="K810">
        <v>0</v>
      </c>
      <c r="L810" s="322">
        <v>0</v>
      </c>
      <c r="M810" s="322">
        <v>0</v>
      </c>
      <c r="N810" s="322">
        <v>0</v>
      </c>
    </row>
    <row r="811" spans="1:14" x14ac:dyDescent="0.3">
      <c r="A811">
        <f>EPD!A526</f>
        <v>0</v>
      </c>
      <c r="F811">
        <v>0</v>
      </c>
      <c r="G811">
        <v>0</v>
      </c>
      <c r="H811">
        <v>0</v>
      </c>
      <c r="I811">
        <v>0</v>
      </c>
      <c r="K811">
        <v>0</v>
      </c>
      <c r="L811" s="322">
        <v>0</v>
      </c>
      <c r="M811" s="322">
        <v>0</v>
      </c>
      <c r="N811" s="322">
        <v>0</v>
      </c>
    </row>
    <row r="812" spans="1:14" x14ac:dyDescent="0.3">
      <c r="A812">
        <f>EPD!A527</f>
        <v>0</v>
      </c>
      <c r="F812">
        <v>0</v>
      </c>
      <c r="G812">
        <v>0</v>
      </c>
      <c r="H812">
        <v>0</v>
      </c>
      <c r="I812">
        <v>0</v>
      </c>
      <c r="K812">
        <v>0</v>
      </c>
      <c r="L812" s="322">
        <v>0</v>
      </c>
      <c r="M812" s="322">
        <v>0</v>
      </c>
      <c r="N812" s="322">
        <v>0</v>
      </c>
    </row>
    <row r="813" spans="1:14" x14ac:dyDescent="0.3">
      <c r="A813">
        <f>EPD!A528</f>
        <v>0</v>
      </c>
      <c r="F813">
        <v>0</v>
      </c>
      <c r="G813">
        <v>0</v>
      </c>
      <c r="H813">
        <v>0</v>
      </c>
      <c r="I813">
        <v>0</v>
      </c>
      <c r="K813">
        <v>0</v>
      </c>
      <c r="L813" s="322">
        <v>0</v>
      </c>
      <c r="M813" s="322">
        <v>0</v>
      </c>
      <c r="N813" s="322">
        <v>0</v>
      </c>
    </row>
    <row r="814" spans="1:14" x14ac:dyDescent="0.3">
      <c r="A814">
        <f>EPD!A529</f>
        <v>0</v>
      </c>
      <c r="F814">
        <v>0</v>
      </c>
      <c r="G814">
        <v>0</v>
      </c>
      <c r="H814">
        <v>0</v>
      </c>
      <c r="I814">
        <v>0</v>
      </c>
      <c r="K814">
        <v>0</v>
      </c>
      <c r="L814" s="322">
        <v>0</v>
      </c>
      <c r="M814" s="322">
        <v>0</v>
      </c>
      <c r="N814" s="322">
        <v>0</v>
      </c>
    </row>
    <row r="815" spans="1:14" x14ac:dyDescent="0.3">
      <c r="A815">
        <f>EPD!A530</f>
        <v>0</v>
      </c>
      <c r="F815">
        <v>0</v>
      </c>
      <c r="G815">
        <v>0</v>
      </c>
      <c r="H815">
        <v>0</v>
      </c>
      <c r="I815">
        <v>0</v>
      </c>
      <c r="K815">
        <v>0</v>
      </c>
      <c r="L815" s="322">
        <v>0</v>
      </c>
      <c r="M815" s="322">
        <v>0</v>
      </c>
      <c r="N815" s="322">
        <v>0</v>
      </c>
    </row>
    <row r="816" spans="1:14" x14ac:dyDescent="0.3">
      <c r="A816">
        <f>EPD!A531</f>
        <v>0</v>
      </c>
      <c r="F816">
        <v>0</v>
      </c>
      <c r="G816">
        <v>0</v>
      </c>
      <c r="H816">
        <v>0</v>
      </c>
      <c r="I816">
        <v>0</v>
      </c>
      <c r="K816">
        <v>0</v>
      </c>
      <c r="L816" s="322">
        <v>0</v>
      </c>
      <c r="M816" s="322">
        <v>0</v>
      </c>
      <c r="N816" s="322">
        <v>0</v>
      </c>
    </row>
    <row r="817" spans="1:14" x14ac:dyDescent="0.3">
      <c r="A817">
        <f>EPD!A532</f>
        <v>0</v>
      </c>
      <c r="F817">
        <v>0</v>
      </c>
      <c r="G817">
        <v>0</v>
      </c>
      <c r="H817">
        <v>0</v>
      </c>
      <c r="I817">
        <v>0</v>
      </c>
      <c r="K817">
        <v>0</v>
      </c>
      <c r="L817" s="322">
        <v>0</v>
      </c>
      <c r="M817" s="322">
        <v>0</v>
      </c>
      <c r="N817" s="322">
        <v>0</v>
      </c>
    </row>
    <row r="818" spans="1:14" x14ac:dyDescent="0.3">
      <c r="A818">
        <f>EPD!A533</f>
        <v>0</v>
      </c>
      <c r="F818">
        <v>0</v>
      </c>
      <c r="G818">
        <v>0</v>
      </c>
      <c r="H818">
        <v>0</v>
      </c>
      <c r="I818">
        <v>0</v>
      </c>
      <c r="K818">
        <v>0</v>
      </c>
      <c r="L818" s="322">
        <v>0</v>
      </c>
      <c r="M818" s="322">
        <v>0</v>
      </c>
      <c r="N818" s="322">
        <v>0</v>
      </c>
    </row>
    <row r="819" spans="1:14" x14ac:dyDescent="0.3">
      <c r="A819">
        <f>EPD!A534</f>
        <v>0</v>
      </c>
      <c r="F819">
        <v>0</v>
      </c>
      <c r="G819">
        <v>0</v>
      </c>
      <c r="H819">
        <v>0</v>
      </c>
      <c r="I819">
        <v>0</v>
      </c>
      <c r="K819">
        <v>0</v>
      </c>
      <c r="L819" s="322">
        <v>0</v>
      </c>
      <c r="M819" s="322">
        <v>0</v>
      </c>
      <c r="N819" s="322">
        <v>0</v>
      </c>
    </row>
    <row r="820" spans="1:14" x14ac:dyDescent="0.3">
      <c r="A820">
        <f>EPD!A535</f>
        <v>0</v>
      </c>
      <c r="F820">
        <v>0</v>
      </c>
      <c r="G820">
        <v>0</v>
      </c>
      <c r="H820">
        <v>0</v>
      </c>
      <c r="I820">
        <v>0</v>
      </c>
      <c r="K820">
        <v>0</v>
      </c>
      <c r="L820" s="322">
        <v>0</v>
      </c>
      <c r="M820" s="322">
        <v>0</v>
      </c>
      <c r="N820" s="322">
        <v>0</v>
      </c>
    </row>
    <row r="821" spans="1:14" x14ac:dyDescent="0.3">
      <c r="A821">
        <f>EPD!A536</f>
        <v>0</v>
      </c>
      <c r="F821">
        <v>0</v>
      </c>
      <c r="G821">
        <v>0</v>
      </c>
      <c r="H821">
        <v>0</v>
      </c>
      <c r="I821">
        <v>0</v>
      </c>
      <c r="K821">
        <v>0</v>
      </c>
      <c r="L821" s="322">
        <v>0</v>
      </c>
      <c r="M821" s="322">
        <v>0</v>
      </c>
      <c r="N821" s="322">
        <v>0</v>
      </c>
    </row>
    <row r="822" spans="1:14" x14ac:dyDescent="0.3">
      <c r="A822">
        <f>EPD!A537</f>
        <v>0</v>
      </c>
      <c r="F822">
        <v>0</v>
      </c>
      <c r="G822">
        <v>0</v>
      </c>
      <c r="H822">
        <v>0</v>
      </c>
      <c r="I822">
        <v>0</v>
      </c>
      <c r="K822">
        <v>0</v>
      </c>
      <c r="L822" s="322">
        <v>0</v>
      </c>
      <c r="M822" s="322">
        <v>0</v>
      </c>
      <c r="N822" s="322">
        <v>0</v>
      </c>
    </row>
    <row r="823" spans="1:14" x14ac:dyDescent="0.3">
      <c r="A823">
        <f>EPD!A538</f>
        <v>0</v>
      </c>
      <c r="F823">
        <v>0</v>
      </c>
      <c r="G823">
        <v>0</v>
      </c>
      <c r="H823">
        <v>0</v>
      </c>
      <c r="I823">
        <v>0</v>
      </c>
      <c r="K823">
        <v>0</v>
      </c>
      <c r="L823" s="322">
        <v>0</v>
      </c>
      <c r="M823" s="322">
        <v>0</v>
      </c>
      <c r="N823" s="322">
        <v>0</v>
      </c>
    </row>
    <row r="824" spans="1:14" x14ac:dyDescent="0.3">
      <c r="A824">
        <f>EPD!A539</f>
        <v>0</v>
      </c>
      <c r="F824">
        <v>0</v>
      </c>
      <c r="G824">
        <v>0</v>
      </c>
      <c r="H824">
        <v>0</v>
      </c>
      <c r="I824">
        <v>0</v>
      </c>
      <c r="K824">
        <v>0</v>
      </c>
      <c r="L824" s="322">
        <v>0</v>
      </c>
      <c r="M824" s="322">
        <v>0</v>
      </c>
      <c r="N824" s="322">
        <v>0</v>
      </c>
    </row>
    <row r="825" spans="1:14" x14ac:dyDescent="0.3">
      <c r="A825">
        <f>EPD!A540</f>
        <v>0</v>
      </c>
      <c r="F825">
        <v>0</v>
      </c>
      <c r="G825">
        <v>0</v>
      </c>
      <c r="H825">
        <v>0</v>
      </c>
      <c r="I825">
        <v>0</v>
      </c>
      <c r="K825">
        <v>0</v>
      </c>
      <c r="L825" s="322">
        <v>0</v>
      </c>
      <c r="M825" s="322">
        <v>0</v>
      </c>
      <c r="N825" s="322">
        <v>0</v>
      </c>
    </row>
    <row r="826" spans="1:14" x14ac:dyDescent="0.3">
      <c r="A826">
        <f>EPD!A541</f>
        <v>0</v>
      </c>
      <c r="F826">
        <v>0</v>
      </c>
      <c r="G826">
        <v>0</v>
      </c>
      <c r="H826">
        <v>0</v>
      </c>
      <c r="I826">
        <v>0</v>
      </c>
      <c r="K826">
        <v>0</v>
      </c>
      <c r="L826" s="322">
        <v>0</v>
      </c>
      <c r="M826" s="322">
        <v>0</v>
      </c>
      <c r="N826" s="322">
        <v>0</v>
      </c>
    </row>
    <row r="827" spans="1:14" x14ac:dyDescent="0.3">
      <c r="A827">
        <f>EPD!A542</f>
        <v>0</v>
      </c>
      <c r="F827">
        <v>0</v>
      </c>
      <c r="G827">
        <v>0</v>
      </c>
      <c r="H827">
        <v>0</v>
      </c>
      <c r="I827">
        <v>0</v>
      </c>
      <c r="K827">
        <v>0</v>
      </c>
      <c r="L827" s="322">
        <v>0</v>
      </c>
      <c r="M827" s="322">
        <v>0</v>
      </c>
      <c r="N827" s="322">
        <v>0</v>
      </c>
    </row>
    <row r="828" spans="1:14" x14ac:dyDescent="0.3">
      <c r="A828">
        <f>EPD!A543</f>
        <v>0</v>
      </c>
      <c r="F828">
        <v>0</v>
      </c>
      <c r="G828">
        <v>0</v>
      </c>
      <c r="H828">
        <v>0</v>
      </c>
      <c r="I828">
        <v>0</v>
      </c>
      <c r="K828">
        <v>0</v>
      </c>
      <c r="L828" s="322">
        <v>0</v>
      </c>
      <c r="M828" s="322">
        <v>0</v>
      </c>
      <c r="N828" s="322">
        <v>0</v>
      </c>
    </row>
    <row r="829" spans="1:14" x14ac:dyDescent="0.3">
      <c r="A829">
        <f>EPD!A544</f>
        <v>0</v>
      </c>
      <c r="F829">
        <v>0</v>
      </c>
      <c r="G829">
        <v>0</v>
      </c>
      <c r="H829">
        <v>0</v>
      </c>
      <c r="I829">
        <v>0</v>
      </c>
      <c r="K829">
        <v>0</v>
      </c>
      <c r="L829" s="322">
        <v>0</v>
      </c>
      <c r="M829" s="322">
        <v>0</v>
      </c>
      <c r="N829" s="322">
        <v>0</v>
      </c>
    </row>
    <row r="830" spans="1:14" x14ac:dyDescent="0.3">
      <c r="A830">
        <f>EPD!A545</f>
        <v>0</v>
      </c>
      <c r="F830">
        <v>0</v>
      </c>
      <c r="G830">
        <v>0</v>
      </c>
      <c r="H830">
        <v>0</v>
      </c>
      <c r="I830">
        <v>0</v>
      </c>
      <c r="K830">
        <v>0</v>
      </c>
      <c r="L830" s="322">
        <v>0</v>
      </c>
      <c r="M830" s="322">
        <v>0</v>
      </c>
      <c r="N830" s="322">
        <v>0</v>
      </c>
    </row>
    <row r="831" spans="1:14" x14ac:dyDescent="0.3">
      <c r="A831">
        <f>EPD!A546</f>
        <v>0</v>
      </c>
      <c r="F831">
        <v>0</v>
      </c>
      <c r="G831">
        <v>0</v>
      </c>
      <c r="H831">
        <v>0</v>
      </c>
      <c r="I831">
        <v>0</v>
      </c>
      <c r="K831">
        <v>0</v>
      </c>
      <c r="L831" s="322">
        <v>0</v>
      </c>
      <c r="M831" s="322">
        <v>0</v>
      </c>
      <c r="N831" s="322">
        <v>0</v>
      </c>
    </row>
    <row r="832" spans="1:14" x14ac:dyDescent="0.3">
      <c r="A832">
        <f>EPD!A547</f>
        <v>0</v>
      </c>
      <c r="F832">
        <v>0</v>
      </c>
      <c r="G832">
        <v>0</v>
      </c>
      <c r="H832">
        <v>0</v>
      </c>
      <c r="I832">
        <v>0</v>
      </c>
      <c r="K832">
        <v>0</v>
      </c>
      <c r="L832" s="322">
        <v>0</v>
      </c>
      <c r="M832" s="322">
        <v>0</v>
      </c>
      <c r="N832" s="322">
        <v>0</v>
      </c>
    </row>
    <row r="833" spans="1:14" x14ac:dyDescent="0.3">
      <c r="A833">
        <f>EPD!A548</f>
        <v>0</v>
      </c>
      <c r="F833">
        <v>0</v>
      </c>
      <c r="G833">
        <v>0</v>
      </c>
      <c r="H833">
        <v>0</v>
      </c>
      <c r="I833">
        <v>0</v>
      </c>
      <c r="K833">
        <v>0</v>
      </c>
      <c r="L833" s="322">
        <v>0</v>
      </c>
      <c r="M833" s="322">
        <v>0</v>
      </c>
      <c r="N833" s="322">
        <v>0</v>
      </c>
    </row>
    <row r="834" spans="1:14" x14ac:dyDescent="0.3">
      <c r="A834">
        <f>EPD!A549</f>
        <v>0</v>
      </c>
      <c r="F834">
        <v>0</v>
      </c>
      <c r="G834">
        <v>0</v>
      </c>
      <c r="H834">
        <v>0</v>
      </c>
      <c r="I834">
        <v>0</v>
      </c>
      <c r="K834">
        <v>0</v>
      </c>
      <c r="L834" s="322">
        <v>0</v>
      </c>
      <c r="M834" s="322">
        <v>0</v>
      </c>
      <c r="N834" s="322">
        <v>0</v>
      </c>
    </row>
    <row r="835" spans="1:14" x14ac:dyDescent="0.3">
      <c r="A835">
        <f>EPD!A550</f>
        <v>0</v>
      </c>
      <c r="F835">
        <v>0</v>
      </c>
      <c r="G835">
        <v>0</v>
      </c>
      <c r="H835">
        <v>0</v>
      </c>
      <c r="I835">
        <v>0</v>
      </c>
      <c r="K835">
        <v>0</v>
      </c>
      <c r="L835" s="322">
        <v>0</v>
      </c>
      <c r="M835" s="322">
        <v>0</v>
      </c>
      <c r="N835" s="322">
        <v>0</v>
      </c>
    </row>
    <row r="836" spans="1:14" x14ac:dyDescent="0.3">
      <c r="A836">
        <f>EPD!A551</f>
        <v>0</v>
      </c>
      <c r="F836">
        <v>0</v>
      </c>
      <c r="G836">
        <v>0</v>
      </c>
      <c r="H836">
        <v>0</v>
      </c>
      <c r="I836">
        <v>0</v>
      </c>
      <c r="K836">
        <v>0</v>
      </c>
      <c r="L836" s="322">
        <v>0</v>
      </c>
      <c r="M836" s="322">
        <v>0</v>
      </c>
      <c r="N836" s="322">
        <v>0</v>
      </c>
    </row>
    <row r="837" spans="1:14" x14ac:dyDescent="0.3">
      <c r="A837">
        <f>EPD!A552</f>
        <v>0</v>
      </c>
      <c r="F837">
        <v>0</v>
      </c>
      <c r="G837">
        <v>0</v>
      </c>
      <c r="H837">
        <v>0</v>
      </c>
      <c r="I837">
        <v>0</v>
      </c>
      <c r="K837">
        <v>0</v>
      </c>
      <c r="L837" s="322">
        <v>0</v>
      </c>
      <c r="M837" s="322">
        <v>0</v>
      </c>
      <c r="N837" s="322">
        <v>0</v>
      </c>
    </row>
    <row r="838" spans="1:14" x14ac:dyDescent="0.3">
      <c r="A838">
        <f>EPD!A553</f>
        <v>0</v>
      </c>
      <c r="F838">
        <v>0</v>
      </c>
      <c r="G838">
        <v>0</v>
      </c>
      <c r="H838">
        <v>0</v>
      </c>
      <c r="I838">
        <v>0</v>
      </c>
      <c r="K838">
        <v>0</v>
      </c>
      <c r="L838" s="322">
        <v>0</v>
      </c>
      <c r="M838" s="322">
        <v>0</v>
      </c>
      <c r="N838" s="322">
        <v>0</v>
      </c>
    </row>
    <row r="839" spans="1:14" x14ac:dyDescent="0.3">
      <c r="A839">
        <f>EPD!A554</f>
        <v>0</v>
      </c>
      <c r="F839">
        <v>0</v>
      </c>
      <c r="G839">
        <v>0</v>
      </c>
      <c r="H839">
        <v>0</v>
      </c>
      <c r="I839">
        <v>0</v>
      </c>
      <c r="K839">
        <v>0</v>
      </c>
      <c r="L839" s="322">
        <v>0</v>
      </c>
      <c r="M839" s="322">
        <v>0</v>
      </c>
      <c r="N839" s="322">
        <v>0</v>
      </c>
    </row>
    <row r="840" spans="1:14" x14ac:dyDescent="0.3">
      <c r="A840">
        <f>EPD!A555</f>
        <v>0</v>
      </c>
      <c r="F840">
        <v>0</v>
      </c>
      <c r="G840">
        <v>0</v>
      </c>
      <c r="H840">
        <v>0</v>
      </c>
      <c r="I840">
        <v>0</v>
      </c>
      <c r="K840">
        <v>0</v>
      </c>
      <c r="L840" s="322">
        <v>0</v>
      </c>
      <c r="M840" s="322">
        <v>0</v>
      </c>
      <c r="N840" s="322">
        <v>0</v>
      </c>
    </row>
    <row r="841" spans="1:14" x14ac:dyDescent="0.3">
      <c r="A841">
        <f>EPD!A556</f>
        <v>0</v>
      </c>
      <c r="F841">
        <v>0</v>
      </c>
      <c r="G841">
        <v>0</v>
      </c>
      <c r="H841">
        <v>0</v>
      </c>
      <c r="I841">
        <v>0</v>
      </c>
      <c r="K841">
        <v>0</v>
      </c>
      <c r="L841" s="322">
        <v>0</v>
      </c>
      <c r="M841" s="322">
        <v>0</v>
      </c>
      <c r="N841" s="322">
        <v>0</v>
      </c>
    </row>
    <row r="842" spans="1:14" x14ac:dyDescent="0.3">
      <c r="A842">
        <f>EPD!A557</f>
        <v>0</v>
      </c>
      <c r="F842">
        <v>0</v>
      </c>
      <c r="G842">
        <v>0</v>
      </c>
      <c r="H842">
        <v>0</v>
      </c>
      <c r="I842">
        <v>0</v>
      </c>
      <c r="K842">
        <v>0</v>
      </c>
      <c r="L842" s="322">
        <v>0</v>
      </c>
      <c r="M842" s="322">
        <v>0</v>
      </c>
      <c r="N842" s="322">
        <v>0</v>
      </c>
    </row>
    <row r="843" spans="1:14" x14ac:dyDescent="0.3">
      <c r="A843">
        <f>EPD!A558</f>
        <v>0</v>
      </c>
      <c r="F843">
        <v>0</v>
      </c>
      <c r="G843">
        <v>0</v>
      </c>
      <c r="H843">
        <v>0</v>
      </c>
      <c r="I843">
        <v>0</v>
      </c>
      <c r="K843">
        <v>0</v>
      </c>
      <c r="L843" s="322">
        <v>0</v>
      </c>
      <c r="M843" s="322">
        <v>0</v>
      </c>
      <c r="N843" s="322">
        <v>0</v>
      </c>
    </row>
    <row r="844" spans="1:14" x14ac:dyDescent="0.3">
      <c r="A844">
        <f>EPD!A559</f>
        <v>0</v>
      </c>
      <c r="F844">
        <v>0</v>
      </c>
      <c r="G844">
        <v>0</v>
      </c>
      <c r="H844">
        <v>0</v>
      </c>
      <c r="I844">
        <v>0</v>
      </c>
      <c r="K844">
        <v>0</v>
      </c>
      <c r="L844" s="322">
        <v>0</v>
      </c>
      <c r="M844" s="322">
        <v>0</v>
      </c>
      <c r="N844" s="322">
        <v>0</v>
      </c>
    </row>
    <row r="845" spans="1:14" x14ac:dyDescent="0.3">
      <c r="A845">
        <f>EPD!A560</f>
        <v>0</v>
      </c>
      <c r="F845">
        <v>0</v>
      </c>
      <c r="G845">
        <v>0</v>
      </c>
      <c r="H845">
        <v>0</v>
      </c>
      <c r="I845">
        <v>0</v>
      </c>
      <c r="K845">
        <v>0</v>
      </c>
      <c r="L845" s="322">
        <v>0</v>
      </c>
      <c r="M845" s="322">
        <v>0</v>
      </c>
      <c r="N845" s="322">
        <v>0</v>
      </c>
    </row>
    <row r="846" spans="1:14" x14ac:dyDescent="0.3">
      <c r="A846">
        <f>EPD!A561</f>
        <v>0</v>
      </c>
      <c r="F846">
        <v>0</v>
      </c>
      <c r="G846">
        <v>0</v>
      </c>
      <c r="H846">
        <v>0</v>
      </c>
      <c r="I846">
        <v>0</v>
      </c>
      <c r="K846">
        <v>0</v>
      </c>
      <c r="L846" s="322">
        <v>0</v>
      </c>
      <c r="M846" s="322">
        <v>0</v>
      </c>
      <c r="N846" s="322">
        <v>0</v>
      </c>
    </row>
    <row r="847" spans="1:14" x14ac:dyDescent="0.3">
      <c r="A847">
        <f>EPD!A562</f>
        <v>0</v>
      </c>
      <c r="F847">
        <v>0</v>
      </c>
      <c r="G847">
        <v>0</v>
      </c>
      <c r="H847">
        <v>0</v>
      </c>
      <c r="I847">
        <v>0</v>
      </c>
      <c r="K847">
        <v>0</v>
      </c>
      <c r="L847" s="322">
        <v>0</v>
      </c>
      <c r="M847" s="322">
        <v>0</v>
      </c>
      <c r="N847" s="322">
        <v>0</v>
      </c>
    </row>
    <row r="848" spans="1:14" x14ac:dyDescent="0.3">
      <c r="A848">
        <f>EPD!A563</f>
        <v>0</v>
      </c>
      <c r="F848">
        <v>0</v>
      </c>
      <c r="G848">
        <v>0</v>
      </c>
      <c r="H848">
        <v>0</v>
      </c>
      <c r="I848">
        <v>0</v>
      </c>
      <c r="K848">
        <v>0</v>
      </c>
      <c r="L848" s="322">
        <v>0</v>
      </c>
      <c r="M848" s="322">
        <v>0</v>
      </c>
      <c r="N848" s="322">
        <v>0</v>
      </c>
    </row>
    <row r="849" spans="1:14" x14ac:dyDescent="0.3">
      <c r="A849">
        <f>EPD!A564</f>
        <v>0</v>
      </c>
      <c r="F849">
        <v>0</v>
      </c>
      <c r="G849">
        <v>0</v>
      </c>
      <c r="H849">
        <v>0</v>
      </c>
      <c r="I849">
        <v>0</v>
      </c>
      <c r="K849">
        <v>0</v>
      </c>
      <c r="L849" s="322">
        <v>0</v>
      </c>
      <c r="M849" s="322">
        <v>0</v>
      </c>
      <c r="N849" s="322">
        <v>0</v>
      </c>
    </row>
    <row r="850" spans="1:14" x14ac:dyDescent="0.3">
      <c r="A850">
        <f>EPD!A565</f>
        <v>0</v>
      </c>
      <c r="F850">
        <v>0</v>
      </c>
      <c r="G850">
        <v>0</v>
      </c>
      <c r="H850">
        <v>0</v>
      </c>
      <c r="I850">
        <v>0</v>
      </c>
      <c r="K850">
        <v>0</v>
      </c>
      <c r="L850" s="322">
        <v>0</v>
      </c>
      <c r="M850" s="322">
        <v>0</v>
      </c>
      <c r="N850" s="322">
        <v>0</v>
      </c>
    </row>
    <row r="851" spans="1:14" x14ac:dyDescent="0.3">
      <c r="A851">
        <f>EPD!A566</f>
        <v>0</v>
      </c>
      <c r="F851">
        <v>0</v>
      </c>
      <c r="G851">
        <v>0</v>
      </c>
      <c r="H851">
        <v>0</v>
      </c>
      <c r="I851">
        <v>0</v>
      </c>
      <c r="K851">
        <v>0</v>
      </c>
      <c r="L851" s="322">
        <v>0</v>
      </c>
      <c r="M851" s="322">
        <v>0</v>
      </c>
      <c r="N851" s="322">
        <v>0</v>
      </c>
    </row>
    <row r="852" spans="1:14" x14ac:dyDescent="0.3">
      <c r="A852">
        <f>EPD!A567</f>
        <v>0</v>
      </c>
      <c r="F852">
        <v>0</v>
      </c>
      <c r="G852">
        <v>0</v>
      </c>
      <c r="H852">
        <v>0</v>
      </c>
      <c r="I852">
        <v>0</v>
      </c>
      <c r="K852">
        <v>0</v>
      </c>
      <c r="L852" s="322">
        <v>0</v>
      </c>
      <c r="M852" s="322">
        <v>0</v>
      </c>
      <c r="N852" s="322">
        <v>0</v>
      </c>
    </row>
    <row r="853" spans="1:14" x14ac:dyDescent="0.3">
      <c r="A853">
        <f>EPD!A568</f>
        <v>0</v>
      </c>
      <c r="F853">
        <v>0</v>
      </c>
      <c r="G853">
        <v>0</v>
      </c>
      <c r="H853">
        <v>0</v>
      </c>
      <c r="I853">
        <v>0</v>
      </c>
      <c r="K853">
        <v>0</v>
      </c>
      <c r="L853" s="322">
        <v>0</v>
      </c>
      <c r="M853" s="322">
        <v>0</v>
      </c>
      <c r="N853" s="322">
        <v>0</v>
      </c>
    </row>
    <row r="854" spans="1:14" x14ac:dyDescent="0.3">
      <c r="A854">
        <f>EPD!A569</f>
        <v>0</v>
      </c>
      <c r="F854">
        <v>0</v>
      </c>
      <c r="G854">
        <v>0</v>
      </c>
      <c r="H854">
        <v>0</v>
      </c>
      <c r="I854">
        <v>0</v>
      </c>
      <c r="K854">
        <v>0</v>
      </c>
      <c r="L854" s="322">
        <v>0</v>
      </c>
      <c r="M854" s="322">
        <v>0</v>
      </c>
      <c r="N854" s="322">
        <v>0</v>
      </c>
    </row>
    <row r="855" spans="1:14" x14ac:dyDescent="0.3">
      <c r="A855">
        <f>EPD!A570</f>
        <v>0</v>
      </c>
      <c r="F855">
        <v>0</v>
      </c>
      <c r="G855">
        <v>0</v>
      </c>
      <c r="H855">
        <v>0</v>
      </c>
      <c r="I855">
        <v>0</v>
      </c>
      <c r="K855">
        <v>0</v>
      </c>
      <c r="L855" s="322">
        <v>0</v>
      </c>
      <c r="M855" s="322">
        <v>0</v>
      </c>
      <c r="N855" s="322">
        <v>0</v>
      </c>
    </row>
    <row r="856" spans="1:14" x14ac:dyDescent="0.3">
      <c r="A856">
        <f>EPD!A571</f>
        <v>0</v>
      </c>
      <c r="F856">
        <v>0</v>
      </c>
      <c r="G856">
        <v>0</v>
      </c>
      <c r="H856">
        <v>0</v>
      </c>
      <c r="I856">
        <v>0</v>
      </c>
      <c r="K856">
        <v>0</v>
      </c>
      <c r="L856" s="322">
        <v>0</v>
      </c>
      <c r="M856" s="322">
        <v>0</v>
      </c>
      <c r="N856" s="322">
        <v>0</v>
      </c>
    </row>
    <row r="857" spans="1:14" x14ac:dyDescent="0.3">
      <c r="A857">
        <f>EPD!A572</f>
        <v>0</v>
      </c>
      <c r="F857">
        <v>0</v>
      </c>
      <c r="G857">
        <v>0</v>
      </c>
      <c r="H857">
        <v>0</v>
      </c>
      <c r="I857">
        <v>0</v>
      </c>
      <c r="K857">
        <v>0</v>
      </c>
      <c r="L857" s="322">
        <v>0</v>
      </c>
      <c r="M857" s="322">
        <v>0</v>
      </c>
      <c r="N857" s="322">
        <v>0</v>
      </c>
    </row>
    <row r="858" spans="1:14" x14ac:dyDescent="0.3">
      <c r="A858">
        <f>EPD!A573</f>
        <v>0</v>
      </c>
      <c r="F858">
        <v>0</v>
      </c>
      <c r="G858">
        <v>0</v>
      </c>
      <c r="H858">
        <v>0</v>
      </c>
      <c r="I858">
        <v>0</v>
      </c>
      <c r="K858">
        <v>0</v>
      </c>
      <c r="L858" s="322">
        <v>0</v>
      </c>
      <c r="M858" s="322">
        <v>0</v>
      </c>
      <c r="N858" s="322">
        <v>0</v>
      </c>
    </row>
    <row r="859" spans="1:14" x14ac:dyDescent="0.3">
      <c r="A859">
        <f>EPD!A574</f>
        <v>0</v>
      </c>
      <c r="F859">
        <v>0</v>
      </c>
      <c r="G859">
        <v>0</v>
      </c>
      <c r="H859">
        <v>0</v>
      </c>
      <c r="I859">
        <v>0</v>
      </c>
      <c r="K859">
        <v>0</v>
      </c>
      <c r="L859" s="322">
        <v>0</v>
      </c>
      <c r="M859" s="322">
        <v>0</v>
      </c>
      <c r="N859" s="322">
        <v>0</v>
      </c>
    </row>
    <row r="860" spans="1:14" x14ac:dyDescent="0.3">
      <c r="A860">
        <f>EPD!A575</f>
        <v>0</v>
      </c>
      <c r="F860">
        <v>0</v>
      </c>
      <c r="G860">
        <v>0</v>
      </c>
      <c r="H860">
        <v>0</v>
      </c>
      <c r="I860">
        <v>0</v>
      </c>
      <c r="K860">
        <v>0</v>
      </c>
      <c r="L860" s="322">
        <v>0</v>
      </c>
      <c r="M860" s="322">
        <v>0</v>
      </c>
      <c r="N860" s="322">
        <v>0</v>
      </c>
    </row>
    <row r="861" spans="1:14" x14ac:dyDescent="0.3">
      <c r="A861">
        <f>EPD!A576</f>
        <v>0</v>
      </c>
      <c r="F861">
        <v>0</v>
      </c>
      <c r="G861">
        <v>0</v>
      </c>
      <c r="H861">
        <v>0</v>
      </c>
      <c r="I861">
        <v>0</v>
      </c>
      <c r="K861">
        <v>0</v>
      </c>
      <c r="L861" s="322">
        <v>0</v>
      </c>
      <c r="M861" s="322">
        <v>0</v>
      </c>
      <c r="N861" s="322">
        <v>0</v>
      </c>
    </row>
    <row r="862" spans="1:14" x14ac:dyDescent="0.3">
      <c r="A862">
        <f>EPD!A577</f>
        <v>0</v>
      </c>
      <c r="F862">
        <v>0</v>
      </c>
      <c r="G862">
        <v>0</v>
      </c>
      <c r="H862">
        <v>0</v>
      </c>
      <c r="I862">
        <v>0</v>
      </c>
      <c r="K862">
        <v>0</v>
      </c>
      <c r="L862" s="322">
        <v>0</v>
      </c>
      <c r="M862" s="322">
        <v>0</v>
      </c>
      <c r="N862" s="322">
        <v>0</v>
      </c>
    </row>
    <row r="863" spans="1:14" x14ac:dyDescent="0.3">
      <c r="A863">
        <f>EPD!A578</f>
        <v>0</v>
      </c>
      <c r="F863">
        <v>0</v>
      </c>
      <c r="G863">
        <v>0</v>
      </c>
      <c r="H863">
        <v>0</v>
      </c>
      <c r="I863">
        <v>0</v>
      </c>
      <c r="K863">
        <v>0</v>
      </c>
      <c r="L863" s="322">
        <v>0</v>
      </c>
      <c r="M863" s="322">
        <v>0</v>
      </c>
      <c r="N863" s="322">
        <v>0</v>
      </c>
    </row>
    <row r="864" spans="1:14" x14ac:dyDescent="0.3">
      <c r="A864">
        <f>EPD!A579</f>
        <v>0</v>
      </c>
      <c r="F864">
        <v>0</v>
      </c>
      <c r="G864">
        <v>0</v>
      </c>
      <c r="H864">
        <v>0</v>
      </c>
      <c r="I864">
        <v>0</v>
      </c>
      <c r="K864">
        <v>0</v>
      </c>
      <c r="L864" s="322">
        <v>0</v>
      </c>
      <c r="M864" s="322">
        <v>0</v>
      </c>
      <c r="N864" s="322">
        <v>0</v>
      </c>
    </row>
    <row r="865" spans="1:14" x14ac:dyDescent="0.3">
      <c r="A865">
        <f>EPD!A580</f>
        <v>0</v>
      </c>
      <c r="F865">
        <v>0</v>
      </c>
      <c r="G865">
        <v>0</v>
      </c>
      <c r="H865">
        <v>0</v>
      </c>
      <c r="I865">
        <v>0</v>
      </c>
      <c r="K865">
        <v>0</v>
      </c>
      <c r="L865" s="322">
        <v>0</v>
      </c>
      <c r="M865" s="322">
        <v>0</v>
      </c>
      <c r="N865" s="322">
        <v>0</v>
      </c>
    </row>
    <row r="866" spans="1:14" x14ac:dyDescent="0.3">
      <c r="A866">
        <f>EPD!A581</f>
        <v>0</v>
      </c>
      <c r="F866">
        <v>0</v>
      </c>
      <c r="G866">
        <v>0</v>
      </c>
      <c r="H866">
        <v>0</v>
      </c>
      <c r="I866">
        <v>0</v>
      </c>
      <c r="K866">
        <v>0</v>
      </c>
      <c r="L866" s="322">
        <v>0</v>
      </c>
      <c r="M866" s="322">
        <v>0</v>
      </c>
      <c r="N866" s="322">
        <v>0</v>
      </c>
    </row>
    <row r="867" spans="1:14" x14ac:dyDescent="0.3">
      <c r="A867">
        <f>EPD!A582</f>
        <v>0</v>
      </c>
      <c r="F867">
        <v>0</v>
      </c>
      <c r="G867">
        <v>0</v>
      </c>
      <c r="H867">
        <v>0</v>
      </c>
      <c r="I867">
        <v>0</v>
      </c>
      <c r="K867">
        <v>0</v>
      </c>
      <c r="L867" s="322">
        <v>0</v>
      </c>
      <c r="M867" s="322">
        <v>0</v>
      </c>
      <c r="N867" s="322">
        <v>0</v>
      </c>
    </row>
    <row r="868" spans="1:14" x14ac:dyDescent="0.3">
      <c r="A868">
        <f>EPD!A583</f>
        <v>0</v>
      </c>
      <c r="F868">
        <v>0</v>
      </c>
      <c r="G868">
        <v>0</v>
      </c>
      <c r="H868">
        <v>0</v>
      </c>
      <c r="I868">
        <v>0</v>
      </c>
      <c r="K868">
        <v>0</v>
      </c>
      <c r="L868" s="322">
        <v>0</v>
      </c>
      <c r="M868" s="322">
        <v>0</v>
      </c>
      <c r="N868" s="322">
        <v>0</v>
      </c>
    </row>
    <row r="869" spans="1:14" x14ac:dyDescent="0.3">
      <c r="A869">
        <f>EPD!A584</f>
        <v>0</v>
      </c>
      <c r="F869">
        <v>0</v>
      </c>
      <c r="G869">
        <v>0</v>
      </c>
      <c r="H869">
        <v>0</v>
      </c>
      <c r="I869">
        <v>0</v>
      </c>
      <c r="K869">
        <v>0</v>
      </c>
      <c r="L869" s="322">
        <v>0</v>
      </c>
      <c r="M869" s="322">
        <v>0</v>
      </c>
      <c r="N869" s="322">
        <v>0</v>
      </c>
    </row>
    <row r="870" spans="1:14" x14ac:dyDescent="0.3">
      <c r="A870">
        <f>EPD!A585</f>
        <v>0</v>
      </c>
      <c r="F870">
        <v>0</v>
      </c>
      <c r="G870">
        <v>0</v>
      </c>
      <c r="H870">
        <v>0</v>
      </c>
      <c r="I870">
        <v>0</v>
      </c>
      <c r="K870">
        <v>0</v>
      </c>
      <c r="L870" s="322">
        <v>0</v>
      </c>
      <c r="M870" s="322">
        <v>0</v>
      </c>
      <c r="N870" s="322">
        <v>0</v>
      </c>
    </row>
    <row r="871" spans="1:14" x14ac:dyDescent="0.3">
      <c r="A871">
        <f>EPD!A586</f>
        <v>0</v>
      </c>
      <c r="F871">
        <v>0</v>
      </c>
      <c r="G871">
        <v>0</v>
      </c>
      <c r="H871">
        <v>0</v>
      </c>
      <c r="I871">
        <v>0</v>
      </c>
      <c r="K871">
        <v>0</v>
      </c>
      <c r="L871" s="322">
        <v>0</v>
      </c>
      <c r="M871" s="322">
        <v>0</v>
      </c>
      <c r="N871" s="322">
        <v>0</v>
      </c>
    </row>
    <row r="872" spans="1:14" x14ac:dyDescent="0.3">
      <c r="A872">
        <f>EPD!A587</f>
        <v>0</v>
      </c>
      <c r="F872">
        <v>0</v>
      </c>
      <c r="G872">
        <v>0</v>
      </c>
      <c r="H872">
        <v>0</v>
      </c>
      <c r="I872">
        <v>0</v>
      </c>
      <c r="K872">
        <v>0</v>
      </c>
      <c r="L872" s="322">
        <v>0</v>
      </c>
      <c r="M872" s="322">
        <v>0</v>
      </c>
      <c r="N872" s="322">
        <v>0</v>
      </c>
    </row>
    <row r="873" spans="1:14" x14ac:dyDescent="0.3">
      <c r="A873">
        <f>EPD!A588</f>
        <v>0</v>
      </c>
      <c r="F873">
        <v>0</v>
      </c>
      <c r="G873">
        <v>0</v>
      </c>
      <c r="H873">
        <v>0</v>
      </c>
      <c r="I873">
        <v>0</v>
      </c>
      <c r="K873">
        <v>0</v>
      </c>
      <c r="L873" s="322">
        <v>0</v>
      </c>
      <c r="M873" s="322">
        <v>0</v>
      </c>
      <c r="N873" s="322">
        <v>0</v>
      </c>
    </row>
    <row r="874" spans="1:14" x14ac:dyDescent="0.3">
      <c r="A874">
        <f>EPD!A589</f>
        <v>0</v>
      </c>
      <c r="F874">
        <v>0</v>
      </c>
      <c r="G874">
        <v>0</v>
      </c>
      <c r="H874">
        <v>0</v>
      </c>
      <c r="I874">
        <v>0</v>
      </c>
      <c r="K874">
        <v>0</v>
      </c>
      <c r="L874" s="322">
        <v>0</v>
      </c>
      <c r="M874" s="322">
        <v>0</v>
      </c>
      <c r="N874" s="322">
        <v>0</v>
      </c>
    </row>
    <row r="875" spans="1:14" x14ac:dyDescent="0.3">
      <c r="A875">
        <f>EPD!A590</f>
        <v>0</v>
      </c>
      <c r="F875">
        <v>0</v>
      </c>
      <c r="G875">
        <v>0</v>
      </c>
      <c r="H875">
        <v>0</v>
      </c>
      <c r="I875">
        <v>0</v>
      </c>
      <c r="K875">
        <v>0</v>
      </c>
      <c r="L875" s="322">
        <v>0</v>
      </c>
      <c r="M875" s="322">
        <v>0</v>
      </c>
      <c r="N875" s="322">
        <v>0</v>
      </c>
    </row>
    <row r="876" spans="1:14" x14ac:dyDescent="0.3">
      <c r="A876">
        <f>EPD!A591</f>
        <v>0</v>
      </c>
      <c r="F876">
        <v>0</v>
      </c>
      <c r="G876">
        <v>0</v>
      </c>
      <c r="H876">
        <v>0</v>
      </c>
      <c r="I876">
        <v>0</v>
      </c>
      <c r="K876">
        <v>0</v>
      </c>
      <c r="L876" s="322">
        <v>0</v>
      </c>
      <c r="M876" s="322">
        <v>0</v>
      </c>
      <c r="N876" s="322">
        <v>0</v>
      </c>
    </row>
    <row r="877" spans="1:14" x14ac:dyDescent="0.3">
      <c r="A877">
        <f>EPD!A592</f>
        <v>0</v>
      </c>
      <c r="F877">
        <v>0</v>
      </c>
      <c r="G877">
        <v>0</v>
      </c>
      <c r="H877">
        <v>0</v>
      </c>
      <c r="I877">
        <v>0</v>
      </c>
      <c r="K877">
        <v>0</v>
      </c>
      <c r="L877" s="322">
        <v>0</v>
      </c>
      <c r="M877" s="322">
        <v>0</v>
      </c>
      <c r="N877" s="322">
        <v>0</v>
      </c>
    </row>
    <row r="878" spans="1:14" x14ac:dyDescent="0.3">
      <c r="A878">
        <f>EPD!A593</f>
        <v>0</v>
      </c>
      <c r="F878">
        <v>0</v>
      </c>
      <c r="G878">
        <v>0</v>
      </c>
      <c r="H878">
        <v>0</v>
      </c>
      <c r="I878">
        <v>0</v>
      </c>
      <c r="K878">
        <v>0</v>
      </c>
      <c r="L878" s="322">
        <v>0</v>
      </c>
      <c r="M878" s="322">
        <v>0</v>
      </c>
      <c r="N878" s="322">
        <v>0</v>
      </c>
    </row>
    <row r="879" spans="1:14" x14ac:dyDescent="0.3">
      <c r="A879">
        <f>EPD!A594</f>
        <v>0</v>
      </c>
      <c r="F879">
        <v>0</v>
      </c>
      <c r="G879">
        <v>0</v>
      </c>
      <c r="H879">
        <v>0</v>
      </c>
      <c r="I879">
        <v>0</v>
      </c>
      <c r="K879">
        <v>0</v>
      </c>
      <c r="L879" s="322">
        <v>0</v>
      </c>
      <c r="M879" s="322">
        <v>0</v>
      </c>
      <c r="N879" s="322">
        <v>0</v>
      </c>
    </row>
    <row r="880" spans="1:14" x14ac:dyDescent="0.3">
      <c r="A880">
        <f>EPD!A595</f>
        <v>0</v>
      </c>
      <c r="F880">
        <v>0</v>
      </c>
      <c r="G880">
        <v>0</v>
      </c>
      <c r="H880">
        <v>0</v>
      </c>
      <c r="I880">
        <v>0</v>
      </c>
      <c r="K880">
        <v>0</v>
      </c>
      <c r="L880" s="322">
        <v>0</v>
      </c>
      <c r="M880" s="322">
        <v>0</v>
      </c>
      <c r="N880" s="322">
        <v>0</v>
      </c>
    </row>
    <row r="881" spans="1:14" x14ac:dyDescent="0.3">
      <c r="A881">
        <f>EPD!A596</f>
        <v>0</v>
      </c>
      <c r="F881">
        <v>0</v>
      </c>
      <c r="G881">
        <v>0</v>
      </c>
      <c r="H881">
        <v>0</v>
      </c>
      <c r="I881">
        <v>0</v>
      </c>
      <c r="K881">
        <v>0</v>
      </c>
      <c r="L881" s="322">
        <v>0</v>
      </c>
      <c r="M881" s="322">
        <v>0</v>
      </c>
      <c r="N881" s="322">
        <v>0</v>
      </c>
    </row>
    <row r="882" spans="1:14" x14ac:dyDescent="0.3">
      <c r="A882">
        <f>EPD!A597</f>
        <v>0</v>
      </c>
      <c r="F882">
        <v>0</v>
      </c>
      <c r="G882">
        <v>0</v>
      </c>
      <c r="H882">
        <v>0</v>
      </c>
      <c r="I882">
        <v>0</v>
      </c>
      <c r="K882">
        <v>0</v>
      </c>
      <c r="L882" s="322">
        <v>0</v>
      </c>
      <c r="M882" s="322">
        <v>0</v>
      </c>
      <c r="N882" s="322">
        <v>0</v>
      </c>
    </row>
    <row r="883" spans="1:14" x14ac:dyDescent="0.3">
      <c r="A883">
        <f>EPD!A598</f>
        <v>0</v>
      </c>
      <c r="F883">
        <v>0</v>
      </c>
      <c r="G883">
        <v>0</v>
      </c>
      <c r="H883">
        <v>0</v>
      </c>
      <c r="I883">
        <v>0</v>
      </c>
      <c r="K883">
        <v>0</v>
      </c>
      <c r="L883" s="322">
        <v>0</v>
      </c>
      <c r="M883" s="322">
        <v>0</v>
      </c>
      <c r="N883" s="322">
        <v>0</v>
      </c>
    </row>
    <row r="884" spans="1:14" x14ac:dyDescent="0.3">
      <c r="A884">
        <f>EPD!A599</f>
        <v>0</v>
      </c>
      <c r="F884">
        <v>0</v>
      </c>
      <c r="G884">
        <v>0</v>
      </c>
      <c r="H884">
        <v>0</v>
      </c>
      <c r="I884">
        <v>0</v>
      </c>
      <c r="K884">
        <v>0</v>
      </c>
      <c r="L884" s="322">
        <v>0</v>
      </c>
      <c r="M884" s="322">
        <v>0</v>
      </c>
      <c r="N884" s="322">
        <v>0</v>
      </c>
    </row>
    <row r="885" spans="1:14" x14ac:dyDescent="0.3">
      <c r="A885">
        <f>EPD!A600</f>
        <v>0</v>
      </c>
      <c r="F885">
        <v>0</v>
      </c>
      <c r="G885">
        <v>0</v>
      </c>
      <c r="H885">
        <v>0</v>
      </c>
      <c r="I885">
        <v>0</v>
      </c>
      <c r="K885">
        <v>0</v>
      </c>
      <c r="L885" s="322">
        <v>0</v>
      </c>
      <c r="M885" s="322">
        <v>0</v>
      </c>
      <c r="N885" s="322">
        <v>0</v>
      </c>
    </row>
    <row r="886" spans="1:14" x14ac:dyDescent="0.3">
      <c r="A886">
        <f>EPD!A601</f>
        <v>0</v>
      </c>
      <c r="F886">
        <v>0</v>
      </c>
      <c r="G886">
        <v>0</v>
      </c>
      <c r="H886">
        <v>0</v>
      </c>
      <c r="I886">
        <v>0</v>
      </c>
      <c r="K886">
        <v>0</v>
      </c>
      <c r="L886" s="322">
        <v>0</v>
      </c>
      <c r="M886" s="322">
        <v>0</v>
      </c>
      <c r="N886" s="322">
        <v>0</v>
      </c>
    </row>
    <row r="887" spans="1:14" x14ac:dyDescent="0.3">
      <c r="A887">
        <f>EPD!A602</f>
        <v>0</v>
      </c>
      <c r="F887">
        <v>0</v>
      </c>
      <c r="G887">
        <v>0</v>
      </c>
      <c r="H887">
        <v>0</v>
      </c>
      <c r="I887">
        <v>0</v>
      </c>
      <c r="K887">
        <v>0</v>
      </c>
      <c r="L887" s="322">
        <v>0</v>
      </c>
      <c r="M887" s="322">
        <v>0</v>
      </c>
      <c r="N887" s="322">
        <v>0</v>
      </c>
    </row>
    <row r="888" spans="1:14" x14ac:dyDescent="0.3">
      <c r="A888">
        <f>EPD!A603</f>
        <v>0</v>
      </c>
      <c r="F888">
        <v>0</v>
      </c>
      <c r="G888">
        <v>0</v>
      </c>
      <c r="H888">
        <v>0</v>
      </c>
      <c r="I888">
        <v>0</v>
      </c>
      <c r="K888">
        <v>0</v>
      </c>
      <c r="L888" s="322">
        <v>0</v>
      </c>
      <c r="M888" s="322">
        <v>0</v>
      </c>
      <c r="N888" s="322">
        <v>0</v>
      </c>
    </row>
    <row r="889" spans="1:14" x14ac:dyDescent="0.3">
      <c r="A889">
        <f>EPD!A604</f>
        <v>0</v>
      </c>
      <c r="F889">
        <v>0</v>
      </c>
      <c r="G889">
        <v>0</v>
      </c>
      <c r="H889">
        <v>0</v>
      </c>
      <c r="I889">
        <v>0</v>
      </c>
      <c r="K889">
        <v>0</v>
      </c>
      <c r="L889" s="322">
        <v>0</v>
      </c>
      <c r="M889" s="322">
        <v>0</v>
      </c>
      <c r="N889" s="322">
        <v>0</v>
      </c>
    </row>
    <row r="890" spans="1:14" x14ac:dyDescent="0.3">
      <c r="A890">
        <f>EPD!A605</f>
        <v>0</v>
      </c>
      <c r="F890">
        <v>0</v>
      </c>
      <c r="G890">
        <v>0</v>
      </c>
      <c r="H890">
        <v>0</v>
      </c>
      <c r="I890">
        <v>0</v>
      </c>
      <c r="K890">
        <v>0</v>
      </c>
      <c r="L890" s="322">
        <v>0</v>
      </c>
      <c r="M890" s="322">
        <v>0</v>
      </c>
      <c r="N890" s="322">
        <v>0</v>
      </c>
    </row>
    <row r="891" spans="1:14" x14ac:dyDescent="0.3">
      <c r="A891">
        <f>EPD!A606</f>
        <v>0</v>
      </c>
      <c r="F891">
        <v>0</v>
      </c>
      <c r="G891">
        <v>0</v>
      </c>
      <c r="H891">
        <v>0</v>
      </c>
      <c r="I891">
        <v>0</v>
      </c>
      <c r="K891">
        <v>0</v>
      </c>
      <c r="L891" s="322">
        <v>0</v>
      </c>
      <c r="M891" s="322">
        <v>0</v>
      </c>
      <c r="N891" s="322">
        <v>0</v>
      </c>
    </row>
    <row r="892" spans="1:14" x14ac:dyDescent="0.3">
      <c r="A892">
        <f>EPD!A607</f>
        <v>0</v>
      </c>
      <c r="F892">
        <v>0</v>
      </c>
      <c r="G892">
        <v>0</v>
      </c>
      <c r="H892">
        <v>0</v>
      </c>
      <c r="I892">
        <v>0</v>
      </c>
      <c r="K892">
        <v>0</v>
      </c>
      <c r="L892" s="322">
        <v>0</v>
      </c>
      <c r="M892" s="322">
        <v>0</v>
      </c>
      <c r="N892" s="322">
        <v>0</v>
      </c>
    </row>
    <row r="893" spans="1:14" x14ac:dyDescent="0.3">
      <c r="A893">
        <f>EPD!A608</f>
        <v>0</v>
      </c>
      <c r="F893">
        <v>0</v>
      </c>
      <c r="G893">
        <v>0</v>
      </c>
      <c r="H893">
        <v>0</v>
      </c>
      <c r="I893">
        <v>0</v>
      </c>
      <c r="K893">
        <v>0</v>
      </c>
      <c r="L893" s="322">
        <v>0</v>
      </c>
      <c r="M893" s="322">
        <v>0</v>
      </c>
      <c r="N893" s="322">
        <v>0</v>
      </c>
    </row>
    <row r="894" spans="1:14" x14ac:dyDescent="0.3">
      <c r="A894">
        <f>EPD!A609</f>
        <v>0</v>
      </c>
      <c r="F894">
        <v>0</v>
      </c>
      <c r="G894">
        <v>0</v>
      </c>
      <c r="H894">
        <v>0</v>
      </c>
      <c r="I894">
        <v>0</v>
      </c>
      <c r="K894">
        <v>0</v>
      </c>
      <c r="L894" s="322">
        <v>0</v>
      </c>
      <c r="M894" s="322">
        <v>0</v>
      </c>
      <c r="N894" s="322">
        <v>0</v>
      </c>
    </row>
    <row r="895" spans="1:14" x14ac:dyDescent="0.3">
      <c r="A895">
        <f>EPD!A610</f>
        <v>0</v>
      </c>
      <c r="F895">
        <v>0</v>
      </c>
      <c r="G895">
        <v>0</v>
      </c>
      <c r="H895">
        <v>0</v>
      </c>
      <c r="I895">
        <v>0</v>
      </c>
      <c r="K895">
        <v>0</v>
      </c>
      <c r="L895" s="322">
        <v>0</v>
      </c>
      <c r="M895" s="322">
        <v>0</v>
      </c>
      <c r="N895" s="322">
        <v>0</v>
      </c>
    </row>
    <row r="896" spans="1:14" x14ac:dyDescent="0.3">
      <c r="A896">
        <f>EPD!A611</f>
        <v>0</v>
      </c>
      <c r="F896">
        <v>0</v>
      </c>
      <c r="G896">
        <v>0</v>
      </c>
      <c r="H896">
        <v>0</v>
      </c>
      <c r="I896">
        <v>0</v>
      </c>
      <c r="K896">
        <v>0</v>
      </c>
      <c r="L896" s="322">
        <v>0</v>
      </c>
      <c r="M896" s="322">
        <v>0</v>
      </c>
      <c r="N896" s="322">
        <v>0</v>
      </c>
    </row>
    <row r="897" spans="1:14" x14ac:dyDescent="0.3">
      <c r="A897">
        <f>EPD!A612</f>
        <v>0</v>
      </c>
      <c r="F897">
        <v>0</v>
      </c>
      <c r="G897">
        <v>0</v>
      </c>
      <c r="H897">
        <v>0</v>
      </c>
      <c r="I897">
        <v>0</v>
      </c>
      <c r="K897">
        <v>0</v>
      </c>
      <c r="L897" s="322">
        <v>0</v>
      </c>
      <c r="M897" s="322">
        <v>0</v>
      </c>
      <c r="N897" s="322">
        <v>0</v>
      </c>
    </row>
    <row r="898" spans="1:14" x14ac:dyDescent="0.3">
      <c r="A898">
        <f>EPD!A613</f>
        <v>0</v>
      </c>
      <c r="F898">
        <v>0</v>
      </c>
      <c r="G898">
        <v>0</v>
      </c>
      <c r="H898">
        <v>0</v>
      </c>
      <c r="I898">
        <v>0</v>
      </c>
      <c r="K898">
        <v>0</v>
      </c>
      <c r="L898" s="322">
        <v>0</v>
      </c>
      <c r="M898" s="322">
        <v>0</v>
      </c>
      <c r="N898" s="322">
        <v>0</v>
      </c>
    </row>
    <row r="899" spans="1:14" x14ac:dyDescent="0.3">
      <c r="A899">
        <f>EPD!A614</f>
        <v>0</v>
      </c>
      <c r="F899">
        <v>0</v>
      </c>
      <c r="G899">
        <v>0</v>
      </c>
      <c r="H899">
        <v>0</v>
      </c>
      <c r="I899">
        <v>0</v>
      </c>
      <c r="K899">
        <v>0</v>
      </c>
      <c r="L899" s="322">
        <v>0</v>
      </c>
      <c r="M899" s="322">
        <v>0</v>
      </c>
      <c r="N899" s="322">
        <v>0</v>
      </c>
    </row>
    <row r="900" spans="1:14" x14ac:dyDescent="0.3">
      <c r="A900">
        <f>EPD!A615</f>
        <v>0</v>
      </c>
      <c r="F900">
        <v>0</v>
      </c>
      <c r="G900">
        <v>0</v>
      </c>
      <c r="H900">
        <v>0</v>
      </c>
      <c r="I900">
        <v>0</v>
      </c>
      <c r="K900">
        <v>0</v>
      </c>
      <c r="L900" s="322">
        <v>0</v>
      </c>
      <c r="M900" s="322">
        <v>0</v>
      </c>
      <c r="N900" s="322">
        <v>0</v>
      </c>
    </row>
    <row r="901" spans="1:14" x14ac:dyDescent="0.3">
      <c r="A901">
        <f>EPD!A616</f>
        <v>0</v>
      </c>
      <c r="F901">
        <v>0</v>
      </c>
      <c r="G901">
        <v>0</v>
      </c>
      <c r="H901">
        <v>0</v>
      </c>
      <c r="I901">
        <v>0</v>
      </c>
      <c r="K901">
        <v>0</v>
      </c>
      <c r="L901" s="322">
        <v>0</v>
      </c>
      <c r="M901" s="322">
        <v>0</v>
      </c>
      <c r="N901" s="322">
        <v>0</v>
      </c>
    </row>
    <row r="902" spans="1:14" x14ac:dyDescent="0.3">
      <c r="A902">
        <f>EPD!A617</f>
        <v>0</v>
      </c>
      <c r="F902">
        <v>0</v>
      </c>
      <c r="G902">
        <v>0</v>
      </c>
      <c r="H902">
        <v>0</v>
      </c>
      <c r="I902">
        <v>0</v>
      </c>
      <c r="K902">
        <v>0</v>
      </c>
      <c r="L902" s="322">
        <v>0</v>
      </c>
      <c r="M902" s="322">
        <v>0</v>
      </c>
      <c r="N902" s="322">
        <v>0</v>
      </c>
    </row>
    <row r="903" spans="1:14" x14ac:dyDescent="0.3">
      <c r="A903">
        <f>EPD!A618</f>
        <v>0</v>
      </c>
      <c r="F903">
        <v>0</v>
      </c>
      <c r="G903">
        <v>0</v>
      </c>
      <c r="H903">
        <v>0</v>
      </c>
      <c r="I903">
        <v>0</v>
      </c>
      <c r="K903">
        <v>0</v>
      </c>
      <c r="L903" s="322">
        <v>0</v>
      </c>
      <c r="M903" s="322">
        <v>0</v>
      </c>
      <c r="N903" s="322">
        <v>0</v>
      </c>
    </row>
    <row r="904" spans="1:14" x14ac:dyDescent="0.3">
      <c r="A904">
        <f>EPD!A619</f>
        <v>0</v>
      </c>
      <c r="F904">
        <v>0</v>
      </c>
      <c r="G904">
        <v>0</v>
      </c>
      <c r="H904">
        <v>0</v>
      </c>
      <c r="I904">
        <v>0</v>
      </c>
      <c r="K904">
        <v>0</v>
      </c>
      <c r="L904" s="322">
        <v>0</v>
      </c>
      <c r="M904" s="322">
        <v>0</v>
      </c>
      <c r="N904" s="322">
        <v>0</v>
      </c>
    </row>
    <row r="905" spans="1:14" x14ac:dyDescent="0.3">
      <c r="A905">
        <f>EPD!A620</f>
        <v>0</v>
      </c>
      <c r="F905">
        <v>0</v>
      </c>
      <c r="G905">
        <v>0</v>
      </c>
      <c r="H905">
        <v>0</v>
      </c>
      <c r="I905">
        <v>0</v>
      </c>
      <c r="K905">
        <v>0</v>
      </c>
      <c r="L905" s="322">
        <v>0</v>
      </c>
      <c r="M905" s="322">
        <v>0</v>
      </c>
      <c r="N905" s="322">
        <v>0</v>
      </c>
    </row>
    <row r="906" spans="1:14" x14ac:dyDescent="0.3">
      <c r="A906">
        <f>EPD!A621</f>
        <v>0</v>
      </c>
      <c r="F906">
        <v>0</v>
      </c>
      <c r="G906">
        <v>0</v>
      </c>
      <c r="H906">
        <v>0</v>
      </c>
      <c r="I906">
        <v>0</v>
      </c>
      <c r="K906">
        <v>0</v>
      </c>
      <c r="L906" s="322">
        <v>0</v>
      </c>
      <c r="M906" s="322">
        <v>0</v>
      </c>
      <c r="N906" s="322">
        <v>0</v>
      </c>
    </row>
    <row r="907" spans="1:14" x14ac:dyDescent="0.3">
      <c r="A907">
        <f>EPD!A622</f>
        <v>0</v>
      </c>
      <c r="F907">
        <v>0</v>
      </c>
      <c r="G907">
        <v>0</v>
      </c>
      <c r="H907">
        <v>0</v>
      </c>
      <c r="I907">
        <v>0</v>
      </c>
      <c r="K907">
        <v>0</v>
      </c>
      <c r="L907" s="322">
        <v>0</v>
      </c>
      <c r="M907" s="322">
        <v>0</v>
      </c>
      <c r="N907" s="322">
        <v>0</v>
      </c>
    </row>
    <row r="908" spans="1:14" x14ac:dyDescent="0.3">
      <c r="A908">
        <f>EPD!A623</f>
        <v>0</v>
      </c>
      <c r="F908">
        <v>0</v>
      </c>
      <c r="G908">
        <v>0</v>
      </c>
      <c r="H908">
        <v>0</v>
      </c>
      <c r="I908">
        <v>0</v>
      </c>
      <c r="K908">
        <v>0</v>
      </c>
      <c r="L908" s="322">
        <v>0</v>
      </c>
      <c r="M908" s="322">
        <v>0</v>
      </c>
      <c r="N908" s="322">
        <v>0</v>
      </c>
    </row>
    <row r="909" spans="1:14" x14ac:dyDescent="0.3">
      <c r="A909">
        <f>EPD!A624</f>
        <v>0</v>
      </c>
      <c r="F909">
        <v>0</v>
      </c>
      <c r="G909">
        <v>0</v>
      </c>
      <c r="H909">
        <v>0</v>
      </c>
      <c r="I909">
        <v>0</v>
      </c>
      <c r="K909">
        <v>0</v>
      </c>
      <c r="L909" s="322">
        <v>0</v>
      </c>
      <c r="M909" s="322">
        <v>0</v>
      </c>
      <c r="N909" s="322">
        <v>0</v>
      </c>
    </row>
    <row r="910" spans="1:14" x14ac:dyDescent="0.3">
      <c r="A910">
        <f>EPD!A625</f>
        <v>0</v>
      </c>
      <c r="F910">
        <v>0</v>
      </c>
      <c r="G910">
        <v>0</v>
      </c>
      <c r="H910">
        <v>0</v>
      </c>
      <c r="I910">
        <v>0</v>
      </c>
      <c r="K910">
        <v>0</v>
      </c>
      <c r="L910" s="322">
        <v>0</v>
      </c>
      <c r="M910" s="322">
        <v>0</v>
      </c>
      <c r="N910" s="322">
        <v>0</v>
      </c>
    </row>
    <row r="911" spans="1:14" x14ac:dyDescent="0.3">
      <c r="A911">
        <f>EPD!A626</f>
        <v>0</v>
      </c>
      <c r="F911">
        <v>0</v>
      </c>
      <c r="G911">
        <v>0</v>
      </c>
      <c r="H911">
        <v>0</v>
      </c>
      <c r="I911">
        <v>0</v>
      </c>
      <c r="K911">
        <v>0</v>
      </c>
      <c r="L911" s="322">
        <v>0</v>
      </c>
      <c r="M911" s="322">
        <v>0</v>
      </c>
      <c r="N911" s="322">
        <v>0</v>
      </c>
    </row>
    <row r="912" spans="1:14" x14ac:dyDescent="0.3">
      <c r="A912">
        <f>EPD!A627</f>
        <v>0</v>
      </c>
      <c r="F912">
        <v>0</v>
      </c>
      <c r="G912">
        <v>0</v>
      </c>
      <c r="H912">
        <v>0</v>
      </c>
      <c r="I912">
        <v>0</v>
      </c>
      <c r="K912">
        <v>0</v>
      </c>
      <c r="L912" s="322">
        <v>0</v>
      </c>
      <c r="M912" s="322">
        <v>0</v>
      </c>
      <c r="N912" s="322">
        <v>0</v>
      </c>
    </row>
    <row r="913" spans="1:14" x14ac:dyDescent="0.3">
      <c r="A913">
        <f>EPD!A628</f>
        <v>0</v>
      </c>
      <c r="F913">
        <v>0</v>
      </c>
      <c r="G913">
        <v>0</v>
      </c>
      <c r="H913">
        <v>0</v>
      </c>
      <c r="I913">
        <v>0</v>
      </c>
      <c r="K913">
        <v>0</v>
      </c>
      <c r="L913" s="322">
        <v>0</v>
      </c>
      <c r="M913" s="322">
        <v>0</v>
      </c>
      <c r="N913" s="322">
        <v>0</v>
      </c>
    </row>
    <row r="914" spans="1:14" x14ac:dyDescent="0.3">
      <c r="A914">
        <f>EPD!A629</f>
        <v>0</v>
      </c>
      <c r="F914">
        <v>0</v>
      </c>
      <c r="G914">
        <v>0</v>
      </c>
      <c r="H914">
        <v>0</v>
      </c>
      <c r="I914">
        <v>0</v>
      </c>
      <c r="K914">
        <v>0</v>
      </c>
      <c r="L914" s="322">
        <v>0</v>
      </c>
      <c r="M914" s="322">
        <v>0</v>
      </c>
      <c r="N914" s="322">
        <v>0</v>
      </c>
    </row>
    <row r="915" spans="1:14" x14ac:dyDescent="0.3">
      <c r="A915">
        <f>EPD!A630</f>
        <v>0</v>
      </c>
      <c r="F915">
        <v>0</v>
      </c>
      <c r="G915">
        <v>0</v>
      </c>
      <c r="H915">
        <v>0</v>
      </c>
      <c r="I915">
        <v>0</v>
      </c>
      <c r="K915">
        <v>0</v>
      </c>
      <c r="L915" s="322">
        <v>0</v>
      </c>
      <c r="M915" s="322">
        <v>0</v>
      </c>
      <c r="N915" s="322">
        <v>0</v>
      </c>
    </row>
    <row r="916" spans="1:14" x14ac:dyDescent="0.3">
      <c r="A916">
        <f>EPD!A631</f>
        <v>0</v>
      </c>
      <c r="F916">
        <v>0</v>
      </c>
      <c r="G916">
        <v>0</v>
      </c>
      <c r="H916">
        <v>0</v>
      </c>
      <c r="I916">
        <v>0</v>
      </c>
      <c r="K916">
        <v>0</v>
      </c>
      <c r="L916" s="322">
        <v>0</v>
      </c>
      <c r="M916" s="322">
        <v>0</v>
      </c>
      <c r="N916" s="322">
        <v>0</v>
      </c>
    </row>
    <row r="917" spans="1:14" x14ac:dyDescent="0.3">
      <c r="A917">
        <f>EPD!A632</f>
        <v>0</v>
      </c>
      <c r="F917">
        <v>0</v>
      </c>
      <c r="G917">
        <v>0</v>
      </c>
      <c r="H917">
        <v>0</v>
      </c>
      <c r="I917">
        <v>0</v>
      </c>
      <c r="K917">
        <v>0</v>
      </c>
      <c r="L917" s="322">
        <v>0</v>
      </c>
      <c r="M917" s="322">
        <v>0</v>
      </c>
      <c r="N917" s="322">
        <v>0</v>
      </c>
    </row>
    <row r="918" spans="1:14" x14ac:dyDescent="0.3">
      <c r="A918">
        <f>EPD!A633</f>
        <v>0</v>
      </c>
      <c r="F918">
        <v>0</v>
      </c>
      <c r="G918">
        <v>0</v>
      </c>
      <c r="H918">
        <v>0</v>
      </c>
      <c r="I918">
        <v>0</v>
      </c>
      <c r="K918">
        <v>0</v>
      </c>
      <c r="L918" s="322">
        <v>0</v>
      </c>
      <c r="M918" s="322">
        <v>0</v>
      </c>
      <c r="N918" s="322">
        <v>0</v>
      </c>
    </row>
    <row r="919" spans="1:14" x14ac:dyDescent="0.3">
      <c r="A919">
        <f>EPD!A634</f>
        <v>0</v>
      </c>
      <c r="F919">
        <v>0</v>
      </c>
      <c r="G919">
        <v>0</v>
      </c>
      <c r="H919">
        <v>0</v>
      </c>
      <c r="I919">
        <v>0</v>
      </c>
      <c r="K919">
        <v>0</v>
      </c>
      <c r="L919" s="322">
        <v>0</v>
      </c>
      <c r="M919" s="322">
        <v>0</v>
      </c>
      <c r="N919" s="322">
        <v>0</v>
      </c>
    </row>
    <row r="920" spans="1:14" x14ac:dyDescent="0.3">
      <c r="A920">
        <f>EPD!A635</f>
        <v>0</v>
      </c>
      <c r="F920">
        <v>0</v>
      </c>
      <c r="G920">
        <v>0</v>
      </c>
      <c r="H920">
        <v>0</v>
      </c>
      <c r="I920">
        <v>0</v>
      </c>
      <c r="K920">
        <v>0</v>
      </c>
      <c r="L920" s="322">
        <v>0</v>
      </c>
      <c r="M920" s="322">
        <v>0</v>
      </c>
      <c r="N920" s="322">
        <v>0</v>
      </c>
    </row>
    <row r="921" spans="1:14" x14ac:dyDescent="0.3">
      <c r="A921">
        <f>EPD!A636</f>
        <v>0</v>
      </c>
      <c r="F921">
        <v>0</v>
      </c>
      <c r="G921">
        <v>0</v>
      </c>
      <c r="H921">
        <v>0</v>
      </c>
      <c r="I921">
        <v>0</v>
      </c>
      <c r="K921">
        <v>0</v>
      </c>
      <c r="L921" s="322">
        <v>0</v>
      </c>
      <c r="M921" s="322">
        <v>0</v>
      </c>
      <c r="N921" s="322">
        <v>0</v>
      </c>
    </row>
    <row r="922" spans="1:14" x14ac:dyDescent="0.3">
      <c r="A922">
        <f>EPD!A637</f>
        <v>0</v>
      </c>
      <c r="F922">
        <v>0</v>
      </c>
      <c r="G922">
        <v>0</v>
      </c>
      <c r="H922">
        <v>0</v>
      </c>
      <c r="I922">
        <v>0</v>
      </c>
      <c r="K922">
        <v>0</v>
      </c>
      <c r="L922" s="322">
        <v>0</v>
      </c>
      <c r="M922" s="322">
        <v>0</v>
      </c>
      <c r="N922" s="322">
        <v>0</v>
      </c>
    </row>
    <row r="923" spans="1:14" x14ac:dyDescent="0.3">
      <c r="A923">
        <f>EPD!A638</f>
        <v>0</v>
      </c>
      <c r="F923">
        <v>0</v>
      </c>
      <c r="G923">
        <v>0</v>
      </c>
      <c r="H923">
        <v>0</v>
      </c>
      <c r="I923">
        <v>0</v>
      </c>
      <c r="K923">
        <v>0</v>
      </c>
      <c r="L923" s="322">
        <v>0</v>
      </c>
      <c r="M923" s="322">
        <v>0</v>
      </c>
      <c r="N923" s="322">
        <v>0</v>
      </c>
    </row>
    <row r="924" spans="1:14" x14ac:dyDescent="0.3">
      <c r="A924">
        <f>EPD!A639</f>
        <v>0</v>
      </c>
      <c r="F924">
        <v>0</v>
      </c>
      <c r="G924">
        <v>0</v>
      </c>
      <c r="H924">
        <v>0</v>
      </c>
      <c r="I924">
        <v>0</v>
      </c>
      <c r="K924">
        <v>0</v>
      </c>
      <c r="L924" s="322">
        <v>0</v>
      </c>
      <c r="M924" s="322">
        <v>0</v>
      </c>
      <c r="N924" s="322">
        <v>0</v>
      </c>
    </row>
    <row r="925" spans="1:14" x14ac:dyDescent="0.3">
      <c r="A925">
        <f>EPD!A640</f>
        <v>0</v>
      </c>
      <c r="F925">
        <v>0</v>
      </c>
      <c r="G925">
        <v>0</v>
      </c>
      <c r="H925">
        <v>0</v>
      </c>
      <c r="I925">
        <v>0</v>
      </c>
      <c r="K925">
        <v>0</v>
      </c>
      <c r="L925" s="322">
        <v>0</v>
      </c>
      <c r="M925" s="322">
        <v>0</v>
      </c>
      <c r="N925" s="322">
        <v>0</v>
      </c>
    </row>
    <row r="926" spans="1:14" x14ac:dyDescent="0.3">
      <c r="A926">
        <f>EPD!A641</f>
        <v>0</v>
      </c>
      <c r="F926">
        <v>0</v>
      </c>
      <c r="G926">
        <v>0</v>
      </c>
      <c r="H926">
        <v>0</v>
      </c>
      <c r="I926">
        <v>0</v>
      </c>
      <c r="K926">
        <v>0</v>
      </c>
      <c r="L926" s="322">
        <v>0</v>
      </c>
      <c r="M926" s="322">
        <v>0</v>
      </c>
      <c r="N926" s="322">
        <v>0</v>
      </c>
    </row>
    <row r="927" spans="1:14" x14ac:dyDescent="0.3">
      <c r="A927">
        <f>EPD!A642</f>
        <v>0</v>
      </c>
      <c r="F927">
        <v>0</v>
      </c>
      <c r="G927">
        <v>0</v>
      </c>
      <c r="H927">
        <v>0</v>
      </c>
      <c r="I927">
        <v>0</v>
      </c>
      <c r="K927">
        <v>0</v>
      </c>
      <c r="L927" s="322">
        <v>0</v>
      </c>
      <c r="M927" s="322">
        <v>0</v>
      </c>
      <c r="N927" s="322">
        <v>0</v>
      </c>
    </row>
    <row r="928" spans="1:14" x14ac:dyDescent="0.3">
      <c r="A928">
        <f>EPD!A643</f>
        <v>0</v>
      </c>
      <c r="F928">
        <v>0</v>
      </c>
      <c r="G928">
        <v>0</v>
      </c>
      <c r="H928">
        <v>0</v>
      </c>
      <c r="I928">
        <v>0</v>
      </c>
      <c r="K928">
        <v>0</v>
      </c>
      <c r="L928" s="322">
        <v>0</v>
      </c>
      <c r="M928" s="322">
        <v>0</v>
      </c>
      <c r="N928" s="322">
        <v>0</v>
      </c>
    </row>
    <row r="929" spans="1:14" x14ac:dyDescent="0.3">
      <c r="A929">
        <f>EPD!A644</f>
        <v>0</v>
      </c>
      <c r="F929">
        <v>0</v>
      </c>
      <c r="G929">
        <v>0</v>
      </c>
      <c r="H929">
        <v>0</v>
      </c>
      <c r="I929">
        <v>0</v>
      </c>
      <c r="K929">
        <v>0</v>
      </c>
      <c r="L929" s="322">
        <v>0</v>
      </c>
      <c r="M929" s="322">
        <v>0</v>
      </c>
      <c r="N929" s="322">
        <v>0</v>
      </c>
    </row>
    <row r="930" spans="1:14" x14ac:dyDescent="0.3">
      <c r="A930">
        <f>EPD!A645</f>
        <v>0</v>
      </c>
      <c r="F930">
        <v>0</v>
      </c>
      <c r="G930">
        <v>0</v>
      </c>
      <c r="H930">
        <v>0</v>
      </c>
      <c r="I930">
        <v>0</v>
      </c>
      <c r="K930">
        <v>0</v>
      </c>
      <c r="L930" s="322">
        <v>0</v>
      </c>
      <c r="M930" s="322">
        <v>0</v>
      </c>
      <c r="N930" s="322">
        <v>0</v>
      </c>
    </row>
    <row r="931" spans="1:14" x14ac:dyDescent="0.3">
      <c r="A931">
        <f>EPD!A646</f>
        <v>0</v>
      </c>
      <c r="F931">
        <v>0</v>
      </c>
      <c r="G931">
        <v>0</v>
      </c>
      <c r="H931">
        <v>0</v>
      </c>
      <c r="I931">
        <v>0</v>
      </c>
      <c r="K931">
        <v>0</v>
      </c>
      <c r="L931" s="322">
        <v>0</v>
      </c>
      <c r="M931" s="322">
        <v>0</v>
      </c>
      <c r="N931" s="322">
        <v>0</v>
      </c>
    </row>
    <row r="932" spans="1:14" x14ac:dyDescent="0.3">
      <c r="A932">
        <f>EPD!A647</f>
        <v>0</v>
      </c>
      <c r="F932">
        <v>0</v>
      </c>
      <c r="G932">
        <v>0</v>
      </c>
      <c r="H932">
        <v>0</v>
      </c>
      <c r="I932">
        <v>0</v>
      </c>
      <c r="K932">
        <v>0</v>
      </c>
      <c r="L932" s="322">
        <v>0</v>
      </c>
      <c r="M932" s="322">
        <v>0</v>
      </c>
      <c r="N932" s="322">
        <v>0</v>
      </c>
    </row>
    <row r="933" spans="1:14" x14ac:dyDescent="0.3">
      <c r="A933">
        <f>EPD!A648</f>
        <v>0</v>
      </c>
      <c r="F933">
        <v>0</v>
      </c>
      <c r="G933">
        <v>0</v>
      </c>
      <c r="H933">
        <v>0</v>
      </c>
      <c r="I933">
        <v>0</v>
      </c>
      <c r="K933">
        <v>0</v>
      </c>
      <c r="L933" s="322">
        <v>0</v>
      </c>
      <c r="M933" s="322">
        <v>0</v>
      </c>
      <c r="N933" s="322">
        <v>0</v>
      </c>
    </row>
    <row r="934" spans="1:14" x14ac:dyDescent="0.3">
      <c r="A934">
        <f>EPD!A649</f>
        <v>0</v>
      </c>
      <c r="F934">
        <v>0</v>
      </c>
      <c r="G934">
        <v>0</v>
      </c>
      <c r="H934">
        <v>0</v>
      </c>
      <c r="I934">
        <v>0</v>
      </c>
      <c r="K934">
        <v>0</v>
      </c>
      <c r="L934" s="322">
        <v>0</v>
      </c>
      <c r="M934" s="322">
        <v>0</v>
      </c>
      <c r="N934" s="322">
        <v>0</v>
      </c>
    </row>
    <row r="935" spans="1:14" x14ac:dyDescent="0.3">
      <c r="A935">
        <f>EPD!A650</f>
        <v>0</v>
      </c>
      <c r="F935">
        <v>0</v>
      </c>
      <c r="G935">
        <v>0</v>
      </c>
      <c r="H935">
        <v>0</v>
      </c>
      <c r="I935">
        <v>0</v>
      </c>
      <c r="K935">
        <v>0</v>
      </c>
      <c r="L935" s="322">
        <v>0</v>
      </c>
      <c r="M935" s="322">
        <v>0</v>
      </c>
      <c r="N935" s="322">
        <v>0</v>
      </c>
    </row>
    <row r="936" spans="1:14" x14ac:dyDescent="0.3">
      <c r="A936">
        <f>EPD!A651</f>
        <v>0</v>
      </c>
      <c r="F936">
        <v>0</v>
      </c>
      <c r="G936">
        <v>0</v>
      </c>
      <c r="H936">
        <v>0</v>
      </c>
      <c r="I936">
        <v>0</v>
      </c>
      <c r="K936">
        <v>0</v>
      </c>
      <c r="L936" s="322">
        <v>0</v>
      </c>
      <c r="M936" s="322">
        <v>0</v>
      </c>
      <c r="N936" s="322">
        <v>0</v>
      </c>
    </row>
    <row r="937" spans="1:14" x14ac:dyDescent="0.3">
      <c r="A937">
        <f>EPD!A652</f>
        <v>0</v>
      </c>
      <c r="F937">
        <v>0</v>
      </c>
      <c r="G937">
        <v>0</v>
      </c>
      <c r="H937">
        <v>0</v>
      </c>
      <c r="I937">
        <v>0</v>
      </c>
      <c r="K937">
        <v>0</v>
      </c>
      <c r="L937" s="322">
        <v>0</v>
      </c>
      <c r="M937" s="322">
        <v>0</v>
      </c>
      <c r="N937" s="322">
        <v>0</v>
      </c>
    </row>
    <row r="938" spans="1:14" x14ac:dyDescent="0.3">
      <c r="A938">
        <f>EPD!A653</f>
        <v>0</v>
      </c>
      <c r="F938">
        <v>0</v>
      </c>
      <c r="G938">
        <v>0</v>
      </c>
      <c r="H938">
        <v>0</v>
      </c>
      <c r="I938">
        <v>0</v>
      </c>
      <c r="K938">
        <v>0</v>
      </c>
      <c r="L938" s="322">
        <v>0</v>
      </c>
      <c r="M938" s="322">
        <v>0</v>
      </c>
      <c r="N938" s="322">
        <v>0</v>
      </c>
    </row>
    <row r="939" spans="1:14" x14ac:dyDescent="0.3">
      <c r="A939">
        <f>EPD!A654</f>
        <v>0</v>
      </c>
      <c r="F939">
        <v>0</v>
      </c>
      <c r="G939">
        <v>0</v>
      </c>
      <c r="H939">
        <v>0</v>
      </c>
      <c r="I939">
        <v>0</v>
      </c>
      <c r="K939">
        <v>0</v>
      </c>
      <c r="L939" s="322">
        <v>0</v>
      </c>
      <c r="M939" s="322">
        <v>0</v>
      </c>
      <c r="N939" s="322">
        <v>0</v>
      </c>
    </row>
    <row r="940" spans="1:14" x14ac:dyDescent="0.3">
      <c r="A940">
        <f>EPD!A655</f>
        <v>0</v>
      </c>
      <c r="F940">
        <v>0</v>
      </c>
      <c r="G940">
        <v>0</v>
      </c>
      <c r="H940">
        <v>0</v>
      </c>
      <c r="I940">
        <v>0</v>
      </c>
      <c r="K940">
        <v>0</v>
      </c>
      <c r="L940" s="322">
        <v>0</v>
      </c>
      <c r="M940" s="322">
        <v>0</v>
      </c>
      <c r="N940" s="322">
        <v>0</v>
      </c>
    </row>
    <row r="941" spans="1:14" x14ac:dyDescent="0.3">
      <c r="A941">
        <f>EPD!A656</f>
        <v>0</v>
      </c>
      <c r="F941">
        <v>0</v>
      </c>
      <c r="G941">
        <v>0</v>
      </c>
      <c r="H941">
        <v>0</v>
      </c>
      <c r="I941">
        <v>0</v>
      </c>
      <c r="K941">
        <v>0</v>
      </c>
      <c r="L941" s="322">
        <v>0</v>
      </c>
      <c r="M941" s="322">
        <v>0</v>
      </c>
      <c r="N941" s="322">
        <v>0</v>
      </c>
    </row>
    <row r="942" spans="1:14" x14ac:dyDescent="0.3">
      <c r="A942">
        <f>EPD!A657</f>
        <v>0</v>
      </c>
      <c r="F942">
        <v>0</v>
      </c>
      <c r="G942">
        <v>0</v>
      </c>
      <c r="H942">
        <v>0</v>
      </c>
      <c r="I942">
        <v>0</v>
      </c>
      <c r="K942">
        <v>0</v>
      </c>
      <c r="L942" s="322">
        <v>0</v>
      </c>
      <c r="M942" s="322">
        <v>0</v>
      </c>
      <c r="N942" s="322">
        <v>0</v>
      </c>
    </row>
    <row r="943" spans="1:14" x14ac:dyDescent="0.3">
      <c r="A943">
        <f>EPD!A658</f>
        <v>0</v>
      </c>
      <c r="F943">
        <v>0</v>
      </c>
      <c r="G943">
        <v>0</v>
      </c>
      <c r="H943">
        <v>0</v>
      </c>
      <c r="I943">
        <v>0</v>
      </c>
      <c r="K943">
        <v>0</v>
      </c>
      <c r="L943" s="322">
        <v>0</v>
      </c>
      <c r="M943" s="322">
        <v>0</v>
      </c>
      <c r="N943" s="322">
        <v>0</v>
      </c>
    </row>
    <row r="944" spans="1:14" x14ac:dyDescent="0.3">
      <c r="A944">
        <f>EPD!A659</f>
        <v>0</v>
      </c>
      <c r="F944">
        <v>0</v>
      </c>
      <c r="G944">
        <v>0</v>
      </c>
      <c r="H944">
        <v>0</v>
      </c>
      <c r="I944">
        <v>0</v>
      </c>
      <c r="K944">
        <v>0</v>
      </c>
      <c r="L944" s="322">
        <v>0</v>
      </c>
      <c r="M944" s="322">
        <v>0</v>
      </c>
      <c r="N944" s="322">
        <v>0</v>
      </c>
    </row>
    <row r="945" spans="1:14" x14ac:dyDescent="0.3">
      <c r="A945">
        <f>EPD!A660</f>
        <v>0</v>
      </c>
      <c r="F945">
        <v>0</v>
      </c>
      <c r="G945">
        <v>0</v>
      </c>
      <c r="H945">
        <v>0</v>
      </c>
      <c r="I945">
        <v>0</v>
      </c>
      <c r="K945">
        <v>0</v>
      </c>
      <c r="L945" s="322">
        <v>0</v>
      </c>
      <c r="M945" s="322">
        <v>0</v>
      </c>
      <c r="N945" s="322">
        <v>0</v>
      </c>
    </row>
    <row r="946" spans="1:14" x14ac:dyDescent="0.3">
      <c r="A946">
        <f>EPD!A661</f>
        <v>0</v>
      </c>
      <c r="F946">
        <v>0</v>
      </c>
      <c r="G946">
        <v>0</v>
      </c>
      <c r="H946">
        <v>0</v>
      </c>
      <c r="I946">
        <v>0</v>
      </c>
      <c r="K946">
        <v>0</v>
      </c>
      <c r="L946" s="322">
        <v>0</v>
      </c>
      <c r="M946" s="322">
        <v>0</v>
      </c>
      <c r="N946" s="322">
        <v>0</v>
      </c>
    </row>
    <row r="947" spans="1:14" x14ac:dyDescent="0.3">
      <c r="A947">
        <f>EPD!A662</f>
        <v>0</v>
      </c>
      <c r="F947">
        <v>0</v>
      </c>
      <c r="G947">
        <v>0</v>
      </c>
      <c r="H947">
        <v>0</v>
      </c>
      <c r="I947">
        <v>0</v>
      </c>
      <c r="K947">
        <v>0</v>
      </c>
      <c r="L947" s="322">
        <v>0</v>
      </c>
      <c r="M947" s="322">
        <v>0</v>
      </c>
      <c r="N947" s="322">
        <v>0</v>
      </c>
    </row>
    <row r="948" spans="1:14" x14ac:dyDescent="0.3">
      <c r="A948">
        <f>EPD!A663</f>
        <v>0</v>
      </c>
      <c r="F948">
        <v>0</v>
      </c>
      <c r="G948">
        <v>0</v>
      </c>
      <c r="H948">
        <v>0</v>
      </c>
      <c r="I948">
        <v>0</v>
      </c>
      <c r="K948">
        <v>0</v>
      </c>
      <c r="L948" s="322">
        <v>0</v>
      </c>
      <c r="M948" s="322">
        <v>0</v>
      </c>
      <c r="N948" s="322">
        <v>0</v>
      </c>
    </row>
    <row r="949" spans="1:14" x14ac:dyDescent="0.3">
      <c r="A949">
        <f>EPD!A664</f>
        <v>0</v>
      </c>
      <c r="F949">
        <v>0</v>
      </c>
      <c r="G949">
        <v>0</v>
      </c>
      <c r="H949">
        <v>0</v>
      </c>
      <c r="I949">
        <v>0</v>
      </c>
      <c r="K949">
        <v>0</v>
      </c>
      <c r="L949" s="322">
        <v>0</v>
      </c>
      <c r="M949" s="322">
        <v>0</v>
      </c>
      <c r="N949" s="322">
        <v>0</v>
      </c>
    </row>
    <row r="950" spans="1:14" x14ac:dyDescent="0.3">
      <c r="A950">
        <f>EPD!A665</f>
        <v>0</v>
      </c>
      <c r="F950">
        <v>0</v>
      </c>
      <c r="G950">
        <v>0</v>
      </c>
      <c r="H950">
        <v>0</v>
      </c>
      <c r="I950">
        <v>0</v>
      </c>
      <c r="K950">
        <v>0</v>
      </c>
      <c r="L950" s="322">
        <v>0</v>
      </c>
      <c r="M950" s="322">
        <v>0</v>
      </c>
      <c r="N950" s="322">
        <v>0</v>
      </c>
    </row>
    <row r="951" spans="1:14" x14ac:dyDescent="0.3">
      <c r="A951">
        <f>EPD!A666</f>
        <v>0</v>
      </c>
      <c r="F951">
        <v>0</v>
      </c>
      <c r="G951">
        <v>0</v>
      </c>
      <c r="H951">
        <v>0</v>
      </c>
      <c r="I951">
        <v>0</v>
      </c>
      <c r="K951">
        <v>0</v>
      </c>
      <c r="L951" s="322">
        <v>0</v>
      </c>
      <c r="M951" s="322">
        <v>0</v>
      </c>
      <c r="N951" s="322">
        <v>0</v>
      </c>
    </row>
    <row r="952" spans="1:14" x14ac:dyDescent="0.3">
      <c r="A952">
        <f>EPD!A667</f>
        <v>0</v>
      </c>
      <c r="F952">
        <v>0</v>
      </c>
      <c r="G952">
        <v>0</v>
      </c>
      <c r="H952">
        <v>0</v>
      </c>
      <c r="I952">
        <v>0</v>
      </c>
      <c r="K952">
        <v>0</v>
      </c>
      <c r="L952" s="322">
        <v>0</v>
      </c>
      <c r="M952" s="322">
        <v>0</v>
      </c>
      <c r="N952" s="322">
        <v>0</v>
      </c>
    </row>
    <row r="953" spans="1:14" x14ac:dyDescent="0.3">
      <c r="A953">
        <f>EPD!A668</f>
        <v>0</v>
      </c>
      <c r="F953">
        <v>0</v>
      </c>
      <c r="G953">
        <v>0</v>
      </c>
      <c r="H953">
        <v>0</v>
      </c>
      <c r="I953">
        <v>0</v>
      </c>
      <c r="K953">
        <v>0</v>
      </c>
      <c r="L953" s="322">
        <v>0</v>
      </c>
      <c r="M953" s="322">
        <v>0</v>
      </c>
      <c r="N953" s="322">
        <v>0</v>
      </c>
    </row>
    <row r="954" spans="1:14" x14ac:dyDescent="0.3">
      <c r="A954">
        <f>EPD!A669</f>
        <v>0</v>
      </c>
      <c r="F954">
        <v>0</v>
      </c>
      <c r="G954">
        <v>0</v>
      </c>
      <c r="H954">
        <v>0</v>
      </c>
      <c r="I954">
        <v>0</v>
      </c>
      <c r="K954">
        <v>0</v>
      </c>
      <c r="L954" s="322">
        <v>0</v>
      </c>
      <c r="M954" s="322">
        <v>0</v>
      </c>
      <c r="N954" s="322">
        <v>0</v>
      </c>
    </row>
    <row r="955" spans="1:14" x14ac:dyDescent="0.3">
      <c r="A955">
        <f>EPD!A670</f>
        <v>0</v>
      </c>
      <c r="F955">
        <v>0</v>
      </c>
      <c r="G955">
        <v>0</v>
      </c>
      <c r="H955">
        <v>0</v>
      </c>
      <c r="I955">
        <v>0</v>
      </c>
      <c r="K955">
        <v>0</v>
      </c>
      <c r="L955" s="322">
        <v>0</v>
      </c>
      <c r="M955" s="322">
        <v>0</v>
      </c>
      <c r="N955" s="322">
        <v>0</v>
      </c>
    </row>
    <row r="956" spans="1:14" x14ac:dyDescent="0.3">
      <c r="A956">
        <f>EPD!A671</f>
        <v>0</v>
      </c>
      <c r="F956">
        <v>0</v>
      </c>
      <c r="G956">
        <v>0</v>
      </c>
      <c r="H956">
        <v>0</v>
      </c>
      <c r="I956">
        <v>0</v>
      </c>
      <c r="K956">
        <v>0</v>
      </c>
      <c r="L956" s="322">
        <v>0</v>
      </c>
      <c r="M956" s="322">
        <v>0</v>
      </c>
      <c r="N956" s="322">
        <v>0</v>
      </c>
    </row>
    <row r="957" spans="1:14" x14ac:dyDescent="0.3">
      <c r="A957">
        <f>EPD!A672</f>
        <v>0</v>
      </c>
      <c r="F957">
        <v>0</v>
      </c>
      <c r="G957">
        <v>0</v>
      </c>
      <c r="H957">
        <v>0</v>
      </c>
      <c r="I957">
        <v>0</v>
      </c>
      <c r="K957">
        <v>0</v>
      </c>
      <c r="L957" s="322">
        <v>0</v>
      </c>
      <c r="M957" s="322">
        <v>0</v>
      </c>
      <c r="N957" s="322">
        <v>0</v>
      </c>
    </row>
    <row r="958" spans="1:14" x14ac:dyDescent="0.3">
      <c r="A958">
        <f>EPD!A673</f>
        <v>0</v>
      </c>
      <c r="F958">
        <v>0</v>
      </c>
      <c r="G958">
        <v>0</v>
      </c>
      <c r="H958">
        <v>0</v>
      </c>
      <c r="I958">
        <v>0</v>
      </c>
      <c r="K958">
        <v>0</v>
      </c>
      <c r="L958" s="322">
        <v>0</v>
      </c>
      <c r="M958" s="322">
        <v>0</v>
      </c>
      <c r="N958" s="322">
        <v>0</v>
      </c>
    </row>
    <row r="959" spans="1:14" x14ac:dyDescent="0.3">
      <c r="A959">
        <f>EPD!A674</f>
        <v>0</v>
      </c>
      <c r="F959">
        <v>0</v>
      </c>
      <c r="G959">
        <v>0</v>
      </c>
      <c r="H959">
        <v>0</v>
      </c>
      <c r="I959">
        <v>0</v>
      </c>
      <c r="K959">
        <v>0</v>
      </c>
      <c r="L959" s="322">
        <v>0</v>
      </c>
      <c r="M959" s="322">
        <v>0</v>
      </c>
      <c r="N959" s="322">
        <v>0</v>
      </c>
    </row>
    <row r="960" spans="1:14" x14ac:dyDescent="0.3">
      <c r="A960">
        <f>EPD!A675</f>
        <v>0</v>
      </c>
      <c r="F960">
        <v>0</v>
      </c>
      <c r="G960">
        <v>0</v>
      </c>
      <c r="H960">
        <v>0</v>
      </c>
      <c r="I960">
        <v>0</v>
      </c>
      <c r="K960">
        <v>0</v>
      </c>
      <c r="L960" s="322">
        <v>0</v>
      </c>
      <c r="M960" s="322">
        <v>0</v>
      </c>
      <c r="N960" s="322">
        <v>0</v>
      </c>
    </row>
    <row r="961" spans="1:14" x14ac:dyDescent="0.3">
      <c r="A961">
        <f>EPD!A676</f>
        <v>0</v>
      </c>
      <c r="F961">
        <v>0</v>
      </c>
      <c r="G961">
        <v>0</v>
      </c>
      <c r="H961">
        <v>0</v>
      </c>
      <c r="I961">
        <v>0</v>
      </c>
      <c r="K961">
        <v>0</v>
      </c>
      <c r="L961" s="322">
        <v>0</v>
      </c>
      <c r="M961" s="322">
        <v>0</v>
      </c>
      <c r="N961" s="322">
        <v>0</v>
      </c>
    </row>
    <row r="962" spans="1:14" x14ac:dyDescent="0.3">
      <c r="A962">
        <f>EPD!A677</f>
        <v>0</v>
      </c>
      <c r="F962">
        <v>0</v>
      </c>
      <c r="G962">
        <v>0</v>
      </c>
      <c r="H962">
        <v>0</v>
      </c>
      <c r="I962">
        <v>0</v>
      </c>
      <c r="K962">
        <v>0</v>
      </c>
      <c r="L962" s="322">
        <v>0</v>
      </c>
      <c r="M962" s="322">
        <v>0</v>
      </c>
      <c r="N962" s="322">
        <v>0</v>
      </c>
    </row>
    <row r="963" spans="1:14" x14ac:dyDescent="0.3">
      <c r="A963">
        <f>EPD!A678</f>
        <v>0</v>
      </c>
      <c r="F963">
        <v>0</v>
      </c>
      <c r="G963">
        <v>0</v>
      </c>
      <c r="H963">
        <v>0</v>
      </c>
      <c r="I963">
        <v>0</v>
      </c>
      <c r="K963">
        <v>0</v>
      </c>
      <c r="L963" s="322">
        <v>0</v>
      </c>
      <c r="M963" s="322">
        <v>0</v>
      </c>
      <c r="N963" s="322">
        <v>0</v>
      </c>
    </row>
    <row r="964" spans="1:14" x14ac:dyDescent="0.3">
      <c r="A964">
        <f>EPD!A679</f>
        <v>0</v>
      </c>
      <c r="F964">
        <v>0</v>
      </c>
      <c r="G964">
        <v>0</v>
      </c>
      <c r="H964">
        <v>0</v>
      </c>
      <c r="I964">
        <v>0</v>
      </c>
      <c r="K964">
        <v>0</v>
      </c>
      <c r="L964" s="322">
        <v>0</v>
      </c>
      <c r="M964" s="322">
        <v>0</v>
      </c>
      <c r="N964" s="322">
        <v>0</v>
      </c>
    </row>
    <row r="965" spans="1:14" x14ac:dyDescent="0.3">
      <c r="A965">
        <f>EPD!A680</f>
        <v>0</v>
      </c>
      <c r="F965">
        <v>0</v>
      </c>
      <c r="G965">
        <v>0</v>
      </c>
      <c r="H965">
        <v>0</v>
      </c>
      <c r="I965">
        <v>0</v>
      </c>
      <c r="K965">
        <v>0</v>
      </c>
      <c r="L965" s="322">
        <v>0</v>
      </c>
      <c r="M965" s="322">
        <v>0</v>
      </c>
      <c r="N965" s="322">
        <v>0</v>
      </c>
    </row>
    <row r="966" spans="1:14" x14ac:dyDescent="0.3">
      <c r="A966">
        <f>EPD!A681</f>
        <v>0</v>
      </c>
      <c r="F966">
        <v>0</v>
      </c>
      <c r="G966">
        <v>0</v>
      </c>
      <c r="H966">
        <v>0</v>
      </c>
      <c r="I966">
        <v>0</v>
      </c>
      <c r="K966">
        <v>0</v>
      </c>
      <c r="L966" s="322">
        <v>0</v>
      </c>
      <c r="M966" s="322">
        <v>0</v>
      </c>
      <c r="N966" s="322">
        <v>0</v>
      </c>
    </row>
    <row r="967" spans="1:14" x14ac:dyDescent="0.3">
      <c r="A967">
        <f>EPD!A682</f>
        <v>0</v>
      </c>
      <c r="F967">
        <v>0</v>
      </c>
      <c r="G967">
        <v>0</v>
      </c>
      <c r="H967">
        <v>0</v>
      </c>
      <c r="I967">
        <v>0</v>
      </c>
      <c r="K967">
        <v>0</v>
      </c>
      <c r="L967" s="322">
        <v>0</v>
      </c>
      <c r="M967" s="322">
        <v>0</v>
      </c>
      <c r="N967" s="322">
        <v>0</v>
      </c>
    </row>
    <row r="968" spans="1:14" x14ac:dyDescent="0.3">
      <c r="A968">
        <f>EPD!A683</f>
        <v>0</v>
      </c>
      <c r="F968">
        <v>0</v>
      </c>
      <c r="G968">
        <v>0</v>
      </c>
      <c r="H968">
        <v>0</v>
      </c>
      <c r="I968">
        <v>0</v>
      </c>
      <c r="K968">
        <v>0</v>
      </c>
      <c r="L968" s="322">
        <v>0</v>
      </c>
      <c r="M968" s="322">
        <v>0</v>
      </c>
      <c r="N968" s="322">
        <v>0</v>
      </c>
    </row>
    <row r="969" spans="1:14" x14ac:dyDescent="0.3">
      <c r="A969">
        <f>EPD!A684</f>
        <v>0</v>
      </c>
      <c r="F969">
        <v>0</v>
      </c>
      <c r="G969">
        <v>0</v>
      </c>
      <c r="H969">
        <v>0</v>
      </c>
      <c r="I969">
        <v>0</v>
      </c>
      <c r="K969">
        <v>0</v>
      </c>
      <c r="L969" s="322">
        <v>0</v>
      </c>
      <c r="M969" s="322">
        <v>0</v>
      </c>
      <c r="N969" s="322">
        <v>0</v>
      </c>
    </row>
    <row r="970" spans="1:14" x14ac:dyDescent="0.3">
      <c r="A970">
        <f>EPD!A685</f>
        <v>0</v>
      </c>
      <c r="F970">
        <v>0</v>
      </c>
      <c r="G970">
        <v>0</v>
      </c>
      <c r="H970">
        <v>0</v>
      </c>
      <c r="I970">
        <v>0</v>
      </c>
      <c r="K970">
        <v>0</v>
      </c>
      <c r="L970" s="322">
        <v>0</v>
      </c>
      <c r="M970" s="322">
        <v>0</v>
      </c>
      <c r="N970" s="322">
        <v>0</v>
      </c>
    </row>
    <row r="971" spans="1:14" x14ac:dyDescent="0.3">
      <c r="A971">
        <f>EPD!A686</f>
        <v>0</v>
      </c>
      <c r="F971">
        <v>0</v>
      </c>
      <c r="G971">
        <v>0</v>
      </c>
      <c r="H971">
        <v>0</v>
      </c>
      <c r="I971">
        <v>0</v>
      </c>
      <c r="K971">
        <v>0</v>
      </c>
      <c r="L971" s="322">
        <v>0</v>
      </c>
      <c r="M971" s="322">
        <v>0</v>
      </c>
      <c r="N971" s="322">
        <v>0</v>
      </c>
    </row>
    <row r="972" spans="1:14" x14ac:dyDescent="0.3">
      <c r="A972">
        <f>EPD!A687</f>
        <v>0</v>
      </c>
      <c r="F972">
        <v>0</v>
      </c>
      <c r="G972">
        <v>0</v>
      </c>
      <c r="H972">
        <v>0</v>
      </c>
      <c r="I972">
        <v>0</v>
      </c>
      <c r="K972">
        <v>0</v>
      </c>
      <c r="L972" s="322">
        <v>0</v>
      </c>
      <c r="M972" s="322">
        <v>0</v>
      </c>
      <c r="N972" s="322">
        <v>0</v>
      </c>
    </row>
    <row r="973" spans="1:14" x14ac:dyDescent="0.3">
      <c r="A973">
        <f>EPD!A688</f>
        <v>0</v>
      </c>
      <c r="F973">
        <v>0</v>
      </c>
      <c r="G973">
        <v>0</v>
      </c>
      <c r="H973">
        <v>0</v>
      </c>
      <c r="I973">
        <v>0</v>
      </c>
      <c r="K973">
        <v>0</v>
      </c>
      <c r="L973" s="322">
        <v>0</v>
      </c>
      <c r="M973" s="322">
        <v>0</v>
      </c>
      <c r="N973" s="322">
        <v>0</v>
      </c>
    </row>
    <row r="974" spans="1:14" x14ac:dyDescent="0.3">
      <c r="A974">
        <f>EPD!A689</f>
        <v>0</v>
      </c>
      <c r="F974">
        <v>0</v>
      </c>
      <c r="G974">
        <v>0</v>
      </c>
      <c r="H974">
        <v>0</v>
      </c>
      <c r="I974">
        <v>0</v>
      </c>
      <c r="K974">
        <v>0</v>
      </c>
      <c r="L974" s="322">
        <v>0</v>
      </c>
      <c r="M974" s="322">
        <v>0</v>
      </c>
      <c r="N974" s="322">
        <v>0</v>
      </c>
    </row>
    <row r="975" spans="1:14" x14ac:dyDescent="0.3">
      <c r="A975">
        <f>EPD!A690</f>
        <v>0</v>
      </c>
      <c r="F975">
        <v>0</v>
      </c>
      <c r="G975">
        <v>0</v>
      </c>
      <c r="H975">
        <v>0</v>
      </c>
      <c r="I975">
        <v>0</v>
      </c>
      <c r="K975">
        <v>0</v>
      </c>
      <c r="L975" s="322">
        <v>0</v>
      </c>
      <c r="M975" s="322">
        <v>0</v>
      </c>
      <c r="N975" s="322">
        <v>0</v>
      </c>
    </row>
    <row r="976" spans="1:14" x14ac:dyDescent="0.3">
      <c r="A976">
        <f>EPD!A691</f>
        <v>0</v>
      </c>
      <c r="F976">
        <v>0</v>
      </c>
      <c r="G976">
        <v>0</v>
      </c>
      <c r="H976">
        <v>0</v>
      </c>
      <c r="I976">
        <v>0</v>
      </c>
      <c r="K976">
        <v>0</v>
      </c>
      <c r="L976" s="322">
        <v>0</v>
      </c>
      <c r="M976" s="322">
        <v>0</v>
      </c>
      <c r="N976" s="322">
        <v>0</v>
      </c>
    </row>
    <row r="977" spans="1:14" x14ac:dyDescent="0.3">
      <c r="A977">
        <f>EPD!A692</f>
        <v>0</v>
      </c>
      <c r="F977">
        <v>0</v>
      </c>
      <c r="G977">
        <v>0</v>
      </c>
      <c r="H977">
        <v>0</v>
      </c>
      <c r="I977">
        <v>0</v>
      </c>
      <c r="K977">
        <v>0</v>
      </c>
      <c r="L977" s="322">
        <v>0</v>
      </c>
      <c r="M977" s="322">
        <v>0</v>
      </c>
      <c r="N977" s="322">
        <v>0</v>
      </c>
    </row>
    <row r="978" spans="1:14" x14ac:dyDescent="0.3">
      <c r="A978">
        <f>EPD!A693</f>
        <v>0</v>
      </c>
      <c r="F978">
        <v>0</v>
      </c>
      <c r="G978">
        <v>0</v>
      </c>
      <c r="H978">
        <v>0</v>
      </c>
      <c r="I978">
        <v>0</v>
      </c>
      <c r="K978">
        <v>0</v>
      </c>
      <c r="L978" s="322">
        <v>0</v>
      </c>
      <c r="M978" s="322">
        <v>0</v>
      </c>
      <c r="N978" s="322">
        <v>0</v>
      </c>
    </row>
    <row r="979" spans="1:14" x14ac:dyDescent="0.3">
      <c r="A979">
        <f>EPD!A694</f>
        <v>0</v>
      </c>
      <c r="F979">
        <v>0</v>
      </c>
      <c r="G979">
        <v>0</v>
      </c>
      <c r="H979">
        <v>0</v>
      </c>
      <c r="I979">
        <v>0</v>
      </c>
      <c r="K979">
        <v>0</v>
      </c>
      <c r="L979" s="322">
        <v>0</v>
      </c>
      <c r="M979" s="322">
        <v>0</v>
      </c>
      <c r="N979" s="322">
        <v>0</v>
      </c>
    </row>
    <row r="980" spans="1:14" x14ac:dyDescent="0.3">
      <c r="A980">
        <f>EPD!A695</f>
        <v>0</v>
      </c>
      <c r="F980">
        <v>0</v>
      </c>
      <c r="G980">
        <v>0</v>
      </c>
      <c r="H980">
        <v>0</v>
      </c>
      <c r="I980">
        <v>0</v>
      </c>
      <c r="K980">
        <v>0</v>
      </c>
      <c r="L980" s="322">
        <v>0</v>
      </c>
      <c r="M980" s="322">
        <v>0</v>
      </c>
      <c r="N980" s="322">
        <v>0</v>
      </c>
    </row>
    <row r="981" spans="1:14" x14ac:dyDescent="0.3">
      <c r="A981">
        <f>EPD!A696</f>
        <v>0</v>
      </c>
      <c r="F981">
        <v>0</v>
      </c>
      <c r="G981">
        <v>0</v>
      </c>
      <c r="H981">
        <v>0</v>
      </c>
      <c r="I981">
        <v>0</v>
      </c>
      <c r="K981">
        <v>0</v>
      </c>
      <c r="L981" s="322">
        <v>0</v>
      </c>
      <c r="M981" s="322">
        <v>0</v>
      </c>
      <c r="N981" s="322">
        <v>0</v>
      </c>
    </row>
    <row r="982" spans="1:14" x14ac:dyDescent="0.3">
      <c r="A982">
        <f>EPD!A697</f>
        <v>0</v>
      </c>
      <c r="F982">
        <v>0</v>
      </c>
      <c r="G982">
        <v>0</v>
      </c>
      <c r="H982">
        <v>0</v>
      </c>
      <c r="I982">
        <v>0</v>
      </c>
      <c r="K982">
        <v>0</v>
      </c>
      <c r="L982" s="322">
        <v>0</v>
      </c>
      <c r="M982" s="322">
        <v>0</v>
      </c>
      <c r="N982" s="322">
        <v>0</v>
      </c>
    </row>
    <row r="983" spans="1:14" x14ac:dyDescent="0.3">
      <c r="A983">
        <f>EPD!A698</f>
        <v>0</v>
      </c>
      <c r="F983">
        <v>0</v>
      </c>
      <c r="G983">
        <v>0</v>
      </c>
      <c r="H983">
        <v>0</v>
      </c>
      <c r="I983">
        <v>0</v>
      </c>
      <c r="K983">
        <v>0</v>
      </c>
      <c r="L983" s="322">
        <v>0</v>
      </c>
      <c r="M983" s="322">
        <v>0</v>
      </c>
      <c r="N983" s="322">
        <v>0</v>
      </c>
    </row>
    <row r="984" spans="1:14" x14ac:dyDescent="0.3">
      <c r="A984">
        <f>EPD!A699</f>
        <v>0</v>
      </c>
      <c r="F984">
        <v>0</v>
      </c>
      <c r="G984">
        <v>0</v>
      </c>
      <c r="H984">
        <v>0</v>
      </c>
      <c r="I984">
        <v>0</v>
      </c>
      <c r="K984">
        <v>0</v>
      </c>
      <c r="L984" s="322">
        <v>0</v>
      </c>
      <c r="M984" s="322">
        <v>0</v>
      </c>
      <c r="N984" s="322">
        <v>0</v>
      </c>
    </row>
    <row r="985" spans="1:14" x14ac:dyDescent="0.3">
      <c r="A985">
        <f>EPD!A700</f>
        <v>0</v>
      </c>
      <c r="F985">
        <v>0</v>
      </c>
      <c r="G985">
        <v>0</v>
      </c>
      <c r="H985">
        <v>0</v>
      </c>
      <c r="I985">
        <v>0</v>
      </c>
      <c r="K985">
        <v>0</v>
      </c>
      <c r="L985" s="322">
        <v>0</v>
      </c>
      <c r="M985" s="322">
        <v>0</v>
      </c>
      <c r="N985" s="322">
        <v>0</v>
      </c>
    </row>
    <row r="986" spans="1:14" x14ac:dyDescent="0.3">
      <c r="A986">
        <f>EPD!A701</f>
        <v>0</v>
      </c>
      <c r="F986">
        <v>0</v>
      </c>
      <c r="G986">
        <v>0</v>
      </c>
      <c r="H986">
        <v>0</v>
      </c>
      <c r="I986">
        <v>0</v>
      </c>
      <c r="K986">
        <v>0</v>
      </c>
      <c r="L986" s="322">
        <v>0</v>
      </c>
      <c r="M986" s="322">
        <v>0</v>
      </c>
      <c r="N986" s="322">
        <v>0</v>
      </c>
    </row>
    <row r="987" spans="1:14" x14ac:dyDescent="0.3">
      <c r="A987">
        <f>EPD!A702</f>
        <v>0</v>
      </c>
      <c r="F987">
        <v>0</v>
      </c>
      <c r="G987">
        <v>0</v>
      </c>
      <c r="H987">
        <v>0</v>
      </c>
      <c r="I987">
        <v>0</v>
      </c>
      <c r="K987">
        <v>0</v>
      </c>
      <c r="L987" s="322">
        <v>0</v>
      </c>
      <c r="M987" s="322">
        <v>0</v>
      </c>
      <c r="N987" s="322">
        <v>0</v>
      </c>
    </row>
    <row r="988" spans="1:14" x14ac:dyDescent="0.3">
      <c r="A988">
        <f>EPD!A703</f>
        <v>0</v>
      </c>
      <c r="F988">
        <v>0</v>
      </c>
      <c r="G988">
        <v>0</v>
      </c>
      <c r="H988">
        <v>0</v>
      </c>
      <c r="I988">
        <v>0</v>
      </c>
      <c r="K988">
        <v>0</v>
      </c>
      <c r="L988" s="322">
        <v>0</v>
      </c>
      <c r="M988" s="322">
        <v>0</v>
      </c>
      <c r="N988" s="322">
        <v>0</v>
      </c>
    </row>
    <row r="989" spans="1:14" x14ac:dyDescent="0.3">
      <c r="A989">
        <f>EPD!A704</f>
        <v>0</v>
      </c>
      <c r="F989">
        <v>0</v>
      </c>
      <c r="G989">
        <v>0</v>
      </c>
      <c r="H989">
        <v>0</v>
      </c>
      <c r="I989">
        <v>0</v>
      </c>
      <c r="K989">
        <v>0</v>
      </c>
      <c r="L989" s="322">
        <v>0</v>
      </c>
      <c r="M989" s="322">
        <v>0</v>
      </c>
      <c r="N989" s="322">
        <v>0</v>
      </c>
    </row>
    <row r="990" spans="1:14" x14ac:dyDescent="0.3">
      <c r="A990">
        <f>EPD!A705</f>
        <v>0</v>
      </c>
      <c r="F990">
        <v>0</v>
      </c>
      <c r="G990">
        <v>0</v>
      </c>
      <c r="H990">
        <v>0</v>
      </c>
      <c r="I990">
        <v>0</v>
      </c>
      <c r="K990">
        <v>0</v>
      </c>
      <c r="L990" s="322">
        <v>0</v>
      </c>
      <c r="M990" s="322">
        <v>0</v>
      </c>
      <c r="N990" s="322">
        <v>0</v>
      </c>
    </row>
    <row r="991" spans="1:14" x14ac:dyDescent="0.3">
      <c r="A991">
        <f>EPD!A706</f>
        <v>0</v>
      </c>
      <c r="F991">
        <v>0</v>
      </c>
      <c r="G991">
        <v>0</v>
      </c>
      <c r="H991">
        <v>0</v>
      </c>
      <c r="I991">
        <v>0</v>
      </c>
      <c r="K991">
        <v>0</v>
      </c>
      <c r="L991" s="322">
        <v>0</v>
      </c>
      <c r="M991" s="322">
        <v>0</v>
      </c>
      <c r="N991" s="322">
        <v>0</v>
      </c>
    </row>
    <row r="992" spans="1:14" x14ac:dyDescent="0.3">
      <c r="A992">
        <f>EPD!A707</f>
        <v>0</v>
      </c>
      <c r="F992">
        <v>0</v>
      </c>
      <c r="G992">
        <v>0</v>
      </c>
      <c r="H992">
        <v>0</v>
      </c>
      <c r="I992">
        <v>0</v>
      </c>
      <c r="K992">
        <v>0</v>
      </c>
      <c r="L992" s="322">
        <v>0</v>
      </c>
      <c r="M992" s="322">
        <v>0</v>
      </c>
      <c r="N992" s="322">
        <v>0</v>
      </c>
    </row>
    <row r="993" spans="1:14" x14ac:dyDescent="0.3">
      <c r="A993">
        <f>EPD!A708</f>
        <v>0</v>
      </c>
      <c r="F993">
        <v>0</v>
      </c>
      <c r="G993">
        <v>0</v>
      </c>
      <c r="H993">
        <v>0</v>
      </c>
      <c r="I993">
        <v>0</v>
      </c>
      <c r="K993">
        <v>0</v>
      </c>
      <c r="L993" s="322">
        <v>0</v>
      </c>
      <c r="M993" s="322">
        <v>0</v>
      </c>
      <c r="N993" s="322">
        <v>0</v>
      </c>
    </row>
    <row r="994" spans="1:14" x14ac:dyDescent="0.3">
      <c r="A994">
        <f>EPD!A709</f>
        <v>0</v>
      </c>
      <c r="F994">
        <v>0</v>
      </c>
      <c r="G994">
        <v>0</v>
      </c>
      <c r="H994">
        <v>0</v>
      </c>
      <c r="I994">
        <v>0</v>
      </c>
      <c r="K994">
        <v>0</v>
      </c>
      <c r="L994" s="322">
        <v>0</v>
      </c>
      <c r="M994" s="322">
        <v>0</v>
      </c>
      <c r="N994" s="322">
        <v>0</v>
      </c>
    </row>
    <row r="995" spans="1:14" x14ac:dyDescent="0.3">
      <c r="A995">
        <f>EPD!A710</f>
        <v>0</v>
      </c>
      <c r="F995">
        <v>0</v>
      </c>
      <c r="G995">
        <v>0</v>
      </c>
      <c r="H995">
        <v>0</v>
      </c>
      <c r="I995">
        <v>0</v>
      </c>
      <c r="K995">
        <v>0</v>
      </c>
      <c r="L995" s="322">
        <v>0</v>
      </c>
      <c r="M995" s="322">
        <v>0</v>
      </c>
      <c r="N995" s="322">
        <v>0</v>
      </c>
    </row>
    <row r="996" spans="1:14" x14ac:dyDescent="0.3">
      <c r="A996">
        <f>EPD!A711</f>
        <v>0</v>
      </c>
      <c r="F996">
        <v>0</v>
      </c>
      <c r="G996">
        <v>0</v>
      </c>
      <c r="H996">
        <v>0</v>
      </c>
      <c r="I996">
        <v>0</v>
      </c>
      <c r="K996">
        <v>0</v>
      </c>
      <c r="L996" s="322">
        <v>0</v>
      </c>
      <c r="M996" s="322">
        <v>0</v>
      </c>
      <c r="N996" s="322">
        <v>0</v>
      </c>
    </row>
    <row r="997" spans="1:14" x14ac:dyDescent="0.3">
      <c r="A997">
        <f>EPD!A712</f>
        <v>0</v>
      </c>
      <c r="F997">
        <v>0</v>
      </c>
      <c r="G997">
        <v>0</v>
      </c>
      <c r="H997">
        <v>0</v>
      </c>
      <c r="I997">
        <v>0</v>
      </c>
      <c r="K997">
        <v>0</v>
      </c>
      <c r="L997" s="322">
        <v>0</v>
      </c>
      <c r="M997" s="322">
        <v>0</v>
      </c>
      <c r="N997" s="322">
        <v>0</v>
      </c>
    </row>
    <row r="998" spans="1:14" x14ac:dyDescent="0.3">
      <c r="A998">
        <f>EPD!A713</f>
        <v>0</v>
      </c>
      <c r="F998">
        <v>0</v>
      </c>
      <c r="G998">
        <v>0</v>
      </c>
      <c r="H998">
        <v>0</v>
      </c>
      <c r="I998">
        <v>0</v>
      </c>
      <c r="K998">
        <v>0</v>
      </c>
      <c r="L998" s="322">
        <v>0</v>
      </c>
      <c r="M998" s="322">
        <v>0</v>
      </c>
      <c r="N998" s="322">
        <v>0</v>
      </c>
    </row>
    <row r="999" spans="1:14" x14ac:dyDescent="0.3">
      <c r="A999">
        <f>EPD!A714</f>
        <v>0</v>
      </c>
      <c r="F999">
        <v>0</v>
      </c>
      <c r="G999">
        <v>0</v>
      </c>
      <c r="H999">
        <v>0</v>
      </c>
      <c r="I999">
        <v>0</v>
      </c>
      <c r="K999">
        <v>0</v>
      </c>
      <c r="L999" s="322">
        <v>0</v>
      </c>
      <c r="M999" s="322">
        <v>0</v>
      </c>
      <c r="N999" s="322">
        <v>0</v>
      </c>
    </row>
    <row r="1000" spans="1:14" x14ac:dyDescent="0.3">
      <c r="A1000">
        <f>EPD!A715</f>
        <v>0</v>
      </c>
      <c r="F1000">
        <v>0</v>
      </c>
      <c r="G1000">
        <v>0</v>
      </c>
      <c r="H1000">
        <v>0</v>
      </c>
      <c r="I1000">
        <v>0</v>
      </c>
      <c r="K1000">
        <v>0</v>
      </c>
      <c r="L1000" s="322">
        <v>0</v>
      </c>
      <c r="M1000" s="322">
        <v>0</v>
      </c>
      <c r="N1000" s="322">
        <v>0</v>
      </c>
    </row>
    <row r="1001" spans="1:14" x14ac:dyDescent="0.3">
      <c r="A1001">
        <f>EPD!A716</f>
        <v>0</v>
      </c>
      <c r="F1001">
        <v>0</v>
      </c>
      <c r="G1001">
        <v>0</v>
      </c>
      <c r="H1001">
        <v>0</v>
      </c>
      <c r="I1001">
        <v>0</v>
      </c>
      <c r="K1001">
        <v>0</v>
      </c>
      <c r="L1001" s="322">
        <v>0</v>
      </c>
      <c r="M1001" s="322">
        <v>0</v>
      </c>
      <c r="N1001" s="322">
        <v>0</v>
      </c>
    </row>
    <row r="1002" spans="1:14" x14ac:dyDescent="0.3">
      <c r="A1002">
        <f>EPD!A717</f>
        <v>0</v>
      </c>
      <c r="F1002">
        <v>0</v>
      </c>
      <c r="G1002">
        <v>0</v>
      </c>
      <c r="H1002">
        <v>0</v>
      </c>
      <c r="I1002">
        <v>0</v>
      </c>
      <c r="K1002">
        <v>0</v>
      </c>
      <c r="L1002" s="322">
        <v>0</v>
      </c>
      <c r="M1002" s="322">
        <v>0</v>
      </c>
      <c r="N1002" s="322">
        <v>0</v>
      </c>
    </row>
    <row r="1003" spans="1:14" x14ac:dyDescent="0.3">
      <c r="A1003">
        <f>EPD!A718</f>
        <v>0</v>
      </c>
      <c r="F1003">
        <v>0</v>
      </c>
      <c r="G1003">
        <v>0</v>
      </c>
      <c r="H1003">
        <v>0</v>
      </c>
      <c r="I1003">
        <v>0</v>
      </c>
      <c r="K1003">
        <v>0</v>
      </c>
      <c r="L1003" s="322">
        <v>0</v>
      </c>
      <c r="M1003" s="322">
        <v>0</v>
      </c>
      <c r="N1003" s="322">
        <v>0</v>
      </c>
    </row>
    <row r="1004" spans="1:14" x14ac:dyDescent="0.3">
      <c r="A1004">
        <f>EPD!A719</f>
        <v>0</v>
      </c>
      <c r="F1004">
        <v>0</v>
      </c>
      <c r="G1004">
        <v>0</v>
      </c>
      <c r="H1004">
        <v>0</v>
      </c>
      <c r="I1004">
        <v>0</v>
      </c>
      <c r="K1004">
        <v>0</v>
      </c>
      <c r="L1004" s="322">
        <v>0</v>
      </c>
      <c r="M1004" s="322">
        <v>0</v>
      </c>
      <c r="N1004" s="322">
        <v>0</v>
      </c>
    </row>
    <row r="1005" spans="1:14" x14ac:dyDescent="0.3">
      <c r="A1005">
        <f>EPD!A720</f>
        <v>0</v>
      </c>
      <c r="F1005">
        <v>0</v>
      </c>
      <c r="G1005">
        <v>0</v>
      </c>
      <c r="H1005">
        <v>0</v>
      </c>
      <c r="I1005">
        <v>0</v>
      </c>
      <c r="K1005">
        <v>0</v>
      </c>
      <c r="L1005" s="322">
        <v>0</v>
      </c>
      <c r="M1005" s="322">
        <v>0</v>
      </c>
      <c r="N1005" s="322">
        <v>0</v>
      </c>
    </row>
    <row r="1006" spans="1:14" x14ac:dyDescent="0.3">
      <c r="A1006">
        <f>EPD!A721</f>
        <v>0</v>
      </c>
      <c r="F1006">
        <v>0</v>
      </c>
      <c r="G1006">
        <v>0</v>
      </c>
      <c r="H1006">
        <v>0</v>
      </c>
      <c r="I1006">
        <v>0</v>
      </c>
      <c r="K1006">
        <v>0</v>
      </c>
      <c r="L1006" s="322">
        <v>0</v>
      </c>
      <c r="M1006" s="322">
        <v>0</v>
      </c>
      <c r="N1006" s="322">
        <v>0</v>
      </c>
    </row>
    <row r="1007" spans="1:14" x14ac:dyDescent="0.3">
      <c r="A1007">
        <f>EPD!A722</f>
        <v>0</v>
      </c>
      <c r="F1007">
        <v>0</v>
      </c>
      <c r="G1007">
        <v>0</v>
      </c>
      <c r="H1007">
        <v>0</v>
      </c>
      <c r="I1007">
        <v>0</v>
      </c>
      <c r="K1007">
        <v>0</v>
      </c>
      <c r="L1007" s="322">
        <v>0</v>
      </c>
      <c r="M1007" s="322">
        <v>0</v>
      </c>
      <c r="N1007" s="322">
        <v>0</v>
      </c>
    </row>
    <row r="1008" spans="1:14" x14ac:dyDescent="0.3">
      <c r="A1008">
        <f>EPD!A723</f>
        <v>0</v>
      </c>
      <c r="F1008">
        <v>0</v>
      </c>
      <c r="G1008">
        <v>0</v>
      </c>
      <c r="H1008">
        <v>0</v>
      </c>
      <c r="I1008">
        <v>0</v>
      </c>
      <c r="K1008">
        <v>0</v>
      </c>
      <c r="L1008" s="322">
        <v>0</v>
      </c>
      <c r="M1008" s="322">
        <v>0</v>
      </c>
      <c r="N1008" s="322">
        <v>0</v>
      </c>
    </row>
    <row r="1009" spans="1:14" x14ac:dyDescent="0.3">
      <c r="A1009">
        <f>EPD!A724</f>
        <v>0</v>
      </c>
      <c r="F1009">
        <v>0</v>
      </c>
      <c r="G1009">
        <v>0</v>
      </c>
      <c r="H1009">
        <v>0</v>
      </c>
      <c r="I1009">
        <v>0</v>
      </c>
      <c r="K1009">
        <v>0</v>
      </c>
      <c r="L1009" s="322">
        <v>0</v>
      </c>
      <c r="M1009" s="322">
        <v>0</v>
      </c>
      <c r="N1009" s="322">
        <v>0</v>
      </c>
    </row>
    <row r="1010" spans="1:14" x14ac:dyDescent="0.3">
      <c r="A1010">
        <f>EPD!A725</f>
        <v>0</v>
      </c>
      <c r="F1010">
        <v>0</v>
      </c>
      <c r="G1010">
        <v>0</v>
      </c>
      <c r="H1010">
        <v>0</v>
      </c>
      <c r="I1010">
        <v>0</v>
      </c>
      <c r="K1010">
        <v>0</v>
      </c>
      <c r="L1010" s="322">
        <v>0</v>
      </c>
      <c r="M1010" s="322">
        <v>0</v>
      </c>
      <c r="N1010" s="322">
        <v>0</v>
      </c>
    </row>
    <row r="1011" spans="1:14" x14ac:dyDescent="0.3">
      <c r="A1011">
        <f>EPD!A726</f>
        <v>0</v>
      </c>
      <c r="F1011">
        <v>0</v>
      </c>
      <c r="G1011">
        <v>0</v>
      </c>
      <c r="H1011">
        <v>0</v>
      </c>
      <c r="I1011">
        <v>0</v>
      </c>
      <c r="K1011">
        <v>0</v>
      </c>
      <c r="L1011" s="322">
        <v>0</v>
      </c>
      <c r="M1011" s="322">
        <v>0</v>
      </c>
      <c r="N1011" s="322">
        <v>0</v>
      </c>
    </row>
    <row r="1012" spans="1:14" x14ac:dyDescent="0.3">
      <c r="A1012">
        <f>EPD!A727</f>
        <v>0</v>
      </c>
      <c r="F1012">
        <v>0</v>
      </c>
      <c r="G1012">
        <v>0</v>
      </c>
      <c r="H1012">
        <v>0</v>
      </c>
      <c r="I1012">
        <v>0</v>
      </c>
      <c r="K1012">
        <v>0</v>
      </c>
      <c r="L1012" s="322">
        <v>0</v>
      </c>
      <c r="M1012" s="322">
        <v>0</v>
      </c>
      <c r="N1012" s="322">
        <v>0</v>
      </c>
    </row>
    <row r="1013" spans="1:14" x14ac:dyDescent="0.3">
      <c r="A1013">
        <f>EPD!A728</f>
        <v>0</v>
      </c>
      <c r="F1013">
        <v>0</v>
      </c>
      <c r="G1013">
        <v>0</v>
      </c>
      <c r="H1013">
        <v>0</v>
      </c>
      <c r="I1013">
        <v>0</v>
      </c>
      <c r="K1013">
        <v>0</v>
      </c>
      <c r="L1013" s="322">
        <v>0</v>
      </c>
      <c r="M1013" s="322">
        <v>0</v>
      </c>
      <c r="N1013" s="322">
        <v>0</v>
      </c>
    </row>
    <row r="1014" spans="1:14" x14ac:dyDescent="0.3">
      <c r="A1014">
        <f>EPD!A729</f>
        <v>0</v>
      </c>
      <c r="F1014">
        <v>0</v>
      </c>
      <c r="G1014">
        <v>0</v>
      </c>
      <c r="H1014">
        <v>0</v>
      </c>
      <c r="I1014">
        <v>0</v>
      </c>
      <c r="K1014">
        <v>0</v>
      </c>
      <c r="L1014" s="322">
        <v>0</v>
      </c>
      <c r="M1014" s="322">
        <v>0</v>
      </c>
      <c r="N1014" s="322">
        <v>0</v>
      </c>
    </row>
    <row r="1015" spans="1:14" x14ac:dyDescent="0.3">
      <c r="A1015">
        <f>EPD!A730</f>
        <v>0</v>
      </c>
      <c r="F1015">
        <v>0</v>
      </c>
      <c r="G1015">
        <v>0</v>
      </c>
      <c r="H1015">
        <v>0</v>
      </c>
      <c r="I1015">
        <v>0</v>
      </c>
      <c r="K1015">
        <v>0</v>
      </c>
      <c r="L1015" s="322">
        <v>0</v>
      </c>
      <c r="M1015" s="322">
        <v>0</v>
      </c>
      <c r="N1015" s="322">
        <v>0</v>
      </c>
    </row>
    <row r="1016" spans="1:14" x14ac:dyDescent="0.3">
      <c r="A1016">
        <f>EPD!A731</f>
        <v>0</v>
      </c>
      <c r="F1016">
        <v>0</v>
      </c>
      <c r="G1016">
        <v>0</v>
      </c>
      <c r="H1016">
        <v>0</v>
      </c>
      <c r="I1016">
        <v>0</v>
      </c>
      <c r="K1016">
        <v>0</v>
      </c>
      <c r="L1016" s="322">
        <v>0</v>
      </c>
      <c r="M1016" s="322">
        <v>0</v>
      </c>
      <c r="N1016" s="322">
        <v>0</v>
      </c>
    </row>
    <row r="1017" spans="1:14" x14ac:dyDescent="0.3">
      <c r="A1017">
        <f>EPD!A732</f>
        <v>0</v>
      </c>
      <c r="F1017">
        <v>0</v>
      </c>
      <c r="G1017">
        <v>0</v>
      </c>
      <c r="H1017">
        <v>0</v>
      </c>
      <c r="I1017">
        <v>0</v>
      </c>
      <c r="K1017">
        <v>0</v>
      </c>
      <c r="L1017" s="322">
        <v>0</v>
      </c>
      <c r="M1017" s="322">
        <v>0</v>
      </c>
      <c r="N1017" s="322">
        <v>0</v>
      </c>
    </row>
    <row r="1018" spans="1:14" x14ac:dyDescent="0.3">
      <c r="A1018">
        <f>EPD!A733</f>
        <v>0</v>
      </c>
      <c r="F1018">
        <v>0</v>
      </c>
      <c r="G1018">
        <v>0</v>
      </c>
      <c r="H1018">
        <v>0</v>
      </c>
      <c r="I1018">
        <v>0</v>
      </c>
      <c r="K1018">
        <v>0</v>
      </c>
      <c r="L1018" s="322">
        <v>0</v>
      </c>
      <c r="M1018" s="322">
        <v>0</v>
      </c>
      <c r="N1018" s="322">
        <v>0</v>
      </c>
    </row>
    <row r="1019" spans="1:14" x14ac:dyDescent="0.3">
      <c r="A1019">
        <f>EPD!A734</f>
        <v>0</v>
      </c>
      <c r="F1019">
        <v>0</v>
      </c>
      <c r="G1019">
        <v>0</v>
      </c>
      <c r="H1019">
        <v>0</v>
      </c>
      <c r="I1019">
        <v>0</v>
      </c>
      <c r="K1019">
        <v>0</v>
      </c>
      <c r="L1019" s="322">
        <v>0</v>
      </c>
      <c r="M1019" s="322">
        <v>0</v>
      </c>
      <c r="N1019" s="322">
        <v>0</v>
      </c>
    </row>
    <row r="1020" spans="1:14" x14ac:dyDescent="0.3">
      <c r="A1020">
        <f>EPD!A735</f>
        <v>0</v>
      </c>
      <c r="F1020">
        <v>0</v>
      </c>
      <c r="G1020">
        <v>0</v>
      </c>
      <c r="H1020">
        <v>0</v>
      </c>
      <c r="I1020">
        <v>0</v>
      </c>
      <c r="K1020">
        <v>0</v>
      </c>
      <c r="L1020" s="322">
        <v>0</v>
      </c>
      <c r="M1020" s="322">
        <v>0</v>
      </c>
      <c r="N1020" s="322">
        <v>0</v>
      </c>
    </row>
    <row r="1021" spans="1:14" x14ac:dyDescent="0.3">
      <c r="A1021">
        <f>EPD!A736</f>
        <v>0</v>
      </c>
      <c r="F1021">
        <v>0</v>
      </c>
      <c r="G1021">
        <v>0</v>
      </c>
      <c r="H1021">
        <v>0</v>
      </c>
      <c r="I1021">
        <v>0</v>
      </c>
      <c r="K1021">
        <v>0</v>
      </c>
      <c r="L1021" s="322">
        <v>0</v>
      </c>
      <c r="M1021" s="322">
        <v>0</v>
      </c>
      <c r="N1021" s="322">
        <v>0</v>
      </c>
    </row>
    <row r="1022" spans="1:14" x14ac:dyDescent="0.3">
      <c r="A1022">
        <f>EPD!A737</f>
        <v>0</v>
      </c>
      <c r="F1022">
        <v>0</v>
      </c>
      <c r="G1022">
        <v>0</v>
      </c>
      <c r="H1022">
        <v>0</v>
      </c>
      <c r="I1022">
        <v>0</v>
      </c>
      <c r="K1022">
        <v>0</v>
      </c>
      <c r="L1022" s="322">
        <v>0</v>
      </c>
      <c r="M1022" s="322">
        <v>0</v>
      </c>
      <c r="N1022" s="322">
        <v>0</v>
      </c>
    </row>
    <row r="1023" spans="1:14" x14ac:dyDescent="0.3">
      <c r="A1023">
        <f>EPD!A738</f>
        <v>0</v>
      </c>
      <c r="F1023">
        <v>0</v>
      </c>
      <c r="G1023">
        <v>0</v>
      </c>
      <c r="H1023">
        <v>0</v>
      </c>
      <c r="I1023">
        <v>0</v>
      </c>
      <c r="K1023">
        <v>0</v>
      </c>
      <c r="L1023" s="322">
        <v>0</v>
      </c>
      <c r="M1023" s="322">
        <v>0</v>
      </c>
      <c r="N1023" s="322">
        <v>0</v>
      </c>
    </row>
    <row r="1024" spans="1:14" x14ac:dyDescent="0.3">
      <c r="A1024">
        <f>EPD!A739</f>
        <v>0</v>
      </c>
      <c r="F1024">
        <v>0</v>
      </c>
      <c r="G1024">
        <v>0</v>
      </c>
      <c r="H1024">
        <v>0</v>
      </c>
      <c r="I1024">
        <v>0</v>
      </c>
      <c r="K1024">
        <v>0</v>
      </c>
      <c r="L1024" s="322">
        <v>0</v>
      </c>
      <c r="M1024" s="322">
        <v>0</v>
      </c>
      <c r="N1024" s="322">
        <v>0</v>
      </c>
    </row>
    <row r="1025" spans="1:14" x14ac:dyDescent="0.3">
      <c r="A1025">
        <f>EPD!A740</f>
        <v>0</v>
      </c>
      <c r="F1025">
        <v>0</v>
      </c>
      <c r="G1025">
        <v>0</v>
      </c>
      <c r="H1025">
        <v>0</v>
      </c>
      <c r="I1025">
        <v>0</v>
      </c>
      <c r="K1025">
        <v>0</v>
      </c>
      <c r="L1025" s="322">
        <v>0</v>
      </c>
      <c r="M1025" s="322">
        <v>0</v>
      </c>
      <c r="N1025" s="322">
        <v>0</v>
      </c>
    </row>
    <row r="1026" spans="1:14" x14ac:dyDescent="0.3">
      <c r="A1026">
        <f>EPD!A741</f>
        <v>0</v>
      </c>
      <c r="F1026">
        <v>0</v>
      </c>
      <c r="G1026">
        <v>0</v>
      </c>
      <c r="H1026">
        <v>0</v>
      </c>
      <c r="I1026">
        <v>0</v>
      </c>
      <c r="K1026">
        <v>0</v>
      </c>
      <c r="L1026" s="322">
        <v>0</v>
      </c>
      <c r="M1026" s="322">
        <v>0</v>
      </c>
      <c r="N1026" s="322">
        <v>0</v>
      </c>
    </row>
    <row r="1027" spans="1:14" x14ac:dyDescent="0.3">
      <c r="A1027">
        <f>EPD!A742</f>
        <v>0</v>
      </c>
      <c r="F1027">
        <v>0</v>
      </c>
      <c r="G1027">
        <v>0</v>
      </c>
      <c r="H1027">
        <v>0</v>
      </c>
      <c r="I1027">
        <v>0</v>
      </c>
      <c r="K1027">
        <v>0</v>
      </c>
      <c r="L1027" s="322">
        <v>0</v>
      </c>
      <c r="M1027" s="322">
        <v>0</v>
      </c>
      <c r="N1027" s="322">
        <v>0</v>
      </c>
    </row>
    <row r="1028" spans="1:14" x14ac:dyDescent="0.3">
      <c r="A1028">
        <f>EPD!A743</f>
        <v>0</v>
      </c>
      <c r="F1028">
        <v>0</v>
      </c>
      <c r="G1028">
        <v>0</v>
      </c>
      <c r="H1028">
        <v>0</v>
      </c>
      <c r="I1028">
        <v>0</v>
      </c>
      <c r="K1028">
        <v>0</v>
      </c>
      <c r="L1028" s="322">
        <v>0</v>
      </c>
      <c r="M1028" s="322">
        <v>0</v>
      </c>
      <c r="N1028" s="322">
        <v>0</v>
      </c>
    </row>
    <row r="1029" spans="1:14" x14ac:dyDescent="0.3">
      <c r="A1029">
        <f>EPD!A744</f>
        <v>0</v>
      </c>
      <c r="F1029">
        <v>0</v>
      </c>
      <c r="G1029">
        <v>0</v>
      </c>
      <c r="H1029">
        <v>0</v>
      </c>
      <c r="I1029">
        <v>0</v>
      </c>
      <c r="K1029">
        <v>0</v>
      </c>
      <c r="L1029" s="322">
        <v>0</v>
      </c>
      <c r="M1029" s="322">
        <v>0</v>
      </c>
      <c r="N1029" s="322">
        <v>0</v>
      </c>
    </row>
    <row r="1030" spans="1:14" x14ac:dyDescent="0.3">
      <c r="A1030">
        <f>EPD!A745</f>
        <v>0</v>
      </c>
      <c r="F1030">
        <v>0</v>
      </c>
      <c r="G1030">
        <v>0</v>
      </c>
      <c r="H1030">
        <v>0</v>
      </c>
      <c r="I1030">
        <v>0</v>
      </c>
      <c r="K1030">
        <v>0</v>
      </c>
      <c r="L1030" s="322">
        <v>0</v>
      </c>
      <c r="M1030" s="322">
        <v>0</v>
      </c>
      <c r="N1030" s="322">
        <v>0</v>
      </c>
    </row>
    <row r="1031" spans="1:14" x14ac:dyDescent="0.3">
      <c r="A1031">
        <f>EPD!A746</f>
        <v>0</v>
      </c>
      <c r="F1031">
        <v>0</v>
      </c>
      <c r="G1031">
        <v>0</v>
      </c>
      <c r="H1031">
        <v>0</v>
      </c>
      <c r="I1031">
        <v>0</v>
      </c>
      <c r="K1031">
        <v>0</v>
      </c>
      <c r="L1031" s="322">
        <v>0</v>
      </c>
      <c r="M1031" s="322">
        <v>0</v>
      </c>
      <c r="N1031" s="322">
        <v>0</v>
      </c>
    </row>
    <row r="1032" spans="1:14" x14ac:dyDescent="0.3">
      <c r="A1032">
        <f>EPD!A747</f>
        <v>0</v>
      </c>
      <c r="F1032">
        <v>0</v>
      </c>
      <c r="G1032">
        <v>0</v>
      </c>
      <c r="H1032">
        <v>0</v>
      </c>
      <c r="I1032">
        <v>0</v>
      </c>
      <c r="K1032">
        <v>0</v>
      </c>
      <c r="L1032" s="322">
        <v>0</v>
      </c>
      <c r="M1032" s="322">
        <v>0</v>
      </c>
      <c r="N1032" s="322">
        <v>0</v>
      </c>
    </row>
    <row r="1033" spans="1:14" x14ac:dyDescent="0.3">
      <c r="A1033">
        <f>EPD!A748</f>
        <v>0</v>
      </c>
      <c r="F1033">
        <v>0</v>
      </c>
      <c r="G1033">
        <v>0</v>
      </c>
      <c r="H1033">
        <v>0</v>
      </c>
      <c r="I1033">
        <v>0</v>
      </c>
      <c r="K1033">
        <v>0</v>
      </c>
      <c r="L1033" s="322">
        <v>0</v>
      </c>
      <c r="M1033" s="322">
        <v>0</v>
      </c>
      <c r="N1033" s="322">
        <v>0</v>
      </c>
    </row>
    <row r="1034" spans="1:14" x14ac:dyDescent="0.3">
      <c r="A1034">
        <f>EPD!A749</f>
        <v>0</v>
      </c>
      <c r="F1034">
        <v>0</v>
      </c>
      <c r="G1034">
        <v>0</v>
      </c>
      <c r="H1034">
        <v>0</v>
      </c>
      <c r="I1034">
        <v>0</v>
      </c>
      <c r="K1034">
        <v>0</v>
      </c>
      <c r="L1034" s="322">
        <v>0</v>
      </c>
      <c r="M1034" s="322">
        <v>0</v>
      </c>
      <c r="N1034" s="322">
        <v>0</v>
      </c>
    </row>
    <row r="1035" spans="1:14" x14ac:dyDescent="0.3">
      <c r="A1035">
        <f>EPD!A750</f>
        <v>0</v>
      </c>
      <c r="F1035">
        <v>0</v>
      </c>
      <c r="G1035">
        <v>0</v>
      </c>
      <c r="H1035">
        <v>0</v>
      </c>
      <c r="I1035">
        <v>0</v>
      </c>
      <c r="K1035">
        <v>0</v>
      </c>
      <c r="L1035" s="322">
        <v>0</v>
      </c>
      <c r="M1035" s="322">
        <v>0</v>
      </c>
      <c r="N1035" s="322">
        <v>0</v>
      </c>
    </row>
    <row r="1036" spans="1:14" x14ac:dyDescent="0.3">
      <c r="A1036">
        <f>EPD!A751</f>
        <v>0</v>
      </c>
      <c r="F1036">
        <v>0</v>
      </c>
      <c r="G1036">
        <v>0</v>
      </c>
      <c r="H1036">
        <v>0</v>
      </c>
      <c r="I1036">
        <v>0</v>
      </c>
      <c r="K1036">
        <v>0</v>
      </c>
      <c r="L1036" s="322">
        <v>0</v>
      </c>
      <c r="M1036" s="322">
        <v>0</v>
      </c>
      <c r="N1036" s="322">
        <v>0</v>
      </c>
    </row>
    <row r="1037" spans="1:14" x14ac:dyDescent="0.3">
      <c r="A1037">
        <f>EPD!A752</f>
        <v>0</v>
      </c>
      <c r="F1037">
        <v>0</v>
      </c>
      <c r="G1037">
        <v>0</v>
      </c>
      <c r="H1037">
        <v>0</v>
      </c>
      <c r="I1037">
        <v>0</v>
      </c>
      <c r="K1037">
        <v>0</v>
      </c>
      <c r="L1037" s="322">
        <v>0</v>
      </c>
      <c r="M1037" s="322">
        <v>0</v>
      </c>
      <c r="N1037" s="322">
        <v>0</v>
      </c>
    </row>
    <row r="1038" spans="1:14" x14ac:dyDescent="0.3">
      <c r="A1038">
        <f>EPD!A753</f>
        <v>0</v>
      </c>
      <c r="F1038">
        <v>0</v>
      </c>
      <c r="G1038">
        <v>0</v>
      </c>
      <c r="H1038">
        <v>0</v>
      </c>
      <c r="I1038">
        <v>0</v>
      </c>
      <c r="K1038">
        <v>0</v>
      </c>
      <c r="L1038" s="322">
        <v>0</v>
      </c>
      <c r="M1038" s="322">
        <v>0</v>
      </c>
      <c r="N1038" s="322">
        <v>0</v>
      </c>
    </row>
    <row r="1039" spans="1:14" x14ac:dyDescent="0.3">
      <c r="A1039">
        <f>EPD!A754</f>
        <v>0</v>
      </c>
      <c r="F1039">
        <v>0</v>
      </c>
      <c r="G1039">
        <v>0</v>
      </c>
      <c r="H1039">
        <v>0</v>
      </c>
      <c r="I1039">
        <v>0</v>
      </c>
      <c r="K1039">
        <v>0</v>
      </c>
      <c r="L1039" s="322">
        <v>0</v>
      </c>
      <c r="M1039" s="322">
        <v>0</v>
      </c>
      <c r="N1039" s="322">
        <v>0</v>
      </c>
    </row>
    <row r="1040" spans="1:14" x14ac:dyDescent="0.3">
      <c r="A1040">
        <f>EPD!A755</f>
        <v>0</v>
      </c>
      <c r="F1040">
        <v>0</v>
      </c>
      <c r="G1040">
        <v>0</v>
      </c>
      <c r="H1040">
        <v>0</v>
      </c>
      <c r="I1040">
        <v>0</v>
      </c>
      <c r="K1040">
        <v>0</v>
      </c>
      <c r="L1040" s="322">
        <v>0</v>
      </c>
      <c r="M1040" s="322">
        <v>0</v>
      </c>
      <c r="N1040" s="322">
        <v>0</v>
      </c>
    </row>
    <row r="1041" spans="1:14" x14ac:dyDescent="0.3">
      <c r="A1041">
        <f>EPD!A756</f>
        <v>0</v>
      </c>
      <c r="F1041">
        <v>0</v>
      </c>
      <c r="G1041">
        <v>0</v>
      </c>
      <c r="H1041">
        <v>0</v>
      </c>
      <c r="I1041">
        <v>0</v>
      </c>
      <c r="K1041">
        <v>0</v>
      </c>
      <c r="L1041" s="322">
        <v>0</v>
      </c>
      <c r="M1041" s="322">
        <v>0</v>
      </c>
      <c r="N1041" s="322">
        <v>0</v>
      </c>
    </row>
    <row r="1042" spans="1:14" x14ac:dyDescent="0.3">
      <c r="A1042">
        <f>EPD!A757</f>
        <v>0</v>
      </c>
      <c r="F1042">
        <v>0</v>
      </c>
      <c r="G1042">
        <v>0</v>
      </c>
      <c r="H1042">
        <v>0</v>
      </c>
      <c r="I1042">
        <v>0</v>
      </c>
      <c r="K1042">
        <v>0</v>
      </c>
      <c r="L1042" s="322">
        <v>0</v>
      </c>
      <c r="M1042" s="322">
        <v>0</v>
      </c>
      <c r="N1042" s="322">
        <v>0</v>
      </c>
    </row>
    <row r="1043" spans="1:14" x14ac:dyDescent="0.3">
      <c r="A1043">
        <f>EPD!A758</f>
        <v>0</v>
      </c>
      <c r="F1043">
        <v>0</v>
      </c>
      <c r="G1043">
        <v>0</v>
      </c>
      <c r="H1043">
        <v>0</v>
      </c>
      <c r="I1043">
        <v>0</v>
      </c>
      <c r="K1043">
        <v>0</v>
      </c>
      <c r="L1043" s="322">
        <v>0</v>
      </c>
      <c r="M1043" s="322">
        <v>0</v>
      </c>
      <c r="N1043" s="322">
        <v>0</v>
      </c>
    </row>
    <row r="1044" spans="1:14" x14ac:dyDescent="0.3">
      <c r="A1044">
        <f>EPD!A759</f>
        <v>0</v>
      </c>
      <c r="F1044">
        <v>0</v>
      </c>
      <c r="G1044">
        <v>0</v>
      </c>
      <c r="H1044">
        <v>0</v>
      </c>
      <c r="I1044">
        <v>0</v>
      </c>
      <c r="K1044">
        <v>0</v>
      </c>
      <c r="L1044" s="322">
        <v>0</v>
      </c>
      <c r="M1044" s="322">
        <v>0</v>
      </c>
      <c r="N1044" s="322">
        <v>0</v>
      </c>
    </row>
    <row r="1045" spans="1:14" x14ac:dyDescent="0.3">
      <c r="A1045">
        <f>EPD!A760</f>
        <v>0</v>
      </c>
      <c r="F1045">
        <v>0</v>
      </c>
      <c r="G1045">
        <v>0</v>
      </c>
      <c r="H1045">
        <v>0</v>
      </c>
      <c r="I1045">
        <v>0</v>
      </c>
      <c r="K1045">
        <v>0</v>
      </c>
      <c r="L1045" s="322">
        <v>0</v>
      </c>
      <c r="M1045" s="322">
        <v>0</v>
      </c>
      <c r="N1045" s="322">
        <v>0</v>
      </c>
    </row>
    <row r="1046" spans="1:14" x14ac:dyDescent="0.3">
      <c r="A1046">
        <f>EPD!A761</f>
        <v>0</v>
      </c>
      <c r="F1046">
        <v>0</v>
      </c>
      <c r="G1046">
        <v>0</v>
      </c>
      <c r="H1046">
        <v>0</v>
      </c>
      <c r="I1046">
        <v>0</v>
      </c>
      <c r="K1046">
        <v>0</v>
      </c>
      <c r="L1046" s="322">
        <v>0</v>
      </c>
      <c r="M1046" s="322">
        <v>0</v>
      </c>
      <c r="N1046" s="322">
        <v>0</v>
      </c>
    </row>
    <row r="1047" spans="1:14" x14ac:dyDescent="0.3">
      <c r="A1047">
        <f>EPD!A762</f>
        <v>0</v>
      </c>
      <c r="F1047">
        <v>0</v>
      </c>
      <c r="G1047">
        <v>0</v>
      </c>
      <c r="H1047">
        <v>0</v>
      </c>
      <c r="I1047">
        <v>0</v>
      </c>
      <c r="K1047">
        <v>0</v>
      </c>
      <c r="L1047" s="322">
        <v>0</v>
      </c>
      <c r="M1047" s="322">
        <v>0</v>
      </c>
      <c r="N1047" s="322">
        <v>0</v>
      </c>
    </row>
    <row r="1048" spans="1:14" x14ac:dyDescent="0.3">
      <c r="A1048">
        <f>EPD!A763</f>
        <v>0</v>
      </c>
      <c r="F1048">
        <v>0</v>
      </c>
      <c r="G1048">
        <v>0</v>
      </c>
      <c r="H1048">
        <v>0</v>
      </c>
      <c r="I1048">
        <v>0</v>
      </c>
      <c r="K1048">
        <v>0</v>
      </c>
      <c r="L1048" s="322">
        <v>0</v>
      </c>
      <c r="M1048" s="322">
        <v>0</v>
      </c>
      <c r="N1048" s="322">
        <v>0</v>
      </c>
    </row>
    <row r="1049" spans="1:14" x14ac:dyDescent="0.3">
      <c r="A1049">
        <f>EPD!A764</f>
        <v>0</v>
      </c>
      <c r="F1049">
        <v>0</v>
      </c>
      <c r="G1049">
        <v>0</v>
      </c>
      <c r="H1049">
        <v>0</v>
      </c>
      <c r="I1049">
        <v>0</v>
      </c>
      <c r="K1049">
        <v>0</v>
      </c>
      <c r="L1049" s="322">
        <v>0</v>
      </c>
      <c r="M1049" s="322">
        <v>0</v>
      </c>
      <c r="N1049" s="322">
        <v>0</v>
      </c>
    </row>
    <row r="1050" spans="1:14" x14ac:dyDescent="0.3">
      <c r="A1050">
        <f>EPD!A765</f>
        <v>0</v>
      </c>
      <c r="F1050">
        <v>0</v>
      </c>
      <c r="G1050">
        <v>0</v>
      </c>
      <c r="H1050">
        <v>0</v>
      </c>
      <c r="I1050">
        <v>0</v>
      </c>
      <c r="K1050">
        <v>0</v>
      </c>
      <c r="L1050" s="322">
        <v>0</v>
      </c>
      <c r="M1050" s="322">
        <v>0</v>
      </c>
      <c r="N1050" s="322">
        <v>0</v>
      </c>
    </row>
    <row r="1051" spans="1:14" x14ac:dyDescent="0.3">
      <c r="A1051">
        <f>EPD!A766</f>
        <v>0</v>
      </c>
      <c r="F1051">
        <v>0</v>
      </c>
      <c r="G1051">
        <v>0</v>
      </c>
      <c r="H1051">
        <v>0</v>
      </c>
      <c r="I1051">
        <v>0</v>
      </c>
      <c r="K1051">
        <v>0</v>
      </c>
      <c r="L1051" s="322">
        <v>0</v>
      </c>
      <c r="M1051" s="322">
        <v>0</v>
      </c>
      <c r="N1051" s="322">
        <v>0</v>
      </c>
    </row>
    <row r="1052" spans="1:14" x14ac:dyDescent="0.3">
      <c r="A1052">
        <f>EPD!A767</f>
        <v>0</v>
      </c>
      <c r="F1052">
        <v>0</v>
      </c>
      <c r="G1052">
        <v>0</v>
      </c>
      <c r="H1052">
        <v>0</v>
      </c>
      <c r="I1052">
        <v>0</v>
      </c>
      <c r="K1052">
        <v>0</v>
      </c>
      <c r="L1052" s="322">
        <v>0</v>
      </c>
      <c r="M1052" s="322">
        <v>0</v>
      </c>
      <c r="N1052" s="322">
        <v>0</v>
      </c>
    </row>
    <row r="1053" spans="1:14" x14ac:dyDescent="0.3">
      <c r="A1053">
        <f>EPD!A768</f>
        <v>0</v>
      </c>
      <c r="F1053">
        <v>0</v>
      </c>
      <c r="G1053">
        <v>0</v>
      </c>
      <c r="H1053">
        <v>0</v>
      </c>
      <c r="I1053">
        <v>0</v>
      </c>
      <c r="K1053">
        <v>0</v>
      </c>
      <c r="L1053" s="322">
        <v>0</v>
      </c>
      <c r="M1053" s="322">
        <v>0</v>
      </c>
      <c r="N1053" s="322">
        <v>0</v>
      </c>
    </row>
    <row r="1054" spans="1:14" x14ac:dyDescent="0.3">
      <c r="A1054">
        <f>EPD!A769</f>
        <v>0</v>
      </c>
      <c r="F1054">
        <v>0</v>
      </c>
      <c r="G1054">
        <v>0</v>
      </c>
      <c r="H1054">
        <v>0</v>
      </c>
      <c r="I1054">
        <v>0</v>
      </c>
      <c r="K1054">
        <v>0</v>
      </c>
      <c r="L1054" s="322">
        <v>0</v>
      </c>
      <c r="M1054" s="322">
        <v>0</v>
      </c>
      <c r="N1054" s="322">
        <v>0</v>
      </c>
    </row>
    <row r="1055" spans="1:14" x14ac:dyDescent="0.3">
      <c r="A1055">
        <f>EPD!A770</f>
        <v>0</v>
      </c>
      <c r="F1055">
        <v>0</v>
      </c>
      <c r="G1055">
        <v>0</v>
      </c>
      <c r="H1055">
        <v>0</v>
      </c>
      <c r="I1055">
        <v>0</v>
      </c>
      <c r="K1055">
        <v>0</v>
      </c>
      <c r="L1055" s="322">
        <v>0</v>
      </c>
      <c r="M1055" s="322">
        <v>0</v>
      </c>
      <c r="N1055" s="322">
        <v>0</v>
      </c>
    </row>
    <row r="1056" spans="1:14" x14ac:dyDescent="0.3">
      <c r="A1056">
        <f>EPD!A771</f>
        <v>0</v>
      </c>
      <c r="F1056">
        <v>0</v>
      </c>
      <c r="G1056">
        <v>0</v>
      </c>
      <c r="H1056">
        <v>0</v>
      </c>
      <c r="I1056">
        <v>0</v>
      </c>
      <c r="K1056">
        <v>0</v>
      </c>
      <c r="L1056" s="322">
        <v>0</v>
      </c>
      <c r="M1056" s="322">
        <v>0</v>
      </c>
      <c r="N1056" s="322">
        <v>0</v>
      </c>
    </row>
    <row r="1057" spans="1:14" x14ac:dyDescent="0.3">
      <c r="A1057">
        <f>EPD!A772</f>
        <v>0</v>
      </c>
      <c r="F1057">
        <v>0</v>
      </c>
      <c r="G1057">
        <v>0</v>
      </c>
      <c r="H1057">
        <v>0</v>
      </c>
      <c r="I1057">
        <v>0</v>
      </c>
      <c r="K1057">
        <v>0</v>
      </c>
      <c r="L1057" s="322">
        <v>0</v>
      </c>
      <c r="M1057" s="322">
        <v>0</v>
      </c>
      <c r="N1057" s="322">
        <v>0</v>
      </c>
    </row>
    <row r="1058" spans="1:14" x14ac:dyDescent="0.3">
      <c r="A1058">
        <f>EPD!A773</f>
        <v>0</v>
      </c>
      <c r="F1058">
        <v>0</v>
      </c>
      <c r="G1058">
        <v>0</v>
      </c>
      <c r="H1058">
        <v>0</v>
      </c>
      <c r="I1058">
        <v>0</v>
      </c>
      <c r="K1058">
        <v>0</v>
      </c>
      <c r="L1058" s="322">
        <v>0</v>
      </c>
      <c r="M1058" s="322">
        <v>0</v>
      </c>
      <c r="N1058" s="322">
        <v>0</v>
      </c>
    </row>
    <row r="1059" spans="1:14" x14ac:dyDescent="0.3">
      <c r="A1059">
        <f>EPD!A774</f>
        <v>0</v>
      </c>
      <c r="F1059">
        <v>0</v>
      </c>
      <c r="G1059">
        <v>0</v>
      </c>
      <c r="H1059">
        <v>0</v>
      </c>
      <c r="I1059">
        <v>0</v>
      </c>
      <c r="K1059">
        <v>0</v>
      </c>
      <c r="L1059" s="322">
        <v>0</v>
      </c>
      <c r="M1059" s="322">
        <v>0</v>
      </c>
      <c r="N1059" s="322">
        <v>0</v>
      </c>
    </row>
    <row r="1060" spans="1:14" x14ac:dyDescent="0.3">
      <c r="A1060">
        <f>EPD!A775</f>
        <v>0</v>
      </c>
      <c r="F1060">
        <v>0</v>
      </c>
      <c r="G1060">
        <v>0</v>
      </c>
      <c r="H1060">
        <v>0</v>
      </c>
      <c r="I1060">
        <v>0</v>
      </c>
      <c r="K1060">
        <v>0</v>
      </c>
      <c r="L1060" s="322">
        <v>0</v>
      </c>
      <c r="M1060" s="322">
        <v>0</v>
      </c>
      <c r="N1060" s="322">
        <v>0</v>
      </c>
    </row>
    <row r="1061" spans="1:14" x14ac:dyDescent="0.3">
      <c r="A1061">
        <f>EPD!A776</f>
        <v>0</v>
      </c>
      <c r="F1061">
        <v>0</v>
      </c>
      <c r="G1061">
        <v>0</v>
      </c>
      <c r="H1061">
        <v>0</v>
      </c>
      <c r="I1061">
        <v>0</v>
      </c>
      <c r="K1061">
        <v>0</v>
      </c>
      <c r="L1061" s="322">
        <v>0</v>
      </c>
      <c r="M1061" s="322">
        <v>0</v>
      </c>
      <c r="N1061" s="322">
        <v>0</v>
      </c>
    </row>
    <row r="1062" spans="1:14" x14ac:dyDescent="0.3">
      <c r="A1062">
        <f>EPD!A777</f>
        <v>0</v>
      </c>
      <c r="F1062">
        <v>0</v>
      </c>
      <c r="G1062">
        <v>0</v>
      </c>
      <c r="H1062">
        <v>0</v>
      </c>
      <c r="I1062">
        <v>0</v>
      </c>
      <c r="K1062">
        <v>0</v>
      </c>
      <c r="L1062" s="322">
        <v>0</v>
      </c>
      <c r="M1062" s="322">
        <v>0</v>
      </c>
      <c r="N1062" s="322">
        <v>0</v>
      </c>
    </row>
    <row r="1063" spans="1:14" x14ac:dyDescent="0.3">
      <c r="A1063">
        <f>EPD!A778</f>
        <v>0</v>
      </c>
      <c r="F1063">
        <v>0</v>
      </c>
      <c r="G1063">
        <v>0</v>
      </c>
      <c r="H1063">
        <v>0</v>
      </c>
      <c r="I1063">
        <v>0</v>
      </c>
      <c r="K1063">
        <v>0</v>
      </c>
      <c r="L1063" s="322">
        <v>0</v>
      </c>
      <c r="M1063" s="322">
        <v>0</v>
      </c>
      <c r="N1063" s="322">
        <v>0</v>
      </c>
    </row>
    <row r="1064" spans="1:14" x14ac:dyDescent="0.3">
      <c r="A1064">
        <f>EPD!A779</f>
        <v>0</v>
      </c>
      <c r="F1064">
        <v>0</v>
      </c>
      <c r="G1064">
        <v>0</v>
      </c>
      <c r="H1064">
        <v>0</v>
      </c>
      <c r="I1064">
        <v>0</v>
      </c>
      <c r="K1064">
        <v>0</v>
      </c>
      <c r="L1064" s="322">
        <v>0</v>
      </c>
      <c r="M1064" s="322">
        <v>0</v>
      </c>
      <c r="N1064" s="322">
        <v>0</v>
      </c>
    </row>
    <row r="1065" spans="1:14" x14ac:dyDescent="0.3">
      <c r="A1065">
        <f>EPD!A780</f>
        <v>0</v>
      </c>
      <c r="F1065">
        <v>0</v>
      </c>
      <c r="G1065">
        <v>0</v>
      </c>
      <c r="H1065">
        <v>0</v>
      </c>
      <c r="I1065">
        <v>0</v>
      </c>
      <c r="K1065">
        <v>0</v>
      </c>
      <c r="L1065" s="322">
        <v>0</v>
      </c>
      <c r="M1065" s="322">
        <v>0</v>
      </c>
      <c r="N1065" s="322">
        <v>0</v>
      </c>
    </row>
    <row r="1066" spans="1:14" x14ac:dyDescent="0.3">
      <c r="A1066">
        <f>EPD!A781</f>
        <v>0</v>
      </c>
      <c r="F1066">
        <v>0</v>
      </c>
      <c r="G1066">
        <v>0</v>
      </c>
      <c r="H1066">
        <v>0</v>
      </c>
      <c r="I1066">
        <v>0</v>
      </c>
      <c r="K1066">
        <v>0</v>
      </c>
      <c r="L1066" s="322">
        <v>0</v>
      </c>
      <c r="M1066" s="322">
        <v>0</v>
      </c>
      <c r="N1066" s="322">
        <v>0</v>
      </c>
    </row>
    <row r="1067" spans="1:14" x14ac:dyDescent="0.3">
      <c r="A1067">
        <f>EPD!A782</f>
        <v>0</v>
      </c>
      <c r="F1067">
        <v>0</v>
      </c>
      <c r="G1067">
        <v>0</v>
      </c>
      <c r="H1067">
        <v>0</v>
      </c>
      <c r="I1067">
        <v>0</v>
      </c>
      <c r="K1067">
        <v>0</v>
      </c>
      <c r="L1067" s="322">
        <v>0</v>
      </c>
      <c r="M1067" s="322">
        <v>0</v>
      </c>
      <c r="N1067" s="322">
        <v>0</v>
      </c>
    </row>
    <row r="1068" spans="1:14" x14ac:dyDescent="0.3">
      <c r="A1068">
        <f>EPD!A783</f>
        <v>0</v>
      </c>
      <c r="F1068">
        <v>0</v>
      </c>
      <c r="G1068">
        <v>0</v>
      </c>
      <c r="H1068">
        <v>0</v>
      </c>
      <c r="I1068">
        <v>0</v>
      </c>
      <c r="K1068">
        <v>0</v>
      </c>
      <c r="L1068" s="322">
        <v>0</v>
      </c>
      <c r="M1068" s="322">
        <v>0</v>
      </c>
      <c r="N1068" s="322">
        <v>0</v>
      </c>
    </row>
    <row r="1069" spans="1:14" x14ac:dyDescent="0.3">
      <c r="A1069">
        <f>EPD!A784</f>
        <v>0</v>
      </c>
      <c r="F1069">
        <v>0</v>
      </c>
      <c r="G1069">
        <v>0</v>
      </c>
      <c r="H1069">
        <v>0</v>
      </c>
      <c r="I1069">
        <v>0</v>
      </c>
      <c r="K1069">
        <v>0</v>
      </c>
      <c r="L1069" s="322">
        <v>0</v>
      </c>
      <c r="M1069" s="322">
        <v>0</v>
      </c>
      <c r="N1069" s="322">
        <v>0</v>
      </c>
    </row>
    <row r="1070" spans="1:14" x14ac:dyDescent="0.3">
      <c r="A1070">
        <f>EPD!A785</f>
        <v>0</v>
      </c>
      <c r="F1070">
        <v>0</v>
      </c>
      <c r="G1070">
        <v>0</v>
      </c>
      <c r="H1070">
        <v>0</v>
      </c>
      <c r="I1070">
        <v>0</v>
      </c>
      <c r="K1070">
        <v>0</v>
      </c>
      <c r="L1070" s="322">
        <v>0</v>
      </c>
      <c r="M1070" s="322">
        <v>0</v>
      </c>
      <c r="N1070" s="322">
        <v>0</v>
      </c>
    </row>
    <row r="1071" spans="1:14" x14ac:dyDescent="0.3">
      <c r="A1071">
        <f>EPD!A786</f>
        <v>0</v>
      </c>
      <c r="F1071">
        <v>0</v>
      </c>
      <c r="G1071">
        <v>0</v>
      </c>
      <c r="H1071">
        <v>0</v>
      </c>
      <c r="I1071">
        <v>0</v>
      </c>
      <c r="K1071">
        <v>0</v>
      </c>
      <c r="L1071" s="322">
        <v>0</v>
      </c>
      <c r="M1071" s="322">
        <v>0</v>
      </c>
      <c r="N1071" s="322">
        <v>0</v>
      </c>
    </row>
    <row r="1072" spans="1:14" x14ac:dyDescent="0.3">
      <c r="A1072">
        <f>EPD!A787</f>
        <v>0</v>
      </c>
      <c r="F1072">
        <v>0</v>
      </c>
      <c r="G1072">
        <v>0</v>
      </c>
      <c r="H1072">
        <v>0</v>
      </c>
      <c r="I1072">
        <v>0</v>
      </c>
      <c r="K1072">
        <v>0</v>
      </c>
      <c r="L1072" s="322">
        <v>0</v>
      </c>
      <c r="M1072" s="322">
        <v>0</v>
      </c>
      <c r="N1072" s="322">
        <v>0</v>
      </c>
    </row>
    <row r="1073" spans="1:14" x14ac:dyDescent="0.3">
      <c r="A1073">
        <f>EPD!A788</f>
        <v>0</v>
      </c>
      <c r="F1073">
        <v>0</v>
      </c>
      <c r="G1073">
        <v>0</v>
      </c>
      <c r="H1073">
        <v>0</v>
      </c>
      <c r="I1073">
        <v>0</v>
      </c>
      <c r="K1073">
        <v>0</v>
      </c>
      <c r="L1073" s="322">
        <v>0</v>
      </c>
      <c r="M1073" s="322">
        <v>0</v>
      </c>
      <c r="N1073" s="322">
        <v>0</v>
      </c>
    </row>
    <row r="1074" spans="1:14" x14ac:dyDescent="0.3">
      <c r="A1074">
        <f>EPD!A789</f>
        <v>0</v>
      </c>
      <c r="F1074">
        <v>0</v>
      </c>
      <c r="G1074">
        <v>0</v>
      </c>
      <c r="H1074">
        <v>0</v>
      </c>
      <c r="I1074">
        <v>0</v>
      </c>
      <c r="K1074">
        <v>0</v>
      </c>
      <c r="L1074" s="322">
        <v>0</v>
      </c>
      <c r="M1074" s="322">
        <v>0</v>
      </c>
      <c r="N1074" s="322">
        <v>0</v>
      </c>
    </row>
    <row r="1075" spans="1:14" x14ac:dyDescent="0.3">
      <c r="A1075">
        <f>EPD!A790</f>
        <v>0</v>
      </c>
      <c r="F1075">
        <v>0</v>
      </c>
      <c r="G1075">
        <v>0</v>
      </c>
      <c r="H1075">
        <v>0</v>
      </c>
      <c r="I1075">
        <v>0</v>
      </c>
      <c r="K1075">
        <v>0</v>
      </c>
      <c r="L1075" s="322">
        <v>0</v>
      </c>
      <c r="M1075" s="322">
        <v>0</v>
      </c>
      <c r="N1075" s="322">
        <v>0</v>
      </c>
    </row>
    <row r="1076" spans="1:14" x14ac:dyDescent="0.3">
      <c r="A1076">
        <f>EPD!A791</f>
        <v>0</v>
      </c>
      <c r="F1076">
        <v>0</v>
      </c>
      <c r="G1076">
        <v>0</v>
      </c>
      <c r="H1076">
        <v>0</v>
      </c>
      <c r="I1076">
        <v>0</v>
      </c>
      <c r="K1076">
        <v>0</v>
      </c>
      <c r="L1076" s="322">
        <v>0</v>
      </c>
      <c r="M1076" s="322">
        <v>0</v>
      </c>
      <c r="N1076" s="322">
        <v>0</v>
      </c>
    </row>
    <row r="1077" spans="1:14" x14ac:dyDescent="0.3">
      <c r="A1077">
        <f>EPD!A792</f>
        <v>0</v>
      </c>
      <c r="F1077">
        <v>0</v>
      </c>
      <c r="G1077">
        <v>0</v>
      </c>
      <c r="H1077">
        <v>0</v>
      </c>
      <c r="I1077">
        <v>0</v>
      </c>
      <c r="K1077">
        <v>0</v>
      </c>
      <c r="L1077" s="322">
        <v>0</v>
      </c>
      <c r="M1077" s="322">
        <v>0</v>
      </c>
      <c r="N1077" s="322">
        <v>0</v>
      </c>
    </row>
    <row r="1078" spans="1:14" x14ac:dyDescent="0.3">
      <c r="A1078">
        <f>EPD!A793</f>
        <v>0</v>
      </c>
      <c r="F1078">
        <v>0</v>
      </c>
      <c r="G1078">
        <v>0</v>
      </c>
      <c r="H1078">
        <v>0</v>
      </c>
      <c r="I1078">
        <v>0</v>
      </c>
      <c r="K1078">
        <v>0</v>
      </c>
      <c r="L1078" s="322">
        <v>0</v>
      </c>
      <c r="M1078" s="322">
        <v>0</v>
      </c>
      <c r="N1078" s="322">
        <v>0</v>
      </c>
    </row>
    <row r="1079" spans="1:14" x14ac:dyDescent="0.3">
      <c r="A1079">
        <f>EPD!A794</f>
        <v>0</v>
      </c>
      <c r="F1079">
        <v>0</v>
      </c>
      <c r="G1079">
        <v>0</v>
      </c>
      <c r="H1079">
        <v>0</v>
      </c>
      <c r="I1079">
        <v>0</v>
      </c>
      <c r="K1079">
        <v>0</v>
      </c>
      <c r="L1079" s="322">
        <v>0</v>
      </c>
      <c r="M1079" s="322">
        <v>0</v>
      </c>
      <c r="N1079" s="322">
        <v>0</v>
      </c>
    </row>
    <row r="1080" spans="1:14" x14ac:dyDescent="0.3">
      <c r="A1080">
        <f>EPD!A795</f>
        <v>0</v>
      </c>
      <c r="F1080">
        <v>0</v>
      </c>
      <c r="G1080">
        <v>0</v>
      </c>
      <c r="H1080">
        <v>0</v>
      </c>
      <c r="I1080">
        <v>0</v>
      </c>
      <c r="K1080">
        <v>0</v>
      </c>
      <c r="L1080" s="322">
        <v>0</v>
      </c>
      <c r="M1080" s="322">
        <v>0</v>
      </c>
      <c r="N1080" s="322">
        <v>0</v>
      </c>
    </row>
    <row r="1081" spans="1:14" x14ac:dyDescent="0.3">
      <c r="A1081">
        <f>EPD!A796</f>
        <v>0</v>
      </c>
      <c r="F1081">
        <v>0</v>
      </c>
      <c r="G1081">
        <v>0</v>
      </c>
      <c r="H1081">
        <v>0</v>
      </c>
      <c r="I1081">
        <v>0</v>
      </c>
      <c r="K1081">
        <v>0</v>
      </c>
      <c r="L1081" s="322">
        <v>0</v>
      </c>
      <c r="M1081" s="322">
        <v>0</v>
      </c>
      <c r="N1081" s="322">
        <v>0</v>
      </c>
    </row>
    <row r="1082" spans="1:14" x14ac:dyDescent="0.3">
      <c r="A1082">
        <f>EPD!A797</f>
        <v>0</v>
      </c>
      <c r="F1082">
        <v>0</v>
      </c>
      <c r="G1082">
        <v>0</v>
      </c>
      <c r="H1082">
        <v>0</v>
      </c>
      <c r="I1082">
        <v>0</v>
      </c>
      <c r="K1082">
        <v>0</v>
      </c>
      <c r="L1082" s="322">
        <v>0</v>
      </c>
      <c r="M1082" s="322">
        <v>0</v>
      </c>
      <c r="N1082" s="322">
        <v>0</v>
      </c>
    </row>
    <row r="1083" spans="1:14" x14ac:dyDescent="0.3">
      <c r="A1083">
        <f>EPD!A798</f>
        <v>0</v>
      </c>
      <c r="F1083">
        <v>0</v>
      </c>
      <c r="G1083">
        <v>0</v>
      </c>
      <c r="H1083">
        <v>0</v>
      </c>
      <c r="I1083">
        <v>0</v>
      </c>
      <c r="K1083">
        <v>0</v>
      </c>
      <c r="L1083" s="322">
        <v>0</v>
      </c>
      <c r="M1083" s="322">
        <v>0</v>
      </c>
      <c r="N1083" s="322">
        <v>0</v>
      </c>
    </row>
    <row r="1084" spans="1:14" x14ac:dyDescent="0.3">
      <c r="A1084">
        <f>EPD!A799</f>
        <v>0</v>
      </c>
      <c r="F1084">
        <v>0</v>
      </c>
      <c r="G1084">
        <v>0</v>
      </c>
      <c r="H1084">
        <v>0</v>
      </c>
      <c r="I1084">
        <v>0</v>
      </c>
      <c r="K1084">
        <v>0</v>
      </c>
      <c r="L1084" s="322">
        <v>0</v>
      </c>
      <c r="M1084" s="322">
        <v>0</v>
      </c>
      <c r="N1084" s="322">
        <v>0</v>
      </c>
    </row>
    <row r="1085" spans="1:14" x14ac:dyDescent="0.3">
      <c r="A1085">
        <f>EPD!A800</f>
        <v>0</v>
      </c>
      <c r="F1085">
        <v>0</v>
      </c>
      <c r="G1085">
        <v>0</v>
      </c>
      <c r="H1085">
        <v>0</v>
      </c>
      <c r="I1085">
        <v>0</v>
      </c>
      <c r="K1085">
        <v>0</v>
      </c>
      <c r="L1085" s="322">
        <v>0</v>
      </c>
      <c r="M1085" s="322">
        <v>0</v>
      </c>
      <c r="N1085" s="322">
        <v>0</v>
      </c>
    </row>
    <row r="1086" spans="1:14" x14ac:dyDescent="0.3">
      <c r="A1086">
        <f>EPD!A801</f>
        <v>0</v>
      </c>
      <c r="F1086">
        <v>0</v>
      </c>
      <c r="G1086">
        <v>0</v>
      </c>
      <c r="H1086">
        <v>0</v>
      </c>
      <c r="I1086">
        <v>0</v>
      </c>
      <c r="K1086">
        <v>0</v>
      </c>
      <c r="L1086" s="322">
        <v>0</v>
      </c>
      <c r="M1086" s="322">
        <v>0</v>
      </c>
      <c r="N1086" s="322">
        <v>0</v>
      </c>
    </row>
    <row r="1087" spans="1:14" x14ac:dyDescent="0.3">
      <c r="A1087">
        <f>EPD!A802</f>
        <v>0</v>
      </c>
      <c r="F1087">
        <v>0</v>
      </c>
      <c r="G1087">
        <v>0</v>
      </c>
      <c r="H1087">
        <v>0</v>
      </c>
      <c r="I1087">
        <v>0</v>
      </c>
      <c r="K1087">
        <v>0</v>
      </c>
      <c r="L1087" s="322">
        <v>0</v>
      </c>
      <c r="M1087" s="322">
        <v>0</v>
      </c>
      <c r="N1087" s="322">
        <v>0</v>
      </c>
    </row>
    <row r="1088" spans="1:14" x14ac:dyDescent="0.3">
      <c r="A1088">
        <f>EPD!A803</f>
        <v>0</v>
      </c>
      <c r="F1088">
        <v>0</v>
      </c>
      <c r="G1088">
        <v>0</v>
      </c>
      <c r="H1088">
        <v>0</v>
      </c>
      <c r="I1088">
        <v>0</v>
      </c>
      <c r="K1088">
        <v>0</v>
      </c>
      <c r="L1088" s="322">
        <v>0</v>
      </c>
      <c r="M1088" s="322">
        <v>0</v>
      </c>
      <c r="N1088" s="322">
        <v>0</v>
      </c>
    </row>
    <row r="1089" spans="1:14" x14ac:dyDescent="0.3">
      <c r="A1089">
        <f>EPD!A804</f>
        <v>0</v>
      </c>
      <c r="F1089">
        <v>0</v>
      </c>
      <c r="G1089">
        <v>0</v>
      </c>
      <c r="H1089">
        <v>0</v>
      </c>
      <c r="I1089">
        <v>0</v>
      </c>
      <c r="K1089">
        <v>0</v>
      </c>
      <c r="L1089" s="322">
        <v>0</v>
      </c>
      <c r="M1089" s="322">
        <v>0</v>
      </c>
      <c r="N1089" s="322">
        <v>0</v>
      </c>
    </row>
    <row r="1090" spans="1:14" x14ac:dyDescent="0.3">
      <c r="A1090">
        <f>EPD!A805</f>
        <v>0</v>
      </c>
      <c r="F1090">
        <v>0</v>
      </c>
      <c r="G1090">
        <v>0</v>
      </c>
      <c r="H1090">
        <v>0</v>
      </c>
      <c r="I1090">
        <v>0</v>
      </c>
      <c r="K1090">
        <v>0</v>
      </c>
      <c r="L1090" s="322">
        <v>0</v>
      </c>
      <c r="M1090" s="322">
        <v>0</v>
      </c>
      <c r="N1090" s="322">
        <v>0</v>
      </c>
    </row>
    <row r="1091" spans="1:14" x14ac:dyDescent="0.3">
      <c r="A1091">
        <f>EPD!A806</f>
        <v>0</v>
      </c>
      <c r="F1091">
        <v>0</v>
      </c>
      <c r="G1091">
        <v>0</v>
      </c>
      <c r="H1091">
        <v>0</v>
      </c>
      <c r="I1091">
        <v>0</v>
      </c>
      <c r="K1091">
        <v>0</v>
      </c>
      <c r="L1091" s="322">
        <v>0</v>
      </c>
      <c r="M1091" s="322">
        <v>0</v>
      </c>
      <c r="N1091" s="322">
        <v>0</v>
      </c>
    </row>
    <row r="1092" spans="1:14" x14ac:dyDescent="0.3">
      <c r="A1092">
        <f>EPD!A807</f>
        <v>0</v>
      </c>
      <c r="F1092">
        <v>0</v>
      </c>
      <c r="G1092">
        <v>0</v>
      </c>
      <c r="H1092">
        <v>0</v>
      </c>
      <c r="I1092">
        <v>0</v>
      </c>
      <c r="K1092">
        <v>0</v>
      </c>
      <c r="L1092" s="322">
        <v>0</v>
      </c>
      <c r="M1092" s="322">
        <v>0</v>
      </c>
      <c r="N1092" s="322">
        <v>0</v>
      </c>
    </row>
    <row r="1093" spans="1:14" x14ac:dyDescent="0.3">
      <c r="A1093">
        <f>EPD!A808</f>
        <v>0</v>
      </c>
      <c r="F1093">
        <v>0</v>
      </c>
      <c r="G1093">
        <v>0</v>
      </c>
      <c r="H1093">
        <v>0</v>
      </c>
      <c r="I1093">
        <v>0</v>
      </c>
      <c r="K1093">
        <v>0</v>
      </c>
      <c r="L1093" s="322">
        <v>0</v>
      </c>
      <c r="M1093" s="322">
        <v>0</v>
      </c>
      <c r="N1093" s="322">
        <v>0</v>
      </c>
    </row>
    <row r="1094" spans="1:14" x14ac:dyDescent="0.3">
      <c r="A1094">
        <f>EPD!A809</f>
        <v>0</v>
      </c>
      <c r="F1094">
        <v>0</v>
      </c>
      <c r="G1094">
        <v>0</v>
      </c>
      <c r="H1094">
        <v>0</v>
      </c>
      <c r="I1094">
        <v>0</v>
      </c>
      <c r="K1094">
        <v>0</v>
      </c>
      <c r="L1094" s="322">
        <v>0</v>
      </c>
      <c r="M1094" s="322">
        <v>0</v>
      </c>
      <c r="N1094" s="322">
        <v>0</v>
      </c>
    </row>
    <row r="1095" spans="1:14" x14ac:dyDescent="0.3">
      <c r="A1095">
        <f>EPD!A810</f>
        <v>0</v>
      </c>
      <c r="F1095">
        <v>0</v>
      </c>
      <c r="G1095">
        <v>0</v>
      </c>
      <c r="H1095">
        <v>0</v>
      </c>
      <c r="I1095">
        <v>0</v>
      </c>
      <c r="K1095">
        <v>0</v>
      </c>
      <c r="L1095" s="322">
        <v>0</v>
      </c>
      <c r="M1095" s="322">
        <v>0</v>
      </c>
      <c r="N1095" s="322">
        <v>0</v>
      </c>
    </row>
    <row r="1096" spans="1:14" x14ac:dyDescent="0.3">
      <c r="A1096">
        <f>EPD!A811</f>
        <v>0</v>
      </c>
      <c r="F1096">
        <v>0</v>
      </c>
      <c r="G1096">
        <v>0</v>
      </c>
      <c r="H1096">
        <v>0</v>
      </c>
      <c r="I1096">
        <v>0</v>
      </c>
      <c r="K1096">
        <v>0</v>
      </c>
      <c r="L1096" s="322">
        <v>0</v>
      </c>
      <c r="M1096" s="322">
        <v>0</v>
      </c>
      <c r="N1096" s="322">
        <v>0</v>
      </c>
    </row>
    <row r="1097" spans="1:14" x14ac:dyDescent="0.3">
      <c r="A1097">
        <f>EPD!A812</f>
        <v>0</v>
      </c>
      <c r="F1097">
        <v>0</v>
      </c>
      <c r="G1097">
        <v>0</v>
      </c>
      <c r="H1097">
        <v>0</v>
      </c>
      <c r="I1097">
        <v>0</v>
      </c>
      <c r="K1097">
        <v>0</v>
      </c>
      <c r="L1097" s="322">
        <v>0</v>
      </c>
      <c r="M1097" s="322">
        <v>0</v>
      </c>
      <c r="N1097" s="322">
        <v>0</v>
      </c>
    </row>
    <row r="1098" spans="1:14" x14ac:dyDescent="0.3">
      <c r="A1098">
        <f>EPD!A813</f>
        <v>0</v>
      </c>
      <c r="F1098">
        <v>0</v>
      </c>
      <c r="G1098">
        <v>0</v>
      </c>
      <c r="H1098">
        <v>0</v>
      </c>
      <c r="I1098">
        <v>0</v>
      </c>
      <c r="K1098">
        <v>0</v>
      </c>
      <c r="L1098" s="322">
        <v>0</v>
      </c>
      <c r="M1098" s="322">
        <v>0</v>
      </c>
      <c r="N1098" s="322">
        <v>0</v>
      </c>
    </row>
    <row r="1099" spans="1:14" x14ac:dyDescent="0.3">
      <c r="A1099">
        <f>EPD!A814</f>
        <v>0</v>
      </c>
      <c r="F1099">
        <v>0</v>
      </c>
      <c r="G1099">
        <v>0</v>
      </c>
      <c r="H1099">
        <v>0</v>
      </c>
      <c r="I1099">
        <v>0</v>
      </c>
      <c r="K1099">
        <v>0</v>
      </c>
      <c r="L1099" s="322">
        <v>0</v>
      </c>
      <c r="M1099" s="322">
        <v>0</v>
      </c>
      <c r="N1099" s="322">
        <v>0</v>
      </c>
    </row>
    <row r="1100" spans="1:14" x14ac:dyDescent="0.3">
      <c r="A1100">
        <f>EPD!A815</f>
        <v>0</v>
      </c>
      <c r="F1100">
        <v>0</v>
      </c>
      <c r="G1100">
        <v>0</v>
      </c>
      <c r="H1100">
        <v>0</v>
      </c>
      <c r="I1100">
        <v>0</v>
      </c>
      <c r="K1100">
        <v>0</v>
      </c>
      <c r="L1100" s="322">
        <v>0</v>
      </c>
      <c r="M1100" s="322">
        <v>0</v>
      </c>
      <c r="N1100" s="322">
        <v>0</v>
      </c>
    </row>
    <row r="1101" spans="1:14" x14ac:dyDescent="0.3">
      <c r="A1101">
        <f>EPD!A816</f>
        <v>0</v>
      </c>
      <c r="F1101">
        <v>0</v>
      </c>
      <c r="G1101">
        <v>0</v>
      </c>
      <c r="H1101">
        <v>0</v>
      </c>
      <c r="I1101">
        <v>0</v>
      </c>
      <c r="K1101">
        <v>0</v>
      </c>
      <c r="L1101" s="322">
        <v>0</v>
      </c>
      <c r="M1101" s="322">
        <v>0</v>
      </c>
      <c r="N1101" s="322">
        <v>0</v>
      </c>
    </row>
    <row r="1102" spans="1:14" x14ac:dyDescent="0.3">
      <c r="A1102">
        <f>EPD!A817</f>
        <v>0</v>
      </c>
      <c r="F1102">
        <v>0</v>
      </c>
      <c r="G1102">
        <v>0</v>
      </c>
      <c r="H1102">
        <v>0</v>
      </c>
      <c r="I1102">
        <v>0</v>
      </c>
      <c r="K1102">
        <v>0</v>
      </c>
      <c r="L1102" s="322">
        <v>0</v>
      </c>
      <c r="M1102" s="322">
        <v>0</v>
      </c>
      <c r="N1102" s="322">
        <v>0</v>
      </c>
    </row>
    <row r="1103" spans="1:14" x14ac:dyDescent="0.3">
      <c r="A1103">
        <f>EPD!A818</f>
        <v>0</v>
      </c>
      <c r="F1103">
        <v>0</v>
      </c>
      <c r="G1103">
        <v>0</v>
      </c>
      <c r="H1103">
        <v>0</v>
      </c>
      <c r="I1103">
        <v>0</v>
      </c>
      <c r="K1103">
        <v>0</v>
      </c>
      <c r="L1103" s="322">
        <v>0</v>
      </c>
      <c r="M1103" s="322">
        <v>0</v>
      </c>
      <c r="N1103" s="322">
        <v>0</v>
      </c>
    </row>
    <row r="1104" spans="1:14" x14ac:dyDescent="0.3">
      <c r="A1104">
        <f>EPD!A819</f>
        <v>0</v>
      </c>
      <c r="F1104">
        <v>0</v>
      </c>
      <c r="G1104">
        <v>0</v>
      </c>
      <c r="H1104">
        <v>0</v>
      </c>
      <c r="I1104">
        <v>0</v>
      </c>
      <c r="K1104">
        <v>0</v>
      </c>
      <c r="L1104" s="322">
        <v>0</v>
      </c>
      <c r="M1104" s="322">
        <v>0</v>
      </c>
      <c r="N1104" s="322">
        <v>0</v>
      </c>
    </row>
    <row r="1105" spans="1:14" x14ac:dyDescent="0.3">
      <c r="A1105">
        <f>EPD!A820</f>
        <v>0</v>
      </c>
      <c r="F1105">
        <v>0</v>
      </c>
      <c r="G1105">
        <v>0</v>
      </c>
      <c r="H1105">
        <v>0</v>
      </c>
      <c r="I1105">
        <v>0</v>
      </c>
      <c r="K1105">
        <v>0</v>
      </c>
      <c r="L1105" s="322">
        <v>0</v>
      </c>
      <c r="M1105" s="322">
        <v>0</v>
      </c>
      <c r="N1105" s="322">
        <v>0</v>
      </c>
    </row>
    <row r="1106" spans="1:14" x14ac:dyDescent="0.3">
      <c r="A1106">
        <f>EPD!A821</f>
        <v>0</v>
      </c>
      <c r="F1106">
        <v>0</v>
      </c>
      <c r="G1106">
        <v>0</v>
      </c>
      <c r="H1106">
        <v>0</v>
      </c>
      <c r="I1106">
        <v>0</v>
      </c>
      <c r="K1106">
        <v>0</v>
      </c>
      <c r="L1106" s="322">
        <v>0</v>
      </c>
      <c r="M1106" s="322">
        <v>0</v>
      </c>
      <c r="N1106" s="322">
        <v>0</v>
      </c>
    </row>
    <row r="1107" spans="1:14" x14ac:dyDescent="0.3">
      <c r="A1107">
        <f>EPD!A822</f>
        <v>0</v>
      </c>
      <c r="F1107">
        <v>0</v>
      </c>
      <c r="G1107">
        <v>0</v>
      </c>
      <c r="H1107">
        <v>0</v>
      </c>
      <c r="I1107">
        <v>0</v>
      </c>
      <c r="K1107">
        <v>0</v>
      </c>
      <c r="L1107" s="322">
        <v>0</v>
      </c>
      <c r="M1107" s="322">
        <v>0</v>
      </c>
      <c r="N1107" s="322">
        <v>0</v>
      </c>
    </row>
    <row r="1108" spans="1:14" x14ac:dyDescent="0.3">
      <c r="A1108">
        <f>EPD!A823</f>
        <v>0</v>
      </c>
      <c r="F1108">
        <v>0</v>
      </c>
      <c r="G1108">
        <v>0</v>
      </c>
      <c r="H1108">
        <v>0</v>
      </c>
      <c r="I1108">
        <v>0</v>
      </c>
      <c r="K1108">
        <v>0</v>
      </c>
      <c r="L1108" s="322">
        <v>0</v>
      </c>
      <c r="M1108" s="322">
        <v>0</v>
      </c>
      <c r="N1108" s="322">
        <v>0</v>
      </c>
    </row>
    <row r="1109" spans="1:14" x14ac:dyDescent="0.3">
      <c r="A1109">
        <f>EPD!A824</f>
        <v>0</v>
      </c>
      <c r="F1109">
        <v>0</v>
      </c>
      <c r="G1109">
        <v>0</v>
      </c>
      <c r="H1109">
        <v>0</v>
      </c>
      <c r="I1109">
        <v>0</v>
      </c>
      <c r="K1109">
        <v>0</v>
      </c>
      <c r="L1109" s="322">
        <v>0</v>
      </c>
      <c r="M1109" s="322">
        <v>0</v>
      </c>
      <c r="N1109" s="322">
        <v>0</v>
      </c>
    </row>
    <row r="1110" spans="1:14" x14ac:dyDescent="0.3">
      <c r="A1110">
        <f>EPD!A825</f>
        <v>0</v>
      </c>
      <c r="F1110">
        <v>0</v>
      </c>
      <c r="G1110">
        <v>0</v>
      </c>
      <c r="H1110">
        <v>0</v>
      </c>
      <c r="I1110">
        <v>0</v>
      </c>
      <c r="K1110">
        <v>0</v>
      </c>
      <c r="L1110" s="322">
        <v>0</v>
      </c>
      <c r="M1110" s="322">
        <v>0</v>
      </c>
      <c r="N1110" s="322">
        <v>0</v>
      </c>
    </row>
    <row r="1111" spans="1:14" x14ac:dyDescent="0.3">
      <c r="A1111">
        <f>EPD!A826</f>
        <v>0</v>
      </c>
      <c r="F1111">
        <v>0</v>
      </c>
      <c r="G1111">
        <v>0</v>
      </c>
      <c r="H1111">
        <v>0</v>
      </c>
      <c r="I1111">
        <v>0</v>
      </c>
      <c r="K1111">
        <v>0</v>
      </c>
      <c r="L1111" s="322">
        <v>0</v>
      </c>
      <c r="M1111" s="322">
        <v>0</v>
      </c>
      <c r="N1111" s="322">
        <v>0</v>
      </c>
    </row>
    <row r="1112" spans="1:14" x14ac:dyDescent="0.3">
      <c r="A1112">
        <f>EPD!A827</f>
        <v>0</v>
      </c>
      <c r="F1112">
        <v>0</v>
      </c>
      <c r="G1112">
        <v>0</v>
      </c>
      <c r="H1112">
        <v>0</v>
      </c>
      <c r="I1112">
        <v>0</v>
      </c>
      <c r="K1112">
        <v>0</v>
      </c>
      <c r="L1112" s="322">
        <v>0</v>
      </c>
      <c r="M1112" s="322">
        <v>0</v>
      </c>
      <c r="N1112" s="322">
        <v>0</v>
      </c>
    </row>
    <row r="1113" spans="1:14" x14ac:dyDescent="0.3">
      <c r="A1113">
        <f>EPD!A828</f>
        <v>0</v>
      </c>
      <c r="F1113">
        <v>0</v>
      </c>
      <c r="G1113">
        <v>0</v>
      </c>
      <c r="H1113">
        <v>0</v>
      </c>
      <c r="I1113">
        <v>0</v>
      </c>
      <c r="K1113">
        <v>0</v>
      </c>
      <c r="L1113" s="322">
        <v>0</v>
      </c>
      <c r="M1113" s="322">
        <v>0</v>
      </c>
      <c r="N1113" s="322">
        <v>0</v>
      </c>
    </row>
    <row r="1114" spans="1:14" x14ac:dyDescent="0.3">
      <c r="A1114">
        <f>EPD!A829</f>
        <v>0</v>
      </c>
      <c r="F1114">
        <v>0</v>
      </c>
      <c r="G1114">
        <v>0</v>
      </c>
      <c r="H1114">
        <v>0</v>
      </c>
      <c r="I1114">
        <v>0</v>
      </c>
      <c r="K1114">
        <v>0</v>
      </c>
      <c r="L1114" s="322">
        <v>0</v>
      </c>
      <c r="M1114" s="322">
        <v>0</v>
      </c>
      <c r="N1114" s="322">
        <v>0</v>
      </c>
    </row>
    <row r="1115" spans="1:14" x14ac:dyDescent="0.3">
      <c r="A1115">
        <f>EPD!A830</f>
        <v>0</v>
      </c>
      <c r="F1115">
        <v>0</v>
      </c>
      <c r="G1115">
        <v>0</v>
      </c>
      <c r="H1115">
        <v>0</v>
      </c>
      <c r="I1115">
        <v>0</v>
      </c>
      <c r="K1115">
        <v>0</v>
      </c>
      <c r="L1115" s="322">
        <v>0</v>
      </c>
      <c r="M1115" s="322">
        <v>0</v>
      </c>
      <c r="N1115" s="322">
        <v>0</v>
      </c>
    </row>
    <row r="1116" spans="1:14" x14ac:dyDescent="0.3">
      <c r="A1116">
        <f>EPD!A831</f>
        <v>0</v>
      </c>
      <c r="F1116">
        <v>0</v>
      </c>
      <c r="G1116">
        <v>0</v>
      </c>
      <c r="H1116">
        <v>0</v>
      </c>
      <c r="I1116">
        <v>0</v>
      </c>
      <c r="K1116">
        <v>0</v>
      </c>
      <c r="L1116" s="322">
        <v>0</v>
      </c>
      <c r="M1116" s="322">
        <v>0</v>
      </c>
      <c r="N1116" s="322">
        <v>0</v>
      </c>
    </row>
    <row r="1117" spans="1:14" x14ac:dyDescent="0.3">
      <c r="A1117">
        <f>EPD!A832</f>
        <v>0</v>
      </c>
      <c r="F1117">
        <v>0</v>
      </c>
      <c r="G1117">
        <v>0</v>
      </c>
      <c r="H1117">
        <v>0</v>
      </c>
      <c r="I1117">
        <v>0</v>
      </c>
      <c r="K1117">
        <v>0</v>
      </c>
      <c r="L1117" s="322">
        <v>0</v>
      </c>
      <c r="M1117" s="322">
        <v>0</v>
      </c>
      <c r="N1117" s="322">
        <v>0</v>
      </c>
    </row>
    <row r="1118" spans="1:14" x14ac:dyDescent="0.3">
      <c r="A1118">
        <f>EPD!A833</f>
        <v>0</v>
      </c>
      <c r="F1118">
        <v>0</v>
      </c>
      <c r="G1118">
        <v>0</v>
      </c>
      <c r="H1118">
        <v>0</v>
      </c>
      <c r="I1118">
        <v>0</v>
      </c>
      <c r="K1118">
        <v>0</v>
      </c>
      <c r="L1118" s="322">
        <v>0</v>
      </c>
      <c r="M1118" s="322">
        <v>0</v>
      </c>
      <c r="N1118" s="322">
        <v>0</v>
      </c>
    </row>
    <row r="1119" spans="1:14" x14ac:dyDescent="0.3">
      <c r="A1119">
        <f>EPD!A834</f>
        <v>0</v>
      </c>
      <c r="F1119">
        <v>0</v>
      </c>
      <c r="G1119">
        <v>0</v>
      </c>
      <c r="H1119">
        <v>0</v>
      </c>
      <c r="I1119">
        <v>0</v>
      </c>
      <c r="K1119">
        <v>0</v>
      </c>
      <c r="L1119" s="322">
        <v>0</v>
      </c>
      <c r="M1119" s="322">
        <v>0</v>
      </c>
      <c r="N1119" s="322">
        <v>0</v>
      </c>
    </row>
    <row r="1120" spans="1:14" x14ac:dyDescent="0.3">
      <c r="A1120">
        <f>EPD!A835</f>
        <v>0</v>
      </c>
      <c r="F1120">
        <v>0</v>
      </c>
      <c r="G1120">
        <v>0</v>
      </c>
      <c r="H1120">
        <v>0</v>
      </c>
      <c r="I1120">
        <v>0</v>
      </c>
      <c r="K1120">
        <v>0</v>
      </c>
      <c r="L1120" s="322">
        <v>0</v>
      </c>
      <c r="M1120" s="322">
        <v>0</v>
      </c>
      <c r="N1120" s="322">
        <v>0</v>
      </c>
    </row>
    <row r="1121" spans="1:14" x14ac:dyDescent="0.3">
      <c r="A1121">
        <f>EPD!A836</f>
        <v>0</v>
      </c>
      <c r="F1121">
        <v>0</v>
      </c>
      <c r="G1121">
        <v>0</v>
      </c>
      <c r="H1121">
        <v>0</v>
      </c>
      <c r="I1121">
        <v>0</v>
      </c>
      <c r="K1121">
        <v>0</v>
      </c>
      <c r="L1121" s="322">
        <v>0</v>
      </c>
      <c r="M1121" s="322">
        <v>0</v>
      </c>
      <c r="N1121" s="322">
        <v>0</v>
      </c>
    </row>
    <row r="1122" spans="1:14" x14ac:dyDescent="0.3">
      <c r="A1122">
        <f>EPD!A837</f>
        <v>0</v>
      </c>
      <c r="F1122">
        <v>0</v>
      </c>
      <c r="G1122">
        <v>0</v>
      </c>
      <c r="H1122">
        <v>0</v>
      </c>
      <c r="I1122">
        <v>0</v>
      </c>
      <c r="K1122">
        <v>0</v>
      </c>
      <c r="L1122" s="322">
        <v>0</v>
      </c>
      <c r="M1122" s="322">
        <v>0</v>
      </c>
      <c r="N1122" s="322">
        <v>0</v>
      </c>
    </row>
    <row r="1123" spans="1:14" x14ac:dyDescent="0.3">
      <c r="A1123">
        <f>EPD!A838</f>
        <v>0</v>
      </c>
      <c r="F1123">
        <v>0</v>
      </c>
      <c r="G1123">
        <v>0</v>
      </c>
      <c r="H1123">
        <v>0</v>
      </c>
      <c r="I1123">
        <v>0</v>
      </c>
      <c r="K1123">
        <v>0</v>
      </c>
      <c r="L1123" s="322">
        <v>0</v>
      </c>
      <c r="M1123" s="322">
        <v>0</v>
      </c>
      <c r="N1123" s="322">
        <v>0</v>
      </c>
    </row>
    <row r="1124" spans="1:14" x14ac:dyDescent="0.3">
      <c r="A1124">
        <f>EPD!A839</f>
        <v>0</v>
      </c>
      <c r="F1124">
        <v>0</v>
      </c>
      <c r="G1124">
        <v>0</v>
      </c>
      <c r="H1124">
        <v>0</v>
      </c>
      <c r="I1124">
        <v>0</v>
      </c>
      <c r="K1124">
        <v>0</v>
      </c>
      <c r="L1124" s="322">
        <v>0</v>
      </c>
      <c r="M1124" s="322">
        <v>0</v>
      </c>
      <c r="N1124" s="322">
        <v>0</v>
      </c>
    </row>
    <row r="1125" spans="1:14" x14ac:dyDescent="0.3">
      <c r="A1125">
        <f>EPD!A840</f>
        <v>0</v>
      </c>
      <c r="F1125">
        <v>0</v>
      </c>
      <c r="G1125">
        <v>0</v>
      </c>
      <c r="H1125">
        <v>0</v>
      </c>
      <c r="I1125">
        <v>0</v>
      </c>
      <c r="K1125">
        <v>0</v>
      </c>
      <c r="L1125" s="322">
        <v>0</v>
      </c>
      <c r="M1125" s="322">
        <v>0</v>
      </c>
      <c r="N1125" s="322">
        <v>0</v>
      </c>
    </row>
    <row r="1126" spans="1:14" x14ac:dyDescent="0.3">
      <c r="A1126">
        <f>EPD!A841</f>
        <v>0</v>
      </c>
      <c r="F1126">
        <v>0</v>
      </c>
      <c r="G1126">
        <v>0</v>
      </c>
      <c r="H1126">
        <v>0</v>
      </c>
      <c r="I1126">
        <v>0</v>
      </c>
      <c r="K1126">
        <v>0</v>
      </c>
      <c r="L1126" s="322">
        <v>0</v>
      </c>
      <c r="M1126" s="322">
        <v>0</v>
      </c>
      <c r="N1126" s="322">
        <v>0</v>
      </c>
    </row>
    <row r="1127" spans="1:14" x14ac:dyDescent="0.3">
      <c r="A1127">
        <f>EPD!A842</f>
        <v>0</v>
      </c>
      <c r="F1127">
        <v>0</v>
      </c>
      <c r="G1127">
        <v>0</v>
      </c>
      <c r="H1127">
        <v>0</v>
      </c>
      <c r="I1127">
        <v>0</v>
      </c>
      <c r="K1127">
        <v>0</v>
      </c>
      <c r="L1127" s="322">
        <v>0</v>
      </c>
      <c r="M1127" s="322">
        <v>0</v>
      </c>
      <c r="N1127" s="322">
        <v>0</v>
      </c>
    </row>
    <row r="1128" spans="1:14" x14ac:dyDescent="0.3">
      <c r="A1128">
        <f>EPD!A843</f>
        <v>0</v>
      </c>
      <c r="F1128">
        <v>0</v>
      </c>
      <c r="G1128">
        <v>0</v>
      </c>
      <c r="H1128">
        <v>0</v>
      </c>
      <c r="I1128">
        <v>0</v>
      </c>
      <c r="K1128">
        <v>0</v>
      </c>
      <c r="L1128" s="322">
        <v>0</v>
      </c>
      <c r="M1128" s="322">
        <v>0</v>
      </c>
      <c r="N1128" s="322">
        <v>0</v>
      </c>
    </row>
    <row r="1129" spans="1:14" x14ac:dyDescent="0.3">
      <c r="A1129">
        <f>EPD!A844</f>
        <v>0</v>
      </c>
      <c r="F1129">
        <v>0</v>
      </c>
      <c r="G1129">
        <v>0</v>
      </c>
      <c r="H1129">
        <v>0</v>
      </c>
      <c r="I1129">
        <v>0</v>
      </c>
      <c r="K1129">
        <v>0</v>
      </c>
      <c r="L1129" s="322">
        <v>0</v>
      </c>
      <c r="M1129" s="322">
        <v>0</v>
      </c>
      <c r="N1129" s="322">
        <v>0</v>
      </c>
    </row>
    <row r="1130" spans="1:14" x14ac:dyDescent="0.3">
      <c r="A1130">
        <f>EPD!A845</f>
        <v>0</v>
      </c>
      <c r="F1130">
        <v>0</v>
      </c>
      <c r="G1130">
        <v>0</v>
      </c>
      <c r="H1130">
        <v>0</v>
      </c>
      <c r="I1130">
        <v>0</v>
      </c>
      <c r="K1130">
        <v>0</v>
      </c>
      <c r="L1130" s="322">
        <v>0</v>
      </c>
      <c r="M1130" s="322">
        <v>0</v>
      </c>
      <c r="N1130" s="322">
        <v>0</v>
      </c>
    </row>
    <row r="1131" spans="1:14" x14ac:dyDescent="0.3">
      <c r="A1131">
        <f>EPD!A846</f>
        <v>0</v>
      </c>
      <c r="F1131">
        <v>0</v>
      </c>
      <c r="G1131">
        <v>0</v>
      </c>
      <c r="H1131">
        <v>0</v>
      </c>
      <c r="I1131">
        <v>0</v>
      </c>
      <c r="K1131">
        <v>0</v>
      </c>
      <c r="L1131" s="322">
        <v>0</v>
      </c>
      <c r="M1131" s="322">
        <v>0</v>
      </c>
      <c r="N1131" s="322">
        <v>0</v>
      </c>
    </row>
    <row r="1132" spans="1:14" x14ac:dyDescent="0.3">
      <c r="A1132">
        <f>EPD!A847</f>
        <v>0</v>
      </c>
      <c r="F1132">
        <v>0</v>
      </c>
      <c r="G1132">
        <v>0</v>
      </c>
      <c r="H1132">
        <v>0</v>
      </c>
      <c r="I1132">
        <v>0</v>
      </c>
      <c r="K1132">
        <v>0</v>
      </c>
      <c r="L1132" s="322">
        <v>0</v>
      </c>
      <c r="M1132" s="322">
        <v>0</v>
      </c>
      <c r="N1132" s="322">
        <v>0</v>
      </c>
    </row>
    <row r="1133" spans="1:14" x14ac:dyDescent="0.3">
      <c r="A1133">
        <f>EPD!A848</f>
        <v>0</v>
      </c>
      <c r="F1133">
        <v>0</v>
      </c>
      <c r="G1133">
        <v>0</v>
      </c>
      <c r="H1133">
        <v>0</v>
      </c>
      <c r="I1133">
        <v>0</v>
      </c>
      <c r="K1133">
        <v>0</v>
      </c>
      <c r="L1133" s="322">
        <v>0</v>
      </c>
      <c r="M1133" s="322">
        <v>0</v>
      </c>
      <c r="N1133" s="322">
        <v>0</v>
      </c>
    </row>
    <row r="1134" spans="1:14" x14ac:dyDescent="0.3">
      <c r="A1134">
        <f>EPD!A849</f>
        <v>0</v>
      </c>
      <c r="F1134">
        <v>0</v>
      </c>
      <c r="G1134">
        <v>0</v>
      </c>
      <c r="H1134">
        <v>0</v>
      </c>
      <c r="I1134">
        <v>0</v>
      </c>
      <c r="K1134">
        <v>0</v>
      </c>
      <c r="L1134" s="322">
        <v>0</v>
      </c>
      <c r="M1134" s="322">
        <v>0</v>
      </c>
      <c r="N1134" s="322">
        <v>0</v>
      </c>
    </row>
    <row r="1135" spans="1:14" x14ac:dyDescent="0.3">
      <c r="A1135">
        <f>EPD!A850</f>
        <v>0</v>
      </c>
      <c r="F1135">
        <v>0</v>
      </c>
      <c r="G1135">
        <v>0</v>
      </c>
      <c r="H1135">
        <v>0</v>
      </c>
      <c r="I1135">
        <v>0</v>
      </c>
      <c r="K1135">
        <v>0</v>
      </c>
      <c r="L1135" s="322">
        <v>0</v>
      </c>
      <c r="M1135" s="322">
        <v>0</v>
      </c>
      <c r="N1135" s="322">
        <v>0</v>
      </c>
    </row>
    <row r="1136" spans="1:14" x14ac:dyDescent="0.3">
      <c r="A1136">
        <f>EPD!A851</f>
        <v>0</v>
      </c>
      <c r="F1136">
        <v>0</v>
      </c>
      <c r="G1136">
        <v>0</v>
      </c>
      <c r="H1136">
        <v>0</v>
      </c>
      <c r="I1136">
        <v>0</v>
      </c>
      <c r="K1136">
        <v>0</v>
      </c>
      <c r="L1136" s="322">
        <v>0</v>
      </c>
      <c r="M1136" s="322">
        <v>0</v>
      </c>
      <c r="N1136" s="322">
        <v>0</v>
      </c>
    </row>
    <row r="1137" spans="1:14" x14ac:dyDescent="0.3">
      <c r="A1137">
        <f>EPD!A852</f>
        <v>0</v>
      </c>
      <c r="F1137">
        <v>0</v>
      </c>
      <c r="G1137">
        <v>0</v>
      </c>
      <c r="H1137">
        <v>0</v>
      </c>
      <c r="I1137">
        <v>0</v>
      </c>
      <c r="K1137">
        <v>0</v>
      </c>
      <c r="L1137" s="322">
        <v>0</v>
      </c>
      <c r="M1137" s="322">
        <v>0</v>
      </c>
      <c r="N1137" s="322">
        <v>0</v>
      </c>
    </row>
    <row r="1138" spans="1:14" x14ac:dyDescent="0.3">
      <c r="A1138">
        <f>EPD!A853</f>
        <v>0</v>
      </c>
      <c r="F1138">
        <v>0</v>
      </c>
      <c r="G1138">
        <v>0</v>
      </c>
      <c r="H1138">
        <v>0</v>
      </c>
      <c r="I1138">
        <v>0</v>
      </c>
      <c r="K1138">
        <v>0</v>
      </c>
      <c r="L1138" s="322">
        <v>0</v>
      </c>
      <c r="M1138" s="322">
        <v>0</v>
      </c>
      <c r="N1138" s="322">
        <v>0</v>
      </c>
    </row>
    <row r="1139" spans="1:14" x14ac:dyDescent="0.3">
      <c r="A1139">
        <f>EPD!A854</f>
        <v>0</v>
      </c>
      <c r="F1139">
        <v>0</v>
      </c>
      <c r="G1139">
        <v>0</v>
      </c>
      <c r="H1139">
        <v>0</v>
      </c>
      <c r="I1139">
        <v>0</v>
      </c>
      <c r="K1139">
        <v>0</v>
      </c>
      <c r="L1139" s="322">
        <v>0</v>
      </c>
      <c r="M1139" s="322">
        <v>0</v>
      </c>
      <c r="N1139" s="322">
        <v>0</v>
      </c>
    </row>
    <row r="1140" spans="1:14" x14ac:dyDescent="0.3">
      <c r="A1140">
        <f>EPD!A855</f>
        <v>0</v>
      </c>
      <c r="F1140">
        <v>0</v>
      </c>
      <c r="G1140">
        <v>0</v>
      </c>
      <c r="H1140">
        <v>0</v>
      </c>
      <c r="I1140">
        <v>0</v>
      </c>
      <c r="K1140">
        <v>0</v>
      </c>
      <c r="L1140" s="322">
        <v>0</v>
      </c>
      <c r="M1140" s="322">
        <v>0</v>
      </c>
      <c r="N1140" s="322">
        <v>0</v>
      </c>
    </row>
    <row r="1141" spans="1:14" x14ac:dyDescent="0.3">
      <c r="A1141">
        <f>EPD!A856</f>
        <v>0</v>
      </c>
      <c r="F1141">
        <v>0</v>
      </c>
      <c r="G1141">
        <v>0</v>
      </c>
      <c r="H1141">
        <v>0</v>
      </c>
      <c r="I1141">
        <v>0</v>
      </c>
      <c r="K1141">
        <v>0</v>
      </c>
      <c r="L1141" s="322">
        <v>0</v>
      </c>
      <c r="M1141" s="322">
        <v>0</v>
      </c>
      <c r="N1141" s="322">
        <v>0</v>
      </c>
    </row>
    <row r="1142" spans="1:14" x14ac:dyDescent="0.3">
      <c r="A1142">
        <f>EPD!A857</f>
        <v>0</v>
      </c>
      <c r="F1142">
        <v>0</v>
      </c>
      <c r="G1142">
        <v>0</v>
      </c>
      <c r="H1142">
        <v>0</v>
      </c>
      <c r="I1142">
        <v>0</v>
      </c>
      <c r="K1142">
        <v>0</v>
      </c>
      <c r="L1142" s="322">
        <v>0</v>
      </c>
      <c r="M1142" s="322">
        <v>0</v>
      </c>
      <c r="N1142" s="322">
        <v>0</v>
      </c>
    </row>
    <row r="1143" spans="1:14" x14ac:dyDescent="0.3">
      <c r="A1143">
        <f>EPD!A858</f>
        <v>0</v>
      </c>
      <c r="F1143">
        <v>0</v>
      </c>
      <c r="G1143">
        <v>0</v>
      </c>
      <c r="H1143">
        <v>0</v>
      </c>
      <c r="I1143">
        <v>0</v>
      </c>
      <c r="K1143">
        <v>0</v>
      </c>
      <c r="L1143" s="322">
        <v>0</v>
      </c>
      <c r="M1143" s="322">
        <v>0</v>
      </c>
      <c r="N1143" s="322">
        <v>0</v>
      </c>
    </row>
    <row r="1144" spans="1:14" x14ac:dyDescent="0.3">
      <c r="A1144">
        <f>EPD!A859</f>
        <v>0</v>
      </c>
      <c r="F1144">
        <v>0</v>
      </c>
      <c r="G1144">
        <v>0</v>
      </c>
      <c r="H1144">
        <v>0</v>
      </c>
      <c r="I1144">
        <v>0</v>
      </c>
      <c r="K1144">
        <v>0</v>
      </c>
      <c r="L1144" s="322">
        <v>0</v>
      </c>
      <c r="M1144" s="322">
        <v>0</v>
      </c>
      <c r="N1144" s="322">
        <v>0</v>
      </c>
    </row>
    <row r="1145" spans="1:14" x14ac:dyDescent="0.3">
      <c r="A1145">
        <f>EPD!A860</f>
        <v>0</v>
      </c>
      <c r="F1145">
        <v>0</v>
      </c>
      <c r="G1145">
        <v>0</v>
      </c>
      <c r="H1145">
        <v>0</v>
      </c>
      <c r="I1145">
        <v>0</v>
      </c>
      <c r="K1145">
        <v>0</v>
      </c>
      <c r="L1145" s="322">
        <v>0</v>
      </c>
      <c r="M1145" s="322">
        <v>0</v>
      </c>
      <c r="N1145" s="322">
        <v>0</v>
      </c>
    </row>
    <row r="1146" spans="1:14" x14ac:dyDescent="0.3">
      <c r="A1146">
        <f>EPD!A861</f>
        <v>0</v>
      </c>
      <c r="F1146">
        <v>0</v>
      </c>
      <c r="G1146">
        <v>0</v>
      </c>
      <c r="H1146">
        <v>0</v>
      </c>
      <c r="I1146">
        <v>0</v>
      </c>
      <c r="K1146">
        <v>0</v>
      </c>
      <c r="L1146" s="322">
        <v>0</v>
      </c>
      <c r="M1146" s="322">
        <v>0</v>
      </c>
      <c r="N1146" s="322">
        <v>0</v>
      </c>
    </row>
    <row r="1147" spans="1:14" x14ac:dyDescent="0.3">
      <c r="A1147">
        <f>EPD!A862</f>
        <v>0</v>
      </c>
      <c r="F1147">
        <v>0</v>
      </c>
      <c r="G1147">
        <v>0</v>
      </c>
      <c r="H1147">
        <v>0</v>
      </c>
      <c r="I1147">
        <v>0</v>
      </c>
      <c r="K1147">
        <v>0</v>
      </c>
      <c r="L1147" s="322">
        <v>0</v>
      </c>
      <c r="M1147" s="322">
        <v>0</v>
      </c>
      <c r="N1147" s="322">
        <v>0</v>
      </c>
    </row>
    <row r="1148" spans="1:14" x14ac:dyDescent="0.3">
      <c r="A1148">
        <f>EPD!A863</f>
        <v>0</v>
      </c>
      <c r="F1148">
        <v>0</v>
      </c>
      <c r="G1148">
        <v>0</v>
      </c>
      <c r="H1148">
        <v>0</v>
      </c>
      <c r="I1148">
        <v>0</v>
      </c>
      <c r="K1148">
        <v>0</v>
      </c>
      <c r="L1148" s="322">
        <v>0</v>
      </c>
      <c r="M1148" s="322">
        <v>0</v>
      </c>
      <c r="N1148" s="322">
        <v>0</v>
      </c>
    </row>
    <row r="1149" spans="1:14" x14ac:dyDescent="0.3">
      <c r="A1149">
        <f>EPD!A864</f>
        <v>0</v>
      </c>
      <c r="F1149">
        <v>0</v>
      </c>
      <c r="G1149">
        <v>0</v>
      </c>
      <c r="H1149">
        <v>0</v>
      </c>
      <c r="I1149">
        <v>0</v>
      </c>
      <c r="K1149">
        <v>0</v>
      </c>
      <c r="L1149" s="322">
        <v>0</v>
      </c>
      <c r="M1149" s="322">
        <v>0</v>
      </c>
      <c r="N1149" s="322">
        <v>0</v>
      </c>
    </row>
    <row r="1150" spans="1:14" x14ac:dyDescent="0.3">
      <c r="A1150">
        <f>EPD!A865</f>
        <v>0</v>
      </c>
      <c r="F1150">
        <v>0</v>
      </c>
      <c r="G1150">
        <v>0</v>
      </c>
      <c r="H1150">
        <v>0</v>
      </c>
      <c r="I1150">
        <v>0</v>
      </c>
      <c r="K1150">
        <v>0</v>
      </c>
      <c r="L1150" s="322">
        <v>0</v>
      </c>
      <c r="M1150" s="322">
        <v>0</v>
      </c>
      <c r="N1150" s="322">
        <v>0</v>
      </c>
    </row>
    <row r="1151" spans="1:14" x14ac:dyDescent="0.3">
      <c r="A1151">
        <f>EPD!A866</f>
        <v>0</v>
      </c>
      <c r="F1151">
        <v>0</v>
      </c>
      <c r="G1151">
        <v>0</v>
      </c>
      <c r="H1151">
        <v>0</v>
      </c>
      <c r="I1151">
        <v>0</v>
      </c>
      <c r="K1151">
        <v>0</v>
      </c>
      <c r="L1151" s="322">
        <v>0</v>
      </c>
      <c r="M1151" s="322">
        <v>0</v>
      </c>
      <c r="N1151" s="322">
        <v>0</v>
      </c>
    </row>
    <row r="1152" spans="1:14" x14ac:dyDescent="0.3">
      <c r="A1152">
        <f>EPD!A867</f>
        <v>0</v>
      </c>
      <c r="F1152">
        <v>0</v>
      </c>
      <c r="G1152">
        <v>0</v>
      </c>
      <c r="H1152">
        <v>0</v>
      </c>
      <c r="I1152">
        <v>0</v>
      </c>
      <c r="K1152">
        <v>0</v>
      </c>
      <c r="L1152" s="322">
        <v>0</v>
      </c>
      <c r="M1152" s="322">
        <v>0</v>
      </c>
      <c r="N1152" s="322">
        <v>0</v>
      </c>
    </row>
    <row r="1153" spans="1:14" x14ac:dyDescent="0.3">
      <c r="A1153">
        <f>EPD!A868</f>
        <v>0</v>
      </c>
      <c r="F1153">
        <v>0</v>
      </c>
      <c r="G1153">
        <v>0</v>
      </c>
      <c r="H1153">
        <v>0</v>
      </c>
      <c r="I1153">
        <v>0</v>
      </c>
      <c r="K1153">
        <v>0</v>
      </c>
      <c r="L1153" s="322">
        <v>0</v>
      </c>
      <c r="M1153" s="322">
        <v>0</v>
      </c>
      <c r="N1153" s="322">
        <v>0</v>
      </c>
    </row>
    <row r="1154" spans="1:14" x14ac:dyDescent="0.3">
      <c r="A1154">
        <f>EPD!A869</f>
        <v>0</v>
      </c>
      <c r="F1154">
        <v>0</v>
      </c>
      <c r="G1154">
        <v>0</v>
      </c>
      <c r="H1154">
        <v>0</v>
      </c>
      <c r="I1154">
        <v>0</v>
      </c>
      <c r="K1154">
        <v>0</v>
      </c>
      <c r="L1154" s="322">
        <v>0</v>
      </c>
      <c r="M1154" s="322">
        <v>0</v>
      </c>
      <c r="N1154" s="322">
        <v>0</v>
      </c>
    </row>
    <row r="1155" spans="1:14" x14ac:dyDescent="0.3">
      <c r="A1155">
        <f>EPD!A870</f>
        <v>0</v>
      </c>
      <c r="F1155">
        <v>0</v>
      </c>
      <c r="G1155">
        <v>0</v>
      </c>
      <c r="H1155">
        <v>0</v>
      </c>
      <c r="I1155">
        <v>0</v>
      </c>
      <c r="K1155">
        <v>0</v>
      </c>
      <c r="L1155" s="322">
        <v>0</v>
      </c>
      <c r="M1155" s="322">
        <v>0</v>
      </c>
      <c r="N1155" s="322">
        <v>0</v>
      </c>
    </row>
    <row r="1156" spans="1:14" x14ac:dyDescent="0.3">
      <c r="A1156">
        <f>EPD!A871</f>
        <v>0</v>
      </c>
      <c r="F1156">
        <v>0</v>
      </c>
      <c r="G1156">
        <v>0</v>
      </c>
      <c r="H1156">
        <v>0</v>
      </c>
      <c r="I1156">
        <v>0</v>
      </c>
      <c r="K1156">
        <v>0</v>
      </c>
      <c r="L1156" s="322">
        <v>0</v>
      </c>
      <c r="M1156" s="322">
        <v>0</v>
      </c>
      <c r="N1156" s="322">
        <v>0</v>
      </c>
    </row>
    <row r="1157" spans="1:14" x14ac:dyDescent="0.3">
      <c r="A1157">
        <f>EPD!A872</f>
        <v>0</v>
      </c>
      <c r="F1157">
        <v>0</v>
      </c>
      <c r="G1157">
        <v>0</v>
      </c>
      <c r="H1157">
        <v>0</v>
      </c>
      <c r="I1157">
        <v>0</v>
      </c>
      <c r="K1157">
        <v>0</v>
      </c>
      <c r="L1157" s="322">
        <v>0</v>
      </c>
      <c r="M1157" s="322">
        <v>0</v>
      </c>
      <c r="N1157" s="322">
        <v>0</v>
      </c>
    </row>
    <row r="1158" spans="1:14" x14ac:dyDescent="0.3">
      <c r="A1158">
        <f>EPD!A873</f>
        <v>0</v>
      </c>
      <c r="F1158">
        <v>0</v>
      </c>
      <c r="G1158">
        <v>0</v>
      </c>
      <c r="H1158">
        <v>0</v>
      </c>
      <c r="I1158">
        <v>0</v>
      </c>
      <c r="K1158">
        <v>0</v>
      </c>
      <c r="L1158" s="322">
        <v>0</v>
      </c>
      <c r="M1158" s="322">
        <v>0</v>
      </c>
      <c r="N1158" s="322">
        <v>0</v>
      </c>
    </row>
    <row r="1159" spans="1:14" x14ac:dyDescent="0.3">
      <c r="A1159">
        <f>EPD!A874</f>
        <v>0</v>
      </c>
      <c r="F1159">
        <v>0</v>
      </c>
      <c r="G1159">
        <v>0</v>
      </c>
      <c r="H1159">
        <v>0</v>
      </c>
      <c r="I1159">
        <v>0</v>
      </c>
      <c r="K1159">
        <v>0</v>
      </c>
      <c r="L1159" s="322">
        <v>0</v>
      </c>
      <c r="M1159" s="322">
        <v>0</v>
      </c>
      <c r="N1159" s="322">
        <v>0</v>
      </c>
    </row>
    <row r="1160" spans="1:14" x14ac:dyDescent="0.3">
      <c r="A1160">
        <f>EPD!A875</f>
        <v>0</v>
      </c>
      <c r="F1160">
        <v>0</v>
      </c>
      <c r="G1160">
        <v>0</v>
      </c>
      <c r="H1160">
        <v>0</v>
      </c>
      <c r="I1160">
        <v>0</v>
      </c>
      <c r="K1160">
        <v>0</v>
      </c>
      <c r="L1160" s="322">
        <v>0</v>
      </c>
      <c r="M1160" s="322">
        <v>0</v>
      </c>
      <c r="N1160" s="322">
        <v>0</v>
      </c>
    </row>
    <row r="1161" spans="1:14" x14ac:dyDescent="0.3">
      <c r="A1161">
        <f>EPD!A876</f>
        <v>0</v>
      </c>
      <c r="F1161">
        <v>0</v>
      </c>
      <c r="G1161">
        <v>0</v>
      </c>
      <c r="H1161">
        <v>0</v>
      </c>
      <c r="I1161">
        <v>0</v>
      </c>
      <c r="K1161">
        <v>0</v>
      </c>
      <c r="L1161" s="322">
        <v>0</v>
      </c>
      <c r="M1161" s="322">
        <v>0</v>
      </c>
      <c r="N1161" s="322">
        <v>0</v>
      </c>
    </row>
    <row r="1162" spans="1:14" x14ac:dyDescent="0.3">
      <c r="A1162">
        <f>EPD!A877</f>
        <v>0</v>
      </c>
      <c r="F1162">
        <v>0</v>
      </c>
      <c r="G1162">
        <v>0</v>
      </c>
      <c r="H1162">
        <v>0</v>
      </c>
      <c r="I1162">
        <v>0</v>
      </c>
      <c r="K1162">
        <v>0</v>
      </c>
      <c r="L1162" s="322">
        <v>0</v>
      </c>
      <c r="M1162" s="322">
        <v>0</v>
      </c>
      <c r="N1162" s="322">
        <v>0</v>
      </c>
    </row>
    <row r="1163" spans="1:14" x14ac:dyDescent="0.3">
      <c r="A1163">
        <f>EPD!A878</f>
        <v>0</v>
      </c>
      <c r="F1163">
        <v>0</v>
      </c>
      <c r="G1163">
        <v>0</v>
      </c>
      <c r="H1163">
        <v>0</v>
      </c>
      <c r="I1163">
        <v>0</v>
      </c>
      <c r="K1163">
        <v>0</v>
      </c>
      <c r="L1163" s="322">
        <v>0</v>
      </c>
      <c r="M1163" s="322">
        <v>0</v>
      </c>
      <c r="N1163" s="322">
        <v>0</v>
      </c>
    </row>
    <row r="1164" spans="1:14" x14ac:dyDescent="0.3">
      <c r="A1164">
        <f>EPD!A879</f>
        <v>0</v>
      </c>
      <c r="F1164">
        <v>0</v>
      </c>
      <c r="G1164">
        <v>0</v>
      </c>
      <c r="H1164">
        <v>0</v>
      </c>
      <c r="I1164">
        <v>0</v>
      </c>
      <c r="K1164">
        <v>0</v>
      </c>
      <c r="L1164" s="322">
        <v>0</v>
      </c>
      <c r="M1164" s="322">
        <v>0</v>
      </c>
      <c r="N1164" s="322">
        <v>0</v>
      </c>
    </row>
    <row r="1165" spans="1:14" x14ac:dyDescent="0.3">
      <c r="A1165">
        <f>EPD!A880</f>
        <v>0</v>
      </c>
      <c r="F1165">
        <v>0</v>
      </c>
      <c r="G1165">
        <v>0</v>
      </c>
      <c r="H1165">
        <v>0</v>
      </c>
      <c r="I1165">
        <v>0</v>
      </c>
      <c r="K1165">
        <v>0</v>
      </c>
      <c r="L1165" s="322">
        <v>0</v>
      </c>
      <c r="M1165" s="322">
        <v>0</v>
      </c>
      <c r="N1165" s="322">
        <v>0</v>
      </c>
    </row>
    <row r="1166" spans="1:14" x14ac:dyDescent="0.3">
      <c r="A1166">
        <f>EPD!A881</f>
        <v>0</v>
      </c>
      <c r="F1166">
        <v>0</v>
      </c>
      <c r="G1166">
        <v>0</v>
      </c>
      <c r="H1166">
        <v>0</v>
      </c>
      <c r="I1166">
        <v>0</v>
      </c>
      <c r="K1166">
        <v>0</v>
      </c>
      <c r="L1166" s="322">
        <v>0</v>
      </c>
      <c r="M1166" s="322">
        <v>0</v>
      </c>
      <c r="N1166" s="322">
        <v>0</v>
      </c>
    </row>
    <row r="1167" spans="1:14" x14ac:dyDescent="0.3">
      <c r="A1167">
        <f>EPD!A882</f>
        <v>0</v>
      </c>
      <c r="F1167">
        <v>0</v>
      </c>
      <c r="G1167">
        <v>0</v>
      </c>
      <c r="H1167">
        <v>0</v>
      </c>
      <c r="I1167">
        <v>0</v>
      </c>
      <c r="K1167">
        <v>0</v>
      </c>
      <c r="L1167" s="322">
        <v>0</v>
      </c>
      <c r="M1167" s="322">
        <v>0</v>
      </c>
      <c r="N1167" s="322">
        <v>0</v>
      </c>
    </row>
    <row r="1168" spans="1:14" x14ac:dyDescent="0.3">
      <c r="A1168">
        <f>EPD!A883</f>
        <v>0</v>
      </c>
      <c r="F1168">
        <v>0</v>
      </c>
      <c r="G1168">
        <v>0</v>
      </c>
      <c r="H1168">
        <v>0</v>
      </c>
      <c r="I1168">
        <v>0</v>
      </c>
      <c r="K1168">
        <v>0</v>
      </c>
      <c r="L1168" s="322">
        <v>0</v>
      </c>
      <c r="M1168" s="322">
        <v>0</v>
      </c>
      <c r="N1168" s="322">
        <v>0</v>
      </c>
    </row>
    <row r="1169" spans="1:14" x14ac:dyDescent="0.3">
      <c r="A1169">
        <f>EPD!A884</f>
        <v>0</v>
      </c>
      <c r="F1169">
        <v>0</v>
      </c>
      <c r="G1169">
        <v>0</v>
      </c>
      <c r="H1169">
        <v>0</v>
      </c>
      <c r="I1169">
        <v>0</v>
      </c>
      <c r="K1169">
        <v>0</v>
      </c>
      <c r="L1169" s="322">
        <v>0</v>
      </c>
      <c r="M1169" s="322">
        <v>0</v>
      </c>
      <c r="N1169" s="322">
        <v>0</v>
      </c>
    </row>
    <row r="1170" spans="1:14" x14ac:dyDescent="0.3">
      <c r="A1170">
        <f>EPD!A885</f>
        <v>0</v>
      </c>
      <c r="F1170">
        <v>0</v>
      </c>
      <c r="G1170">
        <v>0</v>
      </c>
      <c r="H1170">
        <v>0</v>
      </c>
      <c r="I1170">
        <v>0</v>
      </c>
      <c r="K1170">
        <v>0</v>
      </c>
      <c r="L1170" s="322">
        <v>0</v>
      </c>
      <c r="M1170" s="322">
        <v>0</v>
      </c>
      <c r="N1170" s="322">
        <v>0</v>
      </c>
    </row>
    <row r="1171" spans="1:14" x14ac:dyDescent="0.3">
      <c r="A1171">
        <f>EPD!A886</f>
        <v>0</v>
      </c>
      <c r="F1171">
        <v>0</v>
      </c>
      <c r="G1171">
        <v>0</v>
      </c>
      <c r="H1171">
        <v>0</v>
      </c>
      <c r="I1171">
        <v>0</v>
      </c>
      <c r="K1171">
        <v>0</v>
      </c>
      <c r="L1171" s="322">
        <v>0</v>
      </c>
      <c r="M1171" s="322">
        <v>0</v>
      </c>
      <c r="N1171" s="322">
        <v>0</v>
      </c>
    </row>
    <row r="1172" spans="1:14" x14ac:dyDescent="0.3">
      <c r="A1172">
        <f>EPD!A887</f>
        <v>0</v>
      </c>
      <c r="F1172">
        <v>0</v>
      </c>
      <c r="G1172">
        <v>0</v>
      </c>
      <c r="H1172">
        <v>0</v>
      </c>
      <c r="I1172">
        <v>0</v>
      </c>
      <c r="K1172">
        <v>0</v>
      </c>
      <c r="L1172" s="322">
        <v>0</v>
      </c>
      <c r="M1172" s="322">
        <v>0</v>
      </c>
      <c r="N1172" s="322">
        <v>0</v>
      </c>
    </row>
    <row r="1173" spans="1:14" x14ac:dyDescent="0.3">
      <c r="A1173">
        <f>EPD!A888</f>
        <v>0</v>
      </c>
      <c r="F1173">
        <v>0</v>
      </c>
      <c r="G1173">
        <v>0</v>
      </c>
      <c r="H1173">
        <v>0</v>
      </c>
      <c r="I1173">
        <v>0</v>
      </c>
      <c r="K1173">
        <v>0</v>
      </c>
      <c r="L1173" s="322">
        <v>0</v>
      </c>
      <c r="M1173" s="322">
        <v>0</v>
      </c>
      <c r="N1173" s="322">
        <v>0</v>
      </c>
    </row>
    <row r="1174" spans="1:14" x14ac:dyDescent="0.3">
      <c r="A1174">
        <f>EPD!A889</f>
        <v>0</v>
      </c>
      <c r="F1174">
        <v>0</v>
      </c>
      <c r="G1174">
        <v>0</v>
      </c>
      <c r="H1174">
        <v>0</v>
      </c>
      <c r="I1174">
        <v>0</v>
      </c>
      <c r="K1174">
        <v>0</v>
      </c>
      <c r="L1174" s="322">
        <v>0</v>
      </c>
      <c r="M1174" s="322">
        <v>0</v>
      </c>
      <c r="N1174" s="322">
        <v>0</v>
      </c>
    </row>
    <row r="1175" spans="1:14" x14ac:dyDescent="0.3">
      <c r="A1175">
        <f>EPD!A890</f>
        <v>0</v>
      </c>
      <c r="F1175">
        <v>0</v>
      </c>
      <c r="G1175">
        <v>0</v>
      </c>
      <c r="H1175">
        <v>0</v>
      </c>
      <c r="I1175">
        <v>0</v>
      </c>
      <c r="K1175">
        <v>0</v>
      </c>
      <c r="L1175" s="322">
        <v>0</v>
      </c>
      <c r="M1175" s="322">
        <v>0</v>
      </c>
      <c r="N1175" s="322">
        <v>0</v>
      </c>
    </row>
    <row r="1176" spans="1:14" x14ac:dyDescent="0.3">
      <c r="A1176">
        <f>EPD!A891</f>
        <v>0</v>
      </c>
      <c r="F1176">
        <v>0</v>
      </c>
      <c r="G1176">
        <v>0</v>
      </c>
      <c r="H1176">
        <v>0</v>
      </c>
      <c r="I1176">
        <v>0</v>
      </c>
      <c r="K1176">
        <v>0</v>
      </c>
      <c r="L1176" s="322">
        <v>0</v>
      </c>
      <c r="M1176" s="322">
        <v>0</v>
      </c>
      <c r="N1176" s="322">
        <v>0</v>
      </c>
    </row>
    <row r="1177" spans="1:14" x14ac:dyDescent="0.3">
      <c r="A1177">
        <f>EPD!A892</f>
        <v>0</v>
      </c>
      <c r="F1177">
        <v>0</v>
      </c>
      <c r="G1177">
        <v>0</v>
      </c>
      <c r="H1177">
        <v>0</v>
      </c>
      <c r="I1177">
        <v>0</v>
      </c>
      <c r="K1177">
        <v>0</v>
      </c>
      <c r="L1177" s="322">
        <v>0</v>
      </c>
      <c r="M1177" s="322">
        <v>0</v>
      </c>
      <c r="N1177" s="322">
        <v>0</v>
      </c>
    </row>
    <row r="1178" spans="1:14" x14ac:dyDescent="0.3">
      <c r="A1178">
        <f>EPD!A893</f>
        <v>0</v>
      </c>
      <c r="F1178">
        <v>0</v>
      </c>
      <c r="G1178">
        <v>0</v>
      </c>
      <c r="H1178">
        <v>0</v>
      </c>
      <c r="I1178">
        <v>0</v>
      </c>
      <c r="K1178">
        <v>0</v>
      </c>
      <c r="L1178" s="322">
        <v>0</v>
      </c>
      <c r="M1178" s="322">
        <v>0</v>
      </c>
      <c r="N1178" s="322">
        <v>0</v>
      </c>
    </row>
    <row r="1179" spans="1:14" x14ac:dyDescent="0.3">
      <c r="A1179">
        <f>EPD!A894</f>
        <v>0</v>
      </c>
      <c r="F1179">
        <v>0</v>
      </c>
      <c r="G1179">
        <v>0</v>
      </c>
      <c r="H1179">
        <v>0</v>
      </c>
      <c r="I1179">
        <v>0</v>
      </c>
      <c r="K1179">
        <v>0</v>
      </c>
      <c r="L1179" s="322">
        <v>0</v>
      </c>
      <c r="M1179" s="322">
        <v>0</v>
      </c>
      <c r="N1179" s="322">
        <v>0</v>
      </c>
    </row>
    <row r="1180" spans="1:14" x14ac:dyDescent="0.3">
      <c r="A1180">
        <f>EPD!A895</f>
        <v>0</v>
      </c>
      <c r="F1180">
        <v>0</v>
      </c>
      <c r="G1180">
        <v>0</v>
      </c>
      <c r="H1180">
        <v>0</v>
      </c>
      <c r="I1180">
        <v>0</v>
      </c>
      <c r="K1180">
        <v>0</v>
      </c>
      <c r="L1180" s="322">
        <v>0</v>
      </c>
      <c r="M1180" s="322">
        <v>0</v>
      </c>
      <c r="N1180" s="322">
        <v>0</v>
      </c>
    </row>
    <row r="1181" spans="1:14" x14ac:dyDescent="0.3">
      <c r="A1181">
        <f>EPD!A896</f>
        <v>0</v>
      </c>
      <c r="F1181">
        <v>0</v>
      </c>
      <c r="G1181">
        <v>0</v>
      </c>
      <c r="H1181">
        <v>0</v>
      </c>
      <c r="I1181">
        <v>0</v>
      </c>
      <c r="K1181">
        <v>0</v>
      </c>
      <c r="L1181" s="322">
        <v>0</v>
      </c>
      <c r="M1181" s="322">
        <v>0</v>
      </c>
      <c r="N1181" s="322">
        <v>0</v>
      </c>
    </row>
    <row r="1182" spans="1:14" x14ac:dyDescent="0.3">
      <c r="A1182">
        <f>EPD!A897</f>
        <v>0</v>
      </c>
      <c r="F1182">
        <v>0</v>
      </c>
      <c r="G1182">
        <v>0</v>
      </c>
      <c r="H1182">
        <v>0</v>
      </c>
      <c r="I1182">
        <v>0</v>
      </c>
      <c r="K1182">
        <v>0</v>
      </c>
      <c r="L1182" s="322">
        <v>0</v>
      </c>
      <c r="M1182" s="322">
        <v>0</v>
      </c>
      <c r="N1182" s="322">
        <v>0</v>
      </c>
    </row>
    <row r="1183" spans="1:14" x14ac:dyDescent="0.3">
      <c r="A1183">
        <f>EPD!A898</f>
        <v>0</v>
      </c>
      <c r="F1183">
        <v>0</v>
      </c>
      <c r="G1183">
        <v>0</v>
      </c>
      <c r="H1183">
        <v>0</v>
      </c>
      <c r="I1183">
        <v>0</v>
      </c>
      <c r="K1183">
        <v>0</v>
      </c>
      <c r="L1183" s="322">
        <v>0</v>
      </c>
      <c r="M1183" s="322">
        <v>0</v>
      </c>
      <c r="N1183" s="322">
        <v>0</v>
      </c>
    </row>
    <row r="1184" spans="1:14" x14ac:dyDescent="0.3">
      <c r="A1184">
        <f>EPD!A899</f>
        <v>0</v>
      </c>
      <c r="F1184">
        <v>0</v>
      </c>
      <c r="G1184">
        <v>0</v>
      </c>
      <c r="H1184">
        <v>0</v>
      </c>
      <c r="I1184">
        <v>0</v>
      </c>
      <c r="K1184">
        <v>0</v>
      </c>
      <c r="L1184" s="322">
        <v>0</v>
      </c>
      <c r="M1184" s="322">
        <v>0</v>
      </c>
      <c r="N1184" s="322">
        <v>0</v>
      </c>
    </row>
    <row r="1185" spans="1:14" x14ac:dyDescent="0.3">
      <c r="A1185">
        <f>EPD!A900</f>
        <v>0</v>
      </c>
      <c r="F1185">
        <v>0</v>
      </c>
      <c r="G1185">
        <v>0</v>
      </c>
      <c r="H1185">
        <v>0</v>
      </c>
      <c r="I1185">
        <v>0</v>
      </c>
      <c r="K1185">
        <v>0</v>
      </c>
      <c r="L1185" s="322">
        <v>0</v>
      </c>
      <c r="M1185" s="322">
        <v>0</v>
      </c>
      <c r="N1185" s="322">
        <v>0</v>
      </c>
    </row>
    <row r="1186" spans="1:14" x14ac:dyDescent="0.3">
      <c r="A1186">
        <f>EPD!A901</f>
        <v>0</v>
      </c>
      <c r="F1186">
        <v>0</v>
      </c>
      <c r="G1186">
        <v>0</v>
      </c>
      <c r="H1186">
        <v>0</v>
      </c>
      <c r="I1186">
        <v>0</v>
      </c>
      <c r="K1186">
        <v>0</v>
      </c>
      <c r="L1186" s="322">
        <v>0</v>
      </c>
      <c r="M1186" s="322">
        <v>0</v>
      </c>
      <c r="N1186" s="322">
        <v>0</v>
      </c>
    </row>
    <row r="1187" spans="1:14" x14ac:dyDescent="0.3">
      <c r="A1187">
        <f>EPD!A902</f>
        <v>0</v>
      </c>
      <c r="F1187">
        <v>0</v>
      </c>
      <c r="G1187">
        <v>0</v>
      </c>
      <c r="H1187">
        <v>0</v>
      </c>
      <c r="I1187">
        <v>0</v>
      </c>
      <c r="K1187">
        <v>0</v>
      </c>
      <c r="L1187" s="322">
        <v>0</v>
      </c>
      <c r="M1187" s="322">
        <v>0</v>
      </c>
      <c r="N1187" s="322">
        <v>0</v>
      </c>
    </row>
    <row r="1188" spans="1:14" x14ac:dyDescent="0.3">
      <c r="A1188">
        <f>EPD!A903</f>
        <v>0</v>
      </c>
      <c r="F1188">
        <v>0</v>
      </c>
      <c r="G1188">
        <v>0</v>
      </c>
      <c r="H1188">
        <v>0</v>
      </c>
      <c r="I1188">
        <v>0</v>
      </c>
      <c r="K1188">
        <v>0</v>
      </c>
      <c r="L1188" s="322">
        <v>0</v>
      </c>
      <c r="M1188" s="322">
        <v>0</v>
      </c>
      <c r="N1188" s="322">
        <v>0</v>
      </c>
    </row>
    <row r="1189" spans="1:14" x14ac:dyDescent="0.3">
      <c r="A1189">
        <f>EPD!A904</f>
        <v>0</v>
      </c>
      <c r="F1189">
        <v>0</v>
      </c>
      <c r="G1189">
        <v>0</v>
      </c>
      <c r="H1189">
        <v>0</v>
      </c>
      <c r="I1189">
        <v>0</v>
      </c>
      <c r="K1189">
        <v>0</v>
      </c>
      <c r="L1189" s="322">
        <v>0</v>
      </c>
      <c r="M1189" s="322">
        <v>0</v>
      </c>
      <c r="N1189" s="322">
        <v>0</v>
      </c>
    </row>
    <row r="1190" spans="1:14" x14ac:dyDescent="0.3">
      <c r="A1190">
        <f>EPD!A905</f>
        <v>0</v>
      </c>
      <c r="F1190">
        <v>0</v>
      </c>
      <c r="G1190">
        <v>0</v>
      </c>
      <c r="H1190">
        <v>0</v>
      </c>
      <c r="I1190">
        <v>0</v>
      </c>
      <c r="K1190">
        <v>0</v>
      </c>
      <c r="L1190" s="322">
        <v>0</v>
      </c>
      <c r="M1190" s="322">
        <v>0</v>
      </c>
      <c r="N1190" s="322">
        <v>0</v>
      </c>
    </row>
    <row r="1191" spans="1:14" x14ac:dyDescent="0.3">
      <c r="A1191">
        <f>EPD!A906</f>
        <v>0</v>
      </c>
      <c r="F1191">
        <v>0</v>
      </c>
      <c r="G1191">
        <v>0</v>
      </c>
      <c r="H1191">
        <v>0</v>
      </c>
      <c r="I1191">
        <v>0</v>
      </c>
      <c r="K1191">
        <v>0</v>
      </c>
      <c r="L1191" s="322">
        <v>0</v>
      </c>
      <c r="M1191" s="322">
        <v>0</v>
      </c>
      <c r="N1191" s="322">
        <v>0</v>
      </c>
    </row>
    <row r="1192" spans="1:14" x14ac:dyDescent="0.3">
      <c r="A1192">
        <f>EPD!A907</f>
        <v>0</v>
      </c>
      <c r="F1192">
        <v>0</v>
      </c>
      <c r="G1192">
        <v>0</v>
      </c>
      <c r="H1192">
        <v>0</v>
      </c>
      <c r="I1192">
        <v>0</v>
      </c>
      <c r="K1192">
        <v>0</v>
      </c>
      <c r="L1192" s="322">
        <v>0</v>
      </c>
      <c r="M1192" s="322">
        <v>0</v>
      </c>
      <c r="N1192" s="322">
        <v>0</v>
      </c>
    </row>
    <row r="1193" spans="1:14" x14ac:dyDescent="0.3">
      <c r="A1193">
        <f>EPD!A908</f>
        <v>0</v>
      </c>
      <c r="F1193">
        <v>0</v>
      </c>
      <c r="G1193">
        <v>0</v>
      </c>
      <c r="H1193">
        <v>0</v>
      </c>
      <c r="I1193">
        <v>0</v>
      </c>
      <c r="K1193">
        <v>0</v>
      </c>
      <c r="L1193" s="322">
        <v>0</v>
      </c>
      <c r="M1193" s="322">
        <v>0</v>
      </c>
      <c r="N1193" s="322">
        <v>0</v>
      </c>
    </row>
    <row r="1194" spans="1:14" x14ac:dyDescent="0.3">
      <c r="A1194">
        <f>EPD!A909</f>
        <v>0</v>
      </c>
      <c r="F1194">
        <v>0</v>
      </c>
      <c r="G1194">
        <v>0</v>
      </c>
      <c r="H1194">
        <v>0</v>
      </c>
      <c r="I1194">
        <v>0</v>
      </c>
      <c r="K1194">
        <v>0</v>
      </c>
      <c r="L1194" s="322">
        <v>0</v>
      </c>
      <c r="M1194" s="322">
        <v>0</v>
      </c>
      <c r="N1194" s="322">
        <v>0</v>
      </c>
    </row>
    <row r="1195" spans="1:14" x14ac:dyDescent="0.3">
      <c r="A1195">
        <f>EPD!A910</f>
        <v>0</v>
      </c>
      <c r="F1195">
        <v>0</v>
      </c>
      <c r="G1195">
        <v>0</v>
      </c>
      <c r="H1195">
        <v>0</v>
      </c>
      <c r="I1195">
        <v>0</v>
      </c>
      <c r="K1195">
        <v>0</v>
      </c>
      <c r="L1195" s="322">
        <v>0</v>
      </c>
      <c r="M1195" s="322">
        <v>0</v>
      </c>
      <c r="N1195" s="322">
        <v>0</v>
      </c>
    </row>
    <row r="1196" spans="1:14" x14ac:dyDescent="0.3">
      <c r="A1196">
        <f>EPD!A911</f>
        <v>0</v>
      </c>
      <c r="F1196">
        <v>0</v>
      </c>
      <c r="G1196">
        <v>0</v>
      </c>
      <c r="H1196">
        <v>0</v>
      </c>
      <c r="I1196">
        <v>0</v>
      </c>
      <c r="K1196">
        <v>0</v>
      </c>
      <c r="L1196" s="322">
        <v>0</v>
      </c>
      <c r="M1196" s="322">
        <v>0</v>
      </c>
      <c r="N1196" s="322">
        <v>0</v>
      </c>
    </row>
    <row r="1197" spans="1:14" x14ac:dyDescent="0.3">
      <c r="A1197">
        <f>EPD!A912</f>
        <v>0</v>
      </c>
      <c r="F1197">
        <v>0</v>
      </c>
      <c r="G1197">
        <v>0</v>
      </c>
      <c r="H1197">
        <v>0</v>
      </c>
      <c r="I1197">
        <v>0</v>
      </c>
      <c r="K1197">
        <v>0</v>
      </c>
      <c r="L1197" s="322">
        <v>0</v>
      </c>
      <c r="M1197" s="322">
        <v>0</v>
      </c>
      <c r="N1197" s="322">
        <v>0</v>
      </c>
    </row>
    <row r="1198" spans="1:14" x14ac:dyDescent="0.3">
      <c r="A1198">
        <f>EPD!A913</f>
        <v>0</v>
      </c>
      <c r="F1198">
        <v>0</v>
      </c>
      <c r="G1198">
        <v>0</v>
      </c>
      <c r="H1198">
        <v>0</v>
      </c>
      <c r="I1198">
        <v>0</v>
      </c>
      <c r="K1198">
        <v>0</v>
      </c>
      <c r="L1198" s="322">
        <v>0</v>
      </c>
      <c r="M1198" s="322">
        <v>0</v>
      </c>
      <c r="N1198" s="322">
        <v>0</v>
      </c>
    </row>
    <row r="1199" spans="1:14" x14ac:dyDescent="0.3">
      <c r="A1199">
        <f>EPD!A914</f>
        <v>0</v>
      </c>
      <c r="F1199">
        <v>0</v>
      </c>
      <c r="G1199">
        <v>0</v>
      </c>
      <c r="H1199">
        <v>0</v>
      </c>
      <c r="I1199">
        <v>0</v>
      </c>
      <c r="K1199">
        <v>0</v>
      </c>
      <c r="L1199" s="322">
        <v>0</v>
      </c>
      <c r="M1199" s="322">
        <v>0</v>
      </c>
      <c r="N1199" s="322">
        <v>0</v>
      </c>
    </row>
    <row r="1200" spans="1:14" x14ac:dyDescent="0.3">
      <c r="A1200">
        <f>EPD!A915</f>
        <v>0</v>
      </c>
      <c r="F1200">
        <v>0</v>
      </c>
      <c r="G1200">
        <v>0</v>
      </c>
      <c r="H1200">
        <v>0</v>
      </c>
      <c r="I1200">
        <v>0</v>
      </c>
      <c r="K1200">
        <v>0</v>
      </c>
      <c r="L1200" s="322">
        <v>0</v>
      </c>
      <c r="M1200" s="322">
        <v>0</v>
      </c>
      <c r="N1200" s="322">
        <v>0</v>
      </c>
    </row>
    <row r="1201" spans="1:14" x14ac:dyDescent="0.3">
      <c r="A1201">
        <f>EPD!A916</f>
        <v>0</v>
      </c>
      <c r="F1201">
        <v>0</v>
      </c>
      <c r="G1201">
        <v>0</v>
      </c>
      <c r="H1201">
        <v>0</v>
      </c>
      <c r="I1201">
        <v>0</v>
      </c>
      <c r="K1201">
        <v>0</v>
      </c>
      <c r="L1201" s="322">
        <v>0</v>
      </c>
      <c r="M1201" s="322">
        <v>0</v>
      </c>
      <c r="N1201" s="322">
        <v>0</v>
      </c>
    </row>
    <row r="1202" spans="1:14" x14ac:dyDescent="0.3">
      <c r="A1202">
        <f>EPD!A917</f>
        <v>0</v>
      </c>
      <c r="F1202">
        <v>0</v>
      </c>
      <c r="G1202">
        <v>0</v>
      </c>
      <c r="H1202">
        <v>0</v>
      </c>
      <c r="I1202">
        <v>0</v>
      </c>
      <c r="K1202">
        <v>0</v>
      </c>
      <c r="L1202" s="322">
        <v>0</v>
      </c>
      <c r="M1202" s="322">
        <v>0</v>
      </c>
      <c r="N1202" s="322">
        <v>0</v>
      </c>
    </row>
    <row r="1203" spans="1:14" x14ac:dyDescent="0.3">
      <c r="A1203">
        <f>EPD!A918</f>
        <v>0</v>
      </c>
      <c r="F1203">
        <v>0</v>
      </c>
      <c r="G1203">
        <v>0</v>
      </c>
      <c r="H1203">
        <v>0</v>
      </c>
      <c r="I1203">
        <v>0</v>
      </c>
      <c r="K1203">
        <v>0</v>
      </c>
      <c r="L1203" s="322">
        <v>0</v>
      </c>
      <c r="M1203" s="322">
        <v>0</v>
      </c>
      <c r="N1203" s="322">
        <v>0</v>
      </c>
    </row>
    <row r="1204" spans="1:14" x14ac:dyDescent="0.3">
      <c r="A1204">
        <f>EPD!A919</f>
        <v>0</v>
      </c>
      <c r="F1204">
        <v>0</v>
      </c>
      <c r="G1204">
        <v>0</v>
      </c>
      <c r="H1204">
        <v>0</v>
      </c>
      <c r="I1204">
        <v>0</v>
      </c>
      <c r="K1204">
        <v>0</v>
      </c>
      <c r="L1204" s="322">
        <v>0</v>
      </c>
      <c r="M1204" s="322">
        <v>0</v>
      </c>
      <c r="N1204" s="322">
        <v>0</v>
      </c>
    </row>
    <row r="1205" spans="1:14" x14ac:dyDescent="0.3">
      <c r="A1205">
        <f>EPD!A920</f>
        <v>0</v>
      </c>
      <c r="F1205">
        <v>0</v>
      </c>
      <c r="G1205">
        <v>0</v>
      </c>
      <c r="H1205">
        <v>0</v>
      </c>
      <c r="I1205">
        <v>0</v>
      </c>
      <c r="K1205">
        <v>0</v>
      </c>
      <c r="L1205" s="322">
        <v>0</v>
      </c>
      <c r="M1205" s="322">
        <v>0</v>
      </c>
      <c r="N1205" s="322">
        <v>0</v>
      </c>
    </row>
    <row r="1206" spans="1:14" x14ac:dyDescent="0.3">
      <c r="A1206">
        <f>EPD!A921</f>
        <v>0</v>
      </c>
      <c r="F1206">
        <v>0</v>
      </c>
      <c r="G1206">
        <v>0</v>
      </c>
      <c r="H1206">
        <v>0</v>
      </c>
      <c r="I1206">
        <v>0</v>
      </c>
      <c r="K1206">
        <v>0</v>
      </c>
      <c r="L1206" s="322">
        <v>0</v>
      </c>
      <c r="M1206" s="322">
        <v>0</v>
      </c>
      <c r="N1206" s="322">
        <v>0</v>
      </c>
    </row>
    <row r="1207" spans="1:14" x14ac:dyDescent="0.3">
      <c r="A1207">
        <f>EPD!A922</f>
        <v>0</v>
      </c>
      <c r="F1207">
        <v>0</v>
      </c>
      <c r="G1207">
        <v>0</v>
      </c>
      <c r="H1207">
        <v>0</v>
      </c>
      <c r="I1207">
        <v>0</v>
      </c>
      <c r="K1207">
        <v>0</v>
      </c>
      <c r="L1207" s="322">
        <v>0</v>
      </c>
      <c r="M1207" s="322">
        <v>0</v>
      </c>
      <c r="N1207" s="322">
        <v>0</v>
      </c>
    </row>
    <row r="1208" spans="1:14" x14ac:dyDescent="0.3">
      <c r="A1208">
        <f>EPD!A923</f>
        <v>0</v>
      </c>
      <c r="F1208">
        <v>0</v>
      </c>
      <c r="G1208">
        <v>0</v>
      </c>
      <c r="H1208">
        <v>0</v>
      </c>
      <c r="I1208">
        <v>0</v>
      </c>
      <c r="K1208">
        <v>0</v>
      </c>
      <c r="L1208" s="322">
        <v>0</v>
      </c>
      <c r="M1208" s="322">
        <v>0</v>
      </c>
      <c r="N1208" s="322">
        <v>0</v>
      </c>
    </row>
    <row r="1209" spans="1:14" x14ac:dyDescent="0.3">
      <c r="A1209">
        <f>EPD!A924</f>
        <v>0</v>
      </c>
      <c r="F1209">
        <v>0</v>
      </c>
      <c r="G1209">
        <v>0</v>
      </c>
      <c r="H1209">
        <v>0</v>
      </c>
      <c r="I1209">
        <v>0</v>
      </c>
      <c r="K1209">
        <v>0</v>
      </c>
      <c r="L1209" s="322">
        <v>0</v>
      </c>
      <c r="M1209" s="322">
        <v>0</v>
      </c>
      <c r="N1209" s="322">
        <v>0</v>
      </c>
    </row>
    <row r="1210" spans="1:14" x14ac:dyDescent="0.3">
      <c r="A1210">
        <f>EPD!A925</f>
        <v>0</v>
      </c>
      <c r="F1210">
        <v>0</v>
      </c>
      <c r="G1210">
        <v>0</v>
      </c>
      <c r="H1210">
        <v>0</v>
      </c>
      <c r="I1210">
        <v>0</v>
      </c>
      <c r="K1210">
        <v>0</v>
      </c>
      <c r="L1210" s="322">
        <v>0</v>
      </c>
      <c r="M1210" s="322">
        <v>0</v>
      </c>
      <c r="N1210" s="322">
        <v>0</v>
      </c>
    </row>
    <row r="1211" spans="1:14" x14ac:dyDescent="0.3">
      <c r="A1211">
        <f>EPD!A926</f>
        <v>0</v>
      </c>
      <c r="F1211">
        <v>0</v>
      </c>
      <c r="G1211">
        <v>0</v>
      </c>
      <c r="H1211">
        <v>0</v>
      </c>
      <c r="I1211">
        <v>0</v>
      </c>
      <c r="K1211">
        <v>0</v>
      </c>
      <c r="L1211" s="322">
        <v>0</v>
      </c>
      <c r="M1211" s="322">
        <v>0</v>
      </c>
      <c r="N1211" s="322">
        <v>0</v>
      </c>
    </row>
    <row r="1212" spans="1:14" x14ac:dyDescent="0.3">
      <c r="A1212">
        <f>EPD!A927</f>
        <v>0</v>
      </c>
      <c r="F1212">
        <v>0</v>
      </c>
      <c r="G1212">
        <v>0</v>
      </c>
      <c r="H1212">
        <v>0</v>
      </c>
      <c r="I1212">
        <v>0</v>
      </c>
      <c r="K1212">
        <v>0</v>
      </c>
      <c r="L1212" s="322">
        <v>0</v>
      </c>
      <c r="M1212" s="322">
        <v>0</v>
      </c>
      <c r="N1212" s="322">
        <v>0</v>
      </c>
    </row>
    <row r="1213" spans="1:14" x14ac:dyDescent="0.3">
      <c r="A1213">
        <f>EPD!A928</f>
        <v>0</v>
      </c>
      <c r="F1213">
        <v>0</v>
      </c>
      <c r="G1213">
        <v>0</v>
      </c>
      <c r="H1213">
        <v>0</v>
      </c>
      <c r="I1213">
        <v>0</v>
      </c>
      <c r="K1213">
        <v>0</v>
      </c>
      <c r="L1213" s="322">
        <v>0</v>
      </c>
      <c r="M1213" s="322">
        <v>0</v>
      </c>
      <c r="N1213" s="322">
        <v>0</v>
      </c>
    </row>
    <row r="1214" spans="1:14" x14ac:dyDescent="0.3">
      <c r="A1214">
        <f>EPD!A929</f>
        <v>0</v>
      </c>
      <c r="F1214">
        <v>0</v>
      </c>
      <c r="G1214">
        <v>0</v>
      </c>
      <c r="H1214">
        <v>0</v>
      </c>
      <c r="I1214">
        <v>0</v>
      </c>
      <c r="K1214">
        <v>0</v>
      </c>
      <c r="L1214" s="322">
        <v>0</v>
      </c>
      <c r="M1214" s="322">
        <v>0</v>
      </c>
      <c r="N1214" s="322">
        <v>0</v>
      </c>
    </row>
    <row r="1215" spans="1:14" x14ac:dyDescent="0.3">
      <c r="A1215">
        <f>EPD!A930</f>
        <v>0</v>
      </c>
      <c r="F1215">
        <v>0</v>
      </c>
      <c r="G1215">
        <v>0</v>
      </c>
      <c r="H1215">
        <v>0</v>
      </c>
      <c r="I1215">
        <v>0</v>
      </c>
      <c r="K1215">
        <v>0</v>
      </c>
      <c r="L1215" s="322">
        <v>0</v>
      </c>
      <c r="M1215" s="322">
        <v>0</v>
      </c>
      <c r="N1215" s="322">
        <v>0</v>
      </c>
    </row>
    <row r="1216" spans="1:14" x14ac:dyDescent="0.3">
      <c r="A1216">
        <f>EPD!A931</f>
        <v>0</v>
      </c>
      <c r="F1216">
        <v>0</v>
      </c>
      <c r="G1216">
        <v>0</v>
      </c>
      <c r="H1216">
        <v>0</v>
      </c>
      <c r="I1216">
        <v>0</v>
      </c>
      <c r="K1216">
        <v>0</v>
      </c>
      <c r="L1216" s="322">
        <v>0</v>
      </c>
      <c r="M1216" s="322">
        <v>0</v>
      </c>
      <c r="N1216" s="322">
        <v>0</v>
      </c>
    </row>
    <row r="1217" spans="1:14" x14ac:dyDescent="0.3">
      <c r="A1217">
        <f>EPD!A932</f>
        <v>0</v>
      </c>
      <c r="F1217">
        <v>0</v>
      </c>
      <c r="G1217">
        <v>0</v>
      </c>
      <c r="H1217">
        <v>0</v>
      </c>
      <c r="I1217">
        <v>0</v>
      </c>
      <c r="K1217">
        <v>0</v>
      </c>
      <c r="L1217" s="322">
        <v>0</v>
      </c>
      <c r="M1217" s="322">
        <v>0</v>
      </c>
      <c r="N1217" s="322">
        <v>0</v>
      </c>
    </row>
    <row r="1218" spans="1:14" x14ac:dyDescent="0.3">
      <c r="A1218">
        <f>EPD!A933</f>
        <v>0</v>
      </c>
      <c r="F1218">
        <v>0</v>
      </c>
      <c r="G1218">
        <v>0</v>
      </c>
      <c r="H1218">
        <v>0</v>
      </c>
      <c r="I1218">
        <v>0</v>
      </c>
      <c r="K1218">
        <v>0</v>
      </c>
      <c r="L1218" s="322">
        <v>0</v>
      </c>
      <c r="M1218" s="322">
        <v>0</v>
      </c>
      <c r="N1218" s="322">
        <v>0</v>
      </c>
    </row>
    <row r="1219" spans="1:14" x14ac:dyDescent="0.3">
      <c r="A1219">
        <f>EPD!A934</f>
        <v>0</v>
      </c>
      <c r="F1219">
        <v>0</v>
      </c>
      <c r="G1219">
        <v>0</v>
      </c>
      <c r="H1219">
        <v>0</v>
      </c>
      <c r="I1219">
        <v>0</v>
      </c>
      <c r="K1219">
        <v>0</v>
      </c>
      <c r="L1219" s="322">
        <v>0</v>
      </c>
      <c r="M1219" s="322">
        <v>0</v>
      </c>
      <c r="N1219" s="322">
        <v>0</v>
      </c>
    </row>
    <row r="1220" spans="1:14" x14ac:dyDescent="0.3">
      <c r="A1220">
        <f>EPD!A935</f>
        <v>0</v>
      </c>
      <c r="F1220">
        <v>0</v>
      </c>
      <c r="G1220">
        <v>0</v>
      </c>
      <c r="H1220">
        <v>0</v>
      </c>
      <c r="I1220">
        <v>0</v>
      </c>
      <c r="K1220">
        <v>0</v>
      </c>
      <c r="L1220" s="322">
        <v>0</v>
      </c>
      <c r="M1220" s="322">
        <v>0</v>
      </c>
      <c r="N1220" s="322">
        <v>0</v>
      </c>
    </row>
    <row r="1221" spans="1:14" x14ac:dyDescent="0.3">
      <c r="A1221">
        <f>EPD!A936</f>
        <v>0</v>
      </c>
      <c r="F1221">
        <v>0</v>
      </c>
      <c r="G1221">
        <v>0</v>
      </c>
      <c r="H1221">
        <v>0</v>
      </c>
      <c r="I1221">
        <v>0</v>
      </c>
      <c r="K1221">
        <v>0</v>
      </c>
      <c r="L1221" s="322">
        <v>0</v>
      </c>
      <c r="M1221" s="322">
        <v>0</v>
      </c>
      <c r="N1221" s="322">
        <v>0</v>
      </c>
    </row>
    <row r="1222" spans="1:14" x14ac:dyDescent="0.3">
      <c r="A1222">
        <f>EPD!A937</f>
        <v>0</v>
      </c>
      <c r="F1222">
        <v>0</v>
      </c>
      <c r="G1222">
        <v>0</v>
      </c>
      <c r="H1222">
        <v>0</v>
      </c>
      <c r="I1222">
        <v>0</v>
      </c>
      <c r="K1222">
        <v>0</v>
      </c>
      <c r="L1222" s="322">
        <v>0</v>
      </c>
      <c r="M1222" s="322">
        <v>0</v>
      </c>
      <c r="N1222" s="322">
        <v>0</v>
      </c>
    </row>
    <row r="1223" spans="1:14" x14ac:dyDescent="0.3">
      <c r="A1223">
        <f>EPD!A938</f>
        <v>0</v>
      </c>
      <c r="F1223">
        <v>0</v>
      </c>
      <c r="G1223">
        <v>0</v>
      </c>
      <c r="H1223">
        <v>0</v>
      </c>
      <c r="I1223">
        <v>0</v>
      </c>
      <c r="K1223">
        <v>0</v>
      </c>
      <c r="L1223" s="322">
        <v>0</v>
      </c>
      <c r="M1223" s="322">
        <v>0</v>
      </c>
      <c r="N1223" s="322">
        <v>0</v>
      </c>
    </row>
    <row r="1224" spans="1:14" x14ac:dyDescent="0.3">
      <c r="A1224">
        <f>EPD!A939</f>
        <v>0</v>
      </c>
      <c r="F1224">
        <v>0</v>
      </c>
      <c r="G1224">
        <v>0</v>
      </c>
      <c r="H1224">
        <v>0</v>
      </c>
      <c r="I1224">
        <v>0</v>
      </c>
      <c r="K1224">
        <v>0</v>
      </c>
      <c r="L1224" s="322">
        <v>0</v>
      </c>
      <c r="M1224" s="322">
        <v>0</v>
      </c>
      <c r="N1224" s="322">
        <v>0</v>
      </c>
    </row>
    <row r="1225" spans="1:14" x14ac:dyDescent="0.3">
      <c r="A1225">
        <f>EPD!A940</f>
        <v>0</v>
      </c>
      <c r="F1225">
        <v>0</v>
      </c>
      <c r="G1225">
        <v>0</v>
      </c>
      <c r="H1225">
        <v>0</v>
      </c>
      <c r="I1225">
        <v>0</v>
      </c>
      <c r="K1225">
        <v>0</v>
      </c>
      <c r="L1225" s="322">
        <v>0</v>
      </c>
      <c r="M1225" s="322">
        <v>0</v>
      </c>
      <c r="N1225" s="322">
        <v>0</v>
      </c>
    </row>
    <row r="1226" spans="1:14" x14ac:dyDescent="0.3">
      <c r="A1226">
        <f>EPD!A941</f>
        <v>0</v>
      </c>
      <c r="F1226">
        <v>0</v>
      </c>
      <c r="G1226">
        <v>0</v>
      </c>
      <c r="H1226">
        <v>0</v>
      </c>
      <c r="I1226">
        <v>0</v>
      </c>
      <c r="K1226">
        <v>0</v>
      </c>
      <c r="L1226" s="322">
        <v>0</v>
      </c>
      <c r="M1226" s="322">
        <v>0</v>
      </c>
      <c r="N1226" s="322">
        <v>0</v>
      </c>
    </row>
    <row r="1227" spans="1:14" x14ac:dyDescent="0.3">
      <c r="A1227">
        <f>EPD!A942</f>
        <v>0</v>
      </c>
      <c r="F1227">
        <v>0</v>
      </c>
      <c r="G1227">
        <v>0</v>
      </c>
      <c r="H1227">
        <v>0</v>
      </c>
      <c r="I1227">
        <v>0</v>
      </c>
      <c r="K1227">
        <v>0</v>
      </c>
      <c r="L1227" s="322">
        <v>0</v>
      </c>
      <c r="M1227" s="322">
        <v>0</v>
      </c>
      <c r="N1227" s="322">
        <v>0</v>
      </c>
    </row>
    <row r="1228" spans="1:14" x14ac:dyDescent="0.3">
      <c r="A1228">
        <f>EPD!A943</f>
        <v>0</v>
      </c>
      <c r="F1228">
        <v>0</v>
      </c>
      <c r="G1228">
        <v>0</v>
      </c>
      <c r="H1228">
        <v>0</v>
      </c>
      <c r="I1228">
        <v>0</v>
      </c>
      <c r="K1228">
        <v>0</v>
      </c>
      <c r="L1228" s="322">
        <v>0</v>
      </c>
      <c r="M1228" s="322">
        <v>0</v>
      </c>
      <c r="N1228" s="322">
        <v>0</v>
      </c>
    </row>
    <row r="1229" spans="1:14" x14ac:dyDescent="0.3">
      <c r="A1229">
        <f>EPD!A944</f>
        <v>0</v>
      </c>
      <c r="F1229">
        <v>0</v>
      </c>
      <c r="G1229">
        <v>0</v>
      </c>
      <c r="H1229">
        <v>0</v>
      </c>
      <c r="I1229">
        <v>0</v>
      </c>
      <c r="K1229">
        <v>0</v>
      </c>
      <c r="L1229" s="322">
        <v>0</v>
      </c>
      <c r="M1229" s="322">
        <v>0</v>
      </c>
      <c r="N1229" s="322">
        <v>0</v>
      </c>
    </row>
    <row r="1230" spans="1:14" x14ac:dyDescent="0.3">
      <c r="A1230">
        <f>EPD!A945</f>
        <v>0</v>
      </c>
      <c r="F1230">
        <v>0</v>
      </c>
      <c r="G1230">
        <v>0</v>
      </c>
      <c r="H1230">
        <v>0</v>
      </c>
      <c r="I1230">
        <v>0</v>
      </c>
      <c r="K1230">
        <v>0</v>
      </c>
      <c r="L1230" s="322">
        <v>0</v>
      </c>
      <c r="M1230" s="322">
        <v>0</v>
      </c>
      <c r="N1230" s="322">
        <v>0</v>
      </c>
    </row>
    <row r="1231" spans="1:14" x14ac:dyDescent="0.3">
      <c r="A1231">
        <f>EPD!A946</f>
        <v>0</v>
      </c>
      <c r="F1231">
        <v>0</v>
      </c>
      <c r="G1231">
        <v>0</v>
      </c>
      <c r="H1231">
        <v>0</v>
      </c>
      <c r="I1231">
        <v>0</v>
      </c>
      <c r="K1231">
        <v>0</v>
      </c>
      <c r="L1231" s="322">
        <v>0</v>
      </c>
      <c r="M1231" s="322">
        <v>0</v>
      </c>
      <c r="N1231" s="322">
        <v>0</v>
      </c>
    </row>
    <row r="1232" spans="1:14" x14ac:dyDescent="0.3">
      <c r="A1232">
        <f>EPD!A947</f>
        <v>0</v>
      </c>
      <c r="F1232">
        <v>0</v>
      </c>
      <c r="G1232">
        <v>0</v>
      </c>
      <c r="H1232">
        <v>0</v>
      </c>
      <c r="I1232">
        <v>0</v>
      </c>
      <c r="K1232">
        <v>0</v>
      </c>
      <c r="L1232" s="322">
        <v>0</v>
      </c>
      <c r="M1232" s="322">
        <v>0</v>
      </c>
      <c r="N1232" s="322">
        <v>0</v>
      </c>
    </row>
    <row r="1233" spans="1:14" x14ac:dyDescent="0.3">
      <c r="A1233">
        <f>EPD!A948</f>
        <v>0</v>
      </c>
      <c r="F1233">
        <v>0</v>
      </c>
      <c r="G1233">
        <v>0</v>
      </c>
      <c r="H1233">
        <v>0</v>
      </c>
      <c r="I1233">
        <v>0</v>
      </c>
      <c r="K1233">
        <v>0</v>
      </c>
      <c r="L1233" s="322">
        <v>0</v>
      </c>
      <c r="M1233" s="322">
        <v>0</v>
      </c>
      <c r="N1233" s="322">
        <v>0</v>
      </c>
    </row>
    <row r="1234" spans="1:14" x14ac:dyDescent="0.3">
      <c r="A1234">
        <f>EPD!A949</f>
        <v>0</v>
      </c>
      <c r="F1234">
        <v>0</v>
      </c>
      <c r="G1234">
        <v>0</v>
      </c>
      <c r="H1234">
        <v>0</v>
      </c>
      <c r="I1234">
        <v>0</v>
      </c>
      <c r="K1234">
        <v>0</v>
      </c>
      <c r="L1234" s="322">
        <v>0</v>
      </c>
      <c r="M1234" s="322">
        <v>0</v>
      </c>
      <c r="N1234" s="322">
        <v>0</v>
      </c>
    </row>
    <row r="1235" spans="1:14" x14ac:dyDescent="0.3">
      <c r="A1235">
        <f>EPD!A950</f>
        <v>0</v>
      </c>
      <c r="F1235">
        <v>0</v>
      </c>
      <c r="G1235">
        <v>0</v>
      </c>
      <c r="H1235">
        <v>0</v>
      </c>
      <c r="I1235">
        <v>0</v>
      </c>
      <c r="K1235">
        <v>0</v>
      </c>
      <c r="L1235" s="322">
        <v>0</v>
      </c>
      <c r="M1235" s="322">
        <v>0</v>
      </c>
      <c r="N1235" s="322">
        <v>0</v>
      </c>
    </row>
    <row r="1236" spans="1:14" x14ac:dyDescent="0.3">
      <c r="A1236">
        <f>EPD!A951</f>
        <v>0</v>
      </c>
      <c r="F1236">
        <v>0</v>
      </c>
      <c r="G1236">
        <v>0</v>
      </c>
      <c r="H1236">
        <v>0</v>
      </c>
      <c r="I1236">
        <v>0</v>
      </c>
      <c r="K1236">
        <v>0</v>
      </c>
      <c r="L1236" s="322">
        <v>0</v>
      </c>
      <c r="M1236" s="322">
        <v>0</v>
      </c>
      <c r="N1236" s="322">
        <v>0</v>
      </c>
    </row>
    <row r="1237" spans="1:14" x14ac:dyDescent="0.3">
      <c r="A1237">
        <f>EPD!A952</f>
        <v>0</v>
      </c>
      <c r="F1237">
        <v>0</v>
      </c>
      <c r="G1237">
        <v>0</v>
      </c>
      <c r="H1237">
        <v>0</v>
      </c>
      <c r="I1237">
        <v>0</v>
      </c>
      <c r="K1237">
        <v>0</v>
      </c>
      <c r="L1237" s="322">
        <v>0</v>
      </c>
      <c r="M1237" s="322">
        <v>0</v>
      </c>
      <c r="N1237" s="322">
        <v>0</v>
      </c>
    </row>
    <row r="1238" spans="1:14" x14ac:dyDescent="0.3">
      <c r="A1238">
        <f>EPD!A953</f>
        <v>0</v>
      </c>
      <c r="F1238">
        <v>0</v>
      </c>
      <c r="G1238">
        <v>0</v>
      </c>
      <c r="H1238">
        <v>0</v>
      </c>
      <c r="I1238">
        <v>0</v>
      </c>
      <c r="K1238">
        <v>0</v>
      </c>
      <c r="L1238" s="322">
        <v>0</v>
      </c>
      <c r="M1238" s="322">
        <v>0</v>
      </c>
      <c r="N1238" s="322">
        <v>0</v>
      </c>
    </row>
    <row r="1239" spans="1:14" x14ac:dyDescent="0.3">
      <c r="A1239">
        <f>EPD!A954</f>
        <v>0</v>
      </c>
      <c r="F1239">
        <v>0</v>
      </c>
      <c r="G1239">
        <v>0</v>
      </c>
      <c r="H1239">
        <v>0</v>
      </c>
      <c r="I1239">
        <v>0</v>
      </c>
      <c r="K1239">
        <v>0</v>
      </c>
      <c r="L1239" s="322">
        <v>0</v>
      </c>
      <c r="M1239" s="322">
        <v>0</v>
      </c>
      <c r="N1239" s="322">
        <v>0</v>
      </c>
    </row>
    <row r="1240" spans="1:14" x14ac:dyDescent="0.3">
      <c r="A1240">
        <f>EPD!A955</f>
        <v>0</v>
      </c>
      <c r="F1240">
        <v>0</v>
      </c>
      <c r="G1240">
        <v>0</v>
      </c>
      <c r="H1240">
        <v>0</v>
      </c>
      <c r="I1240">
        <v>0</v>
      </c>
      <c r="K1240">
        <v>0</v>
      </c>
      <c r="L1240" s="322">
        <v>0</v>
      </c>
      <c r="M1240" s="322">
        <v>0</v>
      </c>
      <c r="N1240" s="322">
        <v>0</v>
      </c>
    </row>
    <row r="1241" spans="1:14" x14ac:dyDescent="0.3">
      <c r="A1241">
        <f>EPD!A956</f>
        <v>0</v>
      </c>
      <c r="F1241">
        <v>0</v>
      </c>
      <c r="G1241">
        <v>0</v>
      </c>
      <c r="H1241">
        <v>0</v>
      </c>
      <c r="I1241">
        <v>0</v>
      </c>
      <c r="K1241">
        <v>0</v>
      </c>
      <c r="L1241" s="322">
        <v>0</v>
      </c>
      <c r="M1241" s="322">
        <v>0</v>
      </c>
      <c r="N1241" s="322">
        <v>0</v>
      </c>
    </row>
    <row r="1242" spans="1:14" x14ac:dyDescent="0.3">
      <c r="A1242">
        <f>EPD!A957</f>
        <v>0</v>
      </c>
      <c r="F1242">
        <v>0</v>
      </c>
      <c r="G1242">
        <v>0</v>
      </c>
      <c r="H1242">
        <v>0</v>
      </c>
      <c r="I1242">
        <v>0</v>
      </c>
      <c r="K1242">
        <v>0</v>
      </c>
      <c r="L1242" s="322">
        <v>0</v>
      </c>
      <c r="M1242" s="322">
        <v>0</v>
      </c>
      <c r="N1242" s="322">
        <v>0</v>
      </c>
    </row>
    <row r="1243" spans="1:14" x14ac:dyDescent="0.3">
      <c r="A1243">
        <f>EPD!A958</f>
        <v>0</v>
      </c>
      <c r="F1243">
        <v>0</v>
      </c>
      <c r="G1243">
        <v>0</v>
      </c>
      <c r="H1243">
        <v>0</v>
      </c>
      <c r="I1243">
        <v>0</v>
      </c>
      <c r="K1243">
        <v>0</v>
      </c>
      <c r="L1243" s="322">
        <v>0</v>
      </c>
      <c r="M1243" s="322">
        <v>0</v>
      </c>
      <c r="N1243" s="322">
        <v>0</v>
      </c>
    </row>
    <row r="1244" spans="1:14" x14ac:dyDescent="0.3">
      <c r="A1244">
        <f>EPD!A959</f>
        <v>0</v>
      </c>
      <c r="F1244">
        <v>0</v>
      </c>
      <c r="G1244">
        <v>0</v>
      </c>
      <c r="H1244">
        <v>0</v>
      </c>
      <c r="I1244">
        <v>0</v>
      </c>
      <c r="K1244">
        <v>0</v>
      </c>
      <c r="L1244" s="322">
        <v>0</v>
      </c>
      <c r="M1244" s="322">
        <v>0</v>
      </c>
      <c r="N1244" s="322">
        <v>0</v>
      </c>
    </row>
    <row r="1245" spans="1:14" x14ac:dyDescent="0.3">
      <c r="A1245">
        <f>EPD!A960</f>
        <v>0</v>
      </c>
      <c r="F1245">
        <v>0</v>
      </c>
      <c r="G1245">
        <v>0</v>
      </c>
      <c r="H1245">
        <v>0</v>
      </c>
      <c r="I1245">
        <v>0</v>
      </c>
      <c r="K1245">
        <v>0</v>
      </c>
      <c r="L1245" s="322">
        <v>0</v>
      </c>
      <c r="M1245" s="322">
        <v>0</v>
      </c>
      <c r="N1245" s="322">
        <v>0</v>
      </c>
    </row>
    <row r="1246" spans="1:14" x14ac:dyDescent="0.3">
      <c r="A1246">
        <f>EPD!A961</f>
        <v>0</v>
      </c>
      <c r="F1246">
        <v>0</v>
      </c>
      <c r="G1246">
        <v>0</v>
      </c>
      <c r="H1246">
        <v>0</v>
      </c>
      <c r="I1246">
        <v>0</v>
      </c>
      <c r="K1246">
        <v>0</v>
      </c>
      <c r="L1246" s="322">
        <v>0</v>
      </c>
      <c r="M1246" s="322">
        <v>0</v>
      </c>
      <c r="N1246" s="322">
        <v>0</v>
      </c>
    </row>
    <row r="1247" spans="1:14" x14ac:dyDescent="0.3">
      <c r="A1247">
        <f>EPD!A962</f>
        <v>0</v>
      </c>
      <c r="F1247">
        <v>0</v>
      </c>
      <c r="G1247">
        <v>0</v>
      </c>
      <c r="H1247">
        <v>0</v>
      </c>
      <c r="I1247">
        <v>0</v>
      </c>
      <c r="K1247">
        <v>0</v>
      </c>
      <c r="L1247" s="322">
        <v>0</v>
      </c>
      <c r="M1247" s="322">
        <v>0</v>
      </c>
      <c r="N1247" s="322">
        <v>0</v>
      </c>
    </row>
    <row r="1248" spans="1:14" x14ac:dyDescent="0.3">
      <c r="A1248">
        <f>EPD!A963</f>
        <v>0</v>
      </c>
      <c r="F1248">
        <v>0</v>
      </c>
      <c r="G1248">
        <v>0</v>
      </c>
      <c r="H1248">
        <v>0</v>
      </c>
      <c r="I1248">
        <v>0</v>
      </c>
      <c r="K1248">
        <v>0</v>
      </c>
      <c r="L1248" s="322">
        <v>0</v>
      </c>
      <c r="M1248" s="322">
        <v>0</v>
      </c>
      <c r="N1248" s="322">
        <v>0</v>
      </c>
    </row>
    <row r="1249" spans="1:14" x14ac:dyDescent="0.3">
      <c r="A1249">
        <f>EPD!A964</f>
        <v>0</v>
      </c>
      <c r="F1249">
        <v>0</v>
      </c>
      <c r="G1249">
        <v>0</v>
      </c>
      <c r="H1249">
        <v>0</v>
      </c>
      <c r="I1249">
        <v>0</v>
      </c>
      <c r="K1249">
        <v>0</v>
      </c>
      <c r="L1249" s="322">
        <v>0</v>
      </c>
      <c r="M1249" s="322">
        <v>0</v>
      </c>
      <c r="N1249" s="322">
        <v>0</v>
      </c>
    </row>
    <row r="1250" spans="1:14" x14ac:dyDescent="0.3">
      <c r="A1250">
        <f>EPD!A965</f>
        <v>0</v>
      </c>
      <c r="F1250">
        <v>0</v>
      </c>
      <c r="G1250">
        <v>0</v>
      </c>
      <c r="H1250">
        <v>0</v>
      </c>
      <c r="I1250">
        <v>0</v>
      </c>
      <c r="K1250">
        <v>0</v>
      </c>
      <c r="L1250" s="322">
        <v>0</v>
      </c>
      <c r="M1250" s="322">
        <v>0</v>
      </c>
      <c r="N1250" s="322">
        <v>0</v>
      </c>
    </row>
    <row r="1251" spans="1:14" x14ac:dyDescent="0.3">
      <c r="A1251">
        <f>EPD!A966</f>
        <v>0</v>
      </c>
      <c r="F1251">
        <v>0</v>
      </c>
      <c r="G1251">
        <v>0</v>
      </c>
      <c r="H1251">
        <v>0</v>
      </c>
      <c r="I1251">
        <v>0</v>
      </c>
      <c r="K1251">
        <v>0</v>
      </c>
      <c r="L1251" s="322">
        <v>0</v>
      </c>
      <c r="M1251" s="322">
        <v>0</v>
      </c>
      <c r="N1251" s="322">
        <v>0</v>
      </c>
    </row>
    <row r="1252" spans="1:14" x14ac:dyDescent="0.3">
      <c r="A1252">
        <f>EPD!A967</f>
        <v>0</v>
      </c>
      <c r="F1252">
        <v>0</v>
      </c>
      <c r="G1252">
        <v>0</v>
      </c>
      <c r="H1252">
        <v>0</v>
      </c>
      <c r="I1252">
        <v>0</v>
      </c>
      <c r="K1252">
        <v>0</v>
      </c>
      <c r="L1252" s="322">
        <v>0</v>
      </c>
      <c r="M1252" s="322">
        <v>0</v>
      </c>
      <c r="N1252" s="322">
        <v>0</v>
      </c>
    </row>
    <row r="1253" spans="1:14" x14ac:dyDescent="0.3">
      <c r="A1253">
        <f>EPD!A968</f>
        <v>0</v>
      </c>
      <c r="F1253">
        <v>0</v>
      </c>
      <c r="G1253">
        <v>0</v>
      </c>
      <c r="H1253">
        <v>0</v>
      </c>
      <c r="I1253">
        <v>0</v>
      </c>
      <c r="K1253">
        <v>0</v>
      </c>
      <c r="L1253" s="322">
        <v>0</v>
      </c>
      <c r="M1253" s="322">
        <v>0</v>
      </c>
      <c r="N1253" s="322">
        <v>0</v>
      </c>
    </row>
    <row r="1254" spans="1:14" x14ac:dyDescent="0.3">
      <c r="A1254">
        <f>EPD!A969</f>
        <v>0</v>
      </c>
      <c r="F1254">
        <v>0</v>
      </c>
      <c r="G1254">
        <v>0</v>
      </c>
      <c r="H1254">
        <v>0</v>
      </c>
      <c r="I1254">
        <v>0</v>
      </c>
      <c r="K1254">
        <v>0</v>
      </c>
      <c r="L1254" s="322">
        <v>0</v>
      </c>
      <c r="M1254" s="322">
        <v>0</v>
      </c>
      <c r="N1254" s="322">
        <v>0</v>
      </c>
    </row>
    <row r="1255" spans="1:14" x14ac:dyDescent="0.3">
      <c r="A1255">
        <f>EPD!A970</f>
        <v>0</v>
      </c>
      <c r="F1255">
        <v>0</v>
      </c>
      <c r="G1255">
        <v>0</v>
      </c>
      <c r="H1255">
        <v>0</v>
      </c>
      <c r="I1255">
        <v>0</v>
      </c>
      <c r="K1255">
        <v>0</v>
      </c>
      <c r="L1255" s="322">
        <v>0</v>
      </c>
      <c r="M1255" s="322">
        <v>0</v>
      </c>
      <c r="N1255" s="322">
        <v>0</v>
      </c>
    </row>
    <row r="1256" spans="1:14" x14ac:dyDescent="0.3">
      <c r="A1256">
        <f>EPD!A971</f>
        <v>0</v>
      </c>
      <c r="F1256">
        <v>0</v>
      </c>
      <c r="G1256">
        <v>0</v>
      </c>
      <c r="H1256">
        <v>0</v>
      </c>
      <c r="I1256">
        <v>0</v>
      </c>
      <c r="K1256">
        <v>0</v>
      </c>
      <c r="L1256" s="322">
        <v>0</v>
      </c>
      <c r="M1256" s="322">
        <v>0</v>
      </c>
      <c r="N1256" s="322">
        <v>0</v>
      </c>
    </row>
    <row r="1257" spans="1:14" x14ac:dyDescent="0.3">
      <c r="A1257">
        <f>EPD!A972</f>
        <v>0</v>
      </c>
      <c r="F1257">
        <v>0</v>
      </c>
      <c r="G1257">
        <v>0</v>
      </c>
      <c r="H1257">
        <v>0</v>
      </c>
      <c r="I1257">
        <v>0</v>
      </c>
      <c r="K1257">
        <v>0</v>
      </c>
      <c r="L1257" s="322">
        <v>0</v>
      </c>
      <c r="M1257" s="322">
        <v>0</v>
      </c>
      <c r="N1257" s="322">
        <v>0</v>
      </c>
    </row>
    <row r="1258" spans="1:14" x14ac:dyDescent="0.3">
      <c r="A1258">
        <f>EPD!A973</f>
        <v>0</v>
      </c>
      <c r="F1258">
        <v>0</v>
      </c>
      <c r="G1258">
        <v>0</v>
      </c>
      <c r="H1258">
        <v>0</v>
      </c>
      <c r="I1258">
        <v>0</v>
      </c>
      <c r="K1258">
        <v>0</v>
      </c>
      <c r="L1258" s="322">
        <v>0</v>
      </c>
      <c r="M1258" s="322">
        <v>0</v>
      </c>
      <c r="N1258" s="322">
        <v>0</v>
      </c>
    </row>
    <row r="1259" spans="1:14" x14ac:dyDescent="0.3">
      <c r="A1259">
        <f>EPD!A974</f>
        <v>0</v>
      </c>
      <c r="F1259">
        <v>0</v>
      </c>
      <c r="G1259">
        <v>0</v>
      </c>
      <c r="H1259">
        <v>0</v>
      </c>
      <c r="I1259">
        <v>0</v>
      </c>
      <c r="K1259">
        <v>0</v>
      </c>
      <c r="L1259" s="322">
        <v>0</v>
      </c>
      <c r="M1259" s="322">
        <v>0</v>
      </c>
      <c r="N1259" s="322">
        <v>0</v>
      </c>
    </row>
    <row r="1260" spans="1:14" x14ac:dyDescent="0.3">
      <c r="A1260">
        <f>EPD!A975</f>
        <v>0</v>
      </c>
      <c r="F1260">
        <v>0</v>
      </c>
      <c r="G1260">
        <v>0</v>
      </c>
      <c r="H1260">
        <v>0</v>
      </c>
      <c r="I1260">
        <v>0</v>
      </c>
      <c r="K1260">
        <v>0</v>
      </c>
      <c r="L1260" s="322">
        <v>0</v>
      </c>
      <c r="M1260" s="322">
        <v>0</v>
      </c>
      <c r="N1260" s="322">
        <v>0</v>
      </c>
    </row>
    <row r="1261" spans="1:14" x14ac:dyDescent="0.3">
      <c r="A1261">
        <f>EPD!A976</f>
        <v>0</v>
      </c>
      <c r="F1261">
        <v>0</v>
      </c>
      <c r="G1261">
        <v>0</v>
      </c>
      <c r="H1261">
        <v>0</v>
      </c>
      <c r="I1261">
        <v>0</v>
      </c>
      <c r="K1261">
        <v>0</v>
      </c>
      <c r="L1261" s="322">
        <v>0</v>
      </c>
      <c r="M1261" s="322">
        <v>0</v>
      </c>
      <c r="N1261" s="322">
        <v>0</v>
      </c>
    </row>
    <row r="1262" spans="1:14" x14ac:dyDescent="0.3">
      <c r="A1262">
        <f>EPD!A977</f>
        <v>0</v>
      </c>
      <c r="F1262">
        <v>0</v>
      </c>
      <c r="G1262">
        <v>0</v>
      </c>
      <c r="H1262">
        <v>0</v>
      </c>
      <c r="I1262">
        <v>0</v>
      </c>
      <c r="K1262">
        <v>0</v>
      </c>
      <c r="L1262" s="322">
        <v>0</v>
      </c>
      <c r="M1262" s="322">
        <v>0</v>
      </c>
      <c r="N1262" s="322">
        <v>0</v>
      </c>
    </row>
    <row r="1263" spans="1:14" x14ac:dyDescent="0.3">
      <c r="A1263">
        <f>EPD!A978</f>
        <v>0</v>
      </c>
      <c r="F1263">
        <v>0</v>
      </c>
      <c r="G1263">
        <v>0</v>
      </c>
      <c r="H1263">
        <v>0</v>
      </c>
      <c r="I1263">
        <v>0</v>
      </c>
      <c r="K1263">
        <v>0</v>
      </c>
      <c r="L1263" s="322">
        <v>0</v>
      </c>
      <c r="M1263" s="322">
        <v>0</v>
      </c>
      <c r="N1263" s="322">
        <v>0</v>
      </c>
    </row>
    <row r="1264" spans="1:14" x14ac:dyDescent="0.3">
      <c r="A1264">
        <f>EPD!A979</f>
        <v>0</v>
      </c>
      <c r="F1264">
        <v>0</v>
      </c>
      <c r="G1264">
        <v>0</v>
      </c>
      <c r="H1264">
        <v>0</v>
      </c>
      <c r="I1264">
        <v>0</v>
      </c>
      <c r="K1264">
        <v>0</v>
      </c>
      <c r="L1264" s="322">
        <v>0</v>
      </c>
      <c r="M1264" s="322">
        <v>0</v>
      </c>
      <c r="N1264" s="322">
        <v>0</v>
      </c>
    </row>
    <row r="1265" spans="1:14" x14ac:dyDescent="0.3">
      <c r="A1265">
        <f>EPD!A980</f>
        <v>0</v>
      </c>
      <c r="F1265">
        <v>0</v>
      </c>
      <c r="G1265">
        <v>0</v>
      </c>
      <c r="H1265">
        <v>0</v>
      </c>
      <c r="I1265">
        <v>0</v>
      </c>
      <c r="K1265">
        <v>0</v>
      </c>
      <c r="L1265" s="322">
        <v>0</v>
      </c>
      <c r="M1265" s="322">
        <v>0</v>
      </c>
      <c r="N1265" s="322">
        <v>0</v>
      </c>
    </row>
    <row r="1266" spans="1:14" x14ac:dyDescent="0.3">
      <c r="A1266">
        <f>EPD!A981</f>
        <v>0</v>
      </c>
      <c r="F1266">
        <v>0</v>
      </c>
      <c r="G1266">
        <v>0</v>
      </c>
      <c r="H1266">
        <v>0</v>
      </c>
      <c r="I1266">
        <v>0</v>
      </c>
      <c r="K1266">
        <v>0</v>
      </c>
      <c r="L1266" s="322">
        <v>0</v>
      </c>
      <c r="M1266" s="322">
        <v>0</v>
      </c>
      <c r="N1266" s="322">
        <v>0</v>
      </c>
    </row>
    <row r="1267" spans="1:14" x14ac:dyDescent="0.3">
      <c r="A1267">
        <f>EPD!A982</f>
        <v>0</v>
      </c>
      <c r="F1267">
        <v>0</v>
      </c>
      <c r="G1267">
        <v>0</v>
      </c>
      <c r="H1267">
        <v>0</v>
      </c>
      <c r="I1267">
        <v>0</v>
      </c>
      <c r="K1267">
        <v>0</v>
      </c>
      <c r="L1267" s="322">
        <v>0</v>
      </c>
      <c r="M1267" s="322">
        <v>0</v>
      </c>
      <c r="N1267" s="322">
        <v>0</v>
      </c>
    </row>
    <row r="1268" spans="1:14" x14ac:dyDescent="0.3">
      <c r="A1268">
        <f>EPD!A983</f>
        <v>0</v>
      </c>
      <c r="F1268">
        <v>0</v>
      </c>
      <c r="G1268">
        <v>0</v>
      </c>
      <c r="H1268">
        <v>0</v>
      </c>
      <c r="I1268">
        <v>0</v>
      </c>
      <c r="K1268">
        <v>0</v>
      </c>
      <c r="L1268" s="322">
        <v>0</v>
      </c>
      <c r="M1268" s="322">
        <v>0</v>
      </c>
      <c r="N1268" s="322">
        <v>0</v>
      </c>
    </row>
    <row r="1269" spans="1:14" x14ac:dyDescent="0.3">
      <c r="A1269">
        <f>EPD!A984</f>
        <v>0</v>
      </c>
      <c r="F1269">
        <v>0</v>
      </c>
      <c r="G1269">
        <v>0</v>
      </c>
      <c r="H1269">
        <v>0</v>
      </c>
      <c r="I1269">
        <v>0</v>
      </c>
      <c r="K1269">
        <v>0</v>
      </c>
      <c r="L1269" s="322">
        <v>0</v>
      </c>
      <c r="M1269" s="322">
        <v>0</v>
      </c>
      <c r="N1269" s="322">
        <v>0</v>
      </c>
    </row>
    <row r="1270" spans="1:14" x14ac:dyDescent="0.3">
      <c r="A1270">
        <f>EPD!A985</f>
        <v>0</v>
      </c>
      <c r="F1270">
        <v>0</v>
      </c>
      <c r="G1270">
        <v>0</v>
      </c>
      <c r="H1270">
        <v>0</v>
      </c>
      <c r="I1270">
        <v>0</v>
      </c>
      <c r="K1270">
        <v>0</v>
      </c>
      <c r="L1270" s="322">
        <v>0</v>
      </c>
      <c r="M1270" s="322">
        <v>0</v>
      </c>
      <c r="N1270" s="322">
        <v>0</v>
      </c>
    </row>
    <row r="1271" spans="1:14" x14ac:dyDescent="0.3">
      <c r="A1271">
        <f>EPD!A986</f>
        <v>0</v>
      </c>
      <c r="F1271">
        <v>0</v>
      </c>
      <c r="G1271">
        <v>0</v>
      </c>
      <c r="H1271">
        <v>0</v>
      </c>
      <c r="I1271">
        <v>0</v>
      </c>
      <c r="K1271">
        <v>0</v>
      </c>
      <c r="L1271" s="322">
        <v>0</v>
      </c>
      <c r="M1271" s="322">
        <v>0</v>
      </c>
      <c r="N1271" s="322">
        <v>0</v>
      </c>
    </row>
    <row r="1272" spans="1:14" x14ac:dyDescent="0.3">
      <c r="A1272">
        <f>EPD!A987</f>
        <v>0</v>
      </c>
      <c r="F1272">
        <v>0</v>
      </c>
      <c r="G1272">
        <v>0</v>
      </c>
      <c r="H1272">
        <v>0</v>
      </c>
      <c r="I1272">
        <v>0</v>
      </c>
      <c r="K1272">
        <v>0</v>
      </c>
      <c r="L1272" s="322">
        <v>0</v>
      </c>
      <c r="M1272" s="322">
        <v>0</v>
      </c>
      <c r="N1272" s="322">
        <v>0</v>
      </c>
    </row>
    <row r="1273" spans="1:14" x14ac:dyDescent="0.3">
      <c r="A1273">
        <f>EPD!A988</f>
        <v>0</v>
      </c>
      <c r="F1273">
        <v>0</v>
      </c>
      <c r="G1273">
        <v>0</v>
      </c>
      <c r="H1273">
        <v>0</v>
      </c>
      <c r="I1273">
        <v>0</v>
      </c>
      <c r="K1273">
        <v>0</v>
      </c>
      <c r="L1273" s="322">
        <v>0</v>
      </c>
      <c r="M1273" s="322">
        <v>0</v>
      </c>
      <c r="N1273" s="322">
        <v>0</v>
      </c>
    </row>
    <row r="1274" spans="1:14" x14ac:dyDescent="0.3">
      <c r="A1274">
        <f>EPD!A989</f>
        <v>0</v>
      </c>
      <c r="F1274">
        <v>0</v>
      </c>
      <c r="G1274">
        <v>0</v>
      </c>
      <c r="H1274">
        <v>0</v>
      </c>
      <c r="I1274">
        <v>0</v>
      </c>
      <c r="K1274">
        <v>0</v>
      </c>
      <c r="L1274" s="322">
        <v>0</v>
      </c>
      <c r="M1274" s="322">
        <v>0</v>
      </c>
      <c r="N1274" s="322">
        <v>0</v>
      </c>
    </row>
    <row r="1275" spans="1:14" x14ac:dyDescent="0.3">
      <c r="A1275">
        <f>EPD!A990</f>
        <v>0</v>
      </c>
      <c r="F1275">
        <v>0</v>
      </c>
      <c r="G1275">
        <v>0</v>
      </c>
      <c r="H1275">
        <v>0</v>
      </c>
      <c r="I1275">
        <v>0</v>
      </c>
      <c r="K1275">
        <v>0</v>
      </c>
      <c r="L1275" s="322">
        <v>0</v>
      </c>
      <c r="M1275" s="322">
        <v>0</v>
      </c>
      <c r="N1275" s="322">
        <v>0</v>
      </c>
    </row>
    <row r="1276" spans="1:14" x14ac:dyDescent="0.3">
      <c r="A1276">
        <f>EPD!A991</f>
        <v>0</v>
      </c>
      <c r="F1276">
        <v>0</v>
      </c>
      <c r="G1276">
        <v>0</v>
      </c>
      <c r="H1276">
        <v>0</v>
      </c>
      <c r="I1276">
        <v>0</v>
      </c>
      <c r="K1276">
        <v>0</v>
      </c>
      <c r="L1276" s="322">
        <v>0</v>
      </c>
      <c r="M1276" s="322">
        <v>0</v>
      </c>
      <c r="N1276" s="322">
        <v>0</v>
      </c>
    </row>
    <row r="1277" spans="1:14" x14ac:dyDescent="0.3">
      <c r="A1277">
        <f>EPD!A992</f>
        <v>0</v>
      </c>
      <c r="F1277">
        <v>0</v>
      </c>
      <c r="G1277">
        <v>0</v>
      </c>
      <c r="H1277">
        <v>0</v>
      </c>
      <c r="I1277">
        <v>0</v>
      </c>
      <c r="K1277">
        <v>0</v>
      </c>
      <c r="L1277" s="322">
        <v>0</v>
      </c>
      <c r="M1277" s="322">
        <v>0</v>
      </c>
      <c r="N1277" s="322">
        <v>0</v>
      </c>
    </row>
    <row r="1278" spans="1:14" x14ac:dyDescent="0.3">
      <c r="A1278">
        <f>EPD!A993</f>
        <v>0</v>
      </c>
      <c r="F1278">
        <v>0</v>
      </c>
      <c r="G1278">
        <v>0</v>
      </c>
      <c r="H1278">
        <v>0</v>
      </c>
      <c r="I1278">
        <v>0</v>
      </c>
      <c r="K1278">
        <v>0</v>
      </c>
      <c r="L1278" s="322">
        <v>0</v>
      </c>
      <c r="M1278" s="322">
        <v>0</v>
      </c>
      <c r="N1278" s="322">
        <v>0</v>
      </c>
    </row>
    <row r="1279" spans="1:14" x14ac:dyDescent="0.3">
      <c r="A1279">
        <f>EPD!A994</f>
        <v>0</v>
      </c>
      <c r="F1279">
        <v>0</v>
      </c>
      <c r="G1279">
        <v>0</v>
      </c>
      <c r="H1279">
        <v>0</v>
      </c>
      <c r="I1279">
        <v>0</v>
      </c>
      <c r="K1279">
        <v>0</v>
      </c>
      <c r="L1279" s="322">
        <v>0</v>
      </c>
      <c r="M1279" s="322">
        <v>0</v>
      </c>
      <c r="N1279" s="322">
        <v>0</v>
      </c>
    </row>
    <row r="1280" spans="1:14" x14ac:dyDescent="0.3">
      <c r="A1280">
        <f>EPD!A995</f>
        <v>0</v>
      </c>
      <c r="F1280">
        <v>0</v>
      </c>
      <c r="G1280">
        <v>0</v>
      </c>
      <c r="H1280">
        <v>0</v>
      </c>
      <c r="I1280">
        <v>0</v>
      </c>
      <c r="K1280">
        <v>0</v>
      </c>
      <c r="L1280" s="322">
        <v>0</v>
      </c>
      <c r="M1280" s="322">
        <v>0</v>
      </c>
      <c r="N1280" s="322">
        <v>0</v>
      </c>
    </row>
    <row r="1281" spans="1:14" x14ac:dyDescent="0.3">
      <c r="A1281">
        <f>EPD!A996</f>
        <v>0</v>
      </c>
      <c r="F1281">
        <v>0</v>
      </c>
      <c r="G1281">
        <v>0</v>
      </c>
      <c r="H1281">
        <v>0</v>
      </c>
      <c r="I1281">
        <v>0</v>
      </c>
      <c r="K1281">
        <v>0</v>
      </c>
      <c r="L1281" s="322">
        <v>0</v>
      </c>
      <c r="M1281" s="322">
        <v>0</v>
      </c>
      <c r="N1281" s="322">
        <v>0</v>
      </c>
    </row>
    <row r="1282" spans="1:14" x14ac:dyDescent="0.3">
      <c r="A1282">
        <f>EPD!A997</f>
        <v>0</v>
      </c>
      <c r="F1282">
        <v>0</v>
      </c>
      <c r="G1282">
        <v>0</v>
      </c>
      <c r="H1282">
        <v>0</v>
      </c>
      <c r="I1282">
        <v>0</v>
      </c>
      <c r="K1282">
        <v>0</v>
      </c>
      <c r="L1282" s="322">
        <v>0</v>
      </c>
      <c r="M1282" s="322">
        <v>0</v>
      </c>
      <c r="N1282" s="322">
        <v>0</v>
      </c>
    </row>
    <row r="1283" spans="1:14" x14ac:dyDescent="0.3">
      <c r="A1283">
        <f>EPD!A998</f>
        <v>0</v>
      </c>
      <c r="F1283">
        <v>0</v>
      </c>
      <c r="G1283">
        <v>0</v>
      </c>
      <c r="H1283">
        <v>0</v>
      </c>
      <c r="I1283">
        <v>0</v>
      </c>
      <c r="K1283">
        <v>0</v>
      </c>
      <c r="L1283" s="322">
        <v>0</v>
      </c>
      <c r="M1283" s="322">
        <v>0</v>
      </c>
      <c r="N1283" s="322">
        <v>0</v>
      </c>
    </row>
    <row r="1284" spans="1:14" x14ac:dyDescent="0.3">
      <c r="A1284">
        <f>EPD!A999</f>
        <v>0</v>
      </c>
      <c r="F1284">
        <v>0</v>
      </c>
      <c r="G1284">
        <v>0</v>
      </c>
      <c r="H1284">
        <v>0</v>
      </c>
      <c r="I1284">
        <v>0</v>
      </c>
      <c r="K1284">
        <v>0</v>
      </c>
      <c r="L1284" s="322">
        <v>0</v>
      </c>
      <c r="M1284" s="322">
        <v>0</v>
      </c>
      <c r="N1284" s="322">
        <v>0</v>
      </c>
    </row>
    <row r="1285" spans="1:14" x14ac:dyDescent="0.3">
      <c r="A1285">
        <f>EPD!A1000</f>
        <v>0</v>
      </c>
      <c r="F1285">
        <v>0</v>
      </c>
      <c r="G1285">
        <v>0</v>
      </c>
      <c r="H1285">
        <v>0</v>
      </c>
      <c r="I1285">
        <v>0</v>
      </c>
      <c r="K1285">
        <v>0</v>
      </c>
      <c r="L1285" s="322">
        <v>0</v>
      </c>
      <c r="M1285" s="322">
        <v>0</v>
      </c>
      <c r="N1285" s="322">
        <v>0</v>
      </c>
    </row>
    <row r="1286" spans="1:14" x14ac:dyDescent="0.3">
      <c r="A1286">
        <f>EPD!A1001</f>
        <v>0</v>
      </c>
      <c r="F1286">
        <v>0</v>
      </c>
      <c r="G1286">
        <v>0</v>
      </c>
      <c r="H1286">
        <v>0</v>
      </c>
      <c r="I1286">
        <v>0</v>
      </c>
      <c r="K1286">
        <v>0</v>
      </c>
      <c r="L1286" s="322">
        <v>0</v>
      </c>
      <c r="M1286" s="322">
        <v>0</v>
      </c>
      <c r="N1286" s="322">
        <v>0</v>
      </c>
    </row>
    <row r="1287" spans="1:14" x14ac:dyDescent="0.3">
      <c r="A1287">
        <f>EPD!A1002</f>
        <v>0</v>
      </c>
      <c r="F1287">
        <v>0</v>
      </c>
      <c r="G1287">
        <v>0</v>
      </c>
      <c r="H1287">
        <v>0</v>
      </c>
      <c r="I1287">
        <v>0</v>
      </c>
      <c r="K1287">
        <v>0</v>
      </c>
      <c r="L1287" s="322">
        <v>0</v>
      </c>
      <c r="M1287" s="322">
        <v>0</v>
      </c>
      <c r="N1287" s="322">
        <v>0</v>
      </c>
    </row>
    <row r="1288" spans="1:14" x14ac:dyDescent="0.3">
      <c r="A1288">
        <f>EPD!A1003</f>
        <v>0</v>
      </c>
      <c r="F1288">
        <v>0</v>
      </c>
      <c r="G1288">
        <v>0</v>
      </c>
      <c r="H1288">
        <v>0</v>
      </c>
      <c r="I1288">
        <v>0</v>
      </c>
      <c r="K1288">
        <v>0</v>
      </c>
      <c r="L1288" s="322">
        <v>0</v>
      </c>
      <c r="M1288" s="322">
        <v>0</v>
      </c>
      <c r="N1288" s="322">
        <v>0</v>
      </c>
    </row>
    <row r="1289" spans="1:14" x14ac:dyDescent="0.3">
      <c r="A1289">
        <f>EPD!A1004</f>
        <v>0</v>
      </c>
      <c r="F1289">
        <v>0</v>
      </c>
      <c r="G1289">
        <v>0</v>
      </c>
      <c r="H1289">
        <v>0</v>
      </c>
      <c r="I1289">
        <v>0</v>
      </c>
      <c r="K1289">
        <v>0</v>
      </c>
      <c r="L1289" s="322">
        <v>0</v>
      </c>
      <c r="M1289" s="322">
        <v>0</v>
      </c>
      <c r="N1289" s="322">
        <v>0</v>
      </c>
    </row>
    <row r="1290" spans="1:14" x14ac:dyDescent="0.3">
      <c r="A1290">
        <f>EPD!A1005</f>
        <v>0</v>
      </c>
      <c r="F1290">
        <v>0</v>
      </c>
      <c r="G1290">
        <v>0</v>
      </c>
      <c r="H1290">
        <v>0</v>
      </c>
      <c r="I1290">
        <v>0</v>
      </c>
      <c r="K1290">
        <v>0</v>
      </c>
      <c r="L1290" s="322">
        <v>0</v>
      </c>
      <c r="M1290" s="322">
        <v>0</v>
      </c>
      <c r="N1290" s="322">
        <v>0</v>
      </c>
    </row>
    <row r="1291" spans="1:14" x14ac:dyDescent="0.3">
      <c r="A1291">
        <f>EPD!A1006</f>
        <v>0</v>
      </c>
      <c r="F1291">
        <v>0</v>
      </c>
      <c r="G1291">
        <v>0</v>
      </c>
      <c r="H1291">
        <v>0</v>
      </c>
      <c r="I1291">
        <v>0</v>
      </c>
      <c r="K1291">
        <v>0</v>
      </c>
      <c r="L1291" s="322">
        <v>0</v>
      </c>
      <c r="M1291" s="322">
        <v>0</v>
      </c>
      <c r="N1291" s="322">
        <v>0</v>
      </c>
    </row>
    <row r="1292" spans="1:14" x14ac:dyDescent="0.3">
      <c r="A1292">
        <f>EPD!A1007</f>
        <v>0</v>
      </c>
      <c r="F1292">
        <v>0</v>
      </c>
      <c r="G1292">
        <v>0</v>
      </c>
      <c r="H1292">
        <v>0</v>
      </c>
      <c r="I1292">
        <v>0</v>
      </c>
      <c r="K1292">
        <v>0</v>
      </c>
      <c r="L1292" s="322">
        <v>0</v>
      </c>
      <c r="M1292" s="322">
        <v>0</v>
      </c>
      <c r="N1292" s="322">
        <v>0</v>
      </c>
    </row>
    <row r="1293" spans="1:14" x14ac:dyDescent="0.3">
      <c r="A1293">
        <f>EPD!A1008</f>
        <v>0</v>
      </c>
      <c r="F1293">
        <v>0</v>
      </c>
      <c r="G1293">
        <v>0</v>
      </c>
      <c r="H1293">
        <v>0</v>
      </c>
      <c r="I1293">
        <v>0</v>
      </c>
      <c r="K1293">
        <v>0</v>
      </c>
      <c r="L1293" s="322">
        <v>0</v>
      </c>
      <c r="M1293" s="322">
        <v>0</v>
      </c>
      <c r="N1293" s="322">
        <v>0</v>
      </c>
    </row>
    <row r="1294" spans="1:14" x14ac:dyDescent="0.3">
      <c r="A1294">
        <f>EPD!A1009</f>
        <v>0</v>
      </c>
      <c r="F1294">
        <v>0</v>
      </c>
      <c r="G1294">
        <v>0</v>
      </c>
      <c r="H1294">
        <v>0</v>
      </c>
      <c r="I1294">
        <v>0</v>
      </c>
      <c r="K1294">
        <v>0</v>
      </c>
      <c r="L1294" s="322">
        <v>0</v>
      </c>
      <c r="M1294" s="322">
        <v>0</v>
      </c>
      <c r="N1294" s="322">
        <v>0</v>
      </c>
    </row>
    <row r="1295" spans="1:14" x14ac:dyDescent="0.3">
      <c r="A1295">
        <f>EPD!A1010</f>
        <v>0</v>
      </c>
      <c r="F1295">
        <v>0</v>
      </c>
      <c r="G1295">
        <v>0</v>
      </c>
      <c r="H1295">
        <v>0</v>
      </c>
      <c r="I1295">
        <v>0</v>
      </c>
      <c r="K1295">
        <v>0</v>
      </c>
      <c r="L1295" s="322">
        <v>0</v>
      </c>
      <c r="M1295" s="322">
        <v>0</v>
      </c>
      <c r="N1295" s="322">
        <v>0</v>
      </c>
    </row>
    <row r="1296" spans="1:14" x14ac:dyDescent="0.3">
      <c r="A1296">
        <f>EPD!A1011</f>
        <v>0</v>
      </c>
      <c r="F1296">
        <v>0</v>
      </c>
      <c r="G1296">
        <v>0</v>
      </c>
      <c r="H1296">
        <v>0</v>
      </c>
      <c r="I1296">
        <v>0</v>
      </c>
      <c r="K1296">
        <v>0</v>
      </c>
      <c r="L1296" s="322">
        <v>0</v>
      </c>
      <c r="M1296" s="322">
        <v>0</v>
      </c>
      <c r="N1296" s="322">
        <v>0</v>
      </c>
    </row>
    <row r="1297" spans="1:14" x14ac:dyDescent="0.3">
      <c r="A1297">
        <f>EPD!A1012</f>
        <v>0</v>
      </c>
      <c r="F1297">
        <v>0</v>
      </c>
      <c r="G1297">
        <v>0</v>
      </c>
      <c r="H1297">
        <v>0</v>
      </c>
      <c r="I1297">
        <v>0</v>
      </c>
      <c r="K1297">
        <v>0</v>
      </c>
      <c r="L1297" s="322">
        <v>0</v>
      </c>
      <c r="M1297" s="322">
        <v>0</v>
      </c>
      <c r="N1297" s="322">
        <v>0</v>
      </c>
    </row>
    <row r="1298" spans="1:14" x14ac:dyDescent="0.3">
      <c r="A1298">
        <f>EPD!A1013</f>
        <v>0</v>
      </c>
      <c r="F1298">
        <v>0</v>
      </c>
      <c r="G1298">
        <v>0</v>
      </c>
      <c r="H1298">
        <v>0</v>
      </c>
      <c r="I1298">
        <v>0</v>
      </c>
      <c r="K1298">
        <v>0</v>
      </c>
      <c r="L1298" s="322">
        <v>0</v>
      </c>
      <c r="M1298" s="322">
        <v>0</v>
      </c>
      <c r="N1298" s="322">
        <v>0</v>
      </c>
    </row>
    <row r="1299" spans="1:14" x14ac:dyDescent="0.3">
      <c r="A1299">
        <f>EPD!A1014</f>
        <v>0</v>
      </c>
      <c r="F1299">
        <v>0</v>
      </c>
      <c r="G1299">
        <v>0</v>
      </c>
      <c r="H1299">
        <v>0</v>
      </c>
      <c r="I1299">
        <v>0</v>
      </c>
      <c r="K1299">
        <v>0</v>
      </c>
      <c r="L1299" s="322">
        <v>0</v>
      </c>
      <c r="M1299" s="322">
        <v>0</v>
      </c>
      <c r="N1299" s="322">
        <v>0</v>
      </c>
    </row>
    <row r="1300" spans="1:14" x14ac:dyDescent="0.3">
      <c r="A1300">
        <f>EPD!A1015</f>
        <v>0</v>
      </c>
      <c r="F1300">
        <v>0</v>
      </c>
      <c r="G1300">
        <v>0</v>
      </c>
      <c r="H1300">
        <v>0</v>
      </c>
      <c r="I1300">
        <v>0</v>
      </c>
      <c r="K1300">
        <v>0</v>
      </c>
      <c r="L1300" s="322">
        <v>0</v>
      </c>
      <c r="M1300" s="322">
        <v>0</v>
      </c>
      <c r="N1300" s="322">
        <v>0</v>
      </c>
    </row>
    <row r="1301" spans="1:14" x14ac:dyDescent="0.3">
      <c r="A1301">
        <f>EPD!A1016</f>
        <v>0</v>
      </c>
      <c r="F1301">
        <v>0</v>
      </c>
      <c r="G1301">
        <v>0</v>
      </c>
      <c r="H1301">
        <v>0</v>
      </c>
      <c r="I1301">
        <v>0</v>
      </c>
      <c r="K1301">
        <v>0</v>
      </c>
      <c r="L1301" s="322">
        <v>0</v>
      </c>
      <c r="M1301" s="322">
        <v>0</v>
      </c>
      <c r="N1301" s="322">
        <v>0</v>
      </c>
    </row>
    <row r="1302" spans="1:14" x14ac:dyDescent="0.3">
      <c r="A1302">
        <f>EPD!A1017</f>
        <v>0</v>
      </c>
      <c r="F1302">
        <v>0</v>
      </c>
      <c r="G1302">
        <v>0</v>
      </c>
      <c r="H1302">
        <v>0</v>
      </c>
      <c r="I1302">
        <v>0</v>
      </c>
      <c r="K1302">
        <v>0</v>
      </c>
      <c r="L1302" s="322">
        <v>0</v>
      </c>
      <c r="M1302" s="322">
        <v>0</v>
      </c>
      <c r="N1302" s="322">
        <v>0</v>
      </c>
    </row>
    <row r="1303" spans="1:14" x14ac:dyDescent="0.3">
      <c r="A1303">
        <f>EPD!A1018</f>
        <v>0</v>
      </c>
      <c r="F1303">
        <v>0</v>
      </c>
      <c r="G1303">
        <v>0</v>
      </c>
      <c r="H1303">
        <v>0</v>
      </c>
      <c r="I1303">
        <v>0</v>
      </c>
      <c r="K1303">
        <v>0</v>
      </c>
      <c r="L1303" s="322">
        <v>0</v>
      </c>
      <c r="M1303" s="322">
        <v>0</v>
      </c>
      <c r="N1303" s="322">
        <v>0</v>
      </c>
    </row>
    <row r="1304" spans="1:14" x14ac:dyDescent="0.3">
      <c r="A1304">
        <f>EPD!A1019</f>
        <v>0</v>
      </c>
      <c r="F1304">
        <v>0</v>
      </c>
      <c r="G1304">
        <v>0</v>
      </c>
      <c r="H1304">
        <v>0</v>
      </c>
      <c r="I1304">
        <v>0</v>
      </c>
      <c r="K1304">
        <v>0</v>
      </c>
      <c r="L1304" s="322">
        <v>0</v>
      </c>
      <c r="M1304" s="322">
        <v>0</v>
      </c>
      <c r="N1304" s="322">
        <v>0</v>
      </c>
    </row>
    <row r="1305" spans="1:14" x14ac:dyDescent="0.3">
      <c r="A1305">
        <f>EPD!A1020</f>
        <v>0</v>
      </c>
      <c r="F1305">
        <v>0</v>
      </c>
      <c r="G1305">
        <v>0</v>
      </c>
      <c r="H1305">
        <v>0</v>
      </c>
      <c r="I1305">
        <v>0</v>
      </c>
      <c r="K1305">
        <v>0</v>
      </c>
      <c r="L1305" s="322">
        <v>0</v>
      </c>
      <c r="M1305" s="322">
        <v>0</v>
      </c>
      <c r="N1305" s="322">
        <v>0</v>
      </c>
    </row>
    <row r="1306" spans="1:14" x14ac:dyDescent="0.3">
      <c r="A1306">
        <f>EPD!A1021</f>
        <v>0</v>
      </c>
      <c r="F1306">
        <v>0</v>
      </c>
      <c r="G1306">
        <v>0</v>
      </c>
      <c r="H1306">
        <v>0</v>
      </c>
      <c r="I1306">
        <v>0</v>
      </c>
      <c r="K1306">
        <v>0</v>
      </c>
      <c r="L1306" s="322">
        <v>0</v>
      </c>
      <c r="M1306" s="322">
        <v>0</v>
      </c>
      <c r="N1306" s="322">
        <v>0</v>
      </c>
    </row>
    <row r="1307" spans="1:14" x14ac:dyDescent="0.3">
      <c r="A1307">
        <f>EPD!A1022</f>
        <v>0</v>
      </c>
      <c r="F1307">
        <v>0</v>
      </c>
      <c r="G1307">
        <v>0</v>
      </c>
      <c r="H1307">
        <v>0</v>
      </c>
      <c r="I1307">
        <v>0</v>
      </c>
      <c r="K1307">
        <v>0</v>
      </c>
      <c r="L1307" s="322">
        <v>0</v>
      </c>
      <c r="M1307" s="322">
        <v>0</v>
      </c>
      <c r="N1307" s="322">
        <v>0</v>
      </c>
    </row>
    <row r="1308" spans="1:14" x14ac:dyDescent="0.3">
      <c r="A1308">
        <f>EPD!A1023</f>
        <v>0</v>
      </c>
      <c r="F1308">
        <v>0</v>
      </c>
      <c r="G1308">
        <v>0</v>
      </c>
      <c r="H1308">
        <v>0</v>
      </c>
      <c r="I1308">
        <v>0</v>
      </c>
      <c r="K1308">
        <v>0</v>
      </c>
      <c r="L1308" s="322">
        <v>0</v>
      </c>
      <c r="M1308" s="322">
        <v>0</v>
      </c>
      <c r="N1308" s="322">
        <v>0</v>
      </c>
    </row>
    <row r="1309" spans="1:14" x14ac:dyDescent="0.3">
      <c r="A1309">
        <f>EPD!A1024</f>
        <v>0</v>
      </c>
      <c r="F1309">
        <v>0</v>
      </c>
      <c r="G1309">
        <v>0</v>
      </c>
      <c r="H1309">
        <v>0</v>
      </c>
      <c r="I1309">
        <v>0</v>
      </c>
      <c r="K1309">
        <v>0</v>
      </c>
      <c r="L1309" s="322">
        <v>0</v>
      </c>
      <c r="M1309" s="322">
        <v>0</v>
      </c>
      <c r="N1309" s="322">
        <v>0</v>
      </c>
    </row>
    <row r="1310" spans="1:14" x14ac:dyDescent="0.3">
      <c r="A1310">
        <f>EPD!A1025</f>
        <v>0</v>
      </c>
      <c r="F1310">
        <v>0</v>
      </c>
      <c r="G1310">
        <v>0</v>
      </c>
      <c r="H1310">
        <v>0</v>
      </c>
      <c r="I1310">
        <v>0</v>
      </c>
      <c r="K1310">
        <v>0</v>
      </c>
      <c r="L1310" s="322">
        <v>0</v>
      </c>
      <c r="M1310" s="322">
        <v>0</v>
      </c>
      <c r="N1310" s="322">
        <v>0</v>
      </c>
    </row>
    <row r="1311" spans="1:14" x14ac:dyDescent="0.3">
      <c r="A1311">
        <f>EPD!A1026</f>
        <v>0</v>
      </c>
      <c r="F1311">
        <v>0</v>
      </c>
      <c r="G1311">
        <v>0</v>
      </c>
      <c r="H1311">
        <v>0</v>
      </c>
      <c r="I1311">
        <v>0</v>
      </c>
      <c r="K1311">
        <v>0</v>
      </c>
      <c r="L1311" s="322">
        <v>0</v>
      </c>
      <c r="M1311" s="322">
        <v>0</v>
      </c>
      <c r="N1311" s="322">
        <v>0</v>
      </c>
    </row>
    <row r="1312" spans="1:14" x14ac:dyDescent="0.3">
      <c r="A1312">
        <f>EPD!A1027</f>
        <v>0</v>
      </c>
      <c r="F1312">
        <v>0</v>
      </c>
      <c r="G1312">
        <v>0</v>
      </c>
      <c r="H1312">
        <v>0</v>
      </c>
      <c r="I1312">
        <v>0</v>
      </c>
      <c r="K1312">
        <v>0</v>
      </c>
      <c r="L1312" s="322">
        <v>0</v>
      </c>
      <c r="M1312" s="322">
        <v>0</v>
      </c>
      <c r="N1312" s="322">
        <v>0</v>
      </c>
    </row>
    <row r="1313" spans="1:14" x14ac:dyDescent="0.3">
      <c r="A1313">
        <f>EPD!A1028</f>
        <v>0</v>
      </c>
      <c r="F1313">
        <v>0</v>
      </c>
      <c r="G1313">
        <v>0</v>
      </c>
      <c r="H1313">
        <v>0</v>
      </c>
      <c r="I1313">
        <v>0</v>
      </c>
      <c r="K1313">
        <v>0</v>
      </c>
      <c r="L1313" s="322">
        <v>0</v>
      </c>
      <c r="M1313" s="322">
        <v>0</v>
      </c>
      <c r="N1313" s="322">
        <v>0</v>
      </c>
    </row>
    <row r="1314" spans="1:14" x14ac:dyDescent="0.3">
      <c r="A1314">
        <f>EPD!A1029</f>
        <v>0</v>
      </c>
      <c r="F1314">
        <v>0</v>
      </c>
      <c r="G1314">
        <v>0</v>
      </c>
      <c r="H1314">
        <v>0</v>
      </c>
      <c r="I1314">
        <v>0</v>
      </c>
      <c r="K1314">
        <v>0</v>
      </c>
      <c r="L1314" s="322">
        <v>0</v>
      </c>
      <c r="M1314" s="322">
        <v>0</v>
      </c>
      <c r="N1314" s="322">
        <v>0</v>
      </c>
    </row>
    <row r="1315" spans="1:14" x14ac:dyDescent="0.3">
      <c r="A1315">
        <f>EPD!A1030</f>
        <v>0</v>
      </c>
      <c r="F1315">
        <v>0</v>
      </c>
      <c r="G1315">
        <v>0</v>
      </c>
      <c r="H1315">
        <v>0</v>
      </c>
      <c r="I1315">
        <v>0</v>
      </c>
      <c r="K1315">
        <v>0</v>
      </c>
      <c r="L1315" s="322">
        <v>0</v>
      </c>
      <c r="M1315" s="322">
        <v>0</v>
      </c>
      <c r="N1315" s="322">
        <v>0</v>
      </c>
    </row>
    <row r="1316" spans="1:14" x14ac:dyDescent="0.3">
      <c r="A1316">
        <f>EPD!A1031</f>
        <v>0</v>
      </c>
      <c r="F1316">
        <v>0</v>
      </c>
      <c r="G1316">
        <v>0</v>
      </c>
      <c r="H1316">
        <v>0</v>
      </c>
      <c r="I1316">
        <v>0</v>
      </c>
      <c r="K1316">
        <v>0</v>
      </c>
      <c r="L1316" s="322">
        <v>0</v>
      </c>
      <c r="M1316" s="322">
        <v>0</v>
      </c>
      <c r="N1316" s="322">
        <v>0</v>
      </c>
    </row>
    <row r="1317" spans="1:14" x14ac:dyDescent="0.3">
      <c r="A1317">
        <f>EPD!A1032</f>
        <v>0</v>
      </c>
      <c r="F1317">
        <v>0</v>
      </c>
      <c r="G1317">
        <v>0</v>
      </c>
      <c r="H1317">
        <v>0</v>
      </c>
      <c r="I1317">
        <v>0</v>
      </c>
      <c r="K1317">
        <v>0</v>
      </c>
      <c r="L1317" s="322">
        <v>0</v>
      </c>
      <c r="M1317" s="322">
        <v>0</v>
      </c>
      <c r="N1317" s="322">
        <v>0</v>
      </c>
    </row>
    <row r="1318" spans="1:14" x14ac:dyDescent="0.3">
      <c r="A1318">
        <f>EPD!A1033</f>
        <v>0</v>
      </c>
      <c r="F1318">
        <v>0</v>
      </c>
      <c r="G1318">
        <v>0</v>
      </c>
      <c r="H1318">
        <v>0</v>
      </c>
      <c r="I1318">
        <v>0</v>
      </c>
      <c r="K1318">
        <v>0</v>
      </c>
      <c r="L1318" s="322">
        <v>0</v>
      </c>
      <c r="M1318" s="322">
        <v>0</v>
      </c>
      <c r="N1318" s="322">
        <v>0</v>
      </c>
    </row>
    <row r="1319" spans="1:14" x14ac:dyDescent="0.3">
      <c r="A1319">
        <f>EPD!A1034</f>
        <v>0</v>
      </c>
      <c r="F1319">
        <v>0</v>
      </c>
      <c r="G1319">
        <v>0</v>
      </c>
      <c r="H1319">
        <v>0</v>
      </c>
      <c r="I1319">
        <v>0</v>
      </c>
      <c r="K1319">
        <v>0</v>
      </c>
      <c r="L1319" s="322">
        <v>0</v>
      </c>
      <c r="M1319" s="322">
        <v>0</v>
      </c>
      <c r="N1319" s="322">
        <v>0</v>
      </c>
    </row>
    <row r="1320" spans="1:14" x14ac:dyDescent="0.3">
      <c r="A1320">
        <f>EPD!A1035</f>
        <v>0</v>
      </c>
      <c r="F1320">
        <v>0</v>
      </c>
      <c r="G1320">
        <v>0</v>
      </c>
      <c r="H1320">
        <v>0</v>
      </c>
      <c r="I1320">
        <v>0</v>
      </c>
      <c r="K1320">
        <v>0</v>
      </c>
      <c r="L1320" s="322">
        <v>0</v>
      </c>
      <c r="M1320" s="322">
        <v>0</v>
      </c>
      <c r="N1320" s="322">
        <v>0</v>
      </c>
    </row>
    <row r="1321" spans="1:14" x14ac:dyDescent="0.3">
      <c r="A1321">
        <f>EPD!A1036</f>
        <v>0</v>
      </c>
      <c r="F1321">
        <v>0</v>
      </c>
      <c r="G1321">
        <v>0</v>
      </c>
      <c r="H1321">
        <v>0</v>
      </c>
      <c r="I1321">
        <v>0</v>
      </c>
      <c r="K1321">
        <v>0</v>
      </c>
      <c r="L1321" s="322">
        <v>0</v>
      </c>
      <c r="M1321" s="322">
        <v>0</v>
      </c>
      <c r="N1321" s="322">
        <v>0</v>
      </c>
    </row>
    <row r="1322" spans="1:14" x14ac:dyDescent="0.3">
      <c r="A1322">
        <f>EPD!A1037</f>
        <v>0</v>
      </c>
      <c r="F1322">
        <v>0</v>
      </c>
      <c r="G1322">
        <v>0</v>
      </c>
      <c r="H1322">
        <v>0</v>
      </c>
      <c r="I1322">
        <v>0</v>
      </c>
      <c r="K1322">
        <v>0</v>
      </c>
      <c r="L1322" s="322">
        <v>0</v>
      </c>
      <c r="M1322" s="322">
        <v>0</v>
      </c>
      <c r="N1322" s="322">
        <v>0</v>
      </c>
    </row>
    <row r="1323" spans="1:14" x14ac:dyDescent="0.3">
      <c r="A1323">
        <f>EPD!A1038</f>
        <v>0</v>
      </c>
      <c r="F1323">
        <v>0</v>
      </c>
      <c r="G1323">
        <v>0</v>
      </c>
      <c r="H1323">
        <v>0</v>
      </c>
      <c r="I1323">
        <v>0</v>
      </c>
      <c r="K1323">
        <v>0</v>
      </c>
      <c r="L1323" s="322">
        <v>0</v>
      </c>
      <c r="M1323" s="322">
        <v>0</v>
      </c>
      <c r="N1323" s="322">
        <v>0</v>
      </c>
    </row>
    <row r="1324" spans="1:14" x14ac:dyDescent="0.3">
      <c r="A1324">
        <f>EPD!A1039</f>
        <v>0</v>
      </c>
      <c r="F1324">
        <v>0</v>
      </c>
      <c r="G1324">
        <v>0</v>
      </c>
      <c r="H1324">
        <v>0</v>
      </c>
      <c r="I1324">
        <v>0</v>
      </c>
      <c r="K1324">
        <v>0</v>
      </c>
      <c r="L1324" s="322">
        <v>0</v>
      </c>
      <c r="M1324" s="322">
        <v>0</v>
      </c>
      <c r="N1324" s="322">
        <v>0</v>
      </c>
    </row>
    <row r="1325" spans="1:14" x14ac:dyDescent="0.3">
      <c r="A1325">
        <f>EPD!A1040</f>
        <v>0</v>
      </c>
      <c r="F1325">
        <v>0</v>
      </c>
      <c r="G1325">
        <v>0</v>
      </c>
      <c r="H1325">
        <v>0</v>
      </c>
      <c r="I1325">
        <v>0</v>
      </c>
      <c r="K1325">
        <v>0</v>
      </c>
      <c r="L1325" s="322">
        <v>0</v>
      </c>
      <c r="M1325" s="322">
        <v>0</v>
      </c>
      <c r="N1325" s="322">
        <v>0</v>
      </c>
    </row>
    <row r="1326" spans="1:14" x14ac:dyDescent="0.3">
      <c r="A1326">
        <f>EPD!A1041</f>
        <v>0</v>
      </c>
      <c r="F1326">
        <v>0</v>
      </c>
      <c r="G1326">
        <v>0</v>
      </c>
      <c r="H1326">
        <v>0</v>
      </c>
      <c r="I1326">
        <v>0</v>
      </c>
      <c r="K1326">
        <v>0</v>
      </c>
      <c r="L1326" s="322">
        <v>0</v>
      </c>
      <c r="M1326" s="322">
        <v>0</v>
      </c>
      <c r="N1326" s="322">
        <v>0</v>
      </c>
    </row>
    <row r="1327" spans="1:14" x14ac:dyDescent="0.3">
      <c r="A1327">
        <f>EPD!A1042</f>
        <v>0</v>
      </c>
      <c r="F1327">
        <v>0</v>
      </c>
      <c r="G1327">
        <v>0</v>
      </c>
      <c r="H1327">
        <v>0</v>
      </c>
      <c r="I1327">
        <v>0</v>
      </c>
      <c r="K1327">
        <v>0</v>
      </c>
      <c r="L1327" s="322">
        <v>0</v>
      </c>
      <c r="M1327" s="322">
        <v>0</v>
      </c>
      <c r="N1327" s="322">
        <v>0</v>
      </c>
    </row>
    <row r="1328" spans="1:14" x14ac:dyDescent="0.3">
      <c r="A1328">
        <f>EPD!A1043</f>
        <v>0</v>
      </c>
      <c r="F1328">
        <v>0</v>
      </c>
      <c r="G1328">
        <v>0</v>
      </c>
      <c r="H1328">
        <v>0</v>
      </c>
      <c r="I1328">
        <v>0</v>
      </c>
      <c r="K1328">
        <v>0</v>
      </c>
      <c r="L1328" s="322">
        <v>0</v>
      </c>
      <c r="M1328" s="322">
        <v>0</v>
      </c>
      <c r="N1328" s="322">
        <v>0</v>
      </c>
    </row>
    <row r="1329" spans="1:14" x14ac:dyDescent="0.3">
      <c r="A1329">
        <f>EPD!A1044</f>
        <v>0</v>
      </c>
      <c r="F1329">
        <v>0</v>
      </c>
      <c r="G1329">
        <v>0</v>
      </c>
      <c r="H1329">
        <v>0</v>
      </c>
      <c r="I1329">
        <v>0</v>
      </c>
      <c r="K1329">
        <v>0</v>
      </c>
      <c r="L1329" s="322">
        <v>0</v>
      </c>
      <c r="M1329" s="322">
        <v>0</v>
      </c>
      <c r="N1329" s="322">
        <v>0</v>
      </c>
    </row>
    <row r="1330" spans="1:14" x14ac:dyDescent="0.3">
      <c r="A1330">
        <f>EPD!A1045</f>
        <v>0</v>
      </c>
      <c r="F1330">
        <v>0</v>
      </c>
      <c r="G1330">
        <v>0</v>
      </c>
      <c r="H1330">
        <v>0</v>
      </c>
      <c r="I1330">
        <v>0</v>
      </c>
      <c r="K1330">
        <v>0</v>
      </c>
      <c r="L1330" s="322">
        <v>0</v>
      </c>
      <c r="M1330" s="322">
        <v>0</v>
      </c>
      <c r="N1330" s="322">
        <v>0</v>
      </c>
    </row>
    <row r="1331" spans="1:14" x14ac:dyDescent="0.3">
      <c r="A1331">
        <f>EPD!A1046</f>
        <v>0</v>
      </c>
      <c r="F1331">
        <v>0</v>
      </c>
      <c r="G1331">
        <v>0</v>
      </c>
      <c r="H1331">
        <v>0</v>
      </c>
      <c r="I1331">
        <v>0</v>
      </c>
      <c r="K1331">
        <v>0</v>
      </c>
      <c r="L1331" s="322">
        <v>0</v>
      </c>
      <c r="M1331" s="322">
        <v>0</v>
      </c>
      <c r="N1331" s="322">
        <v>0</v>
      </c>
    </row>
    <row r="1332" spans="1:14" x14ac:dyDescent="0.3">
      <c r="A1332">
        <f>EPD!A1047</f>
        <v>0</v>
      </c>
      <c r="F1332">
        <v>0</v>
      </c>
      <c r="G1332">
        <v>0</v>
      </c>
      <c r="H1332">
        <v>0</v>
      </c>
      <c r="I1332">
        <v>0</v>
      </c>
      <c r="K1332">
        <v>0</v>
      </c>
      <c r="L1332" s="322">
        <v>0</v>
      </c>
      <c r="M1332" s="322">
        <v>0</v>
      </c>
      <c r="N1332" s="322">
        <v>0</v>
      </c>
    </row>
    <row r="1333" spans="1:14" x14ac:dyDescent="0.3">
      <c r="A1333">
        <f>EPD!A1048</f>
        <v>0</v>
      </c>
      <c r="F1333">
        <v>0</v>
      </c>
      <c r="G1333">
        <v>0</v>
      </c>
      <c r="H1333">
        <v>0</v>
      </c>
      <c r="I1333">
        <v>0</v>
      </c>
      <c r="K1333">
        <v>0</v>
      </c>
      <c r="L1333" s="322">
        <v>0</v>
      </c>
      <c r="M1333" s="322">
        <v>0</v>
      </c>
      <c r="N1333" s="322">
        <v>0</v>
      </c>
    </row>
    <row r="1334" spans="1:14" x14ac:dyDescent="0.3">
      <c r="A1334">
        <f>EPD!A1049</f>
        <v>0</v>
      </c>
      <c r="F1334">
        <v>0</v>
      </c>
      <c r="G1334">
        <v>0</v>
      </c>
      <c r="H1334">
        <v>0</v>
      </c>
      <c r="I1334">
        <v>0</v>
      </c>
      <c r="K1334">
        <v>0</v>
      </c>
      <c r="L1334" s="322">
        <v>0</v>
      </c>
      <c r="M1334" s="322">
        <v>0</v>
      </c>
      <c r="N1334" s="322">
        <v>0</v>
      </c>
    </row>
    <row r="1335" spans="1:14" x14ac:dyDescent="0.3">
      <c r="A1335">
        <f>EPD!A1050</f>
        <v>0</v>
      </c>
      <c r="F1335">
        <v>0</v>
      </c>
      <c r="G1335">
        <v>0</v>
      </c>
      <c r="H1335">
        <v>0</v>
      </c>
      <c r="I1335">
        <v>0</v>
      </c>
      <c r="K1335">
        <v>0</v>
      </c>
      <c r="L1335" s="322">
        <v>0</v>
      </c>
      <c r="M1335" s="322">
        <v>0</v>
      </c>
      <c r="N1335" s="322">
        <v>0</v>
      </c>
    </row>
    <row r="1336" spans="1:14" x14ac:dyDescent="0.3">
      <c r="A1336">
        <f>EPD!A1051</f>
        <v>0</v>
      </c>
      <c r="F1336">
        <v>0</v>
      </c>
      <c r="G1336">
        <v>0</v>
      </c>
      <c r="H1336">
        <v>0</v>
      </c>
      <c r="I1336">
        <v>0</v>
      </c>
      <c r="K1336">
        <v>0</v>
      </c>
      <c r="L1336" s="322">
        <v>0</v>
      </c>
      <c r="M1336" s="322">
        <v>0</v>
      </c>
      <c r="N1336" s="322">
        <v>0</v>
      </c>
    </row>
    <row r="1337" spans="1:14" x14ac:dyDescent="0.3">
      <c r="A1337">
        <f>EPD!A1052</f>
        <v>0</v>
      </c>
      <c r="F1337">
        <v>0</v>
      </c>
      <c r="G1337">
        <v>0</v>
      </c>
      <c r="H1337">
        <v>0</v>
      </c>
      <c r="I1337">
        <v>0</v>
      </c>
      <c r="K1337">
        <v>0</v>
      </c>
      <c r="L1337" s="322">
        <v>0</v>
      </c>
      <c r="M1337" s="322">
        <v>0</v>
      </c>
      <c r="N1337" s="322">
        <v>0</v>
      </c>
    </row>
    <row r="1338" spans="1:14" x14ac:dyDescent="0.3">
      <c r="A1338">
        <f>EPD!A1053</f>
        <v>0</v>
      </c>
      <c r="F1338">
        <v>0</v>
      </c>
      <c r="G1338">
        <v>0</v>
      </c>
      <c r="H1338">
        <v>0</v>
      </c>
      <c r="I1338">
        <v>0</v>
      </c>
      <c r="K1338">
        <v>0</v>
      </c>
      <c r="L1338" s="322">
        <v>0</v>
      </c>
      <c r="M1338" s="322">
        <v>0</v>
      </c>
      <c r="N1338" s="322">
        <v>0</v>
      </c>
    </row>
    <row r="1339" spans="1:14" x14ac:dyDescent="0.3">
      <c r="A1339">
        <f>EPD!A1054</f>
        <v>0</v>
      </c>
      <c r="F1339">
        <v>0</v>
      </c>
      <c r="G1339">
        <v>0</v>
      </c>
      <c r="H1339">
        <v>0</v>
      </c>
      <c r="I1339">
        <v>0</v>
      </c>
      <c r="K1339">
        <v>0</v>
      </c>
      <c r="L1339" s="322">
        <v>0</v>
      </c>
      <c r="M1339" s="322">
        <v>0</v>
      </c>
      <c r="N1339" s="322">
        <v>0</v>
      </c>
    </row>
    <row r="1340" spans="1:14" x14ac:dyDescent="0.3">
      <c r="A1340">
        <f>EPD!A1055</f>
        <v>0</v>
      </c>
      <c r="F1340">
        <v>0</v>
      </c>
      <c r="G1340">
        <v>0</v>
      </c>
      <c r="H1340">
        <v>0</v>
      </c>
      <c r="I1340">
        <v>0</v>
      </c>
      <c r="K1340">
        <v>0</v>
      </c>
      <c r="L1340" s="322">
        <v>0</v>
      </c>
      <c r="M1340" s="322">
        <v>0</v>
      </c>
      <c r="N1340" s="322">
        <v>0</v>
      </c>
    </row>
    <row r="1341" spans="1:14" x14ac:dyDescent="0.3">
      <c r="A1341">
        <f>EPD!A1056</f>
        <v>0</v>
      </c>
      <c r="F1341">
        <v>0</v>
      </c>
      <c r="G1341">
        <v>0</v>
      </c>
      <c r="H1341">
        <v>0</v>
      </c>
      <c r="I1341">
        <v>0</v>
      </c>
      <c r="K1341">
        <v>0</v>
      </c>
      <c r="L1341" s="322">
        <v>0</v>
      </c>
      <c r="M1341" s="322">
        <v>0</v>
      </c>
      <c r="N1341" s="322">
        <v>0</v>
      </c>
    </row>
    <row r="1342" spans="1:14" x14ac:dyDescent="0.3">
      <c r="A1342">
        <f>EPD!A1057</f>
        <v>0</v>
      </c>
      <c r="F1342">
        <v>0</v>
      </c>
      <c r="G1342">
        <v>0</v>
      </c>
      <c r="H1342">
        <v>0</v>
      </c>
      <c r="I1342">
        <v>0</v>
      </c>
      <c r="K1342">
        <v>0</v>
      </c>
      <c r="L1342" s="322">
        <v>0</v>
      </c>
      <c r="M1342" s="322">
        <v>0</v>
      </c>
      <c r="N1342" s="322">
        <v>0</v>
      </c>
    </row>
    <row r="1343" spans="1:14" x14ac:dyDescent="0.3">
      <c r="A1343">
        <f>EPD!A1058</f>
        <v>0</v>
      </c>
      <c r="F1343">
        <v>0</v>
      </c>
      <c r="G1343">
        <v>0</v>
      </c>
      <c r="H1343">
        <v>0</v>
      </c>
      <c r="I1343">
        <v>0</v>
      </c>
      <c r="K1343">
        <v>0</v>
      </c>
      <c r="L1343" s="322">
        <v>0</v>
      </c>
      <c r="M1343" s="322">
        <v>0</v>
      </c>
      <c r="N1343" s="322">
        <v>0</v>
      </c>
    </row>
    <row r="1344" spans="1:14" x14ac:dyDescent="0.3">
      <c r="A1344">
        <f>EPD!A1059</f>
        <v>0</v>
      </c>
      <c r="F1344">
        <v>0</v>
      </c>
      <c r="G1344">
        <v>0</v>
      </c>
      <c r="H1344">
        <v>0</v>
      </c>
      <c r="I1344">
        <v>0</v>
      </c>
      <c r="K1344">
        <v>0</v>
      </c>
      <c r="L1344" s="322">
        <v>0</v>
      </c>
      <c r="M1344" s="322">
        <v>0</v>
      </c>
      <c r="N1344" s="322">
        <v>0</v>
      </c>
    </row>
    <row r="1345" spans="1:14" x14ac:dyDescent="0.3">
      <c r="A1345">
        <f>EPD!A1060</f>
        <v>0</v>
      </c>
      <c r="F1345">
        <v>0</v>
      </c>
      <c r="G1345">
        <v>0</v>
      </c>
      <c r="H1345">
        <v>0</v>
      </c>
      <c r="I1345">
        <v>0</v>
      </c>
      <c r="K1345">
        <v>0</v>
      </c>
      <c r="L1345" s="322">
        <v>0</v>
      </c>
      <c r="M1345" s="322">
        <v>0</v>
      </c>
      <c r="N1345" s="322">
        <v>0</v>
      </c>
    </row>
    <row r="1346" spans="1:14" x14ac:dyDescent="0.3">
      <c r="A1346">
        <f>EPD!A1061</f>
        <v>0</v>
      </c>
      <c r="F1346">
        <v>0</v>
      </c>
      <c r="G1346">
        <v>0</v>
      </c>
      <c r="H1346">
        <v>0</v>
      </c>
      <c r="I1346">
        <v>0</v>
      </c>
      <c r="K1346">
        <v>0</v>
      </c>
      <c r="L1346" s="322">
        <v>0</v>
      </c>
      <c r="M1346" s="322">
        <v>0</v>
      </c>
      <c r="N1346" s="322">
        <v>0</v>
      </c>
    </row>
    <row r="1347" spans="1:14" x14ac:dyDescent="0.3">
      <c r="A1347">
        <f>EPD!A1062</f>
        <v>0</v>
      </c>
      <c r="F1347">
        <v>0</v>
      </c>
      <c r="G1347">
        <v>0</v>
      </c>
      <c r="H1347">
        <v>0</v>
      </c>
      <c r="I1347">
        <v>0</v>
      </c>
      <c r="K1347">
        <v>0</v>
      </c>
      <c r="L1347" s="322">
        <v>0</v>
      </c>
      <c r="M1347" s="322">
        <v>0</v>
      </c>
      <c r="N1347" s="322">
        <v>0</v>
      </c>
    </row>
    <row r="1348" spans="1:14" x14ac:dyDescent="0.3">
      <c r="A1348">
        <f>EPD!A1063</f>
        <v>0</v>
      </c>
      <c r="F1348">
        <v>0</v>
      </c>
      <c r="G1348">
        <v>0</v>
      </c>
      <c r="H1348">
        <v>0</v>
      </c>
      <c r="I1348">
        <v>0</v>
      </c>
      <c r="K1348">
        <v>0</v>
      </c>
      <c r="L1348" s="322">
        <v>0</v>
      </c>
      <c r="M1348" s="322">
        <v>0</v>
      </c>
      <c r="N1348" s="322">
        <v>0</v>
      </c>
    </row>
    <row r="1349" spans="1:14" x14ac:dyDescent="0.3">
      <c r="A1349">
        <f>EPD!A1064</f>
        <v>0</v>
      </c>
      <c r="F1349">
        <v>0</v>
      </c>
      <c r="G1349">
        <v>0</v>
      </c>
      <c r="H1349">
        <v>0</v>
      </c>
      <c r="I1349">
        <v>0</v>
      </c>
      <c r="K1349">
        <v>0</v>
      </c>
      <c r="L1349" s="322">
        <v>0</v>
      </c>
      <c r="M1349" s="322">
        <v>0</v>
      </c>
      <c r="N1349" s="322">
        <v>0</v>
      </c>
    </row>
    <row r="1350" spans="1:14" x14ac:dyDescent="0.3">
      <c r="A1350">
        <f>EPD!A1065</f>
        <v>0</v>
      </c>
      <c r="F1350">
        <v>0</v>
      </c>
      <c r="G1350">
        <v>0</v>
      </c>
      <c r="H1350">
        <v>0</v>
      </c>
      <c r="I1350">
        <v>0</v>
      </c>
      <c r="K1350">
        <v>0</v>
      </c>
      <c r="L1350" s="322">
        <v>0</v>
      </c>
      <c r="M1350" s="322">
        <v>0</v>
      </c>
      <c r="N1350" s="322">
        <v>0</v>
      </c>
    </row>
    <row r="1351" spans="1:14" x14ac:dyDescent="0.3">
      <c r="A1351">
        <f>EPD!A1066</f>
        <v>0</v>
      </c>
      <c r="F1351">
        <v>0</v>
      </c>
      <c r="G1351">
        <v>0</v>
      </c>
      <c r="H1351">
        <v>0</v>
      </c>
      <c r="I1351">
        <v>0</v>
      </c>
      <c r="K1351">
        <v>0</v>
      </c>
      <c r="L1351" s="322">
        <v>0</v>
      </c>
      <c r="M1351" s="322">
        <v>0</v>
      </c>
      <c r="N1351" s="322">
        <v>0</v>
      </c>
    </row>
    <row r="1352" spans="1:14" x14ac:dyDescent="0.3">
      <c r="A1352">
        <f>EPD!A1067</f>
        <v>0</v>
      </c>
      <c r="F1352">
        <v>0</v>
      </c>
      <c r="G1352">
        <v>0</v>
      </c>
      <c r="H1352">
        <v>0</v>
      </c>
      <c r="I1352">
        <v>0</v>
      </c>
      <c r="K1352">
        <v>0</v>
      </c>
      <c r="L1352" s="322">
        <v>0</v>
      </c>
      <c r="M1352" s="322">
        <v>0</v>
      </c>
      <c r="N1352" s="322">
        <v>0</v>
      </c>
    </row>
    <row r="1353" spans="1:14" x14ac:dyDescent="0.3">
      <c r="A1353">
        <f>EPD!A1068</f>
        <v>0</v>
      </c>
      <c r="F1353">
        <v>0</v>
      </c>
      <c r="G1353">
        <v>0</v>
      </c>
      <c r="H1353">
        <v>0</v>
      </c>
      <c r="I1353">
        <v>0</v>
      </c>
      <c r="K1353">
        <v>0</v>
      </c>
      <c r="L1353" s="322">
        <v>0</v>
      </c>
      <c r="M1353" s="322">
        <v>0</v>
      </c>
      <c r="N1353" s="322">
        <v>0</v>
      </c>
    </row>
    <row r="1354" spans="1:14" x14ac:dyDescent="0.3">
      <c r="A1354">
        <f>EPD!A1069</f>
        <v>0</v>
      </c>
      <c r="F1354">
        <v>0</v>
      </c>
      <c r="G1354">
        <v>0</v>
      </c>
      <c r="H1354">
        <v>0</v>
      </c>
      <c r="I1354">
        <v>0</v>
      </c>
      <c r="K1354">
        <v>0</v>
      </c>
      <c r="L1354" s="322">
        <v>0</v>
      </c>
      <c r="M1354" s="322">
        <v>0</v>
      </c>
      <c r="N1354" s="322">
        <v>0</v>
      </c>
    </row>
    <row r="1355" spans="1:14" x14ac:dyDescent="0.3">
      <c r="A1355">
        <f>EPD!A1070</f>
        <v>0</v>
      </c>
      <c r="F1355">
        <v>0</v>
      </c>
      <c r="G1355">
        <v>0</v>
      </c>
      <c r="H1355">
        <v>0</v>
      </c>
      <c r="I1355">
        <v>0</v>
      </c>
      <c r="K1355">
        <v>0</v>
      </c>
      <c r="L1355" s="322">
        <v>0</v>
      </c>
      <c r="M1355" s="322">
        <v>0</v>
      </c>
      <c r="N1355" s="322">
        <v>0</v>
      </c>
    </row>
    <row r="1356" spans="1:14" x14ac:dyDescent="0.3">
      <c r="A1356">
        <f>EPD!A1071</f>
        <v>0</v>
      </c>
      <c r="F1356">
        <v>0</v>
      </c>
      <c r="G1356">
        <v>0</v>
      </c>
      <c r="H1356">
        <v>0</v>
      </c>
      <c r="I1356">
        <v>0</v>
      </c>
      <c r="K1356">
        <v>0</v>
      </c>
      <c r="L1356" s="322">
        <v>0</v>
      </c>
      <c r="M1356" s="322">
        <v>0</v>
      </c>
      <c r="N1356" s="322">
        <v>0</v>
      </c>
    </row>
    <row r="1357" spans="1:14" x14ac:dyDescent="0.3">
      <c r="A1357">
        <f>EPD!A1072</f>
        <v>0</v>
      </c>
      <c r="F1357">
        <v>0</v>
      </c>
      <c r="G1357">
        <v>0</v>
      </c>
      <c r="H1357">
        <v>0</v>
      </c>
      <c r="I1357">
        <v>0</v>
      </c>
      <c r="K1357">
        <v>0</v>
      </c>
      <c r="L1357" s="322">
        <v>0</v>
      </c>
      <c r="M1357" s="322">
        <v>0</v>
      </c>
      <c r="N1357" s="322">
        <v>0</v>
      </c>
    </row>
    <row r="1358" spans="1:14" x14ac:dyDescent="0.3">
      <c r="A1358">
        <f>EPD!A1073</f>
        <v>0</v>
      </c>
      <c r="F1358">
        <v>0</v>
      </c>
      <c r="G1358">
        <v>0</v>
      </c>
      <c r="H1358">
        <v>0</v>
      </c>
      <c r="I1358">
        <v>0</v>
      </c>
      <c r="K1358">
        <v>0</v>
      </c>
      <c r="L1358" s="322">
        <v>0</v>
      </c>
      <c r="M1358" s="322">
        <v>0</v>
      </c>
      <c r="N1358" s="322">
        <v>0</v>
      </c>
    </row>
    <row r="1359" spans="1:14" x14ac:dyDescent="0.3">
      <c r="A1359">
        <f>EPD!A1074</f>
        <v>0</v>
      </c>
      <c r="F1359">
        <v>0</v>
      </c>
      <c r="G1359">
        <v>0</v>
      </c>
      <c r="H1359">
        <v>0</v>
      </c>
      <c r="I1359">
        <v>0</v>
      </c>
      <c r="K1359">
        <v>0</v>
      </c>
      <c r="L1359" s="322">
        <v>0</v>
      </c>
      <c r="M1359" s="322">
        <v>0</v>
      </c>
      <c r="N1359" s="322">
        <v>0</v>
      </c>
    </row>
    <row r="1360" spans="1:14" x14ac:dyDescent="0.3">
      <c r="A1360">
        <f>EPD!A1075</f>
        <v>0</v>
      </c>
      <c r="F1360">
        <v>0</v>
      </c>
      <c r="G1360">
        <v>0</v>
      </c>
      <c r="H1360">
        <v>0</v>
      </c>
      <c r="I1360">
        <v>0</v>
      </c>
      <c r="K1360">
        <v>0</v>
      </c>
      <c r="L1360" s="322">
        <v>0</v>
      </c>
      <c r="M1360" s="322">
        <v>0</v>
      </c>
      <c r="N1360" s="322">
        <v>0</v>
      </c>
    </row>
    <row r="1361" spans="1:14" x14ac:dyDescent="0.3">
      <c r="A1361">
        <f>EPD!A1076</f>
        <v>0</v>
      </c>
      <c r="F1361">
        <v>0</v>
      </c>
      <c r="G1361">
        <v>0</v>
      </c>
      <c r="H1361">
        <v>0</v>
      </c>
      <c r="I1361">
        <v>0</v>
      </c>
      <c r="K1361">
        <v>0</v>
      </c>
      <c r="L1361" s="322">
        <v>0</v>
      </c>
      <c r="M1361" s="322">
        <v>0</v>
      </c>
      <c r="N1361" s="322">
        <v>0</v>
      </c>
    </row>
    <row r="1362" spans="1:14" x14ac:dyDescent="0.3">
      <c r="A1362">
        <f>EPD!A1077</f>
        <v>0</v>
      </c>
      <c r="F1362">
        <v>0</v>
      </c>
      <c r="G1362">
        <v>0</v>
      </c>
      <c r="H1362">
        <v>0</v>
      </c>
      <c r="I1362">
        <v>0</v>
      </c>
      <c r="K1362">
        <v>0</v>
      </c>
      <c r="L1362" s="322">
        <v>0</v>
      </c>
      <c r="M1362" s="322">
        <v>0</v>
      </c>
      <c r="N1362" s="322">
        <v>0</v>
      </c>
    </row>
    <row r="1363" spans="1:14" x14ac:dyDescent="0.3">
      <c r="A1363">
        <f>EPD!A1078</f>
        <v>0</v>
      </c>
      <c r="F1363">
        <v>0</v>
      </c>
      <c r="G1363">
        <v>0</v>
      </c>
      <c r="H1363">
        <v>0</v>
      </c>
      <c r="I1363">
        <v>0</v>
      </c>
      <c r="K1363">
        <v>0</v>
      </c>
      <c r="L1363" s="322">
        <v>0</v>
      </c>
      <c r="M1363" s="322">
        <v>0</v>
      </c>
      <c r="N1363" s="322">
        <v>0</v>
      </c>
    </row>
    <row r="1364" spans="1:14" x14ac:dyDescent="0.3">
      <c r="A1364">
        <f>EPD!A1079</f>
        <v>0</v>
      </c>
      <c r="F1364">
        <v>0</v>
      </c>
      <c r="G1364">
        <v>0</v>
      </c>
      <c r="H1364">
        <v>0</v>
      </c>
      <c r="I1364">
        <v>0</v>
      </c>
      <c r="K1364">
        <v>0</v>
      </c>
      <c r="L1364" s="322">
        <v>0</v>
      </c>
      <c r="M1364" s="322">
        <v>0</v>
      </c>
      <c r="N1364" s="322">
        <v>0</v>
      </c>
    </row>
    <row r="1365" spans="1:14" x14ac:dyDescent="0.3">
      <c r="A1365">
        <f>EPD!A1080</f>
        <v>0</v>
      </c>
      <c r="F1365">
        <v>0</v>
      </c>
      <c r="G1365">
        <v>0</v>
      </c>
      <c r="H1365">
        <v>0</v>
      </c>
      <c r="I1365">
        <v>0</v>
      </c>
      <c r="K1365">
        <v>0</v>
      </c>
      <c r="L1365" s="322">
        <v>0</v>
      </c>
      <c r="M1365" s="322">
        <v>0</v>
      </c>
      <c r="N1365" s="322">
        <v>0</v>
      </c>
    </row>
    <row r="1366" spans="1:14" x14ac:dyDescent="0.3">
      <c r="A1366">
        <f>EPD!A1081</f>
        <v>0</v>
      </c>
      <c r="F1366">
        <v>0</v>
      </c>
      <c r="G1366">
        <v>0</v>
      </c>
      <c r="H1366">
        <v>0</v>
      </c>
      <c r="I1366">
        <v>0</v>
      </c>
      <c r="K1366">
        <v>0</v>
      </c>
      <c r="L1366" s="322">
        <v>0</v>
      </c>
      <c r="M1366" s="322">
        <v>0</v>
      </c>
      <c r="N1366" s="322">
        <v>0</v>
      </c>
    </row>
    <row r="1367" spans="1:14" x14ac:dyDescent="0.3">
      <c r="A1367">
        <f>EPD!A1082</f>
        <v>0</v>
      </c>
      <c r="F1367">
        <v>0</v>
      </c>
      <c r="G1367">
        <v>0</v>
      </c>
      <c r="H1367">
        <v>0</v>
      </c>
      <c r="I1367">
        <v>0</v>
      </c>
      <c r="K1367">
        <v>0</v>
      </c>
      <c r="L1367" s="322">
        <v>0</v>
      </c>
      <c r="M1367" s="322">
        <v>0</v>
      </c>
      <c r="N1367" s="322">
        <v>0</v>
      </c>
    </row>
    <row r="1368" spans="1:14" x14ac:dyDescent="0.3">
      <c r="A1368">
        <f>EPD!A1083</f>
        <v>0</v>
      </c>
      <c r="F1368">
        <v>0</v>
      </c>
      <c r="G1368">
        <v>0</v>
      </c>
      <c r="H1368">
        <v>0</v>
      </c>
      <c r="I1368">
        <v>0</v>
      </c>
      <c r="K1368">
        <v>0</v>
      </c>
      <c r="L1368" s="322">
        <v>0</v>
      </c>
      <c r="M1368" s="322">
        <v>0</v>
      </c>
      <c r="N1368" s="322">
        <v>0</v>
      </c>
    </row>
    <row r="1369" spans="1:14" x14ac:dyDescent="0.3">
      <c r="A1369">
        <f>EPD!A1084</f>
        <v>0</v>
      </c>
      <c r="F1369">
        <v>0</v>
      </c>
      <c r="G1369">
        <v>0</v>
      </c>
      <c r="H1369">
        <v>0</v>
      </c>
      <c r="I1369">
        <v>0</v>
      </c>
      <c r="K1369">
        <v>0</v>
      </c>
      <c r="L1369" s="322">
        <v>0</v>
      </c>
      <c r="M1369" s="322">
        <v>0</v>
      </c>
      <c r="N1369" s="322">
        <v>0</v>
      </c>
    </row>
    <row r="1370" spans="1:14" x14ac:dyDescent="0.3">
      <c r="A1370">
        <f>EPD!A1085</f>
        <v>0</v>
      </c>
      <c r="F1370">
        <v>0</v>
      </c>
      <c r="G1370">
        <v>0</v>
      </c>
      <c r="H1370">
        <v>0</v>
      </c>
      <c r="I1370">
        <v>0</v>
      </c>
      <c r="K1370">
        <v>0</v>
      </c>
      <c r="L1370" s="322">
        <v>0</v>
      </c>
      <c r="M1370" s="322">
        <v>0</v>
      </c>
      <c r="N1370" s="322">
        <v>0</v>
      </c>
    </row>
    <row r="1371" spans="1:14" x14ac:dyDescent="0.3">
      <c r="A1371">
        <f>EPD!A1086</f>
        <v>0</v>
      </c>
      <c r="F1371">
        <v>0</v>
      </c>
      <c r="G1371">
        <v>0</v>
      </c>
      <c r="H1371">
        <v>0</v>
      </c>
      <c r="I1371">
        <v>0</v>
      </c>
      <c r="K1371">
        <v>0</v>
      </c>
      <c r="L1371" s="322">
        <v>0</v>
      </c>
      <c r="M1371" s="322">
        <v>0</v>
      </c>
      <c r="N1371" s="322">
        <v>0</v>
      </c>
    </row>
    <row r="1372" spans="1:14" x14ac:dyDescent="0.3">
      <c r="A1372">
        <f>EPD!A1087</f>
        <v>0</v>
      </c>
      <c r="F1372">
        <v>0</v>
      </c>
      <c r="G1372">
        <v>0</v>
      </c>
      <c r="H1372">
        <v>0</v>
      </c>
      <c r="I1372">
        <v>0</v>
      </c>
      <c r="K1372">
        <v>0</v>
      </c>
      <c r="L1372" s="322">
        <v>0</v>
      </c>
      <c r="M1372" s="322">
        <v>0</v>
      </c>
      <c r="N1372" s="322">
        <v>0</v>
      </c>
    </row>
    <row r="1373" spans="1:14" x14ac:dyDescent="0.3">
      <c r="A1373">
        <f>EPD!A1088</f>
        <v>0</v>
      </c>
      <c r="F1373">
        <v>0</v>
      </c>
      <c r="G1373">
        <v>0</v>
      </c>
      <c r="H1373">
        <v>0</v>
      </c>
      <c r="I1373">
        <v>0</v>
      </c>
      <c r="K1373">
        <v>0</v>
      </c>
      <c r="L1373" s="322">
        <v>0</v>
      </c>
      <c r="M1373" s="322">
        <v>0</v>
      </c>
      <c r="N1373" s="322">
        <v>0</v>
      </c>
    </row>
    <row r="1374" spans="1:14" x14ac:dyDescent="0.3">
      <c r="A1374">
        <f>EPD!A1089</f>
        <v>0</v>
      </c>
      <c r="F1374">
        <v>0</v>
      </c>
      <c r="G1374">
        <v>0</v>
      </c>
      <c r="H1374">
        <v>0</v>
      </c>
      <c r="I1374">
        <v>0</v>
      </c>
      <c r="K1374">
        <v>0</v>
      </c>
      <c r="L1374" s="322">
        <v>0</v>
      </c>
      <c r="M1374" s="322">
        <v>0</v>
      </c>
      <c r="N1374" s="322">
        <v>0</v>
      </c>
    </row>
    <row r="1375" spans="1:14" x14ac:dyDescent="0.3">
      <c r="A1375">
        <f>EPD!A1090</f>
        <v>0</v>
      </c>
      <c r="F1375">
        <v>0</v>
      </c>
      <c r="G1375">
        <v>0</v>
      </c>
      <c r="H1375">
        <v>0</v>
      </c>
      <c r="I1375">
        <v>0</v>
      </c>
      <c r="K1375">
        <v>0</v>
      </c>
      <c r="L1375" s="322">
        <v>0</v>
      </c>
      <c r="M1375" s="322">
        <v>0</v>
      </c>
      <c r="N1375" s="322">
        <v>0</v>
      </c>
    </row>
    <row r="1376" spans="1:14" x14ac:dyDescent="0.3">
      <c r="A1376">
        <f>EPD!A1091</f>
        <v>0</v>
      </c>
      <c r="F1376">
        <v>0</v>
      </c>
      <c r="G1376">
        <v>0</v>
      </c>
      <c r="H1376">
        <v>0</v>
      </c>
      <c r="I1376">
        <v>0</v>
      </c>
      <c r="K1376">
        <v>0</v>
      </c>
      <c r="L1376" s="322">
        <v>0</v>
      </c>
      <c r="M1376" s="322">
        <v>0</v>
      </c>
      <c r="N1376" s="322">
        <v>0</v>
      </c>
    </row>
    <row r="1377" spans="1:14" x14ac:dyDescent="0.3">
      <c r="A1377">
        <f>EPD!A1092</f>
        <v>0</v>
      </c>
      <c r="F1377">
        <v>0</v>
      </c>
      <c r="G1377">
        <v>0</v>
      </c>
      <c r="H1377">
        <v>0</v>
      </c>
      <c r="I1377">
        <v>0</v>
      </c>
      <c r="K1377">
        <v>0</v>
      </c>
      <c r="L1377" s="322">
        <v>0</v>
      </c>
      <c r="M1377" s="322">
        <v>0</v>
      </c>
      <c r="N1377" s="322">
        <v>0</v>
      </c>
    </row>
    <row r="1378" spans="1:14" x14ac:dyDescent="0.3">
      <c r="A1378">
        <f>EPD!A1093</f>
        <v>0</v>
      </c>
      <c r="F1378">
        <v>0</v>
      </c>
      <c r="G1378">
        <v>0</v>
      </c>
      <c r="H1378">
        <v>0</v>
      </c>
      <c r="I1378">
        <v>0</v>
      </c>
      <c r="K1378">
        <v>0</v>
      </c>
      <c r="L1378" s="322">
        <v>0</v>
      </c>
      <c r="M1378" s="322">
        <v>0</v>
      </c>
      <c r="N1378" s="322">
        <v>0</v>
      </c>
    </row>
    <row r="1379" spans="1:14" x14ac:dyDescent="0.3">
      <c r="A1379">
        <f>EPD!A1094</f>
        <v>0</v>
      </c>
      <c r="F1379">
        <v>0</v>
      </c>
      <c r="G1379">
        <v>0</v>
      </c>
      <c r="H1379">
        <v>0</v>
      </c>
      <c r="I1379">
        <v>0</v>
      </c>
      <c r="K1379">
        <v>0</v>
      </c>
      <c r="L1379" s="322">
        <v>0</v>
      </c>
      <c r="M1379" s="322">
        <v>0</v>
      </c>
      <c r="N1379" s="322">
        <v>0</v>
      </c>
    </row>
    <row r="1380" spans="1:14" x14ac:dyDescent="0.3">
      <c r="A1380">
        <f>EPD!A1095</f>
        <v>0</v>
      </c>
      <c r="F1380">
        <v>0</v>
      </c>
      <c r="G1380">
        <v>0</v>
      </c>
      <c r="H1380">
        <v>0</v>
      </c>
      <c r="I1380">
        <v>0</v>
      </c>
      <c r="K1380">
        <v>0</v>
      </c>
      <c r="L1380" s="322">
        <v>0</v>
      </c>
      <c r="M1380" s="322">
        <v>0</v>
      </c>
      <c r="N1380" s="322">
        <v>0</v>
      </c>
    </row>
    <row r="1381" spans="1:14" x14ac:dyDescent="0.3">
      <c r="A1381">
        <f>EPD!A1096</f>
        <v>0</v>
      </c>
      <c r="F1381">
        <v>0</v>
      </c>
      <c r="G1381">
        <v>0</v>
      </c>
      <c r="H1381">
        <v>0</v>
      </c>
      <c r="I1381">
        <v>0</v>
      </c>
      <c r="K1381">
        <v>0</v>
      </c>
      <c r="L1381" s="322">
        <v>0</v>
      </c>
      <c r="M1381" s="322">
        <v>0</v>
      </c>
      <c r="N1381" s="322">
        <v>0</v>
      </c>
    </row>
    <row r="1382" spans="1:14" x14ac:dyDescent="0.3">
      <c r="A1382">
        <f>EPD!A1097</f>
        <v>0</v>
      </c>
      <c r="F1382">
        <v>0</v>
      </c>
      <c r="G1382">
        <v>0</v>
      </c>
      <c r="H1382">
        <v>0</v>
      </c>
      <c r="I1382">
        <v>0</v>
      </c>
      <c r="K1382">
        <v>0</v>
      </c>
      <c r="L1382" s="322">
        <v>0</v>
      </c>
      <c r="M1382" s="322">
        <v>0</v>
      </c>
      <c r="N1382" s="322">
        <v>0</v>
      </c>
    </row>
    <row r="1383" spans="1:14" x14ac:dyDescent="0.3">
      <c r="A1383">
        <f>EPD!A1098</f>
        <v>0</v>
      </c>
      <c r="F1383">
        <v>0</v>
      </c>
      <c r="G1383">
        <v>0</v>
      </c>
      <c r="H1383">
        <v>0</v>
      </c>
      <c r="I1383">
        <v>0</v>
      </c>
      <c r="K1383">
        <v>0</v>
      </c>
      <c r="L1383" s="322">
        <v>0</v>
      </c>
      <c r="M1383" s="322">
        <v>0</v>
      </c>
      <c r="N1383" s="322">
        <v>0</v>
      </c>
    </row>
    <row r="1384" spans="1:14" x14ac:dyDescent="0.3">
      <c r="A1384">
        <f>EPD!A1099</f>
        <v>0</v>
      </c>
      <c r="F1384">
        <v>0</v>
      </c>
      <c r="G1384">
        <v>0</v>
      </c>
      <c r="H1384">
        <v>0</v>
      </c>
      <c r="I1384">
        <v>0</v>
      </c>
      <c r="K1384">
        <v>0</v>
      </c>
      <c r="L1384" s="322">
        <v>0</v>
      </c>
      <c r="M1384" s="322">
        <v>0</v>
      </c>
      <c r="N1384" s="322">
        <v>0</v>
      </c>
    </row>
    <row r="1385" spans="1:14" x14ac:dyDescent="0.3">
      <c r="A1385">
        <f>EPD!A1100</f>
        <v>0</v>
      </c>
      <c r="F1385">
        <v>0</v>
      </c>
      <c r="G1385">
        <v>0</v>
      </c>
      <c r="H1385">
        <v>0</v>
      </c>
      <c r="I1385">
        <v>0</v>
      </c>
      <c r="K1385">
        <v>0</v>
      </c>
      <c r="L1385" s="322">
        <v>0</v>
      </c>
      <c r="M1385" s="322">
        <v>0</v>
      </c>
      <c r="N1385" s="322">
        <v>0</v>
      </c>
    </row>
    <row r="1386" spans="1:14" x14ac:dyDescent="0.3">
      <c r="A1386">
        <f>EPD!A1101</f>
        <v>0</v>
      </c>
      <c r="F1386">
        <v>0</v>
      </c>
      <c r="G1386">
        <v>0</v>
      </c>
      <c r="H1386">
        <v>0</v>
      </c>
      <c r="I1386">
        <v>0</v>
      </c>
      <c r="K1386">
        <v>0</v>
      </c>
      <c r="L1386" s="322">
        <v>0</v>
      </c>
      <c r="M1386" s="322">
        <v>0</v>
      </c>
      <c r="N1386" s="322">
        <v>0</v>
      </c>
    </row>
    <row r="1387" spans="1:14" x14ac:dyDescent="0.3">
      <c r="A1387">
        <f>EPD!A1102</f>
        <v>0</v>
      </c>
      <c r="F1387">
        <v>0</v>
      </c>
      <c r="G1387">
        <v>0</v>
      </c>
      <c r="H1387">
        <v>0</v>
      </c>
      <c r="I1387">
        <v>0</v>
      </c>
      <c r="K1387">
        <v>0</v>
      </c>
      <c r="L1387" s="322">
        <v>0</v>
      </c>
      <c r="M1387" s="322">
        <v>0</v>
      </c>
      <c r="N1387" s="322">
        <v>0</v>
      </c>
    </row>
    <row r="1388" spans="1:14" x14ac:dyDescent="0.3">
      <c r="A1388">
        <f>EPD!A1103</f>
        <v>0</v>
      </c>
      <c r="F1388">
        <v>0</v>
      </c>
      <c r="G1388">
        <v>0</v>
      </c>
      <c r="H1388">
        <v>0</v>
      </c>
      <c r="I1388">
        <v>0</v>
      </c>
      <c r="K1388">
        <v>0</v>
      </c>
      <c r="L1388" s="322">
        <v>0</v>
      </c>
      <c r="M1388" s="322">
        <v>0</v>
      </c>
      <c r="N1388" s="322">
        <v>0</v>
      </c>
    </row>
    <row r="1389" spans="1:14" x14ac:dyDescent="0.3">
      <c r="A1389">
        <f>EPD!A1104</f>
        <v>0</v>
      </c>
      <c r="F1389">
        <v>0</v>
      </c>
      <c r="G1389">
        <v>0</v>
      </c>
      <c r="H1389">
        <v>0</v>
      </c>
      <c r="I1389">
        <v>0</v>
      </c>
      <c r="K1389">
        <v>0</v>
      </c>
      <c r="L1389" s="322">
        <v>0</v>
      </c>
      <c r="M1389" s="322">
        <v>0</v>
      </c>
      <c r="N1389" s="322">
        <v>0</v>
      </c>
    </row>
    <row r="1390" spans="1:14" x14ac:dyDescent="0.3">
      <c r="A1390">
        <f>EPD!A1105</f>
        <v>0</v>
      </c>
      <c r="F1390">
        <v>0</v>
      </c>
      <c r="G1390">
        <v>0</v>
      </c>
      <c r="H1390">
        <v>0</v>
      </c>
      <c r="I1390">
        <v>0</v>
      </c>
      <c r="K1390">
        <v>0</v>
      </c>
      <c r="L1390" s="322">
        <v>0</v>
      </c>
      <c r="M1390" s="322">
        <v>0</v>
      </c>
      <c r="N1390" s="322">
        <v>0</v>
      </c>
    </row>
    <row r="1391" spans="1:14" x14ac:dyDescent="0.3">
      <c r="A1391">
        <f>EPD!A1106</f>
        <v>0</v>
      </c>
      <c r="F1391">
        <v>0</v>
      </c>
      <c r="G1391">
        <v>0</v>
      </c>
      <c r="H1391">
        <v>0</v>
      </c>
      <c r="I1391">
        <v>0</v>
      </c>
      <c r="K1391">
        <v>0</v>
      </c>
      <c r="L1391" s="322">
        <v>0</v>
      </c>
      <c r="M1391" s="322">
        <v>0</v>
      </c>
      <c r="N1391" s="322">
        <v>0</v>
      </c>
    </row>
    <row r="1392" spans="1:14" x14ac:dyDescent="0.3">
      <c r="A1392">
        <f>EPD!A1107</f>
        <v>0</v>
      </c>
      <c r="F1392">
        <v>0</v>
      </c>
      <c r="G1392">
        <v>0</v>
      </c>
      <c r="H1392">
        <v>0</v>
      </c>
      <c r="I1392">
        <v>0</v>
      </c>
      <c r="K1392">
        <v>0</v>
      </c>
      <c r="L1392" s="322">
        <v>0</v>
      </c>
      <c r="M1392" s="322">
        <v>0</v>
      </c>
      <c r="N1392" s="322">
        <v>0</v>
      </c>
    </row>
    <row r="1393" spans="1:14" x14ac:dyDescent="0.3">
      <c r="A1393">
        <f>EPD!A1108</f>
        <v>0</v>
      </c>
      <c r="F1393">
        <v>0</v>
      </c>
      <c r="G1393">
        <v>0</v>
      </c>
      <c r="H1393">
        <v>0</v>
      </c>
      <c r="I1393">
        <v>0</v>
      </c>
      <c r="K1393">
        <v>0</v>
      </c>
      <c r="L1393" s="322">
        <v>0</v>
      </c>
      <c r="M1393" s="322">
        <v>0</v>
      </c>
      <c r="N1393" s="322">
        <v>0</v>
      </c>
    </row>
    <row r="1394" spans="1:14" x14ac:dyDescent="0.3">
      <c r="A1394">
        <f>EPD!A1109</f>
        <v>0</v>
      </c>
      <c r="F1394">
        <v>0</v>
      </c>
      <c r="G1394">
        <v>0</v>
      </c>
      <c r="H1394">
        <v>0</v>
      </c>
      <c r="I1394">
        <v>0</v>
      </c>
      <c r="K1394">
        <v>0</v>
      </c>
      <c r="L1394" s="322">
        <v>0</v>
      </c>
      <c r="M1394" s="322">
        <v>0</v>
      </c>
      <c r="N1394" s="322">
        <v>0</v>
      </c>
    </row>
    <row r="1395" spans="1:14" x14ac:dyDescent="0.3">
      <c r="A1395">
        <f>EPD!A1110</f>
        <v>0</v>
      </c>
      <c r="F1395">
        <v>0</v>
      </c>
      <c r="G1395">
        <v>0</v>
      </c>
      <c r="H1395">
        <v>0</v>
      </c>
      <c r="I1395">
        <v>0</v>
      </c>
      <c r="K1395">
        <v>0</v>
      </c>
      <c r="L1395" s="322">
        <v>0</v>
      </c>
      <c r="M1395" s="322">
        <v>0</v>
      </c>
      <c r="N1395" s="322">
        <v>0</v>
      </c>
    </row>
    <row r="1396" spans="1:14" x14ac:dyDescent="0.3">
      <c r="A1396">
        <f>EPD!A1111</f>
        <v>0</v>
      </c>
      <c r="F1396">
        <v>0</v>
      </c>
      <c r="G1396">
        <v>0</v>
      </c>
      <c r="H1396">
        <v>0</v>
      </c>
      <c r="I1396">
        <v>0</v>
      </c>
      <c r="K1396">
        <v>0</v>
      </c>
      <c r="L1396" s="322">
        <v>0</v>
      </c>
      <c r="M1396" s="322">
        <v>0</v>
      </c>
      <c r="N1396" s="322">
        <v>0</v>
      </c>
    </row>
    <row r="1397" spans="1:14" x14ac:dyDescent="0.3">
      <c r="A1397">
        <f>EPD!A1112</f>
        <v>0</v>
      </c>
      <c r="F1397">
        <v>0</v>
      </c>
      <c r="G1397">
        <v>0</v>
      </c>
      <c r="H1397">
        <v>0</v>
      </c>
      <c r="I1397">
        <v>0</v>
      </c>
      <c r="K1397">
        <v>0</v>
      </c>
      <c r="L1397" s="322">
        <v>0</v>
      </c>
      <c r="M1397" s="322">
        <v>0</v>
      </c>
      <c r="N1397" s="322">
        <v>0</v>
      </c>
    </row>
    <row r="1398" spans="1:14" x14ac:dyDescent="0.3">
      <c r="A1398">
        <f>EPD!A1113</f>
        <v>0</v>
      </c>
      <c r="F1398">
        <v>0</v>
      </c>
      <c r="G1398">
        <v>0</v>
      </c>
      <c r="H1398">
        <v>0</v>
      </c>
      <c r="I1398">
        <v>0</v>
      </c>
      <c r="K1398">
        <v>0</v>
      </c>
      <c r="L1398" s="322">
        <v>0</v>
      </c>
      <c r="M1398" s="322">
        <v>0</v>
      </c>
      <c r="N1398" s="322">
        <v>0</v>
      </c>
    </row>
    <row r="1399" spans="1:14" x14ac:dyDescent="0.3">
      <c r="A1399">
        <f>EPD!A1114</f>
        <v>0</v>
      </c>
      <c r="F1399">
        <v>0</v>
      </c>
      <c r="G1399">
        <v>0</v>
      </c>
      <c r="H1399">
        <v>0</v>
      </c>
      <c r="I1399">
        <v>0</v>
      </c>
      <c r="K1399">
        <v>0</v>
      </c>
      <c r="L1399" s="322">
        <v>0</v>
      </c>
      <c r="M1399" s="322">
        <v>0</v>
      </c>
      <c r="N1399" s="322">
        <v>0</v>
      </c>
    </row>
    <row r="1400" spans="1:14" x14ac:dyDescent="0.3">
      <c r="A1400">
        <f>EPD!A1115</f>
        <v>0</v>
      </c>
      <c r="F1400">
        <v>0</v>
      </c>
      <c r="G1400">
        <v>0</v>
      </c>
      <c r="H1400">
        <v>0</v>
      </c>
      <c r="I1400">
        <v>0</v>
      </c>
      <c r="K1400">
        <v>0</v>
      </c>
      <c r="L1400" s="322">
        <v>0</v>
      </c>
      <c r="M1400" s="322">
        <v>0</v>
      </c>
      <c r="N1400" s="322">
        <v>0</v>
      </c>
    </row>
    <row r="1401" spans="1:14" x14ac:dyDescent="0.3">
      <c r="A1401">
        <f>EPD!A1116</f>
        <v>0</v>
      </c>
      <c r="F1401">
        <v>0</v>
      </c>
      <c r="G1401">
        <v>0</v>
      </c>
      <c r="H1401">
        <v>0</v>
      </c>
      <c r="I1401">
        <v>0</v>
      </c>
      <c r="K1401">
        <v>0</v>
      </c>
      <c r="L1401" s="322">
        <v>0</v>
      </c>
      <c r="M1401" s="322">
        <v>0</v>
      </c>
      <c r="N1401" s="322">
        <v>0</v>
      </c>
    </row>
    <row r="1402" spans="1:14" x14ac:dyDescent="0.3">
      <c r="A1402">
        <f>EPD!A1117</f>
        <v>0</v>
      </c>
      <c r="F1402">
        <v>0</v>
      </c>
      <c r="G1402">
        <v>0</v>
      </c>
      <c r="H1402">
        <v>0</v>
      </c>
      <c r="I1402">
        <v>0</v>
      </c>
      <c r="K1402">
        <v>0</v>
      </c>
      <c r="L1402" s="322">
        <v>0</v>
      </c>
      <c r="M1402" s="322">
        <v>0</v>
      </c>
      <c r="N1402" s="322">
        <v>0</v>
      </c>
    </row>
    <row r="1403" spans="1:14" x14ac:dyDescent="0.3">
      <c r="A1403">
        <f>EPD!A1118</f>
        <v>0</v>
      </c>
      <c r="F1403">
        <v>0</v>
      </c>
      <c r="G1403">
        <v>0</v>
      </c>
      <c r="H1403">
        <v>0</v>
      </c>
      <c r="I1403">
        <v>0</v>
      </c>
      <c r="K1403">
        <v>0</v>
      </c>
      <c r="L1403" s="322">
        <v>0</v>
      </c>
      <c r="M1403" s="322">
        <v>0</v>
      </c>
      <c r="N1403" s="322">
        <v>0</v>
      </c>
    </row>
    <row r="1404" spans="1:14" x14ac:dyDescent="0.3">
      <c r="A1404">
        <f>EPD!A1119</f>
        <v>0</v>
      </c>
      <c r="F1404">
        <v>0</v>
      </c>
      <c r="G1404">
        <v>0</v>
      </c>
      <c r="H1404">
        <v>0</v>
      </c>
      <c r="I1404">
        <v>0</v>
      </c>
      <c r="K1404">
        <v>0</v>
      </c>
      <c r="L1404" s="322">
        <v>0</v>
      </c>
      <c r="M1404" s="322">
        <v>0</v>
      </c>
      <c r="N1404" s="322">
        <v>0</v>
      </c>
    </row>
    <row r="1405" spans="1:14" x14ac:dyDescent="0.3">
      <c r="A1405">
        <f>EPD!A1120</f>
        <v>0</v>
      </c>
      <c r="F1405">
        <v>0</v>
      </c>
      <c r="G1405">
        <v>0</v>
      </c>
      <c r="H1405">
        <v>0</v>
      </c>
      <c r="I1405">
        <v>0</v>
      </c>
      <c r="K1405">
        <v>0</v>
      </c>
      <c r="L1405" s="322">
        <v>0</v>
      </c>
      <c r="M1405" s="322">
        <v>0</v>
      </c>
      <c r="N1405" s="322">
        <v>0</v>
      </c>
    </row>
    <row r="1406" spans="1:14" x14ac:dyDescent="0.3">
      <c r="A1406">
        <f>EPD!A1121</f>
        <v>0</v>
      </c>
      <c r="F1406">
        <v>0</v>
      </c>
      <c r="G1406">
        <v>0</v>
      </c>
      <c r="H1406">
        <v>0</v>
      </c>
      <c r="I1406">
        <v>0</v>
      </c>
      <c r="K1406">
        <v>0</v>
      </c>
      <c r="L1406" s="322">
        <v>0</v>
      </c>
      <c r="M1406" s="322">
        <v>0</v>
      </c>
      <c r="N1406" s="322">
        <v>0</v>
      </c>
    </row>
    <row r="1407" spans="1:14" x14ac:dyDescent="0.3">
      <c r="A1407">
        <f>EPD!A1122</f>
        <v>0</v>
      </c>
      <c r="F1407">
        <v>0</v>
      </c>
      <c r="G1407">
        <v>0</v>
      </c>
      <c r="H1407">
        <v>0</v>
      </c>
      <c r="I1407">
        <v>0</v>
      </c>
      <c r="K1407">
        <v>0</v>
      </c>
      <c r="L1407" s="322">
        <v>0</v>
      </c>
      <c r="M1407" s="322">
        <v>0</v>
      </c>
      <c r="N1407" s="322">
        <v>0</v>
      </c>
    </row>
    <row r="1408" spans="1:14" x14ac:dyDescent="0.3">
      <c r="A1408">
        <f>EPD!A1123</f>
        <v>0</v>
      </c>
      <c r="F1408">
        <v>0</v>
      </c>
      <c r="G1408">
        <v>0</v>
      </c>
      <c r="H1408">
        <v>0</v>
      </c>
      <c r="I1408">
        <v>0</v>
      </c>
      <c r="K1408">
        <v>0</v>
      </c>
      <c r="L1408" s="322">
        <v>0</v>
      </c>
      <c r="M1408" s="322">
        <v>0</v>
      </c>
      <c r="N1408" s="322">
        <v>0</v>
      </c>
    </row>
    <row r="1409" spans="1:14" x14ac:dyDescent="0.3">
      <c r="A1409">
        <f>EPD!A1124</f>
        <v>0</v>
      </c>
      <c r="F1409">
        <v>0</v>
      </c>
      <c r="G1409">
        <v>0</v>
      </c>
      <c r="H1409">
        <v>0</v>
      </c>
      <c r="I1409">
        <v>0</v>
      </c>
      <c r="K1409">
        <v>0</v>
      </c>
      <c r="L1409" s="322">
        <v>0</v>
      </c>
      <c r="M1409" s="322">
        <v>0</v>
      </c>
      <c r="N1409" s="322">
        <v>0</v>
      </c>
    </row>
    <row r="1410" spans="1:14" x14ac:dyDescent="0.3">
      <c r="A1410">
        <f>EPD!A1125</f>
        <v>0</v>
      </c>
      <c r="F1410">
        <v>0</v>
      </c>
      <c r="G1410">
        <v>0</v>
      </c>
      <c r="H1410">
        <v>0</v>
      </c>
      <c r="I1410">
        <v>0</v>
      </c>
      <c r="K1410">
        <v>0</v>
      </c>
      <c r="L1410" s="322">
        <v>0</v>
      </c>
      <c r="M1410" s="322">
        <v>0</v>
      </c>
      <c r="N1410" s="322">
        <v>0</v>
      </c>
    </row>
    <row r="1411" spans="1:14" x14ac:dyDescent="0.3">
      <c r="A1411">
        <f>EPD!A1126</f>
        <v>0</v>
      </c>
      <c r="F1411">
        <v>0</v>
      </c>
      <c r="G1411">
        <v>0</v>
      </c>
      <c r="H1411">
        <v>0</v>
      </c>
      <c r="I1411">
        <v>0</v>
      </c>
      <c r="K1411">
        <v>0</v>
      </c>
      <c r="L1411" s="322">
        <v>0</v>
      </c>
      <c r="M1411" s="322">
        <v>0</v>
      </c>
      <c r="N1411" s="322">
        <v>0</v>
      </c>
    </row>
    <row r="1412" spans="1:14" x14ac:dyDescent="0.3">
      <c r="A1412">
        <f>EPD!A1127</f>
        <v>0</v>
      </c>
      <c r="F1412">
        <v>0</v>
      </c>
      <c r="G1412">
        <v>0</v>
      </c>
      <c r="H1412">
        <v>0</v>
      </c>
      <c r="I1412">
        <v>0</v>
      </c>
      <c r="K1412">
        <v>0</v>
      </c>
      <c r="L1412" s="322">
        <v>0</v>
      </c>
      <c r="M1412" s="322">
        <v>0</v>
      </c>
      <c r="N1412" s="322">
        <v>0</v>
      </c>
    </row>
    <row r="1413" spans="1:14" x14ac:dyDescent="0.3">
      <c r="A1413">
        <f>EPD!A1128</f>
        <v>0</v>
      </c>
      <c r="F1413">
        <v>0</v>
      </c>
      <c r="G1413">
        <v>0</v>
      </c>
      <c r="H1413">
        <v>0</v>
      </c>
      <c r="I1413">
        <v>0</v>
      </c>
      <c r="K1413">
        <v>0</v>
      </c>
      <c r="L1413" s="322">
        <v>0</v>
      </c>
      <c r="M1413" s="322">
        <v>0</v>
      </c>
      <c r="N1413" s="322">
        <v>0</v>
      </c>
    </row>
    <row r="1414" spans="1:14" x14ac:dyDescent="0.3">
      <c r="A1414">
        <f>EPD!A1129</f>
        <v>0</v>
      </c>
      <c r="F1414">
        <v>0</v>
      </c>
      <c r="G1414">
        <v>0</v>
      </c>
      <c r="H1414">
        <v>0</v>
      </c>
      <c r="I1414">
        <v>0</v>
      </c>
      <c r="K1414">
        <v>0</v>
      </c>
      <c r="L1414" s="322">
        <v>0</v>
      </c>
      <c r="M1414" s="322">
        <v>0</v>
      </c>
      <c r="N1414" s="322">
        <v>0</v>
      </c>
    </row>
    <row r="1415" spans="1:14" x14ac:dyDescent="0.3">
      <c r="A1415">
        <f>EPD!A1130</f>
        <v>0</v>
      </c>
      <c r="F1415">
        <v>0</v>
      </c>
      <c r="G1415">
        <v>0</v>
      </c>
      <c r="H1415">
        <v>0</v>
      </c>
      <c r="I1415">
        <v>0</v>
      </c>
      <c r="K1415">
        <v>0</v>
      </c>
      <c r="L1415" s="322">
        <v>0</v>
      </c>
      <c r="M1415" s="322">
        <v>0</v>
      </c>
      <c r="N1415" s="322">
        <v>0</v>
      </c>
    </row>
    <row r="1416" spans="1:14" x14ac:dyDescent="0.3">
      <c r="A1416">
        <f>EPD!A1131</f>
        <v>0</v>
      </c>
      <c r="F1416">
        <v>0</v>
      </c>
      <c r="G1416">
        <v>0</v>
      </c>
      <c r="H1416">
        <v>0</v>
      </c>
      <c r="I1416">
        <v>0</v>
      </c>
      <c r="K1416">
        <v>0</v>
      </c>
      <c r="L1416" s="322">
        <v>0</v>
      </c>
      <c r="M1416" s="322">
        <v>0</v>
      </c>
      <c r="N1416" s="322">
        <v>0</v>
      </c>
    </row>
    <row r="1417" spans="1:14" x14ac:dyDescent="0.3">
      <c r="A1417">
        <f>EPD!A1132</f>
        <v>0</v>
      </c>
      <c r="F1417">
        <v>0</v>
      </c>
      <c r="G1417">
        <v>0</v>
      </c>
      <c r="H1417">
        <v>0</v>
      </c>
      <c r="I1417">
        <v>0</v>
      </c>
      <c r="K1417">
        <v>0</v>
      </c>
      <c r="L1417" s="322">
        <v>0</v>
      </c>
      <c r="M1417" s="322">
        <v>0</v>
      </c>
      <c r="N1417" s="322">
        <v>0</v>
      </c>
    </row>
    <row r="1418" spans="1:14" x14ac:dyDescent="0.3">
      <c r="A1418">
        <f>EPD!A1133</f>
        <v>0</v>
      </c>
      <c r="F1418">
        <v>0</v>
      </c>
      <c r="G1418">
        <v>0</v>
      </c>
      <c r="H1418">
        <v>0</v>
      </c>
      <c r="I1418">
        <v>0</v>
      </c>
      <c r="K1418">
        <v>0</v>
      </c>
      <c r="L1418" s="322">
        <v>0</v>
      </c>
      <c r="M1418" s="322">
        <v>0</v>
      </c>
      <c r="N1418" s="322">
        <v>0</v>
      </c>
    </row>
    <row r="1419" spans="1:14" x14ac:dyDescent="0.3">
      <c r="A1419">
        <f>EPD!A1134</f>
        <v>0</v>
      </c>
      <c r="F1419">
        <v>0</v>
      </c>
      <c r="G1419">
        <v>0</v>
      </c>
      <c r="H1419">
        <v>0</v>
      </c>
      <c r="I1419">
        <v>0</v>
      </c>
      <c r="K1419">
        <v>0</v>
      </c>
      <c r="L1419" s="322">
        <v>0</v>
      </c>
      <c r="M1419" s="322">
        <v>0</v>
      </c>
      <c r="N1419" s="322">
        <v>0</v>
      </c>
    </row>
    <row r="1420" spans="1:14" x14ac:dyDescent="0.3">
      <c r="A1420">
        <f>EPD!A1135</f>
        <v>0</v>
      </c>
      <c r="F1420">
        <v>0</v>
      </c>
      <c r="G1420">
        <v>0</v>
      </c>
      <c r="H1420">
        <v>0</v>
      </c>
      <c r="I1420">
        <v>0</v>
      </c>
      <c r="K1420">
        <v>0</v>
      </c>
      <c r="L1420" s="322">
        <v>0</v>
      </c>
      <c r="M1420" s="322">
        <v>0</v>
      </c>
      <c r="N1420" s="322">
        <v>0</v>
      </c>
    </row>
    <row r="1421" spans="1:14" x14ac:dyDescent="0.3">
      <c r="A1421">
        <f>EPD!A1136</f>
        <v>0</v>
      </c>
      <c r="F1421">
        <v>0</v>
      </c>
      <c r="G1421">
        <v>0</v>
      </c>
      <c r="H1421">
        <v>0</v>
      </c>
      <c r="I1421">
        <v>0</v>
      </c>
      <c r="K1421">
        <v>0</v>
      </c>
      <c r="L1421" s="322">
        <v>0</v>
      </c>
      <c r="M1421" s="322">
        <v>0</v>
      </c>
      <c r="N1421" s="322">
        <v>0</v>
      </c>
    </row>
    <row r="1422" spans="1:14" x14ac:dyDescent="0.3">
      <c r="A1422">
        <f>EPD!A1137</f>
        <v>0</v>
      </c>
      <c r="F1422">
        <v>0</v>
      </c>
      <c r="G1422">
        <v>0</v>
      </c>
      <c r="H1422">
        <v>0</v>
      </c>
      <c r="I1422">
        <v>0</v>
      </c>
      <c r="K1422">
        <v>0</v>
      </c>
      <c r="L1422" s="322">
        <v>0</v>
      </c>
      <c r="M1422" s="322">
        <v>0</v>
      </c>
      <c r="N1422" s="322">
        <v>0</v>
      </c>
    </row>
    <row r="1423" spans="1:14" x14ac:dyDescent="0.3">
      <c r="A1423">
        <f>EPD!A1138</f>
        <v>0</v>
      </c>
      <c r="F1423">
        <v>0</v>
      </c>
      <c r="G1423">
        <v>0</v>
      </c>
      <c r="H1423">
        <v>0</v>
      </c>
      <c r="I1423">
        <v>0</v>
      </c>
      <c r="K1423">
        <v>0</v>
      </c>
      <c r="L1423" s="322">
        <v>0</v>
      </c>
      <c r="M1423" s="322">
        <v>0</v>
      </c>
      <c r="N1423" s="322">
        <v>0</v>
      </c>
    </row>
    <row r="1424" spans="1:14" x14ac:dyDescent="0.3">
      <c r="A1424">
        <f>EPD!A1139</f>
        <v>0</v>
      </c>
      <c r="F1424">
        <v>0</v>
      </c>
      <c r="G1424">
        <v>0</v>
      </c>
      <c r="H1424">
        <v>0</v>
      </c>
      <c r="I1424">
        <v>0</v>
      </c>
      <c r="K1424">
        <v>0</v>
      </c>
      <c r="L1424" s="322">
        <v>0</v>
      </c>
      <c r="M1424" s="322">
        <v>0</v>
      </c>
      <c r="N1424" s="322">
        <v>0</v>
      </c>
    </row>
    <row r="1425" spans="1:14" x14ac:dyDescent="0.3">
      <c r="A1425">
        <f>EPD!A1140</f>
        <v>0</v>
      </c>
      <c r="F1425">
        <v>0</v>
      </c>
      <c r="G1425">
        <v>0</v>
      </c>
      <c r="H1425">
        <v>0</v>
      </c>
      <c r="I1425">
        <v>0</v>
      </c>
      <c r="K1425">
        <v>0</v>
      </c>
      <c r="L1425" s="322">
        <v>0</v>
      </c>
      <c r="M1425" s="322">
        <v>0</v>
      </c>
      <c r="N1425" s="322">
        <v>0</v>
      </c>
    </row>
    <row r="1426" spans="1:14" x14ac:dyDescent="0.3">
      <c r="A1426">
        <f>EPD!A1141</f>
        <v>0</v>
      </c>
      <c r="F1426">
        <v>0</v>
      </c>
      <c r="G1426">
        <v>0</v>
      </c>
      <c r="H1426">
        <v>0</v>
      </c>
      <c r="I1426">
        <v>0</v>
      </c>
      <c r="K1426">
        <v>0</v>
      </c>
      <c r="L1426" s="322">
        <v>0</v>
      </c>
      <c r="M1426" s="322">
        <v>0</v>
      </c>
      <c r="N1426" s="322">
        <v>0</v>
      </c>
    </row>
    <row r="1427" spans="1:14" x14ac:dyDescent="0.3">
      <c r="A1427">
        <f>EPD!A1142</f>
        <v>0</v>
      </c>
      <c r="F1427">
        <v>0</v>
      </c>
      <c r="G1427">
        <v>0</v>
      </c>
      <c r="H1427">
        <v>0</v>
      </c>
      <c r="I1427">
        <v>0</v>
      </c>
      <c r="K1427">
        <v>0</v>
      </c>
      <c r="L1427" s="322">
        <v>0</v>
      </c>
      <c r="M1427" s="322">
        <v>0</v>
      </c>
      <c r="N1427" s="322">
        <v>0</v>
      </c>
    </row>
    <row r="1428" spans="1:14" x14ac:dyDescent="0.3">
      <c r="A1428">
        <f>EPD!A1143</f>
        <v>0</v>
      </c>
      <c r="F1428">
        <v>0</v>
      </c>
      <c r="G1428">
        <v>0</v>
      </c>
      <c r="H1428">
        <v>0</v>
      </c>
      <c r="I1428">
        <v>0</v>
      </c>
      <c r="K1428">
        <v>0</v>
      </c>
      <c r="L1428" s="322">
        <v>0</v>
      </c>
      <c r="M1428" s="322">
        <v>0</v>
      </c>
      <c r="N1428" s="322">
        <v>0</v>
      </c>
    </row>
    <row r="1429" spans="1:14" x14ac:dyDescent="0.3">
      <c r="A1429">
        <f>EPD!A1144</f>
        <v>0</v>
      </c>
      <c r="F1429">
        <v>0</v>
      </c>
      <c r="G1429">
        <v>0</v>
      </c>
      <c r="H1429">
        <v>0</v>
      </c>
      <c r="I1429">
        <v>0</v>
      </c>
      <c r="K1429">
        <v>0</v>
      </c>
      <c r="L1429" s="322">
        <v>0</v>
      </c>
      <c r="M1429" s="322">
        <v>0</v>
      </c>
      <c r="N1429" s="322">
        <v>0</v>
      </c>
    </row>
    <row r="1430" spans="1:14" x14ac:dyDescent="0.3">
      <c r="A1430">
        <f>EPD!A1145</f>
        <v>0</v>
      </c>
      <c r="F1430">
        <v>0</v>
      </c>
      <c r="G1430">
        <v>0</v>
      </c>
      <c r="H1430">
        <v>0</v>
      </c>
      <c r="I1430">
        <v>0</v>
      </c>
      <c r="K1430">
        <v>0</v>
      </c>
      <c r="L1430" s="322">
        <v>0</v>
      </c>
      <c r="M1430" s="322">
        <v>0</v>
      </c>
      <c r="N1430" s="322">
        <v>0</v>
      </c>
    </row>
    <row r="1431" spans="1:14" x14ac:dyDescent="0.3">
      <c r="A1431">
        <f>EPD!A1146</f>
        <v>0</v>
      </c>
      <c r="F1431">
        <v>0</v>
      </c>
      <c r="G1431">
        <v>0</v>
      </c>
      <c r="H1431">
        <v>0</v>
      </c>
      <c r="I1431">
        <v>0</v>
      </c>
      <c r="K1431">
        <v>0</v>
      </c>
      <c r="L1431" s="322">
        <v>0</v>
      </c>
      <c r="M1431" s="322">
        <v>0</v>
      </c>
      <c r="N1431" s="322">
        <v>0</v>
      </c>
    </row>
    <row r="1432" spans="1:14" x14ac:dyDescent="0.3">
      <c r="A1432">
        <f>EPD!A1147</f>
        <v>0</v>
      </c>
      <c r="F1432">
        <v>0</v>
      </c>
      <c r="G1432">
        <v>0</v>
      </c>
      <c r="H1432">
        <v>0</v>
      </c>
      <c r="I1432">
        <v>0</v>
      </c>
      <c r="K1432">
        <v>0</v>
      </c>
      <c r="L1432" s="322">
        <v>0</v>
      </c>
      <c r="M1432" s="322">
        <v>0</v>
      </c>
      <c r="N1432" s="322">
        <v>0</v>
      </c>
    </row>
    <row r="1433" spans="1:14" x14ac:dyDescent="0.3">
      <c r="A1433">
        <f>EPD!A1148</f>
        <v>0</v>
      </c>
      <c r="F1433">
        <v>0</v>
      </c>
      <c r="G1433">
        <v>0</v>
      </c>
      <c r="H1433">
        <v>0</v>
      </c>
      <c r="I1433">
        <v>0</v>
      </c>
      <c r="K1433">
        <v>0</v>
      </c>
      <c r="L1433" s="322">
        <v>0</v>
      </c>
      <c r="M1433" s="322">
        <v>0</v>
      </c>
      <c r="N1433" s="322">
        <v>0</v>
      </c>
    </row>
    <row r="1434" spans="1:14" x14ac:dyDescent="0.3">
      <c r="A1434">
        <f>EPD!A1149</f>
        <v>0</v>
      </c>
      <c r="F1434">
        <v>0</v>
      </c>
      <c r="G1434">
        <v>0</v>
      </c>
      <c r="H1434">
        <v>0</v>
      </c>
      <c r="I1434">
        <v>0</v>
      </c>
      <c r="K1434">
        <v>0</v>
      </c>
      <c r="L1434" s="322">
        <v>0</v>
      </c>
      <c r="M1434" s="322">
        <v>0</v>
      </c>
      <c r="N1434" s="322">
        <v>0</v>
      </c>
    </row>
    <row r="1435" spans="1:14" x14ac:dyDescent="0.3">
      <c r="A1435">
        <f>EPD!A1150</f>
        <v>0</v>
      </c>
      <c r="F1435">
        <v>0</v>
      </c>
      <c r="G1435">
        <v>0</v>
      </c>
      <c r="H1435">
        <v>0</v>
      </c>
      <c r="I1435">
        <v>0</v>
      </c>
      <c r="K1435">
        <v>0</v>
      </c>
      <c r="L1435" s="322">
        <v>0</v>
      </c>
      <c r="M1435" s="322">
        <v>0</v>
      </c>
      <c r="N1435" s="322">
        <v>0</v>
      </c>
    </row>
    <row r="1436" spans="1:14" x14ac:dyDescent="0.3">
      <c r="A1436">
        <f>EPD!A1151</f>
        <v>0</v>
      </c>
      <c r="F1436">
        <v>0</v>
      </c>
      <c r="G1436">
        <v>0</v>
      </c>
      <c r="H1436">
        <v>0</v>
      </c>
      <c r="I1436">
        <v>0</v>
      </c>
      <c r="K1436">
        <v>0</v>
      </c>
      <c r="L1436" s="322">
        <v>0</v>
      </c>
      <c r="M1436" s="322">
        <v>0</v>
      </c>
      <c r="N1436" s="322">
        <v>0</v>
      </c>
    </row>
    <row r="1437" spans="1:14" x14ac:dyDescent="0.3">
      <c r="A1437">
        <f>EPD!A1152</f>
        <v>0</v>
      </c>
      <c r="F1437">
        <v>0</v>
      </c>
      <c r="G1437">
        <v>0</v>
      </c>
      <c r="H1437">
        <v>0</v>
      </c>
      <c r="I1437">
        <v>0</v>
      </c>
      <c r="K1437">
        <v>0</v>
      </c>
      <c r="L1437" s="322">
        <v>0</v>
      </c>
      <c r="M1437" s="322">
        <v>0</v>
      </c>
      <c r="N1437" s="322">
        <v>0</v>
      </c>
    </row>
    <row r="1438" spans="1:14" x14ac:dyDescent="0.3">
      <c r="A1438">
        <f>EPD!A1153</f>
        <v>0</v>
      </c>
      <c r="F1438">
        <v>0</v>
      </c>
      <c r="G1438">
        <v>0</v>
      </c>
      <c r="H1438">
        <v>0</v>
      </c>
      <c r="I1438">
        <v>0</v>
      </c>
      <c r="K1438">
        <v>0</v>
      </c>
      <c r="L1438" s="322">
        <v>0</v>
      </c>
      <c r="M1438" s="322">
        <v>0</v>
      </c>
      <c r="N1438" s="322">
        <v>0</v>
      </c>
    </row>
    <row r="1439" spans="1:14" x14ac:dyDescent="0.3">
      <c r="A1439">
        <f>EPD!A1154</f>
        <v>0</v>
      </c>
      <c r="F1439">
        <v>0</v>
      </c>
      <c r="G1439">
        <v>0</v>
      </c>
      <c r="H1439">
        <v>0</v>
      </c>
      <c r="I1439">
        <v>0</v>
      </c>
      <c r="K1439">
        <v>0</v>
      </c>
      <c r="L1439" s="322">
        <v>0</v>
      </c>
      <c r="M1439" s="322">
        <v>0</v>
      </c>
      <c r="N1439" s="322">
        <v>0</v>
      </c>
    </row>
    <row r="1440" spans="1:14" x14ac:dyDescent="0.3">
      <c r="A1440">
        <f>EPD!A1155</f>
        <v>0</v>
      </c>
      <c r="F1440">
        <v>0</v>
      </c>
      <c r="G1440">
        <v>0</v>
      </c>
      <c r="H1440">
        <v>0</v>
      </c>
      <c r="I1440">
        <v>0</v>
      </c>
      <c r="K1440">
        <v>0</v>
      </c>
      <c r="L1440" s="322">
        <v>0</v>
      </c>
      <c r="M1440" s="322">
        <v>0</v>
      </c>
      <c r="N1440" s="322">
        <v>0</v>
      </c>
    </row>
    <row r="1441" spans="1:14" x14ac:dyDescent="0.3">
      <c r="A1441">
        <f>EPD!A1156</f>
        <v>0</v>
      </c>
      <c r="F1441">
        <v>0</v>
      </c>
      <c r="G1441">
        <v>0</v>
      </c>
      <c r="H1441">
        <v>0</v>
      </c>
      <c r="I1441">
        <v>0</v>
      </c>
      <c r="K1441">
        <v>0</v>
      </c>
      <c r="L1441" s="322">
        <v>0</v>
      </c>
      <c r="M1441" s="322">
        <v>0</v>
      </c>
      <c r="N1441" s="322">
        <v>0</v>
      </c>
    </row>
    <row r="1442" spans="1:14" x14ac:dyDescent="0.3">
      <c r="A1442">
        <f>EPD!A1157</f>
        <v>0</v>
      </c>
      <c r="F1442">
        <v>0</v>
      </c>
      <c r="G1442">
        <v>0</v>
      </c>
      <c r="H1442">
        <v>0</v>
      </c>
      <c r="I1442">
        <v>0</v>
      </c>
      <c r="K1442">
        <v>0</v>
      </c>
      <c r="L1442" s="322">
        <v>0</v>
      </c>
      <c r="M1442" s="322">
        <v>0</v>
      </c>
      <c r="N1442" s="322">
        <v>0</v>
      </c>
    </row>
    <row r="1443" spans="1:14" x14ac:dyDescent="0.3">
      <c r="A1443">
        <f>EPD!A1158</f>
        <v>0</v>
      </c>
      <c r="F1443">
        <v>0</v>
      </c>
      <c r="G1443">
        <v>0</v>
      </c>
      <c r="H1443">
        <v>0</v>
      </c>
      <c r="I1443">
        <v>0</v>
      </c>
      <c r="K1443">
        <v>0</v>
      </c>
      <c r="L1443" s="322">
        <v>0</v>
      </c>
      <c r="M1443" s="322">
        <v>0</v>
      </c>
      <c r="N1443" s="322">
        <v>0</v>
      </c>
    </row>
    <row r="1444" spans="1:14" x14ac:dyDescent="0.3">
      <c r="A1444">
        <f>EPD!A1159</f>
        <v>0</v>
      </c>
      <c r="F1444">
        <v>0</v>
      </c>
      <c r="G1444">
        <v>0</v>
      </c>
      <c r="H1444">
        <v>0</v>
      </c>
      <c r="I1444">
        <v>0</v>
      </c>
      <c r="K1444">
        <v>0</v>
      </c>
      <c r="L1444" s="322">
        <v>0</v>
      </c>
      <c r="M1444" s="322">
        <v>0</v>
      </c>
      <c r="N1444" s="322">
        <v>0</v>
      </c>
    </row>
    <row r="1445" spans="1:14" x14ac:dyDescent="0.3">
      <c r="A1445">
        <f>EPD!A1160</f>
        <v>0</v>
      </c>
      <c r="F1445">
        <v>0</v>
      </c>
      <c r="G1445">
        <v>0</v>
      </c>
      <c r="H1445">
        <v>0</v>
      </c>
      <c r="I1445">
        <v>0</v>
      </c>
      <c r="K1445">
        <v>0</v>
      </c>
      <c r="L1445" s="322">
        <v>0</v>
      </c>
      <c r="M1445" s="322">
        <v>0</v>
      </c>
      <c r="N1445" s="322">
        <v>0</v>
      </c>
    </row>
    <row r="1446" spans="1:14" x14ac:dyDescent="0.3">
      <c r="A1446">
        <f>EPD!A1161</f>
        <v>0</v>
      </c>
      <c r="F1446">
        <v>0</v>
      </c>
      <c r="G1446">
        <v>0</v>
      </c>
      <c r="H1446">
        <v>0</v>
      </c>
      <c r="I1446">
        <v>0</v>
      </c>
      <c r="K1446">
        <v>0</v>
      </c>
      <c r="L1446" s="322">
        <v>0</v>
      </c>
      <c r="M1446" s="322">
        <v>0</v>
      </c>
      <c r="N1446" s="322">
        <v>0</v>
      </c>
    </row>
    <row r="1447" spans="1:14" x14ac:dyDescent="0.3">
      <c r="A1447">
        <f>EPD!A1162</f>
        <v>0</v>
      </c>
      <c r="F1447">
        <v>0</v>
      </c>
      <c r="G1447">
        <v>0</v>
      </c>
      <c r="H1447">
        <v>0</v>
      </c>
      <c r="I1447">
        <v>0</v>
      </c>
      <c r="K1447">
        <v>0</v>
      </c>
      <c r="L1447" s="322">
        <v>0</v>
      </c>
      <c r="M1447" s="322">
        <v>0</v>
      </c>
      <c r="N1447" s="322">
        <v>0</v>
      </c>
    </row>
    <row r="1448" spans="1:14" x14ac:dyDescent="0.3">
      <c r="A1448">
        <f>EPD!A1163</f>
        <v>0</v>
      </c>
      <c r="F1448">
        <v>0</v>
      </c>
      <c r="G1448">
        <v>0</v>
      </c>
      <c r="H1448">
        <v>0</v>
      </c>
      <c r="I1448">
        <v>0</v>
      </c>
      <c r="K1448">
        <v>0</v>
      </c>
      <c r="L1448" s="322">
        <v>0</v>
      </c>
      <c r="M1448" s="322">
        <v>0</v>
      </c>
      <c r="N1448" s="322">
        <v>0</v>
      </c>
    </row>
    <row r="1449" spans="1:14" x14ac:dyDescent="0.3">
      <c r="A1449">
        <f>EPD!A1164</f>
        <v>0</v>
      </c>
      <c r="F1449">
        <v>0</v>
      </c>
      <c r="G1449">
        <v>0</v>
      </c>
      <c r="H1449">
        <v>0</v>
      </c>
      <c r="I1449">
        <v>0</v>
      </c>
      <c r="K1449">
        <v>0</v>
      </c>
      <c r="L1449" s="322">
        <v>0</v>
      </c>
      <c r="M1449" s="322">
        <v>0</v>
      </c>
      <c r="N1449" s="322">
        <v>0</v>
      </c>
    </row>
    <row r="1450" spans="1:14" x14ac:dyDescent="0.3">
      <c r="A1450">
        <f>EPD!A1165</f>
        <v>0</v>
      </c>
      <c r="F1450">
        <v>0</v>
      </c>
      <c r="G1450">
        <v>0</v>
      </c>
      <c r="H1450">
        <v>0</v>
      </c>
      <c r="I1450">
        <v>0</v>
      </c>
      <c r="K1450">
        <v>0</v>
      </c>
      <c r="L1450" s="322">
        <v>0</v>
      </c>
      <c r="M1450" s="322">
        <v>0</v>
      </c>
      <c r="N1450" s="322">
        <v>0</v>
      </c>
    </row>
    <row r="1451" spans="1:14" x14ac:dyDescent="0.3">
      <c r="A1451">
        <f>EPD!A1166</f>
        <v>0</v>
      </c>
      <c r="F1451">
        <v>0</v>
      </c>
      <c r="G1451">
        <v>0</v>
      </c>
      <c r="H1451">
        <v>0</v>
      </c>
      <c r="I1451">
        <v>0</v>
      </c>
      <c r="K1451">
        <v>0</v>
      </c>
      <c r="L1451" s="322">
        <v>0</v>
      </c>
      <c r="M1451" s="322">
        <v>0</v>
      </c>
      <c r="N1451" s="322">
        <v>0</v>
      </c>
    </row>
    <row r="1452" spans="1:14" x14ac:dyDescent="0.3">
      <c r="A1452">
        <f>EPD!A1167</f>
        <v>0</v>
      </c>
      <c r="F1452">
        <v>0</v>
      </c>
      <c r="G1452">
        <v>0</v>
      </c>
      <c r="H1452">
        <v>0</v>
      </c>
      <c r="I1452">
        <v>0</v>
      </c>
      <c r="K1452">
        <v>0</v>
      </c>
      <c r="L1452" s="322">
        <v>0</v>
      </c>
      <c r="M1452" s="322">
        <v>0</v>
      </c>
      <c r="N1452" s="322">
        <v>0</v>
      </c>
    </row>
    <row r="1453" spans="1:14" x14ac:dyDescent="0.3">
      <c r="A1453">
        <f>EPD!A1168</f>
        <v>0</v>
      </c>
      <c r="F1453">
        <v>0</v>
      </c>
      <c r="G1453">
        <v>0</v>
      </c>
      <c r="H1453">
        <v>0</v>
      </c>
      <c r="I1453">
        <v>0</v>
      </c>
      <c r="K1453">
        <v>0</v>
      </c>
      <c r="L1453" s="322">
        <v>0</v>
      </c>
      <c r="M1453" s="322">
        <v>0</v>
      </c>
      <c r="N1453" s="322">
        <v>0</v>
      </c>
    </row>
    <row r="1454" spans="1:14" x14ac:dyDescent="0.3">
      <c r="A1454">
        <f>EPD!A1169</f>
        <v>0</v>
      </c>
      <c r="F1454">
        <v>0</v>
      </c>
      <c r="G1454">
        <v>0</v>
      </c>
      <c r="H1454">
        <v>0</v>
      </c>
      <c r="I1454">
        <v>0</v>
      </c>
      <c r="K1454">
        <v>0</v>
      </c>
      <c r="L1454" s="322">
        <v>0</v>
      </c>
      <c r="M1454" s="322">
        <v>0</v>
      </c>
      <c r="N1454" s="322">
        <v>0</v>
      </c>
    </row>
    <row r="1455" spans="1:14" x14ac:dyDescent="0.3">
      <c r="A1455">
        <f>EPD!A1170</f>
        <v>0</v>
      </c>
      <c r="F1455">
        <v>0</v>
      </c>
      <c r="G1455">
        <v>0</v>
      </c>
      <c r="H1455">
        <v>0</v>
      </c>
      <c r="I1455">
        <v>0</v>
      </c>
      <c r="K1455">
        <v>0</v>
      </c>
      <c r="L1455" s="322">
        <v>0</v>
      </c>
      <c r="M1455" s="322">
        <v>0</v>
      </c>
      <c r="N1455" s="322">
        <v>0</v>
      </c>
    </row>
    <row r="1456" spans="1:14" x14ac:dyDescent="0.3">
      <c r="A1456">
        <f>EPD!A1171</f>
        <v>0</v>
      </c>
      <c r="F1456">
        <v>0</v>
      </c>
      <c r="G1456">
        <v>0</v>
      </c>
      <c r="H1456">
        <v>0</v>
      </c>
      <c r="I1456">
        <v>0</v>
      </c>
      <c r="K1456">
        <v>0</v>
      </c>
      <c r="L1456" s="322">
        <v>0</v>
      </c>
      <c r="M1456" s="322">
        <v>0</v>
      </c>
      <c r="N1456" s="322">
        <v>0</v>
      </c>
    </row>
    <row r="1457" spans="1:14" x14ac:dyDescent="0.3">
      <c r="A1457">
        <f>EPD!A1172</f>
        <v>0</v>
      </c>
      <c r="F1457">
        <v>0</v>
      </c>
      <c r="G1457">
        <v>0</v>
      </c>
      <c r="H1457">
        <v>0</v>
      </c>
      <c r="I1457">
        <v>0</v>
      </c>
      <c r="K1457">
        <v>0</v>
      </c>
      <c r="L1457" s="322">
        <v>0</v>
      </c>
      <c r="M1457" s="322">
        <v>0</v>
      </c>
      <c r="N1457" s="322">
        <v>0</v>
      </c>
    </row>
    <row r="1458" spans="1:14" x14ac:dyDescent="0.3">
      <c r="A1458">
        <f>EPD!A1173</f>
        <v>0</v>
      </c>
      <c r="F1458">
        <v>0</v>
      </c>
      <c r="G1458">
        <v>0</v>
      </c>
      <c r="H1458">
        <v>0</v>
      </c>
      <c r="I1458">
        <v>0</v>
      </c>
      <c r="K1458">
        <v>0</v>
      </c>
      <c r="L1458" s="322">
        <v>0</v>
      </c>
      <c r="M1458" s="322">
        <v>0</v>
      </c>
      <c r="N1458" s="322">
        <v>0</v>
      </c>
    </row>
    <row r="1459" spans="1:14" x14ac:dyDescent="0.3">
      <c r="A1459">
        <f>EPD!A1174</f>
        <v>0</v>
      </c>
      <c r="F1459">
        <v>0</v>
      </c>
      <c r="G1459">
        <v>0</v>
      </c>
      <c r="H1459">
        <v>0</v>
      </c>
      <c r="I1459">
        <v>0</v>
      </c>
      <c r="K1459">
        <v>0</v>
      </c>
      <c r="L1459" s="322">
        <v>0</v>
      </c>
      <c r="M1459" s="322">
        <v>0</v>
      </c>
      <c r="N1459" s="322">
        <v>0</v>
      </c>
    </row>
    <row r="1460" spans="1:14" x14ac:dyDescent="0.3">
      <c r="A1460">
        <f>EPD!A1175</f>
        <v>0</v>
      </c>
      <c r="F1460">
        <v>0</v>
      </c>
      <c r="G1460">
        <v>0</v>
      </c>
      <c r="H1460">
        <v>0</v>
      </c>
      <c r="I1460">
        <v>0</v>
      </c>
      <c r="K1460">
        <v>0</v>
      </c>
      <c r="L1460" s="322">
        <v>0</v>
      </c>
      <c r="M1460" s="322">
        <v>0</v>
      </c>
      <c r="N1460" s="322">
        <v>0</v>
      </c>
    </row>
    <row r="1461" spans="1:14" x14ac:dyDescent="0.3">
      <c r="A1461">
        <f>EPD!A1176</f>
        <v>0</v>
      </c>
      <c r="F1461">
        <v>0</v>
      </c>
      <c r="G1461">
        <v>0</v>
      </c>
      <c r="H1461">
        <v>0</v>
      </c>
      <c r="I1461">
        <v>0</v>
      </c>
      <c r="K1461">
        <v>0</v>
      </c>
      <c r="L1461" s="322">
        <v>0</v>
      </c>
      <c r="M1461" s="322">
        <v>0</v>
      </c>
      <c r="N1461" s="322">
        <v>0</v>
      </c>
    </row>
    <row r="1462" spans="1:14" x14ac:dyDescent="0.3">
      <c r="A1462">
        <f>EPD!A1177</f>
        <v>0</v>
      </c>
      <c r="F1462">
        <v>0</v>
      </c>
      <c r="G1462">
        <v>0</v>
      </c>
      <c r="H1462">
        <v>0</v>
      </c>
      <c r="I1462">
        <v>0</v>
      </c>
      <c r="K1462">
        <v>0</v>
      </c>
      <c r="L1462" s="322">
        <v>0</v>
      </c>
      <c r="M1462" s="322">
        <v>0</v>
      </c>
      <c r="N1462" s="322">
        <v>0</v>
      </c>
    </row>
    <row r="1463" spans="1:14" x14ac:dyDescent="0.3">
      <c r="A1463">
        <f>EPD!A1178</f>
        <v>0</v>
      </c>
      <c r="F1463">
        <v>0</v>
      </c>
      <c r="G1463">
        <v>0</v>
      </c>
      <c r="H1463">
        <v>0</v>
      </c>
      <c r="I1463">
        <v>0</v>
      </c>
      <c r="K1463">
        <v>0</v>
      </c>
      <c r="L1463" s="322">
        <v>0</v>
      </c>
      <c r="M1463" s="322">
        <v>0</v>
      </c>
      <c r="N1463" s="322">
        <v>0</v>
      </c>
    </row>
    <row r="1464" spans="1:14" x14ac:dyDescent="0.3">
      <c r="A1464">
        <f>EPD!A1179</f>
        <v>0</v>
      </c>
      <c r="F1464">
        <v>0</v>
      </c>
      <c r="G1464">
        <v>0</v>
      </c>
      <c r="H1464">
        <v>0</v>
      </c>
      <c r="I1464">
        <v>0</v>
      </c>
      <c r="K1464">
        <v>0</v>
      </c>
      <c r="L1464" s="322">
        <v>0</v>
      </c>
      <c r="M1464" s="322">
        <v>0</v>
      </c>
      <c r="N1464" s="322">
        <v>0</v>
      </c>
    </row>
    <row r="1465" spans="1:14" x14ac:dyDescent="0.3">
      <c r="A1465">
        <f>EPD!A1180</f>
        <v>0</v>
      </c>
      <c r="F1465">
        <v>0</v>
      </c>
      <c r="G1465">
        <v>0</v>
      </c>
      <c r="H1465">
        <v>0</v>
      </c>
      <c r="I1465">
        <v>0</v>
      </c>
      <c r="K1465">
        <v>0</v>
      </c>
      <c r="L1465" s="322">
        <v>0</v>
      </c>
      <c r="M1465" s="322">
        <v>0</v>
      </c>
      <c r="N1465" s="322">
        <v>0</v>
      </c>
    </row>
    <row r="1466" spans="1:14" x14ac:dyDescent="0.3">
      <c r="A1466">
        <f>EPD!A1181</f>
        <v>0</v>
      </c>
      <c r="F1466">
        <v>0</v>
      </c>
      <c r="G1466">
        <v>0</v>
      </c>
      <c r="H1466">
        <v>0</v>
      </c>
      <c r="I1466">
        <v>0</v>
      </c>
      <c r="K1466">
        <v>0</v>
      </c>
      <c r="L1466" s="322">
        <v>0</v>
      </c>
      <c r="M1466" s="322">
        <v>0</v>
      </c>
      <c r="N1466" s="322">
        <v>0</v>
      </c>
    </row>
    <row r="1467" spans="1:14" x14ac:dyDescent="0.3">
      <c r="A1467">
        <f>EPD!A1182</f>
        <v>0</v>
      </c>
      <c r="F1467">
        <v>0</v>
      </c>
      <c r="G1467">
        <v>0</v>
      </c>
      <c r="H1467">
        <v>0</v>
      </c>
      <c r="I1467">
        <v>0</v>
      </c>
      <c r="K1467">
        <v>0</v>
      </c>
      <c r="L1467" s="322">
        <v>0</v>
      </c>
      <c r="M1467" s="322">
        <v>0</v>
      </c>
      <c r="N1467" s="322">
        <v>0</v>
      </c>
    </row>
    <row r="1468" spans="1:14" x14ac:dyDescent="0.3">
      <c r="A1468">
        <f>EPD!A1183</f>
        <v>0</v>
      </c>
      <c r="F1468">
        <v>0</v>
      </c>
      <c r="G1468">
        <v>0</v>
      </c>
      <c r="H1468">
        <v>0</v>
      </c>
      <c r="I1468">
        <v>0</v>
      </c>
      <c r="K1468">
        <v>0</v>
      </c>
      <c r="L1468" s="322">
        <v>0</v>
      </c>
      <c r="M1468" s="322">
        <v>0</v>
      </c>
      <c r="N1468" s="322">
        <v>0</v>
      </c>
    </row>
    <row r="1469" spans="1:14" x14ac:dyDescent="0.3">
      <c r="A1469">
        <f>EPD!A1184</f>
        <v>0</v>
      </c>
      <c r="F1469">
        <v>0</v>
      </c>
      <c r="G1469">
        <v>0</v>
      </c>
      <c r="H1469">
        <v>0</v>
      </c>
      <c r="I1469">
        <v>0</v>
      </c>
      <c r="K1469">
        <v>0</v>
      </c>
      <c r="L1469" s="322">
        <v>0</v>
      </c>
      <c r="M1469" s="322">
        <v>0</v>
      </c>
      <c r="N1469" s="322">
        <v>0</v>
      </c>
    </row>
    <row r="1470" spans="1:14" x14ac:dyDescent="0.3">
      <c r="A1470">
        <f>EPD!A1185</f>
        <v>0</v>
      </c>
      <c r="F1470">
        <v>0</v>
      </c>
      <c r="G1470">
        <v>0</v>
      </c>
      <c r="H1470">
        <v>0</v>
      </c>
      <c r="I1470">
        <v>0</v>
      </c>
      <c r="K1470">
        <v>0</v>
      </c>
      <c r="L1470" s="322">
        <v>0</v>
      </c>
      <c r="M1470" s="322">
        <v>0</v>
      </c>
      <c r="N1470" s="322">
        <v>0</v>
      </c>
    </row>
    <row r="1471" spans="1:14" x14ac:dyDescent="0.3">
      <c r="A1471">
        <f>EPD!A1186</f>
        <v>0</v>
      </c>
      <c r="F1471">
        <v>0</v>
      </c>
      <c r="G1471">
        <v>0</v>
      </c>
      <c r="H1471">
        <v>0</v>
      </c>
      <c r="I1471">
        <v>0</v>
      </c>
      <c r="K1471">
        <v>0</v>
      </c>
      <c r="L1471" s="322">
        <v>0</v>
      </c>
      <c r="M1471" s="322">
        <v>0</v>
      </c>
      <c r="N1471" s="322">
        <v>0</v>
      </c>
    </row>
    <row r="1472" spans="1:14" x14ac:dyDescent="0.3">
      <c r="A1472">
        <f>EPD!A1187</f>
        <v>0</v>
      </c>
      <c r="F1472">
        <v>0</v>
      </c>
      <c r="G1472">
        <v>0</v>
      </c>
      <c r="H1472">
        <v>0</v>
      </c>
      <c r="I1472">
        <v>0</v>
      </c>
      <c r="K1472">
        <v>0</v>
      </c>
      <c r="L1472" s="322">
        <v>0</v>
      </c>
      <c r="M1472" s="322">
        <v>0</v>
      </c>
      <c r="N1472" s="322">
        <v>0</v>
      </c>
    </row>
    <row r="1473" spans="1:14" x14ac:dyDescent="0.3">
      <c r="A1473">
        <f>EPD!A1188</f>
        <v>0</v>
      </c>
      <c r="F1473">
        <v>0</v>
      </c>
      <c r="G1473">
        <v>0</v>
      </c>
      <c r="H1473">
        <v>0</v>
      </c>
      <c r="I1473">
        <v>0</v>
      </c>
      <c r="K1473">
        <v>0</v>
      </c>
      <c r="L1473" s="322">
        <v>0</v>
      </c>
      <c r="M1473" s="322">
        <v>0</v>
      </c>
      <c r="N1473" s="322">
        <v>0</v>
      </c>
    </row>
    <row r="1474" spans="1:14" x14ac:dyDescent="0.3">
      <c r="A1474">
        <f>EPD!A1189</f>
        <v>0</v>
      </c>
      <c r="F1474">
        <v>0</v>
      </c>
      <c r="G1474">
        <v>0</v>
      </c>
      <c r="H1474">
        <v>0</v>
      </c>
      <c r="I1474">
        <v>0</v>
      </c>
      <c r="K1474">
        <v>0</v>
      </c>
      <c r="L1474" s="322">
        <v>0</v>
      </c>
      <c r="M1474" s="322">
        <v>0</v>
      </c>
      <c r="N1474" s="322">
        <v>0</v>
      </c>
    </row>
    <row r="1475" spans="1:14" x14ac:dyDescent="0.3">
      <c r="A1475">
        <f>EPD!A1190</f>
        <v>0</v>
      </c>
      <c r="F1475">
        <v>0</v>
      </c>
      <c r="G1475">
        <v>0</v>
      </c>
      <c r="H1475">
        <v>0</v>
      </c>
      <c r="I1475">
        <v>0</v>
      </c>
      <c r="K1475">
        <v>0</v>
      </c>
      <c r="L1475" s="322">
        <v>0</v>
      </c>
      <c r="M1475" s="322">
        <v>0</v>
      </c>
      <c r="N1475" s="322">
        <v>0</v>
      </c>
    </row>
    <row r="1476" spans="1:14" x14ac:dyDescent="0.3">
      <c r="A1476">
        <f>EPD!A1191</f>
        <v>0</v>
      </c>
      <c r="F1476">
        <v>0</v>
      </c>
      <c r="G1476">
        <v>0</v>
      </c>
      <c r="H1476">
        <v>0</v>
      </c>
      <c r="I1476">
        <v>0</v>
      </c>
      <c r="K1476">
        <v>0</v>
      </c>
      <c r="L1476" s="322">
        <v>0</v>
      </c>
      <c r="M1476" s="322">
        <v>0</v>
      </c>
      <c r="N1476" s="322">
        <v>0</v>
      </c>
    </row>
    <row r="1477" spans="1:14" x14ac:dyDescent="0.3">
      <c r="A1477">
        <f>EPD!A1192</f>
        <v>0</v>
      </c>
      <c r="F1477">
        <v>0</v>
      </c>
      <c r="G1477">
        <v>0</v>
      </c>
      <c r="H1477">
        <v>0</v>
      </c>
      <c r="I1477">
        <v>0</v>
      </c>
      <c r="K1477">
        <v>0</v>
      </c>
      <c r="L1477" s="322">
        <v>0</v>
      </c>
      <c r="M1477" s="322">
        <v>0</v>
      </c>
      <c r="N1477" s="322">
        <v>0</v>
      </c>
    </row>
    <row r="1478" spans="1:14" x14ac:dyDescent="0.3">
      <c r="A1478">
        <f>EPD!A1193</f>
        <v>0</v>
      </c>
      <c r="F1478">
        <v>0</v>
      </c>
      <c r="G1478">
        <v>0</v>
      </c>
      <c r="H1478">
        <v>0</v>
      </c>
      <c r="I1478">
        <v>0</v>
      </c>
      <c r="K1478">
        <v>0</v>
      </c>
      <c r="L1478" s="322">
        <v>0</v>
      </c>
      <c r="M1478" s="322">
        <v>0</v>
      </c>
      <c r="N1478" s="322">
        <v>0</v>
      </c>
    </row>
    <row r="1479" spans="1:14" x14ac:dyDescent="0.3">
      <c r="A1479">
        <f>EPD!A1194</f>
        <v>0</v>
      </c>
      <c r="F1479">
        <v>0</v>
      </c>
      <c r="G1479">
        <v>0</v>
      </c>
      <c r="H1479">
        <v>0</v>
      </c>
      <c r="I1479">
        <v>0</v>
      </c>
      <c r="K1479">
        <v>0</v>
      </c>
      <c r="L1479" s="322">
        <v>0</v>
      </c>
      <c r="M1479" s="322">
        <v>0</v>
      </c>
      <c r="N1479" s="322">
        <v>0</v>
      </c>
    </row>
    <row r="1480" spans="1:14" x14ac:dyDescent="0.3">
      <c r="A1480">
        <f>EPD!A1195</f>
        <v>0</v>
      </c>
      <c r="F1480">
        <v>0</v>
      </c>
      <c r="G1480">
        <v>0</v>
      </c>
      <c r="H1480">
        <v>0</v>
      </c>
      <c r="I1480">
        <v>0</v>
      </c>
      <c r="K1480">
        <v>0</v>
      </c>
      <c r="L1480" s="322">
        <v>0</v>
      </c>
      <c r="M1480" s="322">
        <v>0</v>
      </c>
      <c r="N1480" s="322">
        <v>0</v>
      </c>
    </row>
    <row r="1481" spans="1:14" x14ac:dyDescent="0.3">
      <c r="A1481">
        <f>EPD!A1196</f>
        <v>0</v>
      </c>
      <c r="F1481">
        <v>0</v>
      </c>
      <c r="G1481">
        <v>0</v>
      </c>
      <c r="H1481">
        <v>0</v>
      </c>
      <c r="I1481">
        <v>0</v>
      </c>
      <c r="K1481">
        <v>0</v>
      </c>
      <c r="L1481" s="322">
        <v>0</v>
      </c>
      <c r="M1481" s="322">
        <v>0</v>
      </c>
      <c r="N1481" s="322">
        <v>0</v>
      </c>
    </row>
    <row r="1482" spans="1:14" x14ac:dyDescent="0.3">
      <c r="A1482">
        <f>EPD!A1197</f>
        <v>0</v>
      </c>
      <c r="F1482">
        <v>0</v>
      </c>
      <c r="G1482">
        <v>0</v>
      </c>
      <c r="H1482">
        <v>0</v>
      </c>
      <c r="I1482">
        <v>0</v>
      </c>
      <c r="K1482">
        <v>0</v>
      </c>
      <c r="L1482" s="322">
        <v>0</v>
      </c>
      <c r="M1482" s="322">
        <v>0</v>
      </c>
      <c r="N1482" s="322">
        <v>0</v>
      </c>
    </row>
    <row r="1483" spans="1:14" x14ac:dyDescent="0.3">
      <c r="A1483">
        <f>EPD!A1198</f>
        <v>0</v>
      </c>
      <c r="F1483">
        <v>0</v>
      </c>
      <c r="G1483">
        <v>0</v>
      </c>
      <c r="H1483">
        <v>0</v>
      </c>
      <c r="I1483">
        <v>0</v>
      </c>
      <c r="K1483">
        <v>0</v>
      </c>
      <c r="L1483" s="322">
        <v>0</v>
      </c>
      <c r="M1483" s="322">
        <v>0</v>
      </c>
      <c r="N1483" s="322">
        <v>0</v>
      </c>
    </row>
    <row r="1484" spans="1:14" x14ac:dyDescent="0.3">
      <c r="A1484">
        <f>EPD!A1199</f>
        <v>0</v>
      </c>
      <c r="F1484">
        <v>0</v>
      </c>
      <c r="G1484">
        <v>0</v>
      </c>
      <c r="H1484">
        <v>0</v>
      </c>
      <c r="I1484">
        <v>0</v>
      </c>
      <c r="K1484">
        <v>0</v>
      </c>
      <c r="L1484" s="322">
        <v>0</v>
      </c>
      <c r="M1484" s="322">
        <v>0</v>
      </c>
      <c r="N1484" s="322">
        <v>0</v>
      </c>
    </row>
    <row r="1485" spans="1:14" x14ac:dyDescent="0.3">
      <c r="A1485">
        <f>EPD!A1200</f>
        <v>0</v>
      </c>
      <c r="F1485">
        <v>0</v>
      </c>
      <c r="G1485">
        <v>0</v>
      </c>
      <c r="H1485">
        <v>0</v>
      </c>
      <c r="I1485">
        <v>0</v>
      </c>
      <c r="K1485">
        <v>0</v>
      </c>
      <c r="L1485" s="322">
        <v>0</v>
      </c>
      <c r="M1485" s="322">
        <v>0</v>
      </c>
      <c r="N1485" s="322">
        <v>0</v>
      </c>
    </row>
    <row r="1486" spans="1:14" x14ac:dyDescent="0.3">
      <c r="A1486">
        <f>EPD!A1201</f>
        <v>0</v>
      </c>
      <c r="F1486">
        <v>0</v>
      </c>
      <c r="G1486">
        <v>0</v>
      </c>
      <c r="H1486">
        <v>0</v>
      </c>
      <c r="I1486">
        <v>0</v>
      </c>
      <c r="K1486">
        <v>0</v>
      </c>
      <c r="L1486" s="322">
        <v>0</v>
      </c>
      <c r="M1486" s="322">
        <v>0</v>
      </c>
      <c r="N1486" s="322">
        <v>0</v>
      </c>
    </row>
    <row r="1487" spans="1:14" x14ac:dyDescent="0.3">
      <c r="A1487">
        <f>EPD!A1202</f>
        <v>0</v>
      </c>
      <c r="F1487">
        <v>0</v>
      </c>
      <c r="G1487">
        <v>0</v>
      </c>
      <c r="H1487">
        <v>0</v>
      </c>
      <c r="I1487">
        <v>0</v>
      </c>
      <c r="K1487">
        <v>0</v>
      </c>
      <c r="L1487" s="322">
        <v>0</v>
      </c>
      <c r="M1487" s="322">
        <v>0</v>
      </c>
      <c r="N1487" s="322">
        <v>0</v>
      </c>
    </row>
    <row r="1488" spans="1:14" x14ac:dyDescent="0.3">
      <c r="A1488">
        <f>EPD!A1203</f>
        <v>0</v>
      </c>
      <c r="F1488">
        <v>0</v>
      </c>
      <c r="G1488">
        <v>0</v>
      </c>
      <c r="H1488">
        <v>0</v>
      </c>
      <c r="I1488">
        <v>0</v>
      </c>
      <c r="K1488">
        <v>0</v>
      </c>
      <c r="L1488" s="322">
        <v>0</v>
      </c>
      <c r="M1488" s="322">
        <v>0</v>
      </c>
      <c r="N1488" s="322">
        <v>0</v>
      </c>
    </row>
    <row r="1489" spans="1:14" x14ac:dyDescent="0.3">
      <c r="A1489">
        <f>EPD!A1204</f>
        <v>0</v>
      </c>
      <c r="F1489">
        <v>0</v>
      </c>
      <c r="G1489">
        <v>0</v>
      </c>
      <c r="H1489">
        <v>0</v>
      </c>
      <c r="I1489">
        <v>0</v>
      </c>
      <c r="K1489">
        <v>0</v>
      </c>
      <c r="L1489" s="322">
        <v>0</v>
      </c>
      <c r="M1489" s="322">
        <v>0</v>
      </c>
      <c r="N1489" s="322">
        <v>0</v>
      </c>
    </row>
    <row r="1490" spans="1:14" x14ac:dyDescent="0.3">
      <c r="A1490">
        <f>EPD!A1205</f>
        <v>0</v>
      </c>
      <c r="F1490">
        <v>0</v>
      </c>
      <c r="G1490">
        <v>0</v>
      </c>
      <c r="H1490">
        <v>0</v>
      </c>
      <c r="I1490">
        <v>0</v>
      </c>
      <c r="K1490">
        <v>0</v>
      </c>
      <c r="L1490" s="322">
        <v>0</v>
      </c>
      <c r="M1490" s="322">
        <v>0</v>
      </c>
      <c r="N1490" s="322">
        <v>0</v>
      </c>
    </row>
    <row r="1491" spans="1:14" x14ac:dyDescent="0.3">
      <c r="A1491">
        <f>EPD!A1206</f>
        <v>0</v>
      </c>
      <c r="F1491">
        <v>0</v>
      </c>
      <c r="G1491">
        <v>0</v>
      </c>
      <c r="H1491">
        <v>0</v>
      </c>
      <c r="I1491">
        <v>0</v>
      </c>
      <c r="K1491">
        <v>0</v>
      </c>
      <c r="L1491" s="322">
        <v>0</v>
      </c>
      <c r="M1491" s="322">
        <v>0</v>
      </c>
      <c r="N1491" s="322">
        <v>0</v>
      </c>
    </row>
    <row r="1492" spans="1:14" x14ac:dyDescent="0.3">
      <c r="A1492">
        <f>EPD!A1207</f>
        <v>0</v>
      </c>
      <c r="F1492">
        <v>0</v>
      </c>
      <c r="G1492">
        <v>0</v>
      </c>
      <c r="H1492">
        <v>0</v>
      </c>
      <c r="I1492">
        <v>0</v>
      </c>
      <c r="K1492">
        <v>0</v>
      </c>
      <c r="L1492" s="322">
        <v>0</v>
      </c>
      <c r="M1492" s="322">
        <v>0</v>
      </c>
      <c r="N1492" s="322">
        <v>0</v>
      </c>
    </row>
    <row r="1493" spans="1:14" x14ac:dyDescent="0.3">
      <c r="A1493">
        <f>EPD!A1208</f>
        <v>0</v>
      </c>
      <c r="F1493">
        <v>0</v>
      </c>
      <c r="G1493">
        <v>0</v>
      </c>
      <c r="H1493">
        <v>0</v>
      </c>
      <c r="I1493">
        <v>0</v>
      </c>
      <c r="K1493">
        <v>0</v>
      </c>
      <c r="L1493" s="322">
        <v>0</v>
      </c>
      <c r="M1493" s="322">
        <v>0</v>
      </c>
      <c r="N1493" s="322">
        <v>0</v>
      </c>
    </row>
    <row r="1494" spans="1:14" x14ac:dyDescent="0.3">
      <c r="A1494">
        <f>EPD!A1209</f>
        <v>0</v>
      </c>
      <c r="F1494">
        <v>0</v>
      </c>
      <c r="G1494">
        <v>0</v>
      </c>
      <c r="H1494">
        <v>0</v>
      </c>
      <c r="I1494">
        <v>0</v>
      </c>
      <c r="K1494">
        <v>0</v>
      </c>
      <c r="L1494" s="322">
        <v>0</v>
      </c>
      <c r="M1494" s="322">
        <v>0</v>
      </c>
      <c r="N1494" s="322">
        <v>0</v>
      </c>
    </row>
    <row r="1495" spans="1:14" x14ac:dyDescent="0.3">
      <c r="A1495">
        <f>EPD!A1210</f>
        <v>0</v>
      </c>
      <c r="F1495">
        <v>0</v>
      </c>
      <c r="G1495">
        <v>0</v>
      </c>
      <c r="H1495">
        <v>0</v>
      </c>
      <c r="I1495">
        <v>0</v>
      </c>
      <c r="K1495">
        <v>0</v>
      </c>
      <c r="L1495" s="322">
        <v>0</v>
      </c>
      <c r="M1495" s="322">
        <v>0</v>
      </c>
      <c r="N1495" s="322">
        <v>0</v>
      </c>
    </row>
    <row r="1496" spans="1:14" x14ac:dyDescent="0.3">
      <c r="A1496">
        <f>EPD!A1211</f>
        <v>0</v>
      </c>
      <c r="F1496">
        <v>0</v>
      </c>
      <c r="G1496">
        <v>0</v>
      </c>
      <c r="H1496">
        <v>0</v>
      </c>
      <c r="I1496">
        <v>0</v>
      </c>
      <c r="K1496">
        <v>0</v>
      </c>
      <c r="L1496" s="322">
        <v>0</v>
      </c>
      <c r="M1496" s="322">
        <v>0</v>
      </c>
      <c r="N1496" s="322">
        <v>0</v>
      </c>
    </row>
    <row r="1497" spans="1:14" x14ac:dyDescent="0.3">
      <c r="A1497">
        <f>EPD!A1212</f>
        <v>0</v>
      </c>
      <c r="F1497">
        <v>0</v>
      </c>
      <c r="G1497">
        <v>0</v>
      </c>
      <c r="H1497">
        <v>0</v>
      </c>
      <c r="I1497">
        <v>0</v>
      </c>
      <c r="K1497">
        <v>0</v>
      </c>
      <c r="L1497" s="322">
        <v>0</v>
      </c>
      <c r="M1497" s="322">
        <v>0</v>
      </c>
      <c r="N1497" s="322">
        <v>0</v>
      </c>
    </row>
    <row r="1498" spans="1:14" x14ac:dyDescent="0.3">
      <c r="A1498">
        <f>EPD!A1213</f>
        <v>0</v>
      </c>
      <c r="F1498">
        <v>0</v>
      </c>
      <c r="G1498">
        <v>0</v>
      </c>
      <c r="H1498">
        <v>0</v>
      </c>
      <c r="I1498">
        <v>0</v>
      </c>
      <c r="K1498">
        <v>0</v>
      </c>
      <c r="L1498" s="322">
        <v>0</v>
      </c>
      <c r="M1498" s="322">
        <v>0</v>
      </c>
      <c r="N1498" s="322">
        <v>0</v>
      </c>
    </row>
    <row r="1499" spans="1:14" x14ac:dyDescent="0.3">
      <c r="F1499">
        <v>0</v>
      </c>
      <c r="G1499">
        <v>0</v>
      </c>
      <c r="H1499">
        <v>0</v>
      </c>
      <c r="I1499">
        <v>0</v>
      </c>
      <c r="K1499">
        <v>0</v>
      </c>
      <c r="L1499" s="322">
        <v>0</v>
      </c>
      <c r="M1499" s="322">
        <v>0</v>
      </c>
      <c r="N1499" s="322">
        <v>0</v>
      </c>
    </row>
  </sheetData>
  <phoneticPr fontId="7" type="noConversion"/>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94A39-86F2-4DA2-A62D-FF7704FB618D}">
  <sheetPr codeName="Sheet5"/>
  <dimension ref="A1:U27"/>
  <sheetViews>
    <sheetView workbookViewId="0">
      <selection activeCell="M11" sqref="M11"/>
    </sheetView>
  </sheetViews>
  <sheetFormatPr defaultRowHeight="14.4" x14ac:dyDescent="0.3"/>
  <cols>
    <col min="2" max="2" width="15.6640625" customWidth="1"/>
    <col min="10" max="10" width="11.109375" bestFit="1" customWidth="1"/>
    <col min="11" max="11" width="8.6640625" customWidth="1"/>
    <col min="12" max="12" width="23.88671875" bestFit="1" customWidth="1"/>
    <col min="13" max="13" width="11.6640625" bestFit="1" customWidth="1"/>
    <col min="14" max="14" width="28.33203125" bestFit="1" customWidth="1"/>
    <col min="15" max="15" width="8.6640625" customWidth="1"/>
    <col min="18" max="18" width="25.33203125" customWidth="1"/>
  </cols>
  <sheetData>
    <row r="1" spans="1:21" x14ac:dyDescent="0.3">
      <c r="A1" t="s">
        <v>483</v>
      </c>
      <c r="B1" t="s">
        <v>532</v>
      </c>
      <c r="D1" s="523" t="s">
        <v>1391</v>
      </c>
      <c r="E1" s="523" t="s">
        <v>1392</v>
      </c>
      <c r="G1" t="s">
        <v>678</v>
      </c>
      <c r="H1" t="s">
        <v>1523</v>
      </c>
      <c r="J1" t="s">
        <v>871</v>
      </c>
      <c r="L1" t="s">
        <v>5</v>
      </c>
      <c r="M1" t="s">
        <v>882</v>
      </c>
      <c r="N1" t="s">
        <v>79</v>
      </c>
      <c r="O1" t="s">
        <v>104</v>
      </c>
      <c r="R1" t="s">
        <v>1083</v>
      </c>
      <c r="S1">
        <v>100</v>
      </c>
      <c r="U1" t="s">
        <v>1513</v>
      </c>
    </row>
    <row r="2" spans="1:21" x14ac:dyDescent="0.3">
      <c r="A2" t="s">
        <v>484</v>
      </c>
      <c r="B2" t="s">
        <v>505</v>
      </c>
      <c r="D2" t="s">
        <v>1393</v>
      </c>
      <c r="E2" t="s">
        <v>1394</v>
      </c>
      <c r="G2" t="s">
        <v>679</v>
      </c>
      <c r="H2" t="s">
        <v>1524</v>
      </c>
      <c r="J2" t="s">
        <v>872</v>
      </c>
      <c r="L2" t="s">
        <v>880</v>
      </c>
      <c r="M2" t="s">
        <v>869</v>
      </c>
      <c r="N2" t="s">
        <v>77</v>
      </c>
      <c r="O2" t="s">
        <v>102</v>
      </c>
      <c r="R2" t="s">
        <v>1084</v>
      </c>
      <c r="S2">
        <v>87.5</v>
      </c>
      <c r="U2" t="s">
        <v>1511</v>
      </c>
    </row>
    <row r="3" spans="1:21" x14ac:dyDescent="0.3">
      <c r="A3" t="s">
        <v>485</v>
      </c>
      <c r="B3" t="s">
        <v>446</v>
      </c>
      <c r="D3" t="s">
        <v>1395</v>
      </c>
      <c r="E3" t="s">
        <v>1396</v>
      </c>
      <c r="H3" t="s">
        <v>1525</v>
      </c>
      <c r="J3" t="s">
        <v>873</v>
      </c>
      <c r="L3" t="s">
        <v>879</v>
      </c>
      <c r="N3" t="s">
        <v>75</v>
      </c>
      <c r="O3" t="s">
        <v>95</v>
      </c>
      <c r="R3" t="s">
        <v>1085</v>
      </c>
      <c r="S3">
        <v>80</v>
      </c>
      <c r="U3" t="s">
        <v>1512</v>
      </c>
    </row>
    <row r="4" spans="1:21" x14ac:dyDescent="0.3">
      <c r="A4" t="s">
        <v>486</v>
      </c>
      <c r="B4" t="s">
        <v>447</v>
      </c>
      <c r="D4" t="s">
        <v>1397</v>
      </c>
      <c r="E4" t="s">
        <v>1398</v>
      </c>
      <c r="J4" t="s">
        <v>911</v>
      </c>
      <c r="L4" t="s">
        <v>881</v>
      </c>
      <c r="N4" t="s">
        <v>76</v>
      </c>
      <c r="O4" t="s">
        <v>100</v>
      </c>
      <c r="R4" t="s">
        <v>1086</v>
      </c>
      <c r="S4">
        <v>65</v>
      </c>
      <c r="U4" t="s">
        <v>1510</v>
      </c>
    </row>
    <row r="5" spans="1:21" x14ac:dyDescent="0.3">
      <c r="A5" t="s">
        <v>487</v>
      </c>
      <c r="B5" t="s">
        <v>448</v>
      </c>
      <c r="D5" t="s">
        <v>1399</v>
      </c>
      <c r="E5" t="s">
        <v>1400</v>
      </c>
      <c r="J5" t="s">
        <v>875</v>
      </c>
      <c r="N5" t="s">
        <v>78</v>
      </c>
      <c r="O5" t="s">
        <v>99</v>
      </c>
      <c r="R5" t="s">
        <v>1087</v>
      </c>
      <c r="S5" t="s">
        <v>1088</v>
      </c>
      <c r="U5" t="s">
        <v>1515</v>
      </c>
    </row>
    <row r="6" spans="1:21" x14ac:dyDescent="0.3">
      <c r="B6" t="s">
        <v>449</v>
      </c>
      <c r="D6" t="s">
        <v>1401</v>
      </c>
      <c r="E6" t="s">
        <v>1402</v>
      </c>
      <c r="J6" t="s">
        <v>874</v>
      </c>
      <c r="N6" t="s">
        <v>74</v>
      </c>
      <c r="O6" t="s">
        <v>96</v>
      </c>
    </row>
    <row r="7" spans="1:21" x14ac:dyDescent="0.3">
      <c r="B7" t="s">
        <v>450</v>
      </c>
      <c r="D7" t="s">
        <v>1403</v>
      </c>
      <c r="E7" t="s">
        <v>1404</v>
      </c>
      <c r="J7" t="s">
        <v>878</v>
      </c>
      <c r="N7" t="s">
        <v>79</v>
      </c>
      <c r="O7" t="s">
        <v>97</v>
      </c>
    </row>
    <row r="8" spans="1:21" x14ac:dyDescent="0.3">
      <c r="B8" t="s">
        <v>451</v>
      </c>
      <c r="D8" t="s">
        <v>1405</v>
      </c>
      <c r="E8" t="s">
        <v>1406</v>
      </c>
      <c r="J8" t="s">
        <v>1079</v>
      </c>
      <c r="O8" t="s">
        <v>98</v>
      </c>
    </row>
    <row r="9" spans="1:21" x14ac:dyDescent="0.3">
      <c r="B9" t="s">
        <v>452</v>
      </c>
      <c r="D9" t="s">
        <v>1407</v>
      </c>
      <c r="E9" t="s">
        <v>1408</v>
      </c>
      <c r="J9" t="s">
        <v>1078</v>
      </c>
      <c r="O9" t="s">
        <v>94</v>
      </c>
    </row>
    <row r="10" spans="1:21" x14ac:dyDescent="0.3">
      <c r="B10" t="s">
        <v>453</v>
      </c>
      <c r="D10" t="s">
        <v>1409</v>
      </c>
      <c r="E10" t="s">
        <v>1410</v>
      </c>
      <c r="J10" t="s">
        <v>1080</v>
      </c>
      <c r="O10" t="s">
        <v>101</v>
      </c>
    </row>
    <row r="11" spans="1:21" x14ac:dyDescent="0.3">
      <c r="B11" t="s">
        <v>454</v>
      </c>
      <c r="D11" t="s">
        <v>1411</v>
      </c>
      <c r="E11" t="s">
        <v>1412</v>
      </c>
      <c r="J11" t="s">
        <v>1081</v>
      </c>
      <c r="O11" t="s">
        <v>103</v>
      </c>
    </row>
    <row r="12" spans="1:21" x14ac:dyDescent="0.3">
      <c r="B12" t="s">
        <v>455</v>
      </c>
      <c r="D12" t="s">
        <v>1413</v>
      </c>
      <c r="E12" t="s">
        <v>1414</v>
      </c>
      <c r="J12" t="s">
        <v>876</v>
      </c>
      <c r="O12" t="s">
        <v>104</v>
      </c>
    </row>
    <row r="13" spans="1:21" x14ac:dyDescent="0.3">
      <c r="B13" t="s">
        <v>456</v>
      </c>
      <c r="J13" t="s">
        <v>877</v>
      </c>
    </row>
    <row r="14" spans="1:21" x14ac:dyDescent="0.3">
      <c r="B14" t="s">
        <v>521</v>
      </c>
    </row>
    <row r="15" spans="1:21" x14ac:dyDescent="0.3">
      <c r="B15" t="s">
        <v>1103</v>
      </c>
    </row>
    <row r="16" spans="1:21" x14ac:dyDescent="0.3">
      <c r="B16" t="s">
        <v>457</v>
      </c>
    </row>
    <row r="17" spans="2:2" x14ac:dyDescent="0.3">
      <c r="B17" t="s">
        <v>458</v>
      </c>
    </row>
    <row r="18" spans="2:2" x14ac:dyDescent="0.3">
      <c r="B18" t="s">
        <v>459</v>
      </c>
    </row>
    <row r="19" spans="2:2" x14ac:dyDescent="0.3">
      <c r="B19" t="s">
        <v>460</v>
      </c>
    </row>
    <row r="20" spans="2:2" x14ac:dyDescent="0.3">
      <c r="B20" t="s">
        <v>524</v>
      </c>
    </row>
    <row r="21" spans="2:2" x14ac:dyDescent="0.3">
      <c r="B21" t="s">
        <v>527</v>
      </c>
    </row>
    <row r="22" spans="2:2" x14ac:dyDescent="0.3">
      <c r="B22" t="s">
        <v>461</v>
      </c>
    </row>
    <row r="23" spans="2:2" x14ac:dyDescent="0.3">
      <c r="B23" t="s">
        <v>462</v>
      </c>
    </row>
    <row r="24" spans="2:2" x14ac:dyDescent="0.3">
      <c r="B24" t="s">
        <v>463</v>
      </c>
    </row>
    <row r="25" spans="2:2" x14ac:dyDescent="0.3">
      <c r="B25" t="s">
        <v>464</v>
      </c>
    </row>
    <row r="26" spans="2:2" x14ac:dyDescent="0.3">
      <c r="B26" t="s">
        <v>465</v>
      </c>
    </row>
    <row r="27" spans="2:2" x14ac:dyDescent="0.3">
      <c r="B27" t="s">
        <v>466</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A514E-12F3-428D-8D6C-3146B2BBB8B6}">
  <sheetPr codeName="Sheet6"/>
  <dimension ref="A1:AL1500"/>
  <sheetViews>
    <sheetView workbookViewId="0">
      <selection activeCell="Y3" sqref="Y3"/>
    </sheetView>
  </sheetViews>
  <sheetFormatPr defaultRowHeight="14.4" x14ac:dyDescent="0.3"/>
  <cols>
    <col min="1" max="1" width="27.6640625" customWidth="1"/>
    <col min="2" max="2" width="31.33203125" customWidth="1"/>
    <col min="4" max="4" width="10" style="322" customWidth="1"/>
    <col min="5" max="5" width="10.88671875" style="322" customWidth="1"/>
    <col min="6" max="6" width="12.109375" style="322" customWidth="1"/>
    <col min="7" max="7" width="10.88671875" style="322" customWidth="1"/>
    <col min="8" max="8" width="12.6640625" style="322" customWidth="1"/>
    <col min="9" max="9" width="20.5546875" customWidth="1"/>
    <col min="10" max="10" width="10.33203125" style="322" bestFit="1" customWidth="1"/>
    <col min="12" max="12" width="10.33203125" style="322" bestFit="1" customWidth="1"/>
    <col min="15" max="15" width="12.33203125" style="322" bestFit="1" customWidth="1"/>
    <col min="16" max="18" width="8.88671875" style="322"/>
    <col min="19" max="19" width="14.6640625" customWidth="1"/>
    <col min="20" max="23" width="8.88671875" style="322" customWidth="1"/>
    <col min="24" max="24" width="9.33203125" style="322" bestFit="1" customWidth="1"/>
    <col min="25" max="25" width="16.33203125" customWidth="1"/>
    <col min="26" max="26" width="19.88671875" style="322" bestFit="1" customWidth="1"/>
    <col min="27" max="27" width="18.44140625" style="322" customWidth="1"/>
    <col min="28" max="28" width="10.33203125" style="322" bestFit="1" customWidth="1"/>
    <col min="29" max="29" width="11.6640625" style="322" bestFit="1" customWidth="1"/>
    <col min="30" max="32" width="11.5546875" style="322" customWidth="1"/>
    <col min="33" max="33" width="15" style="322" customWidth="1"/>
    <col min="34" max="35" width="11.33203125" style="322" customWidth="1"/>
    <col min="37" max="37" width="9" style="4" bestFit="1" customWidth="1"/>
    <col min="38" max="38" width="12.6640625" style="322" bestFit="1" customWidth="1"/>
  </cols>
  <sheetData>
    <row r="1" spans="1:38" ht="79.2" x14ac:dyDescent="0.3">
      <c r="A1" t="s">
        <v>532</v>
      </c>
      <c r="B1" t="s">
        <v>429</v>
      </c>
      <c r="C1" t="s">
        <v>64</v>
      </c>
      <c r="D1" s="322" t="s">
        <v>430</v>
      </c>
      <c r="E1" s="322" t="s">
        <v>431</v>
      </c>
      <c r="F1" s="322" t="s">
        <v>432</v>
      </c>
      <c r="G1" s="322" t="s">
        <v>67</v>
      </c>
      <c r="H1" s="322" t="s">
        <v>433</v>
      </c>
      <c r="I1" t="s">
        <v>488</v>
      </c>
      <c r="J1" s="322" t="s">
        <v>434</v>
      </c>
      <c r="K1" t="s">
        <v>1119</v>
      </c>
      <c r="L1" s="322" t="s">
        <v>435</v>
      </c>
      <c r="M1" t="s">
        <v>436</v>
      </c>
      <c r="N1" t="s">
        <v>503</v>
      </c>
      <c r="O1" s="322" t="s">
        <v>437</v>
      </c>
      <c r="P1" s="322" t="s">
        <v>438</v>
      </c>
      <c r="Q1" s="322" t="s">
        <v>439</v>
      </c>
      <c r="R1" s="322" t="s">
        <v>440</v>
      </c>
      <c r="S1" t="s">
        <v>489</v>
      </c>
      <c r="T1" s="322" t="s">
        <v>490</v>
      </c>
      <c r="U1" s="322" t="s">
        <v>491</v>
      </c>
      <c r="V1" s="322" t="s">
        <v>492</v>
      </c>
      <c r="W1" s="322" t="s">
        <v>493</v>
      </c>
      <c r="X1" s="322" t="s">
        <v>494</v>
      </c>
      <c r="Y1" t="s">
        <v>497</v>
      </c>
      <c r="Z1" s="322" t="s">
        <v>495</v>
      </c>
      <c r="AA1" s="322" t="s">
        <v>496</v>
      </c>
      <c r="AB1" s="322" t="s">
        <v>498</v>
      </c>
      <c r="AC1" s="322" t="s">
        <v>499</v>
      </c>
      <c r="AD1" s="322" t="s">
        <v>500</v>
      </c>
      <c r="AE1" s="322" t="s">
        <v>501</v>
      </c>
      <c r="AF1" s="322" t="s">
        <v>1094</v>
      </c>
      <c r="AG1" s="322" t="s">
        <v>444</v>
      </c>
      <c r="AH1" s="322" t="s">
        <v>445</v>
      </c>
      <c r="AI1" s="322" t="s">
        <v>1259</v>
      </c>
      <c r="AJ1" s="314" t="s">
        <v>574</v>
      </c>
      <c r="AK1" s="324" t="s">
        <v>115</v>
      </c>
      <c r="AL1" s="323" t="s">
        <v>575</v>
      </c>
    </row>
    <row r="2" spans="1:38" x14ac:dyDescent="0.3">
      <c r="A2" s="6">
        <f>IFERROR(MaterialsBoQ[[#This Row],[Scope Element]],0)</f>
        <v>0</v>
      </c>
      <c r="B2" t="str">
        <f>IFERROR(MaterialsBoQ[[#This Row],[Material ]],"")</f>
        <v/>
      </c>
      <c r="C2" t="str">
        <f>IFERROR(MaterialsBoQ[[#This Row],[Unit]],"")</f>
        <v/>
      </c>
      <c r="D2" s="322">
        <f>IFERROR(MaterialsBoQ[[#This Row],[Number]],0)</f>
        <v>0</v>
      </c>
      <c r="E2" s="322">
        <f>IFERROR(MaterialsBoQ[[#This Row],[Kg per unit]],0)</f>
        <v>0</v>
      </c>
      <c r="F2" s="322">
        <f>IFERROR(Calculations[[#This Row],[Number]]*Calculations[[#This Row],[Conversion factor]],0)</f>
        <v>0</v>
      </c>
      <c r="G2" s="322">
        <f>IFERROR(VLOOKUP(Calculations[[#This Row],[Material (choose from dropdown]],MaterialData[#All],7,FALSE),0)</f>
        <v>0</v>
      </c>
      <c r="H2" s="322">
        <f>Calculations[[#This Row],[Total Kg]]*Calculations[[#This Row],[Carbon Factor]]</f>
        <v>0</v>
      </c>
      <c r="I2" t="str">
        <f>IFERROR(VLOOKUP(Calculations[[#This Row],[Material (choose from dropdown]],MaterialData[#All],2,FALSE),"")</f>
        <v/>
      </c>
      <c r="J2" s="322">
        <f>IFERROR(((VLOOKUP(Calculations[[#This Row],[TransportSource]],TransportDistance[],2,FALSE)*'Stage assumptions'!$C$11)+VLOOKUP(Calculations[[#This Row],[TransportSource]],TransportDistance[],3,FALSE)*'Stage assumptions'!$C$12)*Calculations[[#This Row],[Total Kg]],0)</f>
        <v>0</v>
      </c>
      <c r="K2">
        <f>IFERROR(VLOOKUP(Calculations[[#This Row],[Material (choose from dropdown]], MaterialData[#All],3, FALSE),0)</f>
        <v>0</v>
      </c>
      <c r="L2" s="322">
        <f>IFERROR(VLOOKUP(Calculations[[#This Row],[A5type]],A5WastageRate[#All],2,FALSE)*Calculations[[#This Row],[A1-3]],0)</f>
        <v>0</v>
      </c>
      <c r="N2">
        <f>IFERROR(ROUNDUP(50/VLOOKUP(Calculations[[#This Row],[Scope Element]],B4referenceServiceLife[[Tier 2 element]:[Default Service Life]],2, FALSE)-1,0),0)</f>
        <v>0</v>
      </c>
      <c r="O2" s="322">
        <f>IFERROR((Calculations[[#This Row],[A1-3]]+Calculations[[#This Row],[A4]]+Calculations[[#This Row],[A5]]+Calculations[[#This Row],[C2 total]]+Calculations[[#This Row],[C3 total]]+Calculations[[#This Row],[C4 total]])*Calculations[[#This Row],[Replacements]],0)</f>
        <v>0</v>
      </c>
      <c r="S2" s="319" t="str">
        <f>IFERROR(VLOOKUP(Calculations[[#This Row],[Material (choose from dropdown]],MaterialData[#All],4,FALSE),"")</f>
        <v/>
      </c>
      <c r="T2" s="327" cm="1">
        <f t="array" ref="T2">IFERROR(VLOOKUP(Calculations[[#This Row],[Waste 1]],WasteScenario[#All],2,FALSE)*'Stage assumptions'!$C$225*WasteTransportMethod[Emissions Factor
kgCO2e/kg.km]*Calculations[[#This Row],[Total Kg]],0)</f>
        <v>0</v>
      </c>
      <c r="U2" s="327" cm="1">
        <f t="array" ref="U2">IFERROR(VLOOKUP(Calculations[[#This Row],[Waste 1]],WasteScenario[#All],3,FALSE)*'Stage assumptions'!$C$224*WasteTransportMethod[Emissions Factor
kgCO2e/kg.km]*Calculations[[#This Row],[Total Kg]],0)</f>
        <v>0</v>
      </c>
      <c r="V2" s="327" cm="1">
        <f t="array" ref="V2">IFERROR(VLOOKUP(Calculations[[#This Row],[Waste 1]],WasteScenario[#All],4,FALSE)*'Stage assumptions'!$C$223*WasteTransportMethod[Emissions Factor
kgCO2e/kg.km]*Calculations[[#This Row],[Total Kg]],0)</f>
        <v>0</v>
      </c>
      <c r="W2" s="327" cm="1">
        <f t="array" ref="W2">IFERROR(VLOOKUP(Calculations[[#This Row],[Waste 1]],WasteScenario[#All],5,FALSE)*'Stage assumptions'!$C$226*WasteTransportMethod[Emissions Factor
kgCO2e/kg.km]*Calculations[[#This Row],[Total Kg]],0)</f>
        <v>0</v>
      </c>
      <c r="X2" s="326">
        <f>SUM(Calculations[[#This Row],[C2 Recycle]:[C2 Reuse]])</f>
        <v>0</v>
      </c>
      <c r="Y2" s="319" t="str">
        <f>IFERROR(VLOOKUP(Calculations[[#This Row],[Material (choose from dropdown]],MaterialData[#All],5,FALSE),"")</f>
        <v/>
      </c>
      <c r="Z2" s="326">
        <f>IFERROR(((VLOOKUP(Calculations[[#This Row],[Waste type 2]],WasteDisposalEmissions[#All],2,FALSE))*Calculations[[#This Row],[Total Kg]])*VLOOKUP(Calculations[[#This Row],[Waste 1]],WasteScenario[#All],2,FALSE),0)</f>
        <v>0</v>
      </c>
      <c r="AA2" s="330">
        <f>IFERROR((VLOOKUP(Calculations[[#This Row],[Waste type 2]],WasteDisposalEmissions[#All],3,FALSE))*Calculations[[#This Row],[Total Kg]]*VLOOKUP(Calculations[[#This Row],[Waste 1]],WasteScenario[#All],3,FALSE),0)</f>
        <v>0</v>
      </c>
      <c r="AB2" s="326">
        <f>SUM(Calculations[[#This Row],[C3 recyc]:[C3 incin]])</f>
        <v>0</v>
      </c>
      <c r="AC2" s="329">
        <f>IFERROR((VLOOKUP(Calculations[[#This Row],[Waste type 2]],WasteLandfillEmissions[#All],2,FALSE))*Calculations[[#This Row],[Total Kg]]*VLOOKUP(Calculations[[#This Row],[Waste 1]],WasteScenario[#All],4,FALSE),0)</f>
        <v>0</v>
      </c>
      <c r="AD2" s="326">
        <f>IFERROR((VLOOKUP(Calculations[[#This Row],[Waste type 2]],WasteLandfillEmissions[#All],3,FALSE))*Calculations[[#This Row],[Total Kg]]*VLOOKUP(Calculations[[#This Row],[Waste 1]],WasteScenario[#All],4,FALSE),0)</f>
        <v>0</v>
      </c>
      <c r="AE2" s="326">
        <f>SUM(Calculations[[#This Row],[C4 landfill]:[C4 re-use]])</f>
        <v>0</v>
      </c>
      <c r="AF2" s="322">
        <f>IFERROR(VLOOKUP(Calculations[[#This Row],[Material (choose from dropdown]],MaterialData[#All],8,FALSE),0)</f>
        <v>0</v>
      </c>
      <c r="AG2" s="322">
        <f>IFERROR(Calculations[[#This Row],[Total Kg]]*Calculations[[#This Row],[Seq factor]],0)</f>
        <v>0</v>
      </c>
      <c r="AI2" s="322">
        <f>Calculations[[#This Row],[A1-3]]+Calculations[[#This Row],[A4]]+Calculations[[#This Row],[A5]]+Calculations[[#This Row],[B4]]+Calculations[[#This Row],[C2 total]]+Calculations[[#This Row],[C3 total]]+Calculations[[#This Row],[C4 total]]</f>
        <v>0</v>
      </c>
      <c r="AJ2" s="328">
        <f>IFERROR(VLOOKUP(Calculations[[#This Row],[Material (choose from dropdown]],MaterialData[[#Headers],[#Data]],9,FALSE),0)</f>
        <v>0</v>
      </c>
      <c r="AK2" s="4">
        <f>IFERROR(VLOOKUP(Calculations[[#This Row],[Material (choose from dropdown]],MaterialData[[#Headers],[#Data]],10,FALSE),0)</f>
        <v>0</v>
      </c>
      <c r="AL2" s="322">
        <f>IFERROR(Calculations[[#This Row],[Data Quality Score]]*Calculations[[#This Row],[Total Kg]],0)</f>
        <v>0</v>
      </c>
    </row>
    <row r="3" spans="1:38" x14ac:dyDescent="0.3">
      <c r="A3" s="6" t="str">
        <f>IFERROR(MaterialsBoQ[[#This Row],[Scope Element]],0)</f>
        <v>Piles</v>
      </c>
      <c r="B3" t="str">
        <f>IFERROR(MaterialsBoQ[[#This Row],[Material ]],"")</f>
        <v>Concrete - Precast - Hollowcore concrete flooring, 150mm, prestressed steel reinforced with world average steel</v>
      </c>
      <c r="C3" t="str">
        <f>IFERROR(MaterialsBoQ[[#This Row],[Unit]],"")</f>
        <v>m3</v>
      </c>
      <c r="D3" s="322">
        <f>IFERROR(MaterialsBoQ[[#This Row],[Number]],0)</f>
        <v>1</v>
      </c>
      <c r="E3" s="322">
        <f>IFERROR(MaterialsBoQ[[#This Row],[Kg per unit]],0)</f>
        <v>2400</v>
      </c>
      <c r="F3" s="322">
        <f>IFERROR(Calculations[[#This Row],[Number]]*Calculations[[#This Row],[Conversion factor]],0)</f>
        <v>2400</v>
      </c>
      <c r="G3" s="322">
        <f>IFERROR(VLOOKUP(Calculations[[#This Row],[Material (choose from dropdown]],MaterialData[#All],7,FALSE),0)</f>
        <v>0</v>
      </c>
      <c r="H3" s="322">
        <f>Calculations[[#This Row],[Total Kg]]*Calculations[[#This Row],[Carbon Factor]]</f>
        <v>0</v>
      </c>
      <c r="I3" t="str">
        <f>IFERROR(VLOOKUP(Calculations[[#This Row],[Material (choose from dropdown]],MaterialData[#All],2,FALSE),"")</f>
        <v/>
      </c>
      <c r="J3" s="322">
        <f>IFERROR(((VLOOKUP(Calculations[[#This Row],[TransportSource]],TransportDistance[],2,FALSE)*'Stage assumptions'!$C$11)+VLOOKUP(Calculations[[#This Row],[TransportSource]],TransportDistance[],3,FALSE)*'Stage assumptions'!$C$12)*Calculations[[#This Row],[Total Kg]],0)</f>
        <v>0</v>
      </c>
      <c r="K3">
        <f>IFERROR(VLOOKUP(Calculations[[#This Row],[Material (choose from dropdown]], MaterialData[#All],3, FALSE),0)</f>
        <v>0</v>
      </c>
      <c r="L3" s="322">
        <f>IFERROR(VLOOKUP(Calculations[[#This Row],[A5type]],A5WastageRate[#All],2,FALSE)*Calculations[[#This Row],[A1-3]],0)</f>
        <v>0</v>
      </c>
      <c r="N3">
        <f>IFERROR(ROUNDUP(50/VLOOKUP(Calculations[[#This Row],[Scope Element]],B4referenceServiceLife[[Tier 2 element]:[Default Service Life]],2, FALSE)-1,0),0)</f>
        <v>0</v>
      </c>
      <c r="O3" s="322">
        <f>IFERROR((Calculations[[#This Row],[A1-3]]+Calculations[[#This Row],[A4]]+Calculations[[#This Row],[A5]]+Calculations[[#This Row],[C2 total]]+Calculations[[#This Row],[C3 total]]+Calculations[[#This Row],[C4 total]])*Calculations[[#This Row],[Replacements]],0)</f>
        <v>0</v>
      </c>
      <c r="S3" t="str">
        <f>IFERROR(VLOOKUP(Calculations[[#This Row],[Material (choose from dropdown]],MaterialData[#All],4,FALSE),"")</f>
        <v/>
      </c>
      <c r="T3" s="322" cm="1">
        <f t="array" ref="T3">IFERROR(VLOOKUP(Calculations[[#This Row],[Waste 1]],WasteScenario[#All],2,FALSE)*'Stage assumptions'!$C$225*WasteTransportMethod[Emissions Factor
kgCO2e/kg.km]*Calculations[[#This Row],[Total Kg]],0)</f>
        <v>0</v>
      </c>
      <c r="U3" s="322" cm="1">
        <f t="array" ref="U3">IFERROR(VLOOKUP(Calculations[[#This Row],[Waste 1]],WasteScenario[#All],3,FALSE)*'Stage assumptions'!$C$224*WasteTransportMethod[Emissions Factor
kgCO2e/kg.km]*Calculations[[#This Row],[Total Kg]],0)</f>
        <v>0</v>
      </c>
      <c r="V3" s="322" cm="1">
        <f t="array" ref="V3">IFERROR(VLOOKUP(Calculations[[#This Row],[Waste 1]],WasteScenario[#All],4,FALSE)*'Stage assumptions'!$C$223*WasteTransportMethod[Emissions Factor
kgCO2e/kg.km]*Calculations[[#This Row],[Total Kg]],0)</f>
        <v>0</v>
      </c>
      <c r="W3" s="322" cm="1">
        <f t="array" ref="W3">IFERROR(VLOOKUP(Calculations[[#This Row],[Waste 1]],WasteScenario[#All],5,FALSE)*'Stage assumptions'!$C$226*WasteTransportMethod[Emissions Factor
kgCO2e/kg.km]*Calculations[[#This Row],[Total Kg]],0)</f>
        <v>0</v>
      </c>
      <c r="X3" s="322">
        <f>SUM(Calculations[[#This Row],[C2 Recycle]:[C2 Reuse]])</f>
        <v>0</v>
      </c>
      <c r="Y3" t="str">
        <f>IFERROR(VLOOKUP(Calculations[[#This Row],[Material (choose from dropdown]],MaterialData[#All],5,FALSE),"")</f>
        <v/>
      </c>
      <c r="Z3" s="322">
        <f>IFERROR(((VLOOKUP(Calculations[[#This Row],[Waste type 2]],WasteDisposalEmissions[#All],2,FALSE))*Calculations[[#This Row],[Total Kg]])*VLOOKUP(Calculations[[#This Row],[Waste 1]],WasteScenario[#All],2,FALSE),0)</f>
        <v>0</v>
      </c>
      <c r="AA3" s="322">
        <f>IFERROR((VLOOKUP(Calculations[[#This Row],[Waste type 2]],WasteDisposalEmissions[#All],3,FALSE))*Calculations[[#This Row],[Total Kg]]*VLOOKUP(Calculations[[#This Row],[Waste 1]],WasteScenario[#All],3,FALSE),0)</f>
        <v>0</v>
      </c>
      <c r="AB3" s="322">
        <f>SUM(Calculations[[#This Row],[C3 recyc]:[C3 incin]])</f>
        <v>0</v>
      </c>
      <c r="AC3" s="322">
        <f>IFERROR((VLOOKUP(Calculations[[#This Row],[Waste type 2]],WasteLandfillEmissions[#All],2,FALSE))*Calculations[[#This Row],[Total Kg]]*VLOOKUP(Calculations[[#This Row],[Waste 1]],WasteScenario[#All],4,FALSE),0)</f>
        <v>0</v>
      </c>
      <c r="AD3" s="322">
        <f>IFERROR((VLOOKUP(Calculations[[#This Row],[Waste type 2]],WasteLandfillEmissions[#All],3,FALSE))*Calculations[[#This Row],[Total Kg]]*VLOOKUP(Calculations[[#This Row],[Waste 1]],WasteScenario[#All],4,FALSE),0)</f>
        <v>0</v>
      </c>
      <c r="AE3" s="322">
        <f>SUM(Calculations[[#This Row],[C4 landfill]:[C4 re-use]])</f>
        <v>0</v>
      </c>
      <c r="AF3" s="322">
        <f>IFERROR(VLOOKUP(Calculations[[#This Row],[Material (choose from dropdown]],MaterialData[#All],8,FALSE),0)</f>
        <v>0</v>
      </c>
      <c r="AG3" s="322">
        <f>IFERROR(Calculations[[#This Row],[Total Kg]]*Calculations[[#This Row],[Seq factor]],0)</f>
        <v>0</v>
      </c>
      <c r="AI3" s="322">
        <f>Calculations[[#This Row],[A1-3]]+Calculations[[#This Row],[A4]]+Calculations[[#This Row],[A5]]+Calculations[[#This Row],[B4]]+Calculations[[#This Row],[C2 total]]+Calculations[[#This Row],[C3 total]]+Calculations[[#This Row],[C4 total]]</f>
        <v>0</v>
      </c>
      <c r="AJ3" s="2">
        <f>IFERROR(VLOOKUP(Calculations[[#This Row],[Material (choose from dropdown]],MaterialData[[#Headers],[#Data]],9,FALSE),0)</f>
        <v>0</v>
      </c>
      <c r="AK3" s="4">
        <f>IFERROR(VLOOKUP(Calculations[[#This Row],[Material (choose from dropdown]],MaterialData[[#Headers],[#Data]],10,FALSE),0)</f>
        <v>0</v>
      </c>
      <c r="AL3" s="322">
        <f>IFERROR(Calculations[[#This Row],[Data Quality Score]]*Calculations[[#This Row],[Total Kg]],0)</f>
        <v>0</v>
      </c>
    </row>
    <row r="4" spans="1:38" x14ac:dyDescent="0.3">
      <c r="A4" s="6">
        <f>IFERROR(MaterialsBoQ[[#This Row],[Scope Element]],0)</f>
        <v>0</v>
      </c>
      <c r="B4">
        <f>IFERROR(MaterialsBoQ[[#This Row],[Material ]],"")</f>
        <v>0</v>
      </c>
      <c r="C4">
        <f>IFERROR(MaterialsBoQ[[#This Row],[Unit]],"")</f>
        <v>0</v>
      </c>
      <c r="D4" s="322">
        <f>IFERROR(MaterialsBoQ[[#This Row],[Number]],0)</f>
        <v>0</v>
      </c>
      <c r="E4" s="322">
        <f>IFERROR(MaterialsBoQ[[#This Row],[Kg per unit]],0)</f>
        <v>0</v>
      </c>
      <c r="F4" s="322">
        <f>IFERROR(Calculations[[#This Row],[Number]]*Calculations[[#This Row],[Conversion factor]],0)</f>
        <v>0</v>
      </c>
      <c r="G4" s="322">
        <f>IFERROR(VLOOKUP(Calculations[[#This Row],[Material (choose from dropdown]],MaterialData[#All],7,FALSE),0)</f>
        <v>0</v>
      </c>
      <c r="H4" s="322">
        <f>Calculations[[#This Row],[Total Kg]]*Calculations[[#This Row],[Carbon Factor]]</f>
        <v>0</v>
      </c>
      <c r="I4" t="str">
        <f>IFERROR(VLOOKUP(Calculations[[#This Row],[Material (choose from dropdown]],MaterialData[#All],2,FALSE),"")</f>
        <v/>
      </c>
      <c r="J4" s="322">
        <f>IFERROR(((VLOOKUP(Calculations[[#This Row],[TransportSource]],TransportDistance[],2,FALSE)*'Stage assumptions'!$C$11)+VLOOKUP(Calculations[[#This Row],[TransportSource]],TransportDistance[],3,FALSE)*'Stage assumptions'!$C$12)*Calculations[[#This Row],[Total Kg]],0)</f>
        <v>0</v>
      </c>
      <c r="K4">
        <f>IFERROR(VLOOKUP(Calculations[[#This Row],[Material (choose from dropdown]], MaterialData[#All],3, FALSE),0)</f>
        <v>0</v>
      </c>
      <c r="L4" s="322">
        <f>IFERROR(VLOOKUP(Calculations[[#This Row],[A5type]],A5WastageRate[#All],2,FALSE)*Calculations[[#This Row],[A1-3]],0)</f>
        <v>0</v>
      </c>
      <c r="N4">
        <f>IFERROR(ROUNDUP(50/VLOOKUP(Calculations[[#This Row],[Scope Element]],B4referenceServiceLife[[Tier 2 element]:[Default Service Life]],2, FALSE)-1,0),0)</f>
        <v>0</v>
      </c>
      <c r="O4" s="322">
        <f>IFERROR((Calculations[[#This Row],[A1-3]]+Calculations[[#This Row],[A4]]+Calculations[[#This Row],[A5]]+Calculations[[#This Row],[C2 total]]+Calculations[[#This Row],[C3 total]]+Calculations[[#This Row],[C4 total]])*Calculations[[#This Row],[Replacements]],0)</f>
        <v>0</v>
      </c>
      <c r="S4" t="str">
        <f>IFERROR(VLOOKUP(Calculations[[#This Row],[Material (choose from dropdown]],MaterialData[#All],4,FALSE),"")</f>
        <v/>
      </c>
      <c r="T4" s="322" cm="1">
        <f t="array" ref="T4">IFERROR(VLOOKUP(Calculations[[#This Row],[Waste 1]],WasteScenario[#All],2,FALSE)*'Stage assumptions'!$C$225*WasteTransportMethod[Emissions Factor
kgCO2e/kg.km]*Calculations[[#This Row],[Total Kg]],0)</f>
        <v>0</v>
      </c>
      <c r="U4" s="322" cm="1">
        <f t="array" ref="U4">IFERROR(VLOOKUP(Calculations[[#This Row],[Waste 1]],WasteScenario[#All],3,FALSE)*'Stage assumptions'!$C$224*WasteTransportMethod[Emissions Factor
kgCO2e/kg.km]*Calculations[[#This Row],[Total Kg]],0)</f>
        <v>0</v>
      </c>
      <c r="V4" s="322" cm="1">
        <f t="array" ref="V4">IFERROR(VLOOKUP(Calculations[[#This Row],[Waste 1]],WasteScenario[#All],4,FALSE)*'Stage assumptions'!$C$223*WasteTransportMethod[Emissions Factor
kgCO2e/kg.km]*Calculations[[#This Row],[Total Kg]],0)</f>
        <v>0</v>
      </c>
      <c r="W4" s="322" cm="1">
        <f t="array" ref="W4">IFERROR(VLOOKUP(Calculations[[#This Row],[Waste 1]],WasteScenario[#All],5,FALSE)*'Stage assumptions'!$C$226*WasteTransportMethod[Emissions Factor
kgCO2e/kg.km]*Calculations[[#This Row],[Total Kg]],0)</f>
        <v>0</v>
      </c>
      <c r="X4" s="322">
        <f>SUM(Calculations[[#This Row],[C2 Recycle]:[C2 Reuse]])</f>
        <v>0</v>
      </c>
      <c r="Y4" t="str">
        <f>IFERROR(VLOOKUP(Calculations[[#This Row],[Material (choose from dropdown]],MaterialData[#All],5,FALSE),"")</f>
        <v/>
      </c>
      <c r="Z4" s="322">
        <f>IFERROR(((VLOOKUP(Calculations[[#This Row],[Waste type 2]],WasteDisposalEmissions[#All],2,FALSE))*Calculations[[#This Row],[Total Kg]])*VLOOKUP(Calculations[[#This Row],[Waste 1]],WasteScenario[#All],2,FALSE),0)</f>
        <v>0</v>
      </c>
      <c r="AA4" s="322">
        <f>IFERROR((VLOOKUP(Calculations[[#This Row],[Waste type 2]],WasteDisposalEmissions[#All],3,FALSE))*Calculations[[#This Row],[Total Kg]]*VLOOKUP(Calculations[[#This Row],[Waste 1]],WasteScenario[#All],3,FALSE),0)</f>
        <v>0</v>
      </c>
      <c r="AB4" s="322">
        <f>SUM(Calculations[[#This Row],[C3 recyc]:[C3 incin]])</f>
        <v>0</v>
      </c>
      <c r="AC4" s="322">
        <f>IFERROR((VLOOKUP(Calculations[[#This Row],[Waste type 2]],WasteLandfillEmissions[#All],2,FALSE))*Calculations[[#This Row],[Total Kg]]*VLOOKUP(Calculations[[#This Row],[Waste 1]],WasteScenario[#All],4,FALSE),0)</f>
        <v>0</v>
      </c>
      <c r="AD4" s="322">
        <f>IFERROR((VLOOKUP(Calculations[[#This Row],[Waste type 2]],WasteLandfillEmissions[#All],3,FALSE))*Calculations[[#This Row],[Total Kg]]*VLOOKUP(Calculations[[#This Row],[Waste 1]],WasteScenario[#All],4,FALSE),0)</f>
        <v>0</v>
      </c>
      <c r="AE4" s="322">
        <f>SUM(Calculations[[#This Row],[C4 landfill]:[C4 re-use]])</f>
        <v>0</v>
      </c>
      <c r="AF4" s="322">
        <f>IFERROR(VLOOKUP(Calculations[[#This Row],[Material (choose from dropdown]],MaterialData[#All],8,FALSE),0)</f>
        <v>0</v>
      </c>
      <c r="AG4" s="322">
        <f>IFERROR(Calculations[[#This Row],[Total Kg]]*Calculations[[#This Row],[Seq factor]],0)</f>
        <v>0</v>
      </c>
      <c r="AI4" s="322">
        <f>Calculations[[#This Row],[A1-3]]+Calculations[[#This Row],[A4]]+Calculations[[#This Row],[A5]]+Calculations[[#This Row],[B4]]+Calculations[[#This Row],[C2 total]]+Calculations[[#This Row],[C3 total]]+Calculations[[#This Row],[C4 total]]</f>
        <v>0</v>
      </c>
      <c r="AJ4" s="2">
        <f>IFERROR(VLOOKUP(Calculations[[#This Row],[Material (choose from dropdown]],MaterialData[[#Headers],[#Data]],9,FALSE),0)</f>
        <v>0</v>
      </c>
      <c r="AK4" s="4">
        <f>IFERROR(VLOOKUP(Calculations[[#This Row],[Material (choose from dropdown]],MaterialData[[#Headers],[#Data]],10,FALSE),0)</f>
        <v>0</v>
      </c>
      <c r="AL4" s="322">
        <f>IFERROR(Calculations[[#This Row],[Data Quality Score]]*Calculations[[#This Row],[Total Kg]],0)</f>
        <v>0</v>
      </c>
    </row>
    <row r="5" spans="1:38" x14ac:dyDescent="0.3">
      <c r="A5" s="6">
        <f>IFERROR(MaterialsBoQ[[#This Row],[Scope Element]],0)</f>
        <v>0</v>
      </c>
      <c r="B5">
        <f>IFERROR(MaterialsBoQ[[#This Row],[Material ]],"")</f>
        <v>0</v>
      </c>
      <c r="C5">
        <f>IFERROR(MaterialsBoQ[[#This Row],[Unit]],"")</f>
        <v>0</v>
      </c>
      <c r="D5" s="322">
        <f>IFERROR(MaterialsBoQ[[#This Row],[Number]],0)</f>
        <v>0</v>
      </c>
      <c r="E5" s="322">
        <f>IFERROR(MaterialsBoQ[[#This Row],[Kg per unit]],0)</f>
        <v>0</v>
      </c>
      <c r="F5" s="322">
        <f>IFERROR(Calculations[[#This Row],[Number]]*Calculations[[#This Row],[Conversion factor]],0)</f>
        <v>0</v>
      </c>
      <c r="G5" s="322">
        <f>IFERROR(VLOOKUP(Calculations[[#This Row],[Material (choose from dropdown]],MaterialData[#All],7,FALSE),0)</f>
        <v>0</v>
      </c>
      <c r="H5" s="322">
        <f>Calculations[[#This Row],[Total Kg]]*Calculations[[#This Row],[Carbon Factor]]</f>
        <v>0</v>
      </c>
      <c r="I5" t="str">
        <f>IFERROR(VLOOKUP(Calculations[[#This Row],[Material (choose from dropdown]],MaterialData[#All],2,FALSE),"")</f>
        <v/>
      </c>
      <c r="J5" s="322">
        <f>IFERROR(((VLOOKUP(Calculations[[#This Row],[TransportSource]],TransportDistance[],2,FALSE)*'Stage assumptions'!$C$11)+VLOOKUP(Calculations[[#This Row],[TransportSource]],TransportDistance[],3,FALSE)*'Stage assumptions'!$C$12)*Calculations[[#This Row],[Total Kg]],0)</f>
        <v>0</v>
      </c>
      <c r="K5">
        <f>IFERROR(VLOOKUP(Calculations[[#This Row],[Material (choose from dropdown]], MaterialData[#All],3, FALSE),0)</f>
        <v>0</v>
      </c>
      <c r="L5" s="322">
        <f>IFERROR(VLOOKUP(Calculations[[#This Row],[A5type]],A5WastageRate[#All],2,FALSE)*Calculations[[#This Row],[A1-3]],0)</f>
        <v>0</v>
      </c>
      <c r="N5">
        <f>IFERROR(ROUNDUP(50/VLOOKUP(Calculations[[#This Row],[Scope Element]],B4referenceServiceLife[[Tier 2 element]:[Default Service Life]],2, FALSE)-1,0),0)</f>
        <v>0</v>
      </c>
      <c r="O5" s="322">
        <f>IFERROR((Calculations[[#This Row],[A1-3]]+Calculations[[#This Row],[A4]]+Calculations[[#This Row],[A5]]+Calculations[[#This Row],[C2 total]]+Calculations[[#This Row],[C3 total]]+Calculations[[#This Row],[C4 total]])*Calculations[[#This Row],[Replacements]],0)</f>
        <v>0</v>
      </c>
      <c r="S5" t="str">
        <f>IFERROR(VLOOKUP(Calculations[[#This Row],[Material (choose from dropdown]],MaterialData[#All],4,FALSE),"")</f>
        <v/>
      </c>
      <c r="T5" s="322" cm="1">
        <f t="array" ref="T5">IFERROR(VLOOKUP(Calculations[[#This Row],[Waste 1]],WasteScenario[#All],2,FALSE)*'Stage assumptions'!$C$225*WasteTransportMethod[Emissions Factor
kgCO2e/kg.km]*Calculations[[#This Row],[Total Kg]],0)</f>
        <v>0</v>
      </c>
      <c r="U5" s="322" cm="1">
        <f t="array" ref="U5">IFERROR(VLOOKUP(Calculations[[#This Row],[Waste 1]],WasteScenario[#All],3,FALSE)*'Stage assumptions'!$C$224*WasteTransportMethod[Emissions Factor
kgCO2e/kg.km]*Calculations[[#This Row],[Total Kg]],0)</f>
        <v>0</v>
      </c>
      <c r="V5" s="322" cm="1">
        <f t="array" ref="V5">IFERROR(VLOOKUP(Calculations[[#This Row],[Waste 1]],WasteScenario[#All],4,FALSE)*'Stage assumptions'!$C$223*WasteTransportMethod[Emissions Factor
kgCO2e/kg.km]*Calculations[[#This Row],[Total Kg]],0)</f>
        <v>0</v>
      </c>
      <c r="W5" s="322" cm="1">
        <f t="array" ref="W5">IFERROR(VLOOKUP(Calculations[[#This Row],[Waste 1]],WasteScenario[#All],5,FALSE)*'Stage assumptions'!$C$226*WasteTransportMethod[Emissions Factor
kgCO2e/kg.km]*Calculations[[#This Row],[Total Kg]],0)</f>
        <v>0</v>
      </c>
      <c r="X5" s="322">
        <f>SUM(Calculations[[#This Row],[C2 Recycle]:[C2 Reuse]])</f>
        <v>0</v>
      </c>
      <c r="Y5" t="str">
        <f>IFERROR(VLOOKUP(Calculations[[#This Row],[Material (choose from dropdown]],MaterialData[#All],5,FALSE),"")</f>
        <v/>
      </c>
      <c r="Z5" s="322">
        <f>IFERROR(((VLOOKUP(Calculations[[#This Row],[Waste type 2]],WasteDisposalEmissions[#All],2,FALSE))*Calculations[[#This Row],[Total Kg]])*VLOOKUP(Calculations[[#This Row],[Waste 1]],WasteScenario[#All],2,FALSE),0)</f>
        <v>0</v>
      </c>
      <c r="AA5" s="322">
        <f>IFERROR((VLOOKUP(Calculations[[#This Row],[Waste type 2]],WasteDisposalEmissions[#All],3,FALSE))*Calculations[[#This Row],[Total Kg]]*VLOOKUP(Calculations[[#This Row],[Waste 1]],WasteScenario[#All],3,FALSE),0)</f>
        <v>0</v>
      </c>
      <c r="AB5" s="322">
        <f>SUM(Calculations[[#This Row],[C3 recyc]:[C3 incin]])</f>
        <v>0</v>
      </c>
      <c r="AC5" s="322">
        <f>IFERROR((VLOOKUP(Calculations[[#This Row],[Waste type 2]],WasteLandfillEmissions[#All],2,FALSE))*Calculations[[#This Row],[Total Kg]]*VLOOKUP(Calculations[[#This Row],[Waste 1]],WasteScenario[#All],4,FALSE),0)</f>
        <v>0</v>
      </c>
      <c r="AD5" s="322">
        <f>IFERROR((VLOOKUP(Calculations[[#This Row],[Waste type 2]],WasteLandfillEmissions[#All],3,FALSE))*Calculations[[#This Row],[Total Kg]]*VLOOKUP(Calculations[[#This Row],[Waste 1]],WasteScenario[#All],4,FALSE),0)</f>
        <v>0</v>
      </c>
      <c r="AE5" s="322">
        <f>SUM(Calculations[[#This Row],[C4 landfill]:[C4 re-use]])</f>
        <v>0</v>
      </c>
      <c r="AF5" s="322">
        <f>IFERROR(VLOOKUP(Calculations[[#This Row],[Material (choose from dropdown]],MaterialData[#All],8,FALSE),0)</f>
        <v>0</v>
      </c>
      <c r="AG5" s="322">
        <f>IFERROR(Calculations[[#This Row],[Total Kg]]*Calculations[[#This Row],[Seq factor]],0)</f>
        <v>0</v>
      </c>
      <c r="AI5" s="322">
        <f>Calculations[[#This Row],[A1-3]]+Calculations[[#This Row],[A4]]+Calculations[[#This Row],[A5]]+Calculations[[#This Row],[B4]]+Calculations[[#This Row],[C2 total]]+Calculations[[#This Row],[C3 total]]+Calculations[[#This Row],[C4 total]]</f>
        <v>0</v>
      </c>
      <c r="AJ5" s="2">
        <f>IFERROR(VLOOKUP(Calculations[[#This Row],[Material (choose from dropdown]],MaterialData[[#Headers],[#Data]],9,FALSE),0)</f>
        <v>0</v>
      </c>
      <c r="AK5" s="4">
        <f>IFERROR(VLOOKUP(Calculations[[#This Row],[Material (choose from dropdown]],MaterialData[[#Headers],[#Data]],10,FALSE),0)</f>
        <v>0</v>
      </c>
      <c r="AL5" s="322">
        <f>IFERROR(Calculations[[#This Row],[Data Quality Score]]*Calculations[[#This Row],[Total Kg]],0)</f>
        <v>0</v>
      </c>
    </row>
    <row r="6" spans="1:38" x14ac:dyDescent="0.3">
      <c r="A6" s="6">
        <f>IFERROR(MaterialsBoQ[[#This Row],[Scope Element]],0)</f>
        <v>0</v>
      </c>
      <c r="B6">
        <f>IFERROR(MaterialsBoQ[[#This Row],[Material ]],"")</f>
        <v>0</v>
      </c>
      <c r="C6">
        <f>IFERROR(MaterialsBoQ[[#This Row],[Unit]],"")</f>
        <v>0</v>
      </c>
      <c r="D6" s="322">
        <f>IFERROR(MaterialsBoQ[[#This Row],[Number]],0)</f>
        <v>0</v>
      </c>
      <c r="E6" s="322">
        <f>IFERROR(MaterialsBoQ[[#This Row],[Kg per unit]],0)</f>
        <v>0</v>
      </c>
      <c r="F6" s="322">
        <f>IFERROR(Calculations[[#This Row],[Number]]*Calculations[[#This Row],[Conversion factor]],0)</f>
        <v>0</v>
      </c>
      <c r="G6" s="322">
        <f>IFERROR(VLOOKUP(Calculations[[#This Row],[Material (choose from dropdown]],MaterialData[#All],7,FALSE),0)</f>
        <v>0</v>
      </c>
      <c r="H6" s="322">
        <f>Calculations[[#This Row],[Total Kg]]*Calculations[[#This Row],[Carbon Factor]]</f>
        <v>0</v>
      </c>
      <c r="I6" t="str">
        <f>IFERROR(VLOOKUP(Calculations[[#This Row],[Material (choose from dropdown]],MaterialData[#All],2,FALSE),"")</f>
        <v/>
      </c>
      <c r="J6" s="322">
        <f>IFERROR(((VLOOKUP(Calculations[[#This Row],[TransportSource]],TransportDistance[],2,FALSE)*'Stage assumptions'!$C$11)+VLOOKUP(Calculations[[#This Row],[TransportSource]],TransportDistance[],3,FALSE)*'Stage assumptions'!$C$12)*Calculations[[#This Row],[Total Kg]],0)</f>
        <v>0</v>
      </c>
      <c r="K6">
        <f>IFERROR(VLOOKUP(Calculations[[#This Row],[Material (choose from dropdown]], MaterialData[#All],3, FALSE),0)</f>
        <v>0</v>
      </c>
      <c r="L6" s="322">
        <f>IFERROR(VLOOKUP(Calculations[[#This Row],[A5type]],A5WastageRate[#All],2,FALSE)*Calculations[[#This Row],[A1-3]],0)</f>
        <v>0</v>
      </c>
      <c r="N6">
        <f>IFERROR(ROUNDUP(50/VLOOKUP(Calculations[[#This Row],[Scope Element]],B4referenceServiceLife[[Tier 2 element]:[Default Service Life]],2, FALSE)-1,0),0)</f>
        <v>0</v>
      </c>
      <c r="O6" s="322">
        <f>IFERROR((Calculations[[#This Row],[A1-3]]+Calculations[[#This Row],[A4]]+Calculations[[#This Row],[A5]]+Calculations[[#This Row],[C2 total]]+Calculations[[#This Row],[C3 total]]+Calculations[[#This Row],[C4 total]])*Calculations[[#This Row],[Replacements]],0)</f>
        <v>0</v>
      </c>
      <c r="S6" t="str">
        <f>IFERROR(VLOOKUP(Calculations[[#This Row],[Material (choose from dropdown]],MaterialData[#All],4,FALSE),"")</f>
        <v/>
      </c>
      <c r="T6" s="322" cm="1">
        <f t="array" ref="T6">IFERROR(VLOOKUP(Calculations[[#This Row],[Waste 1]],WasteScenario[#All],2,FALSE)*'Stage assumptions'!$C$225*WasteTransportMethod[Emissions Factor
kgCO2e/kg.km]*Calculations[[#This Row],[Total Kg]],0)</f>
        <v>0</v>
      </c>
      <c r="U6" s="322" cm="1">
        <f t="array" ref="U6">IFERROR(VLOOKUP(Calculations[[#This Row],[Waste 1]],WasteScenario[#All],3,FALSE)*'Stage assumptions'!$C$224*WasteTransportMethod[Emissions Factor
kgCO2e/kg.km]*Calculations[[#This Row],[Total Kg]],0)</f>
        <v>0</v>
      </c>
      <c r="V6" s="322" cm="1">
        <f t="array" ref="V6">IFERROR(VLOOKUP(Calculations[[#This Row],[Waste 1]],WasteScenario[#All],4,FALSE)*'Stage assumptions'!$C$223*WasteTransportMethod[Emissions Factor
kgCO2e/kg.km]*Calculations[[#This Row],[Total Kg]],0)</f>
        <v>0</v>
      </c>
      <c r="W6" s="322" cm="1">
        <f t="array" ref="W6">IFERROR(VLOOKUP(Calculations[[#This Row],[Waste 1]],WasteScenario[#All],5,FALSE)*'Stage assumptions'!$C$226*WasteTransportMethod[Emissions Factor
kgCO2e/kg.km]*Calculations[[#This Row],[Total Kg]],0)</f>
        <v>0</v>
      </c>
      <c r="X6" s="322">
        <f>SUM(Calculations[[#This Row],[C2 Recycle]:[C2 Reuse]])</f>
        <v>0</v>
      </c>
      <c r="Y6" t="str">
        <f>IFERROR(VLOOKUP(Calculations[[#This Row],[Material (choose from dropdown]],MaterialData[#All],5,FALSE),"")</f>
        <v/>
      </c>
      <c r="Z6" s="322">
        <f>IFERROR(((VLOOKUP(Calculations[[#This Row],[Waste type 2]],WasteDisposalEmissions[#All],2,FALSE))*Calculations[[#This Row],[Total Kg]])*VLOOKUP(Calculations[[#This Row],[Waste 1]],WasteScenario[#All],2,FALSE),0)</f>
        <v>0</v>
      </c>
      <c r="AA6" s="322">
        <f>IFERROR((VLOOKUP(Calculations[[#This Row],[Waste type 2]],WasteDisposalEmissions[#All],3,FALSE))*Calculations[[#This Row],[Total Kg]]*VLOOKUP(Calculations[[#This Row],[Waste 1]],WasteScenario[#All],3,FALSE),0)</f>
        <v>0</v>
      </c>
      <c r="AB6" s="322">
        <f>SUM(Calculations[[#This Row],[C3 recyc]:[C3 incin]])</f>
        <v>0</v>
      </c>
      <c r="AC6" s="322">
        <f>IFERROR((VLOOKUP(Calculations[[#This Row],[Waste type 2]],WasteLandfillEmissions[#All],2,FALSE))*Calculations[[#This Row],[Total Kg]]*VLOOKUP(Calculations[[#This Row],[Waste 1]],WasteScenario[#All],4,FALSE),0)</f>
        <v>0</v>
      </c>
      <c r="AD6" s="322">
        <f>IFERROR((VLOOKUP(Calculations[[#This Row],[Waste type 2]],WasteLandfillEmissions[#All],3,FALSE))*Calculations[[#This Row],[Total Kg]]*VLOOKUP(Calculations[[#This Row],[Waste 1]],WasteScenario[#All],4,FALSE),0)</f>
        <v>0</v>
      </c>
      <c r="AE6" s="322">
        <f>SUM(Calculations[[#This Row],[C4 landfill]:[C4 re-use]])</f>
        <v>0</v>
      </c>
      <c r="AF6" s="322">
        <f>IFERROR(VLOOKUP(Calculations[[#This Row],[Material (choose from dropdown]],MaterialData[#All],8,FALSE),0)</f>
        <v>0</v>
      </c>
      <c r="AG6" s="322">
        <f>IFERROR(Calculations[[#This Row],[Total Kg]]*Calculations[[#This Row],[Seq factor]],0)</f>
        <v>0</v>
      </c>
      <c r="AI6" s="322">
        <f>Calculations[[#This Row],[A1-3]]+Calculations[[#This Row],[A4]]+Calculations[[#This Row],[A5]]+Calculations[[#This Row],[B4]]+Calculations[[#This Row],[C2 total]]+Calculations[[#This Row],[C3 total]]+Calculations[[#This Row],[C4 total]]</f>
        <v>0</v>
      </c>
      <c r="AJ6" s="2">
        <f>IFERROR(VLOOKUP(Calculations[[#This Row],[Material (choose from dropdown]],MaterialData[[#Headers],[#Data]],9,FALSE),0)</f>
        <v>0</v>
      </c>
      <c r="AK6" s="4">
        <f>IFERROR(VLOOKUP(Calculations[[#This Row],[Material (choose from dropdown]],MaterialData[[#Headers],[#Data]],10,FALSE),0)</f>
        <v>0</v>
      </c>
      <c r="AL6" s="322">
        <f>IFERROR(Calculations[[#This Row],[Data Quality Score]]*Calculations[[#This Row],[Total Kg]],0)</f>
        <v>0</v>
      </c>
    </row>
    <row r="7" spans="1:38" x14ac:dyDescent="0.3">
      <c r="A7" s="6">
        <f>IFERROR(MaterialsBoQ[[#This Row],[Scope Element]],0)</f>
        <v>0</v>
      </c>
      <c r="B7">
        <f>IFERROR(MaterialsBoQ[[#This Row],[Material ]],"")</f>
        <v>0</v>
      </c>
      <c r="C7">
        <f>IFERROR(MaterialsBoQ[[#This Row],[Unit]],"")</f>
        <v>0</v>
      </c>
      <c r="D7" s="322">
        <f>IFERROR(MaterialsBoQ[[#This Row],[Number]],0)</f>
        <v>0</v>
      </c>
      <c r="E7" s="322">
        <f>IFERROR(MaterialsBoQ[[#This Row],[Kg per unit]],0)</f>
        <v>0</v>
      </c>
      <c r="F7" s="322">
        <f>IFERROR(Calculations[[#This Row],[Number]]*Calculations[[#This Row],[Conversion factor]],0)</f>
        <v>0</v>
      </c>
      <c r="G7" s="322">
        <f>IFERROR(VLOOKUP(Calculations[[#This Row],[Material (choose from dropdown]],MaterialData[#All],7,FALSE),0)</f>
        <v>0</v>
      </c>
      <c r="H7" s="322">
        <f>Calculations[[#This Row],[Total Kg]]*Calculations[[#This Row],[Carbon Factor]]</f>
        <v>0</v>
      </c>
      <c r="I7" t="str">
        <f>IFERROR(VLOOKUP(Calculations[[#This Row],[Material (choose from dropdown]],MaterialData[#All],2,FALSE),"")</f>
        <v/>
      </c>
      <c r="J7" s="322">
        <f>IFERROR(((VLOOKUP(Calculations[[#This Row],[TransportSource]],TransportDistance[],2,FALSE)*'Stage assumptions'!$C$11)+VLOOKUP(Calculations[[#This Row],[TransportSource]],TransportDistance[],3,FALSE)*'Stage assumptions'!$C$12)*Calculations[[#This Row],[Total Kg]],0)</f>
        <v>0</v>
      </c>
      <c r="K7">
        <f>IFERROR(VLOOKUP(Calculations[[#This Row],[Material (choose from dropdown]], MaterialData[#All],3, FALSE),0)</f>
        <v>0</v>
      </c>
      <c r="L7" s="322">
        <f>IFERROR(VLOOKUP(Calculations[[#This Row],[A5type]],A5WastageRate[#All],2,FALSE)*Calculations[[#This Row],[A1-3]],0)</f>
        <v>0</v>
      </c>
      <c r="N7">
        <f>IFERROR(ROUNDUP(50/VLOOKUP(Calculations[[#This Row],[Scope Element]],B4referenceServiceLife[[Tier 2 element]:[Default Service Life]],2, FALSE)-1,0),0)</f>
        <v>0</v>
      </c>
      <c r="O7" s="322">
        <f>IFERROR((Calculations[[#This Row],[A1-3]]+Calculations[[#This Row],[A4]]+Calculations[[#This Row],[A5]]+Calculations[[#This Row],[C2 total]]+Calculations[[#This Row],[C3 total]]+Calculations[[#This Row],[C4 total]])*Calculations[[#This Row],[Replacements]],0)</f>
        <v>0</v>
      </c>
      <c r="S7" t="str">
        <f>IFERROR(VLOOKUP(Calculations[[#This Row],[Material (choose from dropdown]],MaterialData[#All],4,FALSE),"")</f>
        <v/>
      </c>
      <c r="T7" s="322" cm="1">
        <f t="array" ref="T7">IFERROR(VLOOKUP(Calculations[[#This Row],[Waste 1]],WasteScenario[#All],2,FALSE)*'Stage assumptions'!$C$225*WasteTransportMethod[Emissions Factor
kgCO2e/kg.km]*Calculations[[#This Row],[Total Kg]],0)</f>
        <v>0</v>
      </c>
      <c r="U7" s="322" cm="1">
        <f t="array" ref="U7">IFERROR(VLOOKUP(Calculations[[#This Row],[Waste 1]],WasteScenario[#All],3,FALSE)*'Stage assumptions'!$C$224*WasteTransportMethod[Emissions Factor
kgCO2e/kg.km]*Calculations[[#This Row],[Total Kg]],0)</f>
        <v>0</v>
      </c>
      <c r="V7" s="322" cm="1">
        <f t="array" ref="V7">IFERROR(VLOOKUP(Calculations[[#This Row],[Waste 1]],WasteScenario[#All],4,FALSE)*'Stage assumptions'!$C$223*WasteTransportMethod[Emissions Factor
kgCO2e/kg.km]*Calculations[[#This Row],[Total Kg]],0)</f>
        <v>0</v>
      </c>
      <c r="W7" s="322" cm="1">
        <f t="array" ref="W7">IFERROR(VLOOKUP(Calculations[[#This Row],[Waste 1]],WasteScenario[#All],5,FALSE)*'Stage assumptions'!$C$226*WasteTransportMethod[Emissions Factor
kgCO2e/kg.km]*Calculations[[#This Row],[Total Kg]],0)</f>
        <v>0</v>
      </c>
      <c r="X7" s="322">
        <f>SUM(Calculations[[#This Row],[C2 Recycle]:[C2 Reuse]])</f>
        <v>0</v>
      </c>
      <c r="Y7" t="str">
        <f>IFERROR(VLOOKUP(Calculations[[#This Row],[Material (choose from dropdown]],MaterialData[#All],5,FALSE),"")</f>
        <v/>
      </c>
      <c r="Z7" s="322">
        <f>IFERROR(((VLOOKUP(Calculations[[#This Row],[Waste type 2]],WasteDisposalEmissions[#All],2,FALSE))*Calculations[[#This Row],[Total Kg]])*VLOOKUP(Calculations[[#This Row],[Waste 1]],WasteScenario[#All],2,FALSE),0)</f>
        <v>0</v>
      </c>
      <c r="AA7" s="322">
        <f>IFERROR((VLOOKUP(Calculations[[#This Row],[Waste type 2]],WasteDisposalEmissions[#All],3,FALSE))*Calculations[[#This Row],[Total Kg]]*VLOOKUP(Calculations[[#This Row],[Waste 1]],WasteScenario[#All],3,FALSE),0)</f>
        <v>0</v>
      </c>
      <c r="AB7" s="322">
        <f>SUM(Calculations[[#This Row],[C3 recyc]:[C3 incin]])</f>
        <v>0</v>
      </c>
      <c r="AC7" s="322">
        <f>IFERROR((VLOOKUP(Calculations[[#This Row],[Waste type 2]],WasteLandfillEmissions[#All],2,FALSE))*Calculations[[#This Row],[Total Kg]]*VLOOKUP(Calculations[[#This Row],[Waste 1]],WasteScenario[#All],4,FALSE),0)</f>
        <v>0</v>
      </c>
      <c r="AD7" s="322">
        <f>IFERROR((VLOOKUP(Calculations[[#This Row],[Waste type 2]],WasteLandfillEmissions[#All],3,FALSE))*Calculations[[#This Row],[Total Kg]]*VLOOKUP(Calculations[[#This Row],[Waste 1]],WasteScenario[#All],4,FALSE),0)</f>
        <v>0</v>
      </c>
      <c r="AE7" s="322">
        <f>SUM(Calculations[[#This Row],[C4 landfill]:[C4 re-use]])</f>
        <v>0</v>
      </c>
      <c r="AF7" s="322">
        <f>IFERROR(VLOOKUP(Calculations[[#This Row],[Material (choose from dropdown]],MaterialData[#All],8,FALSE),0)</f>
        <v>0</v>
      </c>
      <c r="AG7" s="322">
        <f>IFERROR(Calculations[[#This Row],[Total Kg]]*Calculations[[#This Row],[Seq factor]],0)</f>
        <v>0</v>
      </c>
      <c r="AI7" s="322">
        <f>Calculations[[#This Row],[A1-3]]+Calculations[[#This Row],[A4]]+Calculations[[#This Row],[A5]]+Calculations[[#This Row],[B4]]+Calculations[[#This Row],[C2 total]]+Calculations[[#This Row],[C3 total]]+Calculations[[#This Row],[C4 total]]</f>
        <v>0</v>
      </c>
      <c r="AJ7" s="2">
        <f>IFERROR(VLOOKUP(Calculations[[#This Row],[Material (choose from dropdown]],MaterialData[[#Headers],[#Data]],9,FALSE),0)</f>
        <v>0</v>
      </c>
      <c r="AK7" s="4">
        <f>IFERROR(VLOOKUP(Calculations[[#This Row],[Material (choose from dropdown]],MaterialData[[#Headers],[#Data]],10,FALSE),0)</f>
        <v>0</v>
      </c>
      <c r="AL7" s="322">
        <f>IFERROR(Calculations[[#This Row],[Data Quality Score]]*Calculations[[#This Row],[Total Kg]],0)</f>
        <v>0</v>
      </c>
    </row>
    <row r="8" spans="1:38" x14ac:dyDescent="0.3">
      <c r="A8" s="6">
        <f>IFERROR(MaterialsBoQ[[#This Row],[Scope Element]],0)</f>
        <v>0</v>
      </c>
      <c r="B8">
        <f>IFERROR(MaterialsBoQ[[#This Row],[Material ]],"")</f>
        <v>0</v>
      </c>
      <c r="C8">
        <f>IFERROR(MaterialsBoQ[[#This Row],[Unit]],"")</f>
        <v>0</v>
      </c>
      <c r="D8" s="322">
        <f>IFERROR(MaterialsBoQ[[#This Row],[Number]],0)</f>
        <v>0</v>
      </c>
      <c r="E8" s="322">
        <f>IFERROR(MaterialsBoQ[[#This Row],[Kg per unit]],0)</f>
        <v>0</v>
      </c>
      <c r="F8" s="322">
        <f>IFERROR(Calculations[[#This Row],[Number]]*Calculations[[#This Row],[Conversion factor]],0)</f>
        <v>0</v>
      </c>
      <c r="G8" s="322">
        <f>IFERROR(VLOOKUP(Calculations[[#This Row],[Material (choose from dropdown]],MaterialData[#All],7,FALSE),0)</f>
        <v>0</v>
      </c>
      <c r="H8" s="322">
        <f>Calculations[[#This Row],[Total Kg]]*Calculations[[#This Row],[Carbon Factor]]</f>
        <v>0</v>
      </c>
      <c r="I8" t="str">
        <f>IFERROR(VLOOKUP(Calculations[[#This Row],[Material (choose from dropdown]],MaterialData[#All],2,FALSE),"")</f>
        <v/>
      </c>
      <c r="J8" s="322">
        <f>IFERROR(((VLOOKUP(Calculations[[#This Row],[TransportSource]],TransportDistance[],2,FALSE)*'Stage assumptions'!$C$11)+VLOOKUP(Calculations[[#This Row],[TransportSource]],TransportDistance[],3,FALSE)*'Stage assumptions'!$C$12)*Calculations[[#This Row],[Total Kg]],0)</f>
        <v>0</v>
      </c>
      <c r="K8">
        <f>IFERROR(VLOOKUP(Calculations[[#This Row],[Material (choose from dropdown]], MaterialData[#All],3, FALSE),0)</f>
        <v>0</v>
      </c>
      <c r="L8" s="322">
        <f>IFERROR(VLOOKUP(Calculations[[#This Row],[A5type]],A5WastageRate[#All],2,FALSE)*Calculations[[#This Row],[A1-3]],0)</f>
        <v>0</v>
      </c>
      <c r="N8">
        <f>IFERROR(ROUNDUP(50/VLOOKUP(Calculations[[#This Row],[Scope Element]],B4referenceServiceLife[[Tier 2 element]:[Default Service Life]],2, FALSE)-1,0),0)</f>
        <v>0</v>
      </c>
      <c r="O8" s="322">
        <f>IFERROR((Calculations[[#This Row],[A1-3]]+Calculations[[#This Row],[A4]]+Calculations[[#This Row],[A5]]+Calculations[[#This Row],[C2 total]]+Calculations[[#This Row],[C3 total]]+Calculations[[#This Row],[C4 total]])*Calculations[[#This Row],[Replacements]],0)</f>
        <v>0</v>
      </c>
      <c r="S8" t="str">
        <f>IFERROR(VLOOKUP(Calculations[[#This Row],[Material (choose from dropdown]],MaterialData[#All],4,FALSE),"")</f>
        <v/>
      </c>
      <c r="T8" s="322" cm="1">
        <f t="array" ref="T8">IFERROR(VLOOKUP(Calculations[[#This Row],[Waste 1]],WasteScenario[#All],2,FALSE)*'Stage assumptions'!$C$225*WasteTransportMethod[Emissions Factor
kgCO2e/kg.km]*Calculations[[#This Row],[Total Kg]],0)</f>
        <v>0</v>
      </c>
      <c r="U8" s="322" cm="1">
        <f t="array" ref="U8">IFERROR(VLOOKUP(Calculations[[#This Row],[Waste 1]],WasteScenario[#All],3,FALSE)*'Stage assumptions'!$C$224*WasteTransportMethod[Emissions Factor
kgCO2e/kg.km]*Calculations[[#This Row],[Total Kg]],0)</f>
        <v>0</v>
      </c>
      <c r="V8" s="322" cm="1">
        <f t="array" ref="V8">IFERROR(VLOOKUP(Calculations[[#This Row],[Waste 1]],WasteScenario[#All],4,FALSE)*'Stage assumptions'!$C$223*WasteTransportMethod[Emissions Factor
kgCO2e/kg.km]*Calculations[[#This Row],[Total Kg]],0)</f>
        <v>0</v>
      </c>
      <c r="W8" s="322" cm="1">
        <f t="array" ref="W8">IFERROR(VLOOKUP(Calculations[[#This Row],[Waste 1]],WasteScenario[#All],5,FALSE)*'Stage assumptions'!$C$226*WasteTransportMethod[Emissions Factor
kgCO2e/kg.km]*Calculations[[#This Row],[Total Kg]],0)</f>
        <v>0</v>
      </c>
      <c r="X8" s="322">
        <f>SUM(Calculations[[#This Row],[C2 Recycle]:[C2 Reuse]])</f>
        <v>0</v>
      </c>
      <c r="Y8" t="str">
        <f>IFERROR(VLOOKUP(Calculations[[#This Row],[Material (choose from dropdown]],MaterialData[#All],5,FALSE),"")</f>
        <v/>
      </c>
      <c r="Z8" s="322">
        <f>IFERROR(((VLOOKUP(Calculations[[#This Row],[Waste type 2]],WasteDisposalEmissions[#All],2,FALSE))*Calculations[[#This Row],[Total Kg]])*VLOOKUP(Calculations[[#This Row],[Waste 1]],WasteScenario[#All],2,FALSE),0)</f>
        <v>0</v>
      </c>
      <c r="AA8" s="322">
        <f>IFERROR((VLOOKUP(Calculations[[#This Row],[Waste type 2]],WasteDisposalEmissions[#All],3,FALSE))*Calculations[[#This Row],[Total Kg]]*VLOOKUP(Calculations[[#This Row],[Waste 1]],WasteScenario[#All],3,FALSE),0)</f>
        <v>0</v>
      </c>
      <c r="AB8" s="322">
        <f>SUM(Calculations[[#This Row],[C3 recyc]:[C3 incin]])</f>
        <v>0</v>
      </c>
      <c r="AC8" s="322">
        <f>IFERROR((VLOOKUP(Calculations[[#This Row],[Waste type 2]],WasteLandfillEmissions[#All],2,FALSE))*Calculations[[#This Row],[Total Kg]]*VLOOKUP(Calculations[[#This Row],[Waste 1]],WasteScenario[#All],4,FALSE),0)</f>
        <v>0</v>
      </c>
      <c r="AD8" s="322">
        <f>IFERROR((VLOOKUP(Calculations[[#This Row],[Waste type 2]],WasteLandfillEmissions[#All],3,FALSE))*Calculations[[#This Row],[Total Kg]]*VLOOKUP(Calculations[[#This Row],[Waste 1]],WasteScenario[#All],4,FALSE),0)</f>
        <v>0</v>
      </c>
      <c r="AE8" s="322">
        <f>SUM(Calculations[[#This Row],[C4 landfill]:[C4 re-use]])</f>
        <v>0</v>
      </c>
      <c r="AF8" s="322">
        <f>IFERROR(VLOOKUP(Calculations[[#This Row],[Material (choose from dropdown]],MaterialData[#All],8,FALSE),0)</f>
        <v>0</v>
      </c>
      <c r="AG8" s="322">
        <f>IFERROR(Calculations[[#This Row],[Total Kg]]*Calculations[[#This Row],[Seq factor]],0)</f>
        <v>0</v>
      </c>
      <c r="AI8" s="322">
        <f>Calculations[[#This Row],[A1-3]]+Calculations[[#This Row],[A4]]+Calculations[[#This Row],[A5]]+Calculations[[#This Row],[B4]]+Calculations[[#This Row],[C2 total]]+Calculations[[#This Row],[C3 total]]+Calculations[[#This Row],[C4 total]]</f>
        <v>0</v>
      </c>
      <c r="AJ8" s="2">
        <f>IFERROR(VLOOKUP(Calculations[[#This Row],[Material (choose from dropdown]],MaterialData[[#Headers],[#Data]],9,FALSE),0)</f>
        <v>0</v>
      </c>
      <c r="AK8" s="4">
        <f>IFERROR(VLOOKUP(Calculations[[#This Row],[Material (choose from dropdown]],MaterialData[[#Headers],[#Data]],10,FALSE),0)</f>
        <v>0</v>
      </c>
      <c r="AL8" s="322">
        <f>IFERROR(Calculations[[#This Row],[Data Quality Score]]*Calculations[[#This Row],[Total Kg]],0)</f>
        <v>0</v>
      </c>
    </row>
    <row r="9" spans="1:38" x14ac:dyDescent="0.3">
      <c r="A9" s="6">
        <f>IFERROR(MaterialsBoQ[[#This Row],[Scope Element]],0)</f>
        <v>0</v>
      </c>
      <c r="B9">
        <f>IFERROR(MaterialsBoQ[[#This Row],[Material ]],"")</f>
        <v>0</v>
      </c>
      <c r="C9">
        <f>IFERROR(MaterialsBoQ[[#This Row],[Unit]],"")</f>
        <v>0</v>
      </c>
      <c r="D9" s="322">
        <f>IFERROR(MaterialsBoQ[[#This Row],[Number]],0)</f>
        <v>0</v>
      </c>
      <c r="E9" s="322">
        <f>IFERROR(MaterialsBoQ[[#This Row],[Kg per unit]],0)</f>
        <v>0</v>
      </c>
      <c r="F9" s="322">
        <f>IFERROR(Calculations[[#This Row],[Number]]*Calculations[[#This Row],[Conversion factor]],0)</f>
        <v>0</v>
      </c>
      <c r="G9" s="322">
        <f>IFERROR(VLOOKUP(Calculations[[#This Row],[Material (choose from dropdown]],MaterialData[#All],7,FALSE),0)</f>
        <v>0</v>
      </c>
      <c r="H9" s="322">
        <f>Calculations[[#This Row],[Total Kg]]*Calculations[[#This Row],[Carbon Factor]]</f>
        <v>0</v>
      </c>
      <c r="I9" t="str">
        <f>IFERROR(VLOOKUP(Calculations[[#This Row],[Material (choose from dropdown]],MaterialData[#All],2,FALSE),"")</f>
        <v/>
      </c>
      <c r="J9" s="322">
        <f>IFERROR(((VLOOKUP(Calculations[[#This Row],[TransportSource]],TransportDistance[],2,FALSE)*'Stage assumptions'!$C$11)+VLOOKUP(Calculations[[#This Row],[TransportSource]],TransportDistance[],3,FALSE)*'Stage assumptions'!$C$12)*Calculations[[#This Row],[Total Kg]],0)</f>
        <v>0</v>
      </c>
      <c r="K9">
        <f>IFERROR(VLOOKUP(Calculations[[#This Row],[Material (choose from dropdown]], MaterialData[#All],3, FALSE),0)</f>
        <v>0</v>
      </c>
      <c r="L9" s="322">
        <f>IFERROR(VLOOKUP(Calculations[[#This Row],[A5type]],A5WastageRate[#All],2,FALSE)*Calculations[[#This Row],[A1-3]],0)</f>
        <v>0</v>
      </c>
      <c r="N9">
        <f>IFERROR(ROUNDUP(50/VLOOKUP(Calculations[[#This Row],[Scope Element]],B4referenceServiceLife[[Tier 2 element]:[Default Service Life]],2, FALSE)-1,0),0)</f>
        <v>0</v>
      </c>
      <c r="O9" s="322">
        <f>IFERROR((Calculations[[#This Row],[A1-3]]+Calculations[[#This Row],[A4]]+Calculations[[#This Row],[A5]]+Calculations[[#This Row],[C2 total]]+Calculations[[#This Row],[C3 total]]+Calculations[[#This Row],[C4 total]])*Calculations[[#This Row],[Replacements]],0)</f>
        <v>0</v>
      </c>
      <c r="S9" t="str">
        <f>IFERROR(VLOOKUP(Calculations[[#This Row],[Material (choose from dropdown]],MaterialData[#All],4,FALSE),"")</f>
        <v/>
      </c>
      <c r="T9" s="322" cm="1">
        <f t="array" ref="T9">IFERROR(VLOOKUP(Calculations[[#This Row],[Waste 1]],WasteScenario[#All],2,FALSE)*'Stage assumptions'!$C$225*WasteTransportMethod[Emissions Factor
kgCO2e/kg.km]*Calculations[[#This Row],[Total Kg]],0)</f>
        <v>0</v>
      </c>
      <c r="U9" s="322" cm="1">
        <f t="array" ref="U9">IFERROR(VLOOKUP(Calculations[[#This Row],[Waste 1]],WasteScenario[#All],3,FALSE)*'Stage assumptions'!$C$224*WasteTransportMethod[Emissions Factor
kgCO2e/kg.km]*Calculations[[#This Row],[Total Kg]],0)</f>
        <v>0</v>
      </c>
      <c r="V9" s="322" cm="1">
        <f t="array" ref="V9">IFERROR(VLOOKUP(Calculations[[#This Row],[Waste 1]],WasteScenario[#All],4,FALSE)*'Stage assumptions'!$C$223*WasteTransportMethod[Emissions Factor
kgCO2e/kg.km]*Calculations[[#This Row],[Total Kg]],0)</f>
        <v>0</v>
      </c>
      <c r="W9" s="322" cm="1">
        <f t="array" ref="W9">IFERROR(VLOOKUP(Calculations[[#This Row],[Waste 1]],WasteScenario[#All],5,FALSE)*'Stage assumptions'!$C$226*WasteTransportMethod[Emissions Factor
kgCO2e/kg.km]*Calculations[[#This Row],[Total Kg]],0)</f>
        <v>0</v>
      </c>
      <c r="X9" s="322">
        <f>SUM(Calculations[[#This Row],[C2 Recycle]:[C2 Reuse]])</f>
        <v>0</v>
      </c>
      <c r="Y9" t="str">
        <f>IFERROR(VLOOKUP(Calculations[[#This Row],[Material (choose from dropdown]],MaterialData[#All],5,FALSE),"")</f>
        <v/>
      </c>
      <c r="Z9" s="322">
        <f>IFERROR(((VLOOKUP(Calculations[[#This Row],[Waste type 2]],WasteDisposalEmissions[#All],2,FALSE))*Calculations[[#This Row],[Total Kg]])*VLOOKUP(Calculations[[#This Row],[Waste 1]],WasteScenario[#All],2,FALSE),0)</f>
        <v>0</v>
      </c>
      <c r="AA9" s="322">
        <f>IFERROR((VLOOKUP(Calculations[[#This Row],[Waste type 2]],WasteDisposalEmissions[#All],3,FALSE))*Calculations[[#This Row],[Total Kg]]*VLOOKUP(Calculations[[#This Row],[Waste 1]],WasteScenario[#All],3,FALSE),0)</f>
        <v>0</v>
      </c>
      <c r="AB9" s="322">
        <f>SUM(Calculations[[#This Row],[C3 recyc]:[C3 incin]])</f>
        <v>0</v>
      </c>
      <c r="AC9" s="322">
        <f>IFERROR((VLOOKUP(Calculations[[#This Row],[Waste type 2]],WasteLandfillEmissions[#All],2,FALSE))*Calculations[[#This Row],[Total Kg]]*VLOOKUP(Calculations[[#This Row],[Waste 1]],WasteScenario[#All],4,FALSE),0)</f>
        <v>0</v>
      </c>
      <c r="AD9" s="322">
        <f>IFERROR((VLOOKUP(Calculations[[#This Row],[Waste type 2]],WasteLandfillEmissions[#All],3,FALSE))*Calculations[[#This Row],[Total Kg]]*VLOOKUP(Calculations[[#This Row],[Waste 1]],WasteScenario[#All],4,FALSE),0)</f>
        <v>0</v>
      </c>
      <c r="AE9" s="322">
        <f>SUM(Calculations[[#This Row],[C4 landfill]:[C4 re-use]])</f>
        <v>0</v>
      </c>
      <c r="AF9" s="322">
        <f>IFERROR(VLOOKUP(Calculations[[#This Row],[Material (choose from dropdown]],MaterialData[#All],8,FALSE),0)</f>
        <v>0</v>
      </c>
      <c r="AG9" s="322">
        <f>IFERROR(Calculations[[#This Row],[Total Kg]]*Calculations[[#This Row],[Seq factor]],0)</f>
        <v>0</v>
      </c>
      <c r="AI9" s="322">
        <f>Calculations[[#This Row],[A1-3]]+Calculations[[#This Row],[A4]]+Calculations[[#This Row],[A5]]+Calculations[[#This Row],[B4]]+Calculations[[#This Row],[C2 total]]+Calculations[[#This Row],[C3 total]]+Calculations[[#This Row],[C4 total]]</f>
        <v>0</v>
      </c>
      <c r="AJ9" s="2">
        <f>IFERROR(VLOOKUP(Calculations[[#This Row],[Material (choose from dropdown]],MaterialData[[#Headers],[#Data]],9,FALSE),0)</f>
        <v>0</v>
      </c>
      <c r="AK9" s="4">
        <f>IFERROR(VLOOKUP(Calculations[[#This Row],[Material (choose from dropdown]],MaterialData[[#Headers],[#Data]],10,FALSE),0)</f>
        <v>0</v>
      </c>
      <c r="AL9" s="322">
        <f>IFERROR(Calculations[[#This Row],[Data Quality Score]]*Calculations[[#This Row],[Total Kg]],0)</f>
        <v>0</v>
      </c>
    </row>
    <row r="10" spans="1:38" x14ac:dyDescent="0.3">
      <c r="A10" s="6">
        <f>IFERROR(MaterialsBoQ[[#This Row],[Scope Element]],0)</f>
        <v>0</v>
      </c>
      <c r="B10">
        <f>IFERROR(MaterialsBoQ[[#This Row],[Material ]],"")</f>
        <v>0</v>
      </c>
      <c r="C10">
        <f>IFERROR(MaterialsBoQ[[#This Row],[Unit]],"")</f>
        <v>0</v>
      </c>
      <c r="D10" s="322">
        <f>IFERROR(MaterialsBoQ[[#This Row],[Number]],0)</f>
        <v>0</v>
      </c>
      <c r="E10" s="322">
        <f>IFERROR(MaterialsBoQ[[#This Row],[Kg per unit]],0)</f>
        <v>0</v>
      </c>
      <c r="F10" s="322">
        <f>IFERROR(Calculations[[#This Row],[Number]]*Calculations[[#This Row],[Conversion factor]],0)</f>
        <v>0</v>
      </c>
      <c r="G10" s="322">
        <f>IFERROR(VLOOKUP(Calculations[[#This Row],[Material (choose from dropdown]],MaterialData[#All],7,FALSE),0)</f>
        <v>0</v>
      </c>
      <c r="H10" s="322">
        <f>Calculations[[#This Row],[Total Kg]]*Calculations[[#This Row],[Carbon Factor]]</f>
        <v>0</v>
      </c>
      <c r="I10" t="str">
        <f>IFERROR(VLOOKUP(Calculations[[#This Row],[Material (choose from dropdown]],MaterialData[#All],2,FALSE),"")</f>
        <v/>
      </c>
      <c r="J10" s="322">
        <f>IFERROR(((VLOOKUP(Calculations[[#This Row],[TransportSource]],TransportDistance[],2,FALSE)*'Stage assumptions'!$C$11)+VLOOKUP(Calculations[[#This Row],[TransportSource]],TransportDistance[],3,FALSE)*'Stage assumptions'!$C$12)*Calculations[[#This Row],[Total Kg]],0)</f>
        <v>0</v>
      </c>
      <c r="K10">
        <f>IFERROR(VLOOKUP(Calculations[[#This Row],[Material (choose from dropdown]], MaterialData[#All],3, FALSE),0)</f>
        <v>0</v>
      </c>
      <c r="L10" s="322">
        <f>IFERROR(VLOOKUP(Calculations[[#This Row],[A5type]],A5WastageRate[#All],2,FALSE)*Calculations[[#This Row],[A1-3]],0)</f>
        <v>0</v>
      </c>
      <c r="N10">
        <f>IFERROR(ROUNDUP(50/VLOOKUP(Calculations[[#This Row],[Scope Element]],B4referenceServiceLife[[Tier 2 element]:[Default Service Life]],2, FALSE)-1,0),0)</f>
        <v>0</v>
      </c>
      <c r="O10" s="322">
        <f>IFERROR((Calculations[[#This Row],[A1-3]]+Calculations[[#This Row],[A4]]+Calculations[[#This Row],[A5]]+Calculations[[#This Row],[C2 total]]+Calculations[[#This Row],[C3 total]]+Calculations[[#This Row],[C4 total]])*Calculations[[#This Row],[Replacements]],0)</f>
        <v>0</v>
      </c>
      <c r="S10" t="str">
        <f>IFERROR(VLOOKUP(Calculations[[#This Row],[Material (choose from dropdown]],MaterialData[#All],4,FALSE),"")</f>
        <v/>
      </c>
      <c r="T10" s="322" cm="1">
        <f t="array" ref="T10">IFERROR(VLOOKUP(Calculations[[#This Row],[Waste 1]],WasteScenario[#All],2,FALSE)*'Stage assumptions'!$C$225*WasteTransportMethod[Emissions Factor
kgCO2e/kg.km]*Calculations[[#This Row],[Total Kg]],0)</f>
        <v>0</v>
      </c>
      <c r="U10" s="322" cm="1">
        <f t="array" ref="U10">IFERROR(VLOOKUP(Calculations[[#This Row],[Waste 1]],WasteScenario[#All],3,FALSE)*'Stage assumptions'!$C$224*WasteTransportMethod[Emissions Factor
kgCO2e/kg.km]*Calculations[[#This Row],[Total Kg]],0)</f>
        <v>0</v>
      </c>
      <c r="V10" s="322" cm="1">
        <f t="array" ref="V10">IFERROR(VLOOKUP(Calculations[[#This Row],[Waste 1]],WasteScenario[#All],4,FALSE)*'Stage assumptions'!$C$223*WasteTransportMethod[Emissions Factor
kgCO2e/kg.km]*Calculations[[#This Row],[Total Kg]],0)</f>
        <v>0</v>
      </c>
      <c r="W10" s="322" cm="1">
        <f t="array" ref="W10">IFERROR(VLOOKUP(Calculations[[#This Row],[Waste 1]],WasteScenario[#All],5,FALSE)*'Stage assumptions'!$C$226*WasteTransportMethod[Emissions Factor
kgCO2e/kg.km]*Calculations[[#This Row],[Total Kg]],0)</f>
        <v>0</v>
      </c>
      <c r="X10" s="322">
        <f>SUM(Calculations[[#This Row],[C2 Recycle]:[C2 Reuse]])</f>
        <v>0</v>
      </c>
      <c r="Y10" t="str">
        <f>IFERROR(VLOOKUP(Calculations[[#This Row],[Material (choose from dropdown]],MaterialData[#All],5,FALSE),"")</f>
        <v/>
      </c>
      <c r="Z10" s="322">
        <f>IFERROR(((VLOOKUP(Calculations[[#This Row],[Waste type 2]],WasteDisposalEmissions[#All],2,FALSE))*Calculations[[#This Row],[Total Kg]])*VLOOKUP(Calculations[[#This Row],[Waste 1]],WasteScenario[#All],2,FALSE),0)</f>
        <v>0</v>
      </c>
      <c r="AA10" s="322">
        <f>IFERROR((VLOOKUP(Calculations[[#This Row],[Waste type 2]],WasteDisposalEmissions[#All],3,FALSE))*Calculations[[#This Row],[Total Kg]]*VLOOKUP(Calculations[[#This Row],[Waste 1]],WasteScenario[#All],3,FALSE),0)</f>
        <v>0</v>
      </c>
      <c r="AB10" s="322">
        <f>SUM(Calculations[[#This Row],[C3 recyc]:[C3 incin]])</f>
        <v>0</v>
      </c>
      <c r="AC10" s="322">
        <f>IFERROR((VLOOKUP(Calculations[[#This Row],[Waste type 2]],WasteLandfillEmissions[#All],2,FALSE))*Calculations[[#This Row],[Total Kg]]*VLOOKUP(Calculations[[#This Row],[Waste 1]],WasteScenario[#All],4,FALSE),0)</f>
        <v>0</v>
      </c>
      <c r="AD10" s="322">
        <f>IFERROR((VLOOKUP(Calculations[[#This Row],[Waste type 2]],WasteLandfillEmissions[#All],3,FALSE))*Calculations[[#This Row],[Total Kg]]*VLOOKUP(Calculations[[#This Row],[Waste 1]],WasteScenario[#All],4,FALSE),0)</f>
        <v>0</v>
      </c>
      <c r="AE10" s="322">
        <f>SUM(Calculations[[#This Row],[C4 landfill]:[C4 re-use]])</f>
        <v>0</v>
      </c>
      <c r="AF10" s="322">
        <f>IFERROR(VLOOKUP(Calculations[[#This Row],[Material (choose from dropdown]],MaterialData[#All],8,FALSE),0)</f>
        <v>0</v>
      </c>
      <c r="AG10" s="322">
        <f>IFERROR(Calculations[[#This Row],[Total Kg]]*Calculations[[#This Row],[Seq factor]],0)</f>
        <v>0</v>
      </c>
      <c r="AI10" s="322">
        <f>Calculations[[#This Row],[A1-3]]+Calculations[[#This Row],[A4]]+Calculations[[#This Row],[A5]]+Calculations[[#This Row],[B4]]+Calculations[[#This Row],[C2 total]]+Calculations[[#This Row],[C3 total]]+Calculations[[#This Row],[C4 total]]</f>
        <v>0</v>
      </c>
      <c r="AJ10" s="2">
        <f>IFERROR(VLOOKUP(Calculations[[#This Row],[Material (choose from dropdown]],MaterialData[[#Headers],[#Data]],9,FALSE),0)</f>
        <v>0</v>
      </c>
      <c r="AK10" s="4">
        <f>IFERROR(VLOOKUP(Calculations[[#This Row],[Material (choose from dropdown]],MaterialData[[#Headers],[#Data]],10,FALSE),0)</f>
        <v>0</v>
      </c>
      <c r="AL10" s="322">
        <f>IFERROR(Calculations[[#This Row],[Data Quality Score]]*Calculations[[#This Row],[Total Kg]],0)</f>
        <v>0</v>
      </c>
    </row>
    <row r="11" spans="1:38" x14ac:dyDescent="0.3">
      <c r="A11" s="6">
        <f>IFERROR(MaterialsBoQ[[#This Row],[Scope Element]],0)</f>
        <v>0</v>
      </c>
      <c r="B11">
        <f>IFERROR(MaterialsBoQ[[#This Row],[Material ]],"")</f>
        <v>0</v>
      </c>
      <c r="C11">
        <f>IFERROR(MaterialsBoQ[[#This Row],[Unit]],"")</f>
        <v>0</v>
      </c>
      <c r="D11" s="322">
        <f>IFERROR(MaterialsBoQ[[#This Row],[Number]],0)</f>
        <v>0</v>
      </c>
      <c r="E11" s="322">
        <f>IFERROR(MaterialsBoQ[[#This Row],[Kg per unit]],0)</f>
        <v>0</v>
      </c>
      <c r="F11" s="322">
        <f>IFERROR(Calculations[[#This Row],[Number]]*Calculations[[#This Row],[Conversion factor]],0)</f>
        <v>0</v>
      </c>
      <c r="G11" s="322">
        <f>IFERROR(VLOOKUP(Calculations[[#This Row],[Material (choose from dropdown]],MaterialData[#All],7,FALSE),0)</f>
        <v>0</v>
      </c>
      <c r="H11" s="322">
        <f>Calculations[[#This Row],[Total Kg]]*Calculations[[#This Row],[Carbon Factor]]</f>
        <v>0</v>
      </c>
      <c r="I11" t="str">
        <f>IFERROR(VLOOKUP(Calculations[[#This Row],[Material (choose from dropdown]],MaterialData[#All],2,FALSE),"")</f>
        <v/>
      </c>
      <c r="J11" s="322">
        <f>IFERROR(((VLOOKUP(Calculations[[#This Row],[TransportSource]],TransportDistance[],2,FALSE)*'Stage assumptions'!$C$11)+VLOOKUP(Calculations[[#This Row],[TransportSource]],TransportDistance[],3,FALSE)*'Stage assumptions'!$C$12)*Calculations[[#This Row],[Total Kg]],0)</f>
        <v>0</v>
      </c>
      <c r="K11">
        <f>IFERROR(VLOOKUP(Calculations[[#This Row],[Material (choose from dropdown]], MaterialData[#All],3, FALSE),0)</f>
        <v>0</v>
      </c>
      <c r="L11" s="322">
        <f>IFERROR(VLOOKUP(Calculations[[#This Row],[A5type]],A5WastageRate[#All],2,FALSE)*Calculations[[#This Row],[A1-3]],0)</f>
        <v>0</v>
      </c>
      <c r="N11">
        <f>IFERROR(ROUNDUP(50/VLOOKUP(Calculations[[#This Row],[Scope Element]],B4referenceServiceLife[[Tier 2 element]:[Default Service Life]],2, FALSE)-1,0),0)</f>
        <v>0</v>
      </c>
      <c r="O11" s="322">
        <f>IFERROR((Calculations[[#This Row],[A1-3]]+Calculations[[#This Row],[A4]]+Calculations[[#This Row],[A5]]+Calculations[[#This Row],[C2 total]]+Calculations[[#This Row],[C3 total]]+Calculations[[#This Row],[C4 total]])*Calculations[[#This Row],[Replacements]],0)</f>
        <v>0</v>
      </c>
      <c r="S11" t="str">
        <f>IFERROR(VLOOKUP(Calculations[[#This Row],[Material (choose from dropdown]],MaterialData[#All],4,FALSE),"")</f>
        <v/>
      </c>
      <c r="T11" s="322" cm="1">
        <f t="array" ref="T11">IFERROR(VLOOKUP(Calculations[[#This Row],[Waste 1]],WasteScenario[#All],2,FALSE)*'Stage assumptions'!$C$225*WasteTransportMethod[Emissions Factor
kgCO2e/kg.km]*Calculations[[#This Row],[Total Kg]],0)</f>
        <v>0</v>
      </c>
      <c r="U11" s="322" cm="1">
        <f t="array" ref="U11">IFERROR(VLOOKUP(Calculations[[#This Row],[Waste 1]],WasteScenario[#All],3,FALSE)*'Stage assumptions'!$C$224*WasteTransportMethod[Emissions Factor
kgCO2e/kg.km]*Calculations[[#This Row],[Total Kg]],0)</f>
        <v>0</v>
      </c>
      <c r="V11" s="322" cm="1">
        <f t="array" ref="V11">IFERROR(VLOOKUP(Calculations[[#This Row],[Waste 1]],WasteScenario[#All],4,FALSE)*'Stage assumptions'!$C$223*WasteTransportMethod[Emissions Factor
kgCO2e/kg.km]*Calculations[[#This Row],[Total Kg]],0)</f>
        <v>0</v>
      </c>
      <c r="W11" s="322" cm="1">
        <f t="array" ref="W11">IFERROR(VLOOKUP(Calculations[[#This Row],[Waste 1]],WasteScenario[#All],5,FALSE)*'Stage assumptions'!$C$226*WasteTransportMethod[Emissions Factor
kgCO2e/kg.km]*Calculations[[#This Row],[Total Kg]],0)</f>
        <v>0</v>
      </c>
      <c r="X11" s="322">
        <f>SUM(Calculations[[#This Row],[C2 Recycle]:[C2 Reuse]])</f>
        <v>0</v>
      </c>
      <c r="Y11" t="str">
        <f>IFERROR(VLOOKUP(Calculations[[#This Row],[Material (choose from dropdown]],MaterialData[#All],5,FALSE),"")</f>
        <v/>
      </c>
      <c r="Z11" s="322">
        <f>IFERROR(((VLOOKUP(Calculations[[#This Row],[Waste type 2]],WasteDisposalEmissions[#All],2,FALSE))*Calculations[[#This Row],[Total Kg]])*VLOOKUP(Calculations[[#This Row],[Waste 1]],WasteScenario[#All],2,FALSE),0)</f>
        <v>0</v>
      </c>
      <c r="AA11" s="322">
        <f>IFERROR((VLOOKUP(Calculations[[#This Row],[Waste type 2]],WasteDisposalEmissions[#All],3,FALSE))*Calculations[[#This Row],[Total Kg]]*VLOOKUP(Calculations[[#This Row],[Waste 1]],WasteScenario[#All],3,FALSE),0)</f>
        <v>0</v>
      </c>
      <c r="AB11" s="322">
        <f>SUM(Calculations[[#This Row],[C3 recyc]:[C3 incin]])</f>
        <v>0</v>
      </c>
      <c r="AC11" s="322">
        <f>IFERROR((VLOOKUP(Calculations[[#This Row],[Waste type 2]],WasteLandfillEmissions[#All],2,FALSE))*Calculations[[#This Row],[Total Kg]]*VLOOKUP(Calculations[[#This Row],[Waste 1]],WasteScenario[#All],4,FALSE),0)</f>
        <v>0</v>
      </c>
      <c r="AD11" s="322">
        <f>IFERROR((VLOOKUP(Calculations[[#This Row],[Waste type 2]],WasteLandfillEmissions[#All],3,FALSE))*Calculations[[#This Row],[Total Kg]]*VLOOKUP(Calculations[[#This Row],[Waste 1]],WasteScenario[#All],4,FALSE),0)</f>
        <v>0</v>
      </c>
      <c r="AE11" s="322">
        <f>SUM(Calculations[[#This Row],[C4 landfill]:[C4 re-use]])</f>
        <v>0</v>
      </c>
      <c r="AF11" s="322">
        <f>IFERROR(VLOOKUP(Calculations[[#This Row],[Material (choose from dropdown]],MaterialData[#All],8,FALSE),0)</f>
        <v>0</v>
      </c>
      <c r="AG11" s="322">
        <f>IFERROR(Calculations[[#This Row],[Total Kg]]*Calculations[[#This Row],[Seq factor]],0)</f>
        <v>0</v>
      </c>
      <c r="AI11" s="322">
        <f>Calculations[[#This Row],[A1-3]]+Calculations[[#This Row],[A4]]+Calculations[[#This Row],[A5]]+Calculations[[#This Row],[B4]]+Calculations[[#This Row],[C2 total]]+Calculations[[#This Row],[C3 total]]+Calculations[[#This Row],[C4 total]]</f>
        <v>0</v>
      </c>
      <c r="AJ11" s="2">
        <f>IFERROR(VLOOKUP(Calculations[[#This Row],[Material (choose from dropdown]],MaterialData[[#Headers],[#Data]],9,FALSE),0)</f>
        <v>0</v>
      </c>
      <c r="AK11" s="4">
        <f>IFERROR(VLOOKUP(Calculations[[#This Row],[Material (choose from dropdown]],MaterialData[[#Headers],[#Data]],10,FALSE),0)</f>
        <v>0</v>
      </c>
      <c r="AL11" s="322">
        <f>IFERROR(Calculations[[#This Row],[Data Quality Score]]*Calculations[[#This Row],[Total Kg]],0)</f>
        <v>0</v>
      </c>
    </row>
    <row r="12" spans="1:38" x14ac:dyDescent="0.3">
      <c r="A12" s="6">
        <f>IFERROR(MaterialsBoQ[[#This Row],[Scope Element]],0)</f>
        <v>0</v>
      </c>
      <c r="B12">
        <f>IFERROR(MaterialsBoQ[[#This Row],[Material ]],"")</f>
        <v>0</v>
      </c>
      <c r="C12">
        <f>IFERROR(MaterialsBoQ[[#This Row],[Unit]],"")</f>
        <v>0</v>
      </c>
      <c r="D12" s="322">
        <f>IFERROR(MaterialsBoQ[[#This Row],[Number]],0)</f>
        <v>0</v>
      </c>
      <c r="E12" s="322">
        <f>IFERROR(MaterialsBoQ[[#This Row],[Kg per unit]],0)</f>
        <v>0</v>
      </c>
      <c r="F12" s="322">
        <f>IFERROR(Calculations[[#This Row],[Number]]*Calculations[[#This Row],[Conversion factor]],0)</f>
        <v>0</v>
      </c>
      <c r="G12" s="322">
        <f>IFERROR(VLOOKUP(Calculations[[#This Row],[Material (choose from dropdown]],MaterialData[#All],7,FALSE),0)</f>
        <v>0</v>
      </c>
      <c r="H12" s="322">
        <f>Calculations[[#This Row],[Total Kg]]*Calculations[[#This Row],[Carbon Factor]]</f>
        <v>0</v>
      </c>
      <c r="I12" t="str">
        <f>IFERROR(VLOOKUP(Calculations[[#This Row],[Material (choose from dropdown]],MaterialData[#All],2,FALSE),"")</f>
        <v/>
      </c>
      <c r="J12" s="322">
        <f>IFERROR(((VLOOKUP(Calculations[[#This Row],[TransportSource]],TransportDistance[],2,FALSE)*'Stage assumptions'!$C$11)+VLOOKUP(Calculations[[#This Row],[TransportSource]],TransportDistance[],3,FALSE)*'Stage assumptions'!$C$12)*Calculations[[#This Row],[Total Kg]],0)</f>
        <v>0</v>
      </c>
      <c r="K12">
        <f>IFERROR(VLOOKUP(Calculations[[#This Row],[Material (choose from dropdown]], MaterialData[#All],3, FALSE),0)</f>
        <v>0</v>
      </c>
      <c r="L12" s="322">
        <f>IFERROR(VLOOKUP(Calculations[[#This Row],[A5type]],A5WastageRate[#All],2,FALSE)*Calculations[[#This Row],[A1-3]],0)</f>
        <v>0</v>
      </c>
      <c r="N12">
        <f>IFERROR(ROUNDUP(50/VLOOKUP(Calculations[[#This Row],[Scope Element]],B4referenceServiceLife[[Tier 2 element]:[Default Service Life]],2, FALSE)-1,0),0)</f>
        <v>0</v>
      </c>
      <c r="O12" s="322">
        <f>IFERROR((Calculations[[#This Row],[A1-3]]+Calculations[[#This Row],[A4]]+Calculations[[#This Row],[A5]]+Calculations[[#This Row],[C2 total]]+Calculations[[#This Row],[C3 total]]+Calculations[[#This Row],[C4 total]])*Calculations[[#This Row],[Replacements]],0)</f>
        <v>0</v>
      </c>
      <c r="S12" t="str">
        <f>IFERROR(VLOOKUP(Calculations[[#This Row],[Material (choose from dropdown]],MaterialData[#All],4,FALSE),"")</f>
        <v/>
      </c>
      <c r="T12" s="322" cm="1">
        <f t="array" ref="T12">IFERROR(VLOOKUP(Calculations[[#This Row],[Waste 1]],WasteScenario[#All],2,FALSE)*'Stage assumptions'!$C$225*WasteTransportMethod[Emissions Factor
kgCO2e/kg.km]*Calculations[[#This Row],[Total Kg]],0)</f>
        <v>0</v>
      </c>
      <c r="U12" s="322" cm="1">
        <f t="array" ref="U12">IFERROR(VLOOKUP(Calculations[[#This Row],[Waste 1]],WasteScenario[#All],3,FALSE)*'Stage assumptions'!$C$224*WasteTransportMethod[Emissions Factor
kgCO2e/kg.km]*Calculations[[#This Row],[Total Kg]],0)</f>
        <v>0</v>
      </c>
      <c r="V12" s="322" cm="1">
        <f t="array" ref="V12">IFERROR(VLOOKUP(Calculations[[#This Row],[Waste 1]],WasteScenario[#All],4,FALSE)*'Stage assumptions'!$C$223*WasteTransportMethod[Emissions Factor
kgCO2e/kg.km]*Calculations[[#This Row],[Total Kg]],0)</f>
        <v>0</v>
      </c>
      <c r="W12" s="322" cm="1">
        <f t="array" ref="W12">IFERROR(VLOOKUP(Calculations[[#This Row],[Waste 1]],WasteScenario[#All],5,FALSE)*'Stage assumptions'!$C$226*WasteTransportMethod[Emissions Factor
kgCO2e/kg.km]*Calculations[[#This Row],[Total Kg]],0)</f>
        <v>0</v>
      </c>
      <c r="X12" s="322">
        <f>SUM(Calculations[[#This Row],[C2 Recycle]:[C2 Reuse]])</f>
        <v>0</v>
      </c>
      <c r="Y12" t="str">
        <f>IFERROR(VLOOKUP(Calculations[[#This Row],[Material (choose from dropdown]],MaterialData[#All],5,FALSE),"")</f>
        <v/>
      </c>
      <c r="Z12" s="322">
        <f>IFERROR(((VLOOKUP(Calculations[[#This Row],[Waste type 2]],WasteDisposalEmissions[#All],2,FALSE))*Calculations[[#This Row],[Total Kg]])*VLOOKUP(Calculations[[#This Row],[Waste 1]],WasteScenario[#All],2,FALSE),0)</f>
        <v>0</v>
      </c>
      <c r="AA12" s="322">
        <f>IFERROR((VLOOKUP(Calculations[[#This Row],[Waste type 2]],WasteDisposalEmissions[#All],3,FALSE))*Calculations[[#This Row],[Total Kg]]*VLOOKUP(Calculations[[#This Row],[Waste 1]],WasteScenario[#All],3,FALSE),0)</f>
        <v>0</v>
      </c>
      <c r="AB12" s="322">
        <f>SUM(Calculations[[#This Row],[C3 recyc]:[C3 incin]])</f>
        <v>0</v>
      </c>
      <c r="AC12" s="322">
        <f>IFERROR((VLOOKUP(Calculations[[#This Row],[Waste type 2]],WasteLandfillEmissions[#All],2,FALSE))*Calculations[[#This Row],[Total Kg]]*VLOOKUP(Calculations[[#This Row],[Waste 1]],WasteScenario[#All],4,FALSE),0)</f>
        <v>0</v>
      </c>
      <c r="AD12" s="322">
        <f>IFERROR((VLOOKUP(Calculations[[#This Row],[Waste type 2]],WasteLandfillEmissions[#All],3,FALSE))*Calculations[[#This Row],[Total Kg]]*VLOOKUP(Calculations[[#This Row],[Waste 1]],WasteScenario[#All],4,FALSE),0)</f>
        <v>0</v>
      </c>
      <c r="AE12" s="322">
        <f>SUM(Calculations[[#This Row],[C4 landfill]:[C4 re-use]])</f>
        <v>0</v>
      </c>
      <c r="AF12" s="322">
        <f>IFERROR(VLOOKUP(Calculations[[#This Row],[Material (choose from dropdown]],MaterialData[#All],8,FALSE),0)</f>
        <v>0</v>
      </c>
      <c r="AG12" s="322">
        <f>IFERROR(Calculations[[#This Row],[Total Kg]]*Calculations[[#This Row],[Seq factor]],0)</f>
        <v>0</v>
      </c>
      <c r="AI12" s="322">
        <f>Calculations[[#This Row],[A1-3]]+Calculations[[#This Row],[A4]]+Calculations[[#This Row],[A5]]+Calculations[[#This Row],[B4]]+Calculations[[#This Row],[C2 total]]+Calculations[[#This Row],[C3 total]]+Calculations[[#This Row],[C4 total]]</f>
        <v>0</v>
      </c>
      <c r="AJ12" s="2">
        <f>IFERROR(VLOOKUP(Calculations[[#This Row],[Material (choose from dropdown]],MaterialData[[#Headers],[#Data]],9,FALSE),0)</f>
        <v>0</v>
      </c>
      <c r="AK12" s="4">
        <f>IFERROR(VLOOKUP(Calculations[[#This Row],[Material (choose from dropdown]],MaterialData[[#Headers],[#Data]],10,FALSE),0)</f>
        <v>0</v>
      </c>
      <c r="AL12" s="322">
        <f>IFERROR(Calculations[[#This Row],[Data Quality Score]]*Calculations[[#This Row],[Total Kg]],0)</f>
        <v>0</v>
      </c>
    </row>
    <row r="13" spans="1:38" x14ac:dyDescent="0.3">
      <c r="A13" s="6">
        <f>IFERROR(MaterialsBoQ[[#This Row],[Scope Element]],0)</f>
        <v>0</v>
      </c>
      <c r="B13">
        <f>IFERROR(MaterialsBoQ[[#This Row],[Material ]],"")</f>
        <v>0</v>
      </c>
      <c r="C13">
        <f>IFERROR(MaterialsBoQ[[#This Row],[Unit]],"")</f>
        <v>0</v>
      </c>
      <c r="D13" s="322">
        <f>IFERROR(MaterialsBoQ[[#This Row],[Number]],0)</f>
        <v>0</v>
      </c>
      <c r="E13" s="322">
        <f>IFERROR(MaterialsBoQ[[#This Row],[Kg per unit]],0)</f>
        <v>0</v>
      </c>
      <c r="F13" s="322">
        <f>IFERROR(Calculations[[#This Row],[Number]]*Calculations[[#This Row],[Conversion factor]],0)</f>
        <v>0</v>
      </c>
      <c r="G13" s="322">
        <f>IFERROR(VLOOKUP(Calculations[[#This Row],[Material (choose from dropdown]],MaterialData[#All],7,FALSE),0)</f>
        <v>0</v>
      </c>
      <c r="H13" s="322">
        <f>Calculations[[#This Row],[Total Kg]]*Calculations[[#This Row],[Carbon Factor]]</f>
        <v>0</v>
      </c>
      <c r="I13" t="str">
        <f>IFERROR(VLOOKUP(Calculations[[#This Row],[Material (choose from dropdown]],MaterialData[#All],2,FALSE),"")</f>
        <v/>
      </c>
      <c r="J13" s="322">
        <f>IFERROR(((VLOOKUP(Calculations[[#This Row],[TransportSource]],TransportDistance[],2,FALSE)*'Stage assumptions'!$C$11)+VLOOKUP(Calculations[[#This Row],[TransportSource]],TransportDistance[],3,FALSE)*'Stage assumptions'!$C$12)*Calculations[[#This Row],[Total Kg]],0)</f>
        <v>0</v>
      </c>
      <c r="K13">
        <f>IFERROR(VLOOKUP(Calculations[[#This Row],[Material (choose from dropdown]], MaterialData[#All],3, FALSE),0)</f>
        <v>0</v>
      </c>
      <c r="L13" s="322">
        <f>IFERROR(VLOOKUP(Calculations[[#This Row],[A5type]],A5WastageRate[#All],2,FALSE)*Calculations[[#This Row],[A1-3]],0)</f>
        <v>0</v>
      </c>
      <c r="N13">
        <f>IFERROR(ROUNDUP(50/VLOOKUP(Calculations[[#This Row],[Scope Element]],B4referenceServiceLife[[Tier 2 element]:[Default Service Life]],2, FALSE)-1,0),0)</f>
        <v>0</v>
      </c>
      <c r="O13" s="322">
        <f>IFERROR((Calculations[[#This Row],[A1-3]]+Calculations[[#This Row],[A4]]+Calculations[[#This Row],[A5]]+Calculations[[#This Row],[C2 total]]+Calculations[[#This Row],[C3 total]]+Calculations[[#This Row],[C4 total]])*Calculations[[#This Row],[Replacements]],0)</f>
        <v>0</v>
      </c>
      <c r="S13" t="str">
        <f>IFERROR(VLOOKUP(Calculations[[#This Row],[Material (choose from dropdown]],MaterialData[#All],4,FALSE),"")</f>
        <v/>
      </c>
      <c r="T13" s="322" cm="1">
        <f t="array" ref="T13">IFERROR(VLOOKUP(Calculations[[#This Row],[Waste 1]],WasteScenario[#All],2,FALSE)*'Stage assumptions'!$C$225*WasteTransportMethod[Emissions Factor
kgCO2e/kg.km]*Calculations[[#This Row],[Total Kg]],0)</f>
        <v>0</v>
      </c>
      <c r="U13" s="322" cm="1">
        <f t="array" ref="U13">IFERROR(VLOOKUP(Calculations[[#This Row],[Waste 1]],WasteScenario[#All],3,FALSE)*'Stage assumptions'!$C$224*WasteTransportMethod[Emissions Factor
kgCO2e/kg.km]*Calculations[[#This Row],[Total Kg]],0)</f>
        <v>0</v>
      </c>
      <c r="V13" s="322" cm="1">
        <f t="array" ref="V13">IFERROR(VLOOKUP(Calculations[[#This Row],[Waste 1]],WasteScenario[#All],4,FALSE)*'Stage assumptions'!$C$223*WasteTransportMethod[Emissions Factor
kgCO2e/kg.km]*Calculations[[#This Row],[Total Kg]],0)</f>
        <v>0</v>
      </c>
      <c r="W13" s="322" cm="1">
        <f t="array" ref="W13">IFERROR(VLOOKUP(Calculations[[#This Row],[Waste 1]],WasteScenario[#All],5,FALSE)*'Stage assumptions'!$C$226*WasteTransportMethod[Emissions Factor
kgCO2e/kg.km]*Calculations[[#This Row],[Total Kg]],0)</f>
        <v>0</v>
      </c>
      <c r="X13" s="322">
        <f>SUM(Calculations[[#This Row],[C2 Recycle]:[C2 Reuse]])</f>
        <v>0</v>
      </c>
      <c r="Y13" t="str">
        <f>IFERROR(VLOOKUP(Calculations[[#This Row],[Material (choose from dropdown]],MaterialData[#All],5,FALSE),"")</f>
        <v/>
      </c>
      <c r="Z13" s="322">
        <f>IFERROR(((VLOOKUP(Calculations[[#This Row],[Waste type 2]],WasteDisposalEmissions[#All],2,FALSE))*Calculations[[#This Row],[Total Kg]])*VLOOKUP(Calculations[[#This Row],[Waste 1]],WasteScenario[#All],2,FALSE),0)</f>
        <v>0</v>
      </c>
      <c r="AA13" s="322">
        <f>IFERROR((VLOOKUP(Calculations[[#This Row],[Waste type 2]],WasteDisposalEmissions[#All],3,FALSE))*Calculations[[#This Row],[Total Kg]]*VLOOKUP(Calculations[[#This Row],[Waste 1]],WasteScenario[#All],3,FALSE),0)</f>
        <v>0</v>
      </c>
      <c r="AB13" s="322">
        <f>SUM(Calculations[[#This Row],[C3 recyc]:[C3 incin]])</f>
        <v>0</v>
      </c>
      <c r="AC13" s="322">
        <f>IFERROR((VLOOKUP(Calculations[[#This Row],[Waste type 2]],WasteLandfillEmissions[#All],2,FALSE))*Calculations[[#This Row],[Total Kg]]*VLOOKUP(Calculations[[#This Row],[Waste 1]],WasteScenario[#All],4,FALSE),0)</f>
        <v>0</v>
      </c>
      <c r="AD13" s="322">
        <f>IFERROR((VLOOKUP(Calculations[[#This Row],[Waste type 2]],WasteLandfillEmissions[#All],3,FALSE))*Calculations[[#This Row],[Total Kg]]*VLOOKUP(Calculations[[#This Row],[Waste 1]],WasteScenario[#All],4,FALSE),0)</f>
        <v>0</v>
      </c>
      <c r="AE13" s="322">
        <f>SUM(Calculations[[#This Row],[C4 landfill]:[C4 re-use]])</f>
        <v>0</v>
      </c>
      <c r="AF13" s="322">
        <f>IFERROR(VLOOKUP(Calculations[[#This Row],[Material (choose from dropdown]],MaterialData[#All],8,FALSE),0)</f>
        <v>0</v>
      </c>
      <c r="AG13" s="322">
        <f>IFERROR(Calculations[[#This Row],[Total Kg]]*Calculations[[#This Row],[Seq factor]],0)</f>
        <v>0</v>
      </c>
      <c r="AI13" s="322">
        <f>Calculations[[#This Row],[A1-3]]+Calculations[[#This Row],[A4]]+Calculations[[#This Row],[A5]]+Calculations[[#This Row],[B4]]+Calculations[[#This Row],[C2 total]]+Calculations[[#This Row],[C3 total]]+Calculations[[#This Row],[C4 total]]</f>
        <v>0</v>
      </c>
      <c r="AJ13" s="2">
        <f>IFERROR(VLOOKUP(Calculations[[#This Row],[Material (choose from dropdown]],MaterialData[[#Headers],[#Data]],9,FALSE),0)</f>
        <v>0</v>
      </c>
      <c r="AK13" s="4">
        <f>IFERROR(VLOOKUP(Calculations[[#This Row],[Material (choose from dropdown]],MaterialData[[#Headers],[#Data]],10,FALSE),0)</f>
        <v>0</v>
      </c>
      <c r="AL13" s="322">
        <f>IFERROR(Calculations[[#This Row],[Data Quality Score]]*Calculations[[#This Row],[Total Kg]],0)</f>
        <v>0</v>
      </c>
    </row>
    <row r="14" spans="1:38" x14ac:dyDescent="0.3">
      <c r="A14" s="6">
        <f>IFERROR(MaterialsBoQ[[#This Row],[Scope Element]],0)</f>
        <v>0</v>
      </c>
      <c r="B14">
        <f>IFERROR(MaterialsBoQ[[#This Row],[Material ]],"")</f>
        <v>0</v>
      </c>
      <c r="C14">
        <f>IFERROR(MaterialsBoQ[[#This Row],[Unit]],"")</f>
        <v>0</v>
      </c>
      <c r="D14" s="322">
        <f>IFERROR(MaterialsBoQ[[#This Row],[Number]],0)</f>
        <v>0</v>
      </c>
      <c r="E14" s="322">
        <f>IFERROR(MaterialsBoQ[[#This Row],[Kg per unit]],0)</f>
        <v>0</v>
      </c>
      <c r="F14" s="322">
        <f>IFERROR(Calculations[[#This Row],[Number]]*Calculations[[#This Row],[Conversion factor]],0)</f>
        <v>0</v>
      </c>
      <c r="G14" s="322">
        <f>IFERROR(VLOOKUP(Calculations[[#This Row],[Material (choose from dropdown]],MaterialData[#All],7,FALSE),0)</f>
        <v>0</v>
      </c>
      <c r="H14" s="322">
        <f>Calculations[[#This Row],[Total Kg]]*Calculations[[#This Row],[Carbon Factor]]</f>
        <v>0</v>
      </c>
      <c r="I14" t="str">
        <f>IFERROR(VLOOKUP(Calculations[[#This Row],[Material (choose from dropdown]],MaterialData[#All],2,FALSE),"")</f>
        <v/>
      </c>
      <c r="J14" s="322">
        <f>IFERROR(((VLOOKUP(Calculations[[#This Row],[TransportSource]],TransportDistance[],2,FALSE)*'Stage assumptions'!$C$11)+VLOOKUP(Calculations[[#This Row],[TransportSource]],TransportDistance[],3,FALSE)*'Stage assumptions'!$C$12)*Calculations[[#This Row],[Total Kg]],0)</f>
        <v>0</v>
      </c>
      <c r="K14">
        <f>IFERROR(VLOOKUP(Calculations[[#This Row],[Material (choose from dropdown]], MaterialData[#All],3, FALSE),0)</f>
        <v>0</v>
      </c>
      <c r="L14" s="322">
        <f>IFERROR(VLOOKUP(Calculations[[#This Row],[A5type]],A5WastageRate[#All],2,FALSE)*Calculations[[#This Row],[A1-3]],0)</f>
        <v>0</v>
      </c>
      <c r="N14">
        <f>IFERROR(ROUNDUP(50/VLOOKUP(Calculations[[#This Row],[Scope Element]],B4referenceServiceLife[[Tier 2 element]:[Default Service Life]],2, FALSE)-1,0),0)</f>
        <v>0</v>
      </c>
      <c r="O14" s="322">
        <f>IFERROR((Calculations[[#This Row],[A1-3]]+Calculations[[#This Row],[A4]]+Calculations[[#This Row],[A5]]+Calculations[[#This Row],[C2 total]]+Calculations[[#This Row],[C3 total]]+Calculations[[#This Row],[C4 total]])*Calculations[[#This Row],[Replacements]],0)</f>
        <v>0</v>
      </c>
      <c r="S14" t="str">
        <f>IFERROR(VLOOKUP(Calculations[[#This Row],[Material (choose from dropdown]],MaterialData[#All],4,FALSE),"")</f>
        <v/>
      </c>
      <c r="T14" s="322" cm="1">
        <f t="array" ref="T14">IFERROR(VLOOKUP(Calculations[[#This Row],[Waste 1]],WasteScenario[#All],2,FALSE)*'Stage assumptions'!$C$225*WasteTransportMethod[Emissions Factor
kgCO2e/kg.km]*Calculations[[#This Row],[Total Kg]],0)</f>
        <v>0</v>
      </c>
      <c r="U14" s="322" cm="1">
        <f t="array" ref="U14">IFERROR(VLOOKUP(Calculations[[#This Row],[Waste 1]],WasteScenario[#All],3,FALSE)*'Stage assumptions'!$C$224*WasteTransportMethod[Emissions Factor
kgCO2e/kg.km]*Calculations[[#This Row],[Total Kg]],0)</f>
        <v>0</v>
      </c>
      <c r="V14" s="322" cm="1">
        <f t="array" ref="V14">IFERROR(VLOOKUP(Calculations[[#This Row],[Waste 1]],WasteScenario[#All],4,FALSE)*'Stage assumptions'!$C$223*WasteTransportMethod[Emissions Factor
kgCO2e/kg.km]*Calculations[[#This Row],[Total Kg]],0)</f>
        <v>0</v>
      </c>
      <c r="W14" s="322" cm="1">
        <f t="array" ref="W14">IFERROR(VLOOKUP(Calculations[[#This Row],[Waste 1]],WasteScenario[#All],5,FALSE)*'Stage assumptions'!$C$226*WasteTransportMethod[Emissions Factor
kgCO2e/kg.km]*Calculations[[#This Row],[Total Kg]],0)</f>
        <v>0</v>
      </c>
      <c r="X14" s="322">
        <f>SUM(Calculations[[#This Row],[C2 Recycle]:[C2 Reuse]])</f>
        <v>0</v>
      </c>
      <c r="Y14" t="str">
        <f>IFERROR(VLOOKUP(Calculations[[#This Row],[Material (choose from dropdown]],MaterialData[#All],5,FALSE),"")</f>
        <v/>
      </c>
      <c r="Z14" s="322">
        <f>IFERROR(((VLOOKUP(Calculations[[#This Row],[Waste type 2]],WasteDisposalEmissions[#All],2,FALSE))*Calculations[[#This Row],[Total Kg]])*VLOOKUP(Calculations[[#This Row],[Waste 1]],WasteScenario[#All],2,FALSE),0)</f>
        <v>0</v>
      </c>
      <c r="AA14" s="322">
        <f>IFERROR((VLOOKUP(Calculations[[#This Row],[Waste type 2]],WasteDisposalEmissions[#All],3,FALSE))*Calculations[[#This Row],[Total Kg]]*VLOOKUP(Calculations[[#This Row],[Waste 1]],WasteScenario[#All],3,FALSE),0)</f>
        <v>0</v>
      </c>
      <c r="AB14" s="322">
        <f>SUM(Calculations[[#This Row],[C3 recyc]:[C3 incin]])</f>
        <v>0</v>
      </c>
      <c r="AC14" s="322">
        <f>IFERROR((VLOOKUP(Calculations[[#This Row],[Waste type 2]],WasteLandfillEmissions[#All],2,FALSE))*Calculations[[#This Row],[Total Kg]]*VLOOKUP(Calculations[[#This Row],[Waste 1]],WasteScenario[#All],4,FALSE),0)</f>
        <v>0</v>
      </c>
      <c r="AD14" s="322">
        <f>IFERROR((VLOOKUP(Calculations[[#This Row],[Waste type 2]],WasteLandfillEmissions[#All],3,FALSE))*Calculations[[#This Row],[Total Kg]]*VLOOKUP(Calculations[[#This Row],[Waste 1]],WasteScenario[#All],4,FALSE),0)</f>
        <v>0</v>
      </c>
      <c r="AE14" s="322">
        <f>SUM(Calculations[[#This Row],[C4 landfill]:[C4 re-use]])</f>
        <v>0</v>
      </c>
      <c r="AF14" s="322">
        <f>IFERROR(VLOOKUP(Calculations[[#This Row],[Material (choose from dropdown]],MaterialData[#All],8,FALSE),0)</f>
        <v>0</v>
      </c>
      <c r="AG14" s="322">
        <f>IFERROR(Calculations[[#This Row],[Total Kg]]*Calculations[[#This Row],[Seq factor]],0)</f>
        <v>0</v>
      </c>
      <c r="AI14" s="322">
        <f>Calculations[[#This Row],[A1-3]]+Calculations[[#This Row],[A4]]+Calculations[[#This Row],[A5]]+Calculations[[#This Row],[B4]]+Calculations[[#This Row],[C2 total]]+Calculations[[#This Row],[C3 total]]+Calculations[[#This Row],[C4 total]]</f>
        <v>0</v>
      </c>
      <c r="AJ14" s="2">
        <f>IFERROR(VLOOKUP(Calculations[[#This Row],[Material (choose from dropdown]],MaterialData[[#Headers],[#Data]],9,FALSE),0)</f>
        <v>0</v>
      </c>
      <c r="AK14" s="4">
        <f>IFERROR(VLOOKUP(Calculations[[#This Row],[Material (choose from dropdown]],MaterialData[[#Headers],[#Data]],10,FALSE),0)</f>
        <v>0</v>
      </c>
      <c r="AL14" s="322">
        <f>IFERROR(Calculations[[#This Row],[Data Quality Score]]*Calculations[[#This Row],[Total Kg]],0)</f>
        <v>0</v>
      </c>
    </row>
    <row r="15" spans="1:38" x14ac:dyDescent="0.3">
      <c r="A15" s="6">
        <f>IFERROR(MaterialsBoQ[[#This Row],[Scope Element]],0)</f>
        <v>0</v>
      </c>
      <c r="B15">
        <f>IFERROR(MaterialsBoQ[[#This Row],[Material ]],"")</f>
        <v>0</v>
      </c>
      <c r="C15">
        <f>IFERROR(MaterialsBoQ[[#This Row],[Unit]],"")</f>
        <v>0</v>
      </c>
      <c r="D15" s="322">
        <f>IFERROR(MaterialsBoQ[[#This Row],[Number]],0)</f>
        <v>0</v>
      </c>
      <c r="E15" s="322">
        <f>IFERROR(MaterialsBoQ[[#This Row],[Kg per unit]],0)</f>
        <v>0</v>
      </c>
      <c r="F15" s="322">
        <f>IFERROR(Calculations[[#This Row],[Number]]*Calculations[[#This Row],[Conversion factor]],0)</f>
        <v>0</v>
      </c>
      <c r="G15" s="322">
        <f>IFERROR(VLOOKUP(Calculations[[#This Row],[Material (choose from dropdown]],MaterialData[#All],7,FALSE),0)</f>
        <v>0</v>
      </c>
      <c r="H15" s="322">
        <f>Calculations[[#This Row],[Total Kg]]*Calculations[[#This Row],[Carbon Factor]]</f>
        <v>0</v>
      </c>
      <c r="I15" t="str">
        <f>IFERROR(VLOOKUP(Calculations[[#This Row],[Material (choose from dropdown]],MaterialData[#All],2,FALSE),"")</f>
        <v/>
      </c>
      <c r="J15" s="322">
        <f>IFERROR(((VLOOKUP(Calculations[[#This Row],[TransportSource]],TransportDistance[],2,FALSE)*'Stage assumptions'!$C$11)+VLOOKUP(Calculations[[#This Row],[TransportSource]],TransportDistance[],3,FALSE)*'Stage assumptions'!$C$12)*Calculations[[#This Row],[Total Kg]],0)</f>
        <v>0</v>
      </c>
      <c r="K15">
        <f>IFERROR(VLOOKUP(Calculations[[#This Row],[Material (choose from dropdown]], MaterialData[#All],3, FALSE),0)</f>
        <v>0</v>
      </c>
      <c r="L15" s="322">
        <f>IFERROR(VLOOKUP(Calculations[[#This Row],[A5type]],A5WastageRate[#All],2,FALSE)*Calculations[[#This Row],[A1-3]],0)</f>
        <v>0</v>
      </c>
      <c r="N15">
        <f>IFERROR(ROUNDUP(50/VLOOKUP(Calculations[[#This Row],[Scope Element]],B4referenceServiceLife[[Tier 2 element]:[Default Service Life]],2, FALSE)-1,0),0)</f>
        <v>0</v>
      </c>
      <c r="O15" s="322">
        <f>IFERROR((Calculations[[#This Row],[A1-3]]+Calculations[[#This Row],[A4]]+Calculations[[#This Row],[A5]]+Calculations[[#This Row],[C2 total]]+Calculations[[#This Row],[C3 total]]+Calculations[[#This Row],[C4 total]])*Calculations[[#This Row],[Replacements]],0)</f>
        <v>0</v>
      </c>
      <c r="S15" t="str">
        <f>IFERROR(VLOOKUP(Calculations[[#This Row],[Material (choose from dropdown]],MaterialData[#All],4,FALSE),"")</f>
        <v/>
      </c>
      <c r="T15" s="322" cm="1">
        <f t="array" ref="T15">IFERROR(VLOOKUP(Calculations[[#This Row],[Waste 1]],WasteScenario[#All],2,FALSE)*'Stage assumptions'!$C$225*WasteTransportMethod[Emissions Factor
kgCO2e/kg.km]*Calculations[[#This Row],[Total Kg]],0)</f>
        <v>0</v>
      </c>
      <c r="U15" s="322" cm="1">
        <f t="array" ref="U15">IFERROR(VLOOKUP(Calculations[[#This Row],[Waste 1]],WasteScenario[#All],3,FALSE)*'Stage assumptions'!$C$224*WasteTransportMethod[Emissions Factor
kgCO2e/kg.km]*Calculations[[#This Row],[Total Kg]],0)</f>
        <v>0</v>
      </c>
      <c r="V15" s="322" cm="1">
        <f t="array" ref="V15">IFERROR(VLOOKUP(Calculations[[#This Row],[Waste 1]],WasteScenario[#All],4,FALSE)*'Stage assumptions'!$C$223*WasteTransportMethod[Emissions Factor
kgCO2e/kg.km]*Calculations[[#This Row],[Total Kg]],0)</f>
        <v>0</v>
      </c>
      <c r="W15" s="322" cm="1">
        <f t="array" ref="W15">IFERROR(VLOOKUP(Calculations[[#This Row],[Waste 1]],WasteScenario[#All],5,FALSE)*'Stage assumptions'!$C$226*WasteTransportMethod[Emissions Factor
kgCO2e/kg.km]*Calculations[[#This Row],[Total Kg]],0)</f>
        <v>0</v>
      </c>
      <c r="X15" s="322">
        <f>SUM(Calculations[[#This Row],[C2 Recycle]:[C2 Reuse]])</f>
        <v>0</v>
      </c>
      <c r="Y15" t="str">
        <f>IFERROR(VLOOKUP(Calculations[[#This Row],[Material (choose from dropdown]],MaterialData[#All],5,FALSE),"")</f>
        <v/>
      </c>
      <c r="Z15" s="322">
        <f>IFERROR(((VLOOKUP(Calculations[[#This Row],[Waste type 2]],WasteDisposalEmissions[#All],2,FALSE))*Calculations[[#This Row],[Total Kg]])*VLOOKUP(Calculations[[#This Row],[Waste 1]],WasteScenario[#All],2,FALSE),0)</f>
        <v>0</v>
      </c>
      <c r="AA15" s="322">
        <f>IFERROR((VLOOKUP(Calculations[[#This Row],[Waste type 2]],WasteDisposalEmissions[#All],3,FALSE))*Calculations[[#This Row],[Total Kg]]*VLOOKUP(Calculations[[#This Row],[Waste 1]],WasteScenario[#All],3,FALSE),0)</f>
        <v>0</v>
      </c>
      <c r="AB15" s="322">
        <f>SUM(Calculations[[#This Row],[C3 recyc]:[C3 incin]])</f>
        <v>0</v>
      </c>
      <c r="AC15" s="322">
        <f>IFERROR((VLOOKUP(Calculations[[#This Row],[Waste type 2]],WasteLandfillEmissions[#All],2,FALSE))*Calculations[[#This Row],[Total Kg]]*VLOOKUP(Calculations[[#This Row],[Waste 1]],WasteScenario[#All],4,FALSE),0)</f>
        <v>0</v>
      </c>
      <c r="AD15" s="322">
        <f>IFERROR((VLOOKUP(Calculations[[#This Row],[Waste type 2]],WasteLandfillEmissions[#All],3,FALSE))*Calculations[[#This Row],[Total Kg]]*VLOOKUP(Calculations[[#This Row],[Waste 1]],WasteScenario[#All],4,FALSE),0)</f>
        <v>0</v>
      </c>
      <c r="AE15" s="322">
        <f>SUM(Calculations[[#This Row],[C4 landfill]:[C4 re-use]])</f>
        <v>0</v>
      </c>
      <c r="AF15" s="322">
        <f>IFERROR(VLOOKUP(Calculations[[#This Row],[Material (choose from dropdown]],MaterialData[#All],8,FALSE),0)</f>
        <v>0</v>
      </c>
      <c r="AG15" s="322">
        <f>IFERROR(Calculations[[#This Row],[Total Kg]]*Calculations[[#This Row],[Seq factor]],0)</f>
        <v>0</v>
      </c>
      <c r="AI15" s="322">
        <f>Calculations[[#This Row],[A1-3]]+Calculations[[#This Row],[A4]]+Calculations[[#This Row],[A5]]+Calculations[[#This Row],[B4]]+Calculations[[#This Row],[C2 total]]+Calculations[[#This Row],[C3 total]]+Calculations[[#This Row],[C4 total]]</f>
        <v>0</v>
      </c>
      <c r="AJ15" s="2">
        <f>IFERROR(VLOOKUP(Calculations[[#This Row],[Material (choose from dropdown]],MaterialData[[#Headers],[#Data]],9,FALSE),0)</f>
        <v>0</v>
      </c>
      <c r="AK15" s="4">
        <f>IFERROR(VLOOKUP(Calculations[[#This Row],[Material (choose from dropdown]],MaterialData[[#Headers],[#Data]],10,FALSE),0)</f>
        <v>0</v>
      </c>
      <c r="AL15" s="322">
        <f>IFERROR(Calculations[[#This Row],[Data Quality Score]]*Calculations[[#This Row],[Total Kg]],0)</f>
        <v>0</v>
      </c>
    </row>
    <row r="16" spans="1:38" x14ac:dyDescent="0.3">
      <c r="A16" s="6">
        <f>IFERROR(MaterialsBoQ[[#This Row],[Scope Element]],0)</f>
        <v>0</v>
      </c>
      <c r="B16">
        <f>IFERROR(MaterialsBoQ[[#This Row],[Material ]],"")</f>
        <v>0</v>
      </c>
      <c r="C16">
        <f>IFERROR(MaterialsBoQ[[#This Row],[Unit]],"")</f>
        <v>0</v>
      </c>
      <c r="D16" s="322">
        <f>IFERROR(MaterialsBoQ[[#This Row],[Number]],0)</f>
        <v>0</v>
      </c>
      <c r="E16" s="322">
        <f>IFERROR(MaterialsBoQ[[#This Row],[Kg per unit]],0)</f>
        <v>0</v>
      </c>
      <c r="F16" s="322">
        <f>IFERROR(Calculations[[#This Row],[Number]]*Calculations[[#This Row],[Conversion factor]],0)</f>
        <v>0</v>
      </c>
      <c r="G16" s="322">
        <f>IFERROR(VLOOKUP(Calculations[[#This Row],[Material (choose from dropdown]],MaterialData[#All],7,FALSE),0)</f>
        <v>0</v>
      </c>
      <c r="H16" s="322">
        <f>Calculations[[#This Row],[Total Kg]]*Calculations[[#This Row],[Carbon Factor]]</f>
        <v>0</v>
      </c>
      <c r="I16" t="str">
        <f>IFERROR(VLOOKUP(Calculations[[#This Row],[Material (choose from dropdown]],MaterialData[#All],2,FALSE),"")</f>
        <v/>
      </c>
      <c r="J16" s="322">
        <f>IFERROR(((VLOOKUP(Calculations[[#This Row],[TransportSource]],TransportDistance[],2,FALSE)*'Stage assumptions'!$C$11)+VLOOKUP(Calculations[[#This Row],[TransportSource]],TransportDistance[],3,FALSE)*'Stage assumptions'!$C$12)*Calculations[[#This Row],[Total Kg]],0)</f>
        <v>0</v>
      </c>
      <c r="K16">
        <f>IFERROR(VLOOKUP(Calculations[[#This Row],[Material (choose from dropdown]], MaterialData[#All],3, FALSE),0)</f>
        <v>0</v>
      </c>
      <c r="L16" s="322">
        <f>IFERROR(VLOOKUP(Calculations[[#This Row],[A5type]],A5WastageRate[#All],2,FALSE)*Calculations[[#This Row],[A1-3]],0)</f>
        <v>0</v>
      </c>
      <c r="N16">
        <f>IFERROR(ROUNDUP(50/VLOOKUP(Calculations[[#This Row],[Scope Element]],B4referenceServiceLife[[Tier 2 element]:[Default Service Life]],2, FALSE)-1,0),0)</f>
        <v>0</v>
      </c>
      <c r="O16" s="322">
        <f>IFERROR((Calculations[[#This Row],[A1-3]]+Calculations[[#This Row],[A4]]+Calculations[[#This Row],[A5]]+Calculations[[#This Row],[C2 total]]+Calculations[[#This Row],[C3 total]]+Calculations[[#This Row],[C4 total]])*Calculations[[#This Row],[Replacements]],0)</f>
        <v>0</v>
      </c>
      <c r="S16" t="str">
        <f>IFERROR(VLOOKUP(Calculations[[#This Row],[Material (choose from dropdown]],MaterialData[#All],4,FALSE),"")</f>
        <v/>
      </c>
      <c r="T16" s="322" cm="1">
        <f t="array" ref="T16">IFERROR(VLOOKUP(Calculations[[#This Row],[Waste 1]],WasteScenario[#All],2,FALSE)*'Stage assumptions'!$C$225*WasteTransportMethod[Emissions Factor
kgCO2e/kg.km]*Calculations[[#This Row],[Total Kg]],0)</f>
        <v>0</v>
      </c>
      <c r="U16" s="322" cm="1">
        <f t="array" ref="U16">IFERROR(VLOOKUP(Calculations[[#This Row],[Waste 1]],WasteScenario[#All],3,FALSE)*'Stage assumptions'!$C$224*WasteTransportMethod[Emissions Factor
kgCO2e/kg.km]*Calculations[[#This Row],[Total Kg]],0)</f>
        <v>0</v>
      </c>
      <c r="V16" s="322" cm="1">
        <f t="array" ref="V16">IFERROR(VLOOKUP(Calculations[[#This Row],[Waste 1]],WasteScenario[#All],4,FALSE)*'Stage assumptions'!$C$223*WasteTransportMethod[Emissions Factor
kgCO2e/kg.km]*Calculations[[#This Row],[Total Kg]],0)</f>
        <v>0</v>
      </c>
      <c r="W16" s="322" cm="1">
        <f t="array" ref="W16">IFERROR(VLOOKUP(Calculations[[#This Row],[Waste 1]],WasteScenario[#All],5,FALSE)*'Stage assumptions'!$C$226*WasteTransportMethod[Emissions Factor
kgCO2e/kg.km]*Calculations[[#This Row],[Total Kg]],0)</f>
        <v>0</v>
      </c>
      <c r="X16" s="322">
        <f>SUM(Calculations[[#This Row],[C2 Recycle]:[C2 Reuse]])</f>
        <v>0</v>
      </c>
      <c r="Y16" t="str">
        <f>IFERROR(VLOOKUP(Calculations[[#This Row],[Material (choose from dropdown]],MaterialData[#All],5,FALSE),"")</f>
        <v/>
      </c>
      <c r="Z16" s="322">
        <f>IFERROR(((VLOOKUP(Calculations[[#This Row],[Waste type 2]],WasteDisposalEmissions[#All],2,FALSE))*Calculations[[#This Row],[Total Kg]])*VLOOKUP(Calculations[[#This Row],[Waste 1]],WasteScenario[#All],2,FALSE),0)</f>
        <v>0</v>
      </c>
      <c r="AA16" s="322">
        <f>IFERROR((VLOOKUP(Calculations[[#This Row],[Waste type 2]],WasteDisposalEmissions[#All],3,FALSE))*Calculations[[#This Row],[Total Kg]]*VLOOKUP(Calculations[[#This Row],[Waste 1]],WasteScenario[#All],3,FALSE),0)</f>
        <v>0</v>
      </c>
      <c r="AB16" s="322">
        <f>SUM(Calculations[[#This Row],[C3 recyc]:[C3 incin]])</f>
        <v>0</v>
      </c>
      <c r="AC16" s="322">
        <f>IFERROR((VLOOKUP(Calculations[[#This Row],[Waste type 2]],WasteLandfillEmissions[#All],2,FALSE))*Calculations[[#This Row],[Total Kg]]*VLOOKUP(Calculations[[#This Row],[Waste 1]],WasteScenario[#All],4,FALSE),0)</f>
        <v>0</v>
      </c>
      <c r="AD16" s="322">
        <f>IFERROR((VLOOKUP(Calculations[[#This Row],[Waste type 2]],WasteLandfillEmissions[#All],3,FALSE))*Calculations[[#This Row],[Total Kg]]*VLOOKUP(Calculations[[#This Row],[Waste 1]],WasteScenario[#All],4,FALSE),0)</f>
        <v>0</v>
      </c>
      <c r="AE16" s="322">
        <f>SUM(Calculations[[#This Row],[C4 landfill]:[C4 re-use]])</f>
        <v>0</v>
      </c>
      <c r="AF16" s="322">
        <f>IFERROR(VLOOKUP(Calculations[[#This Row],[Material (choose from dropdown]],MaterialData[#All],8,FALSE),0)</f>
        <v>0</v>
      </c>
      <c r="AG16" s="322">
        <f>IFERROR(Calculations[[#This Row],[Total Kg]]*Calculations[[#This Row],[Seq factor]],0)</f>
        <v>0</v>
      </c>
      <c r="AI16" s="322">
        <f>Calculations[[#This Row],[A1-3]]+Calculations[[#This Row],[A4]]+Calculations[[#This Row],[A5]]+Calculations[[#This Row],[B4]]+Calculations[[#This Row],[C2 total]]+Calculations[[#This Row],[C3 total]]+Calculations[[#This Row],[C4 total]]</f>
        <v>0</v>
      </c>
      <c r="AJ16" s="2">
        <f>IFERROR(VLOOKUP(Calculations[[#This Row],[Material (choose from dropdown]],MaterialData[[#Headers],[#Data]],9,FALSE),0)</f>
        <v>0</v>
      </c>
      <c r="AK16" s="4">
        <f>IFERROR(VLOOKUP(Calculations[[#This Row],[Material (choose from dropdown]],MaterialData[[#Headers],[#Data]],10,FALSE),0)</f>
        <v>0</v>
      </c>
      <c r="AL16" s="322">
        <f>IFERROR(Calculations[[#This Row],[Data Quality Score]]*Calculations[[#This Row],[Total Kg]],0)</f>
        <v>0</v>
      </c>
    </row>
    <row r="17" spans="1:38" x14ac:dyDescent="0.3">
      <c r="A17" s="6">
        <f>IFERROR(MaterialsBoQ[[#This Row],[Scope Element]],0)</f>
        <v>0</v>
      </c>
      <c r="B17">
        <f>IFERROR(MaterialsBoQ[[#This Row],[Material ]],"")</f>
        <v>0</v>
      </c>
      <c r="C17">
        <f>IFERROR(MaterialsBoQ[[#This Row],[Unit]],"")</f>
        <v>0</v>
      </c>
      <c r="D17" s="322">
        <f>IFERROR(MaterialsBoQ[[#This Row],[Number]],0)</f>
        <v>0</v>
      </c>
      <c r="E17" s="322">
        <f>IFERROR(MaterialsBoQ[[#This Row],[Kg per unit]],0)</f>
        <v>0</v>
      </c>
      <c r="F17" s="322">
        <f>IFERROR(Calculations[[#This Row],[Number]]*Calculations[[#This Row],[Conversion factor]],0)</f>
        <v>0</v>
      </c>
      <c r="G17" s="322">
        <f>IFERROR(VLOOKUP(Calculations[[#This Row],[Material (choose from dropdown]],MaterialData[#All],7,FALSE),0)</f>
        <v>0</v>
      </c>
      <c r="H17" s="322">
        <f>Calculations[[#This Row],[Total Kg]]*Calculations[[#This Row],[Carbon Factor]]</f>
        <v>0</v>
      </c>
      <c r="I17" t="str">
        <f>IFERROR(VLOOKUP(Calculations[[#This Row],[Material (choose from dropdown]],MaterialData[#All],2,FALSE),"")</f>
        <v/>
      </c>
      <c r="J17" s="322">
        <f>IFERROR(((VLOOKUP(Calculations[[#This Row],[TransportSource]],TransportDistance[],2,FALSE)*'Stage assumptions'!$C$11)+VLOOKUP(Calculations[[#This Row],[TransportSource]],TransportDistance[],3,FALSE)*'Stage assumptions'!$C$12)*Calculations[[#This Row],[Total Kg]],0)</f>
        <v>0</v>
      </c>
      <c r="K17">
        <f>IFERROR(VLOOKUP(Calculations[[#This Row],[Material (choose from dropdown]], MaterialData[#All],3, FALSE),0)</f>
        <v>0</v>
      </c>
      <c r="L17" s="322">
        <f>IFERROR(VLOOKUP(Calculations[[#This Row],[A5type]],A5WastageRate[#All],2,FALSE)*Calculations[[#This Row],[A1-3]],0)</f>
        <v>0</v>
      </c>
      <c r="N17">
        <f>IFERROR(ROUNDUP(50/VLOOKUP(Calculations[[#This Row],[Scope Element]],B4referenceServiceLife[[Tier 2 element]:[Default Service Life]],2, FALSE)-1,0),0)</f>
        <v>0</v>
      </c>
      <c r="O17" s="322">
        <f>IFERROR((Calculations[[#This Row],[A1-3]]+Calculations[[#This Row],[A4]]+Calculations[[#This Row],[A5]]+Calculations[[#This Row],[C2 total]]+Calculations[[#This Row],[C3 total]]+Calculations[[#This Row],[C4 total]])*Calculations[[#This Row],[Replacements]],0)</f>
        <v>0</v>
      </c>
      <c r="S17" t="str">
        <f>IFERROR(VLOOKUP(Calculations[[#This Row],[Material (choose from dropdown]],MaterialData[#All],4,FALSE),"")</f>
        <v/>
      </c>
      <c r="T17" s="322" cm="1">
        <f t="array" ref="T17">IFERROR(VLOOKUP(Calculations[[#This Row],[Waste 1]],WasteScenario[#All],2,FALSE)*'Stage assumptions'!$C$225*WasteTransportMethod[Emissions Factor
kgCO2e/kg.km]*Calculations[[#This Row],[Total Kg]],0)</f>
        <v>0</v>
      </c>
      <c r="U17" s="322" cm="1">
        <f t="array" ref="U17">IFERROR(VLOOKUP(Calculations[[#This Row],[Waste 1]],WasteScenario[#All],3,FALSE)*'Stage assumptions'!$C$224*WasteTransportMethod[Emissions Factor
kgCO2e/kg.km]*Calculations[[#This Row],[Total Kg]],0)</f>
        <v>0</v>
      </c>
      <c r="V17" s="322" cm="1">
        <f t="array" ref="V17">IFERROR(VLOOKUP(Calculations[[#This Row],[Waste 1]],WasteScenario[#All],4,FALSE)*'Stage assumptions'!$C$223*WasteTransportMethod[Emissions Factor
kgCO2e/kg.km]*Calculations[[#This Row],[Total Kg]],0)</f>
        <v>0</v>
      </c>
      <c r="W17" s="322" cm="1">
        <f t="array" ref="W17">IFERROR(VLOOKUP(Calculations[[#This Row],[Waste 1]],WasteScenario[#All],5,FALSE)*'Stage assumptions'!$C$226*WasteTransportMethod[Emissions Factor
kgCO2e/kg.km]*Calculations[[#This Row],[Total Kg]],0)</f>
        <v>0</v>
      </c>
      <c r="X17" s="322">
        <f>SUM(Calculations[[#This Row],[C2 Recycle]:[C2 Reuse]])</f>
        <v>0</v>
      </c>
      <c r="Y17" t="str">
        <f>IFERROR(VLOOKUP(Calculations[[#This Row],[Material (choose from dropdown]],MaterialData[#All],5,FALSE),"")</f>
        <v/>
      </c>
      <c r="Z17" s="322">
        <f>IFERROR(((VLOOKUP(Calculations[[#This Row],[Waste type 2]],WasteDisposalEmissions[#All],2,FALSE))*Calculations[[#This Row],[Total Kg]])*VLOOKUP(Calculations[[#This Row],[Waste 1]],WasteScenario[#All],2,FALSE),0)</f>
        <v>0</v>
      </c>
      <c r="AA17" s="322">
        <f>IFERROR((VLOOKUP(Calculations[[#This Row],[Waste type 2]],WasteDisposalEmissions[#All],3,FALSE))*Calculations[[#This Row],[Total Kg]]*VLOOKUP(Calculations[[#This Row],[Waste 1]],WasteScenario[#All],3,FALSE),0)</f>
        <v>0</v>
      </c>
      <c r="AB17" s="322">
        <f>SUM(Calculations[[#This Row],[C3 recyc]:[C3 incin]])</f>
        <v>0</v>
      </c>
      <c r="AC17" s="322">
        <f>IFERROR((VLOOKUP(Calculations[[#This Row],[Waste type 2]],WasteLandfillEmissions[#All],2,FALSE))*Calculations[[#This Row],[Total Kg]]*VLOOKUP(Calculations[[#This Row],[Waste 1]],WasteScenario[#All],4,FALSE),0)</f>
        <v>0</v>
      </c>
      <c r="AD17" s="322">
        <f>IFERROR((VLOOKUP(Calculations[[#This Row],[Waste type 2]],WasteLandfillEmissions[#All],3,FALSE))*Calculations[[#This Row],[Total Kg]]*VLOOKUP(Calculations[[#This Row],[Waste 1]],WasteScenario[#All],4,FALSE),0)</f>
        <v>0</v>
      </c>
      <c r="AE17" s="322">
        <f>SUM(Calculations[[#This Row],[C4 landfill]:[C4 re-use]])</f>
        <v>0</v>
      </c>
      <c r="AF17" s="322">
        <f>IFERROR(VLOOKUP(Calculations[[#This Row],[Material (choose from dropdown]],MaterialData[#All],8,FALSE),0)</f>
        <v>0</v>
      </c>
      <c r="AG17" s="322">
        <f>IFERROR(Calculations[[#This Row],[Total Kg]]*Calculations[[#This Row],[Seq factor]],0)</f>
        <v>0</v>
      </c>
      <c r="AI17" s="322">
        <f>Calculations[[#This Row],[A1-3]]+Calculations[[#This Row],[A4]]+Calculations[[#This Row],[A5]]+Calculations[[#This Row],[B4]]+Calculations[[#This Row],[C2 total]]+Calculations[[#This Row],[C3 total]]+Calculations[[#This Row],[C4 total]]</f>
        <v>0</v>
      </c>
      <c r="AJ17" s="2">
        <f>IFERROR(VLOOKUP(Calculations[[#This Row],[Material (choose from dropdown]],MaterialData[[#Headers],[#Data]],9,FALSE),0)</f>
        <v>0</v>
      </c>
      <c r="AK17" s="4">
        <f>IFERROR(VLOOKUP(Calculations[[#This Row],[Material (choose from dropdown]],MaterialData[[#Headers],[#Data]],10,FALSE),0)</f>
        <v>0</v>
      </c>
      <c r="AL17" s="322">
        <f>IFERROR(Calculations[[#This Row],[Data Quality Score]]*Calculations[[#This Row],[Total Kg]],0)</f>
        <v>0</v>
      </c>
    </row>
    <row r="18" spans="1:38" x14ac:dyDescent="0.3">
      <c r="A18" s="6">
        <f>IFERROR(MaterialsBoQ[[#This Row],[Scope Element]],0)</f>
        <v>0</v>
      </c>
      <c r="B18">
        <f>IFERROR(MaterialsBoQ[[#This Row],[Material ]],"")</f>
        <v>0</v>
      </c>
      <c r="C18">
        <f>IFERROR(MaterialsBoQ[[#This Row],[Unit]],"")</f>
        <v>0</v>
      </c>
      <c r="D18" s="322">
        <f>IFERROR(MaterialsBoQ[[#This Row],[Number]],0)</f>
        <v>0</v>
      </c>
      <c r="E18" s="322">
        <f>IFERROR(MaterialsBoQ[[#This Row],[Kg per unit]],0)</f>
        <v>0</v>
      </c>
      <c r="F18" s="322">
        <f>IFERROR(Calculations[[#This Row],[Number]]*Calculations[[#This Row],[Conversion factor]],0)</f>
        <v>0</v>
      </c>
      <c r="G18" s="322">
        <f>IFERROR(VLOOKUP(Calculations[[#This Row],[Material (choose from dropdown]],MaterialData[#All],7,FALSE),0)</f>
        <v>0</v>
      </c>
      <c r="H18" s="322">
        <f>Calculations[[#This Row],[Total Kg]]*Calculations[[#This Row],[Carbon Factor]]</f>
        <v>0</v>
      </c>
      <c r="I18" t="str">
        <f>IFERROR(VLOOKUP(Calculations[[#This Row],[Material (choose from dropdown]],MaterialData[#All],2,FALSE),"")</f>
        <v/>
      </c>
      <c r="J18" s="322">
        <f>IFERROR(((VLOOKUP(Calculations[[#This Row],[TransportSource]],TransportDistance[],2,FALSE)*'Stage assumptions'!$C$11)+VLOOKUP(Calculations[[#This Row],[TransportSource]],TransportDistance[],3,FALSE)*'Stage assumptions'!$C$12)*Calculations[[#This Row],[Total Kg]],0)</f>
        <v>0</v>
      </c>
      <c r="K18">
        <f>IFERROR(VLOOKUP(Calculations[[#This Row],[Material (choose from dropdown]], MaterialData[#All],3, FALSE),0)</f>
        <v>0</v>
      </c>
      <c r="L18" s="322">
        <f>IFERROR(VLOOKUP(Calculations[[#This Row],[A5type]],A5WastageRate[#All],2,FALSE)*Calculations[[#This Row],[A1-3]],0)</f>
        <v>0</v>
      </c>
      <c r="N18">
        <f>IFERROR(ROUNDUP(50/VLOOKUP(Calculations[[#This Row],[Scope Element]],B4referenceServiceLife[[Tier 2 element]:[Default Service Life]],2, FALSE)-1,0),0)</f>
        <v>0</v>
      </c>
      <c r="O18" s="322">
        <f>IFERROR((Calculations[[#This Row],[A1-3]]+Calculations[[#This Row],[A4]]+Calculations[[#This Row],[A5]]+Calculations[[#This Row],[C2 total]]+Calculations[[#This Row],[C3 total]]+Calculations[[#This Row],[C4 total]])*Calculations[[#This Row],[Replacements]],0)</f>
        <v>0</v>
      </c>
      <c r="S18" t="str">
        <f>IFERROR(VLOOKUP(Calculations[[#This Row],[Material (choose from dropdown]],MaterialData[#All],4,FALSE),"")</f>
        <v/>
      </c>
      <c r="T18" s="322" cm="1">
        <f t="array" ref="T18">IFERROR(VLOOKUP(Calculations[[#This Row],[Waste 1]],WasteScenario[#All],2,FALSE)*'Stage assumptions'!$C$225*WasteTransportMethod[Emissions Factor
kgCO2e/kg.km]*Calculations[[#This Row],[Total Kg]],0)</f>
        <v>0</v>
      </c>
      <c r="U18" s="322" cm="1">
        <f t="array" ref="U18">IFERROR(VLOOKUP(Calculations[[#This Row],[Waste 1]],WasteScenario[#All],3,FALSE)*'Stage assumptions'!$C$224*WasteTransportMethod[Emissions Factor
kgCO2e/kg.km]*Calculations[[#This Row],[Total Kg]],0)</f>
        <v>0</v>
      </c>
      <c r="V18" s="322" cm="1">
        <f t="array" ref="V18">IFERROR(VLOOKUP(Calculations[[#This Row],[Waste 1]],WasteScenario[#All],4,FALSE)*'Stage assumptions'!$C$223*WasteTransportMethod[Emissions Factor
kgCO2e/kg.km]*Calculations[[#This Row],[Total Kg]],0)</f>
        <v>0</v>
      </c>
      <c r="W18" s="322" cm="1">
        <f t="array" ref="W18">IFERROR(VLOOKUP(Calculations[[#This Row],[Waste 1]],WasteScenario[#All],5,FALSE)*'Stage assumptions'!$C$226*WasteTransportMethod[Emissions Factor
kgCO2e/kg.km]*Calculations[[#This Row],[Total Kg]],0)</f>
        <v>0</v>
      </c>
      <c r="X18" s="322">
        <f>SUM(Calculations[[#This Row],[C2 Recycle]:[C2 Reuse]])</f>
        <v>0</v>
      </c>
      <c r="Y18" t="str">
        <f>IFERROR(VLOOKUP(Calculations[[#This Row],[Material (choose from dropdown]],MaterialData[#All],5,FALSE),"")</f>
        <v/>
      </c>
      <c r="Z18" s="322">
        <f>IFERROR(((VLOOKUP(Calculations[[#This Row],[Waste type 2]],WasteDisposalEmissions[#All],2,FALSE))*Calculations[[#This Row],[Total Kg]])*VLOOKUP(Calculations[[#This Row],[Waste 1]],WasteScenario[#All],2,FALSE),0)</f>
        <v>0</v>
      </c>
      <c r="AA18" s="322">
        <f>IFERROR((VLOOKUP(Calculations[[#This Row],[Waste type 2]],WasteDisposalEmissions[#All],3,FALSE))*Calculations[[#This Row],[Total Kg]]*VLOOKUP(Calculations[[#This Row],[Waste 1]],WasteScenario[#All],3,FALSE),0)</f>
        <v>0</v>
      </c>
      <c r="AB18" s="322">
        <f>SUM(Calculations[[#This Row],[C3 recyc]:[C3 incin]])</f>
        <v>0</v>
      </c>
      <c r="AC18" s="322">
        <f>IFERROR((VLOOKUP(Calculations[[#This Row],[Waste type 2]],WasteLandfillEmissions[#All],2,FALSE))*Calculations[[#This Row],[Total Kg]]*VLOOKUP(Calculations[[#This Row],[Waste 1]],WasteScenario[#All],4,FALSE),0)</f>
        <v>0</v>
      </c>
      <c r="AD18" s="322">
        <f>IFERROR((VLOOKUP(Calculations[[#This Row],[Waste type 2]],WasteLandfillEmissions[#All],3,FALSE))*Calculations[[#This Row],[Total Kg]]*VLOOKUP(Calculations[[#This Row],[Waste 1]],WasteScenario[#All],4,FALSE),0)</f>
        <v>0</v>
      </c>
      <c r="AE18" s="322">
        <f>SUM(Calculations[[#This Row],[C4 landfill]:[C4 re-use]])</f>
        <v>0</v>
      </c>
      <c r="AF18" s="322">
        <f>IFERROR(VLOOKUP(Calculations[[#This Row],[Material (choose from dropdown]],MaterialData[#All],8,FALSE),0)</f>
        <v>0</v>
      </c>
      <c r="AG18" s="322">
        <f>IFERROR(Calculations[[#This Row],[Total Kg]]*Calculations[[#This Row],[Seq factor]],0)</f>
        <v>0</v>
      </c>
      <c r="AI18" s="322">
        <f>Calculations[[#This Row],[A1-3]]+Calculations[[#This Row],[A4]]+Calculations[[#This Row],[A5]]+Calculations[[#This Row],[B4]]+Calculations[[#This Row],[C2 total]]+Calculations[[#This Row],[C3 total]]+Calculations[[#This Row],[C4 total]]</f>
        <v>0</v>
      </c>
      <c r="AJ18" s="2">
        <f>IFERROR(VLOOKUP(Calculations[[#This Row],[Material (choose from dropdown]],MaterialData[[#Headers],[#Data]],9,FALSE),0)</f>
        <v>0</v>
      </c>
      <c r="AK18" s="4">
        <f>IFERROR(VLOOKUP(Calculations[[#This Row],[Material (choose from dropdown]],MaterialData[[#Headers],[#Data]],10,FALSE),0)</f>
        <v>0</v>
      </c>
      <c r="AL18" s="322">
        <f>IFERROR(Calculations[[#This Row],[Data Quality Score]]*Calculations[[#This Row],[Total Kg]],0)</f>
        <v>0</v>
      </c>
    </row>
    <row r="19" spans="1:38" x14ac:dyDescent="0.3">
      <c r="A19" s="6">
        <f>IFERROR(MaterialsBoQ[[#This Row],[Scope Element]],0)</f>
        <v>0</v>
      </c>
      <c r="B19">
        <f>IFERROR(MaterialsBoQ[[#This Row],[Material ]],"")</f>
        <v>0</v>
      </c>
      <c r="C19">
        <f>IFERROR(MaterialsBoQ[[#This Row],[Unit]],"")</f>
        <v>0</v>
      </c>
      <c r="D19" s="322">
        <f>IFERROR(MaterialsBoQ[[#This Row],[Number]],0)</f>
        <v>0</v>
      </c>
      <c r="E19" s="322">
        <f>IFERROR(MaterialsBoQ[[#This Row],[Kg per unit]],0)</f>
        <v>0</v>
      </c>
      <c r="F19" s="322">
        <f>IFERROR(Calculations[[#This Row],[Number]]*Calculations[[#This Row],[Conversion factor]],0)</f>
        <v>0</v>
      </c>
      <c r="G19" s="322">
        <f>IFERROR(VLOOKUP(Calculations[[#This Row],[Material (choose from dropdown]],MaterialData[#All],7,FALSE),0)</f>
        <v>0</v>
      </c>
      <c r="H19" s="322">
        <f>Calculations[[#This Row],[Total Kg]]*Calculations[[#This Row],[Carbon Factor]]</f>
        <v>0</v>
      </c>
      <c r="I19" t="str">
        <f>IFERROR(VLOOKUP(Calculations[[#This Row],[Material (choose from dropdown]],MaterialData[#All],2,FALSE),"")</f>
        <v/>
      </c>
      <c r="J19" s="322">
        <f>IFERROR(((VLOOKUP(Calculations[[#This Row],[TransportSource]],TransportDistance[],2,FALSE)*'Stage assumptions'!$C$11)+VLOOKUP(Calculations[[#This Row],[TransportSource]],TransportDistance[],3,FALSE)*'Stage assumptions'!$C$12)*Calculations[[#This Row],[Total Kg]],0)</f>
        <v>0</v>
      </c>
      <c r="K19">
        <f>IFERROR(VLOOKUP(Calculations[[#This Row],[Material (choose from dropdown]], MaterialData[#All],3, FALSE),0)</f>
        <v>0</v>
      </c>
      <c r="L19" s="322">
        <f>IFERROR(VLOOKUP(Calculations[[#This Row],[A5type]],A5WastageRate[#All],2,FALSE)*Calculations[[#This Row],[A1-3]],0)</f>
        <v>0</v>
      </c>
      <c r="N19">
        <f>IFERROR(ROUNDUP(50/VLOOKUP(Calculations[[#This Row],[Scope Element]],B4referenceServiceLife[[Tier 2 element]:[Default Service Life]],2, FALSE)-1,0),0)</f>
        <v>0</v>
      </c>
      <c r="O19" s="322">
        <f>IFERROR((Calculations[[#This Row],[A1-3]]+Calculations[[#This Row],[A4]]+Calculations[[#This Row],[A5]]+Calculations[[#This Row],[C2 total]]+Calculations[[#This Row],[C3 total]]+Calculations[[#This Row],[C4 total]])*Calculations[[#This Row],[Replacements]],0)</f>
        <v>0</v>
      </c>
      <c r="S19" t="str">
        <f>IFERROR(VLOOKUP(Calculations[[#This Row],[Material (choose from dropdown]],MaterialData[#All],4,FALSE),"")</f>
        <v/>
      </c>
      <c r="T19" s="322" cm="1">
        <f t="array" ref="T19">IFERROR(VLOOKUP(Calculations[[#This Row],[Waste 1]],WasteScenario[#All],2,FALSE)*'Stage assumptions'!$C$225*WasteTransportMethod[Emissions Factor
kgCO2e/kg.km]*Calculations[[#This Row],[Total Kg]],0)</f>
        <v>0</v>
      </c>
      <c r="U19" s="322" cm="1">
        <f t="array" ref="U19">IFERROR(VLOOKUP(Calculations[[#This Row],[Waste 1]],WasteScenario[#All],3,FALSE)*'Stage assumptions'!$C$224*WasteTransportMethod[Emissions Factor
kgCO2e/kg.km]*Calculations[[#This Row],[Total Kg]],0)</f>
        <v>0</v>
      </c>
      <c r="V19" s="322" cm="1">
        <f t="array" ref="V19">IFERROR(VLOOKUP(Calculations[[#This Row],[Waste 1]],WasteScenario[#All],4,FALSE)*'Stage assumptions'!$C$223*WasteTransportMethod[Emissions Factor
kgCO2e/kg.km]*Calculations[[#This Row],[Total Kg]],0)</f>
        <v>0</v>
      </c>
      <c r="W19" s="322" cm="1">
        <f t="array" ref="W19">IFERROR(VLOOKUP(Calculations[[#This Row],[Waste 1]],WasteScenario[#All],5,FALSE)*'Stage assumptions'!$C$226*WasteTransportMethod[Emissions Factor
kgCO2e/kg.km]*Calculations[[#This Row],[Total Kg]],0)</f>
        <v>0</v>
      </c>
      <c r="X19" s="322">
        <f>SUM(Calculations[[#This Row],[C2 Recycle]:[C2 Reuse]])</f>
        <v>0</v>
      </c>
      <c r="Y19" t="str">
        <f>IFERROR(VLOOKUP(Calculations[[#This Row],[Material (choose from dropdown]],MaterialData[#All],5,FALSE),"")</f>
        <v/>
      </c>
      <c r="Z19" s="322">
        <f>IFERROR(((VLOOKUP(Calculations[[#This Row],[Waste type 2]],WasteDisposalEmissions[#All],2,FALSE))*Calculations[[#This Row],[Total Kg]])*VLOOKUP(Calculations[[#This Row],[Waste 1]],WasteScenario[#All],2,FALSE),0)</f>
        <v>0</v>
      </c>
      <c r="AA19" s="322">
        <f>IFERROR((VLOOKUP(Calculations[[#This Row],[Waste type 2]],WasteDisposalEmissions[#All],3,FALSE))*Calculations[[#This Row],[Total Kg]]*VLOOKUP(Calculations[[#This Row],[Waste 1]],WasteScenario[#All],3,FALSE),0)</f>
        <v>0</v>
      </c>
      <c r="AB19" s="322">
        <f>SUM(Calculations[[#This Row],[C3 recyc]:[C3 incin]])</f>
        <v>0</v>
      </c>
      <c r="AC19" s="322">
        <f>IFERROR((VLOOKUP(Calculations[[#This Row],[Waste type 2]],WasteLandfillEmissions[#All],2,FALSE))*Calculations[[#This Row],[Total Kg]]*VLOOKUP(Calculations[[#This Row],[Waste 1]],WasteScenario[#All],4,FALSE),0)</f>
        <v>0</v>
      </c>
      <c r="AD19" s="322">
        <f>IFERROR((VLOOKUP(Calculations[[#This Row],[Waste type 2]],WasteLandfillEmissions[#All],3,FALSE))*Calculations[[#This Row],[Total Kg]]*VLOOKUP(Calculations[[#This Row],[Waste 1]],WasteScenario[#All],4,FALSE),0)</f>
        <v>0</v>
      </c>
      <c r="AE19" s="322">
        <f>SUM(Calculations[[#This Row],[C4 landfill]:[C4 re-use]])</f>
        <v>0</v>
      </c>
      <c r="AF19" s="322">
        <f>IFERROR(VLOOKUP(Calculations[[#This Row],[Material (choose from dropdown]],MaterialData[#All],8,FALSE),0)</f>
        <v>0</v>
      </c>
      <c r="AG19" s="322">
        <f>IFERROR(Calculations[[#This Row],[Total Kg]]*Calculations[[#This Row],[Seq factor]],0)</f>
        <v>0</v>
      </c>
      <c r="AI19" s="322">
        <f>Calculations[[#This Row],[A1-3]]+Calculations[[#This Row],[A4]]+Calculations[[#This Row],[A5]]+Calculations[[#This Row],[B4]]+Calculations[[#This Row],[C2 total]]+Calculations[[#This Row],[C3 total]]+Calculations[[#This Row],[C4 total]]</f>
        <v>0</v>
      </c>
      <c r="AJ19" s="2">
        <f>IFERROR(VLOOKUP(Calculations[[#This Row],[Material (choose from dropdown]],MaterialData[[#Headers],[#Data]],9,FALSE),0)</f>
        <v>0</v>
      </c>
      <c r="AK19" s="4">
        <f>IFERROR(VLOOKUP(Calculations[[#This Row],[Material (choose from dropdown]],MaterialData[[#Headers],[#Data]],10,FALSE),0)</f>
        <v>0</v>
      </c>
      <c r="AL19" s="322">
        <f>IFERROR(Calculations[[#This Row],[Data Quality Score]]*Calculations[[#This Row],[Total Kg]],0)</f>
        <v>0</v>
      </c>
    </row>
    <row r="20" spans="1:38" x14ac:dyDescent="0.3">
      <c r="A20" s="6">
        <f>IFERROR(MaterialsBoQ[[#This Row],[Scope Element]],0)</f>
        <v>0</v>
      </c>
      <c r="B20">
        <f>IFERROR(MaterialsBoQ[[#This Row],[Material ]],"")</f>
        <v>0</v>
      </c>
      <c r="C20">
        <f>IFERROR(MaterialsBoQ[[#This Row],[Unit]],"")</f>
        <v>0</v>
      </c>
      <c r="D20" s="322">
        <f>IFERROR(MaterialsBoQ[[#This Row],[Number]],0)</f>
        <v>0</v>
      </c>
      <c r="E20" s="322">
        <f>IFERROR(MaterialsBoQ[[#This Row],[Kg per unit]],0)</f>
        <v>0</v>
      </c>
      <c r="F20" s="322">
        <f>IFERROR(Calculations[[#This Row],[Number]]*Calculations[[#This Row],[Conversion factor]],0)</f>
        <v>0</v>
      </c>
      <c r="G20" s="322">
        <f>IFERROR(VLOOKUP(Calculations[[#This Row],[Material (choose from dropdown]],MaterialData[#All],7,FALSE),0)</f>
        <v>0</v>
      </c>
      <c r="H20" s="322">
        <f>Calculations[[#This Row],[Total Kg]]*Calculations[[#This Row],[Carbon Factor]]</f>
        <v>0</v>
      </c>
      <c r="I20" t="str">
        <f>IFERROR(VLOOKUP(Calculations[[#This Row],[Material (choose from dropdown]],MaterialData[#All],2,FALSE),"")</f>
        <v/>
      </c>
      <c r="J20" s="322">
        <f>IFERROR(((VLOOKUP(Calculations[[#This Row],[TransportSource]],TransportDistance[],2,FALSE)*'Stage assumptions'!$C$11)+VLOOKUP(Calculations[[#This Row],[TransportSource]],TransportDistance[],3,FALSE)*'Stage assumptions'!$C$12)*Calculations[[#This Row],[Total Kg]],0)</f>
        <v>0</v>
      </c>
      <c r="K20">
        <f>IFERROR(VLOOKUP(Calculations[[#This Row],[Material (choose from dropdown]], MaterialData[#All],3, FALSE),0)</f>
        <v>0</v>
      </c>
      <c r="L20" s="322">
        <f>IFERROR(VLOOKUP(Calculations[[#This Row],[A5type]],A5WastageRate[#All],2,FALSE)*Calculations[[#This Row],[A1-3]],0)</f>
        <v>0</v>
      </c>
      <c r="N20">
        <f>IFERROR(ROUNDUP(50/VLOOKUP(Calculations[[#This Row],[Scope Element]],B4referenceServiceLife[[Tier 2 element]:[Default Service Life]],2, FALSE)-1,0),0)</f>
        <v>0</v>
      </c>
      <c r="O20" s="322">
        <f>IFERROR((Calculations[[#This Row],[A1-3]]+Calculations[[#This Row],[A4]]+Calculations[[#This Row],[A5]]+Calculations[[#This Row],[C2 total]]+Calculations[[#This Row],[C3 total]]+Calculations[[#This Row],[C4 total]])*Calculations[[#This Row],[Replacements]],0)</f>
        <v>0</v>
      </c>
      <c r="S20" t="str">
        <f>IFERROR(VLOOKUP(Calculations[[#This Row],[Material (choose from dropdown]],MaterialData[#All],4,FALSE),"")</f>
        <v/>
      </c>
      <c r="T20" s="322" cm="1">
        <f t="array" ref="T20">IFERROR(VLOOKUP(Calculations[[#This Row],[Waste 1]],WasteScenario[#All],2,FALSE)*'Stage assumptions'!$C$225*WasteTransportMethod[Emissions Factor
kgCO2e/kg.km]*Calculations[[#This Row],[Total Kg]],0)</f>
        <v>0</v>
      </c>
      <c r="U20" s="322" cm="1">
        <f t="array" ref="U20">IFERROR(VLOOKUP(Calculations[[#This Row],[Waste 1]],WasteScenario[#All],3,FALSE)*'Stage assumptions'!$C$224*WasteTransportMethod[Emissions Factor
kgCO2e/kg.km]*Calculations[[#This Row],[Total Kg]],0)</f>
        <v>0</v>
      </c>
      <c r="V20" s="322" cm="1">
        <f t="array" ref="V20">IFERROR(VLOOKUP(Calculations[[#This Row],[Waste 1]],WasteScenario[#All],4,FALSE)*'Stage assumptions'!$C$223*WasteTransportMethod[Emissions Factor
kgCO2e/kg.km]*Calculations[[#This Row],[Total Kg]],0)</f>
        <v>0</v>
      </c>
      <c r="W20" s="322" cm="1">
        <f t="array" ref="W20">IFERROR(VLOOKUP(Calculations[[#This Row],[Waste 1]],WasteScenario[#All],5,FALSE)*'Stage assumptions'!$C$226*WasteTransportMethod[Emissions Factor
kgCO2e/kg.km]*Calculations[[#This Row],[Total Kg]],0)</f>
        <v>0</v>
      </c>
      <c r="X20" s="322">
        <f>SUM(Calculations[[#This Row],[C2 Recycle]:[C2 Reuse]])</f>
        <v>0</v>
      </c>
      <c r="Y20" t="str">
        <f>IFERROR(VLOOKUP(Calculations[[#This Row],[Material (choose from dropdown]],MaterialData[#All],5,FALSE),"")</f>
        <v/>
      </c>
      <c r="Z20" s="322">
        <f>IFERROR(((VLOOKUP(Calculations[[#This Row],[Waste type 2]],WasteDisposalEmissions[#All],2,FALSE))*Calculations[[#This Row],[Total Kg]])*VLOOKUP(Calculations[[#This Row],[Waste 1]],WasteScenario[#All],2,FALSE),0)</f>
        <v>0</v>
      </c>
      <c r="AA20" s="322">
        <f>IFERROR((VLOOKUP(Calculations[[#This Row],[Waste type 2]],WasteDisposalEmissions[#All],3,FALSE))*Calculations[[#This Row],[Total Kg]]*VLOOKUP(Calculations[[#This Row],[Waste 1]],WasteScenario[#All],3,FALSE),0)</f>
        <v>0</v>
      </c>
      <c r="AB20" s="322">
        <f>SUM(Calculations[[#This Row],[C3 recyc]:[C3 incin]])</f>
        <v>0</v>
      </c>
      <c r="AC20" s="322">
        <f>IFERROR((VLOOKUP(Calculations[[#This Row],[Waste type 2]],WasteLandfillEmissions[#All],2,FALSE))*Calculations[[#This Row],[Total Kg]]*VLOOKUP(Calculations[[#This Row],[Waste 1]],WasteScenario[#All],4,FALSE),0)</f>
        <v>0</v>
      </c>
      <c r="AD20" s="322">
        <f>IFERROR((VLOOKUP(Calculations[[#This Row],[Waste type 2]],WasteLandfillEmissions[#All],3,FALSE))*Calculations[[#This Row],[Total Kg]]*VLOOKUP(Calculations[[#This Row],[Waste 1]],WasteScenario[#All],4,FALSE),0)</f>
        <v>0</v>
      </c>
      <c r="AE20" s="322">
        <f>SUM(Calculations[[#This Row],[C4 landfill]:[C4 re-use]])</f>
        <v>0</v>
      </c>
      <c r="AF20" s="322">
        <f>IFERROR(VLOOKUP(Calculations[[#This Row],[Material (choose from dropdown]],MaterialData[#All],8,FALSE),0)</f>
        <v>0</v>
      </c>
      <c r="AG20" s="322">
        <f>IFERROR(Calculations[[#This Row],[Total Kg]]*Calculations[[#This Row],[Seq factor]],0)</f>
        <v>0</v>
      </c>
      <c r="AI20" s="322">
        <f>Calculations[[#This Row],[A1-3]]+Calculations[[#This Row],[A4]]+Calculations[[#This Row],[A5]]+Calculations[[#This Row],[B4]]+Calculations[[#This Row],[C2 total]]+Calculations[[#This Row],[C3 total]]+Calculations[[#This Row],[C4 total]]</f>
        <v>0</v>
      </c>
      <c r="AJ20" s="2">
        <f>IFERROR(VLOOKUP(Calculations[[#This Row],[Material (choose from dropdown]],MaterialData[[#Headers],[#Data]],9,FALSE),0)</f>
        <v>0</v>
      </c>
      <c r="AK20" s="4">
        <f>IFERROR(VLOOKUP(Calculations[[#This Row],[Material (choose from dropdown]],MaterialData[[#Headers],[#Data]],10,FALSE),0)</f>
        <v>0</v>
      </c>
      <c r="AL20" s="322">
        <f>IFERROR(Calculations[[#This Row],[Data Quality Score]]*Calculations[[#This Row],[Total Kg]],0)</f>
        <v>0</v>
      </c>
    </row>
    <row r="21" spans="1:38" x14ac:dyDescent="0.3">
      <c r="A21" s="6">
        <f>IFERROR(MaterialsBoQ[[#This Row],[Scope Element]],0)</f>
        <v>0</v>
      </c>
      <c r="B21">
        <f>IFERROR(MaterialsBoQ[[#This Row],[Material ]],"")</f>
        <v>0</v>
      </c>
      <c r="C21">
        <f>IFERROR(MaterialsBoQ[[#This Row],[Unit]],"")</f>
        <v>0</v>
      </c>
      <c r="D21" s="322">
        <f>IFERROR(MaterialsBoQ[[#This Row],[Number]],0)</f>
        <v>0</v>
      </c>
      <c r="E21" s="322">
        <f>IFERROR(MaterialsBoQ[[#This Row],[Kg per unit]],0)</f>
        <v>0</v>
      </c>
      <c r="F21" s="322">
        <f>IFERROR(Calculations[[#This Row],[Number]]*Calculations[[#This Row],[Conversion factor]],0)</f>
        <v>0</v>
      </c>
      <c r="G21" s="322">
        <f>IFERROR(VLOOKUP(Calculations[[#This Row],[Material (choose from dropdown]],MaterialData[#All],7,FALSE),0)</f>
        <v>0</v>
      </c>
      <c r="H21" s="322">
        <f>Calculations[[#This Row],[Total Kg]]*Calculations[[#This Row],[Carbon Factor]]</f>
        <v>0</v>
      </c>
      <c r="I21" t="str">
        <f>IFERROR(VLOOKUP(Calculations[[#This Row],[Material (choose from dropdown]],MaterialData[#All],2,FALSE),"")</f>
        <v/>
      </c>
      <c r="J21" s="322">
        <f>IFERROR(((VLOOKUP(Calculations[[#This Row],[TransportSource]],TransportDistance[],2,FALSE)*'Stage assumptions'!$C$11)+VLOOKUP(Calculations[[#This Row],[TransportSource]],TransportDistance[],3,FALSE)*'Stage assumptions'!$C$12)*Calculations[[#This Row],[Total Kg]],0)</f>
        <v>0</v>
      </c>
      <c r="K21">
        <f>IFERROR(VLOOKUP(Calculations[[#This Row],[Material (choose from dropdown]], MaterialData[#All],3, FALSE),0)</f>
        <v>0</v>
      </c>
      <c r="L21" s="322">
        <f>IFERROR(VLOOKUP(Calculations[[#This Row],[A5type]],A5WastageRate[#All],2,FALSE)*Calculations[[#This Row],[A1-3]],0)</f>
        <v>0</v>
      </c>
      <c r="N21">
        <f>IFERROR(ROUNDUP(50/VLOOKUP(Calculations[[#This Row],[Scope Element]],B4referenceServiceLife[[Tier 2 element]:[Default Service Life]],2, FALSE)-1,0),0)</f>
        <v>0</v>
      </c>
      <c r="O21" s="322">
        <f>IFERROR((Calculations[[#This Row],[A1-3]]+Calculations[[#This Row],[A4]]+Calculations[[#This Row],[A5]]+Calculations[[#This Row],[C2 total]]+Calculations[[#This Row],[C3 total]]+Calculations[[#This Row],[C4 total]])*Calculations[[#This Row],[Replacements]],0)</f>
        <v>0</v>
      </c>
      <c r="S21" t="str">
        <f>IFERROR(VLOOKUP(Calculations[[#This Row],[Material (choose from dropdown]],MaterialData[#All],4,FALSE),"")</f>
        <v/>
      </c>
      <c r="T21" s="322" cm="1">
        <f t="array" ref="T21">IFERROR(VLOOKUP(Calculations[[#This Row],[Waste 1]],WasteScenario[#All],2,FALSE)*'Stage assumptions'!$C$225*WasteTransportMethod[Emissions Factor
kgCO2e/kg.km]*Calculations[[#This Row],[Total Kg]],0)</f>
        <v>0</v>
      </c>
      <c r="U21" s="322" cm="1">
        <f t="array" ref="U21">IFERROR(VLOOKUP(Calculations[[#This Row],[Waste 1]],WasteScenario[#All],3,FALSE)*'Stage assumptions'!$C$224*WasteTransportMethod[Emissions Factor
kgCO2e/kg.km]*Calculations[[#This Row],[Total Kg]],0)</f>
        <v>0</v>
      </c>
      <c r="V21" s="322" cm="1">
        <f t="array" ref="V21">IFERROR(VLOOKUP(Calculations[[#This Row],[Waste 1]],WasteScenario[#All],4,FALSE)*'Stage assumptions'!$C$223*WasteTransportMethod[Emissions Factor
kgCO2e/kg.km]*Calculations[[#This Row],[Total Kg]],0)</f>
        <v>0</v>
      </c>
      <c r="W21" s="322" cm="1">
        <f t="array" ref="W21">IFERROR(VLOOKUP(Calculations[[#This Row],[Waste 1]],WasteScenario[#All],5,FALSE)*'Stage assumptions'!$C$226*WasteTransportMethod[Emissions Factor
kgCO2e/kg.km]*Calculations[[#This Row],[Total Kg]],0)</f>
        <v>0</v>
      </c>
      <c r="X21" s="322">
        <f>SUM(Calculations[[#This Row],[C2 Recycle]:[C2 Reuse]])</f>
        <v>0</v>
      </c>
      <c r="Y21" t="str">
        <f>IFERROR(VLOOKUP(Calculations[[#This Row],[Material (choose from dropdown]],MaterialData[#All],5,FALSE),"")</f>
        <v/>
      </c>
      <c r="Z21" s="322">
        <f>IFERROR(((VLOOKUP(Calculations[[#This Row],[Waste type 2]],WasteDisposalEmissions[#All],2,FALSE))*Calculations[[#This Row],[Total Kg]])*VLOOKUP(Calculations[[#This Row],[Waste 1]],WasteScenario[#All],2,FALSE),0)</f>
        <v>0</v>
      </c>
      <c r="AA21" s="322">
        <f>IFERROR((VLOOKUP(Calculations[[#This Row],[Waste type 2]],WasteDisposalEmissions[#All],3,FALSE))*Calculations[[#This Row],[Total Kg]]*VLOOKUP(Calculations[[#This Row],[Waste 1]],WasteScenario[#All],3,FALSE),0)</f>
        <v>0</v>
      </c>
      <c r="AB21" s="322">
        <f>SUM(Calculations[[#This Row],[C3 recyc]:[C3 incin]])</f>
        <v>0</v>
      </c>
      <c r="AC21" s="322">
        <f>IFERROR((VLOOKUP(Calculations[[#This Row],[Waste type 2]],WasteLandfillEmissions[#All],2,FALSE))*Calculations[[#This Row],[Total Kg]]*VLOOKUP(Calculations[[#This Row],[Waste 1]],WasteScenario[#All],4,FALSE),0)</f>
        <v>0</v>
      </c>
      <c r="AD21" s="322">
        <f>IFERROR((VLOOKUP(Calculations[[#This Row],[Waste type 2]],WasteLandfillEmissions[#All],3,FALSE))*Calculations[[#This Row],[Total Kg]]*VLOOKUP(Calculations[[#This Row],[Waste 1]],WasteScenario[#All],4,FALSE),0)</f>
        <v>0</v>
      </c>
      <c r="AE21" s="322">
        <f>SUM(Calculations[[#This Row],[C4 landfill]:[C4 re-use]])</f>
        <v>0</v>
      </c>
      <c r="AF21" s="322">
        <f>IFERROR(VLOOKUP(Calculations[[#This Row],[Material (choose from dropdown]],MaterialData[#All],8,FALSE),0)</f>
        <v>0</v>
      </c>
      <c r="AG21" s="322">
        <f>IFERROR(Calculations[[#This Row],[Total Kg]]*Calculations[[#This Row],[Seq factor]],0)</f>
        <v>0</v>
      </c>
      <c r="AI21" s="322">
        <f>Calculations[[#This Row],[A1-3]]+Calculations[[#This Row],[A4]]+Calculations[[#This Row],[A5]]+Calculations[[#This Row],[B4]]+Calculations[[#This Row],[C2 total]]+Calculations[[#This Row],[C3 total]]+Calculations[[#This Row],[C4 total]]</f>
        <v>0</v>
      </c>
      <c r="AJ21" s="2">
        <f>IFERROR(VLOOKUP(Calculations[[#This Row],[Material (choose from dropdown]],MaterialData[[#Headers],[#Data]],9,FALSE),0)</f>
        <v>0</v>
      </c>
      <c r="AK21" s="4">
        <f>IFERROR(VLOOKUP(Calculations[[#This Row],[Material (choose from dropdown]],MaterialData[[#Headers],[#Data]],10,FALSE),0)</f>
        <v>0</v>
      </c>
      <c r="AL21" s="322">
        <f>IFERROR(Calculations[[#This Row],[Data Quality Score]]*Calculations[[#This Row],[Total Kg]],0)</f>
        <v>0</v>
      </c>
    </row>
    <row r="22" spans="1:38" x14ac:dyDescent="0.3">
      <c r="A22" s="6">
        <f>IFERROR(MaterialsBoQ[[#This Row],[Scope Element]],0)</f>
        <v>0</v>
      </c>
      <c r="B22">
        <f>IFERROR(MaterialsBoQ[[#This Row],[Material ]],"")</f>
        <v>0</v>
      </c>
      <c r="C22">
        <f>IFERROR(MaterialsBoQ[[#This Row],[Unit]],"")</f>
        <v>0</v>
      </c>
      <c r="D22" s="322">
        <f>IFERROR(MaterialsBoQ[[#This Row],[Number]],0)</f>
        <v>0</v>
      </c>
      <c r="E22" s="322">
        <f>IFERROR(MaterialsBoQ[[#This Row],[Kg per unit]],0)</f>
        <v>0</v>
      </c>
      <c r="F22" s="322">
        <f>IFERROR(Calculations[[#This Row],[Number]]*Calculations[[#This Row],[Conversion factor]],0)</f>
        <v>0</v>
      </c>
      <c r="G22" s="322">
        <f>IFERROR(VLOOKUP(Calculations[[#This Row],[Material (choose from dropdown]],MaterialData[#All],7,FALSE),0)</f>
        <v>0</v>
      </c>
      <c r="H22" s="322">
        <f>Calculations[[#This Row],[Total Kg]]*Calculations[[#This Row],[Carbon Factor]]</f>
        <v>0</v>
      </c>
      <c r="I22" t="str">
        <f>IFERROR(VLOOKUP(Calculations[[#This Row],[Material (choose from dropdown]],MaterialData[#All],2,FALSE),"")</f>
        <v/>
      </c>
      <c r="J22" s="322">
        <f>IFERROR(((VLOOKUP(Calculations[[#This Row],[TransportSource]],TransportDistance[],2,FALSE)*'Stage assumptions'!$C$11)+VLOOKUP(Calculations[[#This Row],[TransportSource]],TransportDistance[],3,FALSE)*'Stage assumptions'!$C$12)*Calculations[[#This Row],[Total Kg]],0)</f>
        <v>0</v>
      </c>
      <c r="K22">
        <f>IFERROR(VLOOKUP(Calculations[[#This Row],[Material (choose from dropdown]], MaterialData[#All],3, FALSE),0)</f>
        <v>0</v>
      </c>
      <c r="L22" s="322">
        <f>IFERROR(VLOOKUP(Calculations[[#This Row],[A5type]],A5WastageRate[#All],2,FALSE)*Calculations[[#This Row],[A1-3]],0)</f>
        <v>0</v>
      </c>
      <c r="N22">
        <f>IFERROR(ROUNDUP(50/VLOOKUP(Calculations[[#This Row],[Scope Element]],B4referenceServiceLife[[Tier 2 element]:[Default Service Life]],2, FALSE)-1,0),0)</f>
        <v>0</v>
      </c>
      <c r="O22" s="322">
        <f>IFERROR((Calculations[[#This Row],[A1-3]]+Calculations[[#This Row],[A4]]+Calculations[[#This Row],[A5]]+Calculations[[#This Row],[C2 total]]+Calculations[[#This Row],[C3 total]]+Calculations[[#This Row],[C4 total]])*Calculations[[#This Row],[Replacements]],0)</f>
        <v>0</v>
      </c>
      <c r="S22" t="str">
        <f>IFERROR(VLOOKUP(Calculations[[#This Row],[Material (choose from dropdown]],MaterialData[#All],4,FALSE),"")</f>
        <v/>
      </c>
      <c r="T22" s="322" cm="1">
        <f t="array" ref="T22">IFERROR(VLOOKUP(Calculations[[#This Row],[Waste 1]],WasteScenario[#All],2,FALSE)*'Stage assumptions'!$C$225*WasteTransportMethod[Emissions Factor
kgCO2e/kg.km]*Calculations[[#This Row],[Total Kg]],0)</f>
        <v>0</v>
      </c>
      <c r="U22" s="322" cm="1">
        <f t="array" ref="U22">IFERROR(VLOOKUP(Calculations[[#This Row],[Waste 1]],WasteScenario[#All],3,FALSE)*'Stage assumptions'!$C$224*WasteTransportMethod[Emissions Factor
kgCO2e/kg.km]*Calculations[[#This Row],[Total Kg]],0)</f>
        <v>0</v>
      </c>
      <c r="V22" s="322" cm="1">
        <f t="array" ref="V22">IFERROR(VLOOKUP(Calculations[[#This Row],[Waste 1]],WasteScenario[#All],4,FALSE)*'Stage assumptions'!$C$223*WasteTransportMethod[Emissions Factor
kgCO2e/kg.km]*Calculations[[#This Row],[Total Kg]],0)</f>
        <v>0</v>
      </c>
      <c r="W22" s="322" cm="1">
        <f t="array" ref="W22">IFERROR(VLOOKUP(Calculations[[#This Row],[Waste 1]],WasteScenario[#All],5,FALSE)*'Stage assumptions'!$C$226*WasteTransportMethod[Emissions Factor
kgCO2e/kg.km]*Calculations[[#This Row],[Total Kg]],0)</f>
        <v>0</v>
      </c>
      <c r="X22" s="322">
        <f>SUM(Calculations[[#This Row],[C2 Recycle]:[C2 Reuse]])</f>
        <v>0</v>
      </c>
      <c r="Y22" t="str">
        <f>IFERROR(VLOOKUP(Calculations[[#This Row],[Material (choose from dropdown]],MaterialData[#All],5,FALSE),"")</f>
        <v/>
      </c>
      <c r="Z22" s="322">
        <f>IFERROR(((VLOOKUP(Calculations[[#This Row],[Waste type 2]],WasteDisposalEmissions[#All],2,FALSE))*Calculations[[#This Row],[Total Kg]])*VLOOKUP(Calculations[[#This Row],[Waste 1]],WasteScenario[#All],2,FALSE),0)</f>
        <v>0</v>
      </c>
      <c r="AA22" s="322">
        <f>IFERROR((VLOOKUP(Calculations[[#This Row],[Waste type 2]],WasteDisposalEmissions[#All],3,FALSE))*Calculations[[#This Row],[Total Kg]]*VLOOKUP(Calculations[[#This Row],[Waste 1]],WasteScenario[#All],3,FALSE),0)</f>
        <v>0</v>
      </c>
      <c r="AB22" s="322">
        <f>SUM(Calculations[[#This Row],[C3 recyc]:[C3 incin]])</f>
        <v>0</v>
      </c>
      <c r="AC22" s="322">
        <f>IFERROR((VLOOKUP(Calculations[[#This Row],[Waste type 2]],WasteLandfillEmissions[#All],2,FALSE))*Calculations[[#This Row],[Total Kg]]*VLOOKUP(Calculations[[#This Row],[Waste 1]],WasteScenario[#All],4,FALSE),0)</f>
        <v>0</v>
      </c>
      <c r="AD22" s="322">
        <f>IFERROR((VLOOKUP(Calculations[[#This Row],[Waste type 2]],WasteLandfillEmissions[#All],3,FALSE))*Calculations[[#This Row],[Total Kg]]*VLOOKUP(Calculations[[#This Row],[Waste 1]],WasteScenario[#All],4,FALSE),0)</f>
        <v>0</v>
      </c>
      <c r="AE22" s="322">
        <f>SUM(Calculations[[#This Row],[C4 landfill]:[C4 re-use]])</f>
        <v>0</v>
      </c>
      <c r="AF22" s="322">
        <f>IFERROR(VLOOKUP(Calculations[[#This Row],[Material (choose from dropdown]],MaterialData[#All],8,FALSE),0)</f>
        <v>0</v>
      </c>
      <c r="AG22" s="322">
        <f>IFERROR(Calculations[[#This Row],[Total Kg]]*Calculations[[#This Row],[Seq factor]],0)</f>
        <v>0</v>
      </c>
      <c r="AI22" s="322">
        <f>Calculations[[#This Row],[A1-3]]+Calculations[[#This Row],[A4]]+Calculations[[#This Row],[A5]]+Calculations[[#This Row],[B4]]+Calculations[[#This Row],[C2 total]]+Calculations[[#This Row],[C3 total]]+Calculations[[#This Row],[C4 total]]</f>
        <v>0</v>
      </c>
      <c r="AJ22" s="2">
        <f>IFERROR(VLOOKUP(Calculations[[#This Row],[Material (choose from dropdown]],MaterialData[[#Headers],[#Data]],9,FALSE),0)</f>
        <v>0</v>
      </c>
      <c r="AK22" s="4">
        <f>IFERROR(VLOOKUP(Calculations[[#This Row],[Material (choose from dropdown]],MaterialData[[#Headers],[#Data]],10,FALSE),0)</f>
        <v>0</v>
      </c>
      <c r="AL22" s="322">
        <f>IFERROR(Calculations[[#This Row],[Data Quality Score]]*Calculations[[#This Row],[Total Kg]],0)</f>
        <v>0</v>
      </c>
    </row>
    <row r="23" spans="1:38" x14ac:dyDescent="0.3">
      <c r="A23" s="6">
        <f>IFERROR(MaterialsBoQ[[#This Row],[Scope Element]],0)</f>
        <v>0</v>
      </c>
      <c r="B23">
        <f>IFERROR(MaterialsBoQ[[#This Row],[Material ]],"")</f>
        <v>0</v>
      </c>
      <c r="C23">
        <f>IFERROR(MaterialsBoQ[[#This Row],[Unit]],"")</f>
        <v>0</v>
      </c>
      <c r="D23" s="322">
        <f>IFERROR(MaterialsBoQ[[#This Row],[Number]],0)</f>
        <v>0</v>
      </c>
      <c r="E23" s="322">
        <f>IFERROR(MaterialsBoQ[[#This Row],[Kg per unit]],0)</f>
        <v>0</v>
      </c>
      <c r="F23" s="322">
        <f>IFERROR(Calculations[[#This Row],[Number]]*Calculations[[#This Row],[Conversion factor]],0)</f>
        <v>0</v>
      </c>
      <c r="G23" s="322">
        <f>IFERROR(VLOOKUP(Calculations[[#This Row],[Material (choose from dropdown]],MaterialData[#All],7,FALSE),0)</f>
        <v>0</v>
      </c>
      <c r="H23" s="322">
        <f>Calculations[[#This Row],[Total Kg]]*Calculations[[#This Row],[Carbon Factor]]</f>
        <v>0</v>
      </c>
      <c r="I23" t="str">
        <f>IFERROR(VLOOKUP(Calculations[[#This Row],[Material (choose from dropdown]],MaterialData[#All],2,FALSE),"")</f>
        <v/>
      </c>
      <c r="J23" s="322">
        <f>IFERROR(((VLOOKUP(Calculations[[#This Row],[TransportSource]],TransportDistance[],2,FALSE)*'Stage assumptions'!$C$11)+VLOOKUP(Calculations[[#This Row],[TransportSource]],TransportDistance[],3,FALSE)*'Stage assumptions'!$C$12)*Calculations[[#This Row],[Total Kg]],0)</f>
        <v>0</v>
      </c>
      <c r="K23">
        <f>IFERROR(VLOOKUP(Calculations[[#This Row],[Material (choose from dropdown]], MaterialData[#All],3, FALSE),0)</f>
        <v>0</v>
      </c>
      <c r="L23" s="322">
        <f>IFERROR(VLOOKUP(Calculations[[#This Row],[A5type]],A5WastageRate[#All],2,FALSE)*Calculations[[#This Row],[A1-3]],0)</f>
        <v>0</v>
      </c>
      <c r="N23">
        <f>IFERROR(ROUNDUP(50/VLOOKUP(Calculations[[#This Row],[Scope Element]],B4referenceServiceLife[[Tier 2 element]:[Default Service Life]],2, FALSE)-1,0),0)</f>
        <v>0</v>
      </c>
      <c r="O23" s="322">
        <f>IFERROR((Calculations[[#This Row],[A1-3]]+Calculations[[#This Row],[A4]]+Calculations[[#This Row],[A5]]+Calculations[[#This Row],[C2 total]]+Calculations[[#This Row],[C3 total]]+Calculations[[#This Row],[C4 total]])*Calculations[[#This Row],[Replacements]],0)</f>
        <v>0</v>
      </c>
      <c r="S23" t="str">
        <f>IFERROR(VLOOKUP(Calculations[[#This Row],[Material (choose from dropdown]],MaterialData[#All],4,FALSE),"")</f>
        <v/>
      </c>
      <c r="T23" s="322" cm="1">
        <f t="array" ref="T23">IFERROR(VLOOKUP(Calculations[[#This Row],[Waste 1]],WasteScenario[#All],2,FALSE)*'Stage assumptions'!$C$225*WasteTransportMethod[Emissions Factor
kgCO2e/kg.km]*Calculations[[#This Row],[Total Kg]],0)</f>
        <v>0</v>
      </c>
      <c r="U23" s="322" cm="1">
        <f t="array" ref="U23">IFERROR(VLOOKUP(Calculations[[#This Row],[Waste 1]],WasteScenario[#All],3,FALSE)*'Stage assumptions'!$C$224*WasteTransportMethod[Emissions Factor
kgCO2e/kg.km]*Calculations[[#This Row],[Total Kg]],0)</f>
        <v>0</v>
      </c>
      <c r="V23" s="322" cm="1">
        <f t="array" ref="V23">IFERROR(VLOOKUP(Calculations[[#This Row],[Waste 1]],WasteScenario[#All],4,FALSE)*'Stage assumptions'!$C$223*WasteTransportMethod[Emissions Factor
kgCO2e/kg.km]*Calculations[[#This Row],[Total Kg]],0)</f>
        <v>0</v>
      </c>
      <c r="W23" s="322" cm="1">
        <f t="array" ref="W23">IFERROR(VLOOKUP(Calculations[[#This Row],[Waste 1]],WasteScenario[#All],5,FALSE)*'Stage assumptions'!$C$226*WasteTransportMethod[Emissions Factor
kgCO2e/kg.km]*Calculations[[#This Row],[Total Kg]],0)</f>
        <v>0</v>
      </c>
      <c r="X23" s="322">
        <f>SUM(Calculations[[#This Row],[C2 Recycle]:[C2 Reuse]])</f>
        <v>0</v>
      </c>
      <c r="Y23" t="str">
        <f>IFERROR(VLOOKUP(Calculations[[#This Row],[Material (choose from dropdown]],MaterialData[#All],5,FALSE),"")</f>
        <v/>
      </c>
      <c r="Z23" s="322">
        <f>IFERROR(((VLOOKUP(Calculations[[#This Row],[Waste type 2]],WasteDisposalEmissions[#All],2,FALSE))*Calculations[[#This Row],[Total Kg]])*VLOOKUP(Calculations[[#This Row],[Waste 1]],WasteScenario[#All],2,FALSE),0)</f>
        <v>0</v>
      </c>
      <c r="AA23" s="322">
        <f>IFERROR((VLOOKUP(Calculations[[#This Row],[Waste type 2]],WasteDisposalEmissions[#All],3,FALSE))*Calculations[[#This Row],[Total Kg]]*VLOOKUP(Calculations[[#This Row],[Waste 1]],WasteScenario[#All],3,FALSE),0)</f>
        <v>0</v>
      </c>
      <c r="AB23" s="322">
        <f>SUM(Calculations[[#This Row],[C3 recyc]:[C3 incin]])</f>
        <v>0</v>
      </c>
      <c r="AC23" s="322">
        <f>IFERROR((VLOOKUP(Calculations[[#This Row],[Waste type 2]],WasteLandfillEmissions[#All],2,FALSE))*Calculations[[#This Row],[Total Kg]]*VLOOKUP(Calculations[[#This Row],[Waste 1]],WasteScenario[#All],4,FALSE),0)</f>
        <v>0</v>
      </c>
      <c r="AD23" s="322">
        <f>IFERROR((VLOOKUP(Calculations[[#This Row],[Waste type 2]],WasteLandfillEmissions[#All],3,FALSE))*Calculations[[#This Row],[Total Kg]]*VLOOKUP(Calculations[[#This Row],[Waste 1]],WasteScenario[#All],4,FALSE),0)</f>
        <v>0</v>
      </c>
      <c r="AE23" s="322">
        <f>SUM(Calculations[[#This Row],[C4 landfill]:[C4 re-use]])</f>
        <v>0</v>
      </c>
      <c r="AF23" s="322">
        <f>IFERROR(VLOOKUP(Calculations[[#This Row],[Material (choose from dropdown]],MaterialData[#All],8,FALSE),0)</f>
        <v>0</v>
      </c>
      <c r="AG23" s="322">
        <f>IFERROR(Calculations[[#This Row],[Total Kg]]*Calculations[[#This Row],[Seq factor]],0)</f>
        <v>0</v>
      </c>
      <c r="AI23" s="322">
        <f>Calculations[[#This Row],[A1-3]]+Calculations[[#This Row],[A4]]+Calculations[[#This Row],[A5]]+Calculations[[#This Row],[B4]]+Calculations[[#This Row],[C2 total]]+Calculations[[#This Row],[C3 total]]+Calculations[[#This Row],[C4 total]]</f>
        <v>0</v>
      </c>
      <c r="AJ23" s="2">
        <f>IFERROR(VLOOKUP(Calculations[[#This Row],[Material (choose from dropdown]],MaterialData[[#Headers],[#Data]],9,FALSE),0)</f>
        <v>0</v>
      </c>
      <c r="AK23" s="4">
        <f>IFERROR(VLOOKUP(Calculations[[#This Row],[Material (choose from dropdown]],MaterialData[[#Headers],[#Data]],10,FALSE),0)</f>
        <v>0</v>
      </c>
      <c r="AL23" s="322">
        <f>IFERROR(Calculations[[#This Row],[Data Quality Score]]*Calculations[[#This Row],[Total Kg]],0)</f>
        <v>0</v>
      </c>
    </row>
    <row r="24" spans="1:38" x14ac:dyDescent="0.3">
      <c r="A24" s="6">
        <f>IFERROR(MaterialsBoQ[[#This Row],[Scope Element]],0)</f>
        <v>0</v>
      </c>
      <c r="B24">
        <f>IFERROR(MaterialsBoQ[[#This Row],[Material ]],"")</f>
        <v>0</v>
      </c>
      <c r="C24">
        <f>IFERROR(MaterialsBoQ[[#This Row],[Unit]],"")</f>
        <v>0</v>
      </c>
      <c r="D24" s="322">
        <f>IFERROR(MaterialsBoQ[[#This Row],[Number]],0)</f>
        <v>0</v>
      </c>
      <c r="E24" s="322">
        <f>IFERROR(MaterialsBoQ[[#This Row],[Kg per unit]],0)</f>
        <v>0</v>
      </c>
      <c r="F24" s="322">
        <f>IFERROR(Calculations[[#This Row],[Number]]*Calculations[[#This Row],[Conversion factor]],0)</f>
        <v>0</v>
      </c>
      <c r="G24" s="322">
        <f>IFERROR(VLOOKUP(Calculations[[#This Row],[Material (choose from dropdown]],MaterialData[#All],7,FALSE),0)</f>
        <v>0</v>
      </c>
      <c r="H24" s="322">
        <f>Calculations[[#This Row],[Total Kg]]*Calculations[[#This Row],[Carbon Factor]]</f>
        <v>0</v>
      </c>
      <c r="I24" t="str">
        <f>IFERROR(VLOOKUP(Calculations[[#This Row],[Material (choose from dropdown]],MaterialData[#All],2,FALSE),"")</f>
        <v/>
      </c>
      <c r="J24" s="322">
        <f>IFERROR(((VLOOKUP(Calculations[[#This Row],[TransportSource]],TransportDistance[],2,FALSE)*'Stage assumptions'!$C$11)+VLOOKUP(Calculations[[#This Row],[TransportSource]],TransportDistance[],3,FALSE)*'Stage assumptions'!$C$12)*Calculations[[#This Row],[Total Kg]],0)</f>
        <v>0</v>
      </c>
      <c r="K24">
        <f>IFERROR(VLOOKUP(Calculations[[#This Row],[Material (choose from dropdown]], MaterialData[#All],3, FALSE),0)</f>
        <v>0</v>
      </c>
      <c r="L24" s="322">
        <f>IFERROR(VLOOKUP(Calculations[[#This Row],[A5type]],A5WastageRate[#All],2,FALSE)*Calculations[[#This Row],[A1-3]],0)</f>
        <v>0</v>
      </c>
      <c r="N24">
        <f>IFERROR(ROUNDUP(50/VLOOKUP(Calculations[[#This Row],[Scope Element]],B4referenceServiceLife[[Tier 2 element]:[Default Service Life]],2, FALSE)-1,0),0)</f>
        <v>0</v>
      </c>
      <c r="O24" s="322">
        <f>IFERROR((Calculations[[#This Row],[A1-3]]+Calculations[[#This Row],[A4]]+Calculations[[#This Row],[A5]]+Calculations[[#This Row],[C2 total]]+Calculations[[#This Row],[C3 total]]+Calculations[[#This Row],[C4 total]])*Calculations[[#This Row],[Replacements]],0)</f>
        <v>0</v>
      </c>
      <c r="S24" t="str">
        <f>IFERROR(VLOOKUP(Calculations[[#This Row],[Material (choose from dropdown]],MaterialData[#All],4,FALSE),"")</f>
        <v/>
      </c>
      <c r="T24" s="322" cm="1">
        <f t="array" ref="T24">IFERROR(VLOOKUP(Calculations[[#This Row],[Waste 1]],WasteScenario[#All],2,FALSE)*'Stage assumptions'!$C$225*WasteTransportMethod[Emissions Factor
kgCO2e/kg.km]*Calculations[[#This Row],[Total Kg]],0)</f>
        <v>0</v>
      </c>
      <c r="U24" s="322" cm="1">
        <f t="array" ref="U24">IFERROR(VLOOKUP(Calculations[[#This Row],[Waste 1]],WasteScenario[#All],3,FALSE)*'Stage assumptions'!$C$224*WasteTransportMethod[Emissions Factor
kgCO2e/kg.km]*Calculations[[#This Row],[Total Kg]],0)</f>
        <v>0</v>
      </c>
      <c r="V24" s="322" cm="1">
        <f t="array" ref="V24">IFERROR(VLOOKUP(Calculations[[#This Row],[Waste 1]],WasteScenario[#All],4,FALSE)*'Stage assumptions'!$C$223*WasteTransportMethod[Emissions Factor
kgCO2e/kg.km]*Calculations[[#This Row],[Total Kg]],0)</f>
        <v>0</v>
      </c>
      <c r="W24" s="322" cm="1">
        <f t="array" ref="W24">IFERROR(VLOOKUP(Calculations[[#This Row],[Waste 1]],WasteScenario[#All],5,FALSE)*'Stage assumptions'!$C$226*WasteTransportMethod[Emissions Factor
kgCO2e/kg.km]*Calculations[[#This Row],[Total Kg]],0)</f>
        <v>0</v>
      </c>
      <c r="X24" s="322">
        <f>SUM(Calculations[[#This Row],[C2 Recycle]:[C2 Reuse]])</f>
        <v>0</v>
      </c>
      <c r="Y24" t="str">
        <f>IFERROR(VLOOKUP(Calculations[[#This Row],[Material (choose from dropdown]],MaterialData[#All],5,FALSE),"")</f>
        <v/>
      </c>
      <c r="Z24" s="322">
        <f>IFERROR(((VLOOKUP(Calculations[[#This Row],[Waste type 2]],WasteDisposalEmissions[#All],2,FALSE))*Calculations[[#This Row],[Total Kg]])*VLOOKUP(Calculations[[#This Row],[Waste 1]],WasteScenario[#All],2,FALSE),0)</f>
        <v>0</v>
      </c>
      <c r="AA24" s="322">
        <f>IFERROR((VLOOKUP(Calculations[[#This Row],[Waste type 2]],WasteDisposalEmissions[#All],3,FALSE))*Calculations[[#This Row],[Total Kg]]*VLOOKUP(Calculations[[#This Row],[Waste 1]],WasteScenario[#All],3,FALSE),0)</f>
        <v>0</v>
      </c>
      <c r="AB24" s="322">
        <f>SUM(Calculations[[#This Row],[C3 recyc]:[C3 incin]])</f>
        <v>0</v>
      </c>
      <c r="AC24" s="322">
        <f>IFERROR((VLOOKUP(Calculations[[#This Row],[Waste type 2]],WasteLandfillEmissions[#All],2,FALSE))*Calculations[[#This Row],[Total Kg]]*VLOOKUP(Calculations[[#This Row],[Waste 1]],WasteScenario[#All],4,FALSE),0)</f>
        <v>0</v>
      </c>
      <c r="AD24" s="322">
        <f>IFERROR((VLOOKUP(Calculations[[#This Row],[Waste type 2]],WasteLandfillEmissions[#All],3,FALSE))*Calculations[[#This Row],[Total Kg]]*VLOOKUP(Calculations[[#This Row],[Waste 1]],WasteScenario[#All],4,FALSE),0)</f>
        <v>0</v>
      </c>
      <c r="AE24" s="322">
        <f>SUM(Calculations[[#This Row],[C4 landfill]:[C4 re-use]])</f>
        <v>0</v>
      </c>
      <c r="AF24" s="322">
        <f>IFERROR(VLOOKUP(Calculations[[#This Row],[Material (choose from dropdown]],MaterialData[#All],8,FALSE),0)</f>
        <v>0</v>
      </c>
      <c r="AG24" s="322">
        <f>IFERROR(Calculations[[#This Row],[Total Kg]]*Calculations[[#This Row],[Seq factor]],0)</f>
        <v>0</v>
      </c>
      <c r="AI24" s="322">
        <f>Calculations[[#This Row],[A1-3]]+Calculations[[#This Row],[A4]]+Calculations[[#This Row],[A5]]+Calculations[[#This Row],[B4]]+Calculations[[#This Row],[C2 total]]+Calculations[[#This Row],[C3 total]]+Calculations[[#This Row],[C4 total]]</f>
        <v>0</v>
      </c>
      <c r="AJ24" s="2">
        <f>IFERROR(VLOOKUP(Calculations[[#This Row],[Material (choose from dropdown]],MaterialData[[#Headers],[#Data]],9,FALSE),0)</f>
        <v>0</v>
      </c>
      <c r="AK24" s="4">
        <f>IFERROR(VLOOKUP(Calculations[[#This Row],[Material (choose from dropdown]],MaterialData[[#Headers],[#Data]],10,FALSE),0)</f>
        <v>0</v>
      </c>
      <c r="AL24" s="322">
        <f>IFERROR(Calculations[[#This Row],[Data Quality Score]]*Calculations[[#This Row],[Total Kg]],0)</f>
        <v>0</v>
      </c>
    </row>
    <row r="25" spans="1:38" x14ac:dyDescent="0.3">
      <c r="A25" s="6">
        <f>IFERROR(MaterialsBoQ[[#This Row],[Scope Element]],0)</f>
        <v>0</v>
      </c>
      <c r="B25">
        <f>IFERROR(MaterialsBoQ[[#This Row],[Material ]],"")</f>
        <v>0</v>
      </c>
      <c r="C25">
        <f>IFERROR(MaterialsBoQ[[#This Row],[Unit]],"")</f>
        <v>0</v>
      </c>
      <c r="D25" s="322">
        <f>IFERROR(MaterialsBoQ[[#This Row],[Number]],0)</f>
        <v>0</v>
      </c>
      <c r="E25" s="322">
        <f>IFERROR(MaterialsBoQ[[#This Row],[Kg per unit]],0)</f>
        <v>0</v>
      </c>
      <c r="F25" s="322">
        <f>IFERROR(Calculations[[#This Row],[Number]]*Calculations[[#This Row],[Conversion factor]],0)</f>
        <v>0</v>
      </c>
      <c r="G25" s="322">
        <f>IFERROR(VLOOKUP(Calculations[[#This Row],[Material (choose from dropdown]],MaterialData[#All],7,FALSE),0)</f>
        <v>0</v>
      </c>
      <c r="H25" s="322">
        <f>Calculations[[#This Row],[Total Kg]]*Calculations[[#This Row],[Carbon Factor]]</f>
        <v>0</v>
      </c>
      <c r="I25" t="str">
        <f>IFERROR(VLOOKUP(Calculations[[#This Row],[Material (choose from dropdown]],MaterialData[#All],2,FALSE),"")</f>
        <v/>
      </c>
      <c r="J25" s="322">
        <f>IFERROR(((VLOOKUP(Calculations[[#This Row],[TransportSource]],TransportDistance[],2,FALSE)*'Stage assumptions'!$C$11)+VLOOKUP(Calculations[[#This Row],[TransportSource]],TransportDistance[],3,FALSE)*'Stage assumptions'!$C$12)*Calculations[[#This Row],[Total Kg]],0)</f>
        <v>0</v>
      </c>
      <c r="K25">
        <f>IFERROR(VLOOKUP(Calculations[[#This Row],[Material (choose from dropdown]], MaterialData[#All],3, FALSE),0)</f>
        <v>0</v>
      </c>
      <c r="L25" s="322">
        <f>IFERROR(VLOOKUP(Calculations[[#This Row],[A5type]],A5WastageRate[#All],2,FALSE)*Calculations[[#This Row],[A1-3]],0)</f>
        <v>0</v>
      </c>
      <c r="N25">
        <f>IFERROR(ROUNDUP(50/VLOOKUP(Calculations[[#This Row],[Scope Element]],B4referenceServiceLife[[Tier 2 element]:[Default Service Life]],2, FALSE)-1,0),0)</f>
        <v>0</v>
      </c>
      <c r="O25" s="322">
        <f>IFERROR((Calculations[[#This Row],[A1-3]]+Calculations[[#This Row],[A4]]+Calculations[[#This Row],[A5]]+Calculations[[#This Row],[C2 total]]+Calculations[[#This Row],[C3 total]]+Calculations[[#This Row],[C4 total]])*Calculations[[#This Row],[Replacements]],0)</f>
        <v>0</v>
      </c>
      <c r="S25" t="str">
        <f>IFERROR(VLOOKUP(Calculations[[#This Row],[Material (choose from dropdown]],MaterialData[#All],4,FALSE),"")</f>
        <v/>
      </c>
      <c r="T25" s="322" cm="1">
        <f t="array" ref="T25">IFERROR(VLOOKUP(Calculations[[#This Row],[Waste 1]],WasteScenario[#All],2,FALSE)*'Stage assumptions'!$C$225*WasteTransportMethod[Emissions Factor
kgCO2e/kg.km]*Calculations[[#This Row],[Total Kg]],0)</f>
        <v>0</v>
      </c>
      <c r="U25" s="322" cm="1">
        <f t="array" ref="U25">IFERROR(VLOOKUP(Calculations[[#This Row],[Waste 1]],WasteScenario[#All],3,FALSE)*'Stage assumptions'!$C$224*WasteTransportMethod[Emissions Factor
kgCO2e/kg.km]*Calculations[[#This Row],[Total Kg]],0)</f>
        <v>0</v>
      </c>
      <c r="V25" s="322" cm="1">
        <f t="array" ref="V25">IFERROR(VLOOKUP(Calculations[[#This Row],[Waste 1]],WasteScenario[#All],4,FALSE)*'Stage assumptions'!$C$223*WasteTransportMethod[Emissions Factor
kgCO2e/kg.km]*Calculations[[#This Row],[Total Kg]],0)</f>
        <v>0</v>
      </c>
      <c r="W25" s="322" cm="1">
        <f t="array" ref="W25">IFERROR(VLOOKUP(Calculations[[#This Row],[Waste 1]],WasteScenario[#All],5,FALSE)*'Stage assumptions'!$C$226*WasteTransportMethod[Emissions Factor
kgCO2e/kg.km]*Calculations[[#This Row],[Total Kg]],0)</f>
        <v>0</v>
      </c>
      <c r="X25" s="322">
        <f>SUM(Calculations[[#This Row],[C2 Recycle]:[C2 Reuse]])</f>
        <v>0</v>
      </c>
      <c r="Y25" t="str">
        <f>IFERROR(VLOOKUP(Calculations[[#This Row],[Material (choose from dropdown]],MaterialData[#All],5,FALSE),"")</f>
        <v/>
      </c>
      <c r="Z25" s="322">
        <f>IFERROR(((VLOOKUP(Calculations[[#This Row],[Waste type 2]],WasteDisposalEmissions[#All],2,FALSE))*Calculations[[#This Row],[Total Kg]])*VLOOKUP(Calculations[[#This Row],[Waste 1]],WasteScenario[#All],2,FALSE),0)</f>
        <v>0</v>
      </c>
      <c r="AA25" s="322">
        <f>IFERROR((VLOOKUP(Calculations[[#This Row],[Waste type 2]],WasteDisposalEmissions[#All],3,FALSE))*Calculations[[#This Row],[Total Kg]]*VLOOKUP(Calculations[[#This Row],[Waste 1]],WasteScenario[#All],3,FALSE),0)</f>
        <v>0</v>
      </c>
      <c r="AB25" s="322">
        <f>SUM(Calculations[[#This Row],[C3 recyc]:[C3 incin]])</f>
        <v>0</v>
      </c>
      <c r="AC25" s="322">
        <f>IFERROR((VLOOKUP(Calculations[[#This Row],[Waste type 2]],WasteLandfillEmissions[#All],2,FALSE))*Calculations[[#This Row],[Total Kg]]*VLOOKUP(Calculations[[#This Row],[Waste 1]],WasteScenario[#All],4,FALSE),0)</f>
        <v>0</v>
      </c>
      <c r="AD25" s="322">
        <f>IFERROR((VLOOKUP(Calculations[[#This Row],[Waste type 2]],WasteLandfillEmissions[#All],3,FALSE))*Calculations[[#This Row],[Total Kg]]*VLOOKUP(Calculations[[#This Row],[Waste 1]],WasteScenario[#All],4,FALSE),0)</f>
        <v>0</v>
      </c>
      <c r="AE25" s="322">
        <f>SUM(Calculations[[#This Row],[C4 landfill]:[C4 re-use]])</f>
        <v>0</v>
      </c>
      <c r="AF25" s="322">
        <f>IFERROR(VLOOKUP(Calculations[[#This Row],[Material (choose from dropdown]],MaterialData[#All],8,FALSE),0)</f>
        <v>0</v>
      </c>
      <c r="AG25" s="322">
        <f>IFERROR(Calculations[[#This Row],[Total Kg]]*Calculations[[#This Row],[Seq factor]],0)</f>
        <v>0</v>
      </c>
      <c r="AI25" s="322">
        <f>Calculations[[#This Row],[A1-3]]+Calculations[[#This Row],[A4]]+Calculations[[#This Row],[A5]]+Calculations[[#This Row],[B4]]+Calculations[[#This Row],[C2 total]]+Calculations[[#This Row],[C3 total]]+Calculations[[#This Row],[C4 total]]</f>
        <v>0</v>
      </c>
      <c r="AJ25" s="2">
        <f>IFERROR(VLOOKUP(Calculations[[#This Row],[Material (choose from dropdown]],MaterialData[[#Headers],[#Data]],9,FALSE),0)</f>
        <v>0</v>
      </c>
      <c r="AK25" s="4">
        <f>IFERROR(VLOOKUP(Calculations[[#This Row],[Material (choose from dropdown]],MaterialData[[#Headers],[#Data]],10,FALSE),0)</f>
        <v>0</v>
      </c>
      <c r="AL25" s="322">
        <f>IFERROR(Calculations[[#This Row],[Data Quality Score]]*Calculations[[#This Row],[Total Kg]],0)</f>
        <v>0</v>
      </c>
    </row>
    <row r="26" spans="1:38" x14ac:dyDescent="0.3">
      <c r="A26" s="6">
        <f>IFERROR(MaterialsBoQ[[#This Row],[Scope Element]],0)</f>
        <v>0</v>
      </c>
      <c r="B26">
        <f>IFERROR(MaterialsBoQ[[#This Row],[Material ]],"")</f>
        <v>0</v>
      </c>
      <c r="C26">
        <f>IFERROR(MaterialsBoQ[[#This Row],[Unit]],"")</f>
        <v>0</v>
      </c>
      <c r="D26" s="322">
        <f>IFERROR(MaterialsBoQ[[#This Row],[Number]],0)</f>
        <v>0</v>
      </c>
      <c r="E26" s="322">
        <f>IFERROR(MaterialsBoQ[[#This Row],[Kg per unit]],0)</f>
        <v>0</v>
      </c>
      <c r="F26" s="322">
        <f>IFERROR(Calculations[[#This Row],[Number]]*Calculations[[#This Row],[Conversion factor]],0)</f>
        <v>0</v>
      </c>
      <c r="G26" s="322">
        <f>IFERROR(VLOOKUP(Calculations[[#This Row],[Material (choose from dropdown]],MaterialData[#All],7,FALSE),0)</f>
        <v>0</v>
      </c>
      <c r="H26" s="322">
        <f>Calculations[[#This Row],[Total Kg]]*Calculations[[#This Row],[Carbon Factor]]</f>
        <v>0</v>
      </c>
      <c r="I26" t="str">
        <f>IFERROR(VLOOKUP(Calculations[[#This Row],[Material (choose from dropdown]],MaterialData[#All],2,FALSE),"")</f>
        <v/>
      </c>
      <c r="J26" s="322">
        <f>IFERROR(((VLOOKUP(Calculations[[#This Row],[TransportSource]],TransportDistance[],2,FALSE)*'Stage assumptions'!$C$11)+VLOOKUP(Calculations[[#This Row],[TransportSource]],TransportDistance[],3,FALSE)*'Stage assumptions'!$C$12)*Calculations[[#This Row],[Total Kg]],0)</f>
        <v>0</v>
      </c>
      <c r="K26">
        <f>IFERROR(VLOOKUP(Calculations[[#This Row],[Material (choose from dropdown]], MaterialData[#All],3, FALSE),0)</f>
        <v>0</v>
      </c>
      <c r="L26" s="322">
        <f>IFERROR(VLOOKUP(Calculations[[#This Row],[A5type]],A5WastageRate[#All],2,FALSE)*Calculations[[#This Row],[A1-3]],0)</f>
        <v>0</v>
      </c>
      <c r="N26">
        <f>IFERROR(ROUNDUP(50/VLOOKUP(Calculations[[#This Row],[Scope Element]],B4referenceServiceLife[[Tier 2 element]:[Default Service Life]],2, FALSE)-1,0),0)</f>
        <v>0</v>
      </c>
      <c r="O26" s="322">
        <f>IFERROR((Calculations[[#This Row],[A1-3]]+Calculations[[#This Row],[A4]]+Calculations[[#This Row],[A5]]+Calculations[[#This Row],[C2 total]]+Calculations[[#This Row],[C3 total]]+Calculations[[#This Row],[C4 total]])*Calculations[[#This Row],[Replacements]],0)</f>
        <v>0</v>
      </c>
      <c r="S26" t="str">
        <f>IFERROR(VLOOKUP(Calculations[[#This Row],[Material (choose from dropdown]],MaterialData[#All],4,FALSE),"")</f>
        <v/>
      </c>
      <c r="T26" s="322" cm="1">
        <f t="array" ref="T26">IFERROR(VLOOKUP(Calculations[[#This Row],[Waste 1]],WasteScenario[#All],2,FALSE)*'Stage assumptions'!$C$225*WasteTransportMethod[Emissions Factor
kgCO2e/kg.km]*Calculations[[#This Row],[Total Kg]],0)</f>
        <v>0</v>
      </c>
      <c r="U26" s="322" cm="1">
        <f t="array" ref="U26">IFERROR(VLOOKUP(Calculations[[#This Row],[Waste 1]],WasteScenario[#All],3,FALSE)*'Stage assumptions'!$C$224*WasteTransportMethod[Emissions Factor
kgCO2e/kg.km]*Calculations[[#This Row],[Total Kg]],0)</f>
        <v>0</v>
      </c>
      <c r="V26" s="322" cm="1">
        <f t="array" ref="V26">IFERROR(VLOOKUP(Calculations[[#This Row],[Waste 1]],WasteScenario[#All],4,FALSE)*'Stage assumptions'!$C$223*WasteTransportMethod[Emissions Factor
kgCO2e/kg.km]*Calculations[[#This Row],[Total Kg]],0)</f>
        <v>0</v>
      </c>
      <c r="W26" s="322" cm="1">
        <f t="array" ref="W26">IFERROR(VLOOKUP(Calculations[[#This Row],[Waste 1]],WasteScenario[#All],5,FALSE)*'Stage assumptions'!$C$226*WasteTransportMethod[Emissions Factor
kgCO2e/kg.km]*Calculations[[#This Row],[Total Kg]],0)</f>
        <v>0</v>
      </c>
      <c r="X26" s="322">
        <f>SUM(Calculations[[#This Row],[C2 Recycle]:[C2 Reuse]])</f>
        <v>0</v>
      </c>
      <c r="Y26" t="str">
        <f>IFERROR(VLOOKUP(Calculations[[#This Row],[Material (choose from dropdown]],MaterialData[#All],5,FALSE),"")</f>
        <v/>
      </c>
      <c r="Z26" s="322">
        <f>IFERROR(((VLOOKUP(Calculations[[#This Row],[Waste type 2]],WasteDisposalEmissions[#All],2,FALSE))*Calculations[[#This Row],[Total Kg]])*VLOOKUP(Calculations[[#This Row],[Waste 1]],WasteScenario[#All],2,FALSE),0)</f>
        <v>0</v>
      </c>
      <c r="AA26" s="322">
        <f>IFERROR((VLOOKUP(Calculations[[#This Row],[Waste type 2]],WasteDisposalEmissions[#All],3,FALSE))*Calculations[[#This Row],[Total Kg]]*VLOOKUP(Calculations[[#This Row],[Waste 1]],WasteScenario[#All],3,FALSE),0)</f>
        <v>0</v>
      </c>
      <c r="AB26" s="322">
        <f>SUM(Calculations[[#This Row],[C3 recyc]:[C3 incin]])</f>
        <v>0</v>
      </c>
      <c r="AC26" s="322">
        <f>IFERROR((VLOOKUP(Calculations[[#This Row],[Waste type 2]],WasteLandfillEmissions[#All],2,FALSE))*Calculations[[#This Row],[Total Kg]]*VLOOKUP(Calculations[[#This Row],[Waste 1]],WasteScenario[#All],4,FALSE),0)</f>
        <v>0</v>
      </c>
      <c r="AD26" s="322">
        <f>IFERROR((VLOOKUP(Calculations[[#This Row],[Waste type 2]],WasteLandfillEmissions[#All],3,FALSE))*Calculations[[#This Row],[Total Kg]]*VLOOKUP(Calculations[[#This Row],[Waste 1]],WasteScenario[#All],4,FALSE),0)</f>
        <v>0</v>
      </c>
      <c r="AE26" s="322">
        <f>SUM(Calculations[[#This Row],[C4 landfill]:[C4 re-use]])</f>
        <v>0</v>
      </c>
      <c r="AF26" s="322">
        <f>IFERROR(VLOOKUP(Calculations[[#This Row],[Material (choose from dropdown]],MaterialData[#All],8,FALSE),0)</f>
        <v>0</v>
      </c>
      <c r="AG26" s="322">
        <f>IFERROR(Calculations[[#This Row],[Total Kg]]*Calculations[[#This Row],[Seq factor]],0)</f>
        <v>0</v>
      </c>
      <c r="AI26" s="322">
        <f>Calculations[[#This Row],[A1-3]]+Calculations[[#This Row],[A4]]+Calculations[[#This Row],[A5]]+Calculations[[#This Row],[B4]]+Calculations[[#This Row],[C2 total]]+Calculations[[#This Row],[C3 total]]+Calculations[[#This Row],[C4 total]]</f>
        <v>0</v>
      </c>
      <c r="AJ26" s="2">
        <f>IFERROR(VLOOKUP(Calculations[[#This Row],[Material (choose from dropdown]],MaterialData[[#Headers],[#Data]],9,FALSE),0)</f>
        <v>0</v>
      </c>
      <c r="AK26" s="4">
        <f>IFERROR(VLOOKUP(Calculations[[#This Row],[Material (choose from dropdown]],MaterialData[[#Headers],[#Data]],10,FALSE),0)</f>
        <v>0</v>
      </c>
      <c r="AL26" s="322">
        <f>IFERROR(Calculations[[#This Row],[Data Quality Score]]*Calculations[[#This Row],[Total Kg]],0)</f>
        <v>0</v>
      </c>
    </row>
    <row r="27" spans="1:38" x14ac:dyDescent="0.3">
      <c r="A27" s="6">
        <f>IFERROR(MaterialsBoQ[[#This Row],[Scope Element]],0)</f>
        <v>0</v>
      </c>
      <c r="B27">
        <f>IFERROR(MaterialsBoQ[[#This Row],[Material ]],"")</f>
        <v>0</v>
      </c>
      <c r="C27">
        <f>IFERROR(MaterialsBoQ[[#This Row],[Unit]],"")</f>
        <v>0</v>
      </c>
      <c r="D27" s="322">
        <f>IFERROR(MaterialsBoQ[[#This Row],[Number]],0)</f>
        <v>0</v>
      </c>
      <c r="E27" s="322">
        <f>IFERROR(MaterialsBoQ[[#This Row],[Kg per unit]],0)</f>
        <v>0</v>
      </c>
      <c r="F27" s="322">
        <f>IFERROR(Calculations[[#This Row],[Number]]*Calculations[[#This Row],[Conversion factor]],0)</f>
        <v>0</v>
      </c>
      <c r="G27" s="322">
        <f>IFERROR(VLOOKUP(Calculations[[#This Row],[Material (choose from dropdown]],MaterialData[#All],7,FALSE),0)</f>
        <v>0</v>
      </c>
      <c r="H27" s="322">
        <f>Calculations[[#This Row],[Total Kg]]*Calculations[[#This Row],[Carbon Factor]]</f>
        <v>0</v>
      </c>
      <c r="I27" t="str">
        <f>IFERROR(VLOOKUP(Calculations[[#This Row],[Material (choose from dropdown]],MaterialData[#All],2,FALSE),"")</f>
        <v/>
      </c>
      <c r="J27" s="322">
        <f>IFERROR(((VLOOKUP(Calculations[[#This Row],[TransportSource]],TransportDistance[],2,FALSE)*'Stage assumptions'!$C$11)+VLOOKUP(Calculations[[#This Row],[TransportSource]],TransportDistance[],3,FALSE)*'Stage assumptions'!$C$12)*Calculations[[#This Row],[Total Kg]],0)</f>
        <v>0</v>
      </c>
      <c r="K27">
        <f>IFERROR(VLOOKUP(Calculations[[#This Row],[Material (choose from dropdown]], MaterialData[#All],3, FALSE),0)</f>
        <v>0</v>
      </c>
      <c r="L27" s="322">
        <f>IFERROR(VLOOKUP(Calculations[[#This Row],[A5type]],A5WastageRate[#All],2,FALSE)*Calculations[[#This Row],[A1-3]],0)</f>
        <v>0</v>
      </c>
      <c r="N27">
        <f>IFERROR(ROUNDUP(50/VLOOKUP(Calculations[[#This Row],[Scope Element]],B4referenceServiceLife[[Tier 2 element]:[Default Service Life]],2, FALSE)-1,0),0)</f>
        <v>0</v>
      </c>
      <c r="O27" s="322">
        <f>IFERROR((Calculations[[#This Row],[A1-3]]+Calculations[[#This Row],[A4]]+Calculations[[#This Row],[A5]]+Calculations[[#This Row],[C2 total]]+Calculations[[#This Row],[C3 total]]+Calculations[[#This Row],[C4 total]])*Calculations[[#This Row],[Replacements]],0)</f>
        <v>0</v>
      </c>
      <c r="S27" t="str">
        <f>IFERROR(VLOOKUP(Calculations[[#This Row],[Material (choose from dropdown]],MaterialData[#All],4,FALSE),"")</f>
        <v/>
      </c>
      <c r="T27" s="322" cm="1">
        <f t="array" ref="T27">IFERROR(VLOOKUP(Calculations[[#This Row],[Waste 1]],WasteScenario[#All],2,FALSE)*'Stage assumptions'!$C$225*WasteTransportMethod[Emissions Factor
kgCO2e/kg.km]*Calculations[[#This Row],[Total Kg]],0)</f>
        <v>0</v>
      </c>
      <c r="U27" s="322" cm="1">
        <f t="array" ref="U27">IFERROR(VLOOKUP(Calculations[[#This Row],[Waste 1]],WasteScenario[#All],3,FALSE)*'Stage assumptions'!$C$224*WasteTransportMethod[Emissions Factor
kgCO2e/kg.km]*Calculations[[#This Row],[Total Kg]],0)</f>
        <v>0</v>
      </c>
      <c r="V27" s="322" cm="1">
        <f t="array" ref="V27">IFERROR(VLOOKUP(Calculations[[#This Row],[Waste 1]],WasteScenario[#All],4,FALSE)*'Stage assumptions'!$C$223*WasteTransportMethod[Emissions Factor
kgCO2e/kg.km]*Calculations[[#This Row],[Total Kg]],0)</f>
        <v>0</v>
      </c>
      <c r="W27" s="322" cm="1">
        <f t="array" ref="W27">IFERROR(VLOOKUP(Calculations[[#This Row],[Waste 1]],WasteScenario[#All],5,FALSE)*'Stage assumptions'!$C$226*WasteTransportMethod[Emissions Factor
kgCO2e/kg.km]*Calculations[[#This Row],[Total Kg]],0)</f>
        <v>0</v>
      </c>
      <c r="X27" s="322">
        <f>SUM(Calculations[[#This Row],[C2 Recycle]:[C2 Reuse]])</f>
        <v>0</v>
      </c>
      <c r="Y27" t="str">
        <f>IFERROR(VLOOKUP(Calculations[[#This Row],[Material (choose from dropdown]],MaterialData[#All],5,FALSE),"")</f>
        <v/>
      </c>
      <c r="Z27" s="322">
        <f>IFERROR(((VLOOKUP(Calculations[[#This Row],[Waste type 2]],WasteDisposalEmissions[#All],2,FALSE))*Calculations[[#This Row],[Total Kg]])*VLOOKUP(Calculations[[#This Row],[Waste 1]],WasteScenario[#All],2,FALSE),0)</f>
        <v>0</v>
      </c>
      <c r="AA27" s="322">
        <f>IFERROR((VLOOKUP(Calculations[[#This Row],[Waste type 2]],WasteDisposalEmissions[#All],3,FALSE))*Calculations[[#This Row],[Total Kg]]*VLOOKUP(Calculations[[#This Row],[Waste 1]],WasteScenario[#All],3,FALSE),0)</f>
        <v>0</v>
      </c>
      <c r="AB27" s="322">
        <f>SUM(Calculations[[#This Row],[C3 recyc]:[C3 incin]])</f>
        <v>0</v>
      </c>
      <c r="AC27" s="322">
        <f>IFERROR((VLOOKUP(Calculations[[#This Row],[Waste type 2]],WasteLandfillEmissions[#All],2,FALSE))*Calculations[[#This Row],[Total Kg]]*VLOOKUP(Calculations[[#This Row],[Waste 1]],WasteScenario[#All],4,FALSE),0)</f>
        <v>0</v>
      </c>
      <c r="AD27" s="322">
        <f>IFERROR((VLOOKUP(Calculations[[#This Row],[Waste type 2]],WasteLandfillEmissions[#All],3,FALSE))*Calculations[[#This Row],[Total Kg]]*VLOOKUP(Calculations[[#This Row],[Waste 1]],WasteScenario[#All],4,FALSE),0)</f>
        <v>0</v>
      </c>
      <c r="AE27" s="322">
        <f>SUM(Calculations[[#This Row],[C4 landfill]:[C4 re-use]])</f>
        <v>0</v>
      </c>
      <c r="AF27" s="322">
        <f>IFERROR(VLOOKUP(Calculations[[#This Row],[Material (choose from dropdown]],MaterialData[#All],8,FALSE),0)</f>
        <v>0</v>
      </c>
      <c r="AG27" s="322">
        <f>IFERROR(Calculations[[#This Row],[Total Kg]]*Calculations[[#This Row],[Seq factor]],0)</f>
        <v>0</v>
      </c>
      <c r="AI27" s="322">
        <f>Calculations[[#This Row],[A1-3]]+Calculations[[#This Row],[A4]]+Calculations[[#This Row],[A5]]+Calculations[[#This Row],[B4]]+Calculations[[#This Row],[C2 total]]+Calculations[[#This Row],[C3 total]]+Calculations[[#This Row],[C4 total]]</f>
        <v>0</v>
      </c>
      <c r="AJ27" s="2">
        <f>IFERROR(VLOOKUP(Calculations[[#This Row],[Material (choose from dropdown]],MaterialData[[#Headers],[#Data]],9,FALSE),0)</f>
        <v>0</v>
      </c>
      <c r="AK27" s="4">
        <f>IFERROR(VLOOKUP(Calculations[[#This Row],[Material (choose from dropdown]],MaterialData[[#Headers],[#Data]],10,FALSE),0)</f>
        <v>0</v>
      </c>
      <c r="AL27" s="322">
        <f>IFERROR(Calculations[[#This Row],[Data Quality Score]]*Calculations[[#This Row],[Total Kg]],0)</f>
        <v>0</v>
      </c>
    </row>
    <row r="28" spans="1:38" x14ac:dyDescent="0.3">
      <c r="A28" s="6">
        <f>IFERROR(MaterialsBoQ[[#This Row],[Scope Element]],0)</f>
        <v>0</v>
      </c>
      <c r="B28">
        <f>IFERROR(MaterialsBoQ[[#This Row],[Material ]],"")</f>
        <v>0</v>
      </c>
      <c r="C28">
        <f>IFERROR(MaterialsBoQ[[#This Row],[Unit]],"")</f>
        <v>0</v>
      </c>
      <c r="D28" s="322">
        <f>IFERROR(MaterialsBoQ[[#This Row],[Number]],0)</f>
        <v>0</v>
      </c>
      <c r="E28" s="322">
        <f>IFERROR(MaterialsBoQ[[#This Row],[Kg per unit]],0)</f>
        <v>0</v>
      </c>
      <c r="F28" s="322">
        <f>IFERROR(Calculations[[#This Row],[Number]]*Calculations[[#This Row],[Conversion factor]],0)</f>
        <v>0</v>
      </c>
      <c r="G28" s="322">
        <f>IFERROR(VLOOKUP(Calculations[[#This Row],[Material (choose from dropdown]],MaterialData[#All],7,FALSE),0)</f>
        <v>0</v>
      </c>
      <c r="H28" s="322">
        <f>Calculations[[#This Row],[Total Kg]]*Calculations[[#This Row],[Carbon Factor]]</f>
        <v>0</v>
      </c>
      <c r="I28" t="str">
        <f>IFERROR(VLOOKUP(Calculations[[#This Row],[Material (choose from dropdown]],MaterialData[#All],2,FALSE),"")</f>
        <v/>
      </c>
      <c r="J28" s="322">
        <f>IFERROR(((VLOOKUP(Calculations[[#This Row],[TransportSource]],TransportDistance[],2,FALSE)*'Stage assumptions'!$C$11)+VLOOKUP(Calculations[[#This Row],[TransportSource]],TransportDistance[],3,FALSE)*'Stage assumptions'!$C$12)*Calculations[[#This Row],[Total Kg]],0)</f>
        <v>0</v>
      </c>
      <c r="K28">
        <f>IFERROR(VLOOKUP(Calculations[[#This Row],[Material (choose from dropdown]], MaterialData[#All],3, FALSE),0)</f>
        <v>0</v>
      </c>
      <c r="L28" s="322">
        <f>IFERROR(VLOOKUP(Calculations[[#This Row],[A5type]],A5WastageRate[#All],2,FALSE)*Calculations[[#This Row],[A1-3]],0)</f>
        <v>0</v>
      </c>
      <c r="N28">
        <f>IFERROR(ROUNDUP(50/VLOOKUP(Calculations[[#This Row],[Scope Element]],B4referenceServiceLife[[Tier 2 element]:[Default Service Life]],2, FALSE)-1,0),0)</f>
        <v>0</v>
      </c>
      <c r="O28" s="322">
        <f>IFERROR((Calculations[[#This Row],[A1-3]]+Calculations[[#This Row],[A4]]+Calculations[[#This Row],[A5]]+Calculations[[#This Row],[C2 total]]+Calculations[[#This Row],[C3 total]]+Calculations[[#This Row],[C4 total]])*Calculations[[#This Row],[Replacements]],0)</f>
        <v>0</v>
      </c>
      <c r="S28" t="str">
        <f>IFERROR(VLOOKUP(Calculations[[#This Row],[Material (choose from dropdown]],MaterialData[#All],4,FALSE),"")</f>
        <v/>
      </c>
      <c r="T28" s="322" cm="1">
        <f t="array" ref="T28">IFERROR(VLOOKUP(Calculations[[#This Row],[Waste 1]],WasteScenario[#All],2,FALSE)*'Stage assumptions'!$C$225*WasteTransportMethod[Emissions Factor
kgCO2e/kg.km]*Calculations[[#This Row],[Total Kg]],0)</f>
        <v>0</v>
      </c>
      <c r="U28" s="322" cm="1">
        <f t="array" ref="U28">IFERROR(VLOOKUP(Calculations[[#This Row],[Waste 1]],WasteScenario[#All],3,FALSE)*'Stage assumptions'!$C$224*WasteTransportMethod[Emissions Factor
kgCO2e/kg.km]*Calculations[[#This Row],[Total Kg]],0)</f>
        <v>0</v>
      </c>
      <c r="V28" s="322" cm="1">
        <f t="array" ref="V28">IFERROR(VLOOKUP(Calculations[[#This Row],[Waste 1]],WasteScenario[#All],4,FALSE)*'Stage assumptions'!$C$223*WasteTransportMethod[Emissions Factor
kgCO2e/kg.km]*Calculations[[#This Row],[Total Kg]],0)</f>
        <v>0</v>
      </c>
      <c r="W28" s="322" cm="1">
        <f t="array" ref="W28">IFERROR(VLOOKUP(Calculations[[#This Row],[Waste 1]],WasteScenario[#All],5,FALSE)*'Stage assumptions'!$C$226*WasteTransportMethod[Emissions Factor
kgCO2e/kg.km]*Calculations[[#This Row],[Total Kg]],0)</f>
        <v>0</v>
      </c>
      <c r="X28" s="322">
        <f>SUM(Calculations[[#This Row],[C2 Recycle]:[C2 Reuse]])</f>
        <v>0</v>
      </c>
      <c r="Y28" t="str">
        <f>IFERROR(VLOOKUP(Calculations[[#This Row],[Material (choose from dropdown]],MaterialData[#All],5,FALSE),"")</f>
        <v/>
      </c>
      <c r="Z28" s="322">
        <f>IFERROR(((VLOOKUP(Calculations[[#This Row],[Waste type 2]],WasteDisposalEmissions[#All],2,FALSE))*Calculations[[#This Row],[Total Kg]])*VLOOKUP(Calculations[[#This Row],[Waste 1]],WasteScenario[#All],2,FALSE),0)</f>
        <v>0</v>
      </c>
      <c r="AA28" s="322">
        <f>IFERROR((VLOOKUP(Calculations[[#This Row],[Waste type 2]],WasteDisposalEmissions[#All],3,FALSE))*Calculations[[#This Row],[Total Kg]]*VLOOKUP(Calculations[[#This Row],[Waste 1]],WasteScenario[#All],3,FALSE),0)</f>
        <v>0</v>
      </c>
      <c r="AB28" s="322">
        <f>SUM(Calculations[[#This Row],[C3 recyc]:[C3 incin]])</f>
        <v>0</v>
      </c>
      <c r="AC28" s="322">
        <f>IFERROR((VLOOKUP(Calculations[[#This Row],[Waste type 2]],WasteLandfillEmissions[#All],2,FALSE))*Calculations[[#This Row],[Total Kg]]*VLOOKUP(Calculations[[#This Row],[Waste 1]],WasteScenario[#All],4,FALSE),0)</f>
        <v>0</v>
      </c>
      <c r="AD28" s="322">
        <f>IFERROR((VLOOKUP(Calculations[[#This Row],[Waste type 2]],WasteLandfillEmissions[#All],3,FALSE))*Calculations[[#This Row],[Total Kg]]*VLOOKUP(Calculations[[#This Row],[Waste 1]],WasteScenario[#All],4,FALSE),0)</f>
        <v>0</v>
      </c>
      <c r="AE28" s="322">
        <f>SUM(Calculations[[#This Row],[C4 landfill]:[C4 re-use]])</f>
        <v>0</v>
      </c>
      <c r="AF28" s="322">
        <f>IFERROR(VLOOKUP(Calculations[[#This Row],[Material (choose from dropdown]],MaterialData[#All],8,FALSE),0)</f>
        <v>0</v>
      </c>
      <c r="AG28" s="322">
        <f>IFERROR(Calculations[[#This Row],[Total Kg]]*Calculations[[#This Row],[Seq factor]],0)</f>
        <v>0</v>
      </c>
      <c r="AI28" s="322">
        <f>Calculations[[#This Row],[A1-3]]+Calculations[[#This Row],[A4]]+Calculations[[#This Row],[A5]]+Calculations[[#This Row],[B4]]+Calculations[[#This Row],[C2 total]]+Calculations[[#This Row],[C3 total]]+Calculations[[#This Row],[C4 total]]</f>
        <v>0</v>
      </c>
      <c r="AJ28" s="2">
        <f>IFERROR(VLOOKUP(Calculations[[#This Row],[Material (choose from dropdown]],MaterialData[[#Headers],[#Data]],9,FALSE),0)</f>
        <v>0</v>
      </c>
      <c r="AK28" s="4">
        <f>IFERROR(VLOOKUP(Calculations[[#This Row],[Material (choose from dropdown]],MaterialData[[#Headers],[#Data]],10,FALSE),0)</f>
        <v>0</v>
      </c>
      <c r="AL28" s="322">
        <f>IFERROR(Calculations[[#This Row],[Data Quality Score]]*Calculations[[#This Row],[Total Kg]],0)</f>
        <v>0</v>
      </c>
    </row>
    <row r="29" spans="1:38" x14ac:dyDescent="0.3">
      <c r="A29" s="6">
        <f>IFERROR(MaterialsBoQ[[#This Row],[Scope Element]],0)</f>
        <v>0</v>
      </c>
      <c r="B29">
        <f>IFERROR(MaterialsBoQ[[#This Row],[Material ]],"")</f>
        <v>0</v>
      </c>
      <c r="C29">
        <f>IFERROR(MaterialsBoQ[[#This Row],[Unit]],"")</f>
        <v>0</v>
      </c>
      <c r="D29" s="322">
        <f>IFERROR(MaterialsBoQ[[#This Row],[Number]],0)</f>
        <v>0</v>
      </c>
      <c r="E29" s="322">
        <f>IFERROR(MaterialsBoQ[[#This Row],[Kg per unit]],0)</f>
        <v>0</v>
      </c>
      <c r="F29" s="322">
        <f>IFERROR(Calculations[[#This Row],[Number]]*Calculations[[#This Row],[Conversion factor]],0)</f>
        <v>0</v>
      </c>
      <c r="G29" s="322">
        <f>IFERROR(VLOOKUP(Calculations[[#This Row],[Material (choose from dropdown]],MaterialData[#All],7,FALSE),0)</f>
        <v>0</v>
      </c>
      <c r="H29" s="322">
        <f>Calculations[[#This Row],[Total Kg]]*Calculations[[#This Row],[Carbon Factor]]</f>
        <v>0</v>
      </c>
      <c r="I29" t="str">
        <f>IFERROR(VLOOKUP(Calculations[[#This Row],[Material (choose from dropdown]],MaterialData[#All],2,FALSE),"")</f>
        <v/>
      </c>
      <c r="J29" s="322">
        <f>IFERROR(((VLOOKUP(Calculations[[#This Row],[TransportSource]],TransportDistance[],2,FALSE)*'Stage assumptions'!$C$11)+VLOOKUP(Calculations[[#This Row],[TransportSource]],TransportDistance[],3,FALSE)*'Stage assumptions'!$C$12)*Calculations[[#This Row],[Total Kg]],0)</f>
        <v>0</v>
      </c>
      <c r="K29">
        <f>IFERROR(VLOOKUP(Calculations[[#This Row],[Material (choose from dropdown]], MaterialData[#All],3, FALSE),0)</f>
        <v>0</v>
      </c>
      <c r="L29" s="322">
        <f>IFERROR(VLOOKUP(Calculations[[#This Row],[A5type]],A5WastageRate[#All],2,FALSE)*Calculations[[#This Row],[A1-3]],0)</f>
        <v>0</v>
      </c>
      <c r="N29">
        <f>IFERROR(ROUNDUP(50/VLOOKUP(Calculations[[#This Row],[Scope Element]],B4referenceServiceLife[[Tier 2 element]:[Default Service Life]],2, FALSE)-1,0),0)</f>
        <v>0</v>
      </c>
      <c r="O29" s="322">
        <f>IFERROR((Calculations[[#This Row],[A1-3]]+Calculations[[#This Row],[A4]]+Calculations[[#This Row],[A5]]+Calculations[[#This Row],[C2 total]]+Calculations[[#This Row],[C3 total]]+Calculations[[#This Row],[C4 total]])*Calculations[[#This Row],[Replacements]],0)</f>
        <v>0</v>
      </c>
      <c r="S29" t="str">
        <f>IFERROR(VLOOKUP(Calculations[[#This Row],[Material (choose from dropdown]],MaterialData[#All],4,FALSE),"")</f>
        <v/>
      </c>
      <c r="T29" s="322" cm="1">
        <f t="array" ref="T29">IFERROR(VLOOKUP(Calculations[[#This Row],[Waste 1]],WasteScenario[#All],2,FALSE)*'Stage assumptions'!$C$225*WasteTransportMethod[Emissions Factor
kgCO2e/kg.km]*Calculations[[#This Row],[Total Kg]],0)</f>
        <v>0</v>
      </c>
      <c r="U29" s="322" cm="1">
        <f t="array" ref="U29">IFERROR(VLOOKUP(Calculations[[#This Row],[Waste 1]],WasteScenario[#All],3,FALSE)*'Stage assumptions'!$C$224*WasteTransportMethod[Emissions Factor
kgCO2e/kg.km]*Calculations[[#This Row],[Total Kg]],0)</f>
        <v>0</v>
      </c>
      <c r="V29" s="322" cm="1">
        <f t="array" ref="V29">IFERROR(VLOOKUP(Calculations[[#This Row],[Waste 1]],WasteScenario[#All],4,FALSE)*'Stage assumptions'!$C$223*WasteTransportMethod[Emissions Factor
kgCO2e/kg.km]*Calculations[[#This Row],[Total Kg]],0)</f>
        <v>0</v>
      </c>
      <c r="W29" s="322" cm="1">
        <f t="array" ref="W29">IFERROR(VLOOKUP(Calculations[[#This Row],[Waste 1]],WasteScenario[#All],5,FALSE)*'Stage assumptions'!$C$226*WasteTransportMethod[Emissions Factor
kgCO2e/kg.km]*Calculations[[#This Row],[Total Kg]],0)</f>
        <v>0</v>
      </c>
      <c r="X29" s="322">
        <f>SUM(Calculations[[#This Row],[C2 Recycle]:[C2 Reuse]])</f>
        <v>0</v>
      </c>
      <c r="Y29" t="str">
        <f>IFERROR(VLOOKUP(Calculations[[#This Row],[Material (choose from dropdown]],MaterialData[#All],5,FALSE),"")</f>
        <v/>
      </c>
      <c r="Z29" s="322">
        <f>IFERROR(((VLOOKUP(Calculations[[#This Row],[Waste type 2]],WasteDisposalEmissions[#All],2,FALSE))*Calculations[[#This Row],[Total Kg]])*VLOOKUP(Calculations[[#This Row],[Waste 1]],WasteScenario[#All],2,FALSE),0)</f>
        <v>0</v>
      </c>
      <c r="AA29" s="322">
        <f>IFERROR((VLOOKUP(Calculations[[#This Row],[Waste type 2]],WasteDisposalEmissions[#All],3,FALSE))*Calculations[[#This Row],[Total Kg]]*VLOOKUP(Calculations[[#This Row],[Waste 1]],WasteScenario[#All],3,FALSE),0)</f>
        <v>0</v>
      </c>
      <c r="AB29" s="322">
        <f>SUM(Calculations[[#This Row],[C3 recyc]:[C3 incin]])</f>
        <v>0</v>
      </c>
      <c r="AC29" s="322">
        <f>IFERROR((VLOOKUP(Calculations[[#This Row],[Waste type 2]],WasteLandfillEmissions[#All],2,FALSE))*Calculations[[#This Row],[Total Kg]]*VLOOKUP(Calculations[[#This Row],[Waste 1]],WasteScenario[#All],4,FALSE),0)</f>
        <v>0</v>
      </c>
      <c r="AD29" s="322">
        <f>IFERROR((VLOOKUP(Calculations[[#This Row],[Waste type 2]],WasteLandfillEmissions[#All],3,FALSE))*Calculations[[#This Row],[Total Kg]]*VLOOKUP(Calculations[[#This Row],[Waste 1]],WasteScenario[#All],4,FALSE),0)</f>
        <v>0</v>
      </c>
      <c r="AE29" s="322">
        <f>SUM(Calculations[[#This Row],[C4 landfill]:[C4 re-use]])</f>
        <v>0</v>
      </c>
      <c r="AF29" s="322">
        <f>IFERROR(VLOOKUP(Calculations[[#This Row],[Material (choose from dropdown]],MaterialData[#All],8,FALSE),0)</f>
        <v>0</v>
      </c>
      <c r="AG29" s="322">
        <f>IFERROR(Calculations[[#This Row],[Total Kg]]*Calculations[[#This Row],[Seq factor]],0)</f>
        <v>0</v>
      </c>
      <c r="AI29" s="322">
        <f>Calculations[[#This Row],[A1-3]]+Calculations[[#This Row],[A4]]+Calculations[[#This Row],[A5]]+Calculations[[#This Row],[B4]]+Calculations[[#This Row],[C2 total]]+Calculations[[#This Row],[C3 total]]+Calculations[[#This Row],[C4 total]]</f>
        <v>0</v>
      </c>
      <c r="AJ29" s="2">
        <f>IFERROR(VLOOKUP(Calculations[[#This Row],[Material (choose from dropdown]],MaterialData[[#Headers],[#Data]],9,FALSE),0)</f>
        <v>0</v>
      </c>
      <c r="AK29" s="4">
        <f>IFERROR(VLOOKUP(Calculations[[#This Row],[Material (choose from dropdown]],MaterialData[[#Headers],[#Data]],10,FALSE),0)</f>
        <v>0</v>
      </c>
      <c r="AL29" s="322">
        <f>IFERROR(Calculations[[#This Row],[Data Quality Score]]*Calculations[[#This Row],[Total Kg]],0)</f>
        <v>0</v>
      </c>
    </row>
    <row r="30" spans="1:38" x14ac:dyDescent="0.3">
      <c r="A30" s="6">
        <f>IFERROR(MaterialsBoQ[[#This Row],[Scope Element]],0)</f>
        <v>0</v>
      </c>
      <c r="B30">
        <f>IFERROR(MaterialsBoQ[[#This Row],[Material ]],"")</f>
        <v>0</v>
      </c>
      <c r="C30">
        <f>IFERROR(MaterialsBoQ[[#This Row],[Unit]],"")</f>
        <v>0</v>
      </c>
      <c r="D30" s="322">
        <f>IFERROR(MaterialsBoQ[[#This Row],[Number]],0)</f>
        <v>0</v>
      </c>
      <c r="E30" s="322">
        <f>IFERROR(MaterialsBoQ[[#This Row],[Kg per unit]],0)</f>
        <v>0</v>
      </c>
      <c r="F30" s="322">
        <f>IFERROR(Calculations[[#This Row],[Number]]*Calculations[[#This Row],[Conversion factor]],0)</f>
        <v>0</v>
      </c>
      <c r="G30" s="322">
        <f>IFERROR(VLOOKUP(Calculations[[#This Row],[Material (choose from dropdown]],MaterialData[#All],7,FALSE),0)</f>
        <v>0</v>
      </c>
      <c r="H30" s="322">
        <f>Calculations[[#This Row],[Total Kg]]*Calculations[[#This Row],[Carbon Factor]]</f>
        <v>0</v>
      </c>
      <c r="I30" t="str">
        <f>IFERROR(VLOOKUP(Calculations[[#This Row],[Material (choose from dropdown]],MaterialData[#All],2,FALSE),"")</f>
        <v/>
      </c>
      <c r="J30" s="322">
        <f>IFERROR(((VLOOKUP(Calculations[[#This Row],[TransportSource]],TransportDistance[],2,FALSE)*'Stage assumptions'!$C$11)+VLOOKUP(Calculations[[#This Row],[TransportSource]],TransportDistance[],3,FALSE)*'Stage assumptions'!$C$12)*Calculations[[#This Row],[Total Kg]],0)</f>
        <v>0</v>
      </c>
      <c r="K30">
        <f>IFERROR(VLOOKUP(Calculations[[#This Row],[Material (choose from dropdown]], MaterialData[#All],3, FALSE),0)</f>
        <v>0</v>
      </c>
      <c r="L30" s="322">
        <f>IFERROR(VLOOKUP(Calculations[[#This Row],[A5type]],A5WastageRate[#All],2,FALSE)*Calculations[[#This Row],[A1-3]],0)</f>
        <v>0</v>
      </c>
      <c r="N30">
        <f>IFERROR(ROUNDUP(50/VLOOKUP(Calculations[[#This Row],[Scope Element]],B4referenceServiceLife[[Tier 2 element]:[Default Service Life]],2, FALSE)-1,0),0)</f>
        <v>0</v>
      </c>
      <c r="O30" s="322">
        <f>IFERROR((Calculations[[#This Row],[A1-3]]+Calculations[[#This Row],[A4]]+Calculations[[#This Row],[A5]]+Calculations[[#This Row],[C2 total]]+Calculations[[#This Row],[C3 total]]+Calculations[[#This Row],[C4 total]])*Calculations[[#This Row],[Replacements]],0)</f>
        <v>0</v>
      </c>
      <c r="S30" t="str">
        <f>IFERROR(VLOOKUP(Calculations[[#This Row],[Material (choose from dropdown]],MaterialData[#All],4,FALSE),"")</f>
        <v/>
      </c>
      <c r="T30" s="322" cm="1">
        <f t="array" ref="T30">IFERROR(VLOOKUP(Calculations[[#This Row],[Waste 1]],WasteScenario[#All],2,FALSE)*'Stage assumptions'!$C$225*WasteTransportMethod[Emissions Factor
kgCO2e/kg.km]*Calculations[[#This Row],[Total Kg]],0)</f>
        <v>0</v>
      </c>
      <c r="U30" s="322" cm="1">
        <f t="array" ref="U30">IFERROR(VLOOKUP(Calculations[[#This Row],[Waste 1]],WasteScenario[#All],3,FALSE)*'Stage assumptions'!$C$224*WasteTransportMethod[Emissions Factor
kgCO2e/kg.km]*Calculations[[#This Row],[Total Kg]],0)</f>
        <v>0</v>
      </c>
      <c r="V30" s="322" cm="1">
        <f t="array" ref="V30">IFERROR(VLOOKUP(Calculations[[#This Row],[Waste 1]],WasteScenario[#All],4,FALSE)*'Stage assumptions'!$C$223*WasteTransportMethod[Emissions Factor
kgCO2e/kg.km]*Calculations[[#This Row],[Total Kg]],0)</f>
        <v>0</v>
      </c>
      <c r="W30" s="322" cm="1">
        <f t="array" ref="W30">IFERROR(VLOOKUP(Calculations[[#This Row],[Waste 1]],WasteScenario[#All],5,FALSE)*'Stage assumptions'!$C$226*WasteTransportMethod[Emissions Factor
kgCO2e/kg.km]*Calculations[[#This Row],[Total Kg]],0)</f>
        <v>0</v>
      </c>
      <c r="X30" s="322">
        <f>SUM(Calculations[[#This Row],[C2 Recycle]:[C2 Reuse]])</f>
        <v>0</v>
      </c>
      <c r="Y30" t="str">
        <f>IFERROR(VLOOKUP(Calculations[[#This Row],[Material (choose from dropdown]],MaterialData[#All],5,FALSE),"")</f>
        <v/>
      </c>
      <c r="Z30" s="322">
        <f>IFERROR(((VLOOKUP(Calculations[[#This Row],[Waste type 2]],WasteDisposalEmissions[#All],2,FALSE))*Calculations[[#This Row],[Total Kg]])*VLOOKUP(Calculations[[#This Row],[Waste 1]],WasteScenario[#All],2,FALSE),0)</f>
        <v>0</v>
      </c>
      <c r="AA30" s="322">
        <f>IFERROR((VLOOKUP(Calculations[[#This Row],[Waste type 2]],WasteDisposalEmissions[#All],3,FALSE))*Calculations[[#This Row],[Total Kg]]*VLOOKUP(Calculations[[#This Row],[Waste 1]],WasteScenario[#All],3,FALSE),0)</f>
        <v>0</v>
      </c>
      <c r="AB30" s="322">
        <f>SUM(Calculations[[#This Row],[C3 recyc]:[C3 incin]])</f>
        <v>0</v>
      </c>
      <c r="AC30" s="322">
        <f>IFERROR((VLOOKUP(Calculations[[#This Row],[Waste type 2]],WasteLandfillEmissions[#All],2,FALSE))*Calculations[[#This Row],[Total Kg]]*VLOOKUP(Calculations[[#This Row],[Waste 1]],WasteScenario[#All],4,FALSE),0)</f>
        <v>0</v>
      </c>
      <c r="AD30" s="322">
        <f>IFERROR((VLOOKUP(Calculations[[#This Row],[Waste type 2]],WasteLandfillEmissions[#All],3,FALSE))*Calculations[[#This Row],[Total Kg]]*VLOOKUP(Calculations[[#This Row],[Waste 1]],WasteScenario[#All],4,FALSE),0)</f>
        <v>0</v>
      </c>
      <c r="AE30" s="322">
        <f>SUM(Calculations[[#This Row],[C4 landfill]:[C4 re-use]])</f>
        <v>0</v>
      </c>
      <c r="AF30" s="322">
        <f>IFERROR(VLOOKUP(Calculations[[#This Row],[Material (choose from dropdown]],MaterialData[#All],8,FALSE),0)</f>
        <v>0</v>
      </c>
      <c r="AG30" s="322">
        <f>IFERROR(Calculations[[#This Row],[Total Kg]]*Calculations[[#This Row],[Seq factor]],0)</f>
        <v>0</v>
      </c>
      <c r="AI30" s="322">
        <f>Calculations[[#This Row],[A1-3]]+Calculations[[#This Row],[A4]]+Calculations[[#This Row],[A5]]+Calculations[[#This Row],[B4]]+Calculations[[#This Row],[C2 total]]+Calculations[[#This Row],[C3 total]]+Calculations[[#This Row],[C4 total]]</f>
        <v>0</v>
      </c>
      <c r="AJ30" s="2">
        <f>IFERROR(VLOOKUP(Calculations[[#This Row],[Material (choose from dropdown]],MaterialData[[#Headers],[#Data]],9,FALSE),0)</f>
        <v>0</v>
      </c>
      <c r="AK30" s="4">
        <f>IFERROR(VLOOKUP(Calculations[[#This Row],[Material (choose from dropdown]],MaterialData[[#Headers],[#Data]],10,FALSE),0)</f>
        <v>0</v>
      </c>
      <c r="AL30" s="322">
        <f>IFERROR(Calculations[[#This Row],[Data Quality Score]]*Calculations[[#This Row],[Total Kg]],0)</f>
        <v>0</v>
      </c>
    </row>
    <row r="31" spans="1:38" x14ac:dyDescent="0.3">
      <c r="A31" s="6">
        <f>IFERROR(MaterialsBoQ[[#This Row],[Scope Element]],0)</f>
        <v>0</v>
      </c>
      <c r="B31">
        <f>IFERROR(MaterialsBoQ[[#This Row],[Material ]],"")</f>
        <v>0</v>
      </c>
      <c r="C31">
        <f>IFERROR(MaterialsBoQ[[#This Row],[Unit]],"")</f>
        <v>0</v>
      </c>
      <c r="D31" s="322">
        <f>IFERROR(MaterialsBoQ[[#This Row],[Number]],0)</f>
        <v>0</v>
      </c>
      <c r="E31" s="322">
        <f>IFERROR(MaterialsBoQ[[#This Row],[Kg per unit]],0)</f>
        <v>0</v>
      </c>
      <c r="F31" s="322">
        <f>IFERROR(Calculations[[#This Row],[Number]]*Calculations[[#This Row],[Conversion factor]],0)</f>
        <v>0</v>
      </c>
      <c r="G31" s="322">
        <f>IFERROR(VLOOKUP(Calculations[[#This Row],[Material (choose from dropdown]],MaterialData[#All],7,FALSE),0)</f>
        <v>0</v>
      </c>
      <c r="H31" s="322">
        <f>Calculations[[#This Row],[Total Kg]]*Calculations[[#This Row],[Carbon Factor]]</f>
        <v>0</v>
      </c>
      <c r="I31" t="str">
        <f>IFERROR(VLOOKUP(Calculations[[#This Row],[Material (choose from dropdown]],MaterialData[#All],2,FALSE),"")</f>
        <v/>
      </c>
      <c r="J31" s="322">
        <f>IFERROR(((VLOOKUP(Calculations[[#This Row],[TransportSource]],TransportDistance[],2,FALSE)*'Stage assumptions'!$C$11)+VLOOKUP(Calculations[[#This Row],[TransportSource]],TransportDistance[],3,FALSE)*'Stage assumptions'!$C$12)*Calculations[[#This Row],[Total Kg]],0)</f>
        <v>0</v>
      </c>
      <c r="K31">
        <f>IFERROR(VLOOKUP(Calculations[[#This Row],[Material (choose from dropdown]], MaterialData[#All],3, FALSE),0)</f>
        <v>0</v>
      </c>
      <c r="L31" s="322">
        <f>IFERROR(VLOOKUP(Calculations[[#This Row],[A5type]],A5WastageRate[#All],2,FALSE)*Calculations[[#This Row],[A1-3]],0)</f>
        <v>0</v>
      </c>
      <c r="N31">
        <f>IFERROR(ROUNDUP(50/VLOOKUP(Calculations[[#This Row],[Scope Element]],B4referenceServiceLife[[Tier 2 element]:[Default Service Life]],2, FALSE)-1,0),0)</f>
        <v>0</v>
      </c>
      <c r="O31" s="322">
        <f>IFERROR((Calculations[[#This Row],[A1-3]]+Calculations[[#This Row],[A4]]+Calculations[[#This Row],[A5]]+Calculations[[#This Row],[C2 total]]+Calculations[[#This Row],[C3 total]]+Calculations[[#This Row],[C4 total]])*Calculations[[#This Row],[Replacements]],0)</f>
        <v>0</v>
      </c>
      <c r="S31" t="str">
        <f>IFERROR(VLOOKUP(Calculations[[#This Row],[Material (choose from dropdown]],MaterialData[#All],4,FALSE),"")</f>
        <v/>
      </c>
      <c r="T31" s="322" cm="1">
        <f t="array" ref="T31">IFERROR(VLOOKUP(Calculations[[#This Row],[Waste 1]],WasteScenario[#All],2,FALSE)*'Stage assumptions'!$C$225*WasteTransportMethod[Emissions Factor
kgCO2e/kg.km]*Calculations[[#This Row],[Total Kg]],0)</f>
        <v>0</v>
      </c>
      <c r="U31" s="322" cm="1">
        <f t="array" ref="U31">IFERROR(VLOOKUP(Calculations[[#This Row],[Waste 1]],WasteScenario[#All],3,FALSE)*'Stage assumptions'!$C$224*WasteTransportMethod[Emissions Factor
kgCO2e/kg.km]*Calculations[[#This Row],[Total Kg]],0)</f>
        <v>0</v>
      </c>
      <c r="V31" s="322" cm="1">
        <f t="array" ref="V31">IFERROR(VLOOKUP(Calculations[[#This Row],[Waste 1]],WasteScenario[#All],4,FALSE)*'Stage assumptions'!$C$223*WasteTransportMethod[Emissions Factor
kgCO2e/kg.km]*Calculations[[#This Row],[Total Kg]],0)</f>
        <v>0</v>
      </c>
      <c r="W31" s="322" cm="1">
        <f t="array" ref="W31">IFERROR(VLOOKUP(Calculations[[#This Row],[Waste 1]],WasteScenario[#All],5,FALSE)*'Stage assumptions'!$C$226*WasteTransportMethod[Emissions Factor
kgCO2e/kg.km]*Calculations[[#This Row],[Total Kg]],0)</f>
        <v>0</v>
      </c>
      <c r="X31" s="322">
        <f>SUM(Calculations[[#This Row],[C2 Recycle]:[C2 Reuse]])</f>
        <v>0</v>
      </c>
      <c r="Y31" t="str">
        <f>IFERROR(VLOOKUP(Calculations[[#This Row],[Material (choose from dropdown]],MaterialData[#All],5,FALSE),"")</f>
        <v/>
      </c>
      <c r="Z31" s="322">
        <f>IFERROR(((VLOOKUP(Calculations[[#This Row],[Waste type 2]],WasteDisposalEmissions[#All],2,FALSE))*Calculations[[#This Row],[Total Kg]])*VLOOKUP(Calculations[[#This Row],[Waste 1]],WasteScenario[#All],2,FALSE),0)</f>
        <v>0</v>
      </c>
      <c r="AA31" s="322">
        <f>IFERROR((VLOOKUP(Calculations[[#This Row],[Waste type 2]],WasteDisposalEmissions[#All],3,FALSE))*Calculations[[#This Row],[Total Kg]]*VLOOKUP(Calculations[[#This Row],[Waste 1]],WasteScenario[#All],3,FALSE),0)</f>
        <v>0</v>
      </c>
      <c r="AB31" s="322">
        <f>SUM(Calculations[[#This Row],[C3 recyc]:[C3 incin]])</f>
        <v>0</v>
      </c>
      <c r="AC31" s="322">
        <f>IFERROR((VLOOKUP(Calculations[[#This Row],[Waste type 2]],WasteLandfillEmissions[#All],2,FALSE))*Calculations[[#This Row],[Total Kg]]*VLOOKUP(Calculations[[#This Row],[Waste 1]],WasteScenario[#All],4,FALSE),0)</f>
        <v>0</v>
      </c>
      <c r="AD31" s="322">
        <f>IFERROR((VLOOKUP(Calculations[[#This Row],[Waste type 2]],WasteLandfillEmissions[#All],3,FALSE))*Calculations[[#This Row],[Total Kg]]*VLOOKUP(Calculations[[#This Row],[Waste 1]],WasteScenario[#All],4,FALSE),0)</f>
        <v>0</v>
      </c>
      <c r="AE31" s="322">
        <f>SUM(Calculations[[#This Row],[C4 landfill]:[C4 re-use]])</f>
        <v>0</v>
      </c>
      <c r="AF31" s="322">
        <f>IFERROR(VLOOKUP(Calculations[[#This Row],[Material (choose from dropdown]],MaterialData[#All],8,FALSE),0)</f>
        <v>0</v>
      </c>
      <c r="AG31" s="322">
        <f>IFERROR(Calculations[[#This Row],[Total Kg]]*Calculations[[#This Row],[Seq factor]],0)</f>
        <v>0</v>
      </c>
      <c r="AI31" s="322">
        <f>Calculations[[#This Row],[A1-3]]+Calculations[[#This Row],[A4]]+Calculations[[#This Row],[A5]]+Calculations[[#This Row],[B4]]+Calculations[[#This Row],[C2 total]]+Calculations[[#This Row],[C3 total]]+Calculations[[#This Row],[C4 total]]</f>
        <v>0</v>
      </c>
      <c r="AJ31" s="2">
        <f>IFERROR(VLOOKUP(Calculations[[#This Row],[Material (choose from dropdown]],MaterialData[[#Headers],[#Data]],9,FALSE),0)</f>
        <v>0</v>
      </c>
      <c r="AK31" s="4">
        <f>IFERROR(VLOOKUP(Calculations[[#This Row],[Material (choose from dropdown]],MaterialData[[#Headers],[#Data]],10,FALSE),0)</f>
        <v>0</v>
      </c>
      <c r="AL31" s="322">
        <f>IFERROR(Calculations[[#This Row],[Data Quality Score]]*Calculations[[#This Row],[Total Kg]],0)</f>
        <v>0</v>
      </c>
    </row>
    <row r="32" spans="1:38" x14ac:dyDescent="0.3">
      <c r="A32" s="6">
        <f>IFERROR(MaterialsBoQ[[#This Row],[Scope Element]],0)</f>
        <v>0</v>
      </c>
      <c r="B32">
        <f>IFERROR(MaterialsBoQ[[#This Row],[Material ]],"")</f>
        <v>0</v>
      </c>
      <c r="C32">
        <f>IFERROR(MaterialsBoQ[[#This Row],[Unit]],"")</f>
        <v>0</v>
      </c>
      <c r="D32" s="322">
        <f>IFERROR(MaterialsBoQ[[#This Row],[Number]],0)</f>
        <v>0</v>
      </c>
      <c r="E32" s="322">
        <f>IFERROR(MaterialsBoQ[[#This Row],[Kg per unit]],0)</f>
        <v>0</v>
      </c>
      <c r="F32" s="322">
        <f>IFERROR(Calculations[[#This Row],[Number]]*Calculations[[#This Row],[Conversion factor]],0)</f>
        <v>0</v>
      </c>
      <c r="G32" s="322">
        <f>IFERROR(VLOOKUP(Calculations[[#This Row],[Material (choose from dropdown]],MaterialData[#All],7,FALSE),0)</f>
        <v>0</v>
      </c>
      <c r="H32" s="322">
        <f>Calculations[[#This Row],[Total Kg]]*Calculations[[#This Row],[Carbon Factor]]</f>
        <v>0</v>
      </c>
      <c r="I32" t="str">
        <f>IFERROR(VLOOKUP(Calculations[[#This Row],[Material (choose from dropdown]],MaterialData[#All],2,FALSE),"")</f>
        <v/>
      </c>
      <c r="J32" s="322">
        <f>IFERROR(((VLOOKUP(Calculations[[#This Row],[TransportSource]],TransportDistance[],2,FALSE)*'Stage assumptions'!$C$11)+VLOOKUP(Calculations[[#This Row],[TransportSource]],TransportDistance[],3,FALSE)*'Stage assumptions'!$C$12)*Calculations[[#This Row],[Total Kg]],0)</f>
        <v>0</v>
      </c>
      <c r="K32">
        <f>IFERROR(VLOOKUP(Calculations[[#This Row],[Material (choose from dropdown]], MaterialData[#All],3, FALSE),0)</f>
        <v>0</v>
      </c>
      <c r="L32" s="322">
        <f>IFERROR(VLOOKUP(Calculations[[#This Row],[A5type]],A5WastageRate[#All],2,FALSE)*Calculations[[#This Row],[A1-3]],0)</f>
        <v>0</v>
      </c>
      <c r="N32">
        <f>IFERROR(ROUNDUP(50/VLOOKUP(Calculations[[#This Row],[Scope Element]],B4referenceServiceLife[[Tier 2 element]:[Default Service Life]],2, FALSE)-1,0),0)</f>
        <v>0</v>
      </c>
      <c r="O32" s="322">
        <f>IFERROR((Calculations[[#This Row],[A1-3]]+Calculations[[#This Row],[A4]]+Calculations[[#This Row],[A5]]+Calculations[[#This Row],[C2 total]]+Calculations[[#This Row],[C3 total]]+Calculations[[#This Row],[C4 total]])*Calculations[[#This Row],[Replacements]],0)</f>
        <v>0</v>
      </c>
      <c r="S32" t="str">
        <f>IFERROR(VLOOKUP(Calculations[[#This Row],[Material (choose from dropdown]],MaterialData[#All],4,FALSE),"")</f>
        <v/>
      </c>
      <c r="T32" s="322" cm="1">
        <f t="array" ref="T32">IFERROR(VLOOKUP(Calculations[[#This Row],[Waste 1]],WasteScenario[#All],2,FALSE)*'Stage assumptions'!$C$225*WasteTransportMethod[Emissions Factor
kgCO2e/kg.km]*Calculations[[#This Row],[Total Kg]],0)</f>
        <v>0</v>
      </c>
      <c r="U32" s="322" cm="1">
        <f t="array" ref="U32">IFERROR(VLOOKUP(Calculations[[#This Row],[Waste 1]],WasteScenario[#All],3,FALSE)*'Stage assumptions'!$C$224*WasteTransportMethod[Emissions Factor
kgCO2e/kg.km]*Calculations[[#This Row],[Total Kg]],0)</f>
        <v>0</v>
      </c>
      <c r="V32" s="322" cm="1">
        <f t="array" ref="V32">IFERROR(VLOOKUP(Calculations[[#This Row],[Waste 1]],WasteScenario[#All],4,FALSE)*'Stage assumptions'!$C$223*WasteTransportMethod[Emissions Factor
kgCO2e/kg.km]*Calculations[[#This Row],[Total Kg]],0)</f>
        <v>0</v>
      </c>
      <c r="W32" s="322" cm="1">
        <f t="array" ref="W32">IFERROR(VLOOKUP(Calculations[[#This Row],[Waste 1]],WasteScenario[#All],5,FALSE)*'Stage assumptions'!$C$226*WasteTransportMethod[Emissions Factor
kgCO2e/kg.km]*Calculations[[#This Row],[Total Kg]],0)</f>
        <v>0</v>
      </c>
      <c r="X32" s="322">
        <f>SUM(Calculations[[#This Row],[C2 Recycle]:[C2 Reuse]])</f>
        <v>0</v>
      </c>
      <c r="Y32" t="str">
        <f>IFERROR(VLOOKUP(Calculations[[#This Row],[Material (choose from dropdown]],MaterialData[#All],5,FALSE),"")</f>
        <v/>
      </c>
      <c r="Z32" s="322">
        <f>IFERROR(((VLOOKUP(Calculations[[#This Row],[Waste type 2]],WasteDisposalEmissions[#All],2,FALSE))*Calculations[[#This Row],[Total Kg]])*VLOOKUP(Calculations[[#This Row],[Waste 1]],WasteScenario[#All],2,FALSE),0)</f>
        <v>0</v>
      </c>
      <c r="AA32" s="322">
        <f>IFERROR((VLOOKUP(Calculations[[#This Row],[Waste type 2]],WasteDisposalEmissions[#All],3,FALSE))*Calculations[[#This Row],[Total Kg]]*VLOOKUP(Calculations[[#This Row],[Waste 1]],WasteScenario[#All],3,FALSE),0)</f>
        <v>0</v>
      </c>
      <c r="AB32" s="322">
        <f>SUM(Calculations[[#This Row],[C3 recyc]:[C3 incin]])</f>
        <v>0</v>
      </c>
      <c r="AC32" s="322">
        <f>IFERROR((VLOOKUP(Calculations[[#This Row],[Waste type 2]],WasteLandfillEmissions[#All],2,FALSE))*Calculations[[#This Row],[Total Kg]]*VLOOKUP(Calculations[[#This Row],[Waste 1]],WasteScenario[#All],4,FALSE),0)</f>
        <v>0</v>
      </c>
      <c r="AD32" s="322">
        <f>IFERROR((VLOOKUP(Calculations[[#This Row],[Waste type 2]],WasteLandfillEmissions[#All],3,FALSE))*Calculations[[#This Row],[Total Kg]]*VLOOKUP(Calculations[[#This Row],[Waste 1]],WasteScenario[#All],4,FALSE),0)</f>
        <v>0</v>
      </c>
      <c r="AE32" s="322">
        <f>SUM(Calculations[[#This Row],[C4 landfill]:[C4 re-use]])</f>
        <v>0</v>
      </c>
      <c r="AF32" s="322">
        <f>IFERROR(VLOOKUP(Calculations[[#This Row],[Material (choose from dropdown]],MaterialData[#All],8,FALSE),0)</f>
        <v>0</v>
      </c>
      <c r="AG32" s="322">
        <f>IFERROR(Calculations[[#This Row],[Total Kg]]*Calculations[[#This Row],[Seq factor]],0)</f>
        <v>0</v>
      </c>
      <c r="AI32" s="322">
        <f>Calculations[[#This Row],[A1-3]]+Calculations[[#This Row],[A4]]+Calculations[[#This Row],[A5]]+Calculations[[#This Row],[B4]]+Calculations[[#This Row],[C2 total]]+Calculations[[#This Row],[C3 total]]+Calculations[[#This Row],[C4 total]]</f>
        <v>0</v>
      </c>
      <c r="AJ32" s="2">
        <f>IFERROR(VLOOKUP(Calculations[[#This Row],[Material (choose from dropdown]],MaterialData[[#Headers],[#Data]],9,FALSE),0)</f>
        <v>0</v>
      </c>
      <c r="AK32" s="4">
        <f>IFERROR(VLOOKUP(Calculations[[#This Row],[Material (choose from dropdown]],MaterialData[[#Headers],[#Data]],10,FALSE),0)</f>
        <v>0</v>
      </c>
      <c r="AL32" s="322">
        <f>IFERROR(Calculations[[#This Row],[Data Quality Score]]*Calculations[[#This Row],[Total Kg]],0)</f>
        <v>0</v>
      </c>
    </row>
    <row r="33" spans="1:38" x14ac:dyDescent="0.3">
      <c r="A33" s="6">
        <f>IFERROR(MaterialsBoQ[[#This Row],[Scope Element]],0)</f>
        <v>0</v>
      </c>
      <c r="B33">
        <f>IFERROR(MaterialsBoQ[[#This Row],[Material ]],"")</f>
        <v>0</v>
      </c>
      <c r="C33">
        <f>IFERROR(MaterialsBoQ[[#This Row],[Unit]],"")</f>
        <v>0</v>
      </c>
      <c r="D33" s="322">
        <f>IFERROR(MaterialsBoQ[[#This Row],[Number]],0)</f>
        <v>0</v>
      </c>
      <c r="E33" s="322">
        <f>IFERROR(MaterialsBoQ[[#This Row],[Kg per unit]],0)</f>
        <v>0</v>
      </c>
      <c r="F33" s="322">
        <f>IFERROR(Calculations[[#This Row],[Number]]*Calculations[[#This Row],[Conversion factor]],0)</f>
        <v>0</v>
      </c>
      <c r="G33" s="322">
        <f>IFERROR(VLOOKUP(Calculations[[#This Row],[Material (choose from dropdown]],MaterialData[#All],7,FALSE),0)</f>
        <v>0</v>
      </c>
      <c r="H33" s="322">
        <f>Calculations[[#This Row],[Total Kg]]*Calculations[[#This Row],[Carbon Factor]]</f>
        <v>0</v>
      </c>
      <c r="I33" t="str">
        <f>IFERROR(VLOOKUP(Calculations[[#This Row],[Material (choose from dropdown]],MaterialData[#All],2,FALSE),"")</f>
        <v/>
      </c>
      <c r="J33" s="322">
        <f>IFERROR(((VLOOKUP(Calculations[[#This Row],[TransportSource]],TransportDistance[],2,FALSE)*'Stage assumptions'!$C$11)+VLOOKUP(Calculations[[#This Row],[TransportSource]],TransportDistance[],3,FALSE)*'Stage assumptions'!$C$12)*Calculations[[#This Row],[Total Kg]],0)</f>
        <v>0</v>
      </c>
      <c r="K33">
        <f>IFERROR(VLOOKUP(Calculations[[#This Row],[Material (choose from dropdown]], MaterialData[#All],3, FALSE),0)</f>
        <v>0</v>
      </c>
      <c r="L33" s="322">
        <f>IFERROR(VLOOKUP(Calculations[[#This Row],[A5type]],A5WastageRate[#All],2,FALSE)*Calculations[[#This Row],[A1-3]],0)</f>
        <v>0</v>
      </c>
      <c r="N33">
        <f>IFERROR(ROUNDUP(50/VLOOKUP(Calculations[[#This Row],[Scope Element]],B4referenceServiceLife[[Tier 2 element]:[Default Service Life]],2, FALSE)-1,0),0)</f>
        <v>0</v>
      </c>
      <c r="O33" s="322">
        <f>IFERROR((Calculations[[#This Row],[A1-3]]+Calculations[[#This Row],[A4]]+Calculations[[#This Row],[A5]]+Calculations[[#This Row],[C2 total]]+Calculations[[#This Row],[C3 total]]+Calculations[[#This Row],[C4 total]])*Calculations[[#This Row],[Replacements]],0)</f>
        <v>0</v>
      </c>
      <c r="S33" t="str">
        <f>IFERROR(VLOOKUP(Calculations[[#This Row],[Material (choose from dropdown]],MaterialData[#All],4,FALSE),"")</f>
        <v/>
      </c>
      <c r="T33" s="322" cm="1">
        <f t="array" ref="T33">IFERROR(VLOOKUP(Calculations[[#This Row],[Waste 1]],WasteScenario[#All],2,FALSE)*'Stage assumptions'!$C$225*WasteTransportMethod[Emissions Factor
kgCO2e/kg.km]*Calculations[[#This Row],[Total Kg]],0)</f>
        <v>0</v>
      </c>
      <c r="U33" s="322" cm="1">
        <f t="array" ref="U33">IFERROR(VLOOKUP(Calculations[[#This Row],[Waste 1]],WasteScenario[#All],3,FALSE)*'Stage assumptions'!$C$224*WasteTransportMethod[Emissions Factor
kgCO2e/kg.km]*Calculations[[#This Row],[Total Kg]],0)</f>
        <v>0</v>
      </c>
      <c r="V33" s="322" cm="1">
        <f t="array" ref="V33">IFERROR(VLOOKUP(Calculations[[#This Row],[Waste 1]],WasteScenario[#All],4,FALSE)*'Stage assumptions'!$C$223*WasteTransportMethod[Emissions Factor
kgCO2e/kg.km]*Calculations[[#This Row],[Total Kg]],0)</f>
        <v>0</v>
      </c>
      <c r="W33" s="322" cm="1">
        <f t="array" ref="W33">IFERROR(VLOOKUP(Calculations[[#This Row],[Waste 1]],WasteScenario[#All],5,FALSE)*'Stage assumptions'!$C$226*WasteTransportMethod[Emissions Factor
kgCO2e/kg.km]*Calculations[[#This Row],[Total Kg]],0)</f>
        <v>0</v>
      </c>
      <c r="X33" s="322">
        <f>SUM(Calculations[[#This Row],[C2 Recycle]:[C2 Reuse]])</f>
        <v>0</v>
      </c>
      <c r="Y33" t="str">
        <f>IFERROR(VLOOKUP(Calculations[[#This Row],[Material (choose from dropdown]],MaterialData[#All],5,FALSE),"")</f>
        <v/>
      </c>
      <c r="Z33" s="322">
        <f>IFERROR(((VLOOKUP(Calculations[[#This Row],[Waste type 2]],WasteDisposalEmissions[#All],2,FALSE))*Calculations[[#This Row],[Total Kg]])*VLOOKUP(Calculations[[#This Row],[Waste 1]],WasteScenario[#All],2,FALSE),0)</f>
        <v>0</v>
      </c>
      <c r="AA33" s="322">
        <f>IFERROR((VLOOKUP(Calculations[[#This Row],[Waste type 2]],WasteDisposalEmissions[#All],3,FALSE))*Calculations[[#This Row],[Total Kg]]*VLOOKUP(Calculations[[#This Row],[Waste 1]],WasteScenario[#All],3,FALSE),0)</f>
        <v>0</v>
      </c>
      <c r="AB33" s="322">
        <f>SUM(Calculations[[#This Row],[C3 recyc]:[C3 incin]])</f>
        <v>0</v>
      </c>
      <c r="AC33" s="322">
        <f>IFERROR((VLOOKUP(Calculations[[#This Row],[Waste type 2]],WasteLandfillEmissions[#All],2,FALSE))*Calculations[[#This Row],[Total Kg]]*VLOOKUP(Calculations[[#This Row],[Waste 1]],WasteScenario[#All],4,FALSE),0)</f>
        <v>0</v>
      </c>
      <c r="AD33" s="322">
        <f>IFERROR((VLOOKUP(Calculations[[#This Row],[Waste type 2]],WasteLandfillEmissions[#All],3,FALSE))*Calculations[[#This Row],[Total Kg]]*VLOOKUP(Calculations[[#This Row],[Waste 1]],WasteScenario[#All],4,FALSE),0)</f>
        <v>0</v>
      </c>
      <c r="AE33" s="322">
        <f>SUM(Calculations[[#This Row],[C4 landfill]:[C4 re-use]])</f>
        <v>0</v>
      </c>
      <c r="AF33" s="322">
        <f>IFERROR(VLOOKUP(Calculations[[#This Row],[Material (choose from dropdown]],MaterialData[#All],8,FALSE),0)</f>
        <v>0</v>
      </c>
      <c r="AG33" s="322">
        <f>IFERROR(Calculations[[#This Row],[Total Kg]]*Calculations[[#This Row],[Seq factor]],0)</f>
        <v>0</v>
      </c>
      <c r="AI33" s="322">
        <f>Calculations[[#This Row],[A1-3]]+Calculations[[#This Row],[A4]]+Calculations[[#This Row],[A5]]+Calculations[[#This Row],[B4]]+Calculations[[#This Row],[C2 total]]+Calculations[[#This Row],[C3 total]]+Calculations[[#This Row],[C4 total]]</f>
        <v>0</v>
      </c>
      <c r="AJ33" s="2">
        <f>IFERROR(VLOOKUP(Calculations[[#This Row],[Material (choose from dropdown]],MaterialData[[#Headers],[#Data]],9,FALSE),0)</f>
        <v>0</v>
      </c>
      <c r="AK33" s="4">
        <f>IFERROR(VLOOKUP(Calculations[[#This Row],[Material (choose from dropdown]],MaterialData[[#Headers],[#Data]],10,FALSE),0)</f>
        <v>0</v>
      </c>
      <c r="AL33" s="322">
        <f>IFERROR(Calculations[[#This Row],[Data Quality Score]]*Calculations[[#This Row],[Total Kg]],0)</f>
        <v>0</v>
      </c>
    </row>
    <row r="34" spans="1:38" x14ac:dyDescent="0.3">
      <c r="A34" s="6">
        <f>IFERROR(MaterialsBoQ[[#This Row],[Scope Element]],0)</f>
        <v>0</v>
      </c>
      <c r="B34">
        <f>IFERROR(MaterialsBoQ[[#This Row],[Material ]],"")</f>
        <v>0</v>
      </c>
      <c r="C34">
        <f>IFERROR(MaterialsBoQ[[#This Row],[Unit]],"")</f>
        <v>0</v>
      </c>
      <c r="D34" s="322">
        <f>IFERROR(MaterialsBoQ[[#This Row],[Number]],0)</f>
        <v>0</v>
      </c>
      <c r="E34" s="322">
        <f>IFERROR(MaterialsBoQ[[#This Row],[Kg per unit]],0)</f>
        <v>0</v>
      </c>
      <c r="F34" s="322">
        <f>IFERROR(Calculations[[#This Row],[Number]]*Calculations[[#This Row],[Conversion factor]],0)</f>
        <v>0</v>
      </c>
      <c r="G34" s="322">
        <f>IFERROR(VLOOKUP(Calculations[[#This Row],[Material (choose from dropdown]],MaterialData[#All],7,FALSE),0)</f>
        <v>0</v>
      </c>
      <c r="H34" s="322">
        <f>Calculations[[#This Row],[Total Kg]]*Calculations[[#This Row],[Carbon Factor]]</f>
        <v>0</v>
      </c>
      <c r="I34" t="str">
        <f>IFERROR(VLOOKUP(Calculations[[#This Row],[Material (choose from dropdown]],MaterialData[#All],2,FALSE),"")</f>
        <v/>
      </c>
      <c r="J34" s="322">
        <f>IFERROR(((VLOOKUP(Calculations[[#This Row],[TransportSource]],TransportDistance[],2,FALSE)*'Stage assumptions'!$C$11)+VLOOKUP(Calculations[[#This Row],[TransportSource]],TransportDistance[],3,FALSE)*'Stage assumptions'!$C$12)*Calculations[[#This Row],[Total Kg]],0)</f>
        <v>0</v>
      </c>
      <c r="K34">
        <f>IFERROR(VLOOKUP(Calculations[[#This Row],[Material (choose from dropdown]], MaterialData[#All],3, FALSE),0)</f>
        <v>0</v>
      </c>
      <c r="L34" s="322">
        <f>IFERROR(VLOOKUP(Calculations[[#This Row],[A5type]],A5WastageRate[#All],2,FALSE)*Calculations[[#This Row],[A1-3]],0)</f>
        <v>0</v>
      </c>
      <c r="N34">
        <f>IFERROR(ROUNDUP(50/VLOOKUP(Calculations[[#This Row],[Scope Element]],B4referenceServiceLife[[Tier 2 element]:[Default Service Life]],2, FALSE)-1,0),0)</f>
        <v>0</v>
      </c>
      <c r="O34" s="322">
        <f>IFERROR((Calculations[[#This Row],[A1-3]]+Calculations[[#This Row],[A4]]+Calculations[[#This Row],[A5]]+Calculations[[#This Row],[C2 total]]+Calculations[[#This Row],[C3 total]]+Calculations[[#This Row],[C4 total]])*Calculations[[#This Row],[Replacements]],0)</f>
        <v>0</v>
      </c>
      <c r="S34" t="str">
        <f>IFERROR(VLOOKUP(Calculations[[#This Row],[Material (choose from dropdown]],MaterialData[#All],4,FALSE),"")</f>
        <v/>
      </c>
      <c r="T34" s="322" cm="1">
        <f t="array" ref="T34">IFERROR(VLOOKUP(Calculations[[#This Row],[Waste 1]],WasteScenario[#All],2,FALSE)*'Stage assumptions'!$C$225*WasteTransportMethod[Emissions Factor
kgCO2e/kg.km]*Calculations[[#This Row],[Total Kg]],0)</f>
        <v>0</v>
      </c>
      <c r="U34" s="322" cm="1">
        <f t="array" ref="U34">IFERROR(VLOOKUP(Calculations[[#This Row],[Waste 1]],WasteScenario[#All],3,FALSE)*'Stage assumptions'!$C$224*WasteTransportMethod[Emissions Factor
kgCO2e/kg.km]*Calculations[[#This Row],[Total Kg]],0)</f>
        <v>0</v>
      </c>
      <c r="V34" s="322" cm="1">
        <f t="array" ref="V34">IFERROR(VLOOKUP(Calculations[[#This Row],[Waste 1]],WasteScenario[#All],4,FALSE)*'Stage assumptions'!$C$223*WasteTransportMethod[Emissions Factor
kgCO2e/kg.km]*Calculations[[#This Row],[Total Kg]],0)</f>
        <v>0</v>
      </c>
      <c r="W34" s="322" cm="1">
        <f t="array" ref="W34">IFERROR(VLOOKUP(Calculations[[#This Row],[Waste 1]],WasteScenario[#All],5,FALSE)*'Stage assumptions'!$C$226*WasteTransportMethod[Emissions Factor
kgCO2e/kg.km]*Calculations[[#This Row],[Total Kg]],0)</f>
        <v>0</v>
      </c>
      <c r="X34" s="322">
        <f>SUM(Calculations[[#This Row],[C2 Recycle]:[C2 Reuse]])</f>
        <v>0</v>
      </c>
      <c r="Y34" t="str">
        <f>IFERROR(VLOOKUP(Calculations[[#This Row],[Material (choose from dropdown]],MaterialData[#All],5,FALSE),"")</f>
        <v/>
      </c>
      <c r="Z34" s="322">
        <f>IFERROR(((VLOOKUP(Calculations[[#This Row],[Waste type 2]],WasteDisposalEmissions[#All],2,FALSE))*Calculations[[#This Row],[Total Kg]])*VLOOKUP(Calculations[[#This Row],[Waste 1]],WasteScenario[#All],2,FALSE),0)</f>
        <v>0</v>
      </c>
      <c r="AA34" s="322">
        <f>IFERROR((VLOOKUP(Calculations[[#This Row],[Waste type 2]],WasteDisposalEmissions[#All],3,FALSE))*Calculations[[#This Row],[Total Kg]]*VLOOKUP(Calculations[[#This Row],[Waste 1]],WasteScenario[#All],3,FALSE),0)</f>
        <v>0</v>
      </c>
      <c r="AB34" s="322">
        <f>SUM(Calculations[[#This Row],[C3 recyc]:[C3 incin]])</f>
        <v>0</v>
      </c>
      <c r="AC34" s="322">
        <f>IFERROR((VLOOKUP(Calculations[[#This Row],[Waste type 2]],WasteLandfillEmissions[#All],2,FALSE))*Calculations[[#This Row],[Total Kg]]*VLOOKUP(Calculations[[#This Row],[Waste 1]],WasteScenario[#All],4,FALSE),0)</f>
        <v>0</v>
      </c>
      <c r="AD34" s="322">
        <f>IFERROR((VLOOKUP(Calculations[[#This Row],[Waste type 2]],WasteLandfillEmissions[#All],3,FALSE))*Calculations[[#This Row],[Total Kg]]*VLOOKUP(Calculations[[#This Row],[Waste 1]],WasteScenario[#All],4,FALSE),0)</f>
        <v>0</v>
      </c>
      <c r="AE34" s="322">
        <f>SUM(Calculations[[#This Row],[C4 landfill]:[C4 re-use]])</f>
        <v>0</v>
      </c>
      <c r="AF34" s="322">
        <f>IFERROR(VLOOKUP(Calculations[[#This Row],[Material (choose from dropdown]],MaterialData[#All],8,FALSE),0)</f>
        <v>0</v>
      </c>
      <c r="AG34" s="322">
        <f>IFERROR(Calculations[[#This Row],[Total Kg]]*Calculations[[#This Row],[Seq factor]],0)</f>
        <v>0</v>
      </c>
      <c r="AI34" s="322">
        <f>Calculations[[#This Row],[A1-3]]+Calculations[[#This Row],[A4]]+Calculations[[#This Row],[A5]]+Calculations[[#This Row],[B4]]+Calculations[[#This Row],[C2 total]]+Calculations[[#This Row],[C3 total]]+Calculations[[#This Row],[C4 total]]</f>
        <v>0</v>
      </c>
      <c r="AJ34" s="2">
        <f>IFERROR(VLOOKUP(Calculations[[#This Row],[Material (choose from dropdown]],MaterialData[[#Headers],[#Data]],9,FALSE),0)</f>
        <v>0</v>
      </c>
      <c r="AK34" s="4">
        <f>IFERROR(VLOOKUP(Calculations[[#This Row],[Material (choose from dropdown]],MaterialData[[#Headers],[#Data]],10,FALSE),0)</f>
        <v>0</v>
      </c>
      <c r="AL34" s="322">
        <f>IFERROR(Calculations[[#This Row],[Data Quality Score]]*Calculations[[#This Row],[Total Kg]],0)</f>
        <v>0</v>
      </c>
    </row>
    <row r="35" spans="1:38" x14ac:dyDescent="0.3">
      <c r="A35" s="6">
        <f>IFERROR(MaterialsBoQ[[#This Row],[Scope Element]],0)</f>
        <v>0</v>
      </c>
      <c r="B35">
        <f>IFERROR(MaterialsBoQ[[#This Row],[Material ]],"")</f>
        <v>0</v>
      </c>
      <c r="C35">
        <f>IFERROR(MaterialsBoQ[[#This Row],[Unit]],"")</f>
        <v>0</v>
      </c>
      <c r="D35" s="322">
        <f>IFERROR(MaterialsBoQ[[#This Row],[Number]],0)</f>
        <v>0</v>
      </c>
      <c r="E35" s="322">
        <f>IFERROR(MaterialsBoQ[[#This Row],[Kg per unit]],0)</f>
        <v>0</v>
      </c>
      <c r="F35" s="322">
        <f>IFERROR(Calculations[[#This Row],[Number]]*Calculations[[#This Row],[Conversion factor]],0)</f>
        <v>0</v>
      </c>
      <c r="G35" s="322">
        <f>IFERROR(VLOOKUP(Calculations[[#This Row],[Material (choose from dropdown]],MaterialData[#All],7,FALSE),0)</f>
        <v>0</v>
      </c>
      <c r="H35" s="322">
        <f>Calculations[[#This Row],[Total Kg]]*Calculations[[#This Row],[Carbon Factor]]</f>
        <v>0</v>
      </c>
      <c r="I35" t="str">
        <f>IFERROR(VLOOKUP(Calculations[[#This Row],[Material (choose from dropdown]],MaterialData[#All],2,FALSE),"")</f>
        <v/>
      </c>
      <c r="J35" s="322">
        <f>IFERROR(((VLOOKUP(Calculations[[#This Row],[TransportSource]],TransportDistance[],2,FALSE)*'Stage assumptions'!$C$11)+VLOOKUP(Calculations[[#This Row],[TransportSource]],TransportDistance[],3,FALSE)*'Stage assumptions'!$C$12)*Calculations[[#This Row],[Total Kg]],0)</f>
        <v>0</v>
      </c>
      <c r="K35">
        <f>IFERROR(VLOOKUP(Calculations[[#This Row],[Material (choose from dropdown]], MaterialData[#All],3, FALSE),0)</f>
        <v>0</v>
      </c>
      <c r="L35" s="322">
        <f>IFERROR(VLOOKUP(Calculations[[#This Row],[A5type]],A5WastageRate[#All],2,FALSE)*Calculations[[#This Row],[A1-3]],0)</f>
        <v>0</v>
      </c>
      <c r="N35">
        <f>IFERROR(ROUNDUP(50/VLOOKUP(Calculations[[#This Row],[Scope Element]],B4referenceServiceLife[[Tier 2 element]:[Default Service Life]],2, FALSE)-1,0),0)</f>
        <v>0</v>
      </c>
      <c r="O35" s="322">
        <f>IFERROR((Calculations[[#This Row],[A1-3]]+Calculations[[#This Row],[A4]]+Calculations[[#This Row],[A5]]+Calculations[[#This Row],[C2 total]]+Calculations[[#This Row],[C3 total]]+Calculations[[#This Row],[C4 total]])*Calculations[[#This Row],[Replacements]],0)</f>
        <v>0</v>
      </c>
      <c r="S35" t="str">
        <f>IFERROR(VLOOKUP(Calculations[[#This Row],[Material (choose from dropdown]],MaterialData[#All],4,FALSE),"")</f>
        <v/>
      </c>
      <c r="T35" s="322" cm="1">
        <f t="array" ref="T35">IFERROR(VLOOKUP(Calculations[[#This Row],[Waste 1]],WasteScenario[#All],2,FALSE)*'Stage assumptions'!$C$225*WasteTransportMethod[Emissions Factor
kgCO2e/kg.km]*Calculations[[#This Row],[Total Kg]],0)</f>
        <v>0</v>
      </c>
      <c r="U35" s="322" cm="1">
        <f t="array" ref="U35">IFERROR(VLOOKUP(Calculations[[#This Row],[Waste 1]],WasteScenario[#All],3,FALSE)*'Stage assumptions'!$C$224*WasteTransportMethod[Emissions Factor
kgCO2e/kg.km]*Calculations[[#This Row],[Total Kg]],0)</f>
        <v>0</v>
      </c>
      <c r="V35" s="322" cm="1">
        <f t="array" ref="V35">IFERROR(VLOOKUP(Calculations[[#This Row],[Waste 1]],WasteScenario[#All],4,FALSE)*'Stage assumptions'!$C$223*WasteTransportMethod[Emissions Factor
kgCO2e/kg.km]*Calculations[[#This Row],[Total Kg]],0)</f>
        <v>0</v>
      </c>
      <c r="W35" s="322" cm="1">
        <f t="array" ref="W35">IFERROR(VLOOKUP(Calculations[[#This Row],[Waste 1]],WasteScenario[#All],5,FALSE)*'Stage assumptions'!$C$226*WasteTransportMethod[Emissions Factor
kgCO2e/kg.km]*Calculations[[#This Row],[Total Kg]],0)</f>
        <v>0</v>
      </c>
      <c r="X35" s="322">
        <f>SUM(Calculations[[#This Row],[C2 Recycle]:[C2 Reuse]])</f>
        <v>0</v>
      </c>
      <c r="Y35" t="str">
        <f>IFERROR(VLOOKUP(Calculations[[#This Row],[Material (choose from dropdown]],MaterialData[#All],5,FALSE),"")</f>
        <v/>
      </c>
      <c r="Z35" s="322">
        <f>IFERROR(((VLOOKUP(Calculations[[#This Row],[Waste type 2]],WasteDisposalEmissions[#All],2,FALSE))*Calculations[[#This Row],[Total Kg]])*VLOOKUP(Calculations[[#This Row],[Waste 1]],WasteScenario[#All],2,FALSE),0)</f>
        <v>0</v>
      </c>
      <c r="AA35" s="322">
        <f>IFERROR((VLOOKUP(Calculations[[#This Row],[Waste type 2]],WasteDisposalEmissions[#All],3,FALSE))*Calculations[[#This Row],[Total Kg]]*VLOOKUP(Calculations[[#This Row],[Waste 1]],WasteScenario[#All],3,FALSE),0)</f>
        <v>0</v>
      </c>
      <c r="AB35" s="322">
        <f>SUM(Calculations[[#This Row],[C3 recyc]:[C3 incin]])</f>
        <v>0</v>
      </c>
      <c r="AC35" s="322">
        <f>IFERROR((VLOOKUP(Calculations[[#This Row],[Waste type 2]],WasteLandfillEmissions[#All],2,FALSE))*Calculations[[#This Row],[Total Kg]]*VLOOKUP(Calculations[[#This Row],[Waste 1]],WasteScenario[#All],4,FALSE),0)</f>
        <v>0</v>
      </c>
      <c r="AD35" s="322">
        <f>IFERROR((VLOOKUP(Calculations[[#This Row],[Waste type 2]],WasteLandfillEmissions[#All],3,FALSE))*Calculations[[#This Row],[Total Kg]]*VLOOKUP(Calculations[[#This Row],[Waste 1]],WasteScenario[#All],4,FALSE),0)</f>
        <v>0</v>
      </c>
      <c r="AE35" s="322">
        <f>SUM(Calculations[[#This Row],[C4 landfill]:[C4 re-use]])</f>
        <v>0</v>
      </c>
      <c r="AF35" s="322">
        <f>IFERROR(VLOOKUP(Calculations[[#This Row],[Material (choose from dropdown]],MaterialData[#All],8,FALSE),0)</f>
        <v>0</v>
      </c>
      <c r="AG35" s="322">
        <f>IFERROR(Calculations[[#This Row],[Total Kg]]*Calculations[[#This Row],[Seq factor]],0)</f>
        <v>0</v>
      </c>
      <c r="AI35" s="322">
        <f>Calculations[[#This Row],[A1-3]]+Calculations[[#This Row],[A4]]+Calculations[[#This Row],[A5]]+Calculations[[#This Row],[B4]]+Calculations[[#This Row],[C2 total]]+Calculations[[#This Row],[C3 total]]+Calculations[[#This Row],[C4 total]]</f>
        <v>0</v>
      </c>
      <c r="AJ35" s="2">
        <f>IFERROR(VLOOKUP(Calculations[[#This Row],[Material (choose from dropdown]],MaterialData[[#Headers],[#Data]],9,FALSE),0)</f>
        <v>0</v>
      </c>
      <c r="AK35" s="4">
        <f>IFERROR(VLOOKUP(Calculations[[#This Row],[Material (choose from dropdown]],MaterialData[[#Headers],[#Data]],10,FALSE),0)</f>
        <v>0</v>
      </c>
      <c r="AL35" s="322">
        <f>IFERROR(Calculations[[#This Row],[Data Quality Score]]*Calculations[[#This Row],[Total Kg]],0)</f>
        <v>0</v>
      </c>
    </row>
    <row r="36" spans="1:38" x14ac:dyDescent="0.3">
      <c r="A36" s="6">
        <f>IFERROR(MaterialsBoQ[[#This Row],[Scope Element]],0)</f>
        <v>0</v>
      </c>
      <c r="B36">
        <f>IFERROR(MaterialsBoQ[[#This Row],[Material ]],"")</f>
        <v>0</v>
      </c>
      <c r="C36">
        <f>IFERROR(MaterialsBoQ[[#This Row],[Unit]],"")</f>
        <v>0</v>
      </c>
      <c r="D36" s="322">
        <f>IFERROR(MaterialsBoQ[[#This Row],[Number]],0)</f>
        <v>0</v>
      </c>
      <c r="E36" s="322">
        <f>IFERROR(MaterialsBoQ[[#This Row],[Kg per unit]],0)</f>
        <v>0</v>
      </c>
      <c r="F36" s="322">
        <f>IFERROR(Calculations[[#This Row],[Number]]*Calculations[[#This Row],[Conversion factor]],0)</f>
        <v>0</v>
      </c>
      <c r="G36" s="322">
        <f>IFERROR(VLOOKUP(Calculations[[#This Row],[Material (choose from dropdown]],MaterialData[#All],7,FALSE),0)</f>
        <v>0</v>
      </c>
      <c r="H36" s="322">
        <f>Calculations[[#This Row],[Total Kg]]*Calculations[[#This Row],[Carbon Factor]]</f>
        <v>0</v>
      </c>
      <c r="I36" t="str">
        <f>IFERROR(VLOOKUP(Calculations[[#This Row],[Material (choose from dropdown]],MaterialData[#All],2,FALSE),"")</f>
        <v/>
      </c>
      <c r="J36" s="322">
        <f>IFERROR(((VLOOKUP(Calculations[[#This Row],[TransportSource]],TransportDistance[],2,FALSE)*'Stage assumptions'!$C$11)+VLOOKUP(Calculations[[#This Row],[TransportSource]],TransportDistance[],3,FALSE)*'Stage assumptions'!$C$12)*Calculations[[#This Row],[Total Kg]],0)</f>
        <v>0</v>
      </c>
      <c r="K36">
        <f>IFERROR(VLOOKUP(Calculations[[#This Row],[Material (choose from dropdown]], MaterialData[#All],3, FALSE),0)</f>
        <v>0</v>
      </c>
      <c r="L36" s="322">
        <f>IFERROR(VLOOKUP(Calculations[[#This Row],[A5type]],A5WastageRate[#All],2,FALSE)*Calculations[[#This Row],[A1-3]],0)</f>
        <v>0</v>
      </c>
      <c r="N36">
        <f>IFERROR(ROUNDUP(50/VLOOKUP(Calculations[[#This Row],[Scope Element]],B4referenceServiceLife[[Tier 2 element]:[Default Service Life]],2, FALSE)-1,0),0)</f>
        <v>0</v>
      </c>
      <c r="O36" s="322">
        <f>IFERROR((Calculations[[#This Row],[A1-3]]+Calculations[[#This Row],[A4]]+Calculations[[#This Row],[A5]]+Calculations[[#This Row],[C2 total]]+Calculations[[#This Row],[C3 total]]+Calculations[[#This Row],[C4 total]])*Calculations[[#This Row],[Replacements]],0)</f>
        <v>0</v>
      </c>
      <c r="S36" t="str">
        <f>IFERROR(VLOOKUP(Calculations[[#This Row],[Material (choose from dropdown]],MaterialData[#All],4,FALSE),"")</f>
        <v/>
      </c>
      <c r="T36" s="322" cm="1">
        <f t="array" ref="T36">IFERROR(VLOOKUP(Calculations[[#This Row],[Waste 1]],WasteScenario[#All],2,FALSE)*'Stage assumptions'!$C$225*WasteTransportMethod[Emissions Factor
kgCO2e/kg.km]*Calculations[[#This Row],[Total Kg]],0)</f>
        <v>0</v>
      </c>
      <c r="U36" s="322" cm="1">
        <f t="array" ref="U36">IFERROR(VLOOKUP(Calculations[[#This Row],[Waste 1]],WasteScenario[#All],3,FALSE)*'Stage assumptions'!$C$224*WasteTransportMethod[Emissions Factor
kgCO2e/kg.km]*Calculations[[#This Row],[Total Kg]],0)</f>
        <v>0</v>
      </c>
      <c r="V36" s="322" cm="1">
        <f t="array" ref="V36">IFERROR(VLOOKUP(Calculations[[#This Row],[Waste 1]],WasteScenario[#All],4,FALSE)*'Stage assumptions'!$C$223*WasteTransportMethod[Emissions Factor
kgCO2e/kg.km]*Calculations[[#This Row],[Total Kg]],0)</f>
        <v>0</v>
      </c>
      <c r="W36" s="322" cm="1">
        <f t="array" ref="W36">IFERROR(VLOOKUP(Calculations[[#This Row],[Waste 1]],WasteScenario[#All],5,FALSE)*'Stage assumptions'!$C$226*WasteTransportMethod[Emissions Factor
kgCO2e/kg.km]*Calculations[[#This Row],[Total Kg]],0)</f>
        <v>0</v>
      </c>
      <c r="X36" s="322">
        <f>SUM(Calculations[[#This Row],[C2 Recycle]:[C2 Reuse]])</f>
        <v>0</v>
      </c>
      <c r="Y36" t="str">
        <f>IFERROR(VLOOKUP(Calculations[[#This Row],[Material (choose from dropdown]],MaterialData[#All],5,FALSE),"")</f>
        <v/>
      </c>
      <c r="Z36" s="322">
        <f>IFERROR(((VLOOKUP(Calculations[[#This Row],[Waste type 2]],WasteDisposalEmissions[#All],2,FALSE))*Calculations[[#This Row],[Total Kg]])*VLOOKUP(Calculations[[#This Row],[Waste 1]],WasteScenario[#All],2,FALSE),0)</f>
        <v>0</v>
      </c>
      <c r="AA36" s="322">
        <f>IFERROR((VLOOKUP(Calculations[[#This Row],[Waste type 2]],WasteDisposalEmissions[#All],3,FALSE))*Calculations[[#This Row],[Total Kg]]*VLOOKUP(Calculations[[#This Row],[Waste 1]],WasteScenario[#All],3,FALSE),0)</f>
        <v>0</v>
      </c>
      <c r="AB36" s="322">
        <f>SUM(Calculations[[#This Row],[C3 recyc]:[C3 incin]])</f>
        <v>0</v>
      </c>
      <c r="AC36" s="322">
        <f>IFERROR((VLOOKUP(Calculations[[#This Row],[Waste type 2]],WasteLandfillEmissions[#All],2,FALSE))*Calculations[[#This Row],[Total Kg]]*VLOOKUP(Calculations[[#This Row],[Waste 1]],WasteScenario[#All],4,FALSE),0)</f>
        <v>0</v>
      </c>
      <c r="AD36" s="322">
        <f>IFERROR((VLOOKUP(Calculations[[#This Row],[Waste type 2]],WasteLandfillEmissions[#All],3,FALSE))*Calculations[[#This Row],[Total Kg]]*VLOOKUP(Calculations[[#This Row],[Waste 1]],WasteScenario[#All],4,FALSE),0)</f>
        <v>0</v>
      </c>
      <c r="AE36" s="322">
        <f>SUM(Calculations[[#This Row],[C4 landfill]:[C4 re-use]])</f>
        <v>0</v>
      </c>
      <c r="AF36" s="322">
        <f>IFERROR(VLOOKUP(Calculations[[#This Row],[Material (choose from dropdown]],MaterialData[#All],8,FALSE),0)</f>
        <v>0</v>
      </c>
      <c r="AG36" s="322">
        <f>IFERROR(Calculations[[#This Row],[Total Kg]]*Calculations[[#This Row],[Seq factor]],0)</f>
        <v>0</v>
      </c>
      <c r="AI36" s="322">
        <f>Calculations[[#This Row],[A1-3]]+Calculations[[#This Row],[A4]]+Calculations[[#This Row],[A5]]+Calculations[[#This Row],[B4]]+Calculations[[#This Row],[C2 total]]+Calculations[[#This Row],[C3 total]]+Calculations[[#This Row],[C4 total]]</f>
        <v>0</v>
      </c>
      <c r="AJ36" s="2">
        <f>IFERROR(VLOOKUP(Calculations[[#This Row],[Material (choose from dropdown]],MaterialData[[#Headers],[#Data]],9,FALSE),0)</f>
        <v>0</v>
      </c>
      <c r="AK36" s="4">
        <f>IFERROR(VLOOKUP(Calculations[[#This Row],[Material (choose from dropdown]],MaterialData[[#Headers],[#Data]],10,FALSE),0)</f>
        <v>0</v>
      </c>
      <c r="AL36" s="322">
        <f>IFERROR(Calculations[[#This Row],[Data Quality Score]]*Calculations[[#This Row],[Total Kg]],0)</f>
        <v>0</v>
      </c>
    </row>
    <row r="37" spans="1:38" x14ac:dyDescent="0.3">
      <c r="A37" s="6">
        <f>IFERROR(MaterialsBoQ[[#This Row],[Scope Element]],0)</f>
        <v>0</v>
      </c>
      <c r="B37">
        <f>IFERROR(MaterialsBoQ[[#This Row],[Material ]],"")</f>
        <v>0</v>
      </c>
      <c r="C37">
        <f>IFERROR(MaterialsBoQ[[#This Row],[Unit]],"")</f>
        <v>0</v>
      </c>
      <c r="D37" s="322">
        <f>IFERROR(MaterialsBoQ[[#This Row],[Number]],0)</f>
        <v>0</v>
      </c>
      <c r="E37" s="322">
        <f>IFERROR(MaterialsBoQ[[#This Row],[Kg per unit]],0)</f>
        <v>0</v>
      </c>
      <c r="F37" s="322">
        <f>IFERROR(Calculations[[#This Row],[Number]]*Calculations[[#This Row],[Conversion factor]],0)</f>
        <v>0</v>
      </c>
      <c r="G37" s="322">
        <f>IFERROR(VLOOKUP(Calculations[[#This Row],[Material (choose from dropdown]],MaterialData[#All],7,FALSE),0)</f>
        <v>0</v>
      </c>
      <c r="H37" s="322">
        <f>Calculations[[#This Row],[Total Kg]]*Calculations[[#This Row],[Carbon Factor]]</f>
        <v>0</v>
      </c>
      <c r="I37" t="str">
        <f>IFERROR(VLOOKUP(Calculations[[#This Row],[Material (choose from dropdown]],MaterialData[#All],2,FALSE),"")</f>
        <v/>
      </c>
      <c r="J37" s="322">
        <f>IFERROR(((VLOOKUP(Calculations[[#This Row],[TransportSource]],TransportDistance[],2,FALSE)*'Stage assumptions'!$C$11)+VLOOKUP(Calculations[[#This Row],[TransportSource]],TransportDistance[],3,FALSE)*'Stage assumptions'!$C$12)*Calculations[[#This Row],[Total Kg]],0)</f>
        <v>0</v>
      </c>
      <c r="K37">
        <f>IFERROR(VLOOKUP(Calculations[[#This Row],[Material (choose from dropdown]], MaterialData[#All],3, FALSE),0)</f>
        <v>0</v>
      </c>
      <c r="L37" s="322">
        <f>IFERROR(VLOOKUP(Calculations[[#This Row],[A5type]],A5WastageRate[#All],2,FALSE)*Calculations[[#This Row],[A1-3]],0)</f>
        <v>0</v>
      </c>
      <c r="N37">
        <f>IFERROR(ROUNDUP(50/VLOOKUP(Calculations[[#This Row],[Scope Element]],B4referenceServiceLife[[Tier 2 element]:[Default Service Life]],2, FALSE)-1,0),0)</f>
        <v>0</v>
      </c>
      <c r="O37" s="322">
        <f>IFERROR((Calculations[[#This Row],[A1-3]]+Calculations[[#This Row],[A4]]+Calculations[[#This Row],[A5]]+Calculations[[#This Row],[C2 total]]+Calculations[[#This Row],[C3 total]]+Calculations[[#This Row],[C4 total]])*Calculations[[#This Row],[Replacements]],0)</f>
        <v>0</v>
      </c>
      <c r="S37" t="str">
        <f>IFERROR(VLOOKUP(Calculations[[#This Row],[Material (choose from dropdown]],MaterialData[#All],4,FALSE),"")</f>
        <v/>
      </c>
      <c r="T37" s="322" cm="1">
        <f t="array" ref="T37">IFERROR(VLOOKUP(Calculations[[#This Row],[Waste 1]],WasteScenario[#All],2,FALSE)*'Stage assumptions'!$C$225*WasteTransportMethod[Emissions Factor
kgCO2e/kg.km]*Calculations[[#This Row],[Total Kg]],0)</f>
        <v>0</v>
      </c>
      <c r="U37" s="322" cm="1">
        <f t="array" ref="U37">IFERROR(VLOOKUP(Calculations[[#This Row],[Waste 1]],WasteScenario[#All],3,FALSE)*'Stage assumptions'!$C$224*WasteTransportMethod[Emissions Factor
kgCO2e/kg.km]*Calculations[[#This Row],[Total Kg]],0)</f>
        <v>0</v>
      </c>
      <c r="V37" s="322" cm="1">
        <f t="array" ref="V37">IFERROR(VLOOKUP(Calculations[[#This Row],[Waste 1]],WasteScenario[#All],4,FALSE)*'Stage assumptions'!$C$223*WasteTransportMethod[Emissions Factor
kgCO2e/kg.km]*Calculations[[#This Row],[Total Kg]],0)</f>
        <v>0</v>
      </c>
      <c r="W37" s="322" cm="1">
        <f t="array" ref="W37">IFERROR(VLOOKUP(Calculations[[#This Row],[Waste 1]],WasteScenario[#All],5,FALSE)*'Stage assumptions'!$C$226*WasteTransportMethod[Emissions Factor
kgCO2e/kg.km]*Calculations[[#This Row],[Total Kg]],0)</f>
        <v>0</v>
      </c>
      <c r="X37" s="322">
        <f>SUM(Calculations[[#This Row],[C2 Recycle]:[C2 Reuse]])</f>
        <v>0</v>
      </c>
      <c r="Y37" t="str">
        <f>IFERROR(VLOOKUP(Calculations[[#This Row],[Material (choose from dropdown]],MaterialData[#All],5,FALSE),"")</f>
        <v/>
      </c>
      <c r="Z37" s="322">
        <f>IFERROR(((VLOOKUP(Calculations[[#This Row],[Waste type 2]],WasteDisposalEmissions[#All],2,FALSE))*Calculations[[#This Row],[Total Kg]])*VLOOKUP(Calculations[[#This Row],[Waste 1]],WasteScenario[#All],2,FALSE),0)</f>
        <v>0</v>
      </c>
      <c r="AA37" s="322">
        <f>IFERROR((VLOOKUP(Calculations[[#This Row],[Waste type 2]],WasteDisposalEmissions[#All],3,FALSE))*Calculations[[#This Row],[Total Kg]]*VLOOKUP(Calculations[[#This Row],[Waste 1]],WasteScenario[#All],3,FALSE),0)</f>
        <v>0</v>
      </c>
      <c r="AB37" s="322">
        <f>SUM(Calculations[[#This Row],[C3 recyc]:[C3 incin]])</f>
        <v>0</v>
      </c>
      <c r="AC37" s="322">
        <f>IFERROR((VLOOKUP(Calculations[[#This Row],[Waste type 2]],WasteLandfillEmissions[#All],2,FALSE))*Calculations[[#This Row],[Total Kg]]*VLOOKUP(Calculations[[#This Row],[Waste 1]],WasteScenario[#All],4,FALSE),0)</f>
        <v>0</v>
      </c>
      <c r="AD37" s="322">
        <f>IFERROR((VLOOKUP(Calculations[[#This Row],[Waste type 2]],WasteLandfillEmissions[#All],3,FALSE))*Calculations[[#This Row],[Total Kg]]*VLOOKUP(Calculations[[#This Row],[Waste 1]],WasteScenario[#All],4,FALSE),0)</f>
        <v>0</v>
      </c>
      <c r="AE37" s="322">
        <f>SUM(Calculations[[#This Row],[C4 landfill]:[C4 re-use]])</f>
        <v>0</v>
      </c>
      <c r="AF37" s="322">
        <f>IFERROR(VLOOKUP(Calculations[[#This Row],[Material (choose from dropdown]],MaterialData[#All],8,FALSE),0)</f>
        <v>0</v>
      </c>
      <c r="AG37" s="322">
        <f>IFERROR(Calculations[[#This Row],[Total Kg]]*Calculations[[#This Row],[Seq factor]],0)</f>
        <v>0</v>
      </c>
      <c r="AI37" s="322">
        <f>Calculations[[#This Row],[A1-3]]+Calculations[[#This Row],[A4]]+Calculations[[#This Row],[A5]]+Calculations[[#This Row],[B4]]+Calculations[[#This Row],[C2 total]]+Calculations[[#This Row],[C3 total]]+Calculations[[#This Row],[C4 total]]</f>
        <v>0</v>
      </c>
      <c r="AJ37" s="2">
        <f>IFERROR(VLOOKUP(Calculations[[#This Row],[Material (choose from dropdown]],MaterialData[[#Headers],[#Data]],9,FALSE),0)</f>
        <v>0</v>
      </c>
      <c r="AK37" s="4">
        <f>IFERROR(VLOOKUP(Calculations[[#This Row],[Material (choose from dropdown]],MaterialData[[#Headers],[#Data]],10,FALSE),0)</f>
        <v>0</v>
      </c>
      <c r="AL37" s="322">
        <f>IFERROR(Calculations[[#This Row],[Data Quality Score]]*Calculations[[#This Row],[Total Kg]],0)</f>
        <v>0</v>
      </c>
    </row>
    <row r="38" spans="1:38" x14ac:dyDescent="0.3">
      <c r="A38" s="6">
        <f>IFERROR(MaterialsBoQ[[#This Row],[Scope Element]],0)</f>
        <v>0</v>
      </c>
      <c r="B38">
        <f>IFERROR(MaterialsBoQ[[#This Row],[Material ]],"")</f>
        <v>0</v>
      </c>
      <c r="C38">
        <f>IFERROR(MaterialsBoQ[[#This Row],[Unit]],"")</f>
        <v>0</v>
      </c>
      <c r="D38" s="322">
        <f>IFERROR(MaterialsBoQ[[#This Row],[Number]],0)</f>
        <v>0</v>
      </c>
      <c r="E38" s="322">
        <f>IFERROR(MaterialsBoQ[[#This Row],[Kg per unit]],0)</f>
        <v>0</v>
      </c>
      <c r="F38" s="322">
        <f>IFERROR(Calculations[[#This Row],[Number]]*Calculations[[#This Row],[Conversion factor]],0)</f>
        <v>0</v>
      </c>
      <c r="G38" s="322">
        <f>IFERROR(VLOOKUP(Calculations[[#This Row],[Material (choose from dropdown]],MaterialData[#All],7,FALSE),0)</f>
        <v>0</v>
      </c>
      <c r="H38" s="322">
        <f>Calculations[[#This Row],[Total Kg]]*Calculations[[#This Row],[Carbon Factor]]</f>
        <v>0</v>
      </c>
      <c r="I38" t="str">
        <f>IFERROR(VLOOKUP(Calculations[[#This Row],[Material (choose from dropdown]],MaterialData[#All],2,FALSE),"")</f>
        <v/>
      </c>
      <c r="J38" s="322">
        <f>IFERROR(((VLOOKUP(Calculations[[#This Row],[TransportSource]],TransportDistance[],2,FALSE)*'Stage assumptions'!$C$11)+VLOOKUP(Calculations[[#This Row],[TransportSource]],TransportDistance[],3,FALSE)*'Stage assumptions'!$C$12)*Calculations[[#This Row],[Total Kg]],0)</f>
        <v>0</v>
      </c>
      <c r="K38">
        <f>IFERROR(VLOOKUP(Calculations[[#This Row],[Material (choose from dropdown]], MaterialData[#All],3, FALSE),0)</f>
        <v>0</v>
      </c>
      <c r="L38" s="322">
        <f>IFERROR(VLOOKUP(Calculations[[#This Row],[A5type]],A5WastageRate[#All],2,FALSE)*Calculations[[#This Row],[A1-3]],0)</f>
        <v>0</v>
      </c>
      <c r="N38">
        <f>IFERROR(ROUNDUP(50/VLOOKUP(Calculations[[#This Row],[Scope Element]],B4referenceServiceLife[[Tier 2 element]:[Default Service Life]],2, FALSE)-1,0),0)</f>
        <v>0</v>
      </c>
      <c r="O38" s="322">
        <f>IFERROR((Calculations[[#This Row],[A1-3]]+Calculations[[#This Row],[A4]]+Calculations[[#This Row],[A5]]+Calculations[[#This Row],[C2 total]]+Calculations[[#This Row],[C3 total]]+Calculations[[#This Row],[C4 total]])*Calculations[[#This Row],[Replacements]],0)</f>
        <v>0</v>
      </c>
      <c r="S38" t="str">
        <f>IFERROR(VLOOKUP(Calculations[[#This Row],[Material (choose from dropdown]],MaterialData[#All],4,FALSE),"")</f>
        <v/>
      </c>
      <c r="T38" s="322" cm="1">
        <f t="array" ref="T38">IFERROR(VLOOKUP(Calculations[[#This Row],[Waste 1]],WasteScenario[#All],2,FALSE)*'Stage assumptions'!$C$225*WasteTransportMethod[Emissions Factor
kgCO2e/kg.km]*Calculations[[#This Row],[Total Kg]],0)</f>
        <v>0</v>
      </c>
      <c r="U38" s="322" cm="1">
        <f t="array" ref="U38">IFERROR(VLOOKUP(Calculations[[#This Row],[Waste 1]],WasteScenario[#All],3,FALSE)*'Stage assumptions'!$C$224*WasteTransportMethod[Emissions Factor
kgCO2e/kg.km]*Calculations[[#This Row],[Total Kg]],0)</f>
        <v>0</v>
      </c>
      <c r="V38" s="322" cm="1">
        <f t="array" ref="V38">IFERROR(VLOOKUP(Calculations[[#This Row],[Waste 1]],WasteScenario[#All],4,FALSE)*'Stage assumptions'!$C$223*WasteTransportMethod[Emissions Factor
kgCO2e/kg.km]*Calculations[[#This Row],[Total Kg]],0)</f>
        <v>0</v>
      </c>
      <c r="W38" s="322" cm="1">
        <f t="array" ref="W38">IFERROR(VLOOKUP(Calculations[[#This Row],[Waste 1]],WasteScenario[#All],5,FALSE)*'Stage assumptions'!$C$226*WasteTransportMethod[Emissions Factor
kgCO2e/kg.km]*Calculations[[#This Row],[Total Kg]],0)</f>
        <v>0</v>
      </c>
      <c r="X38" s="322">
        <f>SUM(Calculations[[#This Row],[C2 Recycle]:[C2 Reuse]])</f>
        <v>0</v>
      </c>
      <c r="Y38" t="str">
        <f>IFERROR(VLOOKUP(Calculations[[#This Row],[Material (choose from dropdown]],MaterialData[#All],5,FALSE),"")</f>
        <v/>
      </c>
      <c r="Z38" s="322">
        <f>IFERROR(((VLOOKUP(Calculations[[#This Row],[Waste type 2]],WasteDisposalEmissions[#All],2,FALSE))*Calculations[[#This Row],[Total Kg]])*VLOOKUP(Calculations[[#This Row],[Waste 1]],WasteScenario[#All],2,FALSE),0)</f>
        <v>0</v>
      </c>
      <c r="AA38" s="322">
        <f>IFERROR((VLOOKUP(Calculations[[#This Row],[Waste type 2]],WasteDisposalEmissions[#All],3,FALSE))*Calculations[[#This Row],[Total Kg]]*VLOOKUP(Calculations[[#This Row],[Waste 1]],WasteScenario[#All],3,FALSE),0)</f>
        <v>0</v>
      </c>
      <c r="AB38" s="322">
        <f>SUM(Calculations[[#This Row],[C3 recyc]:[C3 incin]])</f>
        <v>0</v>
      </c>
      <c r="AC38" s="322">
        <f>IFERROR((VLOOKUP(Calculations[[#This Row],[Waste type 2]],WasteLandfillEmissions[#All],2,FALSE))*Calculations[[#This Row],[Total Kg]]*VLOOKUP(Calculations[[#This Row],[Waste 1]],WasteScenario[#All],4,FALSE),0)</f>
        <v>0</v>
      </c>
      <c r="AD38" s="322">
        <f>IFERROR((VLOOKUP(Calculations[[#This Row],[Waste type 2]],WasteLandfillEmissions[#All],3,FALSE))*Calculations[[#This Row],[Total Kg]]*VLOOKUP(Calculations[[#This Row],[Waste 1]],WasteScenario[#All],4,FALSE),0)</f>
        <v>0</v>
      </c>
      <c r="AE38" s="322">
        <f>SUM(Calculations[[#This Row],[C4 landfill]:[C4 re-use]])</f>
        <v>0</v>
      </c>
      <c r="AF38" s="322">
        <f>IFERROR(VLOOKUP(Calculations[[#This Row],[Material (choose from dropdown]],MaterialData[#All],8,FALSE),0)</f>
        <v>0</v>
      </c>
      <c r="AG38" s="322">
        <f>IFERROR(Calculations[[#This Row],[Total Kg]]*Calculations[[#This Row],[Seq factor]],0)</f>
        <v>0</v>
      </c>
      <c r="AI38" s="322">
        <f>Calculations[[#This Row],[A1-3]]+Calculations[[#This Row],[A4]]+Calculations[[#This Row],[A5]]+Calculations[[#This Row],[B4]]+Calculations[[#This Row],[C2 total]]+Calculations[[#This Row],[C3 total]]+Calculations[[#This Row],[C4 total]]</f>
        <v>0</v>
      </c>
      <c r="AJ38" s="2">
        <f>IFERROR(VLOOKUP(Calculations[[#This Row],[Material (choose from dropdown]],MaterialData[[#Headers],[#Data]],9,FALSE),0)</f>
        <v>0</v>
      </c>
      <c r="AK38" s="4">
        <f>IFERROR(VLOOKUP(Calculations[[#This Row],[Material (choose from dropdown]],MaterialData[[#Headers],[#Data]],10,FALSE),0)</f>
        <v>0</v>
      </c>
      <c r="AL38" s="322">
        <f>IFERROR(Calculations[[#This Row],[Data Quality Score]]*Calculations[[#This Row],[Total Kg]],0)</f>
        <v>0</v>
      </c>
    </row>
    <row r="39" spans="1:38" x14ac:dyDescent="0.3">
      <c r="A39" s="6">
        <f>IFERROR(MaterialsBoQ[[#This Row],[Scope Element]],0)</f>
        <v>0</v>
      </c>
      <c r="B39">
        <f>IFERROR(MaterialsBoQ[[#This Row],[Material ]],"")</f>
        <v>0</v>
      </c>
      <c r="C39">
        <f>IFERROR(MaterialsBoQ[[#This Row],[Unit]],"")</f>
        <v>0</v>
      </c>
      <c r="D39" s="322">
        <f>IFERROR(MaterialsBoQ[[#This Row],[Number]],0)</f>
        <v>0</v>
      </c>
      <c r="E39" s="322">
        <f>IFERROR(MaterialsBoQ[[#This Row],[Kg per unit]],0)</f>
        <v>0</v>
      </c>
      <c r="F39" s="322">
        <f>IFERROR(Calculations[[#This Row],[Number]]*Calculations[[#This Row],[Conversion factor]],0)</f>
        <v>0</v>
      </c>
      <c r="G39" s="322">
        <f>IFERROR(VLOOKUP(Calculations[[#This Row],[Material (choose from dropdown]],MaterialData[#All],7,FALSE),0)</f>
        <v>0</v>
      </c>
      <c r="H39" s="322">
        <f>Calculations[[#This Row],[Total Kg]]*Calculations[[#This Row],[Carbon Factor]]</f>
        <v>0</v>
      </c>
      <c r="I39" t="str">
        <f>IFERROR(VLOOKUP(Calculations[[#This Row],[Material (choose from dropdown]],MaterialData[#All],2,FALSE),"")</f>
        <v/>
      </c>
      <c r="J39" s="322">
        <f>IFERROR(((VLOOKUP(Calculations[[#This Row],[TransportSource]],TransportDistance[],2,FALSE)*'Stage assumptions'!$C$11)+VLOOKUP(Calculations[[#This Row],[TransportSource]],TransportDistance[],3,FALSE)*'Stage assumptions'!$C$12)*Calculations[[#This Row],[Total Kg]],0)</f>
        <v>0</v>
      </c>
      <c r="K39">
        <f>IFERROR(VLOOKUP(Calculations[[#This Row],[Material (choose from dropdown]], MaterialData[#All],3, FALSE),0)</f>
        <v>0</v>
      </c>
      <c r="L39" s="322">
        <f>IFERROR(VLOOKUP(Calculations[[#This Row],[A5type]],A5WastageRate[#All],2,FALSE)*Calculations[[#This Row],[A1-3]],0)</f>
        <v>0</v>
      </c>
      <c r="N39">
        <f>IFERROR(ROUNDUP(50/VLOOKUP(Calculations[[#This Row],[Scope Element]],B4referenceServiceLife[[Tier 2 element]:[Default Service Life]],2, FALSE)-1,0),0)</f>
        <v>0</v>
      </c>
      <c r="O39" s="322">
        <f>IFERROR((Calculations[[#This Row],[A1-3]]+Calculations[[#This Row],[A4]]+Calculations[[#This Row],[A5]]+Calculations[[#This Row],[C2 total]]+Calculations[[#This Row],[C3 total]]+Calculations[[#This Row],[C4 total]])*Calculations[[#This Row],[Replacements]],0)</f>
        <v>0</v>
      </c>
      <c r="S39" t="str">
        <f>IFERROR(VLOOKUP(Calculations[[#This Row],[Material (choose from dropdown]],MaterialData[#All],4,FALSE),"")</f>
        <v/>
      </c>
      <c r="T39" s="322" cm="1">
        <f t="array" ref="T39">IFERROR(VLOOKUP(Calculations[[#This Row],[Waste 1]],WasteScenario[#All],2,FALSE)*'Stage assumptions'!$C$225*WasteTransportMethod[Emissions Factor
kgCO2e/kg.km]*Calculations[[#This Row],[Total Kg]],0)</f>
        <v>0</v>
      </c>
      <c r="U39" s="322" cm="1">
        <f t="array" ref="U39">IFERROR(VLOOKUP(Calculations[[#This Row],[Waste 1]],WasteScenario[#All],3,FALSE)*'Stage assumptions'!$C$224*WasteTransportMethod[Emissions Factor
kgCO2e/kg.km]*Calculations[[#This Row],[Total Kg]],0)</f>
        <v>0</v>
      </c>
      <c r="V39" s="322" cm="1">
        <f t="array" ref="V39">IFERROR(VLOOKUP(Calculations[[#This Row],[Waste 1]],WasteScenario[#All],4,FALSE)*'Stage assumptions'!$C$223*WasteTransportMethod[Emissions Factor
kgCO2e/kg.km]*Calculations[[#This Row],[Total Kg]],0)</f>
        <v>0</v>
      </c>
      <c r="W39" s="322" cm="1">
        <f t="array" ref="W39">IFERROR(VLOOKUP(Calculations[[#This Row],[Waste 1]],WasteScenario[#All],5,FALSE)*'Stage assumptions'!$C$226*WasteTransportMethod[Emissions Factor
kgCO2e/kg.km]*Calculations[[#This Row],[Total Kg]],0)</f>
        <v>0</v>
      </c>
      <c r="X39" s="322">
        <f>SUM(Calculations[[#This Row],[C2 Recycle]:[C2 Reuse]])</f>
        <v>0</v>
      </c>
      <c r="Y39" t="str">
        <f>IFERROR(VLOOKUP(Calculations[[#This Row],[Material (choose from dropdown]],MaterialData[#All],5,FALSE),"")</f>
        <v/>
      </c>
      <c r="Z39" s="322">
        <f>IFERROR(((VLOOKUP(Calculations[[#This Row],[Waste type 2]],WasteDisposalEmissions[#All],2,FALSE))*Calculations[[#This Row],[Total Kg]])*VLOOKUP(Calculations[[#This Row],[Waste 1]],WasteScenario[#All],2,FALSE),0)</f>
        <v>0</v>
      </c>
      <c r="AA39" s="322">
        <f>IFERROR((VLOOKUP(Calculations[[#This Row],[Waste type 2]],WasteDisposalEmissions[#All],3,FALSE))*Calculations[[#This Row],[Total Kg]]*VLOOKUP(Calculations[[#This Row],[Waste 1]],WasteScenario[#All],3,FALSE),0)</f>
        <v>0</v>
      </c>
      <c r="AB39" s="322">
        <f>SUM(Calculations[[#This Row],[C3 recyc]:[C3 incin]])</f>
        <v>0</v>
      </c>
      <c r="AC39" s="322">
        <f>IFERROR((VLOOKUP(Calculations[[#This Row],[Waste type 2]],WasteLandfillEmissions[#All],2,FALSE))*Calculations[[#This Row],[Total Kg]]*VLOOKUP(Calculations[[#This Row],[Waste 1]],WasteScenario[#All],4,FALSE),0)</f>
        <v>0</v>
      </c>
      <c r="AD39" s="322">
        <f>IFERROR((VLOOKUP(Calculations[[#This Row],[Waste type 2]],WasteLandfillEmissions[#All],3,FALSE))*Calculations[[#This Row],[Total Kg]]*VLOOKUP(Calculations[[#This Row],[Waste 1]],WasteScenario[#All],4,FALSE),0)</f>
        <v>0</v>
      </c>
      <c r="AE39" s="322">
        <f>SUM(Calculations[[#This Row],[C4 landfill]:[C4 re-use]])</f>
        <v>0</v>
      </c>
      <c r="AF39" s="322">
        <f>IFERROR(VLOOKUP(Calculations[[#This Row],[Material (choose from dropdown]],MaterialData[#All],8,FALSE),0)</f>
        <v>0</v>
      </c>
      <c r="AG39" s="322">
        <f>IFERROR(Calculations[[#This Row],[Total Kg]]*Calculations[[#This Row],[Seq factor]],0)</f>
        <v>0</v>
      </c>
      <c r="AI39" s="322">
        <f>Calculations[[#This Row],[A1-3]]+Calculations[[#This Row],[A4]]+Calculations[[#This Row],[A5]]+Calculations[[#This Row],[B4]]+Calculations[[#This Row],[C2 total]]+Calculations[[#This Row],[C3 total]]+Calculations[[#This Row],[C4 total]]</f>
        <v>0</v>
      </c>
      <c r="AJ39" s="2">
        <f>IFERROR(VLOOKUP(Calculations[[#This Row],[Material (choose from dropdown]],MaterialData[[#Headers],[#Data]],9,FALSE),0)</f>
        <v>0</v>
      </c>
      <c r="AK39" s="4">
        <f>IFERROR(VLOOKUP(Calculations[[#This Row],[Material (choose from dropdown]],MaterialData[[#Headers],[#Data]],10,FALSE),0)</f>
        <v>0</v>
      </c>
      <c r="AL39" s="322">
        <f>IFERROR(Calculations[[#This Row],[Data Quality Score]]*Calculations[[#This Row],[Total Kg]],0)</f>
        <v>0</v>
      </c>
    </row>
    <row r="40" spans="1:38" x14ac:dyDescent="0.3">
      <c r="A40" s="6">
        <f>IFERROR(MaterialsBoQ[[#This Row],[Scope Element]],0)</f>
        <v>0</v>
      </c>
      <c r="B40">
        <f>IFERROR(MaterialsBoQ[[#This Row],[Material ]],"")</f>
        <v>0</v>
      </c>
      <c r="C40">
        <f>IFERROR(MaterialsBoQ[[#This Row],[Unit]],"")</f>
        <v>0</v>
      </c>
      <c r="D40" s="322">
        <f>IFERROR(MaterialsBoQ[[#This Row],[Number]],0)</f>
        <v>0</v>
      </c>
      <c r="E40" s="322">
        <f>IFERROR(MaterialsBoQ[[#This Row],[Kg per unit]],0)</f>
        <v>0</v>
      </c>
      <c r="F40" s="322">
        <f>IFERROR(Calculations[[#This Row],[Number]]*Calculations[[#This Row],[Conversion factor]],0)</f>
        <v>0</v>
      </c>
      <c r="G40" s="322">
        <f>IFERROR(VLOOKUP(Calculations[[#This Row],[Material (choose from dropdown]],MaterialData[#All],7,FALSE),0)</f>
        <v>0</v>
      </c>
      <c r="H40" s="322">
        <f>Calculations[[#This Row],[Total Kg]]*Calculations[[#This Row],[Carbon Factor]]</f>
        <v>0</v>
      </c>
      <c r="I40" t="str">
        <f>IFERROR(VLOOKUP(Calculations[[#This Row],[Material (choose from dropdown]],MaterialData[#All],2,FALSE),"")</f>
        <v/>
      </c>
      <c r="J40" s="322">
        <f>IFERROR(((VLOOKUP(Calculations[[#This Row],[TransportSource]],TransportDistance[],2,FALSE)*'Stage assumptions'!$C$11)+VLOOKUP(Calculations[[#This Row],[TransportSource]],TransportDistance[],3,FALSE)*'Stage assumptions'!$C$12)*Calculations[[#This Row],[Total Kg]],0)</f>
        <v>0</v>
      </c>
      <c r="K40">
        <f>IFERROR(VLOOKUP(Calculations[[#This Row],[Material (choose from dropdown]], MaterialData[#All],3, FALSE),0)</f>
        <v>0</v>
      </c>
      <c r="L40" s="322">
        <f>IFERROR(VLOOKUP(Calculations[[#This Row],[A5type]],A5WastageRate[#All],2,FALSE)*Calculations[[#This Row],[A1-3]],0)</f>
        <v>0</v>
      </c>
      <c r="N40">
        <f>IFERROR(ROUNDUP(50/VLOOKUP(Calculations[[#This Row],[Scope Element]],B4referenceServiceLife[[Tier 2 element]:[Default Service Life]],2, FALSE)-1,0),0)</f>
        <v>0</v>
      </c>
      <c r="O40" s="322">
        <f>IFERROR((Calculations[[#This Row],[A1-3]]+Calculations[[#This Row],[A4]]+Calculations[[#This Row],[A5]]+Calculations[[#This Row],[C2 total]]+Calculations[[#This Row],[C3 total]]+Calculations[[#This Row],[C4 total]])*Calculations[[#This Row],[Replacements]],0)</f>
        <v>0</v>
      </c>
      <c r="S40" t="str">
        <f>IFERROR(VLOOKUP(Calculations[[#This Row],[Material (choose from dropdown]],MaterialData[#All],4,FALSE),"")</f>
        <v/>
      </c>
      <c r="T40" s="322" cm="1">
        <f t="array" ref="T40">IFERROR(VLOOKUP(Calculations[[#This Row],[Waste 1]],WasteScenario[#All],2,FALSE)*'Stage assumptions'!$C$225*WasteTransportMethod[Emissions Factor
kgCO2e/kg.km]*Calculations[[#This Row],[Total Kg]],0)</f>
        <v>0</v>
      </c>
      <c r="U40" s="322" cm="1">
        <f t="array" ref="U40">IFERROR(VLOOKUP(Calculations[[#This Row],[Waste 1]],WasteScenario[#All],3,FALSE)*'Stage assumptions'!$C$224*WasteTransportMethod[Emissions Factor
kgCO2e/kg.km]*Calculations[[#This Row],[Total Kg]],0)</f>
        <v>0</v>
      </c>
      <c r="V40" s="322" cm="1">
        <f t="array" ref="V40">IFERROR(VLOOKUP(Calculations[[#This Row],[Waste 1]],WasteScenario[#All],4,FALSE)*'Stage assumptions'!$C$223*WasteTransportMethod[Emissions Factor
kgCO2e/kg.km]*Calculations[[#This Row],[Total Kg]],0)</f>
        <v>0</v>
      </c>
      <c r="W40" s="322" cm="1">
        <f t="array" ref="W40">IFERROR(VLOOKUP(Calculations[[#This Row],[Waste 1]],WasteScenario[#All],5,FALSE)*'Stage assumptions'!$C$226*WasteTransportMethod[Emissions Factor
kgCO2e/kg.km]*Calculations[[#This Row],[Total Kg]],0)</f>
        <v>0</v>
      </c>
      <c r="X40" s="322">
        <f>SUM(Calculations[[#This Row],[C2 Recycle]:[C2 Reuse]])</f>
        <v>0</v>
      </c>
      <c r="Y40" t="str">
        <f>IFERROR(VLOOKUP(Calculations[[#This Row],[Material (choose from dropdown]],MaterialData[#All],5,FALSE),"")</f>
        <v/>
      </c>
      <c r="Z40" s="322">
        <f>IFERROR(((VLOOKUP(Calculations[[#This Row],[Waste type 2]],WasteDisposalEmissions[#All],2,FALSE))*Calculations[[#This Row],[Total Kg]])*VLOOKUP(Calculations[[#This Row],[Waste 1]],WasteScenario[#All],2,FALSE),0)</f>
        <v>0</v>
      </c>
      <c r="AA40" s="322">
        <f>IFERROR((VLOOKUP(Calculations[[#This Row],[Waste type 2]],WasteDisposalEmissions[#All],3,FALSE))*Calculations[[#This Row],[Total Kg]]*VLOOKUP(Calculations[[#This Row],[Waste 1]],WasteScenario[#All],3,FALSE),0)</f>
        <v>0</v>
      </c>
      <c r="AB40" s="322">
        <f>SUM(Calculations[[#This Row],[C3 recyc]:[C3 incin]])</f>
        <v>0</v>
      </c>
      <c r="AC40" s="322">
        <f>IFERROR((VLOOKUP(Calculations[[#This Row],[Waste type 2]],WasteLandfillEmissions[#All],2,FALSE))*Calculations[[#This Row],[Total Kg]]*VLOOKUP(Calculations[[#This Row],[Waste 1]],WasteScenario[#All],4,FALSE),0)</f>
        <v>0</v>
      </c>
      <c r="AD40" s="322">
        <f>IFERROR((VLOOKUP(Calculations[[#This Row],[Waste type 2]],WasteLandfillEmissions[#All],3,FALSE))*Calculations[[#This Row],[Total Kg]]*VLOOKUP(Calculations[[#This Row],[Waste 1]],WasteScenario[#All],4,FALSE),0)</f>
        <v>0</v>
      </c>
      <c r="AE40" s="322">
        <f>SUM(Calculations[[#This Row],[C4 landfill]:[C4 re-use]])</f>
        <v>0</v>
      </c>
      <c r="AF40" s="322">
        <f>IFERROR(VLOOKUP(Calculations[[#This Row],[Material (choose from dropdown]],MaterialData[#All],8,FALSE),0)</f>
        <v>0</v>
      </c>
      <c r="AG40" s="322">
        <f>IFERROR(Calculations[[#This Row],[Total Kg]]*Calculations[[#This Row],[Seq factor]],0)</f>
        <v>0</v>
      </c>
      <c r="AI40" s="322">
        <f>Calculations[[#This Row],[A1-3]]+Calculations[[#This Row],[A4]]+Calculations[[#This Row],[A5]]+Calculations[[#This Row],[B4]]+Calculations[[#This Row],[C2 total]]+Calculations[[#This Row],[C3 total]]+Calculations[[#This Row],[C4 total]]</f>
        <v>0</v>
      </c>
      <c r="AJ40" s="2">
        <f>IFERROR(VLOOKUP(Calculations[[#This Row],[Material (choose from dropdown]],MaterialData[[#Headers],[#Data]],9,FALSE),0)</f>
        <v>0</v>
      </c>
      <c r="AK40" s="4">
        <f>IFERROR(VLOOKUP(Calculations[[#This Row],[Material (choose from dropdown]],MaterialData[[#Headers],[#Data]],10,FALSE),0)</f>
        <v>0</v>
      </c>
      <c r="AL40" s="322">
        <f>IFERROR(Calculations[[#This Row],[Data Quality Score]]*Calculations[[#This Row],[Total Kg]],0)</f>
        <v>0</v>
      </c>
    </row>
    <row r="41" spans="1:38" x14ac:dyDescent="0.3">
      <c r="A41" s="6">
        <f>IFERROR(MaterialsBoQ[[#This Row],[Scope Element]],0)</f>
        <v>0</v>
      </c>
      <c r="B41">
        <f>IFERROR(MaterialsBoQ[[#This Row],[Material ]],"")</f>
        <v>0</v>
      </c>
      <c r="C41">
        <f>IFERROR(MaterialsBoQ[[#This Row],[Unit]],"")</f>
        <v>0</v>
      </c>
      <c r="D41" s="322">
        <f>IFERROR(MaterialsBoQ[[#This Row],[Number]],0)</f>
        <v>0</v>
      </c>
      <c r="E41" s="322">
        <f>IFERROR(MaterialsBoQ[[#This Row],[Kg per unit]],0)</f>
        <v>0</v>
      </c>
      <c r="F41" s="322">
        <f>IFERROR(Calculations[[#This Row],[Number]]*Calculations[[#This Row],[Conversion factor]],0)</f>
        <v>0</v>
      </c>
      <c r="G41" s="322">
        <f>IFERROR(VLOOKUP(Calculations[[#This Row],[Material (choose from dropdown]],MaterialData[#All],7,FALSE),0)</f>
        <v>0</v>
      </c>
      <c r="H41" s="322">
        <f>Calculations[[#This Row],[Total Kg]]*Calculations[[#This Row],[Carbon Factor]]</f>
        <v>0</v>
      </c>
      <c r="I41" t="str">
        <f>IFERROR(VLOOKUP(Calculations[[#This Row],[Material (choose from dropdown]],MaterialData[#All],2,FALSE),"")</f>
        <v/>
      </c>
      <c r="J41" s="322">
        <f>IFERROR(((VLOOKUP(Calculations[[#This Row],[TransportSource]],TransportDistance[],2,FALSE)*'Stage assumptions'!$C$11)+VLOOKUP(Calculations[[#This Row],[TransportSource]],TransportDistance[],3,FALSE)*'Stage assumptions'!$C$12)*Calculations[[#This Row],[Total Kg]],0)</f>
        <v>0</v>
      </c>
      <c r="K41">
        <f>IFERROR(VLOOKUP(Calculations[[#This Row],[Material (choose from dropdown]], MaterialData[#All],3, FALSE),0)</f>
        <v>0</v>
      </c>
      <c r="L41" s="322">
        <f>IFERROR(VLOOKUP(Calculations[[#This Row],[A5type]],A5WastageRate[#All],2,FALSE)*Calculations[[#This Row],[A1-3]],0)</f>
        <v>0</v>
      </c>
      <c r="N41">
        <f>IFERROR(ROUNDUP(50/VLOOKUP(Calculations[[#This Row],[Scope Element]],B4referenceServiceLife[[Tier 2 element]:[Default Service Life]],2, FALSE)-1,0),0)</f>
        <v>0</v>
      </c>
      <c r="O41" s="322">
        <f>IFERROR((Calculations[[#This Row],[A1-3]]+Calculations[[#This Row],[A4]]+Calculations[[#This Row],[A5]]+Calculations[[#This Row],[C2 total]]+Calculations[[#This Row],[C3 total]]+Calculations[[#This Row],[C4 total]])*Calculations[[#This Row],[Replacements]],0)</f>
        <v>0</v>
      </c>
      <c r="S41" t="str">
        <f>IFERROR(VLOOKUP(Calculations[[#This Row],[Material (choose from dropdown]],MaterialData[#All],4,FALSE),"")</f>
        <v/>
      </c>
      <c r="T41" s="322" cm="1">
        <f t="array" ref="T41">IFERROR(VLOOKUP(Calculations[[#This Row],[Waste 1]],WasteScenario[#All],2,FALSE)*'Stage assumptions'!$C$225*WasteTransportMethod[Emissions Factor
kgCO2e/kg.km]*Calculations[[#This Row],[Total Kg]],0)</f>
        <v>0</v>
      </c>
      <c r="U41" s="322" cm="1">
        <f t="array" ref="U41">IFERROR(VLOOKUP(Calculations[[#This Row],[Waste 1]],WasteScenario[#All],3,FALSE)*'Stage assumptions'!$C$224*WasteTransportMethod[Emissions Factor
kgCO2e/kg.km]*Calculations[[#This Row],[Total Kg]],0)</f>
        <v>0</v>
      </c>
      <c r="V41" s="322" cm="1">
        <f t="array" ref="V41">IFERROR(VLOOKUP(Calculations[[#This Row],[Waste 1]],WasteScenario[#All],4,FALSE)*'Stage assumptions'!$C$223*WasteTransportMethod[Emissions Factor
kgCO2e/kg.km]*Calculations[[#This Row],[Total Kg]],0)</f>
        <v>0</v>
      </c>
      <c r="W41" s="322" cm="1">
        <f t="array" ref="W41">IFERROR(VLOOKUP(Calculations[[#This Row],[Waste 1]],WasteScenario[#All],5,FALSE)*'Stage assumptions'!$C$226*WasteTransportMethod[Emissions Factor
kgCO2e/kg.km]*Calculations[[#This Row],[Total Kg]],0)</f>
        <v>0</v>
      </c>
      <c r="X41" s="322">
        <f>SUM(Calculations[[#This Row],[C2 Recycle]:[C2 Reuse]])</f>
        <v>0</v>
      </c>
      <c r="Y41" t="str">
        <f>IFERROR(VLOOKUP(Calculations[[#This Row],[Material (choose from dropdown]],MaterialData[#All],5,FALSE),"")</f>
        <v/>
      </c>
      <c r="Z41" s="322">
        <f>IFERROR(((VLOOKUP(Calculations[[#This Row],[Waste type 2]],WasteDisposalEmissions[#All],2,FALSE))*Calculations[[#This Row],[Total Kg]])*VLOOKUP(Calculations[[#This Row],[Waste 1]],WasteScenario[#All],2,FALSE),0)</f>
        <v>0</v>
      </c>
      <c r="AA41" s="322">
        <f>IFERROR((VLOOKUP(Calculations[[#This Row],[Waste type 2]],WasteDisposalEmissions[#All],3,FALSE))*Calculations[[#This Row],[Total Kg]]*VLOOKUP(Calculations[[#This Row],[Waste 1]],WasteScenario[#All],3,FALSE),0)</f>
        <v>0</v>
      </c>
      <c r="AB41" s="322">
        <f>SUM(Calculations[[#This Row],[C3 recyc]:[C3 incin]])</f>
        <v>0</v>
      </c>
      <c r="AC41" s="322">
        <f>IFERROR((VLOOKUP(Calculations[[#This Row],[Waste type 2]],WasteLandfillEmissions[#All],2,FALSE))*Calculations[[#This Row],[Total Kg]]*VLOOKUP(Calculations[[#This Row],[Waste 1]],WasteScenario[#All],4,FALSE),0)</f>
        <v>0</v>
      </c>
      <c r="AD41" s="322">
        <f>IFERROR((VLOOKUP(Calculations[[#This Row],[Waste type 2]],WasteLandfillEmissions[#All],3,FALSE))*Calculations[[#This Row],[Total Kg]]*VLOOKUP(Calculations[[#This Row],[Waste 1]],WasteScenario[#All],4,FALSE),0)</f>
        <v>0</v>
      </c>
      <c r="AE41" s="322">
        <f>SUM(Calculations[[#This Row],[C4 landfill]:[C4 re-use]])</f>
        <v>0</v>
      </c>
      <c r="AF41" s="322">
        <f>IFERROR(VLOOKUP(Calculations[[#This Row],[Material (choose from dropdown]],MaterialData[#All],8,FALSE),0)</f>
        <v>0</v>
      </c>
      <c r="AG41" s="322">
        <f>IFERROR(Calculations[[#This Row],[Total Kg]]*Calculations[[#This Row],[Seq factor]],0)</f>
        <v>0</v>
      </c>
      <c r="AI41" s="322">
        <f>Calculations[[#This Row],[A1-3]]+Calculations[[#This Row],[A4]]+Calculations[[#This Row],[A5]]+Calculations[[#This Row],[B4]]+Calculations[[#This Row],[C2 total]]+Calculations[[#This Row],[C3 total]]+Calculations[[#This Row],[C4 total]]</f>
        <v>0</v>
      </c>
      <c r="AJ41" s="2">
        <f>IFERROR(VLOOKUP(Calculations[[#This Row],[Material (choose from dropdown]],MaterialData[[#Headers],[#Data]],9,FALSE),0)</f>
        <v>0</v>
      </c>
      <c r="AK41" s="4">
        <f>IFERROR(VLOOKUP(Calculations[[#This Row],[Material (choose from dropdown]],MaterialData[[#Headers],[#Data]],10,FALSE),0)</f>
        <v>0</v>
      </c>
      <c r="AL41" s="322">
        <f>IFERROR(Calculations[[#This Row],[Data Quality Score]]*Calculations[[#This Row],[Total Kg]],0)</f>
        <v>0</v>
      </c>
    </row>
    <row r="42" spans="1:38" x14ac:dyDescent="0.3">
      <c r="A42" s="6">
        <f>IFERROR(MaterialsBoQ[[#This Row],[Scope Element]],0)</f>
        <v>0</v>
      </c>
      <c r="B42">
        <f>IFERROR(MaterialsBoQ[[#This Row],[Material ]],"")</f>
        <v>0</v>
      </c>
      <c r="C42">
        <f>IFERROR(MaterialsBoQ[[#This Row],[Unit]],"")</f>
        <v>0</v>
      </c>
      <c r="D42" s="322">
        <f>IFERROR(MaterialsBoQ[[#This Row],[Number]],0)</f>
        <v>0</v>
      </c>
      <c r="E42" s="322">
        <f>IFERROR(MaterialsBoQ[[#This Row],[Kg per unit]],0)</f>
        <v>0</v>
      </c>
      <c r="F42" s="322">
        <f>IFERROR(Calculations[[#This Row],[Number]]*Calculations[[#This Row],[Conversion factor]],0)</f>
        <v>0</v>
      </c>
      <c r="G42" s="322">
        <f>IFERROR(VLOOKUP(Calculations[[#This Row],[Material (choose from dropdown]],MaterialData[#All],7,FALSE),0)</f>
        <v>0</v>
      </c>
      <c r="H42" s="322">
        <f>Calculations[[#This Row],[Total Kg]]*Calculations[[#This Row],[Carbon Factor]]</f>
        <v>0</v>
      </c>
      <c r="I42" t="str">
        <f>IFERROR(VLOOKUP(Calculations[[#This Row],[Material (choose from dropdown]],MaterialData[#All],2,FALSE),"")</f>
        <v/>
      </c>
      <c r="J42" s="322">
        <f>IFERROR(((VLOOKUP(Calculations[[#This Row],[TransportSource]],TransportDistance[],2,FALSE)*'Stage assumptions'!$C$11)+VLOOKUP(Calculations[[#This Row],[TransportSource]],TransportDistance[],3,FALSE)*'Stage assumptions'!$C$12)*Calculations[[#This Row],[Total Kg]],0)</f>
        <v>0</v>
      </c>
      <c r="K42">
        <f>IFERROR(VLOOKUP(Calculations[[#This Row],[Material (choose from dropdown]], MaterialData[#All],3, FALSE),0)</f>
        <v>0</v>
      </c>
      <c r="L42" s="322">
        <f>IFERROR(VLOOKUP(Calculations[[#This Row],[A5type]],A5WastageRate[#All],2,FALSE)*Calculations[[#This Row],[A1-3]],0)</f>
        <v>0</v>
      </c>
      <c r="N42">
        <f>IFERROR(ROUNDUP(50/VLOOKUP(Calculations[[#This Row],[Scope Element]],B4referenceServiceLife[[Tier 2 element]:[Default Service Life]],2, FALSE)-1,0),0)</f>
        <v>0</v>
      </c>
      <c r="O42" s="322">
        <f>IFERROR((Calculations[[#This Row],[A1-3]]+Calculations[[#This Row],[A4]]+Calculations[[#This Row],[A5]]+Calculations[[#This Row],[C2 total]]+Calculations[[#This Row],[C3 total]]+Calculations[[#This Row],[C4 total]])*Calculations[[#This Row],[Replacements]],0)</f>
        <v>0</v>
      </c>
      <c r="S42" t="str">
        <f>IFERROR(VLOOKUP(Calculations[[#This Row],[Material (choose from dropdown]],MaterialData[#All],4,FALSE),"")</f>
        <v/>
      </c>
      <c r="T42" s="322" cm="1">
        <f t="array" ref="T42">IFERROR(VLOOKUP(Calculations[[#This Row],[Waste 1]],WasteScenario[#All],2,FALSE)*'Stage assumptions'!$C$225*WasteTransportMethod[Emissions Factor
kgCO2e/kg.km]*Calculations[[#This Row],[Total Kg]],0)</f>
        <v>0</v>
      </c>
      <c r="U42" s="322" cm="1">
        <f t="array" ref="U42">IFERROR(VLOOKUP(Calculations[[#This Row],[Waste 1]],WasteScenario[#All],3,FALSE)*'Stage assumptions'!$C$224*WasteTransportMethod[Emissions Factor
kgCO2e/kg.km]*Calculations[[#This Row],[Total Kg]],0)</f>
        <v>0</v>
      </c>
      <c r="V42" s="322" cm="1">
        <f t="array" ref="V42">IFERROR(VLOOKUP(Calculations[[#This Row],[Waste 1]],WasteScenario[#All],4,FALSE)*'Stage assumptions'!$C$223*WasteTransportMethod[Emissions Factor
kgCO2e/kg.km]*Calculations[[#This Row],[Total Kg]],0)</f>
        <v>0</v>
      </c>
      <c r="W42" s="322" cm="1">
        <f t="array" ref="W42">IFERROR(VLOOKUP(Calculations[[#This Row],[Waste 1]],WasteScenario[#All],5,FALSE)*'Stage assumptions'!$C$226*WasteTransportMethod[Emissions Factor
kgCO2e/kg.km]*Calculations[[#This Row],[Total Kg]],0)</f>
        <v>0</v>
      </c>
      <c r="X42" s="322">
        <f>SUM(Calculations[[#This Row],[C2 Recycle]:[C2 Reuse]])</f>
        <v>0</v>
      </c>
      <c r="Y42" t="str">
        <f>IFERROR(VLOOKUP(Calculations[[#This Row],[Material (choose from dropdown]],MaterialData[#All],5,FALSE),"")</f>
        <v/>
      </c>
      <c r="Z42" s="322">
        <f>IFERROR(((VLOOKUP(Calculations[[#This Row],[Waste type 2]],WasteDisposalEmissions[#All],2,FALSE))*Calculations[[#This Row],[Total Kg]])*VLOOKUP(Calculations[[#This Row],[Waste 1]],WasteScenario[#All],2,FALSE),0)</f>
        <v>0</v>
      </c>
      <c r="AA42" s="322">
        <f>IFERROR((VLOOKUP(Calculations[[#This Row],[Waste type 2]],WasteDisposalEmissions[#All],3,FALSE))*Calculations[[#This Row],[Total Kg]]*VLOOKUP(Calculations[[#This Row],[Waste 1]],WasteScenario[#All],3,FALSE),0)</f>
        <v>0</v>
      </c>
      <c r="AB42" s="322">
        <f>SUM(Calculations[[#This Row],[C3 recyc]:[C3 incin]])</f>
        <v>0</v>
      </c>
      <c r="AC42" s="322">
        <f>IFERROR((VLOOKUP(Calculations[[#This Row],[Waste type 2]],WasteLandfillEmissions[#All],2,FALSE))*Calculations[[#This Row],[Total Kg]]*VLOOKUP(Calculations[[#This Row],[Waste 1]],WasteScenario[#All],4,FALSE),0)</f>
        <v>0</v>
      </c>
      <c r="AD42" s="322">
        <f>IFERROR((VLOOKUP(Calculations[[#This Row],[Waste type 2]],WasteLandfillEmissions[#All],3,FALSE))*Calculations[[#This Row],[Total Kg]]*VLOOKUP(Calculations[[#This Row],[Waste 1]],WasteScenario[#All],4,FALSE),0)</f>
        <v>0</v>
      </c>
      <c r="AE42" s="322">
        <f>SUM(Calculations[[#This Row],[C4 landfill]:[C4 re-use]])</f>
        <v>0</v>
      </c>
      <c r="AF42" s="322">
        <f>IFERROR(VLOOKUP(Calculations[[#This Row],[Material (choose from dropdown]],MaterialData[#All],8,FALSE),0)</f>
        <v>0</v>
      </c>
      <c r="AG42" s="322">
        <f>IFERROR(Calculations[[#This Row],[Total Kg]]*Calculations[[#This Row],[Seq factor]],0)</f>
        <v>0</v>
      </c>
      <c r="AI42" s="322">
        <f>Calculations[[#This Row],[A1-3]]+Calculations[[#This Row],[A4]]+Calculations[[#This Row],[A5]]+Calculations[[#This Row],[B4]]+Calculations[[#This Row],[C2 total]]+Calculations[[#This Row],[C3 total]]+Calculations[[#This Row],[C4 total]]</f>
        <v>0</v>
      </c>
      <c r="AJ42" s="2">
        <f>IFERROR(VLOOKUP(Calculations[[#This Row],[Material (choose from dropdown]],MaterialData[[#Headers],[#Data]],9,FALSE),0)</f>
        <v>0</v>
      </c>
      <c r="AK42" s="4">
        <f>IFERROR(VLOOKUP(Calculations[[#This Row],[Material (choose from dropdown]],MaterialData[[#Headers],[#Data]],10,FALSE),0)</f>
        <v>0</v>
      </c>
      <c r="AL42" s="322">
        <f>IFERROR(Calculations[[#This Row],[Data Quality Score]]*Calculations[[#This Row],[Total Kg]],0)</f>
        <v>0</v>
      </c>
    </row>
    <row r="43" spans="1:38" x14ac:dyDescent="0.3">
      <c r="A43" s="6">
        <f>IFERROR(MaterialsBoQ[[#This Row],[Scope Element]],0)</f>
        <v>0</v>
      </c>
      <c r="B43">
        <f>IFERROR(MaterialsBoQ[[#This Row],[Material ]],"")</f>
        <v>0</v>
      </c>
      <c r="C43">
        <f>IFERROR(MaterialsBoQ[[#This Row],[Unit]],"")</f>
        <v>0</v>
      </c>
      <c r="D43" s="322">
        <f>IFERROR(MaterialsBoQ[[#This Row],[Number]],0)</f>
        <v>0</v>
      </c>
      <c r="E43" s="322">
        <f>IFERROR(MaterialsBoQ[[#This Row],[Kg per unit]],0)</f>
        <v>0</v>
      </c>
      <c r="F43" s="322">
        <f>IFERROR(Calculations[[#This Row],[Number]]*Calculations[[#This Row],[Conversion factor]],0)</f>
        <v>0</v>
      </c>
      <c r="G43" s="322">
        <f>IFERROR(VLOOKUP(Calculations[[#This Row],[Material (choose from dropdown]],MaterialData[#All],7,FALSE),0)</f>
        <v>0</v>
      </c>
      <c r="H43" s="322">
        <f>Calculations[[#This Row],[Total Kg]]*Calculations[[#This Row],[Carbon Factor]]</f>
        <v>0</v>
      </c>
      <c r="I43" t="str">
        <f>IFERROR(VLOOKUP(Calculations[[#This Row],[Material (choose from dropdown]],MaterialData[#All],2,FALSE),"")</f>
        <v/>
      </c>
      <c r="J43" s="322">
        <f>IFERROR(((VLOOKUP(Calculations[[#This Row],[TransportSource]],TransportDistance[],2,FALSE)*'Stage assumptions'!$C$11)+VLOOKUP(Calculations[[#This Row],[TransportSource]],TransportDistance[],3,FALSE)*'Stage assumptions'!$C$12)*Calculations[[#This Row],[Total Kg]],0)</f>
        <v>0</v>
      </c>
      <c r="K43">
        <f>IFERROR(VLOOKUP(Calculations[[#This Row],[Material (choose from dropdown]], MaterialData[#All],3, FALSE),0)</f>
        <v>0</v>
      </c>
      <c r="L43" s="322">
        <f>IFERROR(VLOOKUP(Calculations[[#This Row],[A5type]],A5WastageRate[#All],2,FALSE)*Calculations[[#This Row],[A1-3]],0)</f>
        <v>0</v>
      </c>
      <c r="N43">
        <f>IFERROR(ROUNDUP(50/VLOOKUP(Calculations[[#This Row],[Scope Element]],B4referenceServiceLife[[Tier 2 element]:[Default Service Life]],2, FALSE)-1,0),0)</f>
        <v>0</v>
      </c>
      <c r="O43" s="322">
        <f>IFERROR((Calculations[[#This Row],[A1-3]]+Calculations[[#This Row],[A4]]+Calculations[[#This Row],[A5]]+Calculations[[#This Row],[C2 total]]+Calculations[[#This Row],[C3 total]]+Calculations[[#This Row],[C4 total]])*Calculations[[#This Row],[Replacements]],0)</f>
        <v>0</v>
      </c>
      <c r="S43" t="str">
        <f>IFERROR(VLOOKUP(Calculations[[#This Row],[Material (choose from dropdown]],MaterialData[#All],4,FALSE),"")</f>
        <v/>
      </c>
      <c r="T43" s="322" cm="1">
        <f t="array" ref="T43">IFERROR(VLOOKUP(Calculations[[#This Row],[Waste 1]],WasteScenario[#All],2,FALSE)*'Stage assumptions'!$C$225*WasteTransportMethod[Emissions Factor
kgCO2e/kg.km]*Calculations[[#This Row],[Total Kg]],0)</f>
        <v>0</v>
      </c>
      <c r="U43" s="322" cm="1">
        <f t="array" ref="U43">IFERROR(VLOOKUP(Calculations[[#This Row],[Waste 1]],WasteScenario[#All],3,FALSE)*'Stage assumptions'!$C$224*WasteTransportMethod[Emissions Factor
kgCO2e/kg.km]*Calculations[[#This Row],[Total Kg]],0)</f>
        <v>0</v>
      </c>
      <c r="V43" s="322" cm="1">
        <f t="array" ref="V43">IFERROR(VLOOKUP(Calculations[[#This Row],[Waste 1]],WasteScenario[#All],4,FALSE)*'Stage assumptions'!$C$223*WasteTransportMethod[Emissions Factor
kgCO2e/kg.km]*Calculations[[#This Row],[Total Kg]],0)</f>
        <v>0</v>
      </c>
      <c r="W43" s="322" cm="1">
        <f t="array" ref="W43">IFERROR(VLOOKUP(Calculations[[#This Row],[Waste 1]],WasteScenario[#All],5,FALSE)*'Stage assumptions'!$C$226*WasteTransportMethod[Emissions Factor
kgCO2e/kg.km]*Calculations[[#This Row],[Total Kg]],0)</f>
        <v>0</v>
      </c>
      <c r="X43" s="322">
        <f>SUM(Calculations[[#This Row],[C2 Recycle]:[C2 Reuse]])</f>
        <v>0</v>
      </c>
      <c r="Y43" t="str">
        <f>IFERROR(VLOOKUP(Calculations[[#This Row],[Material (choose from dropdown]],MaterialData[#All],5,FALSE),"")</f>
        <v/>
      </c>
      <c r="Z43" s="322">
        <f>IFERROR(((VLOOKUP(Calculations[[#This Row],[Waste type 2]],WasteDisposalEmissions[#All],2,FALSE))*Calculations[[#This Row],[Total Kg]])*VLOOKUP(Calculations[[#This Row],[Waste 1]],WasteScenario[#All],2,FALSE),0)</f>
        <v>0</v>
      </c>
      <c r="AA43" s="322">
        <f>IFERROR((VLOOKUP(Calculations[[#This Row],[Waste type 2]],WasteDisposalEmissions[#All],3,FALSE))*Calculations[[#This Row],[Total Kg]]*VLOOKUP(Calculations[[#This Row],[Waste 1]],WasteScenario[#All],3,FALSE),0)</f>
        <v>0</v>
      </c>
      <c r="AB43" s="322">
        <f>SUM(Calculations[[#This Row],[C3 recyc]:[C3 incin]])</f>
        <v>0</v>
      </c>
      <c r="AC43" s="322">
        <f>IFERROR((VLOOKUP(Calculations[[#This Row],[Waste type 2]],WasteLandfillEmissions[#All],2,FALSE))*Calculations[[#This Row],[Total Kg]]*VLOOKUP(Calculations[[#This Row],[Waste 1]],WasteScenario[#All],4,FALSE),0)</f>
        <v>0</v>
      </c>
      <c r="AD43" s="322">
        <f>IFERROR((VLOOKUP(Calculations[[#This Row],[Waste type 2]],WasteLandfillEmissions[#All],3,FALSE))*Calculations[[#This Row],[Total Kg]]*VLOOKUP(Calculations[[#This Row],[Waste 1]],WasteScenario[#All],4,FALSE),0)</f>
        <v>0</v>
      </c>
      <c r="AE43" s="322">
        <f>SUM(Calculations[[#This Row],[C4 landfill]:[C4 re-use]])</f>
        <v>0</v>
      </c>
      <c r="AF43" s="322">
        <f>IFERROR(VLOOKUP(Calculations[[#This Row],[Material (choose from dropdown]],MaterialData[#All],8,FALSE),0)</f>
        <v>0</v>
      </c>
      <c r="AG43" s="322">
        <f>IFERROR(Calculations[[#This Row],[Total Kg]]*Calculations[[#This Row],[Seq factor]],0)</f>
        <v>0</v>
      </c>
      <c r="AI43" s="322">
        <f>Calculations[[#This Row],[A1-3]]+Calculations[[#This Row],[A4]]+Calculations[[#This Row],[A5]]+Calculations[[#This Row],[B4]]+Calculations[[#This Row],[C2 total]]+Calculations[[#This Row],[C3 total]]+Calculations[[#This Row],[C4 total]]</f>
        <v>0</v>
      </c>
      <c r="AJ43" s="2">
        <f>IFERROR(VLOOKUP(Calculations[[#This Row],[Material (choose from dropdown]],MaterialData[[#Headers],[#Data]],9,FALSE),0)</f>
        <v>0</v>
      </c>
      <c r="AK43" s="4">
        <f>IFERROR(VLOOKUP(Calculations[[#This Row],[Material (choose from dropdown]],MaterialData[[#Headers],[#Data]],10,FALSE),0)</f>
        <v>0</v>
      </c>
      <c r="AL43" s="322">
        <f>IFERROR(Calculations[[#This Row],[Data Quality Score]]*Calculations[[#This Row],[Total Kg]],0)</f>
        <v>0</v>
      </c>
    </row>
    <row r="44" spans="1:38" x14ac:dyDescent="0.3">
      <c r="A44" s="6">
        <f>IFERROR(MaterialsBoQ[[#This Row],[Scope Element]],0)</f>
        <v>0</v>
      </c>
      <c r="B44">
        <f>IFERROR(MaterialsBoQ[[#This Row],[Material ]],"")</f>
        <v>0</v>
      </c>
      <c r="C44">
        <f>IFERROR(MaterialsBoQ[[#This Row],[Unit]],"")</f>
        <v>0</v>
      </c>
      <c r="D44" s="322">
        <f>IFERROR(MaterialsBoQ[[#This Row],[Number]],0)</f>
        <v>0</v>
      </c>
      <c r="E44" s="322">
        <f>IFERROR(MaterialsBoQ[[#This Row],[Kg per unit]],0)</f>
        <v>0</v>
      </c>
      <c r="F44" s="322">
        <f>IFERROR(Calculations[[#This Row],[Number]]*Calculations[[#This Row],[Conversion factor]],0)</f>
        <v>0</v>
      </c>
      <c r="G44" s="322">
        <f>IFERROR(VLOOKUP(Calculations[[#This Row],[Material (choose from dropdown]],MaterialData[#All],7,FALSE),0)</f>
        <v>0</v>
      </c>
      <c r="H44" s="322">
        <f>Calculations[[#This Row],[Total Kg]]*Calculations[[#This Row],[Carbon Factor]]</f>
        <v>0</v>
      </c>
      <c r="I44" t="str">
        <f>IFERROR(VLOOKUP(Calculations[[#This Row],[Material (choose from dropdown]],MaterialData[#All],2,FALSE),"")</f>
        <v/>
      </c>
      <c r="J44" s="322">
        <f>IFERROR(((VLOOKUP(Calculations[[#This Row],[TransportSource]],TransportDistance[],2,FALSE)*'Stage assumptions'!$C$11)+VLOOKUP(Calculations[[#This Row],[TransportSource]],TransportDistance[],3,FALSE)*'Stage assumptions'!$C$12)*Calculations[[#This Row],[Total Kg]],0)</f>
        <v>0</v>
      </c>
      <c r="K44">
        <f>IFERROR(VLOOKUP(Calculations[[#This Row],[Material (choose from dropdown]], MaterialData[#All],3, FALSE),0)</f>
        <v>0</v>
      </c>
      <c r="L44" s="322">
        <f>IFERROR(VLOOKUP(Calculations[[#This Row],[A5type]],A5WastageRate[#All],2,FALSE)*Calculations[[#This Row],[A1-3]],0)</f>
        <v>0</v>
      </c>
      <c r="N44">
        <f>IFERROR(ROUNDUP(50/VLOOKUP(Calculations[[#This Row],[Scope Element]],B4referenceServiceLife[[Tier 2 element]:[Default Service Life]],2, FALSE)-1,0),0)</f>
        <v>0</v>
      </c>
      <c r="O44" s="322">
        <f>IFERROR((Calculations[[#This Row],[A1-3]]+Calculations[[#This Row],[A4]]+Calculations[[#This Row],[A5]]+Calculations[[#This Row],[C2 total]]+Calculations[[#This Row],[C3 total]]+Calculations[[#This Row],[C4 total]])*Calculations[[#This Row],[Replacements]],0)</f>
        <v>0</v>
      </c>
      <c r="S44" t="str">
        <f>IFERROR(VLOOKUP(Calculations[[#This Row],[Material (choose from dropdown]],MaterialData[#All],4,FALSE),"")</f>
        <v/>
      </c>
      <c r="T44" s="322" cm="1">
        <f t="array" ref="T44">IFERROR(VLOOKUP(Calculations[[#This Row],[Waste 1]],WasteScenario[#All],2,FALSE)*'Stage assumptions'!$C$225*WasteTransportMethod[Emissions Factor
kgCO2e/kg.km]*Calculations[[#This Row],[Total Kg]],0)</f>
        <v>0</v>
      </c>
      <c r="U44" s="322" cm="1">
        <f t="array" ref="U44">IFERROR(VLOOKUP(Calculations[[#This Row],[Waste 1]],WasteScenario[#All],3,FALSE)*'Stage assumptions'!$C$224*WasteTransportMethod[Emissions Factor
kgCO2e/kg.km]*Calculations[[#This Row],[Total Kg]],0)</f>
        <v>0</v>
      </c>
      <c r="V44" s="322" cm="1">
        <f t="array" ref="V44">IFERROR(VLOOKUP(Calculations[[#This Row],[Waste 1]],WasteScenario[#All],4,FALSE)*'Stage assumptions'!$C$223*WasteTransportMethod[Emissions Factor
kgCO2e/kg.km]*Calculations[[#This Row],[Total Kg]],0)</f>
        <v>0</v>
      </c>
      <c r="W44" s="322" cm="1">
        <f t="array" ref="W44">IFERROR(VLOOKUP(Calculations[[#This Row],[Waste 1]],WasteScenario[#All],5,FALSE)*'Stage assumptions'!$C$226*WasteTransportMethod[Emissions Factor
kgCO2e/kg.km]*Calculations[[#This Row],[Total Kg]],0)</f>
        <v>0</v>
      </c>
      <c r="X44" s="322">
        <f>SUM(Calculations[[#This Row],[C2 Recycle]:[C2 Reuse]])</f>
        <v>0</v>
      </c>
      <c r="Y44" t="str">
        <f>IFERROR(VLOOKUP(Calculations[[#This Row],[Material (choose from dropdown]],MaterialData[#All],5,FALSE),"")</f>
        <v/>
      </c>
      <c r="Z44" s="322">
        <f>IFERROR(((VLOOKUP(Calculations[[#This Row],[Waste type 2]],WasteDisposalEmissions[#All],2,FALSE))*Calculations[[#This Row],[Total Kg]])*VLOOKUP(Calculations[[#This Row],[Waste 1]],WasteScenario[#All],2,FALSE),0)</f>
        <v>0</v>
      </c>
      <c r="AA44" s="322">
        <f>IFERROR((VLOOKUP(Calculations[[#This Row],[Waste type 2]],WasteDisposalEmissions[#All],3,FALSE))*Calculations[[#This Row],[Total Kg]]*VLOOKUP(Calculations[[#This Row],[Waste 1]],WasteScenario[#All],3,FALSE),0)</f>
        <v>0</v>
      </c>
      <c r="AB44" s="322">
        <f>SUM(Calculations[[#This Row],[C3 recyc]:[C3 incin]])</f>
        <v>0</v>
      </c>
      <c r="AC44" s="322">
        <f>IFERROR((VLOOKUP(Calculations[[#This Row],[Waste type 2]],WasteLandfillEmissions[#All],2,FALSE))*Calculations[[#This Row],[Total Kg]]*VLOOKUP(Calculations[[#This Row],[Waste 1]],WasteScenario[#All],4,FALSE),0)</f>
        <v>0</v>
      </c>
      <c r="AD44" s="322">
        <f>IFERROR((VLOOKUP(Calculations[[#This Row],[Waste type 2]],WasteLandfillEmissions[#All],3,FALSE))*Calculations[[#This Row],[Total Kg]]*VLOOKUP(Calculations[[#This Row],[Waste 1]],WasteScenario[#All],4,FALSE),0)</f>
        <v>0</v>
      </c>
      <c r="AE44" s="322">
        <f>SUM(Calculations[[#This Row],[C4 landfill]:[C4 re-use]])</f>
        <v>0</v>
      </c>
      <c r="AF44" s="322">
        <f>IFERROR(VLOOKUP(Calculations[[#This Row],[Material (choose from dropdown]],MaterialData[#All],8,FALSE),0)</f>
        <v>0</v>
      </c>
      <c r="AG44" s="322">
        <f>IFERROR(Calculations[[#This Row],[Total Kg]]*Calculations[[#This Row],[Seq factor]],0)</f>
        <v>0</v>
      </c>
      <c r="AI44" s="322">
        <f>Calculations[[#This Row],[A1-3]]+Calculations[[#This Row],[A4]]+Calculations[[#This Row],[A5]]+Calculations[[#This Row],[B4]]+Calculations[[#This Row],[C2 total]]+Calculations[[#This Row],[C3 total]]+Calculations[[#This Row],[C4 total]]</f>
        <v>0</v>
      </c>
      <c r="AJ44" s="2">
        <f>IFERROR(VLOOKUP(Calculations[[#This Row],[Material (choose from dropdown]],MaterialData[[#Headers],[#Data]],9,FALSE),0)</f>
        <v>0</v>
      </c>
      <c r="AK44" s="4">
        <f>IFERROR(VLOOKUP(Calculations[[#This Row],[Material (choose from dropdown]],MaterialData[[#Headers],[#Data]],10,FALSE),0)</f>
        <v>0</v>
      </c>
      <c r="AL44" s="322">
        <f>IFERROR(Calculations[[#This Row],[Data Quality Score]]*Calculations[[#This Row],[Total Kg]],0)</f>
        <v>0</v>
      </c>
    </row>
    <row r="45" spans="1:38" x14ac:dyDescent="0.3">
      <c r="A45" s="6">
        <f>IFERROR(MaterialsBoQ[[#This Row],[Scope Element]],0)</f>
        <v>0</v>
      </c>
      <c r="B45">
        <f>IFERROR(MaterialsBoQ[[#This Row],[Material ]],"")</f>
        <v>0</v>
      </c>
      <c r="C45">
        <f>IFERROR(MaterialsBoQ[[#This Row],[Unit]],"")</f>
        <v>0</v>
      </c>
      <c r="D45" s="322">
        <f>IFERROR(MaterialsBoQ[[#This Row],[Number]],0)</f>
        <v>0</v>
      </c>
      <c r="E45" s="322">
        <f>IFERROR(MaterialsBoQ[[#This Row],[Kg per unit]],0)</f>
        <v>0</v>
      </c>
      <c r="F45" s="322">
        <f>IFERROR(Calculations[[#This Row],[Number]]*Calculations[[#This Row],[Conversion factor]],0)</f>
        <v>0</v>
      </c>
      <c r="G45" s="322">
        <f>IFERROR(VLOOKUP(Calculations[[#This Row],[Material (choose from dropdown]],MaterialData[#All],7,FALSE),0)</f>
        <v>0</v>
      </c>
      <c r="H45" s="322">
        <f>Calculations[[#This Row],[Total Kg]]*Calculations[[#This Row],[Carbon Factor]]</f>
        <v>0</v>
      </c>
      <c r="I45" t="str">
        <f>IFERROR(VLOOKUP(Calculations[[#This Row],[Material (choose from dropdown]],MaterialData[#All],2,FALSE),"")</f>
        <v/>
      </c>
      <c r="J45" s="322">
        <f>IFERROR(((VLOOKUP(Calculations[[#This Row],[TransportSource]],TransportDistance[],2,FALSE)*'Stage assumptions'!$C$11)+VLOOKUP(Calculations[[#This Row],[TransportSource]],TransportDistance[],3,FALSE)*'Stage assumptions'!$C$12)*Calculations[[#This Row],[Total Kg]],0)</f>
        <v>0</v>
      </c>
      <c r="K45">
        <f>IFERROR(VLOOKUP(Calculations[[#This Row],[Material (choose from dropdown]], MaterialData[#All],3, FALSE),0)</f>
        <v>0</v>
      </c>
      <c r="L45" s="322">
        <f>IFERROR(VLOOKUP(Calculations[[#This Row],[A5type]],A5WastageRate[#All],2,FALSE)*Calculations[[#This Row],[A1-3]],0)</f>
        <v>0</v>
      </c>
      <c r="N45">
        <f>IFERROR(ROUNDUP(50/VLOOKUP(Calculations[[#This Row],[Scope Element]],B4referenceServiceLife[[Tier 2 element]:[Default Service Life]],2, FALSE)-1,0),0)</f>
        <v>0</v>
      </c>
      <c r="O45" s="322">
        <f>IFERROR((Calculations[[#This Row],[A1-3]]+Calculations[[#This Row],[A4]]+Calculations[[#This Row],[A5]]+Calculations[[#This Row],[C2 total]]+Calculations[[#This Row],[C3 total]]+Calculations[[#This Row],[C4 total]])*Calculations[[#This Row],[Replacements]],0)</f>
        <v>0</v>
      </c>
      <c r="S45" t="str">
        <f>IFERROR(VLOOKUP(Calculations[[#This Row],[Material (choose from dropdown]],MaterialData[#All],4,FALSE),"")</f>
        <v/>
      </c>
      <c r="T45" s="322" cm="1">
        <f t="array" ref="T45">IFERROR(VLOOKUP(Calculations[[#This Row],[Waste 1]],WasteScenario[#All],2,FALSE)*'Stage assumptions'!$C$225*WasteTransportMethod[Emissions Factor
kgCO2e/kg.km]*Calculations[[#This Row],[Total Kg]],0)</f>
        <v>0</v>
      </c>
      <c r="U45" s="322" cm="1">
        <f t="array" ref="U45">IFERROR(VLOOKUP(Calculations[[#This Row],[Waste 1]],WasteScenario[#All],3,FALSE)*'Stage assumptions'!$C$224*WasteTransportMethod[Emissions Factor
kgCO2e/kg.km]*Calculations[[#This Row],[Total Kg]],0)</f>
        <v>0</v>
      </c>
      <c r="V45" s="322" cm="1">
        <f t="array" ref="V45">IFERROR(VLOOKUP(Calculations[[#This Row],[Waste 1]],WasteScenario[#All],4,FALSE)*'Stage assumptions'!$C$223*WasteTransportMethod[Emissions Factor
kgCO2e/kg.km]*Calculations[[#This Row],[Total Kg]],0)</f>
        <v>0</v>
      </c>
      <c r="W45" s="322" cm="1">
        <f t="array" ref="W45">IFERROR(VLOOKUP(Calculations[[#This Row],[Waste 1]],WasteScenario[#All],5,FALSE)*'Stage assumptions'!$C$226*WasteTransportMethod[Emissions Factor
kgCO2e/kg.km]*Calculations[[#This Row],[Total Kg]],0)</f>
        <v>0</v>
      </c>
      <c r="X45" s="322">
        <f>SUM(Calculations[[#This Row],[C2 Recycle]:[C2 Reuse]])</f>
        <v>0</v>
      </c>
      <c r="Y45" t="str">
        <f>IFERROR(VLOOKUP(Calculations[[#This Row],[Material (choose from dropdown]],MaterialData[#All],5,FALSE),"")</f>
        <v/>
      </c>
      <c r="Z45" s="322">
        <f>IFERROR(((VLOOKUP(Calculations[[#This Row],[Waste type 2]],WasteDisposalEmissions[#All],2,FALSE))*Calculations[[#This Row],[Total Kg]])*VLOOKUP(Calculations[[#This Row],[Waste 1]],WasteScenario[#All],2,FALSE),0)</f>
        <v>0</v>
      </c>
      <c r="AA45" s="322">
        <f>IFERROR((VLOOKUP(Calculations[[#This Row],[Waste type 2]],WasteDisposalEmissions[#All],3,FALSE))*Calculations[[#This Row],[Total Kg]]*VLOOKUP(Calculations[[#This Row],[Waste 1]],WasteScenario[#All],3,FALSE),0)</f>
        <v>0</v>
      </c>
      <c r="AB45" s="322">
        <f>SUM(Calculations[[#This Row],[C3 recyc]:[C3 incin]])</f>
        <v>0</v>
      </c>
      <c r="AC45" s="322">
        <f>IFERROR((VLOOKUP(Calculations[[#This Row],[Waste type 2]],WasteLandfillEmissions[#All],2,FALSE))*Calculations[[#This Row],[Total Kg]]*VLOOKUP(Calculations[[#This Row],[Waste 1]],WasteScenario[#All],4,FALSE),0)</f>
        <v>0</v>
      </c>
      <c r="AD45" s="322">
        <f>IFERROR((VLOOKUP(Calculations[[#This Row],[Waste type 2]],WasteLandfillEmissions[#All],3,FALSE))*Calculations[[#This Row],[Total Kg]]*VLOOKUP(Calculations[[#This Row],[Waste 1]],WasteScenario[#All],4,FALSE),0)</f>
        <v>0</v>
      </c>
      <c r="AE45" s="322">
        <f>SUM(Calculations[[#This Row],[C4 landfill]:[C4 re-use]])</f>
        <v>0</v>
      </c>
      <c r="AF45" s="322">
        <f>IFERROR(VLOOKUP(Calculations[[#This Row],[Material (choose from dropdown]],MaterialData[#All],8,FALSE),0)</f>
        <v>0</v>
      </c>
      <c r="AG45" s="322">
        <f>IFERROR(Calculations[[#This Row],[Total Kg]]*Calculations[[#This Row],[Seq factor]],0)</f>
        <v>0</v>
      </c>
      <c r="AI45" s="322">
        <f>Calculations[[#This Row],[A1-3]]+Calculations[[#This Row],[A4]]+Calculations[[#This Row],[A5]]+Calculations[[#This Row],[B4]]+Calculations[[#This Row],[C2 total]]+Calculations[[#This Row],[C3 total]]+Calculations[[#This Row],[C4 total]]</f>
        <v>0</v>
      </c>
      <c r="AJ45" s="2">
        <f>IFERROR(VLOOKUP(Calculations[[#This Row],[Material (choose from dropdown]],MaterialData[[#Headers],[#Data]],9,FALSE),0)</f>
        <v>0</v>
      </c>
      <c r="AK45" s="4">
        <f>IFERROR(VLOOKUP(Calculations[[#This Row],[Material (choose from dropdown]],MaterialData[[#Headers],[#Data]],10,FALSE),0)</f>
        <v>0</v>
      </c>
      <c r="AL45" s="322">
        <f>IFERROR(Calculations[[#This Row],[Data Quality Score]]*Calculations[[#This Row],[Total Kg]],0)</f>
        <v>0</v>
      </c>
    </row>
    <row r="46" spans="1:38" x14ac:dyDescent="0.3">
      <c r="A46" s="6">
        <f>IFERROR(MaterialsBoQ[[#This Row],[Scope Element]],0)</f>
        <v>0</v>
      </c>
      <c r="B46">
        <f>IFERROR(MaterialsBoQ[[#This Row],[Material ]],"")</f>
        <v>0</v>
      </c>
      <c r="C46">
        <f>IFERROR(MaterialsBoQ[[#This Row],[Unit]],"")</f>
        <v>0</v>
      </c>
      <c r="D46" s="322">
        <f>IFERROR(MaterialsBoQ[[#This Row],[Number]],0)</f>
        <v>0</v>
      </c>
      <c r="E46" s="322">
        <f>IFERROR(MaterialsBoQ[[#This Row],[Kg per unit]],0)</f>
        <v>0</v>
      </c>
      <c r="F46" s="322">
        <f>IFERROR(Calculations[[#This Row],[Number]]*Calculations[[#This Row],[Conversion factor]],0)</f>
        <v>0</v>
      </c>
      <c r="G46" s="322">
        <f>IFERROR(VLOOKUP(Calculations[[#This Row],[Material (choose from dropdown]],MaterialData[#All],7,FALSE),0)</f>
        <v>0</v>
      </c>
      <c r="H46" s="322">
        <f>Calculations[[#This Row],[Total Kg]]*Calculations[[#This Row],[Carbon Factor]]</f>
        <v>0</v>
      </c>
      <c r="I46" t="str">
        <f>IFERROR(VLOOKUP(Calculations[[#This Row],[Material (choose from dropdown]],MaterialData[#All],2,FALSE),"")</f>
        <v/>
      </c>
      <c r="J46" s="322">
        <f>IFERROR(((VLOOKUP(Calculations[[#This Row],[TransportSource]],TransportDistance[],2,FALSE)*'Stage assumptions'!$C$11)+VLOOKUP(Calculations[[#This Row],[TransportSource]],TransportDistance[],3,FALSE)*'Stage assumptions'!$C$12)*Calculations[[#This Row],[Total Kg]],0)</f>
        <v>0</v>
      </c>
      <c r="K46">
        <f>IFERROR(VLOOKUP(Calculations[[#This Row],[Material (choose from dropdown]], MaterialData[#All],3, FALSE),0)</f>
        <v>0</v>
      </c>
      <c r="L46" s="322">
        <f>IFERROR(VLOOKUP(Calculations[[#This Row],[A5type]],A5WastageRate[#All],2,FALSE)*Calculations[[#This Row],[A1-3]],0)</f>
        <v>0</v>
      </c>
      <c r="N46">
        <f>IFERROR(ROUNDUP(50/VLOOKUP(Calculations[[#This Row],[Scope Element]],B4referenceServiceLife[[Tier 2 element]:[Default Service Life]],2, FALSE)-1,0),0)</f>
        <v>0</v>
      </c>
      <c r="O46" s="322">
        <f>IFERROR((Calculations[[#This Row],[A1-3]]+Calculations[[#This Row],[A4]]+Calculations[[#This Row],[A5]]+Calculations[[#This Row],[C2 total]]+Calculations[[#This Row],[C3 total]]+Calculations[[#This Row],[C4 total]])*Calculations[[#This Row],[Replacements]],0)</f>
        <v>0</v>
      </c>
      <c r="S46" t="str">
        <f>IFERROR(VLOOKUP(Calculations[[#This Row],[Material (choose from dropdown]],MaterialData[#All],4,FALSE),"")</f>
        <v/>
      </c>
      <c r="T46" s="322" cm="1">
        <f t="array" ref="T46">IFERROR(VLOOKUP(Calculations[[#This Row],[Waste 1]],WasteScenario[#All],2,FALSE)*'Stage assumptions'!$C$225*WasteTransportMethod[Emissions Factor
kgCO2e/kg.km]*Calculations[[#This Row],[Total Kg]],0)</f>
        <v>0</v>
      </c>
      <c r="U46" s="322" cm="1">
        <f t="array" ref="U46">IFERROR(VLOOKUP(Calculations[[#This Row],[Waste 1]],WasteScenario[#All],3,FALSE)*'Stage assumptions'!$C$224*WasteTransportMethod[Emissions Factor
kgCO2e/kg.km]*Calculations[[#This Row],[Total Kg]],0)</f>
        <v>0</v>
      </c>
      <c r="V46" s="322" cm="1">
        <f t="array" ref="V46">IFERROR(VLOOKUP(Calculations[[#This Row],[Waste 1]],WasteScenario[#All],4,FALSE)*'Stage assumptions'!$C$223*WasteTransportMethod[Emissions Factor
kgCO2e/kg.km]*Calculations[[#This Row],[Total Kg]],0)</f>
        <v>0</v>
      </c>
      <c r="W46" s="322" cm="1">
        <f t="array" ref="W46">IFERROR(VLOOKUP(Calculations[[#This Row],[Waste 1]],WasteScenario[#All],5,FALSE)*'Stage assumptions'!$C$226*WasteTransportMethod[Emissions Factor
kgCO2e/kg.km]*Calculations[[#This Row],[Total Kg]],0)</f>
        <v>0</v>
      </c>
      <c r="X46" s="322">
        <f>SUM(Calculations[[#This Row],[C2 Recycle]:[C2 Reuse]])</f>
        <v>0</v>
      </c>
      <c r="Y46" t="str">
        <f>IFERROR(VLOOKUP(Calculations[[#This Row],[Material (choose from dropdown]],MaterialData[#All],5,FALSE),"")</f>
        <v/>
      </c>
      <c r="Z46" s="322">
        <f>IFERROR(((VLOOKUP(Calculations[[#This Row],[Waste type 2]],WasteDisposalEmissions[#All],2,FALSE))*Calculations[[#This Row],[Total Kg]])*VLOOKUP(Calculations[[#This Row],[Waste 1]],WasteScenario[#All],2,FALSE),0)</f>
        <v>0</v>
      </c>
      <c r="AA46" s="322">
        <f>IFERROR((VLOOKUP(Calculations[[#This Row],[Waste type 2]],WasteDisposalEmissions[#All],3,FALSE))*Calculations[[#This Row],[Total Kg]]*VLOOKUP(Calculations[[#This Row],[Waste 1]],WasteScenario[#All],3,FALSE),0)</f>
        <v>0</v>
      </c>
      <c r="AB46" s="322">
        <f>SUM(Calculations[[#This Row],[C3 recyc]:[C3 incin]])</f>
        <v>0</v>
      </c>
      <c r="AC46" s="322">
        <f>IFERROR((VLOOKUP(Calculations[[#This Row],[Waste type 2]],WasteLandfillEmissions[#All],2,FALSE))*Calculations[[#This Row],[Total Kg]]*VLOOKUP(Calculations[[#This Row],[Waste 1]],WasteScenario[#All],4,FALSE),0)</f>
        <v>0</v>
      </c>
      <c r="AD46" s="322">
        <f>IFERROR((VLOOKUP(Calculations[[#This Row],[Waste type 2]],WasteLandfillEmissions[#All],3,FALSE))*Calculations[[#This Row],[Total Kg]]*VLOOKUP(Calculations[[#This Row],[Waste 1]],WasteScenario[#All],4,FALSE),0)</f>
        <v>0</v>
      </c>
      <c r="AE46" s="322">
        <f>SUM(Calculations[[#This Row],[C4 landfill]:[C4 re-use]])</f>
        <v>0</v>
      </c>
      <c r="AF46" s="322">
        <f>IFERROR(VLOOKUP(Calculations[[#This Row],[Material (choose from dropdown]],MaterialData[#All],8,FALSE),0)</f>
        <v>0</v>
      </c>
      <c r="AG46" s="322">
        <f>IFERROR(Calculations[[#This Row],[Total Kg]]*Calculations[[#This Row],[Seq factor]],0)</f>
        <v>0</v>
      </c>
      <c r="AI46" s="322">
        <f>Calculations[[#This Row],[A1-3]]+Calculations[[#This Row],[A4]]+Calculations[[#This Row],[A5]]+Calculations[[#This Row],[B4]]+Calculations[[#This Row],[C2 total]]+Calculations[[#This Row],[C3 total]]+Calculations[[#This Row],[C4 total]]</f>
        <v>0</v>
      </c>
      <c r="AJ46" s="2">
        <f>IFERROR(VLOOKUP(Calculations[[#This Row],[Material (choose from dropdown]],MaterialData[[#Headers],[#Data]],9,FALSE),0)</f>
        <v>0</v>
      </c>
      <c r="AK46" s="4">
        <f>IFERROR(VLOOKUP(Calculations[[#This Row],[Material (choose from dropdown]],MaterialData[[#Headers],[#Data]],10,FALSE),0)</f>
        <v>0</v>
      </c>
      <c r="AL46" s="322">
        <f>IFERROR(Calculations[[#This Row],[Data Quality Score]]*Calculations[[#This Row],[Total Kg]],0)</f>
        <v>0</v>
      </c>
    </row>
    <row r="47" spans="1:38" x14ac:dyDescent="0.3">
      <c r="A47" s="6">
        <f>IFERROR(MaterialsBoQ[[#This Row],[Scope Element]],0)</f>
        <v>0</v>
      </c>
      <c r="B47">
        <f>IFERROR(MaterialsBoQ[[#This Row],[Material ]],"")</f>
        <v>0</v>
      </c>
      <c r="C47">
        <f>IFERROR(MaterialsBoQ[[#This Row],[Unit]],"")</f>
        <v>0</v>
      </c>
      <c r="D47" s="322">
        <f>IFERROR(MaterialsBoQ[[#This Row],[Number]],0)</f>
        <v>0</v>
      </c>
      <c r="E47" s="322">
        <f>IFERROR(MaterialsBoQ[[#This Row],[Kg per unit]],0)</f>
        <v>0</v>
      </c>
      <c r="F47" s="322">
        <f>IFERROR(Calculations[[#This Row],[Number]]*Calculations[[#This Row],[Conversion factor]],0)</f>
        <v>0</v>
      </c>
      <c r="G47" s="322">
        <f>IFERROR(VLOOKUP(Calculations[[#This Row],[Material (choose from dropdown]],MaterialData[#All],7,FALSE),0)</f>
        <v>0</v>
      </c>
      <c r="H47" s="322">
        <f>Calculations[[#This Row],[Total Kg]]*Calculations[[#This Row],[Carbon Factor]]</f>
        <v>0</v>
      </c>
      <c r="I47" t="str">
        <f>IFERROR(VLOOKUP(Calculations[[#This Row],[Material (choose from dropdown]],MaterialData[#All],2,FALSE),"")</f>
        <v/>
      </c>
      <c r="J47" s="322">
        <f>IFERROR(((VLOOKUP(Calculations[[#This Row],[TransportSource]],TransportDistance[],2,FALSE)*'Stage assumptions'!$C$11)+VLOOKUP(Calculations[[#This Row],[TransportSource]],TransportDistance[],3,FALSE)*'Stage assumptions'!$C$12)*Calculations[[#This Row],[Total Kg]],0)</f>
        <v>0</v>
      </c>
      <c r="K47">
        <f>IFERROR(VLOOKUP(Calculations[[#This Row],[Material (choose from dropdown]], MaterialData[#All],3, FALSE),0)</f>
        <v>0</v>
      </c>
      <c r="L47" s="322">
        <f>IFERROR(VLOOKUP(Calculations[[#This Row],[A5type]],A5WastageRate[#All],2,FALSE)*Calculations[[#This Row],[A1-3]],0)</f>
        <v>0</v>
      </c>
      <c r="N47">
        <f>IFERROR(ROUNDUP(50/VLOOKUP(Calculations[[#This Row],[Scope Element]],B4referenceServiceLife[[Tier 2 element]:[Default Service Life]],2, FALSE)-1,0),0)</f>
        <v>0</v>
      </c>
      <c r="O47" s="322">
        <f>IFERROR((Calculations[[#This Row],[A1-3]]+Calculations[[#This Row],[A4]]+Calculations[[#This Row],[A5]]+Calculations[[#This Row],[C2 total]]+Calculations[[#This Row],[C3 total]]+Calculations[[#This Row],[C4 total]])*Calculations[[#This Row],[Replacements]],0)</f>
        <v>0</v>
      </c>
      <c r="S47" t="str">
        <f>IFERROR(VLOOKUP(Calculations[[#This Row],[Material (choose from dropdown]],MaterialData[#All],4,FALSE),"")</f>
        <v/>
      </c>
      <c r="T47" s="322" cm="1">
        <f t="array" ref="T47">IFERROR(VLOOKUP(Calculations[[#This Row],[Waste 1]],WasteScenario[#All],2,FALSE)*'Stage assumptions'!$C$225*WasteTransportMethod[Emissions Factor
kgCO2e/kg.km]*Calculations[[#This Row],[Total Kg]],0)</f>
        <v>0</v>
      </c>
      <c r="U47" s="322" cm="1">
        <f t="array" ref="U47">IFERROR(VLOOKUP(Calculations[[#This Row],[Waste 1]],WasteScenario[#All],3,FALSE)*'Stage assumptions'!$C$224*WasteTransportMethod[Emissions Factor
kgCO2e/kg.km]*Calculations[[#This Row],[Total Kg]],0)</f>
        <v>0</v>
      </c>
      <c r="V47" s="322" cm="1">
        <f t="array" ref="V47">IFERROR(VLOOKUP(Calculations[[#This Row],[Waste 1]],WasteScenario[#All],4,FALSE)*'Stage assumptions'!$C$223*WasteTransportMethod[Emissions Factor
kgCO2e/kg.km]*Calculations[[#This Row],[Total Kg]],0)</f>
        <v>0</v>
      </c>
      <c r="W47" s="322" cm="1">
        <f t="array" ref="W47">IFERROR(VLOOKUP(Calculations[[#This Row],[Waste 1]],WasteScenario[#All],5,FALSE)*'Stage assumptions'!$C$226*WasteTransportMethod[Emissions Factor
kgCO2e/kg.km]*Calculations[[#This Row],[Total Kg]],0)</f>
        <v>0</v>
      </c>
      <c r="X47" s="322">
        <f>SUM(Calculations[[#This Row],[C2 Recycle]:[C2 Reuse]])</f>
        <v>0</v>
      </c>
      <c r="Y47" t="str">
        <f>IFERROR(VLOOKUP(Calculations[[#This Row],[Material (choose from dropdown]],MaterialData[#All],5,FALSE),"")</f>
        <v/>
      </c>
      <c r="Z47" s="322">
        <f>IFERROR(((VLOOKUP(Calculations[[#This Row],[Waste type 2]],WasteDisposalEmissions[#All],2,FALSE))*Calculations[[#This Row],[Total Kg]])*VLOOKUP(Calculations[[#This Row],[Waste 1]],WasteScenario[#All],2,FALSE),0)</f>
        <v>0</v>
      </c>
      <c r="AA47" s="322">
        <f>IFERROR((VLOOKUP(Calculations[[#This Row],[Waste type 2]],WasteDisposalEmissions[#All],3,FALSE))*Calculations[[#This Row],[Total Kg]]*VLOOKUP(Calculations[[#This Row],[Waste 1]],WasteScenario[#All],3,FALSE),0)</f>
        <v>0</v>
      </c>
      <c r="AB47" s="322">
        <f>SUM(Calculations[[#This Row],[C3 recyc]:[C3 incin]])</f>
        <v>0</v>
      </c>
      <c r="AC47" s="322">
        <f>IFERROR((VLOOKUP(Calculations[[#This Row],[Waste type 2]],WasteLandfillEmissions[#All],2,FALSE))*Calculations[[#This Row],[Total Kg]]*VLOOKUP(Calculations[[#This Row],[Waste 1]],WasteScenario[#All],4,FALSE),0)</f>
        <v>0</v>
      </c>
      <c r="AD47" s="322">
        <f>IFERROR((VLOOKUP(Calculations[[#This Row],[Waste type 2]],WasteLandfillEmissions[#All],3,FALSE))*Calculations[[#This Row],[Total Kg]]*VLOOKUP(Calculations[[#This Row],[Waste 1]],WasteScenario[#All],4,FALSE),0)</f>
        <v>0</v>
      </c>
      <c r="AE47" s="322">
        <f>SUM(Calculations[[#This Row],[C4 landfill]:[C4 re-use]])</f>
        <v>0</v>
      </c>
      <c r="AF47" s="322">
        <f>IFERROR(VLOOKUP(Calculations[[#This Row],[Material (choose from dropdown]],MaterialData[#All],8,FALSE),0)</f>
        <v>0</v>
      </c>
      <c r="AG47" s="322">
        <f>IFERROR(Calculations[[#This Row],[Total Kg]]*Calculations[[#This Row],[Seq factor]],0)</f>
        <v>0</v>
      </c>
      <c r="AI47" s="322">
        <f>Calculations[[#This Row],[A1-3]]+Calculations[[#This Row],[A4]]+Calculations[[#This Row],[A5]]+Calculations[[#This Row],[B4]]+Calculations[[#This Row],[C2 total]]+Calculations[[#This Row],[C3 total]]+Calculations[[#This Row],[C4 total]]</f>
        <v>0</v>
      </c>
      <c r="AJ47" s="2">
        <f>IFERROR(VLOOKUP(Calculations[[#This Row],[Material (choose from dropdown]],MaterialData[[#Headers],[#Data]],9,FALSE),0)</f>
        <v>0</v>
      </c>
      <c r="AK47" s="4">
        <f>IFERROR(VLOOKUP(Calculations[[#This Row],[Material (choose from dropdown]],MaterialData[[#Headers],[#Data]],10,FALSE),0)</f>
        <v>0</v>
      </c>
      <c r="AL47" s="322">
        <f>IFERROR(Calculations[[#This Row],[Data Quality Score]]*Calculations[[#This Row],[Total Kg]],0)</f>
        <v>0</v>
      </c>
    </row>
    <row r="48" spans="1:38" x14ac:dyDescent="0.3">
      <c r="A48" s="6">
        <f>IFERROR(MaterialsBoQ[[#This Row],[Scope Element]],0)</f>
        <v>0</v>
      </c>
      <c r="B48">
        <f>IFERROR(MaterialsBoQ[[#This Row],[Material ]],"")</f>
        <v>0</v>
      </c>
      <c r="C48">
        <f>IFERROR(MaterialsBoQ[[#This Row],[Unit]],"")</f>
        <v>0</v>
      </c>
      <c r="D48" s="322">
        <f>IFERROR(MaterialsBoQ[[#This Row],[Number]],0)</f>
        <v>0</v>
      </c>
      <c r="E48" s="322">
        <f>IFERROR(MaterialsBoQ[[#This Row],[Kg per unit]],0)</f>
        <v>0</v>
      </c>
      <c r="F48" s="322">
        <f>IFERROR(Calculations[[#This Row],[Number]]*Calculations[[#This Row],[Conversion factor]],0)</f>
        <v>0</v>
      </c>
      <c r="G48" s="322">
        <f>IFERROR(VLOOKUP(Calculations[[#This Row],[Material (choose from dropdown]],MaterialData[#All],7,FALSE),0)</f>
        <v>0</v>
      </c>
      <c r="H48" s="322">
        <f>Calculations[[#This Row],[Total Kg]]*Calculations[[#This Row],[Carbon Factor]]</f>
        <v>0</v>
      </c>
      <c r="I48" t="str">
        <f>IFERROR(VLOOKUP(Calculations[[#This Row],[Material (choose from dropdown]],MaterialData[#All],2,FALSE),"")</f>
        <v/>
      </c>
      <c r="J48" s="322">
        <f>IFERROR(((VLOOKUP(Calculations[[#This Row],[TransportSource]],TransportDistance[],2,FALSE)*'Stage assumptions'!$C$11)+VLOOKUP(Calculations[[#This Row],[TransportSource]],TransportDistance[],3,FALSE)*'Stage assumptions'!$C$12)*Calculations[[#This Row],[Total Kg]],0)</f>
        <v>0</v>
      </c>
      <c r="K48">
        <f>IFERROR(VLOOKUP(Calculations[[#This Row],[Material (choose from dropdown]], MaterialData[#All],3, FALSE),0)</f>
        <v>0</v>
      </c>
      <c r="L48" s="322">
        <f>IFERROR(VLOOKUP(Calculations[[#This Row],[A5type]],A5WastageRate[#All],2,FALSE)*Calculations[[#This Row],[A1-3]],0)</f>
        <v>0</v>
      </c>
      <c r="N48">
        <f>IFERROR(ROUNDUP(50/VLOOKUP(Calculations[[#This Row],[Scope Element]],B4referenceServiceLife[[Tier 2 element]:[Default Service Life]],2, FALSE)-1,0),0)</f>
        <v>0</v>
      </c>
      <c r="O48" s="322">
        <f>IFERROR((Calculations[[#This Row],[A1-3]]+Calculations[[#This Row],[A4]]+Calculations[[#This Row],[A5]]+Calculations[[#This Row],[C2 total]]+Calculations[[#This Row],[C3 total]]+Calculations[[#This Row],[C4 total]])*Calculations[[#This Row],[Replacements]],0)</f>
        <v>0</v>
      </c>
      <c r="S48" t="str">
        <f>IFERROR(VLOOKUP(Calculations[[#This Row],[Material (choose from dropdown]],MaterialData[#All],4,FALSE),"")</f>
        <v/>
      </c>
      <c r="T48" s="322" cm="1">
        <f t="array" ref="T48">IFERROR(VLOOKUP(Calculations[[#This Row],[Waste 1]],WasteScenario[#All],2,FALSE)*'Stage assumptions'!$C$225*WasteTransportMethod[Emissions Factor
kgCO2e/kg.km]*Calculations[[#This Row],[Total Kg]],0)</f>
        <v>0</v>
      </c>
      <c r="U48" s="322" cm="1">
        <f t="array" ref="U48">IFERROR(VLOOKUP(Calculations[[#This Row],[Waste 1]],WasteScenario[#All],3,FALSE)*'Stage assumptions'!$C$224*WasteTransportMethod[Emissions Factor
kgCO2e/kg.km]*Calculations[[#This Row],[Total Kg]],0)</f>
        <v>0</v>
      </c>
      <c r="V48" s="322" cm="1">
        <f t="array" ref="V48">IFERROR(VLOOKUP(Calculations[[#This Row],[Waste 1]],WasteScenario[#All],4,FALSE)*'Stage assumptions'!$C$223*WasteTransportMethod[Emissions Factor
kgCO2e/kg.km]*Calculations[[#This Row],[Total Kg]],0)</f>
        <v>0</v>
      </c>
      <c r="W48" s="322" cm="1">
        <f t="array" ref="W48">IFERROR(VLOOKUP(Calculations[[#This Row],[Waste 1]],WasteScenario[#All],5,FALSE)*'Stage assumptions'!$C$226*WasteTransportMethod[Emissions Factor
kgCO2e/kg.km]*Calculations[[#This Row],[Total Kg]],0)</f>
        <v>0</v>
      </c>
      <c r="X48" s="322">
        <f>SUM(Calculations[[#This Row],[C2 Recycle]:[C2 Reuse]])</f>
        <v>0</v>
      </c>
      <c r="Y48" t="str">
        <f>IFERROR(VLOOKUP(Calculations[[#This Row],[Material (choose from dropdown]],MaterialData[#All],5,FALSE),"")</f>
        <v/>
      </c>
      <c r="Z48" s="322">
        <f>IFERROR(((VLOOKUP(Calculations[[#This Row],[Waste type 2]],WasteDisposalEmissions[#All],2,FALSE))*Calculations[[#This Row],[Total Kg]])*VLOOKUP(Calculations[[#This Row],[Waste 1]],WasteScenario[#All],2,FALSE),0)</f>
        <v>0</v>
      </c>
      <c r="AA48" s="322">
        <f>IFERROR((VLOOKUP(Calculations[[#This Row],[Waste type 2]],WasteDisposalEmissions[#All],3,FALSE))*Calculations[[#This Row],[Total Kg]]*VLOOKUP(Calculations[[#This Row],[Waste 1]],WasteScenario[#All],3,FALSE),0)</f>
        <v>0</v>
      </c>
      <c r="AB48" s="322">
        <f>SUM(Calculations[[#This Row],[C3 recyc]:[C3 incin]])</f>
        <v>0</v>
      </c>
      <c r="AC48" s="322">
        <f>IFERROR((VLOOKUP(Calculations[[#This Row],[Waste type 2]],WasteLandfillEmissions[#All],2,FALSE))*Calculations[[#This Row],[Total Kg]]*VLOOKUP(Calculations[[#This Row],[Waste 1]],WasteScenario[#All],4,FALSE),0)</f>
        <v>0</v>
      </c>
      <c r="AD48" s="322">
        <f>IFERROR((VLOOKUP(Calculations[[#This Row],[Waste type 2]],WasteLandfillEmissions[#All],3,FALSE))*Calculations[[#This Row],[Total Kg]]*VLOOKUP(Calculations[[#This Row],[Waste 1]],WasteScenario[#All],4,FALSE),0)</f>
        <v>0</v>
      </c>
      <c r="AE48" s="322">
        <f>SUM(Calculations[[#This Row],[C4 landfill]:[C4 re-use]])</f>
        <v>0</v>
      </c>
      <c r="AF48" s="322">
        <f>IFERROR(VLOOKUP(Calculations[[#This Row],[Material (choose from dropdown]],MaterialData[#All],8,FALSE),0)</f>
        <v>0</v>
      </c>
      <c r="AG48" s="322">
        <f>IFERROR(Calculations[[#This Row],[Total Kg]]*Calculations[[#This Row],[Seq factor]],0)</f>
        <v>0</v>
      </c>
      <c r="AI48" s="322">
        <f>Calculations[[#This Row],[A1-3]]+Calculations[[#This Row],[A4]]+Calculations[[#This Row],[A5]]+Calculations[[#This Row],[B4]]+Calculations[[#This Row],[C2 total]]+Calculations[[#This Row],[C3 total]]+Calculations[[#This Row],[C4 total]]</f>
        <v>0</v>
      </c>
      <c r="AJ48" s="2">
        <f>IFERROR(VLOOKUP(Calculations[[#This Row],[Material (choose from dropdown]],MaterialData[[#Headers],[#Data]],9,FALSE),0)</f>
        <v>0</v>
      </c>
      <c r="AK48" s="4">
        <f>IFERROR(VLOOKUP(Calculations[[#This Row],[Material (choose from dropdown]],MaterialData[[#Headers],[#Data]],10,FALSE),0)</f>
        <v>0</v>
      </c>
      <c r="AL48" s="322">
        <f>IFERROR(Calculations[[#This Row],[Data Quality Score]]*Calculations[[#This Row],[Total Kg]],0)</f>
        <v>0</v>
      </c>
    </row>
    <row r="49" spans="1:38" x14ac:dyDescent="0.3">
      <c r="A49" s="6">
        <f>IFERROR(MaterialsBoQ[[#This Row],[Scope Element]],0)</f>
        <v>0</v>
      </c>
      <c r="B49">
        <f>IFERROR(MaterialsBoQ[[#This Row],[Material ]],"")</f>
        <v>0</v>
      </c>
      <c r="C49">
        <f>IFERROR(MaterialsBoQ[[#This Row],[Unit]],"")</f>
        <v>0</v>
      </c>
      <c r="D49" s="322">
        <f>IFERROR(MaterialsBoQ[[#This Row],[Number]],0)</f>
        <v>0</v>
      </c>
      <c r="E49" s="322">
        <f>IFERROR(MaterialsBoQ[[#This Row],[Kg per unit]],0)</f>
        <v>0</v>
      </c>
      <c r="F49" s="322">
        <f>IFERROR(Calculations[[#This Row],[Number]]*Calculations[[#This Row],[Conversion factor]],0)</f>
        <v>0</v>
      </c>
      <c r="G49" s="322">
        <f>IFERROR(VLOOKUP(Calculations[[#This Row],[Material (choose from dropdown]],MaterialData[#All],7,FALSE),0)</f>
        <v>0</v>
      </c>
      <c r="H49" s="322">
        <f>Calculations[[#This Row],[Total Kg]]*Calculations[[#This Row],[Carbon Factor]]</f>
        <v>0</v>
      </c>
      <c r="I49" t="str">
        <f>IFERROR(VLOOKUP(Calculations[[#This Row],[Material (choose from dropdown]],MaterialData[#All],2,FALSE),"")</f>
        <v/>
      </c>
      <c r="J49" s="322">
        <f>IFERROR(((VLOOKUP(Calculations[[#This Row],[TransportSource]],TransportDistance[],2,FALSE)*'Stage assumptions'!$C$11)+VLOOKUP(Calculations[[#This Row],[TransportSource]],TransportDistance[],3,FALSE)*'Stage assumptions'!$C$12)*Calculations[[#This Row],[Total Kg]],0)</f>
        <v>0</v>
      </c>
      <c r="K49">
        <f>IFERROR(VLOOKUP(Calculations[[#This Row],[Material (choose from dropdown]], MaterialData[#All],3, FALSE),0)</f>
        <v>0</v>
      </c>
      <c r="L49" s="322">
        <f>IFERROR(VLOOKUP(Calculations[[#This Row],[A5type]],A5WastageRate[#All],2,FALSE)*Calculations[[#This Row],[A1-3]],0)</f>
        <v>0</v>
      </c>
      <c r="N49">
        <f>IFERROR(ROUNDUP(50/VLOOKUP(Calculations[[#This Row],[Scope Element]],B4referenceServiceLife[[Tier 2 element]:[Default Service Life]],2, FALSE)-1,0),0)</f>
        <v>0</v>
      </c>
      <c r="O49" s="322">
        <f>IFERROR((Calculations[[#This Row],[A1-3]]+Calculations[[#This Row],[A4]]+Calculations[[#This Row],[A5]]+Calculations[[#This Row],[C2 total]]+Calculations[[#This Row],[C3 total]]+Calculations[[#This Row],[C4 total]])*Calculations[[#This Row],[Replacements]],0)</f>
        <v>0</v>
      </c>
      <c r="S49" t="str">
        <f>IFERROR(VLOOKUP(Calculations[[#This Row],[Material (choose from dropdown]],MaterialData[#All],4,FALSE),"")</f>
        <v/>
      </c>
      <c r="T49" s="322" cm="1">
        <f t="array" ref="T49">IFERROR(VLOOKUP(Calculations[[#This Row],[Waste 1]],WasteScenario[#All],2,FALSE)*'Stage assumptions'!$C$225*WasteTransportMethod[Emissions Factor
kgCO2e/kg.km]*Calculations[[#This Row],[Total Kg]],0)</f>
        <v>0</v>
      </c>
      <c r="U49" s="322" cm="1">
        <f t="array" ref="U49">IFERROR(VLOOKUP(Calculations[[#This Row],[Waste 1]],WasteScenario[#All],3,FALSE)*'Stage assumptions'!$C$224*WasteTransportMethod[Emissions Factor
kgCO2e/kg.km]*Calculations[[#This Row],[Total Kg]],0)</f>
        <v>0</v>
      </c>
      <c r="V49" s="322" cm="1">
        <f t="array" ref="V49">IFERROR(VLOOKUP(Calculations[[#This Row],[Waste 1]],WasteScenario[#All],4,FALSE)*'Stage assumptions'!$C$223*WasteTransportMethod[Emissions Factor
kgCO2e/kg.km]*Calculations[[#This Row],[Total Kg]],0)</f>
        <v>0</v>
      </c>
      <c r="W49" s="322" cm="1">
        <f t="array" ref="W49">IFERROR(VLOOKUP(Calculations[[#This Row],[Waste 1]],WasteScenario[#All],5,FALSE)*'Stage assumptions'!$C$226*WasteTransportMethod[Emissions Factor
kgCO2e/kg.km]*Calculations[[#This Row],[Total Kg]],0)</f>
        <v>0</v>
      </c>
      <c r="X49" s="322">
        <f>SUM(Calculations[[#This Row],[C2 Recycle]:[C2 Reuse]])</f>
        <v>0</v>
      </c>
      <c r="Y49" t="str">
        <f>IFERROR(VLOOKUP(Calculations[[#This Row],[Material (choose from dropdown]],MaterialData[#All],5,FALSE),"")</f>
        <v/>
      </c>
      <c r="Z49" s="322">
        <f>IFERROR(((VLOOKUP(Calculations[[#This Row],[Waste type 2]],WasteDisposalEmissions[#All],2,FALSE))*Calculations[[#This Row],[Total Kg]])*VLOOKUP(Calculations[[#This Row],[Waste 1]],WasteScenario[#All],2,FALSE),0)</f>
        <v>0</v>
      </c>
      <c r="AA49" s="322">
        <f>IFERROR((VLOOKUP(Calculations[[#This Row],[Waste type 2]],WasteDisposalEmissions[#All],3,FALSE))*Calculations[[#This Row],[Total Kg]]*VLOOKUP(Calculations[[#This Row],[Waste 1]],WasteScenario[#All],3,FALSE),0)</f>
        <v>0</v>
      </c>
      <c r="AB49" s="322">
        <f>SUM(Calculations[[#This Row],[C3 recyc]:[C3 incin]])</f>
        <v>0</v>
      </c>
      <c r="AC49" s="322">
        <f>IFERROR((VLOOKUP(Calculations[[#This Row],[Waste type 2]],WasteLandfillEmissions[#All],2,FALSE))*Calculations[[#This Row],[Total Kg]]*VLOOKUP(Calculations[[#This Row],[Waste 1]],WasteScenario[#All],4,FALSE),0)</f>
        <v>0</v>
      </c>
      <c r="AD49" s="322">
        <f>IFERROR((VLOOKUP(Calculations[[#This Row],[Waste type 2]],WasteLandfillEmissions[#All],3,FALSE))*Calculations[[#This Row],[Total Kg]]*VLOOKUP(Calculations[[#This Row],[Waste 1]],WasteScenario[#All],4,FALSE),0)</f>
        <v>0</v>
      </c>
      <c r="AE49" s="322">
        <f>SUM(Calculations[[#This Row],[C4 landfill]:[C4 re-use]])</f>
        <v>0</v>
      </c>
      <c r="AF49" s="322">
        <f>IFERROR(VLOOKUP(Calculations[[#This Row],[Material (choose from dropdown]],MaterialData[#All],8,FALSE),0)</f>
        <v>0</v>
      </c>
      <c r="AG49" s="322">
        <f>IFERROR(Calculations[[#This Row],[Total Kg]]*Calculations[[#This Row],[Seq factor]],0)</f>
        <v>0</v>
      </c>
      <c r="AI49" s="322">
        <f>Calculations[[#This Row],[A1-3]]+Calculations[[#This Row],[A4]]+Calculations[[#This Row],[A5]]+Calculations[[#This Row],[B4]]+Calculations[[#This Row],[C2 total]]+Calculations[[#This Row],[C3 total]]+Calculations[[#This Row],[C4 total]]</f>
        <v>0</v>
      </c>
      <c r="AJ49" s="2">
        <f>IFERROR(VLOOKUP(Calculations[[#This Row],[Material (choose from dropdown]],MaterialData[[#Headers],[#Data]],9,FALSE),0)</f>
        <v>0</v>
      </c>
      <c r="AK49" s="4">
        <f>IFERROR(VLOOKUP(Calculations[[#This Row],[Material (choose from dropdown]],MaterialData[[#Headers],[#Data]],10,FALSE),0)</f>
        <v>0</v>
      </c>
      <c r="AL49" s="322">
        <f>IFERROR(Calculations[[#This Row],[Data Quality Score]]*Calculations[[#This Row],[Total Kg]],0)</f>
        <v>0</v>
      </c>
    </row>
    <row r="50" spans="1:38" x14ac:dyDescent="0.3">
      <c r="A50" s="6">
        <f>IFERROR(MaterialsBoQ[[#This Row],[Scope Element]],0)</f>
        <v>0</v>
      </c>
      <c r="B50">
        <f>IFERROR(MaterialsBoQ[[#This Row],[Material ]],"")</f>
        <v>0</v>
      </c>
      <c r="C50">
        <f>IFERROR(MaterialsBoQ[[#This Row],[Unit]],"")</f>
        <v>0</v>
      </c>
      <c r="D50" s="322">
        <f>IFERROR(MaterialsBoQ[[#This Row],[Number]],0)</f>
        <v>0</v>
      </c>
      <c r="E50" s="322">
        <f>IFERROR(MaterialsBoQ[[#This Row],[Kg per unit]],0)</f>
        <v>0</v>
      </c>
      <c r="F50" s="322">
        <f>IFERROR(Calculations[[#This Row],[Number]]*Calculations[[#This Row],[Conversion factor]],0)</f>
        <v>0</v>
      </c>
      <c r="G50" s="322">
        <f>IFERROR(VLOOKUP(Calculations[[#This Row],[Material (choose from dropdown]],MaterialData[#All],7,FALSE),0)</f>
        <v>0</v>
      </c>
      <c r="H50" s="322">
        <f>Calculations[[#This Row],[Total Kg]]*Calculations[[#This Row],[Carbon Factor]]</f>
        <v>0</v>
      </c>
      <c r="I50" t="str">
        <f>IFERROR(VLOOKUP(Calculations[[#This Row],[Material (choose from dropdown]],MaterialData[#All],2,FALSE),"")</f>
        <v/>
      </c>
      <c r="J50" s="322">
        <f>IFERROR(((VLOOKUP(Calculations[[#This Row],[TransportSource]],TransportDistance[],2,FALSE)*'Stage assumptions'!$C$11)+VLOOKUP(Calculations[[#This Row],[TransportSource]],TransportDistance[],3,FALSE)*'Stage assumptions'!$C$12)*Calculations[[#This Row],[Total Kg]],0)</f>
        <v>0</v>
      </c>
      <c r="K50">
        <f>IFERROR(VLOOKUP(Calculations[[#This Row],[Material (choose from dropdown]], MaterialData[#All],3, FALSE),0)</f>
        <v>0</v>
      </c>
      <c r="L50" s="322">
        <f>IFERROR(VLOOKUP(Calculations[[#This Row],[A5type]],A5WastageRate[#All],2,FALSE)*Calculations[[#This Row],[A1-3]],0)</f>
        <v>0</v>
      </c>
      <c r="N50">
        <f>IFERROR(ROUNDUP(50/VLOOKUP(Calculations[[#This Row],[Scope Element]],B4referenceServiceLife[[Tier 2 element]:[Default Service Life]],2, FALSE)-1,0),0)</f>
        <v>0</v>
      </c>
      <c r="O50" s="322">
        <f>IFERROR((Calculations[[#This Row],[A1-3]]+Calculations[[#This Row],[A4]]+Calculations[[#This Row],[A5]]+Calculations[[#This Row],[C2 total]]+Calculations[[#This Row],[C3 total]]+Calculations[[#This Row],[C4 total]])*Calculations[[#This Row],[Replacements]],0)</f>
        <v>0</v>
      </c>
      <c r="S50" t="str">
        <f>IFERROR(VLOOKUP(Calculations[[#This Row],[Material (choose from dropdown]],MaterialData[#All],4,FALSE),"")</f>
        <v/>
      </c>
      <c r="T50" s="322" cm="1">
        <f t="array" ref="T50">IFERROR(VLOOKUP(Calculations[[#This Row],[Waste 1]],WasteScenario[#All],2,FALSE)*'Stage assumptions'!$C$225*WasteTransportMethod[Emissions Factor
kgCO2e/kg.km]*Calculations[[#This Row],[Total Kg]],0)</f>
        <v>0</v>
      </c>
      <c r="U50" s="322" cm="1">
        <f t="array" ref="U50">IFERROR(VLOOKUP(Calculations[[#This Row],[Waste 1]],WasteScenario[#All],3,FALSE)*'Stage assumptions'!$C$224*WasteTransportMethod[Emissions Factor
kgCO2e/kg.km]*Calculations[[#This Row],[Total Kg]],0)</f>
        <v>0</v>
      </c>
      <c r="V50" s="322" cm="1">
        <f t="array" ref="V50">IFERROR(VLOOKUP(Calculations[[#This Row],[Waste 1]],WasteScenario[#All],4,FALSE)*'Stage assumptions'!$C$223*WasteTransportMethod[Emissions Factor
kgCO2e/kg.km]*Calculations[[#This Row],[Total Kg]],0)</f>
        <v>0</v>
      </c>
      <c r="W50" s="322" cm="1">
        <f t="array" ref="W50">IFERROR(VLOOKUP(Calculations[[#This Row],[Waste 1]],WasteScenario[#All],5,FALSE)*'Stage assumptions'!$C$226*WasteTransportMethod[Emissions Factor
kgCO2e/kg.km]*Calculations[[#This Row],[Total Kg]],0)</f>
        <v>0</v>
      </c>
      <c r="X50" s="322">
        <f>SUM(Calculations[[#This Row],[C2 Recycle]:[C2 Reuse]])</f>
        <v>0</v>
      </c>
      <c r="Y50" t="str">
        <f>IFERROR(VLOOKUP(Calculations[[#This Row],[Material (choose from dropdown]],MaterialData[#All],5,FALSE),"")</f>
        <v/>
      </c>
      <c r="Z50" s="322">
        <f>IFERROR(((VLOOKUP(Calculations[[#This Row],[Waste type 2]],WasteDisposalEmissions[#All],2,FALSE))*Calculations[[#This Row],[Total Kg]])*VLOOKUP(Calculations[[#This Row],[Waste 1]],WasteScenario[#All],2,FALSE),0)</f>
        <v>0</v>
      </c>
      <c r="AA50" s="322">
        <f>IFERROR((VLOOKUP(Calculations[[#This Row],[Waste type 2]],WasteDisposalEmissions[#All],3,FALSE))*Calculations[[#This Row],[Total Kg]]*VLOOKUP(Calculations[[#This Row],[Waste 1]],WasteScenario[#All],3,FALSE),0)</f>
        <v>0</v>
      </c>
      <c r="AB50" s="322">
        <f>SUM(Calculations[[#This Row],[C3 recyc]:[C3 incin]])</f>
        <v>0</v>
      </c>
      <c r="AC50" s="322">
        <f>IFERROR((VLOOKUP(Calculations[[#This Row],[Waste type 2]],WasteLandfillEmissions[#All],2,FALSE))*Calculations[[#This Row],[Total Kg]]*VLOOKUP(Calculations[[#This Row],[Waste 1]],WasteScenario[#All],4,FALSE),0)</f>
        <v>0</v>
      </c>
      <c r="AD50" s="322">
        <f>IFERROR((VLOOKUP(Calculations[[#This Row],[Waste type 2]],WasteLandfillEmissions[#All],3,FALSE))*Calculations[[#This Row],[Total Kg]]*VLOOKUP(Calculations[[#This Row],[Waste 1]],WasteScenario[#All],4,FALSE),0)</f>
        <v>0</v>
      </c>
      <c r="AE50" s="322">
        <f>SUM(Calculations[[#This Row],[C4 landfill]:[C4 re-use]])</f>
        <v>0</v>
      </c>
      <c r="AF50" s="322">
        <f>IFERROR(VLOOKUP(Calculations[[#This Row],[Material (choose from dropdown]],MaterialData[#All],8,FALSE),0)</f>
        <v>0</v>
      </c>
      <c r="AG50" s="322">
        <f>IFERROR(Calculations[[#This Row],[Total Kg]]*Calculations[[#This Row],[Seq factor]],0)</f>
        <v>0</v>
      </c>
      <c r="AI50" s="322">
        <f>Calculations[[#This Row],[A1-3]]+Calculations[[#This Row],[A4]]+Calculations[[#This Row],[A5]]+Calculations[[#This Row],[B4]]+Calculations[[#This Row],[C2 total]]+Calculations[[#This Row],[C3 total]]+Calculations[[#This Row],[C4 total]]</f>
        <v>0</v>
      </c>
      <c r="AJ50" s="2">
        <f>IFERROR(VLOOKUP(Calculations[[#This Row],[Material (choose from dropdown]],MaterialData[[#Headers],[#Data]],9,FALSE),0)</f>
        <v>0</v>
      </c>
      <c r="AK50" s="4">
        <f>IFERROR(VLOOKUP(Calculations[[#This Row],[Material (choose from dropdown]],MaterialData[[#Headers],[#Data]],10,FALSE),0)</f>
        <v>0</v>
      </c>
      <c r="AL50" s="322">
        <f>IFERROR(Calculations[[#This Row],[Data Quality Score]]*Calculations[[#This Row],[Total Kg]],0)</f>
        <v>0</v>
      </c>
    </row>
    <row r="51" spans="1:38" x14ac:dyDescent="0.3">
      <c r="A51" s="6">
        <f>IFERROR(MaterialsBoQ[[#This Row],[Scope Element]],0)</f>
        <v>0</v>
      </c>
      <c r="B51">
        <f>IFERROR(MaterialsBoQ[[#This Row],[Material ]],"")</f>
        <v>0</v>
      </c>
      <c r="C51">
        <f>IFERROR(MaterialsBoQ[[#This Row],[Unit]],"")</f>
        <v>0</v>
      </c>
      <c r="D51" s="322">
        <f>IFERROR(MaterialsBoQ[[#This Row],[Number]],0)</f>
        <v>0</v>
      </c>
      <c r="E51" s="322">
        <f>IFERROR(MaterialsBoQ[[#This Row],[Kg per unit]],0)</f>
        <v>0</v>
      </c>
      <c r="F51" s="322">
        <f>IFERROR(Calculations[[#This Row],[Number]]*Calculations[[#This Row],[Conversion factor]],0)</f>
        <v>0</v>
      </c>
      <c r="G51" s="322">
        <f>IFERROR(VLOOKUP(Calculations[[#This Row],[Material (choose from dropdown]],MaterialData[#All],7,FALSE),0)</f>
        <v>0</v>
      </c>
      <c r="H51" s="322">
        <f>Calculations[[#This Row],[Total Kg]]*Calculations[[#This Row],[Carbon Factor]]</f>
        <v>0</v>
      </c>
      <c r="I51" t="str">
        <f>IFERROR(VLOOKUP(Calculations[[#This Row],[Material (choose from dropdown]],MaterialData[#All],2,FALSE),"")</f>
        <v/>
      </c>
      <c r="J51" s="322">
        <f>IFERROR(((VLOOKUP(Calculations[[#This Row],[TransportSource]],TransportDistance[],2,FALSE)*'Stage assumptions'!$C$11)+VLOOKUP(Calculations[[#This Row],[TransportSource]],TransportDistance[],3,FALSE)*'Stage assumptions'!$C$12)*Calculations[[#This Row],[Total Kg]],0)</f>
        <v>0</v>
      </c>
      <c r="K51">
        <f>IFERROR(VLOOKUP(Calculations[[#This Row],[Material (choose from dropdown]], MaterialData[#All],3, FALSE),0)</f>
        <v>0</v>
      </c>
      <c r="L51" s="322">
        <f>IFERROR(VLOOKUP(Calculations[[#This Row],[A5type]],A5WastageRate[#All],2,FALSE)*Calculations[[#This Row],[A1-3]],0)</f>
        <v>0</v>
      </c>
      <c r="N51">
        <f>IFERROR(ROUNDUP(50/VLOOKUP(Calculations[[#This Row],[Scope Element]],B4referenceServiceLife[[Tier 2 element]:[Default Service Life]],2, FALSE)-1,0),0)</f>
        <v>0</v>
      </c>
      <c r="O51" s="322">
        <f>IFERROR((Calculations[[#This Row],[A1-3]]+Calculations[[#This Row],[A4]]+Calculations[[#This Row],[A5]]+Calculations[[#This Row],[C2 total]]+Calculations[[#This Row],[C3 total]]+Calculations[[#This Row],[C4 total]])*Calculations[[#This Row],[Replacements]],0)</f>
        <v>0</v>
      </c>
      <c r="S51" t="str">
        <f>IFERROR(VLOOKUP(Calculations[[#This Row],[Material (choose from dropdown]],MaterialData[#All],4,FALSE),"")</f>
        <v/>
      </c>
      <c r="T51" s="322" cm="1">
        <f t="array" ref="T51">IFERROR(VLOOKUP(Calculations[[#This Row],[Waste 1]],WasteScenario[#All],2,FALSE)*'Stage assumptions'!$C$225*WasteTransportMethod[Emissions Factor
kgCO2e/kg.km]*Calculations[[#This Row],[Total Kg]],0)</f>
        <v>0</v>
      </c>
      <c r="U51" s="322" cm="1">
        <f t="array" ref="U51">IFERROR(VLOOKUP(Calculations[[#This Row],[Waste 1]],WasteScenario[#All],3,FALSE)*'Stage assumptions'!$C$224*WasteTransportMethod[Emissions Factor
kgCO2e/kg.km]*Calculations[[#This Row],[Total Kg]],0)</f>
        <v>0</v>
      </c>
      <c r="V51" s="322" cm="1">
        <f t="array" ref="V51">IFERROR(VLOOKUP(Calculations[[#This Row],[Waste 1]],WasteScenario[#All],4,FALSE)*'Stage assumptions'!$C$223*WasteTransportMethod[Emissions Factor
kgCO2e/kg.km]*Calculations[[#This Row],[Total Kg]],0)</f>
        <v>0</v>
      </c>
      <c r="W51" s="322" cm="1">
        <f t="array" ref="W51">IFERROR(VLOOKUP(Calculations[[#This Row],[Waste 1]],WasteScenario[#All],5,FALSE)*'Stage assumptions'!$C$226*WasteTransportMethod[Emissions Factor
kgCO2e/kg.km]*Calculations[[#This Row],[Total Kg]],0)</f>
        <v>0</v>
      </c>
      <c r="X51" s="322">
        <f>SUM(Calculations[[#This Row],[C2 Recycle]:[C2 Reuse]])</f>
        <v>0</v>
      </c>
      <c r="Y51" t="str">
        <f>IFERROR(VLOOKUP(Calculations[[#This Row],[Material (choose from dropdown]],MaterialData[#All],5,FALSE),"")</f>
        <v/>
      </c>
      <c r="Z51" s="322">
        <f>IFERROR(((VLOOKUP(Calculations[[#This Row],[Waste type 2]],WasteDisposalEmissions[#All],2,FALSE))*Calculations[[#This Row],[Total Kg]])*VLOOKUP(Calculations[[#This Row],[Waste 1]],WasteScenario[#All],2,FALSE),0)</f>
        <v>0</v>
      </c>
      <c r="AA51" s="322">
        <f>IFERROR((VLOOKUP(Calculations[[#This Row],[Waste type 2]],WasteDisposalEmissions[#All],3,FALSE))*Calculations[[#This Row],[Total Kg]]*VLOOKUP(Calculations[[#This Row],[Waste 1]],WasteScenario[#All],3,FALSE),0)</f>
        <v>0</v>
      </c>
      <c r="AB51" s="322">
        <f>SUM(Calculations[[#This Row],[C3 recyc]:[C3 incin]])</f>
        <v>0</v>
      </c>
      <c r="AC51" s="322">
        <f>IFERROR((VLOOKUP(Calculations[[#This Row],[Waste type 2]],WasteLandfillEmissions[#All],2,FALSE))*Calculations[[#This Row],[Total Kg]]*VLOOKUP(Calculations[[#This Row],[Waste 1]],WasteScenario[#All],4,FALSE),0)</f>
        <v>0</v>
      </c>
      <c r="AD51" s="322">
        <f>IFERROR((VLOOKUP(Calculations[[#This Row],[Waste type 2]],WasteLandfillEmissions[#All],3,FALSE))*Calculations[[#This Row],[Total Kg]]*VLOOKUP(Calculations[[#This Row],[Waste 1]],WasteScenario[#All],4,FALSE),0)</f>
        <v>0</v>
      </c>
      <c r="AE51" s="322">
        <f>SUM(Calculations[[#This Row],[C4 landfill]:[C4 re-use]])</f>
        <v>0</v>
      </c>
      <c r="AF51" s="322">
        <f>IFERROR(VLOOKUP(Calculations[[#This Row],[Material (choose from dropdown]],MaterialData[#All],8,FALSE),0)</f>
        <v>0</v>
      </c>
      <c r="AG51" s="322">
        <f>IFERROR(Calculations[[#This Row],[Total Kg]]*Calculations[[#This Row],[Seq factor]],0)</f>
        <v>0</v>
      </c>
      <c r="AI51" s="322">
        <f>Calculations[[#This Row],[A1-3]]+Calculations[[#This Row],[A4]]+Calculations[[#This Row],[A5]]+Calculations[[#This Row],[B4]]+Calculations[[#This Row],[C2 total]]+Calculations[[#This Row],[C3 total]]+Calculations[[#This Row],[C4 total]]</f>
        <v>0</v>
      </c>
      <c r="AJ51" s="2">
        <f>IFERROR(VLOOKUP(Calculations[[#This Row],[Material (choose from dropdown]],MaterialData[[#Headers],[#Data]],9,FALSE),0)</f>
        <v>0</v>
      </c>
      <c r="AK51" s="4">
        <f>IFERROR(VLOOKUP(Calculations[[#This Row],[Material (choose from dropdown]],MaterialData[[#Headers],[#Data]],10,FALSE),0)</f>
        <v>0</v>
      </c>
      <c r="AL51" s="322">
        <f>IFERROR(Calculations[[#This Row],[Data Quality Score]]*Calculations[[#This Row],[Total Kg]],0)</f>
        <v>0</v>
      </c>
    </row>
    <row r="52" spans="1:38" x14ac:dyDescent="0.3">
      <c r="A52" s="6">
        <f>IFERROR(MaterialsBoQ[[#This Row],[Scope Element]],0)</f>
        <v>0</v>
      </c>
      <c r="B52">
        <f>IFERROR(MaterialsBoQ[[#This Row],[Material ]],"")</f>
        <v>0</v>
      </c>
      <c r="C52">
        <f>IFERROR(MaterialsBoQ[[#This Row],[Unit]],"")</f>
        <v>0</v>
      </c>
      <c r="D52" s="322">
        <f>IFERROR(MaterialsBoQ[[#This Row],[Number]],0)</f>
        <v>0</v>
      </c>
      <c r="E52" s="322">
        <f>IFERROR(MaterialsBoQ[[#This Row],[Kg per unit]],0)</f>
        <v>0</v>
      </c>
      <c r="F52" s="322">
        <f>IFERROR(Calculations[[#This Row],[Number]]*Calculations[[#This Row],[Conversion factor]],0)</f>
        <v>0</v>
      </c>
      <c r="G52" s="322">
        <f>IFERROR(VLOOKUP(Calculations[[#This Row],[Material (choose from dropdown]],MaterialData[#All],7,FALSE),0)</f>
        <v>0</v>
      </c>
      <c r="H52" s="322">
        <f>Calculations[[#This Row],[Total Kg]]*Calculations[[#This Row],[Carbon Factor]]</f>
        <v>0</v>
      </c>
      <c r="I52" t="str">
        <f>IFERROR(VLOOKUP(Calculations[[#This Row],[Material (choose from dropdown]],MaterialData[#All],2,FALSE),"")</f>
        <v/>
      </c>
      <c r="J52" s="322">
        <f>IFERROR(((VLOOKUP(Calculations[[#This Row],[TransportSource]],TransportDistance[],2,FALSE)*'Stage assumptions'!$C$11)+VLOOKUP(Calculations[[#This Row],[TransportSource]],TransportDistance[],3,FALSE)*'Stage assumptions'!$C$12)*Calculations[[#This Row],[Total Kg]],0)</f>
        <v>0</v>
      </c>
      <c r="K52">
        <f>IFERROR(VLOOKUP(Calculations[[#This Row],[Material (choose from dropdown]], MaterialData[#All],3, FALSE),0)</f>
        <v>0</v>
      </c>
      <c r="L52" s="322">
        <f>IFERROR(VLOOKUP(Calculations[[#This Row],[A5type]],A5WastageRate[#All],2,FALSE)*Calculations[[#This Row],[A1-3]],0)</f>
        <v>0</v>
      </c>
      <c r="N52">
        <f>IFERROR(ROUNDUP(50/VLOOKUP(Calculations[[#This Row],[Scope Element]],B4referenceServiceLife[[Tier 2 element]:[Default Service Life]],2, FALSE)-1,0),0)</f>
        <v>0</v>
      </c>
      <c r="O52" s="322">
        <f>IFERROR((Calculations[[#This Row],[A1-3]]+Calculations[[#This Row],[A4]]+Calculations[[#This Row],[A5]]+Calculations[[#This Row],[C2 total]]+Calculations[[#This Row],[C3 total]]+Calculations[[#This Row],[C4 total]])*Calculations[[#This Row],[Replacements]],0)</f>
        <v>0</v>
      </c>
      <c r="S52" t="str">
        <f>IFERROR(VLOOKUP(Calculations[[#This Row],[Material (choose from dropdown]],MaterialData[#All],4,FALSE),"")</f>
        <v/>
      </c>
      <c r="T52" s="322" cm="1">
        <f t="array" ref="T52">IFERROR(VLOOKUP(Calculations[[#This Row],[Waste 1]],WasteScenario[#All],2,FALSE)*'Stage assumptions'!$C$225*WasteTransportMethod[Emissions Factor
kgCO2e/kg.km]*Calculations[[#This Row],[Total Kg]],0)</f>
        <v>0</v>
      </c>
      <c r="U52" s="322" cm="1">
        <f t="array" ref="U52">IFERROR(VLOOKUP(Calculations[[#This Row],[Waste 1]],WasteScenario[#All],3,FALSE)*'Stage assumptions'!$C$224*WasteTransportMethod[Emissions Factor
kgCO2e/kg.km]*Calculations[[#This Row],[Total Kg]],0)</f>
        <v>0</v>
      </c>
      <c r="V52" s="322" cm="1">
        <f t="array" ref="V52">IFERROR(VLOOKUP(Calculations[[#This Row],[Waste 1]],WasteScenario[#All],4,FALSE)*'Stage assumptions'!$C$223*WasteTransportMethod[Emissions Factor
kgCO2e/kg.km]*Calculations[[#This Row],[Total Kg]],0)</f>
        <v>0</v>
      </c>
      <c r="W52" s="322" cm="1">
        <f t="array" ref="W52">IFERROR(VLOOKUP(Calculations[[#This Row],[Waste 1]],WasteScenario[#All],5,FALSE)*'Stage assumptions'!$C$226*WasteTransportMethod[Emissions Factor
kgCO2e/kg.km]*Calculations[[#This Row],[Total Kg]],0)</f>
        <v>0</v>
      </c>
      <c r="X52" s="322">
        <f>SUM(Calculations[[#This Row],[C2 Recycle]:[C2 Reuse]])</f>
        <v>0</v>
      </c>
      <c r="Y52" t="str">
        <f>IFERROR(VLOOKUP(Calculations[[#This Row],[Material (choose from dropdown]],MaterialData[#All],5,FALSE),"")</f>
        <v/>
      </c>
      <c r="Z52" s="322">
        <f>IFERROR(((VLOOKUP(Calculations[[#This Row],[Waste type 2]],WasteDisposalEmissions[#All],2,FALSE))*Calculations[[#This Row],[Total Kg]])*VLOOKUP(Calculations[[#This Row],[Waste 1]],WasteScenario[#All],2,FALSE),0)</f>
        <v>0</v>
      </c>
      <c r="AA52" s="322">
        <f>IFERROR((VLOOKUP(Calculations[[#This Row],[Waste type 2]],WasteDisposalEmissions[#All],3,FALSE))*Calculations[[#This Row],[Total Kg]]*VLOOKUP(Calculations[[#This Row],[Waste 1]],WasteScenario[#All],3,FALSE),0)</f>
        <v>0</v>
      </c>
      <c r="AB52" s="322">
        <f>SUM(Calculations[[#This Row],[C3 recyc]:[C3 incin]])</f>
        <v>0</v>
      </c>
      <c r="AC52" s="322">
        <f>IFERROR((VLOOKUP(Calculations[[#This Row],[Waste type 2]],WasteLandfillEmissions[#All],2,FALSE))*Calculations[[#This Row],[Total Kg]]*VLOOKUP(Calculations[[#This Row],[Waste 1]],WasteScenario[#All],4,FALSE),0)</f>
        <v>0</v>
      </c>
      <c r="AD52" s="322">
        <f>IFERROR((VLOOKUP(Calculations[[#This Row],[Waste type 2]],WasteLandfillEmissions[#All],3,FALSE))*Calculations[[#This Row],[Total Kg]]*VLOOKUP(Calculations[[#This Row],[Waste 1]],WasteScenario[#All],4,FALSE),0)</f>
        <v>0</v>
      </c>
      <c r="AE52" s="322">
        <f>SUM(Calculations[[#This Row],[C4 landfill]:[C4 re-use]])</f>
        <v>0</v>
      </c>
      <c r="AF52" s="322">
        <f>IFERROR(VLOOKUP(Calculations[[#This Row],[Material (choose from dropdown]],MaterialData[#All],8,FALSE),0)</f>
        <v>0</v>
      </c>
      <c r="AG52" s="322">
        <f>IFERROR(Calculations[[#This Row],[Total Kg]]*Calculations[[#This Row],[Seq factor]],0)</f>
        <v>0</v>
      </c>
      <c r="AI52" s="322">
        <f>Calculations[[#This Row],[A1-3]]+Calculations[[#This Row],[A4]]+Calculations[[#This Row],[A5]]+Calculations[[#This Row],[B4]]+Calculations[[#This Row],[C2 total]]+Calculations[[#This Row],[C3 total]]+Calculations[[#This Row],[C4 total]]</f>
        <v>0</v>
      </c>
      <c r="AJ52" s="2">
        <f>IFERROR(VLOOKUP(Calculations[[#This Row],[Material (choose from dropdown]],MaterialData[[#Headers],[#Data]],9,FALSE),0)</f>
        <v>0</v>
      </c>
      <c r="AK52" s="4">
        <f>IFERROR(VLOOKUP(Calculations[[#This Row],[Material (choose from dropdown]],MaterialData[[#Headers],[#Data]],10,FALSE),0)</f>
        <v>0</v>
      </c>
      <c r="AL52" s="322">
        <f>IFERROR(Calculations[[#This Row],[Data Quality Score]]*Calculations[[#This Row],[Total Kg]],0)</f>
        <v>0</v>
      </c>
    </row>
    <row r="53" spans="1:38" x14ac:dyDescent="0.3">
      <c r="A53" s="6">
        <f>IFERROR(MaterialsBoQ[[#This Row],[Scope Element]],0)</f>
        <v>0</v>
      </c>
      <c r="B53">
        <f>IFERROR(MaterialsBoQ[[#This Row],[Material ]],"")</f>
        <v>0</v>
      </c>
      <c r="C53">
        <f>IFERROR(MaterialsBoQ[[#This Row],[Unit]],"")</f>
        <v>0</v>
      </c>
      <c r="D53" s="322">
        <f>IFERROR(MaterialsBoQ[[#This Row],[Number]],0)</f>
        <v>0</v>
      </c>
      <c r="E53" s="322">
        <f>IFERROR(MaterialsBoQ[[#This Row],[Kg per unit]],0)</f>
        <v>0</v>
      </c>
      <c r="F53" s="322">
        <f>IFERROR(Calculations[[#This Row],[Number]]*Calculations[[#This Row],[Conversion factor]],0)</f>
        <v>0</v>
      </c>
      <c r="G53" s="322">
        <f>IFERROR(VLOOKUP(Calculations[[#This Row],[Material (choose from dropdown]],MaterialData[#All],7,FALSE),0)</f>
        <v>0</v>
      </c>
      <c r="H53" s="322">
        <f>Calculations[[#This Row],[Total Kg]]*Calculations[[#This Row],[Carbon Factor]]</f>
        <v>0</v>
      </c>
      <c r="I53" t="str">
        <f>IFERROR(VLOOKUP(Calculations[[#This Row],[Material (choose from dropdown]],MaterialData[#All],2,FALSE),"")</f>
        <v/>
      </c>
      <c r="J53" s="322">
        <f>IFERROR(((VLOOKUP(Calculations[[#This Row],[TransportSource]],TransportDistance[],2,FALSE)*'Stage assumptions'!$C$11)+VLOOKUP(Calculations[[#This Row],[TransportSource]],TransportDistance[],3,FALSE)*'Stage assumptions'!$C$12)*Calculations[[#This Row],[Total Kg]],0)</f>
        <v>0</v>
      </c>
      <c r="K53">
        <f>IFERROR(VLOOKUP(Calculations[[#This Row],[Material (choose from dropdown]], MaterialData[#All],3, FALSE),0)</f>
        <v>0</v>
      </c>
      <c r="L53" s="322">
        <f>IFERROR(VLOOKUP(Calculations[[#This Row],[A5type]],A5WastageRate[#All],2,FALSE)*Calculations[[#This Row],[A1-3]],0)</f>
        <v>0</v>
      </c>
      <c r="N53">
        <f>IFERROR(ROUNDUP(50/VLOOKUP(Calculations[[#This Row],[Scope Element]],B4referenceServiceLife[[Tier 2 element]:[Default Service Life]],2, FALSE)-1,0),0)</f>
        <v>0</v>
      </c>
      <c r="O53" s="322">
        <f>IFERROR((Calculations[[#This Row],[A1-3]]+Calculations[[#This Row],[A4]]+Calculations[[#This Row],[A5]]+Calculations[[#This Row],[C2 total]]+Calculations[[#This Row],[C3 total]]+Calculations[[#This Row],[C4 total]])*Calculations[[#This Row],[Replacements]],0)</f>
        <v>0</v>
      </c>
      <c r="S53" t="str">
        <f>IFERROR(VLOOKUP(Calculations[[#This Row],[Material (choose from dropdown]],MaterialData[#All],4,FALSE),"")</f>
        <v/>
      </c>
      <c r="T53" s="322" cm="1">
        <f t="array" ref="T53">IFERROR(VLOOKUP(Calculations[[#This Row],[Waste 1]],WasteScenario[#All],2,FALSE)*'Stage assumptions'!$C$225*WasteTransportMethod[Emissions Factor
kgCO2e/kg.km]*Calculations[[#This Row],[Total Kg]],0)</f>
        <v>0</v>
      </c>
      <c r="U53" s="322" cm="1">
        <f t="array" ref="U53">IFERROR(VLOOKUP(Calculations[[#This Row],[Waste 1]],WasteScenario[#All],3,FALSE)*'Stage assumptions'!$C$224*WasteTransportMethod[Emissions Factor
kgCO2e/kg.km]*Calculations[[#This Row],[Total Kg]],0)</f>
        <v>0</v>
      </c>
      <c r="V53" s="322" cm="1">
        <f t="array" ref="V53">IFERROR(VLOOKUP(Calculations[[#This Row],[Waste 1]],WasteScenario[#All],4,FALSE)*'Stage assumptions'!$C$223*WasteTransportMethod[Emissions Factor
kgCO2e/kg.km]*Calculations[[#This Row],[Total Kg]],0)</f>
        <v>0</v>
      </c>
      <c r="W53" s="322" cm="1">
        <f t="array" ref="W53">IFERROR(VLOOKUP(Calculations[[#This Row],[Waste 1]],WasteScenario[#All],5,FALSE)*'Stage assumptions'!$C$226*WasteTransportMethod[Emissions Factor
kgCO2e/kg.km]*Calculations[[#This Row],[Total Kg]],0)</f>
        <v>0</v>
      </c>
      <c r="X53" s="322">
        <f>SUM(Calculations[[#This Row],[C2 Recycle]:[C2 Reuse]])</f>
        <v>0</v>
      </c>
      <c r="Y53" t="str">
        <f>IFERROR(VLOOKUP(Calculations[[#This Row],[Material (choose from dropdown]],MaterialData[#All],5,FALSE),"")</f>
        <v/>
      </c>
      <c r="Z53" s="322">
        <f>IFERROR(((VLOOKUP(Calculations[[#This Row],[Waste type 2]],WasteDisposalEmissions[#All],2,FALSE))*Calculations[[#This Row],[Total Kg]])*VLOOKUP(Calculations[[#This Row],[Waste 1]],WasteScenario[#All],2,FALSE),0)</f>
        <v>0</v>
      </c>
      <c r="AA53" s="322">
        <f>IFERROR((VLOOKUP(Calculations[[#This Row],[Waste type 2]],WasteDisposalEmissions[#All],3,FALSE))*Calculations[[#This Row],[Total Kg]]*VLOOKUP(Calculations[[#This Row],[Waste 1]],WasteScenario[#All],3,FALSE),0)</f>
        <v>0</v>
      </c>
      <c r="AB53" s="322">
        <f>SUM(Calculations[[#This Row],[C3 recyc]:[C3 incin]])</f>
        <v>0</v>
      </c>
      <c r="AC53" s="322">
        <f>IFERROR((VLOOKUP(Calculations[[#This Row],[Waste type 2]],WasteLandfillEmissions[#All],2,FALSE))*Calculations[[#This Row],[Total Kg]]*VLOOKUP(Calculations[[#This Row],[Waste 1]],WasteScenario[#All],4,FALSE),0)</f>
        <v>0</v>
      </c>
      <c r="AD53" s="322">
        <f>IFERROR((VLOOKUP(Calculations[[#This Row],[Waste type 2]],WasteLandfillEmissions[#All],3,FALSE))*Calculations[[#This Row],[Total Kg]]*VLOOKUP(Calculations[[#This Row],[Waste 1]],WasteScenario[#All],4,FALSE),0)</f>
        <v>0</v>
      </c>
      <c r="AE53" s="322">
        <f>SUM(Calculations[[#This Row],[C4 landfill]:[C4 re-use]])</f>
        <v>0</v>
      </c>
      <c r="AF53" s="322">
        <f>IFERROR(VLOOKUP(Calculations[[#This Row],[Material (choose from dropdown]],MaterialData[#All],8,FALSE),0)</f>
        <v>0</v>
      </c>
      <c r="AG53" s="322">
        <f>IFERROR(Calculations[[#This Row],[Total Kg]]*Calculations[[#This Row],[Seq factor]],0)</f>
        <v>0</v>
      </c>
      <c r="AI53" s="322">
        <f>Calculations[[#This Row],[A1-3]]+Calculations[[#This Row],[A4]]+Calculations[[#This Row],[A5]]+Calculations[[#This Row],[B4]]+Calculations[[#This Row],[C2 total]]+Calculations[[#This Row],[C3 total]]+Calculations[[#This Row],[C4 total]]</f>
        <v>0</v>
      </c>
      <c r="AJ53" s="2">
        <f>IFERROR(VLOOKUP(Calculations[[#This Row],[Material (choose from dropdown]],MaterialData[[#Headers],[#Data]],9,FALSE),0)</f>
        <v>0</v>
      </c>
      <c r="AK53" s="4">
        <f>IFERROR(VLOOKUP(Calculations[[#This Row],[Material (choose from dropdown]],MaterialData[[#Headers],[#Data]],10,FALSE),0)</f>
        <v>0</v>
      </c>
      <c r="AL53" s="322">
        <f>IFERROR(Calculations[[#This Row],[Data Quality Score]]*Calculations[[#This Row],[Total Kg]],0)</f>
        <v>0</v>
      </c>
    </row>
    <row r="54" spans="1:38" x14ac:dyDescent="0.3">
      <c r="A54" s="6">
        <f>IFERROR(MaterialsBoQ[[#This Row],[Scope Element]],0)</f>
        <v>0</v>
      </c>
      <c r="B54">
        <f>IFERROR(MaterialsBoQ[[#This Row],[Material ]],"")</f>
        <v>0</v>
      </c>
      <c r="C54">
        <f>IFERROR(MaterialsBoQ[[#This Row],[Unit]],"")</f>
        <v>0</v>
      </c>
      <c r="D54" s="322">
        <f>IFERROR(MaterialsBoQ[[#This Row],[Number]],0)</f>
        <v>0</v>
      </c>
      <c r="E54" s="322">
        <f>IFERROR(MaterialsBoQ[[#This Row],[Kg per unit]],0)</f>
        <v>0</v>
      </c>
      <c r="F54" s="322">
        <f>IFERROR(Calculations[[#This Row],[Number]]*Calculations[[#This Row],[Conversion factor]],0)</f>
        <v>0</v>
      </c>
      <c r="G54" s="322">
        <f>IFERROR(VLOOKUP(Calculations[[#This Row],[Material (choose from dropdown]],MaterialData[#All],7,FALSE),0)</f>
        <v>0</v>
      </c>
      <c r="H54" s="322">
        <f>Calculations[[#This Row],[Total Kg]]*Calculations[[#This Row],[Carbon Factor]]</f>
        <v>0</v>
      </c>
      <c r="I54" t="str">
        <f>IFERROR(VLOOKUP(Calculations[[#This Row],[Material (choose from dropdown]],MaterialData[#All],2,FALSE),"")</f>
        <v/>
      </c>
      <c r="J54" s="322">
        <f>IFERROR(((VLOOKUP(Calculations[[#This Row],[TransportSource]],TransportDistance[],2,FALSE)*'Stage assumptions'!$C$11)+VLOOKUP(Calculations[[#This Row],[TransportSource]],TransportDistance[],3,FALSE)*'Stage assumptions'!$C$12)*Calculations[[#This Row],[Total Kg]],0)</f>
        <v>0</v>
      </c>
      <c r="K54">
        <f>IFERROR(VLOOKUP(Calculations[[#This Row],[Material (choose from dropdown]], MaterialData[#All],3, FALSE),0)</f>
        <v>0</v>
      </c>
      <c r="L54" s="322">
        <f>IFERROR(VLOOKUP(Calculations[[#This Row],[A5type]],A5WastageRate[#All],2,FALSE)*Calculations[[#This Row],[A1-3]],0)</f>
        <v>0</v>
      </c>
      <c r="N54">
        <f>IFERROR(ROUNDUP(50/VLOOKUP(Calculations[[#This Row],[Scope Element]],B4referenceServiceLife[[Tier 2 element]:[Default Service Life]],2, FALSE)-1,0),0)</f>
        <v>0</v>
      </c>
      <c r="O54" s="322">
        <f>IFERROR((Calculations[[#This Row],[A1-3]]+Calculations[[#This Row],[A4]]+Calculations[[#This Row],[A5]]+Calculations[[#This Row],[C2 total]]+Calculations[[#This Row],[C3 total]]+Calculations[[#This Row],[C4 total]])*Calculations[[#This Row],[Replacements]],0)</f>
        <v>0</v>
      </c>
      <c r="S54" t="str">
        <f>IFERROR(VLOOKUP(Calculations[[#This Row],[Material (choose from dropdown]],MaterialData[#All],4,FALSE),"")</f>
        <v/>
      </c>
      <c r="T54" s="322" cm="1">
        <f t="array" ref="T54">IFERROR(VLOOKUP(Calculations[[#This Row],[Waste 1]],WasteScenario[#All],2,FALSE)*'Stage assumptions'!$C$225*WasteTransportMethod[Emissions Factor
kgCO2e/kg.km]*Calculations[[#This Row],[Total Kg]],0)</f>
        <v>0</v>
      </c>
      <c r="U54" s="322" cm="1">
        <f t="array" ref="U54">IFERROR(VLOOKUP(Calculations[[#This Row],[Waste 1]],WasteScenario[#All],3,FALSE)*'Stage assumptions'!$C$224*WasteTransportMethod[Emissions Factor
kgCO2e/kg.km]*Calculations[[#This Row],[Total Kg]],0)</f>
        <v>0</v>
      </c>
      <c r="V54" s="322" cm="1">
        <f t="array" ref="V54">IFERROR(VLOOKUP(Calculations[[#This Row],[Waste 1]],WasteScenario[#All],4,FALSE)*'Stage assumptions'!$C$223*WasteTransportMethod[Emissions Factor
kgCO2e/kg.km]*Calculations[[#This Row],[Total Kg]],0)</f>
        <v>0</v>
      </c>
      <c r="W54" s="322" cm="1">
        <f t="array" ref="W54">IFERROR(VLOOKUP(Calculations[[#This Row],[Waste 1]],WasteScenario[#All],5,FALSE)*'Stage assumptions'!$C$226*WasteTransportMethod[Emissions Factor
kgCO2e/kg.km]*Calculations[[#This Row],[Total Kg]],0)</f>
        <v>0</v>
      </c>
      <c r="X54" s="322">
        <f>SUM(Calculations[[#This Row],[C2 Recycle]:[C2 Reuse]])</f>
        <v>0</v>
      </c>
      <c r="Y54" t="str">
        <f>IFERROR(VLOOKUP(Calculations[[#This Row],[Material (choose from dropdown]],MaterialData[#All],5,FALSE),"")</f>
        <v/>
      </c>
      <c r="Z54" s="322">
        <f>IFERROR(((VLOOKUP(Calculations[[#This Row],[Waste type 2]],WasteDisposalEmissions[#All],2,FALSE))*Calculations[[#This Row],[Total Kg]])*VLOOKUP(Calculations[[#This Row],[Waste 1]],WasteScenario[#All],2,FALSE),0)</f>
        <v>0</v>
      </c>
      <c r="AA54" s="322">
        <f>IFERROR((VLOOKUP(Calculations[[#This Row],[Waste type 2]],WasteDisposalEmissions[#All],3,FALSE))*Calculations[[#This Row],[Total Kg]]*VLOOKUP(Calculations[[#This Row],[Waste 1]],WasteScenario[#All],3,FALSE),0)</f>
        <v>0</v>
      </c>
      <c r="AB54" s="322">
        <f>SUM(Calculations[[#This Row],[C3 recyc]:[C3 incin]])</f>
        <v>0</v>
      </c>
      <c r="AC54" s="322">
        <f>IFERROR((VLOOKUP(Calculations[[#This Row],[Waste type 2]],WasteLandfillEmissions[#All],2,FALSE))*Calculations[[#This Row],[Total Kg]]*VLOOKUP(Calculations[[#This Row],[Waste 1]],WasteScenario[#All],4,FALSE),0)</f>
        <v>0</v>
      </c>
      <c r="AD54" s="322">
        <f>IFERROR((VLOOKUP(Calculations[[#This Row],[Waste type 2]],WasteLandfillEmissions[#All],3,FALSE))*Calculations[[#This Row],[Total Kg]]*VLOOKUP(Calculations[[#This Row],[Waste 1]],WasteScenario[#All],4,FALSE),0)</f>
        <v>0</v>
      </c>
      <c r="AE54" s="322">
        <f>SUM(Calculations[[#This Row],[C4 landfill]:[C4 re-use]])</f>
        <v>0</v>
      </c>
      <c r="AF54" s="322">
        <f>IFERROR(VLOOKUP(Calculations[[#This Row],[Material (choose from dropdown]],MaterialData[#All],8,FALSE),0)</f>
        <v>0</v>
      </c>
      <c r="AG54" s="322">
        <f>IFERROR(Calculations[[#This Row],[Total Kg]]*Calculations[[#This Row],[Seq factor]],0)</f>
        <v>0</v>
      </c>
      <c r="AI54" s="322">
        <f>Calculations[[#This Row],[A1-3]]+Calculations[[#This Row],[A4]]+Calculations[[#This Row],[A5]]+Calculations[[#This Row],[B4]]+Calculations[[#This Row],[C2 total]]+Calculations[[#This Row],[C3 total]]+Calculations[[#This Row],[C4 total]]</f>
        <v>0</v>
      </c>
      <c r="AJ54" s="2">
        <f>IFERROR(VLOOKUP(Calculations[[#This Row],[Material (choose from dropdown]],MaterialData[[#Headers],[#Data]],9,FALSE),0)</f>
        <v>0</v>
      </c>
      <c r="AK54" s="4">
        <f>IFERROR(VLOOKUP(Calculations[[#This Row],[Material (choose from dropdown]],MaterialData[[#Headers],[#Data]],10,FALSE),0)</f>
        <v>0</v>
      </c>
      <c r="AL54" s="322">
        <f>IFERROR(Calculations[[#This Row],[Data Quality Score]]*Calculations[[#This Row],[Total Kg]],0)</f>
        <v>0</v>
      </c>
    </row>
    <row r="55" spans="1:38" x14ac:dyDescent="0.3">
      <c r="A55" s="6">
        <f>IFERROR(MaterialsBoQ[[#This Row],[Scope Element]],0)</f>
        <v>0</v>
      </c>
      <c r="B55">
        <f>IFERROR(MaterialsBoQ[[#This Row],[Material ]],"")</f>
        <v>0</v>
      </c>
      <c r="C55">
        <f>IFERROR(MaterialsBoQ[[#This Row],[Unit]],"")</f>
        <v>0</v>
      </c>
      <c r="D55" s="322">
        <f>IFERROR(MaterialsBoQ[[#This Row],[Number]],0)</f>
        <v>0</v>
      </c>
      <c r="E55" s="322">
        <f>IFERROR(MaterialsBoQ[[#This Row],[Kg per unit]],0)</f>
        <v>0</v>
      </c>
      <c r="F55" s="322">
        <f>IFERROR(Calculations[[#This Row],[Number]]*Calculations[[#This Row],[Conversion factor]],0)</f>
        <v>0</v>
      </c>
      <c r="G55" s="322">
        <f>IFERROR(VLOOKUP(Calculations[[#This Row],[Material (choose from dropdown]],MaterialData[#All],7,FALSE),0)</f>
        <v>0</v>
      </c>
      <c r="H55" s="322">
        <f>Calculations[[#This Row],[Total Kg]]*Calculations[[#This Row],[Carbon Factor]]</f>
        <v>0</v>
      </c>
      <c r="I55" t="str">
        <f>IFERROR(VLOOKUP(Calculations[[#This Row],[Material (choose from dropdown]],MaterialData[#All],2,FALSE),"")</f>
        <v/>
      </c>
      <c r="J55" s="322">
        <f>IFERROR(((VLOOKUP(Calculations[[#This Row],[TransportSource]],TransportDistance[],2,FALSE)*'Stage assumptions'!$C$11)+VLOOKUP(Calculations[[#This Row],[TransportSource]],TransportDistance[],3,FALSE)*'Stage assumptions'!$C$12)*Calculations[[#This Row],[Total Kg]],0)</f>
        <v>0</v>
      </c>
      <c r="K55">
        <f>IFERROR(VLOOKUP(Calculations[[#This Row],[Material (choose from dropdown]], MaterialData[#All],3, FALSE),0)</f>
        <v>0</v>
      </c>
      <c r="L55" s="322">
        <f>IFERROR(VLOOKUP(Calculations[[#This Row],[A5type]],A5WastageRate[#All],2,FALSE)*Calculations[[#This Row],[A1-3]],0)</f>
        <v>0</v>
      </c>
      <c r="N55">
        <f>IFERROR(ROUNDUP(50/VLOOKUP(Calculations[[#This Row],[Scope Element]],B4referenceServiceLife[[Tier 2 element]:[Default Service Life]],2, FALSE)-1,0),0)</f>
        <v>0</v>
      </c>
      <c r="O55" s="322">
        <f>IFERROR((Calculations[[#This Row],[A1-3]]+Calculations[[#This Row],[A4]]+Calculations[[#This Row],[A5]]+Calculations[[#This Row],[C2 total]]+Calculations[[#This Row],[C3 total]]+Calculations[[#This Row],[C4 total]])*Calculations[[#This Row],[Replacements]],0)</f>
        <v>0</v>
      </c>
      <c r="S55" t="str">
        <f>IFERROR(VLOOKUP(Calculations[[#This Row],[Material (choose from dropdown]],MaterialData[#All],4,FALSE),"")</f>
        <v/>
      </c>
      <c r="T55" s="322" cm="1">
        <f t="array" ref="T55">IFERROR(VLOOKUP(Calculations[[#This Row],[Waste 1]],WasteScenario[#All],2,FALSE)*'Stage assumptions'!$C$225*WasteTransportMethod[Emissions Factor
kgCO2e/kg.km]*Calculations[[#This Row],[Total Kg]],0)</f>
        <v>0</v>
      </c>
      <c r="U55" s="322" cm="1">
        <f t="array" ref="U55">IFERROR(VLOOKUP(Calculations[[#This Row],[Waste 1]],WasteScenario[#All],3,FALSE)*'Stage assumptions'!$C$224*WasteTransportMethod[Emissions Factor
kgCO2e/kg.km]*Calculations[[#This Row],[Total Kg]],0)</f>
        <v>0</v>
      </c>
      <c r="V55" s="322" cm="1">
        <f t="array" ref="V55">IFERROR(VLOOKUP(Calculations[[#This Row],[Waste 1]],WasteScenario[#All],4,FALSE)*'Stage assumptions'!$C$223*WasteTransportMethod[Emissions Factor
kgCO2e/kg.km]*Calculations[[#This Row],[Total Kg]],0)</f>
        <v>0</v>
      </c>
      <c r="W55" s="322" cm="1">
        <f t="array" ref="W55">IFERROR(VLOOKUP(Calculations[[#This Row],[Waste 1]],WasteScenario[#All],5,FALSE)*'Stage assumptions'!$C$226*WasteTransportMethod[Emissions Factor
kgCO2e/kg.km]*Calculations[[#This Row],[Total Kg]],0)</f>
        <v>0</v>
      </c>
      <c r="X55" s="322">
        <f>SUM(Calculations[[#This Row],[C2 Recycle]:[C2 Reuse]])</f>
        <v>0</v>
      </c>
      <c r="Y55" t="str">
        <f>IFERROR(VLOOKUP(Calculations[[#This Row],[Material (choose from dropdown]],MaterialData[#All],5,FALSE),"")</f>
        <v/>
      </c>
      <c r="Z55" s="322">
        <f>IFERROR(((VLOOKUP(Calculations[[#This Row],[Waste type 2]],WasteDisposalEmissions[#All],2,FALSE))*Calculations[[#This Row],[Total Kg]])*VLOOKUP(Calculations[[#This Row],[Waste 1]],WasteScenario[#All],2,FALSE),0)</f>
        <v>0</v>
      </c>
      <c r="AA55" s="322">
        <f>IFERROR((VLOOKUP(Calculations[[#This Row],[Waste type 2]],WasteDisposalEmissions[#All],3,FALSE))*Calculations[[#This Row],[Total Kg]]*VLOOKUP(Calculations[[#This Row],[Waste 1]],WasteScenario[#All],3,FALSE),0)</f>
        <v>0</v>
      </c>
      <c r="AB55" s="322">
        <f>SUM(Calculations[[#This Row],[C3 recyc]:[C3 incin]])</f>
        <v>0</v>
      </c>
      <c r="AC55" s="322">
        <f>IFERROR((VLOOKUP(Calculations[[#This Row],[Waste type 2]],WasteLandfillEmissions[#All],2,FALSE))*Calculations[[#This Row],[Total Kg]]*VLOOKUP(Calculations[[#This Row],[Waste 1]],WasteScenario[#All],4,FALSE),0)</f>
        <v>0</v>
      </c>
      <c r="AD55" s="322">
        <f>IFERROR((VLOOKUP(Calculations[[#This Row],[Waste type 2]],WasteLandfillEmissions[#All],3,FALSE))*Calculations[[#This Row],[Total Kg]]*VLOOKUP(Calculations[[#This Row],[Waste 1]],WasteScenario[#All],4,FALSE),0)</f>
        <v>0</v>
      </c>
      <c r="AE55" s="322">
        <f>SUM(Calculations[[#This Row],[C4 landfill]:[C4 re-use]])</f>
        <v>0</v>
      </c>
      <c r="AF55" s="322">
        <f>IFERROR(VLOOKUP(Calculations[[#This Row],[Material (choose from dropdown]],MaterialData[#All],8,FALSE),0)</f>
        <v>0</v>
      </c>
      <c r="AG55" s="322">
        <f>IFERROR(Calculations[[#This Row],[Total Kg]]*Calculations[[#This Row],[Seq factor]],0)</f>
        <v>0</v>
      </c>
      <c r="AI55" s="322">
        <f>Calculations[[#This Row],[A1-3]]+Calculations[[#This Row],[A4]]+Calculations[[#This Row],[A5]]+Calculations[[#This Row],[B4]]+Calculations[[#This Row],[C2 total]]+Calculations[[#This Row],[C3 total]]+Calculations[[#This Row],[C4 total]]</f>
        <v>0</v>
      </c>
      <c r="AJ55" s="2">
        <f>IFERROR(VLOOKUP(Calculations[[#This Row],[Material (choose from dropdown]],MaterialData[[#Headers],[#Data]],9,FALSE),0)</f>
        <v>0</v>
      </c>
      <c r="AK55" s="4">
        <f>IFERROR(VLOOKUP(Calculations[[#This Row],[Material (choose from dropdown]],MaterialData[[#Headers],[#Data]],10,FALSE),0)</f>
        <v>0</v>
      </c>
      <c r="AL55" s="322">
        <f>IFERROR(Calculations[[#This Row],[Data Quality Score]]*Calculations[[#This Row],[Total Kg]],0)</f>
        <v>0</v>
      </c>
    </row>
    <row r="56" spans="1:38" x14ac:dyDescent="0.3">
      <c r="A56" s="6">
        <f>IFERROR(MaterialsBoQ[[#This Row],[Scope Element]],0)</f>
        <v>0</v>
      </c>
      <c r="B56">
        <f>IFERROR(MaterialsBoQ[[#This Row],[Material ]],"")</f>
        <v>0</v>
      </c>
      <c r="C56">
        <f>IFERROR(MaterialsBoQ[[#This Row],[Unit]],"")</f>
        <v>0</v>
      </c>
      <c r="D56" s="322">
        <f>IFERROR(MaterialsBoQ[[#This Row],[Number]],0)</f>
        <v>0</v>
      </c>
      <c r="E56" s="322">
        <f>IFERROR(MaterialsBoQ[[#This Row],[Kg per unit]],0)</f>
        <v>0</v>
      </c>
      <c r="F56" s="322">
        <f>IFERROR(Calculations[[#This Row],[Number]]*Calculations[[#This Row],[Conversion factor]],0)</f>
        <v>0</v>
      </c>
      <c r="G56" s="322">
        <f>IFERROR(VLOOKUP(Calculations[[#This Row],[Material (choose from dropdown]],MaterialData[#All],7,FALSE),0)</f>
        <v>0</v>
      </c>
      <c r="H56" s="322">
        <f>Calculations[[#This Row],[Total Kg]]*Calculations[[#This Row],[Carbon Factor]]</f>
        <v>0</v>
      </c>
      <c r="I56" t="str">
        <f>IFERROR(VLOOKUP(Calculations[[#This Row],[Material (choose from dropdown]],MaterialData[#All],2,FALSE),"")</f>
        <v/>
      </c>
      <c r="J56" s="322">
        <f>IFERROR(((VLOOKUP(Calculations[[#This Row],[TransportSource]],TransportDistance[],2,FALSE)*'Stage assumptions'!$C$11)+VLOOKUP(Calculations[[#This Row],[TransportSource]],TransportDistance[],3,FALSE)*'Stage assumptions'!$C$12)*Calculations[[#This Row],[Total Kg]],0)</f>
        <v>0</v>
      </c>
      <c r="K56">
        <f>IFERROR(VLOOKUP(Calculations[[#This Row],[Material (choose from dropdown]], MaterialData[#All],3, FALSE),0)</f>
        <v>0</v>
      </c>
      <c r="L56" s="322">
        <f>IFERROR(VLOOKUP(Calculations[[#This Row],[A5type]],A5WastageRate[#All],2,FALSE)*Calculations[[#This Row],[A1-3]],0)</f>
        <v>0</v>
      </c>
      <c r="N56">
        <f>IFERROR(ROUNDUP(50/VLOOKUP(Calculations[[#This Row],[Scope Element]],B4referenceServiceLife[[Tier 2 element]:[Default Service Life]],2, FALSE)-1,0),0)</f>
        <v>0</v>
      </c>
      <c r="O56" s="322">
        <f>IFERROR((Calculations[[#This Row],[A1-3]]+Calculations[[#This Row],[A4]]+Calculations[[#This Row],[A5]]+Calculations[[#This Row],[C2 total]]+Calculations[[#This Row],[C3 total]]+Calculations[[#This Row],[C4 total]])*Calculations[[#This Row],[Replacements]],0)</f>
        <v>0</v>
      </c>
      <c r="S56" t="str">
        <f>IFERROR(VLOOKUP(Calculations[[#This Row],[Material (choose from dropdown]],MaterialData[#All],4,FALSE),"")</f>
        <v/>
      </c>
      <c r="T56" s="322" cm="1">
        <f t="array" ref="T56">IFERROR(VLOOKUP(Calculations[[#This Row],[Waste 1]],WasteScenario[#All],2,FALSE)*'Stage assumptions'!$C$225*WasteTransportMethod[Emissions Factor
kgCO2e/kg.km]*Calculations[[#This Row],[Total Kg]],0)</f>
        <v>0</v>
      </c>
      <c r="U56" s="322" cm="1">
        <f t="array" ref="U56">IFERROR(VLOOKUP(Calculations[[#This Row],[Waste 1]],WasteScenario[#All],3,FALSE)*'Stage assumptions'!$C$224*WasteTransportMethod[Emissions Factor
kgCO2e/kg.km]*Calculations[[#This Row],[Total Kg]],0)</f>
        <v>0</v>
      </c>
      <c r="V56" s="322" cm="1">
        <f t="array" ref="V56">IFERROR(VLOOKUP(Calculations[[#This Row],[Waste 1]],WasteScenario[#All],4,FALSE)*'Stage assumptions'!$C$223*WasteTransportMethod[Emissions Factor
kgCO2e/kg.km]*Calculations[[#This Row],[Total Kg]],0)</f>
        <v>0</v>
      </c>
      <c r="W56" s="322" cm="1">
        <f t="array" ref="W56">IFERROR(VLOOKUP(Calculations[[#This Row],[Waste 1]],WasteScenario[#All],5,FALSE)*'Stage assumptions'!$C$226*WasteTransportMethod[Emissions Factor
kgCO2e/kg.km]*Calculations[[#This Row],[Total Kg]],0)</f>
        <v>0</v>
      </c>
      <c r="X56" s="322">
        <f>SUM(Calculations[[#This Row],[C2 Recycle]:[C2 Reuse]])</f>
        <v>0</v>
      </c>
      <c r="Y56" t="str">
        <f>IFERROR(VLOOKUP(Calculations[[#This Row],[Material (choose from dropdown]],MaterialData[#All],5,FALSE),"")</f>
        <v/>
      </c>
      <c r="Z56" s="322">
        <f>IFERROR(((VLOOKUP(Calculations[[#This Row],[Waste type 2]],WasteDisposalEmissions[#All],2,FALSE))*Calculations[[#This Row],[Total Kg]])*VLOOKUP(Calculations[[#This Row],[Waste 1]],WasteScenario[#All],2,FALSE),0)</f>
        <v>0</v>
      </c>
      <c r="AA56" s="322">
        <f>IFERROR((VLOOKUP(Calculations[[#This Row],[Waste type 2]],WasteDisposalEmissions[#All],3,FALSE))*Calculations[[#This Row],[Total Kg]]*VLOOKUP(Calculations[[#This Row],[Waste 1]],WasteScenario[#All],3,FALSE),0)</f>
        <v>0</v>
      </c>
      <c r="AB56" s="322">
        <f>SUM(Calculations[[#This Row],[C3 recyc]:[C3 incin]])</f>
        <v>0</v>
      </c>
      <c r="AC56" s="322">
        <f>IFERROR((VLOOKUP(Calculations[[#This Row],[Waste type 2]],WasteLandfillEmissions[#All],2,FALSE))*Calculations[[#This Row],[Total Kg]]*VLOOKUP(Calculations[[#This Row],[Waste 1]],WasteScenario[#All],4,FALSE),0)</f>
        <v>0</v>
      </c>
      <c r="AD56" s="322">
        <f>IFERROR((VLOOKUP(Calculations[[#This Row],[Waste type 2]],WasteLandfillEmissions[#All],3,FALSE))*Calculations[[#This Row],[Total Kg]]*VLOOKUP(Calculations[[#This Row],[Waste 1]],WasteScenario[#All],4,FALSE),0)</f>
        <v>0</v>
      </c>
      <c r="AE56" s="322">
        <f>SUM(Calculations[[#This Row],[C4 landfill]:[C4 re-use]])</f>
        <v>0</v>
      </c>
      <c r="AF56" s="322">
        <f>IFERROR(VLOOKUP(Calculations[[#This Row],[Material (choose from dropdown]],MaterialData[#All],8,FALSE),0)</f>
        <v>0</v>
      </c>
      <c r="AG56" s="322">
        <f>IFERROR(Calculations[[#This Row],[Total Kg]]*Calculations[[#This Row],[Seq factor]],0)</f>
        <v>0</v>
      </c>
      <c r="AI56" s="322">
        <f>Calculations[[#This Row],[A1-3]]+Calculations[[#This Row],[A4]]+Calculations[[#This Row],[A5]]+Calculations[[#This Row],[B4]]+Calculations[[#This Row],[C2 total]]+Calculations[[#This Row],[C3 total]]+Calculations[[#This Row],[C4 total]]</f>
        <v>0</v>
      </c>
      <c r="AJ56" s="2">
        <f>IFERROR(VLOOKUP(Calculations[[#This Row],[Material (choose from dropdown]],MaterialData[[#Headers],[#Data]],9,FALSE),0)</f>
        <v>0</v>
      </c>
      <c r="AK56" s="4">
        <f>IFERROR(VLOOKUP(Calculations[[#This Row],[Material (choose from dropdown]],MaterialData[[#Headers],[#Data]],10,FALSE),0)</f>
        <v>0</v>
      </c>
      <c r="AL56" s="322">
        <f>IFERROR(Calculations[[#This Row],[Data Quality Score]]*Calculations[[#This Row],[Total Kg]],0)</f>
        <v>0</v>
      </c>
    </row>
    <row r="57" spans="1:38" x14ac:dyDescent="0.3">
      <c r="A57" s="6">
        <f>IFERROR(MaterialsBoQ[[#This Row],[Scope Element]],0)</f>
        <v>0</v>
      </c>
      <c r="B57">
        <f>IFERROR(MaterialsBoQ[[#This Row],[Material ]],"")</f>
        <v>0</v>
      </c>
      <c r="C57">
        <f>IFERROR(MaterialsBoQ[[#This Row],[Unit]],"")</f>
        <v>0</v>
      </c>
      <c r="D57" s="322">
        <f>IFERROR(MaterialsBoQ[[#This Row],[Number]],0)</f>
        <v>0</v>
      </c>
      <c r="E57" s="322">
        <f>IFERROR(MaterialsBoQ[[#This Row],[Kg per unit]],0)</f>
        <v>0</v>
      </c>
      <c r="F57" s="322">
        <f>IFERROR(Calculations[[#This Row],[Number]]*Calculations[[#This Row],[Conversion factor]],0)</f>
        <v>0</v>
      </c>
      <c r="G57" s="322">
        <f>IFERROR(VLOOKUP(Calculations[[#This Row],[Material (choose from dropdown]],MaterialData[#All],7,FALSE),0)</f>
        <v>0</v>
      </c>
      <c r="H57" s="322">
        <f>Calculations[[#This Row],[Total Kg]]*Calculations[[#This Row],[Carbon Factor]]</f>
        <v>0</v>
      </c>
      <c r="I57" t="str">
        <f>IFERROR(VLOOKUP(Calculations[[#This Row],[Material (choose from dropdown]],MaterialData[#All],2,FALSE),"")</f>
        <v/>
      </c>
      <c r="J57" s="322">
        <f>IFERROR(((VLOOKUP(Calculations[[#This Row],[TransportSource]],TransportDistance[],2,FALSE)*'Stage assumptions'!$C$11)+VLOOKUP(Calculations[[#This Row],[TransportSource]],TransportDistance[],3,FALSE)*'Stage assumptions'!$C$12)*Calculations[[#This Row],[Total Kg]],0)</f>
        <v>0</v>
      </c>
      <c r="K57">
        <f>IFERROR(VLOOKUP(Calculations[[#This Row],[Material (choose from dropdown]], MaterialData[#All],3, FALSE),0)</f>
        <v>0</v>
      </c>
      <c r="L57" s="322">
        <f>IFERROR(VLOOKUP(Calculations[[#This Row],[A5type]],A5WastageRate[#All],2,FALSE)*Calculations[[#This Row],[A1-3]],0)</f>
        <v>0</v>
      </c>
      <c r="N57">
        <f>IFERROR(ROUNDUP(50/VLOOKUP(Calculations[[#This Row],[Scope Element]],B4referenceServiceLife[[Tier 2 element]:[Default Service Life]],2, FALSE)-1,0),0)</f>
        <v>0</v>
      </c>
      <c r="O57" s="322">
        <f>IFERROR((Calculations[[#This Row],[A1-3]]+Calculations[[#This Row],[A4]]+Calculations[[#This Row],[A5]]+Calculations[[#This Row],[C2 total]]+Calculations[[#This Row],[C3 total]]+Calculations[[#This Row],[C4 total]])*Calculations[[#This Row],[Replacements]],0)</f>
        <v>0</v>
      </c>
      <c r="S57" t="str">
        <f>IFERROR(VLOOKUP(Calculations[[#This Row],[Material (choose from dropdown]],MaterialData[#All],4,FALSE),"")</f>
        <v/>
      </c>
      <c r="T57" s="322" cm="1">
        <f t="array" ref="T57">IFERROR(VLOOKUP(Calculations[[#This Row],[Waste 1]],WasteScenario[#All],2,FALSE)*'Stage assumptions'!$C$225*WasteTransportMethod[Emissions Factor
kgCO2e/kg.km]*Calculations[[#This Row],[Total Kg]],0)</f>
        <v>0</v>
      </c>
      <c r="U57" s="322" cm="1">
        <f t="array" ref="U57">IFERROR(VLOOKUP(Calculations[[#This Row],[Waste 1]],WasteScenario[#All],3,FALSE)*'Stage assumptions'!$C$224*WasteTransportMethod[Emissions Factor
kgCO2e/kg.km]*Calculations[[#This Row],[Total Kg]],0)</f>
        <v>0</v>
      </c>
      <c r="V57" s="322" cm="1">
        <f t="array" ref="V57">IFERROR(VLOOKUP(Calculations[[#This Row],[Waste 1]],WasteScenario[#All],4,FALSE)*'Stage assumptions'!$C$223*WasteTransportMethod[Emissions Factor
kgCO2e/kg.km]*Calculations[[#This Row],[Total Kg]],0)</f>
        <v>0</v>
      </c>
      <c r="W57" s="322" cm="1">
        <f t="array" ref="W57">IFERROR(VLOOKUP(Calculations[[#This Row],[Waste 1]],WasteScenario[#All],5,FALSE)*'Stage assumptions'!$C$226*WasteTransportMethod[Emissions Factor
kgCO2e/kg.km]*Calculations[[#This Row],[Total Kg]],0)</f>
        <v>0</v>
      </c>
      <c r="X57" s="322">
        <f>SUM(Calculations[[#This Row],[C2 Recycle]:[C2 Reuse]])</f>
        <v>0</v>
      </c>
      <c r="Y57" t="str">
        <f>IFERROR(VLOOKUP(Calculations[[#This Row],[Material (choose from dropdown]],MaterialData[#All],5,FALSE),"")</f>
        <v/>
      </c>
      <c r="Z57" s="322">
        <f>IFERROR(((VLOOKUP(Calculations[[#This Row],[Waste type 2]],WasteDisposalEmissions[#All],2,FALSE))*Calculations[[#This Row],[Total Kg]])*VLOOKUP(Calculations[[#This Row],[Waste 1]],WasteScenario[#All],2,FALSE),0)</f>
        <v>0</v>
      </c>
      <c r="AA57" s="322">
        <f>IFERROR((VLOOKUP(Calculations[[#This Row],[Waste type 2]],WasteDisposalEmissions[#All],3,FALSE))*Calculations[[#This Row],[Total Kg]]*VLOOKUP(Calculations[[#This Row],[Waste 1]],WasteScenario[#All],3,FALSE),0)</f>
        <v>0</v>
      </c>
      <c r="AB57" s="322">
        <f>SUM(Calculations[[#This Row],[C3 recyc]:[C3 incin]])</f>
        <v>0</v>
      </c>
      <c r="AC57" s="322">
        <f>IFERROR((VLOOKUP(Calculations[[#This Row],[Waste type 2]],WasteLandfillEmissions[#All],2,FALSE))*Calculations[[#This Row],[Total Kg]]*VLOOKUP(Calculations[[#This Row],[Waste 1]],WasteScenario[#All],4,FALSE),0)</f>
        <v>0</v>
      </c>
      <c r="AD57" s="322">
        <f>IFERROR((VLOOKUP(Calculations[[#This Row],[Waste type 2]],WasteLandfillEmissions[#All],3,FALSE))*Calculations[[#This Row],[Total Kg]]*VLOOKUP(Calculations[[#This Row],[Waste 1]],WasteScenario[#All],4,FALSE),0)</f>
        <v>0</v>
      </c>
      <c r="AE57" s="322">
        <f>SUM(Calculations[[#This Row],[C4 landfill]:[C4 re-use]])</f>
        <v>0</v>
      </c>
      <c r="AF57" s="322">
        <f>IFERROR(VLOOKUP(Calculations[[#This Row],[Material (choose from dropdown]],MaterialData[#All],8,FALSE),0)</f>
        <v>0</v>
      </c>
      <c r="AG57" s="322">
        <f>IFERROR(Calculations[[#This Row],[Total Kg]]*Calculations[[#This Row],[Seq factor]],0)</f>
        <v>0</v>
      </c>
      <c r="AI57" s="322">
        <f>Calculations[[#This Row],[A1-3]]+Calculations[[#This Row],[A4]]+Calculations[[#This Row],[A5]]+Calculations[[#This Row],[B4]]+Calculations[[#This Row],[C2 total]]+Calculations[[#This Row],[C3 total]]+Calculations[[#This Row],[C4 total]]</f>
        <v>0</v>
      </c>
      <c r="AJ57" s="2">
        <f>IFERROR(VLOOKUP(Calculations[[#This Row],[Material (choose from dropdown]],MaterialData[[#Headers],[#Data]],9,FALSE),0)</f>
        <v>0</v>
      </c>
      <c r="AK57" s="4">
        <f>IFERROR(VLOOKUP(Calculations[[#This Row],[Material (choose from dropdown]],MaterialData[[#Headers],[#Data]],10,FALSE),0)</f>
        <v>0</v>
      </c>
      <c r="AL57" s="322">
        <f>IFERROR(Calculations[[#This Row],[Data Quality Score]]*Calculations[[#This Row],[Total Kg]],0)</f>
        <v>0</v>
      </c>
    </row>
    <row r="58" spans="1:38" x14ac:dyDescent="0.3">
      <c r="A58" s="6">
        <f>IFERROR(MaterialsBoQ[[#This Row],[Scope Element]],0)</f>
        <v>0</v>
      </c>
      <c r="B58">
        <f>IFERROR(MaterialsBoQ[[#This Row],[Material ]],"")</f>
        <v>0</v>
      </c>
      <c r="C58">
        <f>IFERROR(MaterialsBoQ[[#This Row],[Unit]],"")</f>
        <v>0</v>
      </c>
      <c r="D58" s="322">
        <f>IFERROR(MaterialsBoQ[[#This Row],[Number]],0)</f>
        <v>0</v>
      </c>
      <c r="E58" s="322">
        <f>IFERROR(MaterialsBoQ[[#This Row],[Kg per unit]],0)</f>
        <v>0</v>
      </c>
      <c r="F58" s="322">
        <f>IFERROR(Calculations[[#This Row],[Number]]*Calculations[[#This Row],[Conversion factor]],0)</f>
        <v>0</v>
      </c>
      <c r="G58" s="322">
        <f>IFERROR(VLOOKUP(Calculations[[#This Row],[Material (choose from dropdown]],MaterialData[#All],7,FALSE),0)</f>
        <v>0</v>
      </c>
      <c r="H58" s="322">
        <f>Calculations[[#This Row],[Total Kg]]*Calculations[[#This Row],[Carbon Factor]]</f>
        <v>0</v>
      </c>
      <c r="I58" t="str">
        <f>IFERROR(VLOOKUP(Calculations[[#This Row],[Material (choose from dropdown]],MaterialData[#All],2,FALSE),"")</f>
        <v/>
      </c>
      <c r="J58" s="322">
        <f>IFERROR(((VLOOKUP(Calculations[[#This Row],[TransportSource]],TransportDistance[],2,FALSE)*'Stage assumptions'!$C$11)+VLOOKUP(Calculations[[#This Row],[TransportSource]],TransportDistance[],3,FALSE)*'Stage assumptions'!$C$12)*Calculations[[#This Row],[Total Kg]],0)</f>
        <v>0</v>
      </c>
      <c r="K58">
        <f>IFERROR(VLOOKUP(Calculations[[#This Row],[Material (choose from dropdown]], MaterialData[#All],3, FALSE),0)</f>
        <v>0</v>
      </c>
      <c r="L58" s="322">
        <f>IFERROR(VLOOKUP(Calculations[[#This Row],[A5type]],A5WastageRate[#All],2,FALSE)*Calculations[[#This Row],[A1-3]],0)</f>
        <v>0</v>
      </c>
      <c r="N58">
        <f>IFERROR(ROUNDUP(50/VLOOKUP(Calculations[[#This Row],[Scope Element]],B4referenceServiceLife[[Tier 2 element]:[Default Service Life]],2, FALSE)-1,0),0)</f>
        <v>0</v>
      </c>
      <c r="O58" s="322">
        <f>IFERROR((Calculations[[#This Row],[A1-3]]+Calculations[[#This Row],[A4]]+Calculations[[#This Row],[A5]]+Calculations[[#This Row],[C2 total]]+Calculations[[#This Row],[C3 total]]+Calculations[[#This Row],[C4 total]])*Calculations[[#This Row],[Replacements]],0)</f>
        <v>0</v>
      </c>
      <c r="S58" t="str">
        <f>IFERROR(VLOOKUP(Calculations[[#This Row],[Material (choose from dropdown]],MaterialData[#All],4,FALSE),"")</f>
        <v/>
      </c>
      <c r="T58" s="322" cm="1">
        <f t="array" ref="T58">IFERROR(VLOOKUP(Calculations[[#This Row],[Waste 1]],WasteScenario[#All],2,FALSE)*'Stage assumptions'!$C$225*WasteTransportMethod[Emissions Factor
kgCO2e/kg.km]*Calculations[[#This Row],[Total Kg]],0)</f>
        <v>0</v>
      </c>
      <c r="U58" s="322" cm="1">
        <f t="array" ref="U58">IFERROR(VLOOKUP(Calculations[[#This Row],[Waste 1]],WasteScenario[#All],3,FALSE)*'Stage assumptions'!$C$224*WasteTransportMethod[Emissions Factor
kgCO2e/kg.km]*Calculations[[#This Row],[Total Kg]],0)</f>
        <v>0</v>
      </c>
      <c r="V58" s="322" cm="1">
        <f t="array" ref="V58">IFERROR(VLOOKUP(Calculations[[#This Row],[Waste 1]],WasteScenario[#All],4,FALSE)*'Stage assumptions'!$C$223*WasteTransportMethod[Emissions Factor
kgCO2e/kg.km]*Calculations[[#This Row],[Total Kg]],0)</f>
        <v>0</v>
      </c>
      <c r="W58" s="322" cm="1">
        <f t="array" ref="W58">IFERROR(VLOOKUP(Calculations[[#This Row],[Waste 1]],WasteScenario[#All],5,FALSE)*'Stage assumptions'!$C$226*WasteTransportMethod[Emissions Factor
kgCO2e/kg.km]*Calculations[[#This Row],[Total Kg]],0)</f>
        <v>0</v>
      </c>
      <c r="X58" s="322">
        <f>SUM(Calculations[[#This Row],[C2 Recycle]:[C2 Reuse]])</f>
        <v>0</v>
      </c>
      <c r="Y58" t="str">
        <f>IFERROR(VLOOKUP(Calculations[[#This Row],[Material (choose from dropdown]],MaterialData[#All],5,FALSE),"")</f>
        <v/>
      </c>
      <c r="Z58" s="322">
        <f>IFERROR(((VLOOKUP(Calculations[[#This Row],[Waste type 2]],WasteDisposalEmissions[#All],2,FALSE))*Calculations[[#This Row],[Total Kg]])*VLOOKUP(Calculations[[#This Row],[Waste 1]],WasteScenario[#All],2,FALSE),0)</f>
        <v>0</v>
      </c>
      <c r="AA58" s="322">
        <f>IFERROR((VLOOKUP(Calculations[[#This Row],[Waste type 2]],WasteDisposalEmissions[#All],3,FALSE))*Calculations[[#This Row],[Total Kg]]*VLOOKUP(Calculations[[#This Row],[Waste 1]],WasteScenario[#All],3,FALSE),0)</f>
        <v>0</v>
      </c>
      <c r="AB58" s="322">
        <f>SUM(Calculations[[#This Row],[C3 recyc]:[C3 incin]])</f>
        <v>0</v>
      </c>
      <c r="AC58" s="322">
        <f>IFERROR((VLOOKUP(Calculations[[#This Row],[Waste type 2]],WasteLandfillEmissions[#All],2,FALSE))*Calculations[[#This Row],[Total Kg]]*VLOOKUP(Calculations[[#This Row],[Waste 1]],WasteScenario[#All],4,FALSE),0)</f>
        <v>0</v>
      </c>
      <c r="AD58" s="322">
        <f>IFERROR((VLOOKUP(Calculations[[#This Row],[Waste type 2]],WasteLandfillEmissions[#All],3,FALSE))*Calculations[[#This Row],[Total Kg]]*VLOOKUP(Calculations[[#This Row],[Waste 1]],WasteScenario[#All],4,FALSE),0)</f>
        <v>0</v>
      </c>
      <c r="AE58" s="322">
        <f>SUM(Calculations[[#This Row],[C4 landfill]:[C4 re-use]])</f>
        <v>0</v>
      </c>
      <c r="AF58" s="322">
        <f>IFERROR(VLOOKUP(Calculations[[#This Row],[Material (choose from dropdown]],MaterialData[#All],8,FALSE),0)</f>
        <v>0</v>
      </c>
      <c r="AG58" s="322">
        <f>IFERROR(Calculations[[#This Row],[Total Kg]]*Calculations[[#This Row],[Seq factor]],0)</f>
        <v>0</v>
      </c>
      <c r="AI58" s="322">
        <f>Calculations[[#This Row],[A1-3]]+Calculations[[#This Row],[A4]]+Calculations[[#This Row],[A5]]+Calculations[[#This Row],[B4]]+Calculations[[#This Row],[C2 total]]+Calculations[[#This Row],[C3 total]]+Calculations[[#This Row],[C4 total]]</f>
        <v>0</v>
      </c>
      <c r="AJ58" s="2">
        <f>IFERROR(VLOOKUP(Calculations[[#This Row],[Material (choose from dropdown]],MaterialData[[#Headers],[#Data]],9,FALSE),0)</f>
        <v>0</v>
      </c>
      <c r="AK58" s="4">
        <f>IFERROR(VLOOKUP(Calculations[[#This Row],[Material (choose from dropdown]],MaterialData[[#Headers],[#Data]],10,FALSE),0)</f>
        <v>0</v>
      </c>
      <c r="AL58" s="322">
        <f>IFERROR(Calculations[[#This Row],[Data Quality Score]]*Calculations[[#This Row],[Total Kg]],0)</f>
        <v>0</v>
      </c>
    </row>
    <row r="59" spans="1:38" x14ac:dyDescent="0.3">
      <c r="A59" s="6">
        <f>IFERROR(MaterialsBoQ[[#This Row],[Scope Element]],0)</f>
        <v>0</v>
      </c>
      <c r="B59">
        <f>IFERROR(MaterialsBoQ[[#This Row],[Material ]],"")</f>
        <v>0</v>
      </c>
      <c r="C59">
        <f>IFERROR(MaterialsBoQ[[#This Row],[Unit]],"")</f>
        <v>0</v>
      </c>
      <c r="D59" s="322">
        <f>IFERROR(MaterialsBoQ[[#This Row],[Number]],0)</f>
        <v>0</v>
      </c>
      <c r="E59" s="322">
        <f>IFERROR(MaterialsBoQ[[#This Row],[Kg per unit]],0)</f>
        <v>0</v>
      </c>
      <c r="F59" s="322">
        <f>IFERROR(Calculations[[#This Row],[Number]]*Calculations[[#This Row],[Conversion factor]],0)</f>
        <v>0</v>
      </c>
      <c r="G59" s="322">
        <f>IFERROR(VLOOKUP(Calculations[[#This Row],[Material (choose from dropdown]],MaterialData[#All],7,FALSE),0)</f>
        <v>0</v>
      </c>
      <c r="H59" s="322">
        <f>Calculations[[#This Row],[Total Kg]]*Calculations[[#This Row],[Carbon Factor]]</f>
        <v>0</v>
      </c>
      <c r="I59" t="str">
        <f>IFERROR(VLOOKUP(Calculations[[#This Row],[Material (choose from dropdown]],MaterialData[#All],2,FALSE),"")</f>
        <v/>
      </c>
      <c r="J59" s="322">
        <f>IFERROR(((VLOOKUP(Calculations[[#This Row],[TransportSource]],TransportDistance[],2,FALSE)*'Stage assumptions'!$C$11)+VLOOKUP(Calculations[[#This Row],[TransportSource]],TransportDistance[],3,FALSE)*'Stage assumptions'!$C$12)*Calculations[[#This Row],[Total Kg]],0)</f>
        <v>0</v>
      </c>
      <c r="K59">
        <f>IFERROR(VLOOKUP(Calculations[[#This Row],[Material (choose from dropdown]], MaterialData[#All],3, FALSE),0)</f>
        <v>0</v>
      </c>
      <c r="L59" s="322">
        <f>IFERROR(VLOOKUP(Calculations[[#This Row],[A5type]],A5WastageRate[#All],2,FALSE)*Calculations[[#This Row],[A1-3]],0)</f>
        <v>0</v>
      </c>
      <c r="N59">
        <f>IFERROR(ROUNDUP(50/VLOOKUP(Calculations[[#This Row],[Scope Element]],B4referenceServiceLife[[Tier 2 element]:[Default Service Life]],2, FALSE)-1,0),0)</f>
        <v>0</v>
      </c>
      <c r="O59" s="322">
        <f>IFERROR((Calculations[[#This Row],[A1-3]]+Calculations[[#This Row],[A4]]+Calculations[[#This Row],[A5]]+Calculations[[#This Row],[C2 total]]+Calculations[[#This Row],[C3 total]]+Calculations[[#This Row],[C4 total]])*Calculations[[#This Row],[Replacements]],0)</f>
        <v>0</v>
      </c>
      <c r="S59" t="str">
        <f>IFERROR(VLOOKUP(Calculations[[#This Row],[Material (choose from dropdown]],MaterialData[#All],4,FALSE),"")</f>
        <v/>
      </c>
      <c r="T59" s="322" cm="1">
        <f t="array" ref="T59">IFERROR(VLOOKUP(Calculations[[#This Row],[Waste 1]],WasteScenario[#All],2,FALSE)*'Stage assumptions'!$C$225*WasteTransportMethod[Emissions Factor
kgCO2e/kg.km]*Calculations[[#This Row],[Total Kg]],0)</f>
        <v>0</v>
      </c>
      <c r="U59" s="322" cm="1">
        <f t="array" ref="U59">IFERROR(VLOOKUP(Calculations[[#This Row],[Waste 1]],WasteScenario[#All],3,FALSE)*'Stage assumptions'!$C$224*WasteTransportMethod[Emissions Factor
kgCO2e/kg.km]*Calculations[[#This Row],[Total Kg]],0)</f>
        <v>0</v>
      </c>
      <c r="V59" s="322" cm="1">
        <f t="array" ref="V59">IFERROR(VLOOKUP(Calculations[[#This Row],[Waste 1]],WasteScenario[#All],4,FALSE)*'Stage assumptions'!$C$223*WasteTransportMethod[Emissions Factor
kgCO2e/kg.km]*Calculations[[#This Row],[Total Kg]],0)</f>
        <v>0</v>
      </c>
      <c r="W59" s="322" cm="1">
        <f t="array" ref="W59">IFERROR(VLOOKUP(Calculations[[#This Row],[Waste 1]],WasteScenario[#All],5,FALSE)*'Stage assumptions'!$C$226*WasteTransportMethod[Emissions Factor
kgCO2e/kg.km]*Calculations[[#This Row],[Total Kg]],0)</f>
        <v>0</v>
      </c>
      <c r="X59" s="322">
        <f>SUM(Calculations[[#This Row],[C2 Recycle]:[C2 Reuse]])</f>
        <v>0</v>
      </c>
      <c r="Y59" t="str">
        <f>IFERROR(VLOOKUP(Calculations[[#This Row],[Material (choose from dropdown]],MaterialData[#All],5,FALSE),"")</f>
        <v/>
      </c>
      <c r="Z59" s="322">
        <f>IFERROR(((VLOOKUP(Calculations[[#This Row],[Waste type 2]],WasteDisposalEmissions[#All],2,FALSE))*Calculations[[#This Row],[Total Kg]])*VLOOKUP(Calculations[[#This Row],[Waste 1]],WasteScenario[#All],2,FALSE),0)</f>
        <v>0</v>
      </c>
      <c r="AA59" s="322">
        <f>IFERROR((VLOOKUP(Calculations[[#This Row],[Waste type 2]],WasteDisposalEmissions[#All],3,FALSE))*Calculations[[#This Row],[Total Kg]]*VLOOKUP(Calculations[[#This Row],[Waste 1]],WasteScenario[#All],3,FALSE),0)</f>
        <v>0</v>
      </c>
      <c r="AB59" s="322">
        <f>SUM(Calculations[[#This Row],[C3 recyc]:[C3 incin]])</f>
        <v>0</v>
      </c>
      <c r="AC59" s="322">
        <f>IFERROR((VLOOKUP(Calculations[[#This Row],[Waste type 2]],WasteLandfillEmissions[#All],2,FALSE))*Calculations[[#This Row],[Total Kg]]*VLOOKUP(Calculations[[#This Row],[Waste 1]],WasteScenario[#All],4,FALSE),0)</f>
        <v>0</v>
      </c>
      <c r="AD59" s="322">
        <f>IFERROR((VLOOKUP(Calculations[[#This Row],[Waste type 2]],WasteLandfillEmissions[#All],3,FALSE))*Calculations[[#This Row],[Total Kg]]*VLOOKUP(Calculations[[#This Row],[Waste 1]],WasteScenario[#All],4,FALSE),0)</f>
        <v>0</v>
      </c>
      <c r="AE59" s="322">
        <f>SUM(Calculations[[#This Row],[C4 landfill]:[C4 re-use]])</f>
        <v>0</v>
      </c>
      <c r="AF59" s="322">
        <f>IFERROR(VLOOKUP(Calculations[[#This Row],[Material (choose from dropdown]],MaterialData[#All],8,FALSE),0)</f>
        <v>0</v>
      </c>
      <c r="AG59" s="322">
        <f>IFERROR(Calculations[[#This Row],[Total Kg]]*Calculations[[#This Row],[Seq factor]],0)</f>
        <v>0</v>
      </c>
      <c r="AI59" s="322">
        <f>Calculations[[#This Row],[A1-3]]+Calculations[[#This Row],[A4]]+Calculations[[#This Row],[A5]]+Calculations[[#This Row],[B4]]+Calculations[[#This Row],[C2 total]]+Calculations[[#This Row],[C3 total]]+Calculations[[#This Row],[C4 total]]</f>
        <v>0</v>
      </c>
      <c r="AJ59" s="2">
        <f>IFERROR(VLOOKUP(Calculations[[#This Row],[Material (choose from dropdown]],MaterialData[[#Headers],[#Data]],9,FALSE),0)</f>
        <v>0</v>
      </c>
      <c r="AK59" s="4">
        <f>IFERROR(VLOOKUP(Calculations[[#This Row],[Material (choose from dropdown]],MaterialData[[#Headers],[#Data]],10,FALSE),0)</f>
        <v>0</v>
      </c>
      <c r="AL59" s="322">
        <f>IFERROR(Calculations[[#This Row],[Data Quality Score]]*Calculations[[#This Row],[Total Kg]],0)</f>
        <v>0</v>
      </c>
    </row>
    <row r="60" spans="1:38" x14ac:dyDescent="0.3">
      <c r="A60" s="6">
        <f>IFERROR(MaterialsBoQ[[#This Row],[Scope Element]],0)</f>
        <v>0</v>
      </c>
      <c r="B60">
        <f>IFERROR(MaterialsBoQ[[#This Row],[Material ]],"")</f>
        <v>0</v>
      </c>
      <c r="C60">
        <f>IFERROR(MaterialsBoQ[[#This Row],[Unit]],"")</f>
        <v>0</v>
      </c>
      <c r="D60" s="322">
        <f>IFERROR(MaterialsBoQ[[#This Row],[Number]],0)</f>
        <v>0</v>
      </c>
      <c r="E60" s="322">
        <f>IFERROR(MaterialsBoQ[[#This Row],[Kg per unit]],0)</f>
        <v>0</v>
      </c>
      <c r="F60" s="322">
        <f>IFERROR(Calculations[[#This Row],[Number]]*Calculations[[#This Row],[Conversion factor]],0)</f>
        <v>0</v>
      </c>
      <c r="G60" s="322">
        <f>IFERROR(VLOOKUP(Calculations[[#This Row],[Material (choose from dropdown]],MaterialData[#All],7,FALSE),0)</f>
        <v>0</v>
      </c>
      <c r="H60" s="322">
        <f>Calculations[[#This Row],[Total Kg]]*Calculations[[#This Row],[Carbon Factor]]</f>
        <v>0</v>
      </c>
      <c r="I60" t="str">
        <f>IFERROR(VLOOKUP(Calculations[[#This Row],[Material (choose from dropdown]],MaterialData[#All],2,FALSE),"")</f>
        <v/>
      </c>
      <c r="J60" s="322">
        <f>IFERROR(((VLOOKUP(Calculations[[#This Row],[TransportSource]],TransportDistance[],2,FALSE)*'Stage assumptions'!$C$11)+VLOOKUP(Calculations[[#This Row],[TransportSource]],TransportDistance[],3,FALSE)*'Stage assumptions'!$C$12)*Calculations[[#This Row],[Total Kg]],0)</f>
        <v>0</v>
      </c>
      <c r="K60">
        <f>IFERROR(VLOOKUP(Calculations[[#This Row],[Material (choose from dropdown]], MaterialData[#All],3, FALSE),0)</f>
        <v>0</v>
      </c>
      <c r="L60" s="322">
        <f>IFERROR(VLOOKUP(Calculations[[#This Row],[A5type]],A5WastageRate[#All],2,FALSE)*Calculations[[#This Row],[A1-3]],0)</f>
        <v>0</v>
      </c>
      <c r="N60">
        <f>IFERROR(ROUNDUP(50/VLOOKUP(Calculations[[#This Row],[Scope Element]],B4referenceServiceLife[[Tier 2 element]:[Default Service Life]],2, FALSE)-1,0),0)</f>
        <v>0</v>
      </c>
      <c r="O60" s="322">
        <f>IFERROR((Calculations[[#This Row],[A1-3]]+Calculations[[#This Row],[A4]]+Calculations[[#This Row],[A5]]+Calculations[[#This Row],[C2 total]]+Calculations[[#This Row],[C3 total]]+Calculations[[#This Row],[C4 total]])*Calculations[[#This Row],[Replacements]],0)</f>
        <v>0</v>
      </c>
      <c r="S60" t="str">
        <f>IFERROR(VLOOKUP(Calculations[[#This Row],[Material (choose from dropdown]],MaterialData[#All],4,FALSE),"")</f>
        <v/>
      </c>
      <c r="T60" s="322" cm="1">
        <f t="array" ref="T60">IFERROR(VLOOKUP(Calculations[[#This Row],[Waste 1]],WasteScenario[#All],2,FALSE)*'Stage assumptions'!$C$225*WasteTransportMethod[Emissions Factor
kgCO2e/kg.km]*Calculations[[#This Row],[Total Kg]],0)</f>
        <v>0</v>
      </c>
      <c r="U60" s="322" cm="1">
        <f t="array" ref="U60">IFERROR(VLOOKUP(Calculations[[#This Row],[Waste 1]],WasteScenario[#All],3,FALSE)*'Stage assumptions'!$C$224*WasteTransportMethod[Emissions Factor
kgCO2e/kg.km]*Calculations[[#This Row],[Total Kg]],0)</f>
        <v>0</v>
      </c>
      <c r="V60" s="322" cm="1">
        <f t="array" ref="V60">IFERROR(VLOOKUP(Calculations[[#This Row],[Waste 1]],WasteScenario[#All],4,FALSE)*'Stage assumptions'!$C$223*WasteTransportMethod[Emissions Factor
kgCO2e/kg.km]*Calculations[[#This Row],[Total Kg]],0)</f>
        <v>0</v>
      </c>
      <c r="W60" s="322" cm="1">
        <f t="array" ref="W60">IFERROR(VLOOKUP(Calculations[[#This Row],[Waste 1]],WasteScenario[#All],5,FALSE)*'Stage assumptions'!$C$226*WasteTransportMethod[Emissions Factor
kgCO2e/kg.km]*Calculations[[#This Row],[Total Kg]],0)</f>
        <v>0</v>
      </c>
      <c r="X60" s="322">
        <f>SUM(Calculations[[#This Row],[C2 Recycle]:[C2 Reuse]])</f>
        <v>0</v>
      </c>
      <c r="Y60" t="str">
        <f>IFERROR(VLOOKUP(Calculations[[#This Row],[Material (choose from dropdown]],MaterialData[#All],5,FALSE),"")</f>
        <v/>
      </c>
      <c r="Z60" s="322">
        <f>IFERROR(((VLOOKUP(Calculations[[#This Row],[Waste type 2]],WasteDisposalEmissions[#All],2,FALSE))*Calculations[[#This Row],[Total Kg]])*VLOOKUP(Calculations[[#This Row],[Waste 1]],WasteScenario[#All],2,FALSE),0)</f>
        <v>0</v>
      </c>
      <c r="AA60" s="322">
        <f>IFERROR((VLOOKUP(Calculations[[#This Row],[Waste type 2]],WasteDisposalEmissions[#All],3,FALSE))*Calculations[[#This Row],[Total Kg]]*VLOOKUP(Calculations[[#This Row],[Waste 1]],WasteScenario[#All],3,FALSE),0)</f>
        <v>0</v>
      </c>
      <c r="AB60" s="322">
        <f>SUM(Calculations[[#This Row],[C3 recyc]:[C3 incin]])</f>
        <v>0</v>
      </c>
      <c r="AC60" s="322">
        <f>IFERROR((VLOOKUP(Calculations[[#This Row],[Waste type 2]],WasteLandfillEmissions[#All],2,FALSE))*Calculations[[#This Row],[Total Kg]]*VLOOKUP(Calculations[[#This Row],[Waste 1]],WasteScenario[#All],4,FALSE),0)</f>
        <v>0</v>
      </c>
      <c r="AD60" s="322">
        <f>IFERROR((VLOOKUP(Calculations[[#This Row],[Waste type 2]],WasteLandfillEmissions[#All],3,FALSE))*Calculations[[#This Row],[Total Kg]]*VLOOKUP(Calculations[[#This Row],[Waste 1]],WasteScenario[#All],4,FALSE),0)</f>
        <v>0</v>
      </c>
      <c r="AE60" s="322">
        <f>SUM(Calculations[[#This Row],[C4 landfill]:[C4 re-use]])</f>
        <v>0</v>
      </c>
      <c r="AF60" s="322">
        <f>IFERROR(VLOOKUP(Calculations[[#This Row],[Material (choose from dropdown]],MaterialData[#All],8,FALSE),0)</f>
        <v>0</v>
      </c>
      <c r="AG60" s="322">
        <f>IFERROR(Calculations[[#This Row],[Total Kg]]*Calculations[[#This Row],[Seq factor]],0)</f>
        <v>0</v>
      </c>
      <c r="AI60" s="322">
        <f>Calculations[[#This Row],[A1-3]]+Calculations[[#This Row],[A4]]+Calculations[[#This Row],[A5]]+Calculations[[#This Row],[B4]]+Calculations[[#This Row],[C2 total]]+Calculations[[#This Row],[C3 total]]+Calculations[[#This Row],[C4 total]]</f>
        <v>0</v>
      </c>
      <c r="AJ60" s="2">
        <f>IFERROR(VLOOKUP(Calculations[[#This Row],[Material (choose from dropdown]],MaterialData[[#Headers],[#Data]],9,FALSE),0)</f>
        <v>0</v>
      </c>
      <c r="AK60" s="4">
        <f>IFERROR(VLOOKUP(Calculations[[#This Row],[Material (choose from dropdown]],MaterialData[[#Headers],[#Data]],10,FALSE),0)</f>
        <v>0</v>
      </c>
      <c r="AL60" s="322">
        <f>IFERROR(Calculations[[#This Row],[Data Quality Score]]*Calculations[[#This Row],[Total Kg]],0)</f>
        <v>0</v>
      </c>
    </row>
    <row r="61" spans="1:38" x14ac:dyDescent="0.3">
      <c r="A61" s="6">
        <f>IFERROR(MaterialsBoQ[[#This Row],[Scope Element]],0)</f>
        <v>0</v>
      </c>
      <c r="B61">
        <f>IFERROR(MaterialsBoQ[[#This Row],[Material ]],"")</f>
        <v>0</v>
      </c>
      <c r="C61">
        <f>IFERROR(MaterialsBoQ[[#This Row],[Unit]],"")</f>
        <v>0</v>
      </c>
      <c r="D61" s="322">
        <f>IFERROR(MaterialsBoQ[[#This Row],[Number]],0)</f>
        <v>0</v>
      </c>
      <c r="E61" s="322">
        <f>IFERROR(MaterialsBoQ[[#This Row],[Kg per unit]],0)</f>
        <v>0</v>
      </c>
      <c r="F61" s="322">
        <f>IFERROR(Calculations[[#This Row],[Number]]*Calculations[[#This Row],[Conversion factor]],0)</f>
        <v>0</v>
      </c>
      <c r="G61" s="322">
        <f>IFERROR(VLOOKUP(Calculations[[#This Row],[Material (choose from dropdown]],MaterialData[#All],7,FALSE),0)</f>
        <v>0</v>
      </c>
      <c r="H61" s="322">
        <f>Calculations[[#This Row],[Total Kg]]*Calculations[[#This Row],[Carbon Factor]]</f>
        <v>0</v>
      </c>
      <c r="I61" t="str">
        <f>IFERROR(VLOOKUP(Calculations[[#This Row],[Material (choose from dropdown]],MaterialData[#All],2,FALSE),"")</f>
        <v/>
      </c>
      <c r="J61" s="322">
        <f>IFERROR(((VLOOKUP(Calculations[[#This Row],[TransportSource]],TransportDistance[],2,FALSE)*'Stage assumptions'!$C$11)+VLOOKUP(Calculations[[#This Row],[TransportSource]],TransportDistance[],3,FALSE)*'Stage assumptions'!$C$12)*Calculations[[#This Row],[Total Kg]],0)</f>
        <v>0</v>
      </c>
      <c r="K61">
        <f>IFERROR(VLOOKUP(Calculations[[#This Row],[Material (choose from dropdown]], MaterialData[#All],3, FALSE),0)</f>
        <v>0</v>
      </c>
      <c r="L61" s="322">
        <f>IFERROR(VLOOKUP(Calculations[[#This Row],[A5type]],A5WastageRate[#All],2,FALSE)*Calculations[[#This Row],[A1-3]],0)</f>
        <v>0</v>
      </c>
      <c r="N61">
        <f>IFERROR(ROUNDUP(50/VLOOKUP(Calculations[[#This Row],[Scope Element]],B4referenceServiceLife[[Tier 2 element]:[Default Service Life]],2, FALSE)-1,0),0)</f>
        <v>0</v>
      </c>
      <c r="O61" s="322">
        <f>IFERROR((Calculations[[#This Row],[A1-3]]+Calculations[[#This Row],[A4]]+Calculations[[#This Row],[A5]]+Calculations[[#This Row],[C2 total]]+Calculations[[#This Row],[C3 total]]+Calculations[[#This Row],[C4 total]])*Calculations[[#This Row],[Replacements]],0)</f>
        <v>0</v>
      </c>
      <c r="S61" t="str">
        <f>IFERROR(VLOOKUP(Calculations[[#This Row],[Material (choose from dropdown]],MaterialData[#All],4,FALSE),"")</f>
        <v/>
      </c>
      <c r="T61" s="322" cm="1">
        <f t="array" ref="T61">IFERROR(VLOOKUP(Calculations[[#This Row],[Waste 1]],WasteScenario[#All],2,FALSE)*'Stage assumptions'!$C$225*WasteTransportMethod[Emissions Factor
kgCO2e/kg.km]*Calculations[[#This Row],[Total Kg]],0)</f>
        <v>0</v>
      </c>
      <c r="U61" s="322" cm="1">
        <f t="array" ref="U61">IFERROR(VLOOKUP(Calculations[[#This Row],[Waste 1]],WasteScenario[#All],3,FALSE)*'Stage assumptions'!$C$224*WasteTransportMethod[Emissions Factor
kgCO2e/kg.km]*Calculations[[#This Row],[Total Kg]],0)</f>
        <v>0</v>
      </c>
      <c r="V61" s="322" cm="1">
        <f t="array" ref="V61">IFERROR(VLOOKUP(Calculations[[#This Row],[Waste 1]],WasteScenario[#All],4,FALSE)*'Stage assumptions'!$C$223*WasteTransportMethod[Emissions Factor
kgCO2e/kg.km]*Calculations[[#This Row],[Total Kg]],0)</f>
        <v>0</v>
      </c>
      <c r="W61" s="322" cm="1">
        <f t="array" ref="W61">IFERROR(VLOOKUP(Calculations[[#This Row],[Waste 1]],WasteScenario[#All],5,FALSE)*'Stage assumptions'!$C$226*WasteTransportMethod[Emissions Factor
kgCO2e/kg.km]*Calculations[[#This Row],[Total Kg]],0)</f>
        <v>0</v>
      </c>
      <c r="X61" s="322">
        <f>SUM(Calculations[[#This Row],[C2 Recycle]:[C2 Reuse]])</f>
        <v>0</v>
      </c>
      <c r="Y61" t="str">
        <f>IFERROR(VLOOKUP(Calculations[[#This Row],[Material (choose from dropdown]],MaterialData[#All],5,FALSE),"")</f>
        <v/>
      </c>
      <c r="Z61" s="322">
        <f>IFERROR(((VLOOKUP(Calculations[[#This Row],[Waste type 2]],WasteDisposalEmissions[#All],2,FALSE))*Calculations[[#This Row],[Total Kg]])*VLOOKUP(Calculations[[#This Row],[Waste 1]],WasteScenario[#All],2,FALSE),0)</f>
        <v>0</v>
      </c>
      <c r="AA61" s="322">
        <f>IFERROR((VLOOKUP(Calculations[[#This Row],[Waste type 2]],WasteDisposalEmissions[#All],3,FALSE))*Calculations[[#This Row],[Total Kg]]*VLOOKUP(Calculations[[#This Row],[Waste 1]],WasteScenario[#All],3,FALSE),0)</f>
        <v>0</v>
      </c>
      <c r="AB61" s="322">
        <f>SUM(Calculations[[#This Row],[C3 recyc]:[C3 incin]])</f>
        <v>0</v>
      </c>
      <c r="AC61" s="322">
        <f>IFERROR((VLOOKUP(Calculations[[#This Row],[Waste type 2]],WasteLandfillEmissions[#All],2,FALSE))*Calculations[[#This Row],[Total Kg]]*VLOOKUP(Calculations[[#This Row],[Waste 1]],WasteScenario[#All],4,FALSE),0)</f>
        <v>0</v>
      </c>
      <c r="AD61" s="322">
        <f>IFERROR((VLOOKUP(Calculations[[#This Row],[Waste type 2]],WasteLandfillEmissions[#All],3,FALSE))*Calculations[[#This Row],[Total Kg]]*VLOOKUP(Calculations[[#This Row],[Waste 1]],WasteScenario[#All],4,FALSE),0)</f>
        <v>0</v>
      </c>
      <c r="AE61" s="322">
        <f>SUM(Calculations[[#This Row],[C4 landfill]:[C4 re-use]])</f>
        <v>0</v>
      </c>
      <c r="AF61" s="322">
        <f>IFERROR(VLOOKUP(Calculations[[#This Row],[Material (choose from dropdown]],MaterialData[#All],8,FALSE),0)</f>
        <v>0</v>
      </c>
      <c r="AG61" s="322">
        <f>IFERROR(Calculations[[#This Row],[Total Kg]]*Calculations[[#This Row],[Seq factor]],0)</f>
        <v>0</v>
      </c>
      <c r="AI61" s="322">
        <f>Calculations[[#This Row],[A1-3]]+Calculations[[#This Row],[A4]]+Calculations[[#This Row],[A5]]+Calculations[[#This Row],[B4]]+Calculations[[#This Row],[C2 total]]+Calculations[[#This Row],[C3 total]]+Calculations[[#This Row],[C4 total]]</f>
        <v>0</v>
      </c>
      <c r="AJ61" s="2">
        <f>IFERROR(VLOOKUP(Calculations[[#This Row],[Material (choose from dropdown]],MaterialData[[#Headers],[#Data]],9,FALSE),0)</f>
        <v>0</v>
      </c>
      <c r="AK61" s="4">
        <f>IFERROR(VLOOKUP(Calculations[[#This Row],[Material (choose from dropdown]],MaterialData[[#Headers],[#Data]],10,FALSE),0)</f>
        <v>0</v>
      </c>
      <c r="AL61" s="322">
        <f>IFERROR(Calculations[[#This Row],[Data Quality Score]]*Calculations[[#This Row],[Total Kg]],0)</f>
        <v>0</v>
      </c>
    </row>
    <row r="62" spans="1:38" x14ac:dyDescent="0.3">
      <c r="A62" s="6">
        <f>IFERROR(MaterialsBoQ[[#This Row],[Scope Element]],0)</f>
        <v>0</v>
      </c>
      <c r="B62">
        <f>IFERROR(MaterialsBoQ[[#This Row],[Material ]],"")</f>
        <v>0</v>
      </c>
      <c r="C62">
        <f>IFERROR(MaterialsBoQ[[#This Row],[Unit]],"")</f>
        <v>0</v>
      </c>
      <c r="D62" s="322">
        <f>IFERROR(MaterialsBoQ[[#This Row],[Number]],0)</f>
        <v>0</v>
      </c>
      <c r="E62" s="322">
        <f>IFERROR(MaterialsBoQ[[#This Row],[Kg per unit]],0)</f>
        <v>0</v>
      </c>
      <c r="F62" s="322">
        <f>IFERROR(Calculations[[#This Row],[Number]]*Calculations[[#This Row],[Conversion factor]],0)</f>
        <v>0</v>
      </c>
      <c r="G62" s="322">
        <f>IFERROR(VLOOKUP(Calculations[[#This Row],[Material (choose from dropdown]],MaterialData[#All],7,FALSE),0)</f>
        <v>0</v>
      </c>
      <c r="H62" s="322">
        <f>Calculations[[#This Row],[Total Kg]]*Calculations[[#This Row],[Carbon Factor]]</f>
        <v>0</v>
      </c>
      <c r="I62" t="str">
        <f>IFERROR(VLOOKUP(Calculations[[#This Row],[Material (choose from dropdown]],MaterialData[#All],2,FALSE),"")</f>
        <v/>
      </c>
      <c r="J62" s="322">
        <f>IFERROR(((VLOOKUP(Calculations[[#This Row],[TransportSource]],TransportDistance[],2,FALSE)*'Stage assumptions'!$C$11)+VLOOKUP(Calculations[[#This Row],[TransportSource]],TransportDistance[],3,FALSE)*'Stage assumptions'!$C$12)*Calculations[[#This Row],[Total Kg]],0)</f>
        <v>0</v>
      </c>
      <c r="K62">
        <f>IFERROR(VLOOKUP(Calculations[[#This Row],[Material (choose from dropdown]], MaterialData[#All],3, FALSE),0)</f>
        <v>0</v>
      </c>
      <c r="L62" s="322">
        <f>IFERROR(VLOOKUP(Calculations[[#This Row],[A5type]],A5WastageRate[#All],2,FALSE)*Calculations[[#This Row],[A1-3]],0)</f>
        <v>0</v>
      </c>
      <c r="N62">
        <f>IFERROR(ROUNDUP(50/VLOOKUP(Calculations[[#This Row],[Scope Element]],B4referenceServiceLife[[Tier 2 element]:[Default Service Life]],2, FALSE)-1,0),0)</f>
        <v>0</v>
      </c>
      <c r="O62" s="322">
        <f>IFERROR((Calculations[[#This Row],[A1-3]]+Calculations[[#This Row],[A4]]+Calculations[[#This Row],[A5]]+Calculations[[#This Row],[C2 total]]+Calculations[[#This Row],[C3 total]]+Calculations[[#This Row],[C4 total]])*Calculations[[#This Row],[Replacements]],0)</f>
        <v>0</v>
      </c>
      <c r="S62" t="str">
        <f>IFERROR(VLOOKUP(Calculations[[#This Row],[Material (choose from dropdown]],MaterialData[#All],4,FALSE),"")</f>
        <v/>
      </c>
      <c r="T62" s="322" cm="1">
        <f t="array" ref="T62">IFERROR(VLOOKUP(Calculations[[#This Row],[Waste 1]],WasteScenario[#All],2,FALSE)*'Stage assumptions'!$C$225*WasteTransportMethod[Emissions Factor
kgCO2e/kg.km]*Calculations[[#This Row],[Total Kg]],0)</f>
        <v>0</v>
      </c>
      <c r="U62" s="322" cm="1">
        <f t="array" ref="U62">IFERROR(VLOOKUP(Calculations[[#This Row],[Waste 1]],WasteScenario[#All],3,FALSE)*'Stage assumptions'!$C$224*WasteTransportMethod[Emissions Factor
kgCO2e/kg.km]*Calculations[[#This Row],[Total Kg]],0)</f>
        <v>0</v>
      </c>
      <c r="V62" s="322" cm="1">
        <f t="array" ref="V62">IFERROR(VLOOKUP(Calculations[[#This Row],[Waste 1]],WasteScenario[#All],4,FALSE)*'Stage assumptions'!$C$223*WasteTransportMethod[Emissions Factor
kgCO2e/kg.km]*Calculations[[#This Row],[Total Kg]],0)</f>
        <v>0</v>
      </c>
      <c r="W62" s="322" cm="1">
        <f t="array" ref="W62">IFERROR(VLOOKUP(Calculations[[#This Row],[Waste 1]],WasteScenario[#All],5,FALSE)*'Stage assumptions'!$C$226*WasteTransportMethod[Emissions Factor
kgCO2e/kg.km]*Calculations[[#This Row],[Total Kg]],0)</f>
        <v>0</v>
      </c>
      <c r="X62" s="322">
        <f>SUM(Calculations[[#This Row],[C2 Recycle]:[C2 Reuse]])</f>
        <v>0</v>
      </c>
      <c r="Y62" t="str">
        <f>IFERROR(VLOOKUP(Calculations[[#This Row],[Material (choose from dropdown]],MaterialData[#All],5,FALSE),"")</f>
        <v/>
      </c>
      <c r="Z62" s="322">
        <f>IFERROR(((VLOOKUP(Calculations[[#This Row],[Waste type 2]],WasteDisposalEmissions[#All],2,FALSE))*Calculations[[#This Row],[Total Kg]])*VLOOKUP(Calculations[[#This Row],[Waste 1]],WasteScenario[#All],2,FALSE),0)</f>
        <v>0</v>
      </c>
      <c r="AA62" s="322">
        <f>IFERROR((VLOOKUP(Calculations[[#This Row],[Waste type 2]],WasteDisposalEmissions[#All],3,FALSE))*Calculations[[#This Row],[Total Kg]]*VLOOKUP(Calculations[[#This Row],[Waste 1]],WasteScenario[#All],3,FALSE),0)</f>
        <v>0</v>
      </c>
      <c r="AB62" s="322">
        <f>SUM(Calculations[[#This Row],[C3 recyc]:[C3 incin]])</f>
        <v>0</v>
      </c>
      <c r="AC62" s="322">
        <f>IFERROR((VLOOKUP(Calculations[[#This Row],[Waste type 2]],WasteLandfillEmissions[#All],2,FALSE))*Calculations[[#This Row],[Total Kg]]*VLOOKUP(Calculations[[#This Row],[Waste 1]],WasteScenario[#All],4,FALSE),0)</f>
        <v>0</v>
      </c>
      <c r="AD62" s="322">
        <f>IFERROR((VLOOKUP(Calculations[[#This Row],[Waste type 2]],WasteLandfillEmissions[#All],3,FALSE))*Calculations[[#This Row],[Total Kg]]*VLOOKUP(Calculations[[#This Row],[Waste 1]],WasteScenario[#All],4,FALSE),0)</f>
        <v>0</v>
      </c>
      <c r="AE62" s="322">
        <f>SUM(Calculations[[#This Row],[C4 landfill]:[C4 re-use]])</f>
        <v>0</v>
      </c>
      <c r="AF62" s="322">
        <f>IFERROR(VLOOKUP(Calculations[[#This Row],[Material (choose from dropdown]],MaterialData[#All],8,FALSE),0)</f>
        <v>0</v>
      </c>
      <c r="AG62" s="322">
        <f>IFERROR(Calculations[[#This Row],[Total Kg]]*Calculations[[#This Row],[Seq factor]],0)</f>
        <v>0</v>
      </c>
      <c r="AI62" s="322">
        <f>Calculations[[#This Row],[A1-3]]+Calculations[[#This Row],[A4]]+Calculations[[#This Row],[A5]]+Calculations[[#This Row],[B4]]+Calculations[[#This Row],[C2 total]]+Calculations[[#This Row],[C3 total]]+Calculations[[#This Row],[C4 total]]</f>
        <v>0</v>
      </c>
      <c r="AJ62" s="2">
        <f>IFERROR(VLOOKUP(Calculations[[#This Row],[Material (choose from dropdown]],MaterialData[[#Headers],[#Data]],9,FALSE),0)</f>
        <v>0</v>
      </c>
      <c r="AK62" s="4">
        <f>IFERROR(VLOOKUP(Calculations[[#This Row],[Material (choose from dropdown]],MaterialData[[#Headers],[#Data]],10,FALSE),0)</f>
        <v>0</v>
      </c>
      <c r="AL62" s="322">
        <f>IFERROR(Calculations[[#This Row],[Data Quality Score]]*Calculations[[#This Row],[Total Kg]],0)</f>
        <v>0</v>
      </c>
    </row>
    <row r="63" spans="1:38" x14ac:dyDescent="0.3">
      <c r="A63" s="6">
        <f>IFERROR(MaterialsBoQ[[#This Row],[Scope Element]],0)</f>
        <v>0</v>
      </c>
      <c r="B63">
        <f>IFERROR(MaterialsBoQ[[#This Row],[Material ]],"")</f>
        <v>0</v>
      </c>
      <c r="C63">
        <f>IFERROR(MaterialsBoQ[[#This Row],[Unit]],"")</f>
        <v>0</v>
      </c>
      <c r="D63" s="322">
        <f>IFERROR(MaterialsBoQ[[#This Row],[Number]],0)</f>
        <v>0</v>
      </c>
      <c r="E63" s="322">
        <f>IFERROR(MaterialsBoQ[[#This Row],[Kg per unit]],0)</f>
        <v>0</v>
      </c>
      <c r="F63" s="322">
        <f>IFERROR(Calculations[[#This Row],[Number]]*Calculations[[#This Row],[Conversion factor]],0)</f>
        <v>0</v>
      </c>
      <c r="G63" s="322">
        <f>IFERROR(VLOOKUP(Calculations[[#This Row],[Material (choose from dropdown]],MaterialData[#All],7,FALSE),0)</f>
        <v>0</v>
      </c>
      <c r="H63" s="322">
        <f>Calculations[[#This Row],[Total Kg]]*Calculations[[#This Row],[Carbon Factor]]</f>
        <v>0</v>
      </c>
      <c r="I63" t="str">
        <f>IFERROR(VLOOKUP(Calculations[[#This Row],[Material (choose from dropdown]],MaterialData[#All],2,FALSE),"")</f>
        <v/>
      </c>
      <c r="J63" s="322">
        <f>IFERROR(((VLOOKUP(Calculations[[#This Row],[TransportSource]],TransportDistance[],2,FALSE)*'Stage assumptions'!$C$11)+VLOOKUP(Calculations[[#This Row],[TransportSource]],TransportDistance[],3,FALSE)*'Stage assumptions'!$C$12)*Calculations[[#This Row],[Total Kg]],0)</f>
        <v>0</v>
      </c>
      <c r="K63">
        <f>IFERROR(VLOOKUP(Calculations[[#This Row],[Material (choose from dropdown]], MaterialData[#All],3, FALSE),0)</f>
        <v>0</v>
      </c>
      <c r="L63" s="322">
        <f>IFERROR(VLOOKUP(Calculations[[#This Row],[A5type]],A5WastageRate[#All],2,FALSE)*Calculations[[#This Row],[A1-3]],0)</f>
        <v>0</v>
      </c>
      <c r="N63">
        <f>IFERROR(ROUNDUP(50/VLOOKUP(Calculations[[#This Row],[Scope Element]],B4referenceServiceLife[[Tier 2 element]:[Default Service Life]],2, FALSE)-1,0),0)</f>
        <v>0</v>
      </c>
      <c r="O63" s="322">
        <f>IFERROR((Calculations[[#This Row],[A1-3]]+Calculations[[#This Row],[A4]]+Calculations[[#This Row],[A5]]+Calculations[[#This Row],[C2 total]]+Calculations[[#This Row],[C3 total]]+Calculations[[#This Row],[C4 total]])*Calculations[[#This Row],[Replacements]],0)</f>
        <v>0</v>
      </c>
      <c r="S63" t="str">
        <f>IFERROR(VLOOKUP(Calculations[[#This Row],[Material (choose from dropdown]],MaterialData[#All],4,FALSE),"")</f>
        <v/>
      </c>
      <c r="T63" s="322" cm="1">
        <f t="array" ref="T63">IFERROR(VLOOKUP(Calculations[[#This Row],[Waste 1]],WasteScenario[#All],2,FALSE)*'Stage assumptions'!$C$225*WasteTransportMethod[Emissions Factor
kgCO2e/kg.km]*Calculations[[#This Row],[Total Kg]],0)</f>
        <v>0</v>
      </c>
      <c r="U63" s="322" cm="1">
        <f t="array" ref="U63">IFERROR(VLOOKUP(Calculations[[#This Row],[Waste 1]],WasteScenario[#All],3,FALSE)*'Stage assumptions'!$C$224*WasteTransportMethod[Emissions Factor
kgCO2e/kg.km]*Calculations[[#This Row],[Total Kg]],0)</f>
        <v>0</v>
      </c>
      <c r="V63" s="322" cm="1">
        <f t="array" ref="V63">IFERROR(VLOOKUP(Calculations[[#This Row],[Waste 1]],WasteScenario[#All],4,FALSE)*'Stage assumptions'!$C$223*WasteTransportMethod[Emissions Factor
kgCO2e/kg.km]*Calculations[[#This Row],[Total Kg]],0)</f>
        <v>0</v>
      </c>
      <c r="W63" s="322" cm="1">
        <f t="array" ref="W63">IFERROR(VLOOKUP(Calculations[[#This Row],[Waste 1]],WasteScenario[#All],5,FALSE)*'Stage assumptions'!$C$226*WasteTransportMethod[Emissions Factor
kgCO2e/kg.km]*Calculations[[#This Row],[Total Kg]],0)</f>
        <v>0</v>
      </c>
      <c r="X63" s="322">
        <f>SUM(Calculations[[#This Row],[C2 Recycle]:[C2 Reuse]])</f>
        <v>0</v>
      </c>
      <c r="Y63" t="str">
        <f>IFERROR(VLOOKUP(Calculations[[#This Row],[Material (choose from dropdown]],MaterialData[#All],5,FALSE),"")</f>
        <v/>
      </c>
      <c r="Z63" s="322">
        <f>IFERROR(((VLOOKUP(Calculations[[#This Row],[Waste type 2]],WasteDisposalEmissions[#All],2,FALSE))*Calculations[[#This Row],[Total Kg]])*VLOOKUP(Calculations[[#This Row],[Waste 1]],WasteScenario[#All],2,FALSE),0)</f>
        <v>0</v>
      </c>
      <c r="AA63" s="322">
        <f>IFERROR((VLOOKUP(Calculations[[#This Row],[Waste type 2]],WasteDisposalEmissions[#All],3,FALSE))*Calculations[[#This Row],[Total Kg]]*VLOOKUP(Calculations[[#This Row],[Waste 1]],WasteScenario[#All],3,FALSE),0)</f>
        <v>0</v>
      </c>
      <c r="AB63" s="322">
        <f>SUM(Calculations[[#This Row],[C3 recyc]:[C3 incin]])</f>
        <v>0</v>
      </c>
      <c r="AC63" s="322">
        <f>IFERROR((VLOOKUP(Calculations[[#This Row],[Waste type 2]],WasteLandfillEmissions[#All],2,FALSE))*Calculations[[#This Row],[Total Kg]]*VLOOKUP(Calculations[[#This Row],[Waste 1]],WasteScenario[#All],4,FALSE),0)</f>
        <v>0</v>
      </c>
      <c r="AD63" s="322">
        <f>IFERROR((VLOOKUP(Calculations[[#This Row],[Waste type 2]],WasteLandfillEmissions[#All],3,FALSE))*Calculations[[#This Row],[Total Kg]]*VLOOKUP(Calculations[[#This Row],[Waste 1]],WasteScenario[#All],4,FALSE),0)</f>
        <v>0</v>
      </c>
      <c r="AE63" s="322">
        <f>SUM(Calculations[[#This Row],[C4 landfill]:[C4 re-use]])</f>
        <v>0</v>
      </c>
      <c r="AF63" s="322">
        <f>IFERROR(VLOOKUP(Calculations[[#This Row],[Material (choose from dropdown]],MaterialData[#All],8,FALSE),0)</f>
        <v>0</v>
      </c>
      <c r="AG63" s="322">
        <f>IFERROR(Calculations[[#This Row],[Total Kg]]*Calculations[[#This Row],[Seq factor]],0)</f>
        <v>0</v>
      </c>
      <c r="AI63" s="322">
        <f>Calculations[[#This Row],[A1-3]]+Calculations[[#This Row],[A4]]+Calculations[[#This Row],[A5]]+Calculations[[#This Row],[B4]]+Calculations[[#This Row],[C2 total]]+Calculations[[#This Row],[C3 total]]+Calculations[[#This Row],[C4 total]]</f>
        <v>0</v>
      </c>
      <c r="AJ63" s="2">
        <f>IFERROR(VLOOKUP(Calculations[[#This Row],[Material (choose from dropdown]],MaterialData[[#Headers],[#Data]],9,FALSE),0)</f>
        <v>0</v>
      </c>
      <c r="AK63" s="4">
        <f>IFERROR(VLOOKUP(Calculations[[#This Row],[Material (choose from dropdown]],MaterialData[[#Headers],[#Data]],10,FALSE),0)</f>
        <v>0</v>
      </c>
      <c r="AL63" s="322">
        <f>IFERROR(Calculations[[#This Row],[Data Quality Score]]*Calculations[[#This Row],[Total Kg]],0)</f>
        <v>0</v>
      </c>
    </row>
    <row r="64" spans="1:38" x14ac:dyDescent="0.3">
      <c r="A64" s="6">
        <f>IFERROR(MaterialsBoQ[[#This Row],[Scope Element]],0)</f>
        <v>0</v>
      </c>
      <c r="B64">
        <f>IFERROR(MaterialsBoQ[[#This Row],[Material ]],"")</f>
        <v>0</v>
      </c>
      <c r="C64">
        <f>IFERROR(MaterialsBoQ[[#This Row],[Unit]],"")</f>
        <v>0</v>
      </c>
      <c r="D64" s="322">
        <f>IFERROR(MaterialsBoQ[[#This Row],[Number]],0)</f>
        <v>0</v>
      </c>
      <c r="E64" s="322">
        <f>IFERROR(MaterialsBoQ[[#This Row],[Kg per unit]],0)</f>
        <v>0</v>
      </c>
      <c r="F64" s="322">
        <f>IFERROR(Calculations[[#This Row],[Number]]*Calculations[[#This Row],[Conversion factor]],0)</f>
        <v>0</v>
      </c>
      <c r="G64" s="322">
        <f>IFERROR(VLOOKUP(Calculations[[#This Row],[Material (choose from dropdown]],MaterialData[#All],7,FALSE),0)</f>
        <v>0</v>
      </c>
      <c r="H64" s="322">
        <f>Calculations[[#This Row],[Total Kg]]*Calculations[[#This Row],[Carbon Factor]]</f>
        <v>0</v>
      </c>
      <c r="I64" t="str">
        <f>IFERROR(VLOOKUP(Calculations[[#This Row],[Material (choose from dropdown]],MaterialData[#All],2,FALSE),"")</f>
        <v/>
      </c>
      <c r="J64" s="322">
        <f>IFERROR(((VLOOKUP(Calculations[[#This Row],[TransportSource]],TransportDistance[],2,FALSE)*'Stage assumptions'!$C$11)+VLOOKUP(Calculations[[#This Row],[TransportSource]],TransportDistance[],3,FALSE)*'Stage assumptions'!$C$12)*Calculations[[#This Row],[Total Kg]],0)</f>
        <v>0</v>
      </c>
      <c r="K64">
        <f>IFERROR(VLOOKUP(Calculations[[#This Row],[Material (choose from dropdown]], MaterialData[#All],3, FALSE),0)</f>
        <v>0</v>
      </c>
      <c r="L64" s="322">
        <f>IFERROR(VLOOKUP(Calculations[[#This Row],[A5type]],A5WastageRate[#All],2,FALSE)*Calculations[[#This Row],[A1-3]],0)</f>
        <v>0</v>
      </c>
      <c r="N64">
        <f>IFERROR(ROUNDUP(50/VLOOKUP(Calculations[[#This Row],[Scope Element]],B4referenceServiceLife[[Tier 2 element]:[Default Service Life]],2, FALSE)-1,0),0)</f>
        <v>0</v>
      </c>
      <c r="O64" s="322">
        <f>IFERROR((Calculations[[#This Row],[A1-3]]+Calculations[[#This Row],[A4]]+Calculations[[#This Row],[A5]]+Calculations[[#This Row],[C2 total]]+Calculations[[#This Row],[C3 total]]+Calculations[[#This Row],[C4 total]])*Calculations[[#This Row],[Replacements]],0)</f>
        <v>0</v>
      </c>
      <c r="S64" t="str">
        <f>IFERROR(VLOOKUP(Calculations[[#This Row],[Material (choose from dropdown]],MaterialData[#All],4,FALSE),"")</f>
        <v/>
      </c>
      <c r="T64" s="322" cm="1">
        <f t="array" ref="T64">IFERROR(VLOOKUP(Calculations[[#This Row],[Waste 1]],WasteScenario[#All],2,FALSE)*'Stage assumptions'!$C$225*WasteTransportMethod[Emissions Factor
kgCO2e/kg.km]*Calculations[[#This Row],[Total Kg]],0)</f>
        <v>0</v>
      </c>
      <c r="U64" s="322" cm="1">
        <f t="array" ref="U64">IFERROR(VLOOKUP(Calculations[[#This Row],[Waste 1]],WasteScenario[#All],3,FALSE)*'Stage assumptions'!$C$224*WasteTransportMethod[Emissions Factor
kgCO2e/kg.km]*Calculations[[#This Row],[Total Kg]],0)</f>
        <v>0</v>
      </c>
      <c r="V64" s="322" cm="1">
        <f t="array" ref="V64">IFERROR(VLOOKUP(Calculations[[#This Row],[Waste 1]],WasteScenario[#All],4,FALSE)*'Stage assumptions'!$C$223*WasteTransportMethod[Emissions Factor
kgCO2e/kg.km]*Calculations[[#This Row],[Total Kg]],0)</f>
        <v>0</v>
      </c>
      <c r="W64" s="322" cm="1">
        <f t="array" ref="W64">IFERROR(VLOOKUP(Calculations[[#This Row],[Waste 1]],WasteScenario[#All],5,FALSE)*'Stage assumptions'!$C$226*WasteTransportMethod[Emissions Factor
kgCO2e/kg.km]*Calculations[[#This Row],[Total Kg]],0)</f>
        <v>0</v>
      </c>
      <c r="X64" s="322">
        <f>SUM(Calculations[[#This Row],[C2 Recycle]:[C2 Reuse]])</f>
        <v>0</v>
      </c>
      <c r="Y64" t="str">
        <f>IFERROR(VLOOKUP(Calculations[[#This Row],[Material (choose from dropdown]],MaterialData[#All],5,FALSE),"")</f>
        <v/>
      </c>
      <c r="Z64" s="322">
        <f>IFERROR(((VLOOKUP(Calculations[[#This Row],[Waste type 2]],WasteDisposalEmissions[#All],2,FALSE))*Calculations[[#This Row],[Total Kg]])*VLOOKUP(Calculations[[#This Row],[Waste 1]],WasteScenario[#All],2,FALSE),0)</f>
        <v>0</v>
      </c>
      <c r="AA64" s="322">
        <f>IFERROR((VLOOKUP(Calculations[[#This Row],[Waste type 2]],WasteDisposalEmissions[#All],3,FALSE))*Calculations[[#This Row],[Total Kg]]*VLOOKUP(Calculations[[#This Row],[Waste 1]],WasteScenario[#All],3,FALSE),0)</f>
        <v>0</v>
      </c>
      <c r="AB64" s="322">
        <f>SUM(Calculations[[#This Row],[C3 recyc]:[C3 incin]])</f>
        <v>0</v>
      </c>
      <c r="AC64" s="322">
        <f>IFERROR((VLOOKUP(Calculations[[#This Row],[Waste type 2]],WasteLandfillEmissions[#All],2,FALSE))*Calculations[[#This Row],[Total Kg]]*VLOOKUP(Calculations[[#This Row],[Waste 1]],WasteScenario[#All],4,FALSE),0)</f>
        <v>0</v>
      </c>
      <c r="AD64" s="322">
        <f>IFERROR((VLOOKUP(Calculations[[#This Row],[Waste type 2]],WasteLandfillEmissions[#All],3,FALSE))*Calculations[[#This Row],[Total Kg]]*VLOOKUP(Calculations[[#This Row],[Waste 1]],WasteScenario[#All],4,FALSE),0)</f>
        <v>0</v>
      </c>
      <c r="AE64" s="322">
        <f>SUM(Calculations[[#This Row],[C4 landfill]:[C4 re-use]])</f>
        <v>0</v>
      </c>
      <c r="AF64" s="322">
        <f>IFERROR(VLOOKUP(Calculations[[#This Row],[Material (choose from dropdown]],MaterialData[#All],8,FALSE),0)</f>
        <v>0</v>
      </c>
      <c r="AG64" s="322">
        <f>IFERROR(Calculations[[#This Row],[Total Kg]]*Calculations[[#This Row],[Seq factor]],0)</f>
        <v>0</v>
      </c>
      <c r="AI64" s="322">
        <f>Calculations[[#This Row],[A1-3]]+Calculations[[#This Row],[A4]]+Calculations[[#This Row],[A5]]+Calculations[[#This Row],[B4]]+Calculations[[#This Row],[C2 total]]+Calculations[[#This Row],[C3 total]]+Calculations[[#This Row],[C4 total]]</f>
        <v>0</v>
      </c>
      <c r="AJ64" s="2">
        <f>IFERROR(VLOOKUP(Calculations[[#This Row],[Material (choose from dropdown]],MaterialData[[#Headers],[#Data]],9,FALSE),0)</f>
        <v>0</v>
      </c>
      <c r="AK64" s="4">
        <f>IFERROR(VLOOKUP(Calculations[[#This Row],[Material (choose from dropdown]],MaterialData[[#Headers],[#Data]],10,FALSE),0)</f>
        <v>0</v>
      </c>
      <c r="AL64" s="322">
        <f>IFERROR(Calculations[[#This Row],[Data Quality Score]]*Calculations[[#This Row],[Total Kg]],0)</f>
        <v>0</v>
      </c>
    </row>
    <row r="65" spans="1:38" x14ac:dyDescent="0.3">
      <c r="A65" s="6">
        <f>IFERROR(MaterialsBoQ[[#This Row],[Scope Element]],0)</f>
        <v>0</v>
      </c>
      <c r="B65">
        <f>IFERROR(MaterialsBoQ[[#This Row],[Material ]],"")</f>
        <v>0</v>
      </c>
      <c r="C65">
        <f>IFERROR(MaterialsBoQ[[#This Row],[Unit]],"")</f>
        <v>0</v>
      </c>
      <c r="D65" s="322">
        <f>IFERROR(MaterialsBoQ[[#This Row],[Number]],0)</f>
        <v>0</v>
      </c>
      <c r="E65" s="322">
        <f>IFERROR(MaterialsBoQ[[#This Row],[Kg per unit]],0)</f>
        <v>0</v>
      </c>
      <c r="F65" s="322">
        <f>IFERROR(Calculations[[#This Row],[Number]]*Calculations[[#This Row],[Conversion factor]],0)</f>
        <v>0</v>
      </c>
      <c r="G65" s="322">
        <f>IFERROR(VLOOKUP(Calculations[[#This Row],[Material (choose from dropdown]],MaterialData[#All],7,FALSE),0)</f>
        <v>0</v>
      </c>
      <c r="H65" s="322">
        <f>Calculations[[#This Row],[Total Kg]]*Calculations[[#This Row],[Carbon Factor]]</f>
        <v>0</v>
      </c>
      <c r="I65" t="str">
        <f>IFERROR(VLOOKUP(Calculations[[#This Row],[Material (choose from dropdown]],MaterialData[#All],2,FALSE),"")</f>
        <v/>
      </c>
      <c r="J65" s="322">
        <f>IFERROR(((VLOOKUP(Calculations[[#This Row],[TransportSource]],TransportDistance[],2,FALSE)*'Stage assumptions'!$C$11)+VLOOKUP(Calculations[[#This Row],[TransportSource]],TransportDistance[],3,FALSE)*'Stage assumptions'!$C$12)*Calculations[[#This Row],[Total Kg]],0)</f>
        <v>0</v>
      </c>
      <c r="K65">
        <f>IFERROR(VLOOKUP(Calculations[[#This Row],[Material (choose from dropdown]], MaterialData[#All],3, FALSE),0)</f>
        <v>0</v>
      </c>
      <c r="L65" s="322">
        <f>IFERROR(VLOOKUP(Calculations[[#This Row],[A5type]],A5WastageRate[#All],2,FALSE)*Calculations[[#This Row],[A1-3]],0)</f>
        <v>0</v>
      </c>
      <c r="N65">
        <f>IFERROR(ROUNDUP(50/VLOOKUP(Calculations[[#This Row],[Scope Element]],B4referenceServiceLife[[Tier 2 element]:[Default Service Life]],2, FALSE)-1,0),0)</f>
        <v>0</v>
      </c>
      <c r="O65" s="322">
        <f>IFERROR((Calculations[[#This Row],[A1-3]]+Calculations[[#This Row],[A4]]+Calculations[[#This Row],[A5]]+Calculations[[#This Row],[C2 total]]+Calculations[[#This Row],[C3 total]]+Calculations[[#This Row],[C4 total]])*Calculations[[#This Row],[Replacements]],0)</f>
        <v>0</v>
      </c>
      <c r="S65" t="str">
        <f>IFERROR(VLOOKUP(Calculations[[#This Row],[Material (choose from dropdown]],MaterialData[#All],4,FALSE),"")</f>
        <v/>
      </c>
      <c r="T65" s="322" cm="1">
        <f t="array" ref="T65">IFERROR(VLOOKUP(Calculations[[#This Row],[Waste 1]],WasteScenario[#All],2,FALSE)*'Stage assumptions'!$C$225*WasteTransportMethod[Emissions Factor
kgCO2e/kg.km]*Calculations[[#This Row],[Total Kg]],0)</f>
        <v>0</v>
      </c>
      <c r="U65" s="322" cm="1">
        <f t="array" ref="U65">IFERROR(VLOOKUP(Calculations[[#This Row],[Waste 1]],WasteScenario[#All],3,FALSE)*'Stage assumptions'!$C$224*WasteTransportMethod[Emissions Factor
kgCO2e/kg.km]*Calculations[[#This Row],[Total Kg]],0)</f>
        <v>0</v>
      </c>
      <c r="V65" s="322" cm="1">
        <f t="array" ref="V65">IFERROR(VLOOKUP(Calculations[[#This Row],[Waste 1]],WasteScenario[#All],4,FALSE)*'Stage assumptions'!$C$223*WasteTransportMethod[Emissions Factor
kgCO2e/kg.km]*Calculations[[#This Row],[Total Kg]],0)</f>
        <v>0</v>
      </c>
      <c r="W65" s="322" cm="1">
        <f t="array" ref="W65">IFERROR(VLOOKUP(Calculations[[#This Row],[Waste 1]],WasteScenario[#All],5,FALSE)*'Stage assumptions'!$C$226*WasteTransportMethod[Emissions Factor
kgCO2e/kg.km]*Calculations[[#This Row],[Total Kg]],0)</f>
        <v>0</v>
      </c>
      <c r="X65" s="322">
        <f>SUM(Calculations[[#This Row],[C2 Recycle]:[C2 Reuse]])</f>
        <v>0</v>
      </c>
      <c r="Y65" t="str">
        <f>IFERROR(VLOOKUP(Calculations[[#This Row],[Material (choose from dropdown]],MaterialData[#All],5,FALSE),"")</f>
        <v/>
      </c>
      <c r="Z65" s="322">
        <f>IFERROR(((VLOOKUP(Calculations[[#This Row],[Waste type 2]],WasteDisposalEmissions[#All],2,FALSE))*Calculations[[#This Row],[Total Kg]])*VLOOKUP(Calculations[[#This Row],[Waste 1]],WasteScenario[#All],2,FALSE),0)</f>
        <v>0</v>
      </c>
      <c r="AA65" s="322">
        <f>IFERROR((VLOOKUP(Calculations[[#This Row],[Waste type 2]],WasteDisposalEmissions[#All],3,FALSE))*Calculations[[#This Row],[Total Kg]]*VLOOKUP(Calculations[[#This Row],[Waste 1]],WasteScenario[#All],3,FALSE),0)</f>
        <v>0</v>
      </c>
      <c r="AB65" s="322">
        <f>SUM(Calculations[[#This Row],[C3 recyc]:[C3 incin]])</f>
        <v>0</v>
      </c>
      <c r="AC65" s="322">
        <f>IFERROR((VLOOKUP(Calculations[[#This Row],[Waste type 2]],WasteLandfillEmissions[#All],2,FALSE))*Calculations[[#This Row],[Total Kg]]*VLOOKUP(Calculations[[#This Row],[Waste 1]],WasteScenario[#All],4,FALSE),0)</f>
        <v>0</v>
      </c>
      <c r="AD65" s="322">
        <f>IFERROR((VLOOKUP(Calculations[[#This Row],[Waste type 2]],WasteLandfillEmissions[#All],3,FALSE))*Calculations[[#This Row],[Total Kg]]*VLOOKUP(Calculations[[#This Row],[Waste 1]],WasteScenario[#All],4,FALSE),0)</f>
        <v>0</v>
      </c>
      <c r="AE65" s="322">
        <f>SUM(Calculations[[#This Row],[C4 landfill]:[C4 re-use]])</f>
        <v>0</v>
      </c>
      <c r="AF65" s="322">
        <f>IFERROR(VLOOKUP(Calculations[[#This Row],[Material (choose from dropdown]],MaterialData[#All],8,FALSE),0)</f>
        <v>0</v>
      </c>
      <c r="AG65" s="322">
        <f>IFERROR(Calculations[[#This Row],[Total Kg]]*Calculations[[#This Row],[Seq factor]],0)</f>
        <v>0</v>
      </c>
      <c r="AI65" s="322">
        <f>Calculations[[#This Row],[A1-3]]+Calculations[[#This Row],[A4]]+Calculations[[#This Row],[A5]]+Calculations[[#This Row],[B4]]+Calculations[[#This Row],[C2 total]]+Calculations[[#This Row],[C3 total]]+Calculations[[#This Row],[C4 total]]</f>
        <v>0</v>
      </c>
      <c r="AJ65" s="2">
        <f>IFERROR(VLOOKUP(Calculations[[#This Row],[Material (choose from dropdown]],MaterialData[[#Headers],[#Data]],9,FALSE),0)</f>
        <v>0</v>
      </c>
      <c r="AK65" s="4">
        <f>IFERROR(VLOOKUP(Calculations[[#This Row],[Material (choose from dropdown]],MaterialData[[#Headers],[#Data]],10,FALSE),0)</f>
        <v>0</v>
      </c>
      <c r="AL65" s="322">
        <f>IFERROR(Calculations[[#This Row],[Data Quality Score]]*Calculations[[#This Row],[Total Kg]],0)</f>
        <v>0</v>
      </c>
    </row>
    <row r="66" spans="1:38" x14ac:dyDescent="0.3">
      <c r="A66" s="6">
        <f>IFERROR(MaterialsBoQ[[#This Row],[Scope Element]],0)</f>
        <v>0</v>
      </c>
      <c r="B66">
        <f>IFERROR(MaterialsBoQ[[#This Row],[Material ]],"")</f>
        <v>0</v>
      </c>
      <c r="C66">
        <f>IFERROR(MaterialsBoQ[[#This Row],[Unit]],"")</f>
        <v>0</v>
      </c>
      <c r="D66" s="322">
        <f>IFERROR(MaterialsBoQ[[#This Row],[Number]],0)</f>
        <v>0</v>
      </c>
      <c r="E66" s="322">
        <f>IFERROR(MaterialsBoQ[[#This Row],[Kg per unit]],0)</f>
        <v>0</v>
      </c>
      <c r="F66" s="322">
        <f>IFERROR(Calculations[[#This Row],[Number]]*Calculations[[#This Row],[Conversion factor]],0)</f>
        <v>0</v>
      </c>
      <c r="G66" s="322">
        <f>IFERROR(VLOOKUP(Calculations[[#This Row],[Material (choose from dropdown]],MaterialData[#All],7,FALSE),0)</f>
        <v>0</v>
      </c>
      <c r="H66" s="322">
        <f>Calculations[[#This Row],[Total Kg]]*Calculations[[#This Row],[Carbon Factor]]</f>
        <v>0</v>
      </c>
      <c r="I66" t="str">
        <f>IFERROR(VLOOKUP(Calculations[[#This Row],[Material (choose from dropdown]],MaterialData[#All],2,FALSE),"")</f>
        <v/>
      </c>
      <c r="J66" s="322">
        <f>IFERROR(((VLOOKUP(Calculations[[#This Row],[TransportSource]],TransportDistance[],2,FALSE)*'Stage assumptions'!$C$11)+VLOOKUP(Calculations[[#This Row],[TransportSource]],TransportDistance[],3,FALSE)*'Stage assumptions'!$C$12)*Calculations[[#This Row],[Total Kg]],0)</f>
        <v>0</v>
      </c>
      <c r="K66">
        <f>IFERROR(VLOOKUP(Calculations[[#This Row],[Material (choose from dropdown]], MaterialData[#All],3, FALSE),0)</f>
        <v>0</v>
      </c>
      <c r="L66" s="322">
        <f>IFERROR(VLOOKUP(Calculations[[#This Row],[A5type]],A5WastageRate[#All],2,FALSE)*Calculations[[#This Row],[A1-3]],0)</f>
        <v>0</v>
      </c>
      <c r="N66">
        <f>IFERROR(ROUNDUP(50/VLOOKUP(Calculations[[#This Row],[Scope Element]],B4referenceServiceLife[[Tier 2 element]:[Default Service Life]],2, FALSE)-1,0),0)</f>
        <v>0</v>
      </c>
      <c r="O66" s="322">
        <f>IFERROR((Calculations[[#This Row],[A1-3]]+Calculations[[#This Row],[A4]]+Calculations[[#This Row],[A5]]+Calculations[[#This Row],[C2 total]]+Calculations[[#This Row],[C3 total]]+Calculations[[#This Row],[C4 total]])*Calculations[[#This Row],[Replacements]],0)</f>
        <v>0</v>
      </c>
      <c r="S66" t="str">
        <f>IFERROR(VLOOKUP(Calculations[[#This Row],[Material (choose from dropdown]],MaterialData[#All],4,FALSE),"")</f>
        <v/>
      </c>
      <c r="T66" s="322" cm="1">
        <f t="array" ref="T66">IFERROR(VLOOKUP(Calculations[[#This Row],[Waste 1]],WasteScenario[#All],2,FALSE)*'Stage assumptions'!$C$225*WasteTransportMethod[Emissions Factor
kgCO2e/kg.km]*Calculations[[#This Row],[Total Kg]],0)</f>
        <v>0</v>
      </c>
      <c r="U66" s="322" cm="1">
        <f t="array" ref="U66">IFERROR(VLOOKUP(Calculations[[#This Row],[Waste 1]],WasteScenario[#All],3,FALSE)*'Stage assumptions'!$C$224*WasteTransportMethod[Emissions Factor
kgCO2e/kg.km]*Calculations[[#This Row],[Total Kg]],0)</f>
        <v>0</v>
      </c>
      <c r="V66" s="322" cm="1">
        <f t="array" ref="V66">IFERROR(VLOOKUP(Calculations[[#This Row],[Waste 1]],WasteScenario[#All],4,FALSE)*'Stage assumptions'!$C$223*WasteTransportMethod[Emissions Factor
kgCO2e/kg.km]*Calculations[[#This Row],[Total Kg]],0)</f>
        <v>0</v>
      </c>
      <c r="W66" s="322" cm="1">
        <f t="array" ref="W66">IFERROR(VLOOKUP(Calculations[[#This Row],[Waste 1]],WasteScenario[#All],5,FALSE)*'Stage assumptions'!$C$226*WasteTransportMethod[Emissions Factor
kgCO2e/kg.km]*Calculations[[#This Row],[Total Kg]],0)</f>
        <v>0</v>
      </c>
      <c r="X66" s="322">
        <f>SUM(Calculations[[#This Row],[C2 Recycle]:[C2 Reuse]])</f>
        <v>0</v>
      </c>
      <c r="Y66" t="str">
        <f>IFERROR(VLOOKUP(Calculations[[#This Row],[Material (choose from dropdown]],MaterialData[#All],5,FALSE),"")</f>
        <v/>
      </c>
      <c r="Z66" s="322">
        <f>IFERROR(((VLOOKUP(Calculations[[#This Row],[Waste type 2]],WasteDisposalEmissions[#All],2,FALSE))*Calculations[[#This Row],[Total Kg]])*VLOOKUP(Calculations[[#This Row],[Waste 1]],WasteScenario[#All],2,FALSE),0)</f>
        <v>0</v>
      </c>
      <c r="AA66" s="322">
        <f>IFERROR((VLOOKUP(Calculations[[#This Row],[Waste type 2]],WasteDisposalEmissions[#All],3,FALSE))*Calculations[[#This Row],[Total Kg]]*VLOOKUP(Calculations[[#This Row],[Waste 1]],WasteScenario[#All],3,FALSE),0)</f>
        <v>0</v>
      </c>
      <c r="AB66" s="322">
        <f>SUM(Calculations[[#This Row],[C3 recyc]:[C3 incin]])</f>
        <v>0</v>
      </c>
      <c r="AC66" s="322">
        <f>IFERROR((VLOOKUP(Calculations[[#This Row],[Waste type 2]],WasteLandfillEmissions[#All],2,FALSE))*Calculations[[#This Row],[Total Kg]]*VLOOKUP(Calculations[[#This Row],[Waste 1]],WasteScenario[#All],4,FALSE),0)</f>
        <v>0</v>
      </c>
      <c r="AD66" s="322">
        <f>IFERROR((VLOOKUP(Calculations[[#This Row],[Waste type 2]],WasteLandfillEmissions[#All],3,FALSE))*Calculations[[#This Row],[Total Kg]]*VLOOKUP(Calculations[[#This Row],[Waste 1]],WasteScenario[#All],4,FALSE),0)</f>
        <v>0</v>
      </c>
      <c r="AE66" s="322">
        <f>SUM(Calculations[[#This Row],[C4 landfill]:[C4 re-use]])</f>
        <v>0</v>
      </c>
      <c r="AF66" s="322">
        <f>IFERROR(VLOOKUP(Calculations[[#This Row],[Material (choose from dropdown]],MaterialData[#All],8,FALSE),0)</f>
        <v>0</v>
      </c>
      <c r="AG66" s="322">
        <f>IFERROR(Calculations[[#This Row],[Total Kg]]*Calculations[[#This Row],[Seq factor]],0)</f>
        <v>0</v>
      </c>
      <c r="AI66" s="322">
        <f>Calculations[[#This Row],[A1-3]]+Calculations[[#This Row],[A4]]+Calculations[[#This Row],[A5]]+Calculations[[#This Row],[B4]]+Calculations[[#This Row],[C2 total]]+Calculations[[#This Row],[C3 total]]+Calculations[[#This Row],[C4 total]]</f>
        <v>0</v>
      </c>
      <c r="AJ66" s="2">
        <f>IFERROR(VLOOKUP(Calculations[[#This Row],[Material (choose from dropdown]],MaterialData[[#Headers],[#Data]],9,FALSE),0)</f>
        <v>0</v>
      </c>
      <c r="AK66" s="4">
        <f>IFERROR(VLOOKUP(Calculations[[#This Row],[Material (choose from dropdown]],MaterialData[[#Headers],[#Data]],10,FALSE),0)</f>
        <v>0</v>
      </c>
      <c r="AL66" s="322">
        <f>IFERROR(Calculations[[#This Row],[Data Quality Score]]*Calculations[[#This Row],[Total Kg]],0)</f>
        <v>0</v>
      </c>
    </row>
    <row r="67" spans="1:38" x14ac:dyDescent="0.3">
      <c r="A67" s="6">
        <f>IFERROR(MaterialsBoQ[[#This Row],[Scope Element]],0)</f>
        <v>0</v>
      </c>
      <c r="B67">
        <f>IFERROR(MaterialsBoQ[[#This Row],[Material ]],"")</f>
        <v>0</v>
      </c>
      <c r="C67">
        <f>IFERROR(MaterialsBoQ[[#This Row],[Unit]],"")</f>
        <v>0</v>
      </c>
      <c r="D67" s="322">
        <f>IFERROR(MaterialsBoQ[[#This Row],[Number]],0)</f>
        <v>0</v>
      </c>
      <c r="E67" s="322">
        <f>IFERROR(MaterialsBoQ[[#This Row],[Kg per unit]],0)</f>
        <v>0</v>
      </c>
      <c r="F67" s="322">
        <f>IFERROR(Calculations[[#This Row],[Number]]*Calculations[[#This Row],[Conversion factor]],0)</f>
        <v>0</v>
      </c>
      <c r="G67" s="322">
        <f>IFERROR(VLOOKUP(Calculations[[#This Row],[Material (choose from dropdown]],MaterialData[#All],7,FALSE),0)</f>
        <v>0</v>
      </c>
      <c r="H67" s="322">
        <f>Calculations[[#This Row],[Total Kg]]*Calculations[[#This Row],[Carbon Factor]]</f>
        <v>0</v>
      </c>
      <c r="I67" t="str">
        <f>IFERROR(VLOOKUP(Calculations[[#This Row],[Material (choose from dropdown]],MaterialData[#All],2,FALSE),"")</f>
        <v/>
      </c>
      <c r="J67" s="322">
        <f>IFERROR(((VLOOKUP(Calculations[[#This Row],[TransportSource]],TransportDistance[],2,FALSE)*'Stage assumptions'!$C$11)+VLOOKUP(Calculations[[#This Row],[TransportSource]],TransportDistance[],3,FALSE)*'Stage assumptions'!$C$12)*Calculations[[#This Row],[Total Kg]],0)</f>
        <v>0</v>
      </c>
      <c r="K67">
        <f>IFERROR(VLOOKUP(Calculations[[#This Row],[Material (choose from dropdown]], MaterialData[#All],3, FALSE),0)</f>
        <v>0</v>
      </c>
      <c r="L67" s="322">
        <f>IFERROR(VLOOKUP(Calculations[[#This Row],[A5type]],A5WastageRate[#All],2,FALSE)*Calculations[[#This Row],[A1-3]],0)</f>
        <v>0</v>
      </c>
      <c r="N67">
        <f>IFERROR(ROUNDUP(50/VLOOKUP(Calculations[[#This Row],[Scope Element]],B4referenceServiceLife[[Tier 2 element]:[Default Service Life]],2, FALSE)-1,0),0)</f>
        <v>0</v>
      </c>
      <c r="O67" s="322">
        <f>IFERROR((Calculations[[#This Row],[A1-3]]+Calculations[[#This Row],[A4]]+Calculations[[#This Row],[A5]]+Calculations[[#This Row],[C2 total]]+Calculations[[#This Row],[C3 total]]+Calculations[[#This Row],[C4 total]])*Calculations[[#This Row],[Replacements]],0)</f>
        <v>0</v>
      </c>
      <c r="S67" t="str">
        <f>IFERROR(VLOOKUP(Calculations[[#This Row],[Material (choose from dropdown]],MaterialData[#All],4,FALSE),"")</f>
        <v/>
      </c>
      <c r="T67" s="322" cm="1">
        <f t="array" ref="T67">IFERROR(VLOOKUP(Calculations[[#This Row],[Waste 1]],WasteScenario[#All],2,FALSE)*'Stage assumptions'!$C$225*WasteTransportMethod[Emissions Factor
kgCO2e/kg.km]*Calculations[[#This Row],[Total Kg]],0)</f>
        <v>0</v>
      </c>
      <c r="U67" s="322" cm="1">
        <f t="array" ref="U67">IFERROR(VLOOKUP(Calculations[[#This Row],[Waste 1]],WasteScenario[#All],3,FALSE)*'Stage assumptions'!$C$224*WasteTransportMethod[Emissions Factor
kgCO2e/kg.km]*Calculations[[#This Row],[Total Kg]],0)</f>
        <v>0</v>
      </c>
      <c r="V67" s="322" cm="1">
        <f t="array" ref="V67">IFERROR(VLOOKUP(Calculations[[#This Row],[Waste 1]],WasteScenario[#All],4,FALSE)*'Stage assumptions'!$C$223*WasteTransportMethod[Emissions Factor
kgCO2e/kg.km]*Calculations[[#This Row],[Total Kg]],0)</f>
        <v>0</v>
      </c>
      <c r="W67" s="322" cm="1">
        <f t="array" ref="W67">IFERROR(VLOOKUP(Calculations[[#This Row],[Waste 1]],WasteScenario[#All],5,FALSE)*'Stage assumptions'!$C$226*WasteTransportMethod[Emissions Factor
kgCO2e/kg.km]*Calculations[[#This Row],[Total Kg]],0)</f>
        <v>0</v>
      </c>
      <c r="X67" s="322">
        <f>SUM(Calculations[[#This Row],[C2 Recycle]:[C2 Reuse]])</f>
        <v>0</v>
      </c>
      <c r="Y67" t="str">
        <f>IFERROR(VLOOKUP(Calculations[[#This Row],[Material (choose from dropdown]],MaterialData[#All],5,FALSE),"")</f>
        <v/>
      </c>
      <c r="Z67" s="322">
        <f>IFERROR(((VLOOKUP(Calculations[[#This Row],[Waste type 2]],WasteDisposalEmissions[#All],2,FALSE))*Calculations[[#This Row],[Total Kg]])*VLOOKUP(Calculations[[#This Row],[Waste 1]],WasteScenario[#All],2,FALSE),0)</f>
        <v>0</v>
      </c>
      <c r="AA67" s="322">
        <f>IFERROR((VLOOKUP(Calculations[[#This Row],[Waste type 2]],WasteDisposalEmissions[#All],3,FALSE))*Calculations[[#This Row],[Total Kg]]*VLOOKUP(Calculations[[#This Row],[Waste 1]],WasteScenario[#All],3,FALSE),0)</f>
        <v>0</v>
      </c>
      <c r="AB67" s="322">
        <f>SUM(Calculations[[#This Row],[C3 recyc]:[C3 incin]])</f>
        <v>0</v>
      </c>
      <c r="AC67" s="322">
        <f>IFERROR((VLOOKUP(Calculations[[#This Row],[Waste type 2]],WasteLandfillEmissions[#All],2,FALSE))*Calculations[[#This Row],[Total Kg]]*VLOOKUP(Calculations[[#This Row],[Waste 1]],WasteScenario[#All],4,FALSE),0)</f>
        <v>0</v>
      </c>
      <c r="AD67" s="322">
        <f>IFERROR((VLOOKUP(Calculations[[#This Row],[Waste type 2]],WasteLandfillEmissions[#All],3,FALSE))*Calculations[[#This Row],[Total Kg]]*VLOOKUP(Calculations[[#This Row],[Waste 1]],WasteScenario[#All],4,FALSE),0)</f>
        <v>0</v>
      </c>
      <c r="AE67" s="322">
        <f>SUM(Calculations[[#This Row],[C4 landfill]:[C4 re-use]])</f>
        <v>0</v>
      </c>
      <c r="AF67" s="322">
        <f>IFERROR(VLOOKUP(Calculations[[#This Row],[Material (choose from dropdown]],MaterialData[#All],8,FALSE),0)</f>
        <v>0</v>
      </c>
      <c r="AG67" s="322">
        <f>IFERROR(Calculations[[#This Row],[Total Kg]]*Calculations[[#This Row],[Seq factor]],0)</f>
        <v>0</v>
      </c>
      <c r="AI67" s="322">
        <f>Calculations[[#This Row],[A1-3]]+Calculations[[#This Row],[A4]]+Calculations[[#This Row],[A5]]+Calculations[[#This Row],[B4]]+Calculations[[#This Row],[C2 total]]+Calculations[[#This Row],[C3 total]]+Calculations[[#This Row],[C4 total]]</f>
        <v>0</v>
      </c>
      <c r="AJ67" s="2">
        <f>IFERROR(VLOOKUP(Calculations[[#This Row],[Material (choose from dropdown]],MaterialData[[#Headers],[#Data]],9,FALSE),0)</f>
        <v>0</v>
      </c>
      <c r="AK67" s="4">
        <f>IFERROR(VLOOKUP(Calculations[[#This Row],[Material (choose from dropdown]],MaterialData[[#Headers],[#Data]],10,FALSE),0)</f>
        <v>0</v>
      </c>
      <c r="AL67" s="322">
        <f>IFERROR(Calculations[[#This Row],[Data Quality Score]]*Calculations[[#This Row],[Total Kg]],0)</f>
        <v>0</v>
      </c>
    </row>
    <row r="68" spans="1:38" x14ac:dyDescent="0.3">
      <c r="A68" s="6">
        <f>IFERROR(MaterialsBoQ[[#This Row],[Scope Element]],0)</f>
        <v>0</v>
      </c>
      <c r="B68">
        <f>IFERROR(MaterialsBoQ[[#This Row],[Material ]],"")</f>
        <v>0</v>
      </c>
      <c r="C68">
        <f>IFERROR(MaterialsBoQ[[#This Row],[Unit]],"")</f>
        <v>0</v>
      </c>
      <c r="D68" s="322">
        <f>IFERROR(MaterialsBoQ[[#This Row],[Number]],0)</f>
        <v>0</v>
      </c>
      <c r="E68" s="322">
        <f>IFERROR(MaterialsBoQ[[#This Row],[Kg per unit]],0)</f>
        <v>0</v>
      </c>
      <c r="F68" s="322">
        <f>IFERROR(Calculations[[#This Row],[Number]]*Calculations[[#This Row],[Conversion factor]],0)</f>
        <v>0</v>
      </c>
      <c r="G68" s="322">
        <f>IFERROR(VLOOKUP(Calculations[[#This Row],[Material (choose from dropdown]],MaterialData[#All],7,FALSE),0)</f>
        <v>0</v>
      </c>
      <c r="H68" s="322">
        <f>Calculations[[#This Row],[Total Kg]]*Calculations[[#This Row],[Carbon Factor]]</f>
        <v>0</v>
      </c>
      <c r="I68" t="str">
        <f>IFERROR(VLOOKUP(Calculations[[#This Row],[Material (choose from dropdown]],MaterialData[#All],2,FALSE),"")</f>
        <v/>
      </c>
      <c r="J68" s="322">
        <f>IFERROR(((VLOOKUP(Calculations[[#This Row],[TransportSource]],TransportDistance[],2,FALSE)*'Stage assumptions'!$C$11)+VLOOKUP(Calculations[[#This Row],[TransportSource]],TransportDistance[],3,FALSE)*'Stage assumptions'!$C$12)*Calculations[[#This Row],[Total Kg]],0)</f>
        <v>0</v>
      </c>
      <c r="K68">
        <f>IFERROR(VLOOKUP(Calculations[[#This Row],[Material (choose from dropdown]], MaterialData[#All],3, FALSE),0)</f>
        <v>0</v>
      </c>
      <c r="L68" s="322">
        <f>IFERROR(VLOOKUP(Calculations[[#This Row],[A5type]],A5WastageRate[#All],2,FALSE)*Calculations[[#This Row],[A1-3]],0)</f>
        <v>0</v>
      </c>
      <c r="N68">
        <f>IFERROR(ROUNDUP(50/VLOOKUP(Calculations[[#This Row],[Scope Element]],B4referenceServiceLife[[Tier 2 element]:[Default Service Life]],2, FALSE)-1,0),0)</f>
        <v>0</v>
      </c>
      <c r="O68" s="322">
        <f>IFERROR((Calculations[[#This Row],[A1-3]]+Calculations[[#This Row],[A4]]+Calculations[[#This Row],[A5]]+Calculations[[#This Row],[C2 total]]+Calculations[[#This Row],[C3 total]]+Calculations[[#This Row],[C4 total]])*Calculations[[#This Row],[Replacements]],0)</f>
        <v>0</v>
      </c>
      <c r="S68" t="str">
        <f>IFERROR(VLOOKUP(Calculations[[#This Row],[Material (choose from dropdown]],MaterialData[#All],4,FALSE),"")</f>
        <v/>
      </c>
      <c r="T68" s="322" cm="1">
        <f t="array" ref="T68">IFERROR(VLOOKUP(Calculations[[#This Row],[Waste 1]],WasteScenario[#All],2,FALSE)*'Stage assumptions'!$C$225*WasteTransportMethod[Emissions Factor
kgCO2e/kg.km]*Calculations[[#This Row],[Total Kg]],0)</f>
        <v>0</v>
      </c>
      <c r="U68" s="322" cm="1">
        <f t="array" ref="U68">IFERROR(VLOOKUP(Calculations[[#This Row],[Waste 1]],WasteScenario[#All],3,FALSE)*'Stage assumptions'!$C$224*WasteTransportMethod[Emissions Factor
kgCO2e/kg.km]*Calculations[[#This Row],[Total Kg]],0)</f>
        <v>0</v>
      </c>
      <c r="V68" s="322" cm="1">
        <f t="array" ref="V68">IFERROR(VLOOKUP(Calculations[[#This Row],[Waste 1]],WasteScenario[#All],4,FALSE)*'Stage assumptions'!$C$223*WasteTransportMethod[Emissions Factor
kgCO2e/kg.km]*Calculations[[#This Row],[Total Kg]],0)</f>
        <v>0</v>
      </c>
      <c r="W68" s="322" cm="1">
        <f t="array" ref="W68">IFERROR(VLOOKUP(Calculations[[#This Row],[Waste 1]],WasteScenario[#All],5,FALSE)*'Stage assumptions'!$C$226*WasteTransportMethod[Emissions Factor
kgCO2e/kg.km]*Calculations[[#This Row],[Total Kg]],0)</f>
        <v>0</v>
      </c>
      <c r="X68" s="322">
        <f>SUM(Calculations[[#This Row],[C2 Recycle]:[C2 Reuse]])</f>
        <v>0</v>
      </c>
      <c r="Y68" t="str">
        <f>IFERROR(VLOOKUP(Calculations[[#This Row],[Material (choose from dropdown]],MaterialData[#All],5,FALSE),"")</f>
        <v/>
      </c>
      <c r="Z68" s="322">
        <f>IFERROR(((VLOOKUP(Calculations[[#This Row],[Waste type 2]],WasteDisposalEmissions[#All],2,FALSE))*Calculations[[#This Row],[Total Kg]])*VLOOKUP(Calculations[[#This Row],[Waste 1]],WasteScenario[#All],2,FALSE),0)</f>
        <v>0</v>
      </c>
      <c r="AA68" s="322">
        <f>IFERROR((VLOOKUP(Calculations[[#This Row],[Waste type 2]],WasteDisposalEmissions[#All],3,FALSE))*Calculations[[#This Row],[Total Kg]]*VLOOKUP(Calculations[[#This Row],[Waste 1]],WasteScenario[#All],3,FALSE),0)</f>
        <v>0</v>
      </c>
      <c r="AB68" s="322">
        <f>SUM(Calculations[[#This Row],[C3 recyc]:[C3 incin]])</f>
        <v>0</v>
      </c>
      <c r="AC68" s="322">
        <f>IFERROR((VLOOKUP(Calculations[[#This Row],[Waste type 2]],WasteLandfillEmissions[#All],2,FALSE))*Calculations[[#This Row],[Total Kg]]*VLOOKUP(Calculations[[#This Row],[Waste 1]],WasteScenario[#All],4,FALSE),0)</f>
        <v>0</v>
      </c>
      <c r="AD68" s="322">
        <f>IFERROR((VLOOKUP(Calculations[[#This Row],[Waste type 2]],WasteLandfillEmissions[#All],3,FALSE))*Calculations[[#This Row],[Total Kg]]*VLOOKUP(Calculations[[#This Row],[Waste 1]],WasteScenario[#All],4,FALSE),0)</f>
        <v>0</v>
      </c>
      <c r="AE68" s="322">
        <f>SUM(Calculations[[#This Row],[C4 landfill]:[C4 re-use]])</f>
        <v>0</v>
      </c>
      <c r="AF68" s="322">
        <f>IFERROR(VLOOKUP(Calculations[[#This Row],[Material (choose from dropdown]],MaterialData[#All],8,FALSE),0)</f>
        <v>0</v>
      </c>
      <c r="AG68" s="322">
        <f>IFERROR(Calculations[[#This Row],[Total Kg]]*Calculations[[#This Row],[Seq factor]],0)</f>
        <v>0</v>
      </c>
      <c r="AI68" s="322">
        <f>Calculations[[#This Row],[A1-3]]+Calculations[[#This Row],[A4]]+Calculations[[#This Row],[A5]]+Calculations[[#This Row],[B4]]+Calculations[[#This Row],[C2 total]]+Calculations[[#This Row],[C3 total]]+Calculations[[#This Row],[C4 total]]</f>
        <v>0</v>
      </c>
      <c r="AJ68" s="2">
        <f>IFERROR(VLOOKUP(Calculations[[#This Row],[Material (choose from dropdown]],MaterialData[[#Headers],[#Data]],9,FALSE),0)</f>
        <v>0</v>
      </c>
      <c r="AK68" s="4">
        <f>IFERROR(VLOOKUP(Calculations[[#This Row],[Material (choose from dropdown]],MaterialData[[#Headers],[#Data]],10,FALSE),0)</f>
        <v>0</v>
      </c>
      <c r="AL68" s="322">
        <f>IFERROR(Calculations[[#This Row],[Data Quality Score]]*Calculations[[#This Row],[Total Kg]],0)</f>
        <v>0</v>
      </c>
    </row>
    <row r="69" spans="1:38" x14ac:dyDescent="0.3">
      <c r="A69" s="6">
        <f>IFERROR(MaterialsBoQ[[#This Row],[Scope Element]],0)</f>
        <v>0</v>
      </c>
      <c r="B69">
        <f>IFERROR(MaterialsBoQ[[#This Row],[Material ]],"")</f>
        <v>0</v>
      </c>
      <c r="C69">
        <f>IFERROR(MaterialsBoQ[[#This Row],[Unit]],"")</f>
        <v>0</v>
      </c>
      <c r="D69" s="322">
        <f>IFERROR(MaterialsBoQ[[#This Row],[Number]],0)</f>
        <v>0</v>
      </c>
      <c r="E69" s="322">
        <f>IFERROR(MaterialsBoQ[[#This Row],[Kg per unit]],0)</f>
        <v>0</v>
      </c>
      <c r="F69" s="322">
        <f>IFERROR(Calculations[[#This Row],[Number]]*Calculations[[#This Row],[Conversion factor]],0)</f>
        <v>0</v>
      </c>
      <c r="G69" s="322">
        <f>IFERROR(VLOOKUP(Calculations[[#This Row],[Material (choose from dropdown]],MaterialData[#All],7,FALSE),0)</f>
        <v>0</v>
      </c>
      <c r="H69" s="322">
        <f>Calculations[[#This Row],[Total Kg]]*Calculations[[#This Row],[Carbon Factor]]</f>
        <v>0</v>
      </c>
      <c r="I69" t="str">
        <f>IFERROR(VLOOKUP(Calculations[[#This Row],[Material (choose from dropdown]],MaterialData[#All],2,FALSE),"")</f>
        <v/>
      </c>
      <c r="J69" s="322">
        <f>IFERROR(((VLOOKUP(Calculations[[#This Row],[TransportSource]],TransportDistance[],2,FALSE)*'Stage assumptions'!$C$11)+VLOOKUP(Calculations[[#This Row],[TransportSource]],TransportDistance[],3,FALSE)*'Stage assumptions'!$C$12)*Calculations[[#This Row],[Total Kg]],0)</f>
        <v>0</v>
      </c>
      <c r="K69">
        <f>IFERROR(VLOOKUP(Calculations[[#This Row],[Material (choose from dropdown]], MaterialData[#All],3, FALSE),0)</f>
        <v>0</v>
      </c>
      <c r="L69" s="322">
        <f>IFERROR(VLOOKUP(Calculations[[#This Row],[A5type]],A5WastageRate[#All],2,FALSE)*Calculations[[#This Row],[A1-3]],0)</f>
        <v>0</v>
      </c>
      <c r="N69">
        <f>IFERROR(ROUNDUP(50/VLOOKUP(Calculations[[#This Row],[Scope Element]],B4referenceServiceLife[[Tier 2 element]:[Default Service Life]],2, FALSE)-1,0),0)</f>
        <v>0</v>
      </c>
      <c r="O69" s="322">
        <f>IFERROR((Calculations[[#This Row],[A1-3]]+Calculations[[#This Row],[A4]]+Calculations[[#This Row],[A5]]+Calculations[[#This Row],[C2 total]]+Calculations[[#This Row],[C3 total]]+Calculations[[#This Row],[C4 total]])*Calculations[[#This Row],[Replacements]],0)</f>
        <v>0</v>
      </c>
      <c r="S69" t="str">
        <f>IFERROR(VLOOKUP(Calculations[[#This Row],[Material (choose from dropdown]],MaterialData[#All],4,FALSE),"")</f>
        <v/>
      </c>
      <c r="T69" s="322" cm="1">
        <f t="array" ref="T69">IFERROR(VLOOKUP(Calculations[[#This Row],[Waste 1]],WasteScenario[#All],2,FALSE)*'Stage assumptions'!$C$225*WasteTransportMethod[Emissions Factor
kgCO2e/kg.km]*Calculations[[#This Row],[Total Kg]],0)</f>
        <v>0</v>
      </c>
      <c r="U69" s="322" cm="1">
        <f t="array" ref="U69">IFERROR(VLOOKUP(Calculations[[#This Row],[Waste 1]],WasteScenario[#All],3,FALSE)*'Stage assumptions'!$C$224*WasteTransportMethod[Emissions Factor
kgCO2e/kg.km]*Calculations[[#This Row],[Total Kg]],0)</f>
        <v>0</v>
      </c>
      <c r="V69" s="322" cm="1">
        <f t="array" ref="V69">IFERROR(VLOOKUP(Calculations[[#This Row],[Waste 1]],WasteScenario[#All],4,FALSE)*'Stage assumptions'!$C$223*WasteTransportMethod[Emissions Factor
kgCO2e/kg.km]*Calculations[[#This Row],[Total Kg]],0)</f>
        <v>0</v>
      </c>
      <c r="W69" s="322" cm="1">
        <f t="array" ref="W69">IFERROR(VLOOKUP(Calculations[[#This Row],[Waste 1]],WasteScenario[#All],5,FALSE)*'Stage assumptions'!$C$226*WasteTransportMethod[Emissions Factor
kgCO2e/kg.km]*Calculations[[#This Row],[Total Kg]],0)</f>
        <v>0</v>
      </c>
      <c r="X69" s="322">
        <f>SUM(Calculations[[#This Row],[C2 Recycle]:[C2 Reuse]])</f>
        <v>0</v>
      </c>
      <c r="Y69" t="str">
        <f>IFERROR(VLOOKUP(Calculations[[#This Row],[Material (choose from dropdown]],MaterialData[#All],5,FALSE),"")</f>
        <v/>
      </c>
      <c r="Z69" s="322">
        <f>IFERROR(((VLOOKUP(Calculations[[#This Row],[Waste type 2]],WasteDisposalEmissions[#All],2,FALSE))*Calculations[[#This Row],[Total Kg]])*VLOOKUP(Calculations[[#This Row],[Waste 1]],WasteScenario[#All],2,FALSE),0)</f>
        <v>0</v>
      </c>
      <c r="AA69" s="322">
        <f>IFERROR((VLOOKUP(Calculations[[#This Row],[Waste type 2]],WasteDisposalEmissions[#All],3,FALSE))*Calculations[[#This Row],[Total Kg]]*VLOOKUP(Calculations[[#This Row],[Waste 1]],WasteScenario[#All],3,FALSE),0)</f>
        <v>0</v>
      </c>
      <c r="AB69" s="322">
        <f>SUM(Calculations[[#This Row],[C3 recyc]:[C3 incin]])</f>
        <v>0</v>
      </c>
      <c r="AC69" s="322">
        <f>IFERROR((VLOOKUP(Calculations[[#This Row],[Waste type 2]],WasteLandfillEmissions[#All],2,FALSE))*Calculations[[#This Row],[Total Kg]]*VLOOKUP(Calculations[[#This Row],[Waste 1]],WasteScenario[#All],4,FALSE),0)</f>
        <v>0</v>
      </c>
      <c r="AD69" s="322">
        <f>IFERROR((VLOOKUP(Calculations[[#This Row],[Waste type 2]],WasteLandfillEmissions[#All],3,FALSE))*Calculations[[#This Row],[Total Kg]]*VLOOKUP(Calculations[[#This Row],[Waste 1]],WasteScenario[#All],4,FALSE),0)</f>
        <v>0</v>
      </c>
      <c r="AE69" s="322">
        <f>SUM(Calculations[[#This Row],[C4 landfill]:[C4 re-use]])</f>
        <v>0</v>
      </c>
      <c r="AF69" s="322">
        <f>IFERROR(VLOOKUP(Calculations[[#This Row],[Material (choose from dropdown]],MaterialData[#All],8,FALSE),0)</f>
        <v>0</v>
      </c>
      <c r="AG69" s="322">
        <f>IFERROR(Calculations[[#This Row],[Total Kg]]*Calculations[[#This Row],[Seq factor]],0)</f>
        <v>0</v>
      </c>
      <c r="AI69" s="322">
        <f>Calculations[[#This Row],[A1-3]]+Calculations[[#This Row],[A4]]+Calculations[[#This Row],[A5]]+Calculations[[#This Row],[B4]]+Calculations[[#This Row],[C2 total]]+Calculations[[#This Row],[C3 total]]+Calculations[[#This Row],[C4 total]]</f>
        <v>0</v>
      </c>
      <c r="AJ69" s="2">
        <f>IFERROR(VLOOKUP(Calculations[[#This Row],[Material (choose from dropdown]],MaterialData[[#Headers],[#Data]],9,FALSE),0)</f>
        <v>0</v>
      </c>
      <c r="AK69" s="4">
        <f>IFERROR(VLOOKUP(Calculations[[#This Row],[Material (choose from dropdown]],MaterialData[[#Headers],[#Data]],10,FALSE),0)</f>
        <v>0</v>
      </c>
      <c r="AL69" s="322">
        <f>IFERROR(Calculations[[#This Row],[Data Quality Score]]*Calculations[[#This Row],[Total Kg]],0)</f>
        <v>0</v>
      </c>
    </row>
    <row r="70" spans="1:38" x14ac:dyDescent="0.3">
      <c r="A70" s="6">
        <f>IFERROR(MaterialsBoQ[[#This Row],[Scope Element]],0)</f>
        <v>0</v>
      </c>
      <c r="B70">
        <f>IFERROR(MaterialsBoQ[[#This Row],[Material ]],"")</f>
        <v>0</v>
      </c>
      <c r="C70">
        <f>IFERROR(MaterialsBoQ[[#This Row],[Unit]],"")</f>
        <v>0</v>
      </c>
      <c r="D70" s="322">
        <f>IFERROR(MaterialsBoQ[[#This Row],[Number]],0)</f>
        <v>0</v>
      </c>
      <c r="E70" s="322">
        <f>IFERROR(MaterialsBoQ[[#This Row],[Kg per unit]],0)</f>
        <v>0</v>
      </c>
      <c r="F70" s="322">
        <f>IFERROR(Calculations[[#This Row],[Number]]*Calculations[[#This Row],[Conversion factor]],0)</f>
        <v>0</v>
      </c>
      <c r="G70" s="322">
        <f>IFERROR(VLOOKUP(Calculations[[#This Row],[Material (choose from dropdown]],MaterialData[#All],7,FALSE),0)</f>
        <v>0</v>
      </c>
      <c r="H70" s="322">
        <f>Calculations[[#This Row],[Total Kg]]*Calculations[[#This Row],[Carbon Factor]]</f>
        <v>0</v>
      </c>
      <c r="I70" t="str">
        <f>IFERROR(VLOOKUP(Calculations[[#This Row],[Material (choose from dropdown]],MaterialData[#All],2,FALSE),"")</f>
        <v/>
      </c>
      <c r="J70" s="322">
        <f>IFERROR(((VLOOKUP(Calculations[[#This Row],[TransportSource]],TransportDistance[],2,FALSE)*'Stage assumptions'!$C$11)+VLOOKUP(Calculations[[#This Row],[TransportSource]],TransportDistance[],3,FALSE)*'Stage assumptions'!$C$12)*Calculations[[#This Row],[Total Kg]],0)</f>
        <v>0</v>
      </c>
      <c r="K70">
        <f>IFERROR(VLOOKUP(Calculations[[#This Row],[Material (choose from dropdown]], MaterialData[#All],3, FALSE),0)</f>
        <v>0</v>
      </c>
      <c r="L70" s="322">
        <f>IFERROR(VLOOKUP(Calculations[[#This Row],[A5type]],A5WastageRate[#All],2,FALSE)*Calculations[[#This Row],[A1-3]],0)</f>
        <v>0</v>
      </c>
      <c r="N70">
        <f>IFERROR(ROUNDUP(50/VLOOKUP(Calculations[[#This Row],[Scope Element]],B4referenceServiceLife[[Tier 2 element]:[Default Service Life]],2, FALSE)-1,0),0)</f>
        <v>0</v>
      </c>
      <c r="O70" s="322">
        <f>IFERROR((Calculations[[#This Row],[A1-3]]+Calculations[[#This Row],[A4]]+Calculations[[#This Row],[A5]]+Calculations[[#This Row],[C2 total]]+Calculations[[#This Row],[C3 total]]+Calculations[[#This Row],[C4 total]])*Calculations[[#This Row],[Replacements]],0)</f>
        <v>0</v>
      </c>
      <c r="S70" t="str">
        <f>IFERROR(VLOOKUP(Calculations[[#This Row],[Material (choose from dropdown]],MaterialData[#All],4,FALSE),"")</f>
        <v/>
      </c>
      <c r="T70" s="322" cm="1">
        <f t="array" ref="T70">IFERROR(VLOOKUP(Calculations[[#This Row],[Waste 1]],WasteScenario[#All],2,FALSE)*'Stage assumptions'!$C$225*WasteTransportMethod[Emissions Factor
kgCO2e/kg.km]*Calculations[[#This Row],[Total Kg]],0)</f>
        <v>0</v>
      </c>
      <c r="U70" s="322" cm="1">
        <f t="array" ref="U70">IFERROR(VLOOKUP(Calculations[[#This Row],[Waste 1]],WasteScenario[#All],3,FALSE)*'Stage assumptions'!$C$224*WasteTransportMethod[Emissions Factor
kgCO2e/kg.km]*Calculations[[#This Row],[Total Kg]],0)</f>
        <v>0</v>
      </c>
      <c r="V70" s="322" cm="1">
        <f t="array" ref="V70">IFERROR(VLOOKUP(Calculations[[#This Row],[Waste 1]],WasteScenario[#All],4,FALSE)*'Stage assumptions'!$C$223*WasteTransportMethod[Emissions Factor
kgCO2e/kg.km]*Calculations[[#This Row],[Total Kg]],0)</f>
        <v>0</v>
      </c>
      <c r="W70" s="322" cm="1">
        <f t="array" ref="W70">IFERROR(VLOOKUP(Calculations[[#This Row],[Waste 1]],WasteScenario[#All],5,FALSE)*'Stage assumptions'!$C$226*WasteTransportMethod[Emissions Factor
kgCO2e/kg.km]*Calculations[[#This Row],[Total Kg]],0)</f>
        <v>0</v>
      </c>
      <c r="X70" s="322">
        <f>SUM(Calculations[[#This Row],[C2 Recycle]:[C2 Reuse]])</f>
        <v>0</v>
      </c>
      <c r="Y70" t="str">
        <f>IFERROR(VLOOKUP(Calculations[[#This Row],[Material (choose from dropdown]],MaterialData[#All],5,FALSE),"")</f>
        <v/>
      </c>
      <c r="Z70" s="322">
        <f>IFERROR(((VLOOKUP(Calculations[[#This Row],[Waste type 2]],WasteDisposalEmissions[#All],2,FALSE))*Calculations[[#This Row],[Total Kg]])*VLOOKUP(Calculations[[#This Row],[Waste 1]],WasteScenario[#All],2,FALSE),0)</f>
        <v>0</v>
      </c>
      <c r="AA70" s="322">
        <f>IFERROR((VLOOKUP(Calculations[[#This Row],[Waste type 2]],WasteDisposalEmissions[#All],3,FALSE))*Calculations[[#This Row],[Total Kg]]*VLOOKUP(Calculations[[#This Row],[Waste 1]],WasteScenario[#All],3,FALSE),0)</f>
        <v>0</v>
      </c>
      <c r="AB70" s="322">
        <f>SUM(Calculations[[#This Row],[C3 recyc]:[C3 incin]])</f>
        <v>0</v>
      </c>
      <c r="AC70" s="322">
        <f>IFERROR((VLOOKUP(Calculations[[#This Row],[Waste type 2]],WasteLandfillEmissions[#All],2,FALSE))*Calculations[[#This Row],[Total Kg]]*VLOOKUP(Calculations[[#This Row],[Waste 1]],WasteScenario[#All],4,FALSE),0)</f>
        <v>0</v>
      </c>
      <c r="AD70" s="322">
        <f>IFERROR((VLOOKUP(Calculations[[#This Row],[Waste type 2]],WasteLandfillEmissions[#All],3,FALSE))*Calculations[[#This Row],[Total Kg]]*VLOOKUP(Calculations[[#This Row],[Waste 1]],WasteScenario[#All],4,FALSE),0)</f>
        <v>0</v>
      </c>
      <c r="AE70" s="322">
        <f>SUM(Calculations[[#This Row],[C4 landfill]:[C4 re-use]])</f>
        <v>0</v>
      </c>
      <c r="AF70" s="322">
        <f>IFERROR(VLOOKUP(Calculations[[#This Row],[Material (choose from dropdown]],MaterialData[#All],8,FALSE),0)</f>
        <v>0</v>
      </c>
      <c r="AG70" s="322">
        <f>IFERROR(Calculations[[#This Row],[Total Kg]]*Calculations[[#This Row],[Seq factor]],0)</f>
        <v>0</v>
      </c>
      <c r="AI70" s="322">
        <f>Calculations[[#This Row],[A1-3]]+Calculations[[#This Row],[A4]]+Calculations[[#This Row],[A5]]+Calculations[[#This Row],[B4]]+Calculations[[#This Row],[C2 total]]+Calculations[[#This Row],[C3 total]]+Calculations[[#This Row],[C4 total]]</f>
        <v>0</v>
      </c>
      <c r="AJ70" s="2">
        <f>IFERROR(VLOOKUP(Calculations[[#This Row],[Material (choose from dropdown]],MaterialData[[#Headers],[#Data]],9,FALSE),0)</f>
        <v>0</v>
      </c>
      <c r="AK70" s="4">
        <f>IFERROR(VLOOKUP(Calculations[[#This Row],[Material (choose from dropdown]],MaterialData[[#Headers],[#Data]],10,FALSE),0)</f>
        <v>0</v>
      </c>
      <c r="AL70" s="322">
        <f>IFERROR(Calculations[[#This Row],[Data Quality Score]]*Calculations[[#This Row],[Total Kg]],0)</f>
        <v>0</v>
      </c>
    </row>
    <row r="71" spans="1:38" x14ac:dyDescent="0.3">
      <c r="A71" s="6">
        <f>IFERROR(MaterialsBoQ[[#This Row],[Scope Element]],0)</f>
        <v>0</v>
      </c>
      <c r="B71">
        <f>IFERROR(MaterialsBoQ[[#This Row],[Material ]],"")</f>
        <v>0</v>
      </c>
      <c r="C71">
        <f>IFERROR(MaterialsBoQ[[#This Row],[Unit]],"")</f>
        <v>0</v>
      </c>
      <c r="D71" s="322">
        <f>IFERROR(MaterialsBoQ[[#This Row],[Number]],0)</f>
        <v>0</v>
      </c>
      <c r="E71" s="322">
        <f>IFERROR(MaterialsBoQ[[#This Row],[Kg per unit]],0)</f>
        <v>0</v>
      </c>
      <c r="F71" s="322">
        <f>IFERROR(Calculations[[#This Row],[Number]]*Calculations[[#This Row],[Conversion factor]],0)</f>
        <v>0</v>
      </c>
      <c r="G71" s="322">
        <f>IFERROR(VLOOKUP(Calculations[[#This Row],[Material (choose from dropdown]],MaterialData[#All],7,FALSE),0)</f>
        <v>0</v>
      </c>
      <c r="H71" s="322">
        <f>Calculations[[#This Row],[Total Kg]]*Calculations[[#This Row],[Carbon Factor]]</f>
        <v>0</v>
      </c>
      <c r="I71" t="str">
        <f>IFERROR(VLOOKUP(Calculations[[#This Row],[Material (choose from dropdown]],MaterialData[#All],2,FALSE),"")</f>
        <v/>
      </c>
      <c r="J71" s="322">
        <f>IFERROR(((VLOOKUP(Calculations[[#This Row],[TransportSource]],TransportDistance[],2,FALSE)*'Stage assumptions'!$C$11)+VLOOKUP(Calculations[[#This Row],[TransportSource]],TransportDistance[],3,FALSE)*'Stage assumptions'!$C$12)*Calculations[[#This Row],[Total Kg]],0)</f>
        <v>0</v>
      </c>
      <c r="K71">
        <f>IFERROR(VLOOKUP(Calculations[[#This Row],[Material (choose from dropdown]], MaterialData[#All],3, FALSE),0)</f>
        <v>0</v>
      </c>
      <c r="L71" s="322">
        <f>IFERROR(VLOOKUP(Calculations[[#This Row],[A5type]],A5WastageRate[#All],2,FALSE)*Calculations[[#This Row],[A1-3]],0)</f>
        <v>0</v>
      </c>
      <c r="N71">
        <f>IFERROR(ROUNDUP(50/VLOOKUP(Calculations[[#This Row],[Scope Element]],B4referenceServiceLife[[Tier 2 element]:[Default Service Life]],2, FALSE)-1,0),0)</f>
        <v>0</v>
      </c>
      <c r="O71" s="322">
        <f>IFERROR((Calculations[[#This Row],[A1-3]]+Calculations[[#This Row],[A4]]+Calculations[[#This Row],[A5]]+Calculations[[#This Row],[C2 total]]+Calculations[[#This Row],[C3 total]]+Calculations[[#This Row],[C4 total]])*Calculations[[#This Row],[Replacements]],0)</f>
        <v>0</v>
      </c>
      <c r="S71" t="str">
        <f>IFERROR(VLOOKUP(Calculations[[#This Row],[Material (choose from dropdown]],MaterialData[#All],4,FALSE),"")</f>
        <v/>
      </c>
      <c r="T71" s="322" cm="1">
        <f t="array" ref="T71">IFERROR(VLOOKUP(Calculations[[#This Row],[Waste 1]],WasteScenario[#All],2,FALSE)*'Stage assumptions'!$C$225*WasteTransportMethod[Emissions Factor
kgCO2e/kg.km]*Calculations[[#This Row],[Total Kg]],0)</f>
        <v>0</v>
      </c>
      <c r="U71" s="322" cm="1">
        <f t="array" ref="U71">IFERROR(VLOOKUP(Calculations[[#This Row],[Waste 1]],WasteScenario[#All],3,FALSE)*'Stage assumptions'!$C$224*WasteTransportMethod[Emissions Factor
kgCO2e/kg.km]*Calculations[[#This Row],[Total Kg]],0)</f>
        <v>0</v>
      </c>
      <c r="V71" s="322" cm="1">
        <f t="array" ref="V71">IFERROR(VLOOKUP(Calculations[[#This Row],[Waste 1]],WasteScenario[#All],4,FALSE)*'Stage assumptions'!$C$223*WasteTransportMethod[Emissions Factor
kgCO2e/kg.km]*Calculations[[#This Row],[Total Kg]],0)</f>
        <v>0</v>
      </c>
      <c r="W71" s="322" cm="1">
        <f t="array" ref="W71">IFERROR(VLOOKUP(Calculations[[#This Row],[Waste 1]],WasteScenario[#All],5,FALSE)*'Stage assumptions'!$C$226*WasteTransportMethod[Emissions Factor
kgCO2e/kg.km]*Calculations[[#This Row],[Total Kg]],0)</f>
        <v>0</v>
      </c>
      <c r="X71" s="322">
        <f>SUM(Calculations[[#This Row],[C2 Recycle]:[C2 Reuse]])</f>
        <v>0</v>
      </c>
      <c r="Y71" t="str">
        <f>IFERROR(VLOOKUP(Calculations[[#This Row],[Material (choose from dropdown]],MaterialData[#All],5,FALSE),"")</f>
        <v/>
      </c>
      <c r="Z71" s="322">
        <f>IFERROR(((VLOOKUP(Calculations[[#This Row],[Waste type 2]],WasteDisposalEmissions[#All],2,FALSE))*Calculations[[#This Row],[Total Kg]])*VLOOKUP(Calculations[[#This Row],[Waste 1]],WasteScenario[#All],2,FALSE),0)</f>
        <v>0</v>
      </c>
      <c r="AA71" s="322">
        <f>IFERROR((VLOOKUP(Calculations[[#This Row],[Waste type 2]],WasteDisposalEmissions[#All],3,FALSE))*Calculations[[#This Row],[Total Kg]]*VLOOKUP(Calculations[[#This Row],[Waste 1]],WasteScenario[#All],3,FALSE),0)</f>
        <v>0</v>
      </c>
      <c r="AB71" s="322">
        <f>SUM(Calculations[[#This Row],[C3 recyc]:[C3 incin]])</f>
        <v>0</v>
      </c>
      <c r="AC71" s="322">
        <f>IFERROR((VLOOKUP(Calculations[[#This Row],[Waste type 2]],WasteLandfillEmissions[#All],2,FALSE))*Calculations[[#This Row],[Total Kg]]*VLOOKUP(Calculations[[#This Row],[Waste 1]],WasteScenario[#All],4,FALSE),0)</f>
        <v>0</v>
      </c>
      <c r="AD71" s="322">
        <f>IFERROR((VLOOKUP(Calculations[[#This Row],[Waste type 2]],WasteLandfillEmissions[#All],3,FALSE))*Calculations[[#This Row],[Total Kg]]*VLOOKUP(Calculations[[#This Row],[Waste 1]],WasteScenario[#All],4,FALSE),0)</f>
        <v>0</v>
      </c>
      <c r="AE71" s="322">
        <f>SUM(Calculations[[#This Row],[C4 landfill]:[C4 re-use]])</f>
        <v>0</v>
      </c>
      <c r="AF71" s="322">
        <f>IFERROR(VLOOKUP(Calculations[[#This Row],[Material (choose from dropdown]],MaterialData[#All],8,FALSE),0)</f>
        <v>0</v>
      </c>
      <c r="AG71" s="322">
        <f>IFERROR(Calculations[[#This Row],[Total Kg]]*Calculations[[#This Row],[Seq factor]],0)</f>
        <v>0</v>
      </c>
      <c r="AI71" s="322">
        <f>Calculations[[#This Row],[A1-3]]+Calculations[[#This Row],[A4]]+Calculations[[#This Row],[A5]]+Calculations[[#This Row],[B4]]+Calculations[[#This Row],[C2 total]]+Calculations[[#This Row],[C3 total]]+Calculations[[#This Row],[C4 total]]</f>
        <v>0</v>
      </c>
      <c r="AJ71" s="2">
        <f>IFERROR(VLOOKUP(Calculations[[#This Row],[Material (choose from dropdown]],MaterialData[[#Headers],[#Data]],9,FALSE),0)</f>
        <v>0</v>
      </c>
      <c r="AK71" s="4">
        <f>IFERROR(VLOOKUP(Calculations[[#This Row],[Material (choose from dropdown]],MaterialData[[#Headers],[#Data]],10,FALSE),0)</f>
        <v>0</v>
      </c>
      <c r="AL71" s="322">
        <f>IFERROR(Calculations[[#This Row],[Data Quality Score]]*Calculations[[#This Row],[Total Kg]],0)</f>
        <v>0</v>
      </c>
    </row>
    <row r="72" spans="1:38" x14ac:dyDescent="0.3">
      <c r="A72" s="6">
        <f>IFERROR(MaterialsBoQ[[#This Row],[Scope Element]],0)</f>
        <v>0</v>
      </c>
      <c r="B72">
        <f>IFERROR(MaterialsBoQ[[#This Row],[Material ]],"")</f>
        <v>0</v>
      </c>
      <c r="C72">
        <f>IFERROR(MaterialsBoQ[[#This Row],[Unit]],"")</f>
        <v>0</v>
      </c>
      <c r="D72" s="322">
        <f>IFERROR(MaterialsBoQ[[#This Row],[Number]],0)</f>
        <v>0</v>
      </c>
      <c r="E72" s="322">
        <f>IFERROR(MaterialsBoQ[[#This Row],[Kg per unit]],0)</f>
        <v>0</v>
      </c>
      <c r="F72" s="322">
        <f>IFERROR(Calculations[[#This Row],[Number]]*Calculations[[#This Row],[Conversion factor]],0)</f>
        <v>0</v>
      </c>
      <c r="G72" s="322">
        <f>IFERROR(VLOOKUP(Calculations[[#This Row],[Material (choose from dropdown]],MaterialData[#All],7,FALSE),0)</f>
        <v>0</v>
      </c>
      <c r="H72" s="322">
        <f>Calculations[[#This Row],[Total Kg]]*Calculations[[#This Row],[Carbon Factor]]</f>
        <v>0</v>
      </c>
      <c r="I72" t="str">
        <f>IFERROR(VLOOKUP(Calculations[[#This Row],[Material (choose from dropdown]],MaterialData[#All],2,FALSE),"")</f>
        <v/>
      </c>
      <c r="J72" s="322">
        <f>IFERROR(((VLOOKUP(Calculations[[#This Row],[TransportSource]],TransportDistance[],2,FALSE)*'Stage assumptions'!$C$11)+VLOOKUP(Calculations[[#This Row],[TransportSource]],TransportDistance[],3,FALSE)*'Stage assumptions'!$C$12)*Calculations[[#This Row],[Total Kg]],0)</f>
        <v>0</v>
      </c>
      <c r="K72">
        <f>IFERROR(VLOOKUP(Calculations[[#This Row],[Material (choose from dropdown]], MaterialData[#All],3, FALSE),0)</f>
        <v>0</v>
      </c>
      <c r="L72" s="322">
        <f>IFERROR(VLOOKUP(Calculations[[#This Row],[A5type]],A5WastageRate[#All],2,FALSE)*Calculations[[#This Row],[A1-3]],0)</f>
        <v>0</v>
      </c>
      <c r="N72">
        <f>IFERROR(ROUNDUP(50/VLOOKUP(Calculations[[#This Row],[Scope Element]],B4referenceServiceLife[[Tier 2 element]:[Default Service Life]],2, FALSE)-1,0),0)</f>
        <v>0</v>
      </c>
      <c r="O72" s="322">
        <f>IFERROR((Calculations[[#This Row],[A1-3]]+Calculations[[#This Row],[A4]]+Calculations[[#This Row],[A5]]+Calculations[[#This Row],[C2 total]]+Calculations[[#This Row],[C3 total]]+Calculations[[#This Row],[C4 total]])*Calculations[[#This Row],[Replacements]],0)</f>
        <v>0</v>
      </c>
      <c r="S72" t="str">
        <f>IFERROR(VLOOKUP(Calculations[[#This Row],[Material (choose from dropdown]],MaterialData[#All],4,FALSE),"")</f>
        <v/>
      </c>
      <c r="T72" s="322" cm="1">
        <f t="array" ref="T72">IFERROR(VLOOKUP(Calculations[[#This Row],[Waste 1]],WasteScenario[#All],2,FALSE)*'Stage assumptions'!$C$225*WasteTransportMethod[Emissions Factor
kgCO2e/kg.km]*Calculations[[#This Row],[Total Kg]],0)</f>
        <v>0</v>
      </c>
      <c r="U72" s="322" cm="1">
        <f t="array" ref="U72">IFERROR(VLOOKUP(Calculations[[#This Row],[Waste 1]],WasteScenario[#All],3,FALSE)*'Stage assumptions'!$C$224*WasteTransportMethod[Emissions Factor
kgCO2e/kg.km]*Calculations[[#This Row],[Total Kg]],0)</f>
        <v>0</v>
      </c>
      <c r="V72" s="322" cm="1">
        <f t="array" ref="V72">IFERROR(VLOOKUP(Calculations[[#This Row],[Waste 1]],WasteScenario[#All],4,FALSE)*'Stage assumptions'!$C$223*WasteTransportMethod[Emissions Factor
kgCO2e/kg.km]*Calculations[[#This Row],[Total Kg]],0)</f>
        <v>0</v>
      </c>
      <c r="W72" s="322" cm="1">
        <f t="array" ref="W72">IFERROR(VLOOKUP(Calculations[[#This Row],[Waste 1]],WasteScenario[#All],5,FALSE)*'Stage assumptions'!$C$226*WasteTransportMethod[Emissions Factor
kgCO2e/kg.km]*Calculations[[#This Row],[Total Kg]],0)</f>
        <v>0</v>
      </c>
      <c r="X72" s="322">
        <f>SUM(Calculations[[#This Row],[C2 Recycle]:[C2 Reuse]])</f>
        <v>0</v>
      </c>
      <c r="Y72" t="str">
        <f>IFERROR(VLOOKUP(Calculations[[#This Row],[Material (choose from dropdown]],MaterialData[#All],5,FALSE),"")</f>
        <v/>
      </c>
      <c r="Z72" s="322">
        <f>IFERROR(((VLOOKUP(Calculations[[#This Row],[Waste type 2]],WasteDisposalEmissions[#All],2,FALSE))*Calculations[[#This Row],[Total Kg]])*VLOOKUP(Calculations[[#This Row],[Waste 1]],WasteScenario[#All],2,FALSE),0)</f>
        <v>0</v>
      </c>
      <c r="AA72" s="322">
        <f>IFERROR((VLOOKUP(Calculations[[#This Row],[Waste type 2]],WasteDisposalEmissions[#All],3,FALSE))*Calculations[[#This Row],[Total Kg]]*VLOOKUP(Calculations[[#This Row],[Waste 1]],WasteScenario[#All],3,FALSE),0)</f>
        <v>0</v>
      </c>
      <c r="AB72" s="322">
        <f>SUM(Calculations[[#This Row],[C3 recyc]:[C3 incin]])</f>
        <v>0</v>
      </c>
      <c r="AC72" s="322">
        <f>IFERROR((VLOOKUP(Calculations[[#This Row],[Waste type 2]],WasteLandfillEmissions[#All],2,FALSE))*Calculations[[#This Row],[Total Kg]]*VLOOKUP(Calculations[[#This Row],[Waste 1]],WasteScenario[#All],4,FALSE),0)</f>
        <v>0</v>
      </c>
      <c r="AD72" s="322">
        <f>IFERROR((VLOOKUP(Calculations[[#This Row],[Waste type 2]],WasteLandfillEmissions[#All],3,FALSE))*Calculations[[#This Row],[Total Kg]]*VLOOKUP(Calculations[[#This Row],[Waste 1]],WasteScenario[#All],4,FALSE),0)</f>
        <v>0</v>
      </c>
      <c r="AE72" s="322">
        <f>SUM(Calculations[[#This Row],[C4 landfill]:[C4 re-use]])</f>
        <v>0</v>
      </c>
      <c r="AF72" s="322">
        <f>IFERROR(VLOOKUP(Calculations[[#This Row],[Material (choose from dropdown]],MaterialData[#All],8,FALSE),0)</f>
        <v>0</v>
      </c>
      <c r="AG72" s="322">
        <f>IFERROR(Calculations[[#This Row],[Total Kg]]*Calculations[[#This Row],[Seq factor]],0)</f>
        <v>0</v>
      </c>
      <c r="AI72" s="322">
        <f>Calculations[[#This Row],[A1-3]]+Calculations[[#This Row],[A4]]+Calculations[[#This Row],[A5]]+Calculations[[#This Row],[B4]]+Calculations[[#This Row],[C2 total]]+Calculations[[#This Row],[C3 total]]+Calculations[[#This Row],[C4 total]]</f>
        <v>0</v>
      </c>
      <c r="AJ72" s="2">
        <f>IFERROR(VLOOKUP(Calculations[[#This Row],[Material (choose from dropdown]],MaterialData[[#Headers],[#Data]],9,FALSE),0)</f>
        <v>0</v>
      </c>
      <c r="AK72" s="4">
        <f>IFERROR(VLOOKUP(Calculations[[#This Row],[Material (choose from dropdown]],MaterialData[[#Headers],[#Data]],10,FALSE),0)</f>
        <v>0</v>
      </c>
      <c r="AL72" s="322">
        <f>IFERROR(Calculations[[#This Row],[Data Quality Score]]*Calculations[[#This Row],[Total Kg]],0)</f>
        <v>0</v>
      </c>
    </row>
    <row r="73" spans="1:38" x14ac:dyDescent="0.3">
      <c r="A73" s="6">
        <f>IFERROR(MaterialsBoQ[[#This Row],[Scope Element]],0)</f>
        <v>0</v>
      </c>
      <c r="B73">
        <f>IFERROR(MaterialsBoQ[[#This Row],[Material ]],"")</f>
        <v>0</v>
      </c>
      <c r="C73">
        <f>IFERROR(MaterialsBoQ[[#This Row],[Unit]],"")</f>
        <v>0</v>
      </c>
      <c r="D73" s="322">
        <f>IFERROR(MaterialsBoQ[[#This Row],[Number]],0)</f>
        <v>0</v>
      </c>
      <c r="E73" s="322">
        <f>IFERROR(MaterialsBoQ[[#This Row],[Kg per unit]],0)</f>
        <v>0</v>
      </c>
      <c r="F73" s="322">
        <f>IFERROR(Calculations[[#This Row],[Number]]*Calculations[[#This Row],[Conversion factor]],0)</f>
        <v>0</v>
      </c>
      <c r="G73" s="322">
        <f>IFERROR(VLOOKUP(Calculations[[#This Row],[Material (choose from dropdown]],MaterialData[#All],7,FALSE),0)</f>
        <v>0</v>
      </c>
      <c r="H73" s="322">
        <f>Calculations[[#This Row],[Total Kg]]*Calculations[[#This Row],[Carbon Factor]]</f>
        <v>0</v>
      </c>
      <c r="I73" t="str">
        <f>IFERROR(VLOOKUP(Calculations[[#This Row],[Material (choose from dropdown]],MaterialData[#All],2,FALSE),"")</f>
        <v/>
      </c>
      <c r="J73" s="322">
        <f>IFERROR(((VLOOKUP(Calculations[[#This Row],[TransportSource]],TransportDistance[],2,FALSE)*'Stage assumptions'!$C$11)+VLOOKUP(Calculations[[#This Row],[TransportSource]],TransportDistance[],3,FALSE)*'Stage assumptions'!$C$12)*Calculations[[#This Row],[Total Kg]],0)</f>
        <v>0</v>
      </c>
      <c r="K73">
        <f>IFERROR(VLOOKUP(Calculations[[#This Row],[Material (choose from dropdown]], MaterialData[#All],3, FALSE),0)</f>
        <v>0</v>
      </c>
      <c r="L73" s="322">
        <f>IFERROR(VLOOKUP(Calculations[[#This Row],[A5type]],A5WastageRate[#All],2,FALSE)*Calculations[[#This Row],[A1-3]],0)</f>
        <v>0</v>
      </c>
      <c r="N73">
        <f>IFERROR(ROUNDUP(50/VLOOKUP(Calculations[[#This Row],[Scope Element]],B4referenceServiceLife[[Tier 2 element]:[Default Service Life]],2, FALSE)-1,0),0)</f>
        <v>0</v>
      </c>
      <c r="O73" s="322">
        <f>IFERROR((Calculations[[#This Row],[A1-3]]+Calculations[[#This Row],[A4]]+Calculations[[#This Row],[A5]]+Calculations[[#This Row],[C2 total]]+Calculations[[#This Row],[C3 total]]+Calculations[[#This Row],[C4 total]])*Calculations[[#This Row],[Replacements]],0)</f>
        <v>0</v>
      </c>
      <c r="S73" t="str">
        <f>IFERROR(VLOOKUP(Calculations[[#This Row],[Material (choose from dropdown]],MaterialData[#All],4,FALSE),"")</f>
        <v/>
      </c>
      <c r="T73" s="322" cm="1">
        <f t="array" ref="T73">IFERROR(VLOOKUP(Calculations[[#This Row],[Waste 1]],WasteScenario[#All],2,FALSE)*'Stage assumptions'!$C$225*WasteTransportMethod[Emissions Factor
kgCO2e/kg.km]*Calculations[[#This Row],[Total Kg]],0)</f>
        <v>0</v>
      </c>
      <c r="U73" s="322" cm="1">
        <f t="array" ref="U73">IFERROR(VLOOKUP(Calculations[[#This Row],[Waste 1]],WasteScenario[#All],3,FALSE)*'Stage assumptions'!$C$224*WasteTransportMethod[Emissions Factor
kgCO2e/kg.km]*Calculations[[#This Row],[Total Kg]],0)</f>
        <v>0</v>
      </c>
      <c r="V73" s="322" cm="1">
        <f t="array" ref="V73">IFERROR(VLOOKUP(Calculations[[#This Row],[Waste 1]],WasteScenario[#All],4,FALSE)*'Stage assumptions'!$C$223*WasteTransportMethod[Emissions Factor
kgCO2e/kg.km]*Calculations[[#This Row],[Total Kg]],0)</f>
        <v>0</v>
      </c>
      <c r="W73" s="322" cm="1">
        <f t="array" ref="W73">IFERROR(VLOOKUP(Calculations[[#This Row],[Waste 1]],WasteScenario[#All],5,FALSE)*'Stage assumptions'!$C$226*WasteTransportMethod[Emissions Factor
kgCO2e/kg.km]*Calculations[[#This Row],[Total Kg]],0)</f>
        <v>0</v>
      </c>
      <c r="X73" s="322">
        <f>SUM(Calculations[[#This Row],[C2 Recycle]:[C2 Reuse]])</f>
        <v>0</v>
      </c>
      <c r="Y73" t="str">
        <f>IFERROR(VLOOKUP(Calculations[[#This Row],[Material (choose from dropdown]],MaterialData[#All],5,FALSE),"")</f>
        <v/>
      </c>
      <c r="Z73" s="322">
        <f>IFERROR(((VLOOKUP(Calculations[[#This Row],[Waste type 2]],WasteDisposalEmissions[#All],2,FALSE))*Calculations[[#This Row],[Total Kg]])*VLOOKUP(Calculations[[#This Row],[Waste 1]],WasteScenario[#All],2,FALSE),0)</f>
        <v>0</v>
      </c>
      <c r="AA73" s="322">
        <f>IFERROR((VLOOKUP(Calculations[[#This Row],[Waste type 2]],WasteDisposalEmissions[#All],3,FALSE))*Calculations[[#This Row],[Total Kg]]*VLOOKUP(Calculations[[#This Row],[Waste 1]],WasteScenario[#All],3,FALSE),0)</f>
        <v>0</v>
      </c>
      <c r="AB73" s="322">
        <f>SUM(Calculations[[#This Row],[C3 recyc]:[C3 incin]])</f>
        <v>0</v>
      </c>
      <c r="AC73" s="322">
        <f>IFERROR((VLOOKUP(Calculations[[#This Row],[Waste type 2]],WasteLandfillEmissions[#All],2,FALSE))*Calculations[[#This Row],[Total Kg]]*VLOOKUP(Calculations[[#This Row],[Waste 1]],WasteScenario[#All],4,FALSE),0)</f>
        <v>0</v>
      </c>
      <c r="AD73" s="322">
        <f>IFERROR((VLOOKUP(Calculations[[#This Row],[Waste type 2]],WasteLandfillEmissions[#All],3,FALSE))*Calculations[[#This Row],[Total Kg]]*VLOOKUP(Calculations[[#This Row],[Waste 1]],WasteScenario[#All],4,FALSE),0)</f>
        <v>0</v>
      </c>
      <c r="AE73" s="322">
        <f>SUM(Calculations[[#This Row],[C4 landfill]:[C4 re-use]])</f>
        <v>0</v>
      </c>
      <c r="AF73" s="322">
        <f>IFERROR(VLOOKUP(Calculations[[#This Row],[Material (choose from dropdown]],MaterialData[#All],8,FALSE),0)</f>
        <v>0</v>
      </c>
      <c r="AG73" s="322">
        <f>IFERROR(Calculations[[#This Row],[Total Kg]]*Calculations[[#This Row],[Seq factor]],0)</f>
        <v>0</v>
      </c>
      <c r="AI73" s="322">
        <f>Calculations[[#This Row],[A1-3]]+Calculations[[#This Row],[A4]]+Calculations[[#This Row],[A5]]+Calculations[[#This Row],[B4]]+Calculations[[#This Row],[C2 total]]+Calculations[[#This Row],[C3 total]]+Calculations[[#This Row],[C4 total]]</f>
        <v>0</v>
      </c>
      <c r="AJ73" s="2">
        <f>IFERROR(VLOOKUP(Calculations[[#This Row],[Material (choose from dropdown]],MaterialData[[#Headers],[#Data]],9,FALSE),0)</f>
        <v>0</v>
      </c>
      <c r="AK73" s="4">
        <f>IFERROR(VLOOKUP(Calculations[[#This Row],[Material (choose from dropdown]],MaterialData[[#Headers],[#Data]],10,FALSE),0)</f>
        <v>0</v>
      </c>
      <c r="AL73" s="322">
        <f>IFERROR(Calculations[[#This Row],[Data Quality Score]]*Calculations[[#This Row],[Total Kg]],0)</f>
        <v>0</v>
      </c>
    </row>
    <row r="74" spans="1:38" x14ac:dyDescent="0.3">
      <c r="A74" s="6">
        <f>IFERROR(MaterialsBoQ[[#This Row],[Scope Element]],0)</f>
        <v>0</v>
      </c>
      <c r="B74">
        <f>IFERROR(MaterialsBoQ[[#This Row],[Material ]],"")</f>
        <v>0</v>
      </c>
      <c r="C74">
        <f>IFERROR(MaterialsBoQ[[#This Row],[Unit]],"")</f>
        <v>0</v>
      </c>
      <c r="D74" s="322">
        <f>IFERROR(MaterialsBoQ[[#This Row],[Number]],0)</f>
        <v>0</v>
      </c>
      <c r="E74" s="322">
        <f>IFERROR(MaterialsBoQ[[#This Row],[Kg per unit]],0)</f>
        <v>0</v>
      </c>
      <c r="F74" s="322">
        <f>IFERROR(Calculations[[#This Row],[Number]]*Calculations[[#This Row],[Conversion factor]],0)</f>
        <v>0</v>
      </c>
      <c r="G74" s="322">
        <f>IFERROR(VLOOKUP(Calculations[[#This Row],[Material (choose from dropdown]],MaterialData[#All],7,FALSE),0)</f>
        <v>0</v>
      </c>
      <c r="H74" s="322">
        <f>Calculations[[#This Row],[Total Kg]]*Calculations[[#This Row],[Carbon Factor]]</f>
        <v>0</v>
      </c>
      <c r="I74" t="str">
        <f>IFERROR(VLOOKUP(Calculations[[#This Row],[Material (choose from dropdown]],MaterialData[#All],2,FALSE),"")</f>
        <v/>
      </c>
      <c r="J74" s="322">
        <f>IFERROR(((VLOOKUP(Calculations[[#This Row],[TransportSource]],TransportDistance[],2,FALSE)*'Stage assumptions'!$C$11)+VLOOKUP(Calculations[[#This Row],[TransportSource]],TransportDistance[],3,FALSE)*'Stage assumptions'!$C$12)*Calculations[[#This Row],[Total Kg]],0)</f>
        <v>0</v>
      </c>
      <c r="K74">
        <f>IFERROR(VLOOKUP(Calculations[[#This Row],[Material (choose from dropdown]], MaterialData[#All],3, FALSE),0)</f>
        <v>0</v>
      </c>
      <c r="L74" s="322">
        <f>IFERROR(VLOOKUP(Calculations[[#This Row],[A5type]],A5WastageRate[#All],2,FALSE)*Calculations[[#This Row],[A1-3]],0)</f>
        <v>0</v>
      </c>
      <c r="N74">
        <f>IFERROR(ROUNDUP(50/VLOOKUP(Calculations[[#This Row],[Scope Element]],B4referenceServiceLife[[Tier 2 element]:[Default Service Life]],2, FALSE)-1,0),0)</f>
        <v>0</v>
      </c>
      <c r="O74" s="322">
        <f>IFERROR((Calculations[[#This Row],[A1-3]]+Calculations[[#This Row],[A4]]+Calculations[[#This Row],[A5]]+Calculations[[#This Row],[C2 total]]+Calculations[[#This Row],[C3 total]]+Calculations[[#This Row],[C4 total]])*Calculations[[#This Row],[Replacements]],0)</f>
        <v>0</v>
      </c>
      <c r="S74" t="str">
        <f>IFERROR(VLOOKUP(Calculations[[#This Row],[Material (choose from dropdown]],MaterialData[#All],4,FALSE),"")</f>
        <v/>
      </c>
      <c r="T74" s="322" cm="1">
        <f t="array" ref="T74">IFERROR(VLOOKUP(Calculations[[#This Row],[Waste 1]],WasteScenario[#All],2,FALSE)*'Stage assumptions'!$C$225*WasteTransportMethod[Emissions Factor
kgCO2e/kg.km]*Calculations[[#This Row],[Total Kg]],0)</f>
        <v>0</v>
      </c>
      <c r="U74" s="322" cm="1">
        <f t="array" ref="U74">IFERROR(VLOOKUP(Calculations[[#This Row],[Waste 1]],WasteScenario[#All],3,FALSE)*'Stage assumptions'!$C$224*WasteTransportMethod[Emissions Factor
kgCO2e/kg.km]*Calculations[[#This Row],[Total Kg]],0)</f>
        <v>0</v>
      </c>
      <c r="V74" s="322" cm="1">
        <f t="array" ref="V74">IFERROR(VLOOKUP(Calculations[[#This Row],[Waste 1]],WasteScenario[#All],4,FALSE)*'Stage assumptions'!$C$223*WasteTransportMethod[Emissions Factor
kgCO2e/kg.km]*Calculations[[#This Row],[Total Kg]],0)</f>
        <v>0</v>
      </c>
      <c r="W74" s="322" cm="1">
        <f t="array" ref="W74">IFERROR(VLOOKUP(Calculations[[#This Row],[Waste 1]],WasteScenario[#All],5,FALSE)*'Stage assumptions'!$C$226*WasteTransportMethod[Emissions Factor
kgCO2e/kg.km]*Calculations[[#This Row],[Total Kg]],0)</f>
        <v>0</v>
      </c>
      <c r="X74" s="322">
        <f>SUM(Calculations[[#This Row],[C2 Recycle]:[C2 Reuse]])</f>
        <v>0</v>
      </c>
      <c r="Y74" t="str">
        <f>IFERROR(VLOOKUP(Calculations[[#This Row],[Material (choose from dropdown]],MaterialData[#All],5,FALSE),"")</f>
        <v/>
      </c>
      <c r="Z74" s="322">
        <f>IFERROR(((VLOOKUP(Calculations[[#This Row],[Waste type 2]],WasteDisposalEmissions[#All],2,FALSE))*Calculations[[#This Row],[Total Kg]])*VLOOKUP(Calculations[[#This Row],[Waste 1]],WasteScenario[#All],2,FALSE),0)</f>
        <v>0</v>
      </c>
      <c r="AA74" s="322">
        <f>IFERROR((VLOOKUP(Calculations[[#This Row],[Waste type 2]],WasteDisposalEmissions[#All],3,FALSE))*Calculations[[#This Row],[Total Kg]]*VLOOKUP(Calculations[[#This Row],[Waste 1]],WasteScenario[#All],3,FALSE),0)</f>
        <v>0</v>
      </c>
      <c r="AB74" s="322">
        <f>SUM(Calculations[[#This Row],[C3 recyc]:[C3 incin]])</f>
        <v>0</v>
      </c>
      <c r="AC74" s="322">
        <f>IFERROR((VLOOKUP(Calculations[[#This Row],[Waste type 2]],WasteLandfillEmissions[#All],2,FALSE))*Calculations[[#This Row],[Total Kg]]*VLOOKUP(Calculations[[#This Row],[Waste 1]],WasteScenario[#All],4,FALSE),0)</f>
        <v>0</v>
      </c>
      <c r="AD74" s="322">
        <f>IFERROR((VLOOKUP(Calculations[[#This Row],[Waste type 2]],WasteLandfillEmissions[#All],3,FALSE))*Calculations[[#This Row],[Total Kg]]*VLOOKUP(Calculations[[#This Row],[Waste 1]],WasteScenario[#All],4,FALSE),0)</f>
        <v>0</v>
      </c>
      <c r="AE74" s="322">
        <f>SUM(Calculations[[#This Row],[C4 landfill]:[C4 re-use]])</f>
        <v>0</v>
      </c>
      <c r="AF74" s="322">
        <f>IFERROR(VLOOKUP(Calculations[[#This Row],[Material (choose from dropdown]],MaterialData[#All],8,FALSE),0)</f>
        <v>0</v>
      </c>
      <c r="AG74" s="322">
        <f>IFERROR(Calculations[[#This Row],[Total Kg]]*Calculations[[#This Row],[Seq factor]],0)</f>
        <v>0</v>
      </c>
      <c r="AI74" s="322">
        <f>Calculations[[#This Row],[A1-3]]+Calculations[[#This Row],[A4]]+Calculations[[#This Row],[A5]]+Calculations[[#This Row],[B4]]+Calculations[[#This Row],[C2 total]]+Calculations[[#This Row],[C3 total]]+Calculations[[#This Row],[C4 total]]</f>
        <v>0</v>
      </c>
      <c r="AJ74" s="2">
        <f>IFERROR(VLOOKUP(Calculations[[#This Row],[Material (choose from dropdown]],MaterialData[[#Headers],[#Data]],9,FALSE),0)</f>
        <v>0</v>
      </c>
      <c r="AK74" s="4">
        <f>IFERROR(VLOOKUP(Calculations[[#This Row],[Material (choose from dropdown]],MaterialData[[#Headers],[#Data]],10,FALSE),0)</f>
        <v>0</v>
      </c>
      <c r="AL74" s="322">
        <f>IFERROR(Calculations[[#This Row],[Data Quality Score]]*Calculations[[#This Row],[Total Kg]],0)</f>
        <v>0</v>
      </c>
    </row>
    <row r="75" spans="1:38" x14ac:dyDescent="0.3">
      <c r="A75" s="6">
        <f>IFERROR(MaterialsBoQ[[#This Row],[Scope Element]],0)</f>
        <v>0</v>
      </c>
      <c r="B75">
        <f>IFERROR(MaterialsBoQ[[#This Row],[Material ]],"")</f>
        <v>0</v>
      </c>
      <c r="C75">
        <f>IFERROR(MaterialsBoQ[[#This Row],[Unit]],"")</f>
        <v>0</v>
      </c>
      <c r="D75" s="322">
        <f>IFERROR(MaterialsBoQ[[#This Row],[Number]],0)</f>
        <v>0</v>
      </c>
      <c r="E75" s="322">
        <f>IFERROR(MaterialsBoQ[[#This Row],[Kg per unit]],0)</f>
        <v>0</v>
      </c>
      <c r="F75" s="322">
        <f>IFERROR(Calculations[[#This Row],[Number]]*Calculations[[#This Row],[Conversion factor]],0)</f>
        <v>0</v>
      </c>
      <c r="G75" s="322">
        <f>IFERROR(VLOOKUP(Calculations[[#This Row],[Material (choose from dropdown]],MaterialData[#All],7,FALSE),0)</f>
        <v>0</v>
      </c>
      <c r="H75" s="322">
        <f>Calculations[[#This Row],[Total Kg]]*Calculations[[#This Row],[Carbon Factor]]</f>
        <v>0</v>
      </c>
      <c r="I75" t="str">
        <f>IFERROR(VLOOKUP(Calculations[[#This Row],[Material (choose from dropdown]],MaterialData[#All],2,FALSE),"")</f>
        <v/>
      </c>
      <c r="J75" s="322">
        <f>IFERROR(((VLOOKUP(Calculations[[#This Row],[TransportSource]],TransportDistance[],2,FALSE)*'Stage assumptions'!$C$11)+VLOOKUP(Calculations[[#This Row],[TransportSource]],TransportDistance[],3,FALSE)*'Stage assumptions'!$C$12)*Calculations[[#This Row],[Total Kg]],0)</f>
        <v>0</v>
      </c>
      <c r="K75">
        <f>IFERROR(VLOOKUP(Calculations[[#This Row],[Material (choose from dropdown]], MaterialData[#All],3, FALSE),0)</f>
        <v>0</v>
      </c>
      <c r="L75" s="322">
        <f>IFERROR(VLOOKUP(Calculations[[#This Row],[A5type]],A5WastageRate[#All],2,FALSE)*Calculations[[#This Row],[A1-3]],0)</f>
        <v>0</v>
      </c>
      <c r="N75">
        <f>IFERROR(ROUNDUP(50/VLOOKUP(Calculations[[#This Row],[Scope Element]],B4referenceServiceLife[[Tier 2 element]:[Default Service Life]],2, FALSE)-1,0),0)</f>
        <v>0</v>
      </c>
      <c r="O75" s="322">
        <f>IFERROR((Calculations[[#This Row],[A1-3]]+Calculations[[#This Row],[A4]]+Calculations[[#This Row],[A5]]+Calculations[[#This Row],[C2 total]]+Calculations[[#This Row],[C3 total]]+Calculations[[#This Row],[C4 total]])*Calculations[[#This Row],[Replacements]],0)</f>
        <v>0</v>
      </c>
      <c r="S75" t="str">
        <f>IFERROR(VLOOKUP(Calculations[[#This Row],[Material (choose from dropdown]],MaterialData[#All],4,FALSE),"")</f>
        <v/>
      </c>
      <c r="T75" s="322" cm="1">
        <f t="array" ref="T75">IFERROR(VLOOKUP(Calculations[[#This Row],[Waste 1]],WasteScenario[#All],2,FALSE)*'Stage assumptions'!$C$225*WasteTransportMethod[Emissions Factor
kgCO2e/kg.km]*Calculations[[#This Row],[Total Kg]],0)</f>
        <v>0</v>
      </c>
      <c r="U75" s="322" cm="1">
        <f t="array" ref="U75">IFERROR(VLOOKUP(Calculations[[#This Row],[Waste 1]],WasteScenario[#All],3,FALSE)*'Stage assumptions'!$C$224*WasteTransportMethod[Emissions Factor
kgCO2e/kg.km]*Calculations[[#This Row],[Total Kg]],0)</f>
        <v>0</v>
      </c>
      <c r="V75" s="322" cm="1">
        <f t="array" ref="V75">IFERROR(VLOOKUP(Calculations[[#This Row],[Waste 1]],WasteScenario[#All],4,FALSE)*'Stage assumptions'!$C$223*WasteTransportMethod[Emissions Factor
kgCO2e/kg.km]*Calculations[[#This Row],[Total Kg]],0)</f>
        <v>0</v>
      </c>
      <c r="W75" s="322" cm="1">
        <f t="array" ref="W75">IFERROR(VLOOKUP(Calculations[[#This Row],[Waste 1]],WasteScenario[#All],5,FALSE)*'Stage assumptions'!$C$226*WasteTransportMethod[Emissions Factor
kgCO2e/kg.km]*Calculations[[#This Row],[Total Kg]],0)</f>
        <v>0</v>
      </c>
      <c r="X75" s="322">
        <f>SUM(Calculations[[#This Row],[C2 Recycle]:[C2 Reuse]])</f>
        <v>0</v>
      </c>
      <c r="Y75" t="str">
        <f>IFERROR(VLOOKUP(Calculations[[#This Row],[Material (choose from dropdown]],MaterialData[#All],5,FALSE),"")</f>
        <v/>
      </c>
      <c r="Z75" s="322">
        <f>IFERROR(((VLOOKUP(Calculations[[#This Row],[Waste type 2]],WasteDisposalEmissions[#All],2,FALSE))*Calculations[[#This Row],[Total Kg]])*VLOOKUP(Calculations[[#This Row],[Waste 1]],WasteScenario[#All],2,FALSE),0)</f>
        <v>0</v>
      </c>
      <c r="AA75" s="322">
        <f>IFERROR((VLOOKUP(Calculations[[#This Row],[Waste type 2]],WasteDisposalEmissions[#All],3,FALSE))*Calculations[[#This Row],[Total Kg]]*VLOOKUP(Calculations[[#This Row],[Waste 1]],WasteScenario[#All],3,FALSE),0)</f>
        <v>0</v>
      </c>
      <c r="AB75" s="322">
        <f>SUM(Calculations[[#This Row],[C3 recyc]:[C3 incin]])</f>
        <v>0</v>
      </c>
      <c r="AC75" s="322">
        <f>IFERROR((VLOOKUP(Calculations[[#This Row],[Waste type 2]],WasteLandfillEmissions[#All],2,FALSE))*Calculations[[#This Row],[Total Kg]]*VLOOKUP(Calculations[[#This Row],[Waste 1]],WasteScenario[#All],4,FALSE),0)</f>
        <v>0</v>
      </c>
      <c r="AD75" s="322">
        <f>IFERROR((VLOOKUP(Calculations[[#This Row],[Waste type 2]],WasteLandfillEmissions[#All],3,FALSE))*Calculations[[#This Row],[Total Kg]]*VLOOKUP(Calculations[[#This Row],[Waste 1]],WasteScenario[#All],4,FALSE),0)</f>
        <v>0</v>
      </c>
      <c r="AE75" s="322">
        <f>SUM(Calculations[[#This Row],[C4 landfill]:[C4 re-use]])</f>
        <v>0</v>
      </c>
      <c r="AF75" s="322">
        <f>IFERROR(VLOOKUP(Calculations[[#This Row],[Material (choose from dropdown]],MaterialData[#All],8,FALSE),0)</f>
        <v>0</v>
      </c>
      <c r="AG75" s="322">
        <f>IFERROR(Calculations[[#This Row],[Total Kg]]*Calculations[[#This Row],[Seq factor]],0)</f>
        <v>0</v>
      </c>
      <c r="AI75" s="322">
        <f>Calculations[[#This Row],[A1-3]]+Calculations[[#This Row],[A4]]+Calculations[[#This Row],[A5]]+Calculations[[#This Row],[B4]]+Calculations[[#This Row],[C2 total]]+Calculations[[#This Row],[C3 total]]+Calculations[[#This Row],[C4 total]]</f>
        <v>0</v>
      </c>
      <c r="AJ75" s="2">
        <f>IFERROR(VLOOKUP(Calculations[[#This Row],[Material (choose from dropdown]],MaterialData[[#Headers],[#Data]],9,FALSE),0)</f>
        <v>0</v>
      </c>
      <c r="AK75" s="4">
        <f>IFERROR(VLOOKUP(Calculations[[#This Row],[Material (choose from dropdown]],MaterialData[[#Headers],[#Data]],10,FALSE),0)</f>
        <v>0</v>
      </c>
      <c r="AL75" s="322">
        <f>IFERROR(Calculations[[#This Row],[Data Quality Score]]*Calculations[[#This Row],[Total Kg]],0)</f>
        <v>0</v>
      </c>
    </row>
    <row r="76" spans="1:38" x14ac:dyDescent="0.3">
      <c r="A76" s="6">
        <f>IFERROR(MaterialsBoQ[[#This Row],[Scope Element]],0)</f>
        <v>0</v>
      </c>
      <c r="B76">
        <f>IFERROR(MaterialsBoQ[[#This Row],[Material ]],"")</f>
        <v>0</v>
      </c>
      <c r="C76">
        <f>IFERROR(MaterialsBoQ[[#This Row],[Unit]],"")</f>
        <v>0</v>
      </c>
      <c r="D76" s="322">
        <f>IFERROR(MaterialsBoQ[[#This Row],[Number]],0)</f>
        <v>0</v>
      </c>
      <c r="E76" s="322">
        <f>IFERROR(MaterialsBoQ[[#This Row],[Kg per unit]],0)</f>
        <v>0</v>
      </c>
      <c r="F76" s="322">
        <f>IFERROR(Calculations[[#This Row],[Number]]*Calculations[[#This Row],[Conversion factor]],0)</f>
        <v>0</v>
      </c>
      <c r="G76" s="322">
        <f>IFERROR(VLOOKUP(Calculations[[#This Row],[Material (choose from dropdown]],MaterialData[#All],7,FALSE),0)</f>
        <v>0</v>
      </c>
      <c r="H76" s="322">
        <f>Calculations[[#This Row],[Total Kg]]*Calculations[[#This Row],[Carbon Factor]]</f>
        <v>0</v>
      </c>
      <c r="I76" t="str">
        <f>IFERROR(VLOOKUP(Calculations[[#This Row],[Material (choose from dropdown]],MaterialData[#All],2,FALSE),"")</f>
        <v/>
      </c>
      <c r="J76" s="322">
        <f>IFERROR(((VLOOKUP(Calculations[[#This Row],[TransportSource]],TransportDistance[],2,FALSE)*'Stage assumptions'!$C$11)+VLOOKUP(Calculations[[#This Row],[TransportSource]],TransportDistance[],3,FALSE)*'Stage assumptions'!$C$12)*Calculations[[#This Row],[Total Kg]],0)</f>
        <v>0</v>
      </c>
      <c r="K76">
        <f>IFERROR(VLOOKUP(Calculations[[#This Row],[Material (choose from dropdown]], MaterialData[#All],3, FALSE),0)</f>
        <v>0</v>
      </c>
      <c r="L76" s="322">
        <f>IFERROR(VLOOKUP(Calculations[[#This Row],[A5type]],A5WastageRate[#All],2,FALSE)*Calculations[[#This Row],[A1-3]],0)</f>
        <v>0</v>
      </c>
      <c r="N76">
        <f>IFERROR(ROUNDUP(50/VLOOKUP(Calculations[[#This Row],[Scope Element]],B4referenceServiceLife[[Tier 2 element]:[Default Service Life]],2, FALSE)-1,0),0)</f>
        <v>0</v>
      </c>
      <c r="O76" s="322">
        <f>IFERROR((Calculations[[#This Row],[A1-3]]+Calculations[[#This Row],[A4]]+Calculations[[#This Row],[A5]]+Calculations[[#This Row],[C2 total]]+Calculations[[#This Row],[C3 total]]+Calculations[[#This Row],[C4 total]])*Calculations[[#This Row],[Replacements]],0)</f>
        <v>0</v>
      </c>
      <c r="S76" t="str">
        <f>IFERROR(VLOOKUP(Calculations[[#This Row],[Material (choose from dropdown]],MaterialData[#All],4,FALSE),"")</f>
        <v/>
      </c>
      <c r="T76" s="322" cm="1">
        <f t="array" ref="T76">IFERROR(VLOOKUP(Calculations[[#This Row],[Waste 1]],WasteScenario[#All],2,FALSE)*'Stage assumptions'!$C$225*WasteTransportMethod[Emissions Factor
kgCO2e/kg.km]*Calculations[[#This Row],[Total Kg]],0)</f>
        <v>0</v>
      </c>
      <c r="U76" s="322" cm="1">
        <f t="array" ref="U76">IFERROR(VLOOKUP(Calculations[[#This Row],[Waste 1]],WasteScenario[#All],3,FALSE)*'Stage assumptions'!$C$224*WasteTransportMethod[Emissions Factor
kgCO2e/kg.km]*Calculations[[#This Row],[Total Kg]],0)</f>
        <v>0</v>
      </c>
      <c r="V76" s="322" cm="1">
        <f t="array" ref="V76">IFERROR(VLOOKUP(Calculations[[#This Row],[Waste 1]],WasteScenario[#All],4,FALSE)*'Stage assumptions'!$C$223*WasteTransportMethod[Emissions Factor
kgCO2e/kg.km]*Calculations[[#This Row],[Total Kg]],0)</f>
        <v>0</v>
      </c>
      <c r="W76" s="322" cm="1">
        <f t="array" ref="W76">IFERROR(VLOOKUP(Calculations[[#This Row],[Waste 1]],WasteScenario[#All],5,FALSE)*'Stage assumptions'!$C$226*WasteTransportMethod[Emissions Factor
kgCO2e/kg.km]*Calculations[[#This Row],[Total Kg]],0)</f>
        <v>0</v>
      </c>
      <c r="X76" s="322">
        <f>SUM(Calculations[[#This Row],[C2 Recycle]:[C2 Reuse]])</f>
        <v>0</v>
      </c>
      <c r="Y76" t="str">
        <f>IFERROR(VLOOKUP(Calculations[[#This Row],[Material (choose from dropdown]],MaterialData[#All],5,FALSE),"")</f>
        <v/>
      </c>
      <c r="Z76" s="322">
        <f>IFERROR(((VLOOKUP(Calculations[[#This Row],[Waste type 2]],WasteDisposalEmissions[#All],2,FALSE))*Calculations[[#This Row],[Total Kg]])*VLOOKUP(Calculations[[#This Row],[Waste 1]],WasteScenario[#All],2,FALSE),0)</f>
        <v>0</v>
      </c>
      <c r="AA76" s="322">
        <f>IFERROR((VLOOKUP(Calculations[[#This Row],[Waste type 2]],WasteDisposalEmissions[#All],3,FALSE))*Calculations[[#This Row],[Total Kg]]*VLOOKUP(Calculations[[#This Row],[Waste 1]],WasteScenario[#All],3,FALSE),0)</f>
        <v>0</v>
      </c>
      <c r="AB76" s="322">
        <f>SUM(Calculations[[#This Row],[C3 recyc]:[C3 incin]])</f>
        <v>0</v>
      </c>
      <c r="AC76" s="322">
        <f>IFERROR((VLOOKUP(Calculations[[#This Row],[Waste type 2]],WasteLandfillEmissions[#All],2,FALSE))*Calculations[[#This Row],[Total Kg]]*VLOOKUP(Calculations[[#This Row],[Waste 1]],WasteScenario[#All],4,FALSE),0)</f>
        <v>0</v>
      </c>
      <c r="AD76" s="322">
        <f>IFERROR((VLOOKUP(Calculations[[#This Row],[Waste type 2]],WasteLandfillEmissions[#All],3,FALSE))*Calculations[[#This Row],[Total Kg]]*VLOOKUP(Calculations[[#This Row],[Waste 1]],WasteScenario[#All],4,FALSE),0)</f>
        <v>0</v>
      </c>
      <c r="AE76" s="322">
        <f>SUM(Calculations[[#This Row],[C4 landfill]:[C4 re-use]])</f>
        <v>0</v>
      </c>
      <c r="AF76" s="322">
        <f>IFERROR(VLOOKUP(Calculations[[#This Row],[Material (choose from dropdown]],MaterialData[#All],8,FALSE),0)</f>
        <v>0</v>
      </c>
      <c r="AG76" s="322">
        <f>IFERROR(Calculations[[#This Row],[Total Kg]]*Calculations[[#This Row],[Seq factor]],0)</f>
        <v>0</v>
      </c>
      <c r="AI76" s="322">
        <f>Calculations[[#This Row],[A1-3]]+Calculations[[#This Row],[A4]]+Calculations[[#This Row],[A5]]+Calculations[[#This Row],[B4]]+Calculations[[#This Row],[C2 total]]+Calculations[[#This Row],[C3 total]]+Calculations[[#This Row],[C4 total]]</f>
        <v>0</v>
      </c>
      <c r="AJ76" s="2">
        <f>IFERROR(VLOOKUP(Calculations[[#This Row],[Material (choose from dropdown]],MaterialData[[#Headers],[#Data]],9,FALSE),0)</f>
        <v>0</v>
      </c>
      <c r="AK76" s="4">
        <f>IFERROR(VLOOKUP(Calculations[[#This Row],[Material (choose from dropdown]],MaterialData[[#Headers],[#Data]],10,FALSE),0)</f>
        <v>0</v>
      </c>
      <c r="AL76" s="322">
        <f>IFERROR(Calculations[[#This Row],[Data Quality Score]]*Calculations[[#This Row],[Total Kg]],0)</f>
        <v>0</v>
      </c>
    </row>
    <row r="77" spans="1:38" x14ac:dyDescent="0.3">
      <c r="A77" s="6">
        <f>IFERROR(MaterialsBoQ[[#This Row],[Scope Element]],0)</f>
        <v>0</v>
      </c>
      <c r="B77">
        <f>IFERROR(MaterialsBoQ[[#This Row],[Material ]],"")</f>
        <v>0</v>
      </c>
      <c r="C77">
        <f>IFERROR(MaterialsBoQ[[#This Row],[Unit]],"")</f>
        <v>0</v>
      </c>
      <c r="D77" s="322">
        <f>IFERROR(MaterialsBoQ[[#This Row],[Number]],0)</f>
        <v>0</v>
      </c>
      <c r="E77" s="322">
        <f>IFERROR(MaterialsBoQ[[#This Row],[Kg per unit]],0)</f>
        <v>0</v>
      </c>
      <c r="F77" s="322">
        <f>IFERROR(Calculations[[#This Row],[Number]]*Calculations[[#This Row],[Conversion factor]],0)</f>
        <v>0</v>
      </c>
      <c r="G77" s="322">
        <f>IFERROR(VLOOKUP(Calculations[[#This Row],[Material (choose from dropdown]],MaterialData[#All],7,FALSE),0)</f>
        <v>0</v>
      </c>
      <c r="H77" s="322">
        <f>Calculations[[#This Row],[Total Kg]]*Calculations[[#This Row],[Carbon Factor]]</f>
        <v>0</v>
      </c>
      <c r="I77" t="str">
        <f>IFERROR(VLOOKUP(Calculations[[#This Row],[Material (choose from dropdown]],MaterialData[#All],2,FALSE),"")</f>
        <v/>
      </c>
      <c r="J77" s="322">
        <f>IFERROR(((VLOOKUP(Calculations[[#This Row],[TransportSource]],TransportDistance[],2,FALSE)*'Stage assumptions'!$C$11)+VLOOKUP(Calculations[[#This Row],[TransportSource]],TransportDistance[],3,FALSE)*'Stage assumptions'!$C$12)*Calculations[[#This Row],[Total Kg]],0)</f>
        <v>0</v>
      </c>
      <c r="K77">
        <f>IFERROR(VLOOKUP(Calculations[[#This Row],[Material (choose from dropdown]], MaterialData[#All],3, FALSE),0)</f>
        <v>0</v>
      </c>
      <c r="L77" s="322">
        <f>IFERROR(VLOOKUP(Calculations[[#This Row],[A5type]],A5WastageRate[#All],2,FALSE)*Calculations[[#This Row],[A1-3]],0)</f>
        <v>0</v>
      </c>
      <c r="N77">
        <f>IFERROR(ROUNDUP(50/VLOOKUP(Calculations[[#This Row],[Scope Element]],B4referenceServiceLife[[Tier 2 element]:[Default Service Life]],2, FALSE)-1,0),0)</f>
        <v>0</v>
      </c>
      <c r="O77" s="322">
        <f>IFERROR((Calculations[[#This Row],[A1-3]]+Calculations[[#This Row],[A4]]+Calculations[[#This Row],[A5]]+Calculations[[#This Row],[C2 total]]+Calculations[[#This Row],[C3 total]]+Calculations[[#This Row],[C4 total]])*Calculations[[#This Row],[Replacements]],0)</f>
        <v>0</v>
      </c>
      <c r="S77" t="str">
        <f>IFERROR(VLOOKUP(Calculations[[#This Row],[Material (choose from dropdown]],MaterialData[#All],4,FALSE),"")</f>
        <v/>
      </c>
      <c r="T77" s="322" cm="1">
        <f t="array" ref="T77">IFERROR(VLOOKUP(Calculations[[#This Row],[Waste 1]],WasteScenario[#All],2,FALSE)*'Stage assumptions'!$C$225*WasteTransportMethod[Emissions Factor
kgCO2e/kg.km]*Calculations[[#This Row],[Total Kg]],0)</f>
        <v>0</v>
      </c>
      <c r="U77" s="322" cm="1">
        <f t="array" ref="U77">IFERROR(VLOOKUP(Calculations[[#This Row],[Waste 1]],WasteScenario[#All],3,FALSE)*'Stage assumptions'!$C$224*WasteTransportMethod[Emissions Factor
kgCO2e/kg.km]*Calculations[[#This Row],[Total Kg]],0)</f>
        <v>0</v>
      </c>
      <c r="V77" s="322" cm="1">
        <f t="array" ref="V77">IFERROR(VLOOKUP(Calculations[[#This Row],[Waste 1]],WasteScenario[#All],4,FALSE)*'Stage assumptions'!$C$223*WasteTransportMethod[Emissions Factor
kgCO2e/kg.km]*Calculations[[#This Row],[Total Kg]],0)</f>
        <v>0</v>
      </c>
      <c r="W77" s="322" cm="1">
        <f t="array" ref="W77">IFERROR(VLOOKUP(Calculations[[#This Row],[Waste 1]],WasteScenario[#All],5,FALSE)*'Stage assumptions'!$C$226*WasteTransportMethod[Emissions Factor
kgCO2e/kg.km]*Calculations[[#This Row],[Total Kg]],0)</f>
        <v>0</v>
      </c>
      <c r="X77" s="322">
        <f>SUM(Calculations[[#This Row],[C2 Recycle]:[C2 Reuse]])</f>
        <v>0</v>
      </c>
      <c r="Y77" t="str">
        <f>IFERROR(VLOOKUP(Calculations[[#This Row],[Material (choose from dropdown]],MaterialData[#All],5,FALSE),"")</f>
        <v/>
      </c>
      <c r="Z77" s="322">
        <f>IFERROR(((VLOOKUP(Calculations[[#This Row],[Waste type 2]],WasteDisposalEmissions[#All],2,FALSE))*Calculations[[#This Row],[Total Kg]])*VLOOKUP(Calculations[[#This Row],[Waste 1]],WasteScenario[#All],2,FALSE),0)</f>
        <v>0</v>
      </c>
      <c r="AA77" s="322">
        <f>IFERROR((VLOOKUP(Calculations[[#This Row],[Waste type 2]],WasteDisposalEmissions[#All],3,FALSE))*Calculations[[#This Row],[Total Kg]]*VLOOKUP(Calculations[[#This Row],[Waste 1]],WasteScenario[#All],3,FALSE),0)</f>
        <v>0</v>
      </c>
      <c r="AB77" s="322">
        <f>SUM(Calculations[[#This Row],[C3 recyc]:[C3 incin]])</f>
        <v>0</v>
      </c>
      <c r="AC77" s="322">
        <f>IFERROR((VLOOKUP(Calculations[[#This Row],[Waste type 2]],WasteLandfillEmissions[#All],2,FALSE))*Calculations[[#This Row],[Total Kg]]*VLOOKUP(Calculations[[#This Row],[Waste 1]],WasteScenario[#All],4,FALSE),0)</f>
        <v>0</v>
      </c>
      <c r="AD77" s="322">
        <f>IFERROR((VLOOKUP(Calculations[[#This Row],[Waste type 2]],WasteLandfillEmissions[#All],3,FALSE))*Calculations[[#This Row],[Total Kg]]*VLOOKUP(Calculations[[#This Row],[Waste 1]],WasteScenario[#All],4,FALSE),0)</f>
        <v>0</v>
      </c>
      <c r="AE77" s="322">
        <f>SUM(Calculations[[#This Row],[C4 landfill]:[C4 re-use]])</f>
        <v>0</v>
      </c>
      <c r="AF77" s="322">
        <f>IFERROR(VLOOKUP(Calculations[[#This Row],[Material (choose from dropdown]],MaterialData[#All],8,FALSE),0)</f>
        <v>0</v>
      </c>
      <c r="AG77" s="322">
        <f>IFERROR(Calculations[[#This Row],[Total Kg]]*Calculations[[#This Row],[Seq factor]],0)</f>
        <v>0</v>
      </c>
      <c r="AI77" s="322">
        <f>Calculations[[#This Row],[A1-3]]+Calculations[[#This Row],[A4]]+Calculations[[#This Row],[A5]]+Calculations[[#This Row],[B4]]+Calculations[[#This Row],[C2 total]]+Calculations[[#This Row],[C3 total]]+Calculations[[#This Row],[C4 total]]</f>
        <v>0</v>
      </c>
      <c r="AJ77" s="2">
        <f>IFERROR(VLOOKUP(Calculations[[#This Row],[Material (choose from dropdown]],MaterialData[[#Headers],[#Data]],9,FALSE),0)</f>
        <v>0</v>
      </c>
      <c r="AK77" s="4">
        <f>IFERROR(VLOOKUP(Calculations[[#This Row],[Material (choose from dropdown]],MaterialData[[#Headers],[#Data]],10,FALSE),0)</f>
        <v>0</v>
      </c>
      <c r="AL77" s="322">
        <f>IFERROR(Calculations[[#This Row],[Data Quality Score]]*Calculations[[#This Row],[Total Kg]],0)</f>
        <v>0</v>
      </c>
    </row>
    <row r="78" spans="1:38" x14ac:dyDescent="0.3">
      <c r="A78" s="6">
        <f>IFERROR(MaterialsBoQ[[#This Row],[Scope Element]],0)</f>
        <v>0</v>
      </c>
      <c r="B78">
        <f>IFERROR(MaterialsBoQ[[#This Row],[Material ]],"")</f>
        <v>0</v>
      </c>
      <c r="C78">
        <f>IFERROR(MaterialsBoQ[[#This Row],[Unit]],"")</f>
        <v>0</v>
      </c>
      <c r="D78" s="322">
        <f>IFERROR(MaterialsBoQ[[#This Row],[Number]],0)</f>
        <v>0</v>
      </c>
      <c r="E78" s="322">
        <f>IFERROR(MaterialsBoQ[[#This Row],[Kg per unit]],0)</f>
        <v>0</v>
      </c>
      <c r="F78" s="322">
        <f>IFERROR(Calculations[[#This Row],[Number]]*Calculations[[#This Row],[Conversion factor]],0)</f>
        <v>0</v>
      </c>
      <c r="G78" s="322">
        <f>IFERROR(VLOOKUP(Calculations[[#This Row],[Material (choose from dropdown]],MaterialData[#All],7,FALSE),0)</f>
        <v>0</v>
      </c>
      <c r="H78" s="322">
        <f>Calculations[[#This Row],[Total Kg]]*Calculations[[#This Row],[Carbon Factor]]</f>
        <v>0</v>
      </c>
      <c r="I78" t="str">
        <f>IFERROR(VLOOKUP(Calculations[[#This Row],[Material (choose from dropdown]],MaterialData[#All],2,FALSE),"")</f>
        <v/>
      </c>
      <c r="J78" s="322">
        <f>IFERROR(((VLOOKUP(Calculations[[#This Row],[TransportSource]],TransportDistance[],2,FALSE)*'Stage assumptions'!$C$11)+VLOOKUP(Calculations[[#This Row],[TransportSource]],TransportDistance[],3,FALSE)*'Stage assumptions'!$C$12)*Calculations[[#This Row],[Total Kg]],0)</f>
        <v>0</v>
      </c>
      <c r="K78">
        <f>IFERROR(VLOOKUP(Calculations[[#This Row],[Material (choose from dropdown]], MaterialData[#All],3, FALSE),0)</f>
        <v>0</v>
      </c>
      <c r="L78" s="322">
        <f>IFERROR(VLOOKUP(Calculations[[#This Row],[A5type]],A5WastageRate[#All],2,FALSE)*Calculations[[#This Row],[A1-3]],0)</f>
        <v>0</v>
      </c>
      <c r="N78">
        <f>IFERROR(ROUNDUP(50/VLOOKUP(Calculations[[#This Row],[Scope Element]],B4referenceServiceLife[[Tier 2 element]:[Default Service Life]],2, FALSE)-1,0),0)</f>
        <v>0</v>
      </c>
      <c r="O78" s="322">
        <f>IFERROR((Calculations[[#This Row],[A1-3]]+Calculations[[#This Row],[A4]]+Calculations[[#This Row],[A5]]+Calculations[[#This Row],[C2 total]]+Calculations[[#This Row],[C3 total]]+Calculations[[#This Row],[C4 total]])*Calculations[[#This Row],[Replacements]],0)</f>
        <v>0</v>
      </c>
      <c r="S78" t="str">
        <f>IFERROR(VLOOKUP(Calculations[[#This Row],[Material (choose from dropdown]],MaterialData[#All],4,FALSE),"")</f>
        <v/>
      </c>
      <c r="T78" s="322" cm="1">
        <f t="array" ref="T78">IFERROR(VLOOKUP(Calculations[[#This Row],[Waste 1]],WasteScenario[#All],2,FALSE)*'Stage assumptions'!$C$225*WasteTransportMethod[Emissions Factor
kgCO2e/kg.km]*Calculations[[#This Row],[Total Kg]],0)</f>
        <v>0</v>
      </c>
      <c r="U78" s="322" cm="1">
        <f t="array" ref="U78">IFERROR(VLOOKUP(Calculations[[#This Row],[Waste 1]],WasteScenario[#All],3,FALSE)*'Stage assumptions'!$C$224*WasteTransportMethod[Emissions Factor
kgCO2e/kg.km]*Calculations[[#This Row],[Total Kg]],0)</f>
        <v>0</v>
      </c>
      <c r="V78" s="322" cm="1">
        <f t="array" ref="V78">IFERROR(VLOOKUP(Calculations[[#This Row],[Waste 1]],WasteScenario[#All],4,FALSE)*'Stage assumptions'!$C$223*WasteTransportMethod[Emissions Factor
kgCO2e/kg.km]*Calculations[[#This Row],[Total Kg]],0)</f>
        <v>0</v>
      </c>
      <c r="W78" s="322" cm="1">
        <f t="array" ref="W78">IFERROR(VLOOKUP(Calculations[[#This Row],[Waste 1]],WasteScenario[#All],5,FALSE)*'Stage assumptions'!$C$226*WasteTransportMethod[Emissions Factor
kgCO2e/kg.km]*Calculations[[#This Row],[Total Kg]],0)</f>
        <v>0</v>
      </c>
      <c r="X78" s="322">
        <f>SUM(Calculations[[#This Row],[C2 Recycle]:[C2 Reuse]])</f>
        <v>0</v>
      </c>
      <c r="Y78" t="str">
        <f>IFERROR(VLOOKUP(Calculations[[#This Row],[Material (choose from dropdown]],MaterialData[#All],5,FALSE),"")</f>
        <v/>
      </c>
      <c r="Z78" s="322">
        <f>IFERROR(((VLOOKUP(Calculations[[#This Row],[Waste type 2]],WasteDisposalEmissions[#All],2,FALSE))*Calculations[[#This Row],[Total Kg]])*VLOOKUP(Calculations[[#This Row],[Waste 1]],WasteScenario[#All],2,FALSE),0)</f>
        <v>0</v>
      </c>
      <c r="AA78" s="322">
        <f>IFERROR((VLOOKUP(Calculations[[#This Row],[Waste type 2]],WasteDisposalEmissions[#All],3,FALSE))*Calculations[[#This Row],[Total Kg]]*VLOOKUP(Calculations[[#This Row],[Waste 1]],WasteScenario[#All],3,FALSE),0)</f>
        <v>0</v>
      </c>
      <c r="AB78" s="322">
        <f>SUM(Calculations[[#This Row],[C3 recyc]:[C3 incin]])</f>
        <v>0</v>
      </c>
      <c r="AC78" s="322">
        <f>IFERROR((VLOOKUP(Calculations[[#This Row],[Waste type 2]],WasteLandfillEmissions[#All],2,FALSE))*Calculations[[#This Row],[Total Kg]]*VLOOKUP(Calculations[[#This Row],[Waste 1]],WasteScenario[#All],4,FALSE),0)</f>
        <v>0</v>
      </c>
      <c r="AD78" s="322">
        <f>IFERROR((VLOOKUP(Calculations[[#This Row],[Waste type 2]],WasteLandfillEmissions[#All],3,FALSE))*Calculations[[#This Row],[Total Kg]]*VLOOKUP(Calculations[[#This Row],[Waste 1]],WasteScenario[#All],4,FALSE),0)</f>
        <v>0</v>
      </c>
      <c r="AE78" s="322">
        <f>SUM(Calculations[[#This Row],[C4 landfill]:[C4 re-use]])</f>
        <v>0</v>
      </c>
      <c r="AF78" s="322">
        <f>IFERROR(VLOOKUP(Calculations[[#This Row],[Material (choose from dropdown]],MaterialData[#All],8,FALSE),0)</f>
        <v>0</v>
      </c>
      <c r="AG78" s="322">
        <f>IFERROR(Calculations[[#This Row],[Total Kg]]*Calculations[[#This Row],[Seq factor]],0)</f>
        <v>0</v>
      </c>
      <c r="AI78" s="322">
        <f>Calculations[[#This Row],[A1-3]]+Calculations[[#This Row],[A4]]+Calculations[[#This Row],[A5]]+Calculations[[#This Row],[B4]]+Calculations[[#This Row],[C2 total]]+Calculations[[#This Row],[C3 total]]+Calculations[[#This Row],[C4 total]]</f>
        <v>0</v>
      </c>
      <c r="AJ78" s="2">
        <f>IFERROR(VLOOKUP(Calculations[[#This Row],[Material (choose from dropdown]],MaterialData[[#Headers],[#Data]],9,FALSE),0)</f>
        <v>0</v>
      </c>
      <c r="AK78" s="4">
        <f>IFERROR(VLOOKUP(Calculations[[#This Row],[Material (choose from dropdown]],MaterialData[[#Headers],[#Data]],10,FALSE),0)</f>
        <v>0</v>
      </c>
      <c r="AL78" s="322">
        <f>IFERROR(Calculations[[#This Row],[Data Quality Score]]*Calculations[[#This Row],[Total Kg]],0)</f>
        <v>0</v>
      </c>
    </row>
    <row r="79" spans="1:38" x14ac:dyDescent="0.3">
      <c r="A79" s="6">
        <f>IFERROR(MaterialsBoQ[[#This Row],[Scope Element]],0)</f>
        <v>0</v>
      </c>
      <c r="B79">
        <f>IFERROR(MaterialsBoQ[[#This Row],[Material ]],"")</f>
        <v>0</v>
      </c>
      <c r="C79">
        <f>IFERROR(MaterialsBoQ[[#This Row],[Unit]],"")</f>
        <v>0</v>
      </c>
      <c r="D79" s="322">
        <f>IFERROR(MaterialsBoQ[[#This Row],[Number]],0)</f>
        <v>0</v>
      </c>
      <c r="E79" s="322">
        <f>IFERROR(MaterialsBoQ[[#This Row],[Kg per unit]],0)</f>
        <v>0</v>
      </c>
      <c r="F79" s="322">
        <f>IFERROR(Calculations[[#This Row],[Number]]*Calculations[[#This Row],[Conversion factor]],0)</f>
        <v>0</v>
      </c>
      <c r="G79" s="322">
        <f>IFERROR(VLOOKUP(Calculations[[#This Row],[Material (choose from dropdown]],MaterialData[#All],7,FALSE),0)</f>
        <v>0</v>
      </c>
      <c r="H79" s="322">
        <f>Calculations[[#This Row],[Total Kg]]*Calculations[[#This Row],[Carbon Factor]]</f>
        <v>0</v>
      </c>
      <c r="I79" t="str">
        <f>IFERROR(VLOOKUP(Calculations[[#This Row],[Material (choose from dropdown]],MaterialData[#All],2,FALSE),"")</f>
        <v/>
      </c>
      <c r="J79" s="322">
        <f>IFERROR(((VLOOKUP(Calculations[[#This Row],[TransportSource]],TransportDistance[],2,FALSE)*'Stage assumptions'!$C$11)+VLOOKUP(Calculations[[#This Row],[TransportSource]],TransportDistance[],3,FALSE)*'Stage assumptions'!$C$12)*Calculations[[#This Row],[Total Kg]],0)</f>
        <v>0</v>
      </c>
      <c r="K79">
        <f>IFERROR(VLOOKUP(Calculations[[#This Row],[Material (choose from dropdown]], MaterialData[#All],3, FALSE),0)</f>
        <v>0</v>
      </c>
      <c r="L79" s="322">
        <f>IFERROR(VLOOKUP(Calculations[[#This Row],[A5type]],A5WastageRate[#All],2,FALSE)*Calculations[[#This Row],[A1-3]],0)</f>
        <v>0</v>
      </c>
      <c r="N79">
        <f>IFERROR(ROUNDUP(50/VLOOKUP(Calculations[[#This Row],[Scope Element]],B4referenceServiceLife[[Tier 2 element]:[Default Service Life]],2, FALSE)-1,0),0)</f>
        <v>0</v>
      </c>
      <c r="O79" s="322">
        <f>IFERROR((Calculations[[#This Row],[A1-3]]+Calculations[[#This Row],[A4]]+Calculations[[#This Row],[A5]]+Calculations[[#This Row],[C2 total]]+Calculations[[#This Row],[C3 total]]+Calculations[[#This Row],[C4 total]])*Calculations[[#This Row],[Replacements]],0)</f>
        <v>0</v>
      </c>
      <c r="S79" t="str">
        <f>IFERROR(VLOOKUP(Calculations[[#This Row],[Material (choose from dropdown]],MaterialData[#All],4,FALSE),"")</f>
        <v/>
      </c>
      <c r="T79" s="322" cm="1">
        <f t="array" ref="T79">IFERROR(VLOOKUP(Calculations[[#This Row],[Waste 1]],WasteScenario[#All],2,FALSE)*'Stage assumptions'!$C$225*WasteTransportMethod[Emissions Factor
kgCO2e/kg.km]*Calculations[[#This Row],[Total Kg]],0)</f>
        <v>0</v>
      </c>
      <c r="U79" s="322" cm="1">
        <f t="array" ref="U79">IFERROR(VLOOKUP(Calculations[[#This Row],[Waste 1]],WasteScenario[#All],3,FALSE)*'Stage assumptions'!$C$224*WasteTransportMethod[Emissions Factor
kgCO2e/kg.km]*Calculations[[#This Row],[Total Kg]],0)</f>
        <v>0</v>
      </c>
      <c r="V79" s="322" cm="1">
        <f t="array" ref="V79">IFERROR(VLOOKUP(Calculations[[#This Row],[Waste 1]],WasteScenario[#All],4,FALSE)*'Stage assumptions'!$C$223*WasteTransportMethod[Emissions Factor
kgCO2e/kg.km]*Calculations[[#This Row],[Total Kg]],0)</f>
        <v>0</v>
      </c>
      <c r="W79" s="322" cm="1">
        <f t="array" ref="W79">IFERROR(VLOOKUP(Calculations[[#This Row],[Waste 1]],WasteScenario[#All],5,FALSE)*'Stage assumptions'!$C$226*WasteTransportMethod[Emissions Factor
kgCO2e/kg.km]*Calculations[[#This Row],[Total Kg]],0)</f>
        <v>0</v>
      </c>
      <c r="X79" s="322">
        <f>SUM(Calculations[[#This Row],[C2 Recycle]:[C2 Reuse]])</f>
        <v>0</v>
      </c>
      <c r="Y79" t="str">
        <f>IFERROR(VLOOKUP(Calculations[[#This Row],[Material (choose from dropdown]],MaterialData[#All],5,FALSE),"")</f>
        <v/>
      </c>
      <c r="Z79" s="322">
        <f>IFERROR(((VLOOKUP(Calculations[[#This Row],[Waste type 2]],WasteDisposalEmissions[#All],2,FALSE))*Calculations[[#This Row],[Total Kg]])*VLOOKUP(Calculations[[#This Row],[Waste 1]],WasteScenario[#All],2,FALSE),0)</f>
        <v>0</v>
      </c>
      <c r="AA79" s="322">
        <f>IFERROR((VLOOKUP(Calculations[[#This Row],[Waste type 2]],WasteDisposalEmissions[#All],3,FALSE))*Calculations[[#This Row],[Total Kg]]*VLOOKUP(Calculations[[#This Row],[Waste 1]],WasteScenario[#All],3,FALSE),0)</f>
        <v>0</v>
      </c>
      <c r="AB79" s="322">
        <f>SUM(Calculations[[#This Row],[C3 recyc]:[C3 incin]])</f>
        <v>0</v>
      </c>
      <c r="AC79" s="322">
        <f>IFERROR((VLOOKUP(Calculations[[#This Row],[Waste type 2]],WasteLandfillEmissions[#All],2,FALSE))*Calculations[[#This Row],[Total Kg]]*VLOOKUP(Calculations[[#This Row],[Waste 1]],WasteScenario[#All],4,FALSE),0)</f>
        <v>0</v>
      </c>
      <c r="AD79" s="322">
        <f>IFERROR((VLOOKUP(Calculations[[#This Row],[Waste type 2]],WasteLandfillEmissions[#All],3,FALSE))*Calculations[[#This Row],[Total Kg]]*VLOOKUP(Calculations[[#This Row],[Waste 1]],WasteScenario[#All],4,FALSE),0)</f>
        <v>0</v>
      </c>
      <c r="AE79" s="322">
        <f>SUM(Calculations[[#This Row],[C4 landfill]:[C4 re-use]])</f>
        <v>0</v>
      </c>
      <c r="AF79" s="322">
        <f>IFERROR(VLOOKUP(Calculations[[#This Row],[Material (choose from dropdown]],MaterialData[#All],8,FALSE),0)</f>
        <v>0</v>
      </c>
      <c r="AG79" s="322">
        <f>IFERROR(Calculations[[#This Row],[Total Kg]]*Calculations[[#This Row],[Seq factor]],0)</f>
        <v>0</v>
      </c>
      <c r="AI79" s="322">
        <f>Calculations[[#This Row],[A1-3]]+Calculations[[#This Row],[A4]]+Calculations[[#This Row],[A5]]+Calculations[[#This Row],[B4]]+Calculations[[#This Row],[C2 total]]+Calculations[[#This Row],[C3 total]]+Calculations[[#This Row],[C4 total]]</f>
        <v>0</v>
      </c>
      <c r="AJ79" s="2">
        <f>IFERROR(VLOOKUP(Calculations[[#This Row],[Material (choose from dropdown]],MaterialData[[#Headers],[#Data]],9,FALSE),0)</f>
        <v>0</v>
      </c>
      <c r="AK79" s="4">
        <f>IFERROR(VLOOKUP(Calculations[[#This Row],[Material (choose from dropdown]],MaterialData[[#Headers],[#Data]],10,FALSE),0)</f>
        <v>0</v>
      </c>
      <c r="AL79" s="322">
        <f>IFERROR(Calculations[[#This Row],[Data Quality Score]]*Calculations[[#This Row],[Total Kg]],0)</f>
        <v>0</v>
      </c>
    </row>
    <row r="80" spans="1:38" x14ac:dyDescent="0.3">
      <c r="A80" s="6">
        <f>IFERROR(MaterialsBoQ[[#This Row],[Scope Element]],0)</f>
        <v>0</v>
      </c>
      <c r="B80">
        <f>IFERROR(MaterialsBoQ[[#This Row],[Material ]],"")</f>
        <v>0</v>
      </c>
      <c r="C80">
        <f>IFERROR(MaterialsBoQ[[#This Row],[Unit]],"")</f>
        <v>0</v>
      </c>
      <c r="D80" s="322">
        <f>IFERROR(MaterialsBoQ[[#This Row],[Number]],0)</f>
        <v>0</v>
      </c>
      <c r="E80" s="322">
        <f>IFERROR(MaterialsBoQ[[#This Row],[Kg per unit]],0)</f>
        <v>0</v>
      </c>
      <c r="F80" s="322">
        <f>IFERROR(Calculations[[#This Row],[Number]]*Calculations[[#This Row],[Conversion factor]],0)</f>
        <v>0</v>
      </c>
      <c r="G80" s="322">
        <f>IFERROR(VLOOKUP(Calculations[[#This Row],[Material (choose from dropdown]],MaterialData[#All],7,FALSE),0)</f>
        <v>0</v>
      </c>
      <c r="H80" s="322">
        <f>Calculations[[#This Row],[Total Kg]]*Calculations[[#This Row],[Carbon Factor]]</f>
        <v>0</v>
      </c>
      <c r="I80" t="str">
        <f>IFERROR(VLOOKUP(Calculations[[#This Row],[Material (choose from dropdown]],MaterialData[#All],2,FALSE),"")</f>
        <v/>
      </c>
      <c r="J80" s="322">
        <f>IFERROR(((VLOOKUP(Calculations[[#This Row],[TransportSource]],TransportDistance[],2,FALSE)*'Stage assumptions'!$C$11)+VLOOKUP(Calculations[[#This Row],[TransportSource]],TransportDistance[],3,FALSE)*'Stage assumptions'!$C$12)*Calculations[[#This Row],[Total Kg]],0)</f>
        <v>0</v>
      </c>
      <c r="K80">
        <f>IFERROR(VLOOKUP(Calculations[[#This Row],[Material (choose from dropdown]], MaterialData[#All],3, FALSE),0)</f>
        <v>0</v>
      </c>
      <c r="L80" s="322">
        <f>IFERROR(VLOOKUP(Calculations[[#This Row],[A5type]],A5WastageRate[#All],2,FALSE)*Calculations[[#This Row],[A1-3]],0)</f>
        <v>0</v>
      </c>
      <c r="N80">
        <f>IFERROR(ROUNDUP(50/VLOOKUP(Calculations[[#This Row],[Scope Element]],B4referenceServiceLife[[Tier 2 element]:[Default Service Life]],2, FALSE)-1,0),0)</f>
        <v>0</v>
      </c>
      <c r="O80" s="322">
        <f>IFERROR((Calculations[[#This Row],[A1-3]]+Calculations[[#This Row],[A4]]+Calculations[[#This Row],[A5]]+Calculations[[#This Row],[C2 total]]+Calculations[[#This Row],[C3 total]]+Calculations[[#This Row],[C4 total]])*Calculations[[#This Row],[Replacements]],0)</f>
        <v>0</v>
      </c>
      <c r="S80" t="str">
        <f>IFERROR(VLOOKUP(Calculations[[#This Row],[Material (choose from dropdown]],MaterialData[#All],4,FALSE),"")</f>
        <v/>
      </c>
      <c r="T80" s="322" cm="1">
        <f t="array" ref="T80">IFERROR(VLOOKUP(Calculations[[#This Row],[Waste 1]],WasteScenario[#All],2,FALSE)*'Stage assumptions'!$C$225*WasteTransportMethod[Emissions Factor
kgCO2e/kg.km]*Calculations[[#This Row],[Total Kg]],0)</f>
        <v>0</v>
      </c>
      <c r="U80" s="322" cm="1">
        <f t="array" ref="U80">IFERROR(VLOOKUP(Calculations[[#This Row],[Waste 1]],WasteScenario[#All],3,FALSE)*'Stage assumptions'!$C$224*WasteTransportMethod[Emissions Factor
kgCO2e/kg.km]*Calculations[[#This Row],[Total Kg]],0)</f>
        <v>0</v>
      </c>
      <c r="V80" s="322" cm="1">
        <f t="array" ref="V80">IFERROR(VLOOKUP(Calculations[[#This Row],[Waste 1]],WasteScenario[#All],4,FALSE)*'Stage assumptions'!$C$223*WasteTransportMethod[Emissions Factor
kgCO2e/kg.km]*Calculations[[#This Row],[Total Kg]],0)</f>
        <v>0</v>
      </c>
      <c r="W80" s="322" cm="1">
        <f t="array" ref="W80">IFERROR(VLOOKUP(Calculations[[#This Row],[Waste 1]],WasteScenario[#All],5,FALSE)*'Stage assumptions'!$C$226*WasteTransportMethod[Emissions Factor
kgCO2e/kg.km]*Calculations[[#This Row],[Total Kg]],0)</f>
        <v>0</v>
      </c>
      <c r="X80" s="322">
        <f>SUM(Calculations[[#This Row],[C2 Recycle]:[C2 Reuse]])</f>
        <v>0</v>
      </c>
      <c r="Y80" t="str">
        <f>IFERROR(VLOOKUP(Calculations[[#This Row],[Material (choose from dropdown]],MaterialData[#All],5,FALSE),"")</f>
        <v/>
      </c>
      <c r="Z80" s="322">
        <f>IFERROR(((VLOOKUP(Calculations[[#This Row],[Waste type 2]],WasteDisposalEmissions[#All],2,FALSE))*Calculations[[#This Row],[Total Kg]])*VLOOKUP(Calculations[[#This Row],[Waste 1]],WasteScenario[#All],2,FALSE),0)</f>
        <v>0</v>
      </c>
      <c r="AA80" s="322">
        <f>IFERROR((VLOOKUP(Calculations[[#This Row],[Waste type 2]],WasteDisposalEmissions[#All],3,FALSE))*Calculations[[#This Row],[Total Kg]]*VLOOKUP(Calculations[[#This Row],[Waste 1]],WasteScenario[#All],3,FALSE),0)</f>
        <v>0</v>
      </c>
      <c r="AB80" s="322">
        <f>SUM(Calculations[[#This Row],[C3 recyc]:[C3 incin]])</f>
        <v>0</v>
      </c>
      <c r="AC80" s="322">
        <f>IFERROR((VLOOKUP(Calculations[[#This Row],[Waste type 2]],WasteLandfillEmissions[#All],2,FALSE))*Calculations[[#This Row],[Total Kg]]*VLOOKUP(Calculations[[#This Row],[Waste 1]],WasteScenario[#All],4,FALSE),0)</f>
        <v>0</v>
      </c>
      <c r="AD80" s="322">
        <f>IFERROR((VLOOKUP(Calculations[[#This Row],[Waste type 2]],WasteLandfillEmissions[#All],3,FALSE))*Calculations[[#This Row],[Total Kg]]*VLOOKUP(Calculations[[#This Row],[Waste 1]],WasteScenario[#All],4,FALSE),0)</f>
        <v>0</v>
      </c>
      <c r="AE80" s="322">
        <f>SUM(Calculations[[#This Row],[C4 landfill]:[C4 re-use]])</f>
        <v>0</v>
      </c>
      <c r="AF80" s="322">
        <f>IFERROR(VLOOKUP(Calculations[[#This Row],[Material (choose from dropdown]],MaterialData[#All],8,FALSE),0)</f>
        <v>0</v>
      </c>
      <c r="AG80" s="322">
        <f>IFERROR(Calculations[[#This Row],[Total Kg]]*Calculations[[#This Row],[Seq factor]],0)</f>
        <v>0</v>
      </c>
      <c r="AI80" s="322">
        <f>Calculations[[#This Row],[A1-3]]+Calculations[[#This Row],[A4]]+Calculations[[#This Row],[A5]]+Calculations[[#This Row],[B4]]+Calculations[[#This Row],[C2 total]]+Calculations[[#This Row],[C3 total]]+Calculations[[#This Row],[C4 total]]</f>
        <v>0</v>
      </c>
      <c r="AJ80" s="2">
        <f>IFERROR(VLOOKUP(Calculations[[#This Row],[Material (choose from dropdown]],MaterialData[[#Headers],[#Data]],9,FALSE),0)</f>
        <v>0</v>
      </c>
      <c r="AK80" s="4">
        <f>IFERROR(VLOOKUP(Calculations[[#This Row],[Material (choose from dropdown]],MaterialData[[#Headers],[#Data]],10,FALSE),0)</f>
        <v>0</v>
      </c>
      <c r="AL80" s="322">
        <f>IFERROR(Calculations[[#This Row],[Data Quality Score]]*Calculations[[#This Row],[Total Kg]],0)</f>
        <v>0</v>
      </c>
    </row>
    <row r="81" spans="1:38" x14ac:dyDescent="0.3">
      <c r="A81" s="6">
        <f>IFERROR(MaterialsBoQ[[#This Row],[Scope Element]],0)</f>
        <v>0</v>
      </c>
      <c r="B81">
        <f>IFERROR(MaterialsBoQ[[#This Row],[Material ]],"")</f>
        <v>0</v>
      </c>
      <c r="C81">
        <f>IFERROR(MaterialsBoQ[[#This Row],[Unit]],"")</f>
        <v>0</v>
      </c>
      <c r="D81" s="322">
        <f>IFERROR(MaterialsBoQ[[#This Row],[Number]],0)</f>
        <v>0</v>
      </c>
      <c r="E81" s="322">
        <f>IFERROR(MaterialsBoQ[[#This Row],[Kg per unit]],0)</f>
        <v>0</v>
      </c>
      <c r="F81" s="322">
        <f>IFERROR(Calculations[[#This Row],[Number]]*Calculations[[#This Row],[Conversion factor]],0)</f>
        <v>0</v>
      </c>
      <c r="G81" s="322">
        <f>IFERROR(VLOOKUP(Calculations[[#This Row],[Material (choose from dropdown]],MaterialData[#All],7,FALSE),0)</f>
        <v>0</v>
      </c>
      <c r="H81" s="322">
        <f>Calculations[[#This Row],[Total Kg]]*Calculations[[#This Row],[Carbon Factor]]</f>
        <v>0</v>
      </c>
      <c r="I81" t="str">
        <f>IFERROR(VLOOKUP(Calculations[[#This Row],[Material (choose from dropdown]],MaterialData[#All],2,FALSE),"")</f>
        <v/>
      </c>
      <c r="J81" s="322">
        <f>IFERROR(((VLOOKUP(Calculations[[#This Row],[TransportSource]],TransportDistance[],2,FALSE)*'Stage assumptions'!$C$11)+VLOOKUP(Calculations[[#This Row],[TransportSource]],TransportDistance[],3,FALSE)*'Stage assumptions'!$C$12)*Calculations[[#This Row],[Total Kg]],0)</f>
        <v>0</v>
      </c>
      <c r="K81">
        <f>IFERROR(VLOOKUP(Calculations[[#This Row],[Material (choose from dropdown]], MaterialData[#All],3, FALSE),0)</f>
        <v>0</v>
      </c>
      <c r="L81" s="322">
        <f>IFERROR(VLOOKUP(Calculations[[#This Row],[A5type]],A5WastageRate[#All],2,FALSE)*Calculations[[#This Row],[A1-3]],0)</f>
        <v>0</v>
      </c>
      <c r="N81">
        <f>IFERROR(ROUNDUP(50/VLOOKUP(Calculations[[#This Row],[Scope Element]],B4referenceServiceLife[[Tier 2 element]:[Default Service Life]],2, FALSE)-1,0),0)</f>
        <v>0</v>
      </c>
      <c r="O81" s="322">
        <f>IFERROR((Calculations[[#This Row],[A1-3]]+Calculations[[#This Row],[A4]]+Calculations[[#This Row],[A5]]+Calculations[[#This Row],[C2 total]]+Calculations[[#This Row],[C3 total]]+Calculations[[#This Row],[C4 total]])*Calculations[[#This Row],[Replacements]],0)</f>
        <v>0</v>
      </c>
      <c r="S81" t="str">
        <f>IFERROR(VLOOKUP(Calculations[[#This Row],[Material (choose from dropdown]],MaterialData[#All],4,FALSE),"")</f>
        <v/>
      </c>
      <c r="T81" s="322" cm="1">
        <f t="array" ref="T81">IFERROR(VLOOKUP(Calculations[[#This Row],[Waste 1]],WasteScenario[#All],2,FALSE)*'Stage assumptions'!$C$225*WasteTransportMethod[Emissions Factor
kgCO2e/kg.km]*Calculations[[#This Row],[Total Kg]],0)</f>
        <v>0</v>
      </c>
      <c r="U81" s="322" cm="1">
        <f t="array" ref="U81">IFERROR(VLOOKUP(Calculations[[#This Row],[Waste 1]],WasteScenario[#All],3,FALSE)*'Stage assumptions'!$C$224*WasteTransportMethod[Emissions Factor
kgCO2e/kg.km]*Calculations[[#This Row],[Total Kg]],0)</f>
        <v>0</v>
      </c>
      <c r="V81" s="322" cm="1">
        <f t="array" ref="V81">IFERROR(VLOOKUP(Calculations[[#This Row],[Waste 1]],WasteScenario[#All],4,FALSE)*'Stage assumptions'!$C$223*WasteTransportMethod[Emissions Factor
kgCO2e/kg.km]*Calculations[[#This Row],[Total Kg]],0)</f>
        <v>0</v>
      </c>
      <c r="W81" s="322" cm="1">
        <f t="array" ref="W81">IFERROR(VLOOKUP(Calculations[[#This Row],[Waste 1]],WasteScenario[#All],5,FALSE)*'Stage assumptions'!$C$226*WasteTransportMethod[Emissions Factor
kgCO2e/kg.km]*Calculations[[#This Row],[Total Kg]],0)</f>
        <v>0</v>
      </c>
      <c r="X81" s="322">
        <f>SUM(Calculations[[#This Row],[C2 Recycle]:[C2 Reuse]])</f>
        <v>0</v>
      </c>
      <c r="Y81" t="str">
        <f>IFERROR(VLOOKUP(Calculations[[#This Row],[Material (choose from dropdown]],MaterialData[#All],5,FALSE),"")</f>
        <v/>
      </c>
      <c r="Z81" s="322">
        <f>IFERROR(((VLOOKUP(Calculations[[#This Row],[Waste type 2]],WasteDisposalEmissions[#All],2,FALSE))*Calculations[[#This Row],[Total Kg]])*VLOOKUP(Calculations[[#This Row],[Waste 1]],WasteScenario[#All],2,FALSE),0)</f>
        <v>0</v>
      </c>
      <c r="AA81" s="322">
        <f>IFERROR((VLOOKUP(Calculations[[#This Row],[Waste type 2]],WasteDisposalEmissions[#All],3,FALSE))*Calculations[[#This Row],[Total Kg]]*VLOOKUP(Calculations[[#This Row],[Waste 1]],WasteScenario[#All],3,FALSE),0)</f>
        <v>0</v>
      </c>
      <c r="AB81" s="322">
        <f>SUM(Calculations[[#This Row],[C3 recyc]:[C3 incin]])</f>
        <v>0</v>
      </c>
      <c r="AC81" s="322">
        <f>IFERROR((VLOOKUP(Calculations[[#This Row],[Waste type 2]],WasteLandfillEmissions[#All],2,FALSE))*Calculations[[#This Row],[Total Kg]]*VLOOKUP(Calculations[[#This Row],[Waste 1]],WasteScenario[#All],4,FALSE),0)</f>
        <v>0</v>
      </c>
      <c r="AD81" s="322">
        <f>IFERROR((VLOOKUP(Calculations[[#This Row],[Waste type 2]],WasteLandfillEmissions[#All],3,FALSE))*Calculations[[#This Row],[Total Kg]]*VLOOKUP(Calculations[[#This Row],[Waste 1]],WasteScenario[#All],4,FALSE),0)</f>
        <v>0</v>
      </c>
      <c r="AE81" s="322">
        <f>SUM(Calculations[[#This Row],[C4 landfill]:[C4 re-use]])</f>
        <v>0</v>
      </c>
      <c r="AF81" s="322">
        <f>IFERROR(VLOOKUP(Calculations[[#This Row],[Material (choose from dropdown]],MaterialData[#All],8,FALSE),0)</f>
        <v>0</v>
      </c>
      <c r="AG81" s="322">
        <f>IFERROR(Calculations[[#This Row],[Total Kg]]*Calculations[[#This Row],[Seq factor]],0)</f>
        <v>0</v>
      </c>
      <c r="AI81" s="322">
        <f>Calculations[[#This Row],[A1-3]]+Calculations[[#This Row],[A4]]+Calculations[[#This Row],[A5]]+Calculations[[#This Row],[B4]]+Calculations[[#This Row],[C2 total]]+Calculations[[#This Row],[C3 total]]+Calculations[[#This Row],[C4 total]]</f>
        <v>0</v>
      </c>
      <c r="AJ81" s="2">
        <f>IFERROR(VLOOKUP(Calculations[[#This Row],[Material (choose from dropdown]],MaterialData[[#Headers],[#Data]],9,FALSE),0)</f>
        <v>0</v>
      </c>
      <c r="AK81" s="4">
        <f>IFERROR(VLOOKUP(Calculations[[#This Row],[Material (choose from dropdown]],MaterialData[[#Headers],[#Data]],10,FALSE),0)</f>
        <v>0</v>
      </c>
      <c r="AL81" s="322">
        <f>IFERROR(Calculations[[#This Row],[Data Quality Score]]*Calculations[[#This Row],[Total Kg]],0)</f>
        <v>0</v>
      </c>
    </row>
    <row r="82" spans="1:38" x14ac:dyDescent="0.3">
      <c r="A82" s="6">
        <f>IFERROR(MaterialsBoQ[[#This Row],[Scope Element]],0)</f>
        <v>0</v>
      </c>
      <c r="B82">
        <f>IFERROR(MaterialsBoQ[[#This Row],[Material ]],"")</f>
        <v>0</v>
      </c>
      <c r="C82">
        <f>IFERROR(MaterialsBoQ[[#This Row],[Unit]],"")</f>
        <v>0</v>
      </c>
      <c r="D82" s="322">
        <f>IFERROR(MaterialsBoQ[[#This Row],[Number]],0)</f>
        <v>0</v>
      </c>
      <c r="E82" s="322">
        <f>IFERROR(MaterialsBoQ[[#This Row],[Kg per unit]],0)</f>
        <v>0</v>
      </c>
      <c r="F82" s="322">
        <f>IFERROR(Calculations[[#This Row],[Number]]*Calculations[[#This Row],[Conversion factor]],0)</f>
        <v>0</v>
      </c>
      <c r="G82" s="322">
        <f>IFERROR(VLOOKUP(Calculations[[#This Row],[Material (choose from dropdown]],MaterialData[#All],7,FALSE),0)</f>
        <v>0</v>
      </c>
      <c r="H82" s="322">
        <f>Calculations[[#This Row],[Total Kg]]*Calculations[[#This Row],[Carbon Factor]]</f>
        <v>0</v>
      </c>
      <c r="I82" t="str">
        <f>IFERROR(VLOOKUP(Calculations[[#This Row],[Material (choose from dropdown]],MaterialData[#All],2,FALSE),"")</f>
        <v/>
      </c>
      <c r="J82" s="322">
        <f>IFERROR(((VLOOKUP(Calculations[[#This Row],[TransportSource]],TransportDistance[],2,FALSE)*'Stage assumptions'!$C$11)+VLOOKUP(Calculations[[#This Row],[TransportSource]],TransportDistance[],3,FALSE)*'Stage assumptions'!$C$12)*Calculations[[#This Row],[Total Kg]],0)</f>
        <v>0</v>
      </c>
      <c r="K82">
        <f>IFERROR(VLOOKUP(Calculations[[#This Row],[Material (choose from dropdown]], MaterialData[#All],3, FALSE),0)</f>
        <v>0</v>
      </c>
      <c r="L82" s="322">
        <f>IFERROR(VLOOKUP(Calculations[[#This Row],[A5type]],A5WastageRate[#All],2,FALSE)*Calculations[[#This Row],[A1-3]],0)</f>
        <v>0</v>
      </c>
      <c r="N82">
        <f>IFERROR(ROUNDUP(50/VLOOKUP(Calculations[[#This Row],[Scope Element]],B4referenceServiceLife[[Tier 2 element]:[Default Service Life]],2, FALSE)-1,0),0)</f>
        <v>0</v>
      </c>
      <c r="O82" s="322">
        <f>IFERROR((Calculations[[#This Row],[A1-3]]+Calculations[[#This Row],[A4]]+Calculations[[#This Row],[A5]]+Calculations[[#This Row],[C2 total]]+Calculations[[#This Row],[C3 total]]+Calculations[[#This Row],[C4 total]])*Calculations[[#This Row],[Replacements]],0)</f>
        <v>0</v>
      </c>
      <c r="S82" t="str">
        <f>IFERROR(VLOOKUP(Calculations[[#This Row],[Material (choose from dropdown]],MaterialData[#All],4,FALSE),"")</f>
        <v/>
      </c>
      <c r="T82" s="322" cm="1">
        <f t="array" ref="T82">IFERROR(VLOOKUP(Calculations[[#This Row],[Waste 1]],WasteScenario[#All],2,FALSE)*'Stage assumptions'!$C$225*WasteTransportMethod[Emissions Factor
kgCO2e/kg.km]*Calculations[[#This Row],[Total Kg]],0)</f>
        <v>0</v>
      </c>
      <c r="U82" s="322" cm="1">
        <f t="array" ref="U82">IFERROR(VLOOKUP(Calculations[[#This Row],[Waste 1]],WasteScenario[#All],3,FALSE)*'Stage assumptions'!$C$224*WasteTransportMethod[Emissions Factor
kgCO2e/kg.km]*Calculations[[#This Row],[Total Kg]],0)</f>
        <v>0</v>
      </c>
      <c r="V82" s="322" cm="1">
        <f t="array" ref="V82">IFERROR(VLOOKUP(Calculations[[#This Row],[Waste 1]],WasteScenario[#All],4,FALSE)*'Stage assumptions'!$C$223*WasteTransportMethod[Emissions Factor
kgCO2e/kg.km]*Calculations[[#This Row],[Total Kg]],0)</f>
        <v>0</v>
      </c>
      <c r="W82" s="322" cm="1">
        <f t="array" ref="W82">IFERROR(VLOOKUP(Calculations[[#This Row],[Waste 1]],WasteScenario[#All],5,FALSE)*'Stage assumptions'!$C$226*WasteTransportMethod[Emissions Factor
kgCO2e/kg.km]*Calculations[[#This Row],[Total Kg]],0)</f>
        <v>0</v>
      </c>
      <c r="X82" s="322">
        <f>SUM(Calculations[[#This Row],[C2 Recycle]:[C2 Reuse]])</f>
        <v>0</v>
      </c>
      <c r="Y82" t="str">
        <f>IFERROR(VLOOKUP(Calculations[[#This Row],[Material (choose from dropdown]],MaterialData[#All],5,FALSE),"")</f>
        <v/>
      </c>
      <c r="Z82" s="322">
        <f>IFERROR(((VLOOKUP(Calculations[[#This Row],[Waste type 2]],WasteDisposalEmissions[#All],2,FALSE))*Calculations[[#This Row],[Total Kg]])*VLOOKUP(Calculations[[#This Row],[Waste 1]],WasteScenario[#All],2,FALSE),0)</f>
        <v>0</v>
      </c>
      <c r="AA82" s="322">
        <f>IFERROR((VLOOKUP(Calculations[[#This Row],[Waste type 2]],WasteDisposalEmissions[#All],3,FALSE))*Calculations[[#This Row],[Total Kg]]*VLOOKUP(Calculations[[#This Row],[Waste 1]],WasteScenario[#All],3,FALSE),0)</f>
        <v>0</v>
      </c>
      <c r="AB82" s="322">
        <f>SUM(Calculations[[#This Row],[C3 recyc]:[C3 incin]])</f>
        <v>0</v>
      </c>
      <c r="AC82" s="322">
        <f>IFERROR((VLOOKUP(Calculations[[#This Row],[Waste type 2]],WasteLandfillEmissions[#All],2,FALSE))*Calculations[[#This Row],[Total Kg]]*VLOOKUP(Calculations[[#This Row],[Waste 1]],WasteScenario[#All],4,FALSE),0)</f>
        <v>0</v>
      </c>
      <c r="AD82" s="322">
        <f>IFERROR((VLOOKUP(Calculations[[#This Row],[Waste type 2]],WasteLandfillEmissions[#All],3,FALSE))*Calculations[[#This Row],[Total Kg]]*VLOOKUP(Calculations[[#This Row],[Waste 1]],WasteScenario[#All],4,FALSE),0)</f>
        <v>0</v>
      </c>
      <c r="AE82" s="322">
        <f>SUM(Calculations[[#This Row],[C4 landfill]:[C4 re-use]])</f>
        <v>0</v>
      </c>
      <c r="AF82" s="322">
        <f>IFERROR(VLOOKUP(Calculations[[#This Row],[Material (choose from dropdown]],MaterialData[#All],8,FALSE),0)</f>
        <v>0</v>
      </c>
      <c r="AG82" s="322">
        <f>IFERROR(Calculations[[#This Row],[Total Kg]]*Calculations[[#This Row],[Seq factor]],0)</f>
        <v>0</v>
      </c>
      <c r="AI82" s="322">
        <f>Calculations[[#This Row],[A1-3]]+Calculations[[#This Row],[A4]]+Calculations[[#This Row],[A5]]+Calculations[[#This Row],[B4]]+Calculations[[#This Row],[C2 total]]+Calculations[[#This Row],[C3 total]]+Calculations[[#This Row],[C4 total]]</f>
        <v>0</v>
      </c>
      <c r="AJ82" s="2">
        <f>IFERROR(VLOOKUP(Calculations[[#This Row],[Material (choose from dropdown]],MaterialData[[#Headers],[#Data]],9,FALSE),0)</f>
        <v>0</v>
      </c>
      <c r="AK82" s="4">
        <f>IFERROR(VLOOKUP(Calculations[[#This Row],[Material (choose from dropdown]],MaterialData[[#Headers],[#Data]],10,FALSE),0)</f>
        <v>0</v>
      </c>
      <c r="AL82" s="322">
        <f>IFERROR(Calculations[[#This Row],[Data Quality Score]]*Calculations[[#This Row],[Total Kg]],0)</f>
        <v>0</v>
      </c>
    </row>
    <row r="83" spans="1:38" x14ac:dyDescent="0.3">
      <c r="A83" s="6">
        <f>IFERROR(MaterialsBoQ[[#This Row],[Scope Element]],0)</f>
        <v>0</v>
      </c>
      <c r="B83">
        <f>IFERROR(MaterialsBoQ[[#This Row],[Material ]],"")</f>
        <v>0</v>
      </c>
      <c r="C83">
        <f>IFERROR(MaterialsBoQ[[#This Row],[Unit]],"")</f>
        <v>0</v>
      </c>
      <c r="D83" s="322">
        <f>IFERROR(MaterialsBoQ[[#This Row],[Number]],0)</f>
        <v>0</v>
      </c>
      <c r="E83" s="322">
        <f>IFERROR(MaterialsBoQ[[#This Row],[Kg per unit]],0)</f>
        <v>0</v>
      </c>
      <c r="F83" s="322">
        <f>IFERROR(Calculations[[#This Row],[Number]]*Calculations[[#This Row],[Conversion factor]],0)</f>
        <v>0</v>
      </c>
      <c r="G83" s="322">
        <f>IFERROR(VLOOKUP(Calculations[[#This Row],[Material (choose from dropdown]],MaterialData[#All],7,FALSE),0)</f>
        <v>0</v>
      </c>
      <c r="H83" s="322">
        <f>Calculations[[#This Row],[Total Kg]]*Calculations[[#This Row],[Carbon Factor]]</f>
        <v>0</v>
      </c>
      <c r="I83" t="str">
        <f>IFERROR(VLOOKUP(Calculations[[#This Row],[Material (choose from dropdown]],MaterialData[#All],2,FALSE),"")</f>
        <v/>
      </c>
      <c r="J83" s="322">
        <f>IFERROR(((VLOOKUP(Calculations[[#This Row],[TransportSource]],TransportDistance[],2,FALSE)*'Stage assumptions'!$C$11)+VLOOKUP(Calculations[[#This Row],[TransportSource]],TransportDistance[],3,FALSE)*'Stage assumptions'!$C$12)*Calculations[[#This Row],[Total Kg]],0)</f>
        <v>0</v>
      </c>
      <c r="K83">
        <f>IFERROR(VLOOKUP(Calculations[[#This Row],[Material (choose from dropdown]], MaterialData[#All],3, FALSE),0)</f>
        <v>0</v>
      </c>
      <c r="L83" s="322">
        <f>IFERROR(VLOOKUP(Calculations[[#This Row],[A5type]],A5WastageRate[#All],2,FALSE)*Calculations[[#This Row],[A1-3]],0)</f>
        <v>0</v>
      </c>
      <c r="N83">
        <f>IFERROR(ROUNDUP(50/VLOOKUP(Calculations[[#This Row],[Scope Element]],B4referenceServiceLife[[Tier 2 element]:[Default Service Life]],2, FALSE)-1,0),0)</f>
        <v>0</v>
      </c>
      <c r="O83" s="322">
        <f>IFERROR((Calculations[[#This Row],[A1-3]]+Calculations[[#This Row],[A4]]+Calculations[[#This Row],[A5]]+Calculations[[#This Row],[C2 total]]+Calculations[[#This Row],[C3 total]]+Calculations[[#This Row],[C4 total]])*Calculations[[#This Row],[Replacements]],0)</f>
        <v>0</v>
      </c>
      <c r="S83" t="str">
        <f>IFERROR(VLOOKUP(Calculations[[#This Row],[Material (choose from dropdown]],MaterialData[#All],4,FALSE),"")</f>
        <v/>
      </c>
      <c r="T83" s="322" cm="1">
        <f t="array" ref="T83">IFERROR(VLOOKUP(Calculations[[#This Row],[Waste 1]],WasteScenario[#All],2,FALSE)*'Stage assumptions'!$C$225*WasteTransportMethod[Emissions Factor
kgCO2e/kg.km]*Calculations[[#This Row],[Total Kg]],0)</f>
        <v>0</v>
      </c>
      <c r="U83" s="322" cm="1">
        <f t="array" ref="U83">IFERROR(VLOOKUP(Calculations[[#This Row],[Waste 1]],WasteScenario[#All],3,FALSE)*'Stage assumptions'!$C$224*WasteTransportMethod[Emissions Factor
kgCO2e/kg.km]*Calculations[[#This Row],[Total Kg]],0)</f>
        <v>0</v>
      </c>
      <c r="V83" s="322" cm="1">
        <f t="array" ref="V83">IFERROR(VLOOKUP(Calculations[[#This Row],[Waste 1]],WasteScenario[#All],4,FALSE)*'Stage assumptions'!$C$223*WasteTransportMethod[Emissions Factor
kgCO2e/kg.km]*Calculations[[#This Row],[Total Kg]],0)</f>
        <v>0</v>
      </c>
      <c r="W83" s="322" cm="1">
        <f t="array" ref="W83">IFERROR(VLOOKUP(Calculations[[#This Row],[Waste 1]],WasteScenario[#All],5,FALSE)*'Stage assumptions'!$C$226*WasteTransportMethod[Emissions Factor
kgCO2e/kg.km]*Calculations[[#This Row],[Total Kg]],0)</f>
        <v>0</v>
      </c>
      <c r="X83" s="322">
        <f>SUM(Calculations[[#This Row],[C2 Recycle]:[C2 Reuse]])</f>
        <v>0</v>
      </c>
      <c r="Y83" t="str">
        <f>IFERROR(VLOOKUP(Calculations[[#This Row],[Material (choose from dropdown]],MaterialData[#All],5,FALSE),"")</f>
        <v/>
      </c>
      <c r="Z83" s="322">
        <f>IFERROR(((VLOOKUP(Calculations[[#This Row],[Waste type 2]],WasteDisposalEmissions[#All],2,FALSE))*Calculations[[#This Row],[Total Kg]])*VLOOKUP(Calculations[[#This Row],[Waste 1]],WasteScenario[#All],2,FALSE),0)</f>
        <v>0</v>
      </c>
      <c r="AA83" s="322">
        <f>IFERROR((VLOOKUP(Calculations[[#This Row],[Waste type 2]],WasteDisposalEmissions[#All],3,FALSE))*Calculations[[#This Row],[Total Kg]]*VLOOKUP(Calculations[[#This Row],[Waste 1]],WasteScenario[#All],3,FALSE),0)</f>
        <v>0</v>
      </c>
      <c r="AB83" s="322">
        <f>SUM(Calculations[[#This Row],[C3 recyc]:[C3 incin]])</f>
        <v>0</v>
      </c>
      <c r="AC83" s="322">
        <f>IFERROR((VLOOKUP(Calculations[[#This Row],[Waste type 2]],WasteLandfillEmissions[#All],2,FALSE))*Calculations[[#This Row],[Total Kg]]*VLOOKUP(Calculations[[#This Row],[Waste 1]],WasteScenario[#All],4,FALSE),0)</f>
        <v>0</v>
      </c>
      <c r="AD83" s="322">
        <f>IFERROR((VLOOKUP(Calculations[[#This Row],[Waste type 2]],WasteLandfillEmissions[#All],3,FALSE))*Calculations[[#This Row],[Total Kg]]*VLOOKUP(Calculations[[#This Row],[Waste 1]],WasteScenario[#All],4,FALSE),0)</f>
        <v>0</v>
      </c>
      <c r="AE83" s="322">
        <f>SUM(Calculations[[#This Row],[C4 landfill]:[C4 re-use]])</f>
        <v>0</v>
      </c>
      <c r="AF83" s="322">
        <f>IFERROR(VLOOKUP(Calculations[[#This Row],[Material (choose from dropdown]],MaterialData[#All],8,FALSE),0)</f>
        <v>0</v>
      </c>
      <c r="AG83" s="322">
        <f>IFERROR(Calculations[[#This Row],[Total Kg]]*Calculations[[#This Row],[Seq factor]],0)</f>
        <v>0</v>
      </c>
      <c r="AI83" s="322">
        <f>Calculations[[#This Row],[A1-3]]+Calculations[[#This Row],[A4]]+Calculations[[#This Row],[A5]]+Calculations[[#This Row],[B4]]+Calculations[[#This Row],[C2 total]]+Calculations[[#This Row],[C3 total]]+Calculations[[#This Row],[C4 total]]</f>
        <v>0</v>
      </c>
      <c r="AJ83" s="2">
        <f>IFERROR(VLOOKUP(Calculations[[#This Row],[Material (choose from dropdown]],MaterialData[[#Headers],[#Data]],9,FALSE),0)</f>
        <v>0</v>
      </c>
      <c r="AK83" s="4">
        <f>IFERROR(VLOOKUP(Calculations[[#This Row],[Material (choose from dropdown]],MaterialData[[#Headers],[#Data]],10,FALSE),0)</f>
        <v>0</v>
      </c>
      <c r="AL83" s="322">
        <f>IFERROR(Calculations[[#This Row],[Data Quality Score]]*Calculations[[#This Row],[Total Kg]],0)</f>
        <v>0</v>
      </c>
    </row>
    <row r="84" spans="1:38" x14ac:dyDescent="0.3">
      <c r="A84" s="6">
        <f>IFERROR(MaterialsBoQ[[#This Row],[Scope Element]],0)</f>
        <v>0</v>
      </c>
      <c r="B84">
        <f>IFERROR(MaterialsBoQ[[#This Row],[Material ]],"")</f>
        <v>0</v>
      </c>
      <c r="C84">
        <f>IFERROR(MaterialsBoQ[[#This Row],[Unit]],"")</f>
        <v>0</v>
      </c>
      <c r="D84" s="322">
        <f>IFERROR(MaterialsBoQ[[#This Row],[Number]],0)</f>
        <v>0</v>
      </c>
      <c r="E84" s="322">
        <f>IFERROR(MaterialsBoQ[[#This Row],[Kg per unit]],0)</f>
        <v>0</v>
      </c>
      <c r="F84" s="322">
        <f>IFERROR(Calculations[[#This Row],[Number]]*Calculations[[#This Row],[Conversion factor]],0)</f>
        <v>0</v>
      </c>
      <c r="G84" s="322">
        <f>IFERROR(VLOOKUP(Calculations[[#This Row],[Material (choose from dropdown]],MaterialData[#All],7,FALSE),0)</f>
        <v>0</v>
      </c>
      <c r="H84" s="322">
        <f>Calculations[[#This Row],[Total Kg]]*Calculations[[#This Row],[Carbon Factor]]</f>
        <v>0</v>
      </c>
      <c r="I84" t="str">
        <f>IFERROR(VLOOKUP(Calculations[[#This Row],[Material (choose from dropdown]],MaterialData[#All],2,FALSE),"")</f>
        <v/>
      </c>
      <c r="J84" s="322">
        <f>IFERROR(((VLOOKUP(Calculations[[#This Row],[TransportSource]],TransportDistance[],2,FALSE)*'Stage assumptions'!$C$11)+VLOOKUP(Calculations[[#This Row],[TransportSource]],TransportDistance[],3,FALSE)*'Stage assumptions'!$C$12)*Calculations[[#This Row],[Total Kg]],0)</f>
        <v>0</v>
      </c>
      <c r="K84">
        <f>IFERROR(VLOOKUP(Calculations[[#This Row],[Material (choose from dropdown]], MaterialData[#All],3, FALSE),0)</f>
        <v>0</v>
      </c>
      <c r="L84" s="322">
        <f>IFERROR(VLOOKUP(Calculations[[#This Row],[A5type]],A5WastageRate[#All],2,FALSE)*Calculations[[#This Row],[A1-3]],0)</f>
        <v>0</v>
      </c>
      <c r="N84">
        <f>IFERROR(ROUNDUP(50/VLOOKUP(Calculations[[#This Row],[Scope Element]],B4referenceServiceLife[[Tier 2 element]:[Default Service Life]],2, FALSE)-1,0),0)</f>
        <v>0</v>
      </c>
      <c r="O84" s="322">
        <f>IFERROR((Calculations[[#This Row],[A1-3]]+Calculations[[#This Row],[A4]]+Calculations[[#This Row],[A5]]+Calculations[[#This Row],[C2 total]]+Calculations[[#This Row],[C3 total]]+Calculations[[#This Row],[C4 total]])*Calculations[[#This Row],[Replacements]],0)</f>
        <v>0</v>
      </c>
      <c r="S84" t="str">
        <f>IFERROR(VLOOKUP(Calculations[[#This Row],[Material (choose from dropdown]],MaterialData[#All],4,FALSE),"")</f>
        <v/>
      </c>
      <c r="T84" s="322" cm="1">
        <f t="array" ref="T84">IFERROR(VLOOKUP(Calculations[[#This Row],[Waste 1]],WasteScenario[#All],2,FALSE)*'Stage assumptions'!$C$225*WasteTransportMethod[Emissions Factor
kgCO2e/kg.km]*Calculations[[#This Row],[Total Kg]],0)</f>
        <v>0</v>
      </c>
      <c r="U84" s="322" cm="1">
        <f t="array" ref="U84">IFERROR(VLOOKUP(Calculations[[#This Row],[Waste 1]],WasteScenario[#All],3,FALSE)*'Stage assumptions'!$C$224*WasteTransportMethod[Emissions Factor
kgCO2e/kg.km]*Calculations[[#This Row],[Total Kg]],0)</f>
        <v>0</v>
      </c>
      <c r="V84" s="322" cm="1">
        <f t="array" ref="V84">IFERROR(VLOOKUP(Calculations[[#This Row],[Waste 1]],WasteScenario[#All],4,FALSE)*'Stage assumptions'!$C$223*WasteTransportMethod[Emissions Factor
kgCO2e/kg.km]*Calculations[[#This Row],[Total Kg]],0)</f>
        <v>0</v>
      </c>
      <c r="W84" s="322" cm="1">
        <f t="array" ref="W84">IFERROR(VLOOKUP(Calculations[[#This Row],[Waste 1]],WasteScenario[#All],5,FALSE)*'Stage assumptions'!$C$226*WasteTransportMethod[Emissions Factor
kgCO2e/kg.km]*Calculations[[#This Row],[Total Kg]],0)</f>
        <v>0</v>
      </c>
      <c r="X84" s="322">
        <f>SUM(Calculations[[#This Row],[C2 Recycle]:[C2 Reuse]])</f>
        <v>0</v>
      </c>
      <c r="Y84" t="str">
        <f>IFERROR(VLOOKUP(Calculations[[#This Row],[Material (choose from dropdown]],MaterialData[#All],5,FALSE),"")</f>
        <v/>
      </c>
      <c r="Z84" s="322">
        <f>IFERROR(((VLOOKUP(Calculations[[#This Row],[Waste type 2]],WasteDisposalEmissions[#All],2,FALSE))*Calculations[[#This Row],[Total Kg]])*VLOOKUP(Calculations[[#This Row],[Waste 1]],WasteScenario[#All],2,FALSE),0)</f>
        <v>0</v>
      </c>
      <c r="AA84" s="322">
        <f>IFERROR((VLOOKUP(Calculations[[#This Row],[Waste type 2]],WasteDisposalEmissions[#All],3,FALSE))*Calculations[[#This Row],[Total Kg]]*VLOOKUP(Calculations[[#This Row],[Waste 1]],WasteScenario[#All],3,FALSE),0)</f>
        <v>0</v>
      </c>
      <c r="AB84" s="322">
        <f>SUM(Calculations[[#This Row],[C3 recyc]:[C3 incin]])</f>
        <v>0</v>
      </c>
      <c r="AC84" s="322">
        <f>IFERROR((VLOOKUP(Calculations[[#This Row],[Waste type 2]],WasteLandfillEmissions[#All],2,FALSE))*Calculations[[#This Row],[Total Kg]]*VLOOKUP(Calculations[[#This Row],[Waste 1]],WasteScenario[#All],4,FALSE),0)</f>
        <v>0</v>
      </c>
      <c r="AD84" s="322">
        <f>IFERROR((VLOOKUP(Calculations[[#This Row],[Waste type 2]],WasteLandfillEmissions[#All],3,FALSE))*Calculations[[#This Row],[Total Kg]]*VLOOKUP(Calculations[[#This Row],[Waste 1]],WasteScenario[#All],4,FALSE),0)</f>
        <v>0</v>
      </c>
      <c r="AE84" s="322">
        <f>SUM(Calculations[[#This Row],[C4 landfill]:[C4 re-use]])</f>
        <v>0</v>
      </c>
      <c r="AF84" s="322">
        <f>IFERROR(VLOOKUP(Calculations[[#This Row],[Material (choose from dropdown]],MaterialData[#All],8,FALSE),0)</f>
        <v>0</v>
      </c>
      <c r="AG84" s="322">
        <f>IFERROR(Calculations[[#This Row],[Total Kg]]*Calculations[[#This Row],[Seq factor]],0)</f>
        <v>0</v>
      </c>
      <c r="AI84" s="322">
        <f>Calculations[[#This Row],[A1-3]]+Calculations[[#This Row],[A4]]+Calculations[[#This Row],[A5]]+Calculations[[#This Row],[B4]]+Calculations[[#This Row],[C2 total]]+Calculations[[#This Row],[C3 total]]+Calculations[[#This Row],[C4 total]]</f>
        <v>0</v>
      </c>
      <c r="AJ84" s="2">
        <f>IFERROR(VLOOKUP(Calculations[[#This Row],[Material (choose from dropdown]],MaterialData[[#Headers],[#Data]],9,FALSE),0)</f>
        <v>0</v>
      </c>
      <c r="AK84" s="4">
        <f>IFERROR(VLOOKUP(Calculations[[#This Row],[Material (choose from dropdown]],MaterialData[[#Headers],[#Data]],10,FALSE),0)</f>
        <v>0</v>
      </c>
      <c r="AL84" s="322">
        <f>IFERROR(Calculations[[#This Row],[Data Quality Score]]*Calculations[[#This Row],[Total Kg]],0)</f>
        <v>0</v>
      </c>
    </row>
    <row r="85" spans="1:38" x14ac:dyDescent="0.3">
      <c r="A85" s="6">
        <f>IFERROR(MaterialsBoQ[[#This Row],[Scope Element]],0)</f>
        <v>0</v>
      </c>
      <c r="B85">
        <f>IFERROR(MaterialsBoQ[[#This Row],[Material ]],"")</f>
        <v>0</v>
      </c>
      <c r="C85">
        <f>IFERROR(MaterialsBoQ[[#This Row],[Unit]],"")</f>
        <v>0</v>
      </c>
      <c r="D85" s="322">
        <f>IFERROR(MaterialsBoQ[[#This Row],[Number]],0)</f>
        <v>0</v>
      </c>
      <c r="E85" s="322">
        <f>IFERROR(MaterialsBoQ[[#This Row],[Kg per unit]],0)</f>
        <v>0</v>
      </c>
      <c r="F85" s="322">
        <f>IFERROR(Calculations[[#This Row],[Number]]*Calculations[[#This Row],[Conversion factor]],0)</f>
        <v>0</v>
      </c>
      <c r="G85" s="322">
        <f>IFERROR(VLOOKUP(Calculations[[#This Row],[Material (choose from dropdown]],MaterialData[#All],7,FALSE),0)</f>
        <v>0</v>
      </c>
      <c r="H85" s="322">
        <f>Calculations[[#This Row],[Total Kg]]*Calculations[[#This Row],[Carbon Factor]]</f>
        <v>0</v>
      </c>
      <c r="I85" t="str">
        <f>IFERROR(VLOOKUP(Calculations[[#This Row],[Material (choose from dropdown]],MaterialData[#All],2,FALSE),"")</f>
        <v/>
      </c>
      <c r="J85" s="322">
        <f>IFERROR(((VLOOKUP(Calculations[[#This Row],[TransportSource]],TransportDistance[],2,FALSE)*'Stage assumptions'!$C$11)+VLOOKUP(Calculations[[#This Row],[TransportSource]],TransportDistance[],3,FALSE)*'Stage assumptions'!$C$12)*Calculations[[#This Row],[Total Kg]],0)</f>
        <v>0</v>
      </c>
      <c r="K85">
        <f>IFERROR(VLOOKUP(Calculations[[#This Row],[Material (choose from dropdown]], MaterialData[#All],3, FALSE),0)</f>
        <v>0</v>
      </c>
      <c r="L85" s="322">
        <f>IFERROR(VLOOKUP(Calculations[[#This Row],[A5type]],A5WastageRate[#All],2,FALSE)*Calculations[[#This Row],[A1-3]],0)</f>
        <v>0</v>
      </c>
      <c r="N85">
        <f>IFERROR(ROUNDUP(50/VLOOKUP(Calculations[[#This Row],[Scope Element]],B4referenceServiceLife[[Tier 2 element]:[Default Service Life]],2, FALSE)-1,0),0)</f>
        <v>0</v>
      </c>
      <c r="O85" s="322">
        <f>IFERROR((Calculations[[#This Row],[A1-3]]+Calculations[[#This Row],[A4]]+Calculations[[#This Row],[A5]]+Calculations[[#This Row],[C2 total]]+Calculations[[#This Row],[C3 total]]+Calculations[[#This Row],[C4 total]])*Calculations[[#This Row],[Replacements]],0)</f>
        <v>0</v>
      </c>
      <c r="S85" t="str">
        <f>IFERROR(VLOOKUP(Calculations[[#This Row],[Material (choose from dropdown]],MaterialData[#All],4,FALSE),"")</f>
        <v/>
      </c>
      <c r="T85" s="322" cm="1">
        <f t="array" ref="T85">IFERROR(VLOOKUP(Calculations[[#This Row],[Waste 1]],WasteScenario[#All],2,FALSE)*'Stage assumptions'!$C$225*WasteTransportMethod[Emissions Factor
kgCO2e/kg.km]*Calculations[[#This Row],[Total Kg]],0)</f>
        <v>0</v>
      </c>
      <c r="U85" s="322" cm="1">
        <f t="array" ref="U85">IFERROR(VLOOKUP(Calculations[[#This Row],[Waste 1]],WasteScenario[#All],3,FALSE)*'Stage assumptions'!$C$224*WasteTransportMethod[Emissions Factor
kgCO2e/kg.km]*Calculations[[#This Row],[Total Kg]],0)</f>
        <v>0</v>
      </c>
      <c r="V85" s="322" cm="1">
        <f t="array" ref="V85">IFERROR(VLOOKUP(Calculations[[#This Row],[Waste 1]],WasteScenario[#All],4,FALSE)*'Stage assumptions'!$C$223*WasteTransportMethod[Emissions Factor
kgCO2e/kg.km]*Calculations[[#This Row],[Total Kg]],0)</f>
        <v>0</v>
      </c>
      <c r="W85" s="322" cm="1">
        <f t="array" ref="W85">IFERROR(VLOOKUP(Calculations[[#This Row],[Waste 1]],WasteScenario[#All],5,FALSE)*'Stage assumptions'!$C$226*WasteTransportMethod[Emissions Factor
kgCO2e/kg.km]*Calculations[[#This Row],[Total Kg]],0)</f>
        <v>0</v>
      </c>
      <c r="X85" s="322">
        <f>SUM(Calculations[[#This Row],[C2 Recycle]:[C2 Reuse]])</f>
        <v>0</v>
      </c>
      <c r="Y85" t="str">
        <f>IFERROR(VLOOKUP(Calculations[[#This Row],[Material (choose from dropdown]],MaterialData[#All],5,FALSE),"")</f>
        <v/>
      </c>
      <c r="Z85" s="322">
        <f>IFERROR(((VLOOKUP(Calculations[[#This Row],[Waste type 2]],WasteDisposalEmissions[#All],2,FALSE))*Calculations[[#This Row],[Total Kg]])*VLOOKUP(Calculations[[#This Row],[Waste 1]],WasteScenario[#All],2,FALSE),0)</f>
        <v>0</v>
      </c>
      <c r="AA85" s="322">
        <f>IFERROR((VLOOKUP(Calculations[[#This Row],[Waste type 2]],WasteDisposalEmissions[#All],3,FALSE))*Calculations[[#This Row],[Total Kg]]*VLOOKUP(Calculations[[#This Row],[Waste 1]],WasteScenario[#All],3,FALSE),0)</f>
        <v>0</v>
      </c>
      <c r="AB85" s="322">
        <f>SUM(Calculations[[#This Row],[C3 recyc]:[C3 incin]])</f>
        <v>0</v>
      </c>
      <c r="AC85" s="322">
        <f>IFERROR((VLOOKUP(Calculations[[#This Row],[Waste type 2]],WasteLandfillEmissions[#All],2,FALSE))*Calculations[[#This Row],[Total Kg]]*VLOOKUP(Calculations[[#This Row],[Waste 1]],WasteScenario[#All],4,FALSE),0)</f>
        <v>0</v>
      </c>
      <c r="AD85" s="322">
        <f>IFERROR((VLOOKUP(Calculations[[#This Row],[Waste type 2]],WasteLandfillEmissions[#All],3,FALSE))*Calculations[[#This Row],[Total Kg]]*VLOOKUP(Calculations[[#This Row],[Waste 1]],WasteScenario[#All],4,FALSE),0)</f>
        <v>0</v>
      </c>
      <c r="AE85" s="322">
        <f>SUM(Calculations[[#This Row],[C4 landfill]:[C4 re-use]])</f>
        <v>0</v>
      </c>
      <c r="AF85" s="322">
        <f>IFERROR(VLOOKUP(Calculations[[#This Row],[Material (choose from dropdown]],MaterialData[#All],8,FALSE),0)</f>
        <v>0</v>
      </c>
      <c r="AG85" s="322">
        <f>IFERROR(Calculations[[#This Row],[Total Kg]]*Calculations[[#This Row],[Seq factor]],0)</f>
        <v>0</v>
      </c>
      <c r="AI85" s="322">
        <f>Calculations[[#This Row],[A1-3]]+Calculations[[#This Row],[A4]]+Calculations[[#This Row],[A5]]+Calculations[[#This Row],[B4]]+Calculations[[#This Row],[C2 total]]+Calculations[[#This Row],[C3 total]]+Calculations[[#This Row],[C4 total]]</f>
        <v>0</v>
      </c>
      <c r="AJ85" s="2">
        <f>IFERROR(VLOOKUP(Calculations[[#This Row],[Material (choose from dropdown]],MaterialData[[#Headers],[#Data]],9,FALSE),0)</f>
        <v>0</v>
      </c>
      <c r="AK85" s="4">
        <f>IFERROR(VLOOKUP(Calculations[[#This Row],[Material (choose from dropdown]],MaterialData[[#Headers],[#Data]],10,FALSE),0)</f>
        <v>0</v>
      </c>
      <c r="AL85" s="322">
        <f>IFERROR(Calculations[[#This Row],[Data Quality Score]]*Calculations[[#This Row],[Total Kg]],0)</f>
        <v>0</v>
      </c>
    </row>
    <row r="86" spans="1:38" x14ac:dyDescent="0.3">
      <c r="A86" s="6">
        <f>IFERROR(MaterialsBoQ[[#This Row],[Scope Element]],0)</f>
        <v>0</v>
      </c>
      <c r="B86">
        <f>IFERROR(MaterialsBoQ[[#This Row],[Material ]],"")</f>
        <v>0</v>
      </c>
      <c r="C86">
        <f>IFERROR(MaterialsBoQ[[#This Row],[Unit]],"")</f>
        <v>0</v>
      </c>
      <c r="D86" s="322">
        <f>IFERROR(MaterialsBoQ[[#This Row],[Number]],0)</f>
        <v>0</v>
      </c>
      <c r="E86" s="322">
        <f>IFERROR(MaterialsBoQ[[#This Row],[Kg per unit]],0)</f>
        <v>0</v>
      </c>
      <c r="F86" s="322">
        <f>IFERROR(Calculations[[#This Row],[Number]]*Calculations[[#This Row],[Conversion factor]],0)</f>
        <v>0</v>
      </c>
      <c r="G86" s="322">
        <f>IFERROR(VLOOKUP(Calculations[[#This Row],[Material (choose from dropdown]],MaterialData[#All],7,FALSE),0)</f>
        <v>0</v>
      </c>
      <c r="H86" s="322">
        <f>Calculations[[#This Row],[Total Kg]]*Calculations[[#This Row],[Carbon Factor]]</f>
        <v>0</v>
      </c>
      <c r="I86" t="str">
        <f>IFERROR(VLOOKUP(Calculations[[#This Row],[Material (choose from dropdown]],MaterialData[#All],2,FALSE),"")</f>
        <v/>
      </c>
      <c r="J86" s="322">
        <f>IFERROR(((VLOOKUP(Calculations[[#This Row],[TransportSource]],TransportDistance[],2,FALSE)*'Stage assumptions'!$C$11)+VLOOKUP(Calculations[[#This Row],[TransportSource]],TransportDistance[],3,FALSE)*'Stage assumptions'!$C$12)*Calculations[[#This Row],[Total Kg]],0)</f>
        <v>0</v>
      </c>
      <c r="K86">
        <f>IFERROR(VLOOKUP(Calculations[[#This Row],[Material (choose from dropdown]], MaterialData[#All],3, FALSE),0)</f>
        <v>0</v>
      </c>
      <c r="L86" s="322">
        <f>IFERROR(VLOOKUP(Calculations[[#This Row],[A5type]],A5WastageRate[#All],2,FALSE)*Calculations[[#This Row],[A1-3]],0)</f>
        <v>0</v>
      </c>
      <c r="N86">
        <f>IFERROR(ROUNDUP(50/VLOOKUP(Calculations[[#This Row],[Scope Element]],B4referenceServiceLife[[Tier 2 element]:[Default Service Life]],2, FALSE)-1,0),0)</f>
        <v>0</v>
      </c>
      <c r="O86" s="322">
        <f>IFERROR((Calculations[[#This Row],[A1-3]]+Calculations[[#This Row],[A4]]+Calculations[[#This Row],[A5]]+Calculations[[#This Row],[C2 total]]+Calculations[[#This Row],[C3 total]]+Calculations[[#This Row],[C4 total]])*Calculations[[#This Row],[Replacements]],0)</f>
        <v>0</v>
      </c>
      <c r="S86" t="str">
        <f>IFERROR(VLOOKUP(Calculations[[#This Row],[Material (choose from dropdown]],MaterialData[#All],4,FALSE),"")</f>
        <v/>
      </c>
      <c r="T86" s="322" cm="1">
        <f t="array" ref="T86">IFERROR(VLOOKUP(Calculations[[#This Row],[Waste 1]],WasteScenario[#All],2,FALSE)*'Stage assumptions'!$C$225*WasteTransportMethod[Emissions Factor
kgCO2e/kg.km]*Calculations[[#This Row],[Total Kg]],0)</f>
        <v>0</v>
      </c>
      <c r="U86" s="322" cm="1">
        <f t="array" ref="U86">IFERROR(VLOOKUP(Calculations[[#This Row],[Waste 1]],WasteScenario[#All],3,FALSE)*'Stage assumptions'!$C$224*WasteTransportMethod[Emissions Factor
kgCO2e/kg.km]*Calculations[[#This Row],[Total Kg]],0)</f>
        <v>0</v>
      </c>
      <c r="V86" s="322" cm="1">
        <f t="array" ref="V86">IFERROR(VLOOKUP(Calculations[[#This Row],[Waste 1]],WasteScenario[#All],4,FALSE)*'Stage assumptions'!$C$223*WasteTransportMethod[Emissions Factor
kgCO2e/kg.km]*Calculations[[#This Row],[Total Kg]],0)</f>
        <v>0</v>
      </c>
      <c r="W86" s="322" cm="1">
        <f t="array" ref="W86">IFERROR(VLOOKUP(Calculations[[#This Row],[Waste 1]],WasteScenario[#All],5,FALSE)*'Stage assumptions'!$C$226*WasteTransportMethod[Emissions Factor
kgCO2e/kg.km]*Calculations[[#This Row],[Total Kg]],0)</f>
        <v>0</v>
      </c>
      <c r="X86" s="322">
        <f>SUM(Calculations[[#This Row],[C2 Recycle]:[C2 Reuse]])</f>
        <v>0</v>
      </c>
      <c r="Y86" t="str">
        <f>IFERROR(VLOOKUP(Calculations[[#This Row],[Material (choose from dropdown]],MaterialData[#All],5,FALSE),"")</f>
        <v/>
      </c>
      <c r="Z86" s="322">
        <f>IFERROR(((VLOOKUP(Calculations[[#This Row],[Waste type 2]],WasteDisposalEmissions[#All],2,FALSE))*Calculations[[#This Row],[Total Kg]])*VLOOKUP(Calculations[[#This Row],[Waste 1]],WasteScenario[#All],2,FALSE),0)</f>
        <v>0</v>
      </c>
      <c r="AA86" s="322">
        <f>IFERROR((VLOOKUP(Calculations[[#This Row],[Waste type 2]],WasteDisposalEmissions[#All],3,FALSE))*Calculations[[#This Row],[Total Kg]]*VLOOKUP(Calculations[[#This Row],[Waste 1]],WasteScenario[#All],3,FALSE),0)</f>
        <v>0</v>
      </c>
      <c r="AB86" s="322">
        <f>SUM(Calculations[[#This Row],[C3 recyc]:[C3 incin]])</f>
        <v>0</v>
      </c>
      <c r="AC86" s="322">
        <f>IFERROR((VLOOKUP(Calculations[[#This Row],[Waste type 2]],WasteLandfillEmissions[#All],2,FALSE))*Calculations[[#This Row],[Total Kg]]*VLOOKUP(Calculations[[#This Row],[Waste 1]],WasteScenario[#All],4,FALSE),0)</f>
        <v>0</v>
      </c>
      <c r="AD86" s="322">
        <f>IFERROR((VLOOKUP(Calculations[[#This Row],[Waste type 2]],WasteLandfillEmissions[#All],3,FALSE))*Calculations[[#This Row],[Total Kg]]*VLOOKUP(Calculations[[#This Row],[Waste 1]],WasteScenario[#All],4,FALSE),0)</f>
        <v>0</v>
      </c>
      <c r="AE86" s="322">
        <f>SUM(Calculations[[#This Row],[C4 landfill]:[C4 re-use]])</f>
        <v>0</v>
      </c>
      <c r="AF86" s="322">
        <f>IFERROR(VLOOKUP(Calculations[[#This Row],[Material (choose from dropdown]],MaterialData[#All],8,FALSE),0)</f>
        <v>0</v>
      </c>
      <c r="AG86" s="322">
        <f>IFERROR(Calculations[[#This Row],[Total Kg]]*Calculations[[#This Row],[Seq factor]],0)</f>
        <v>0</v>
      </c>
      <c r="AI86" s="322">
        <f>Calculations[[#This Row],[A1-3]]+Calculations[[#This Row],[A4]]+Calculations[[#This Row],[A5]]+Calculations[[#This Row],[B4]]+Calculations[[#This Row],[C2 total]]+Calculations[[#This Row],[C3 total]]+Calculations[[#This Row],[C4 total]]</f>
        <v>0</v>
      </c>
      <c r="AJ86" s="2">
        <f>IFERROR(VLOOKUP(Calculations[[#This Row],[Material (choose from dropdown]],MaterialData[[#Headers],[#Data]],9,FALSE),0)</f>
        <v>0</v>
      </c>
      <c r="AK86" s="4">
        <f>IFERROR(VLOOKUP(Calculations[[#This Row],[Material (choose from dropdown]],MaterialData[[#Headers],[#Data]],10,FALSE),0)</f>
        <v>0</v>
      </c>
      <c r="AL86" s="322">
        <f>IFERROR(Calculations[[#This Row],[Data Quality Score]]*Calculations[[#This Row],[Total Kg]],0)</f>
        <v>0</v>
      </c>
    </row>
    <row r="87" spans="1:38" x14ac:dyDescent="0.3">
      <c r="A87" s="6">
        <f>IFERROR(MaterialsBoQ[[#This Row],[Scope Element]],0)</f>
        <v>0</v>
      </c>
      <c r="B87">
        <f>IFERROR(MaterialsBoQ[[#This Row],[Material ]],"")</f>
        <v>0</v>
      </c>
      <c r="C87">
        <f>IFERROR(MaterialsBoQ[[#This Row],[Unit]],"")</f>
        <v>0</v>
      </c>
      <c r="D87" s="322">
        <f>IFERROR(MaterialsBoQ[[#This Row],[Number]],0)</f>
        <v>0</v>
      </c>
      <c r="E87" s="322">
        <f>IFERROR(MaterialsBoQ[[#This Row],[Kg per unit]],0)</f>
        <v>0</v>
      </c>
      <c r="F87" s="322">
        <f>IFERROR(Calculations[[#This Row],[Number]]*Calculations[[#This Row],[Conversion factor]],0)</f>
        <v>0</v>
      </c>
      <c r="G87" s="322">
        <f>IFERROR(VLOOKUP(Calculations[[#This Row],[Material (choose from dropdown]],MaterialData[#All],7,FALSE),0)</f>
        <v>0</v>
      </c>
      <c r="H87" s="322">
        <f>Calculations[[#This Row],[Total Kg]]*Calculations[[#This Row],[Carbon Factor]]</f>
        <v>0</v>
      </c>
      <c r="I87" t="str">
        <f>IFERROR(VLOOKUP(Calculations[[#This Row],[Material (choose from dropdown]],MaterialData[#All],2,FALSE),"")</f>
        <v/>
      </c>
      <c r="J87" s="322">
        <f>IFERROR(((VLOOKUP(Calculations[[#This Row],[TransportSource]],TransportDistance[],2,FALSE)*'Stage assumptions'!$C$11)+VLOOKUP(Calculations[[#This Row],[TransportSource]],TransportDistance[],3,FALSE)*'Stage assumptions'!$C$12)*Calculations[[#This Row],[Total Kg]],0)</f>
        <v>0</v>
      </c>
      <c r="K87">
        <f>IFERROR(VLOOKUP(Calculations[[#This Row],[Material (choose from dropdown]], MaterialData[#All],3, FALSE),0)</f>
        <v>0</v>
      </c>
      <c r="L87" s="322">
        <f>IFERROR(VLOOKUP(Calculations[[#This Row],[A5type]],A5WastageRate[#All],2,FALSE)*Calculations[[#This Row],[A1-3]],0)</f>
        <v>0</v>
      </c>
      <c r="N87">
        <f>IFERROR(ROUNDUP(50/VLOOKUP(Calculations[[#This Row],[Scope Element]],B4referenceServiceLife[[Tier 2 element]:[Default Service Life]],2, FALSE)-1,0),0)</f>
        <v>0</v>
      </c>
      <c r="O87" s="322">
        <f>IFERROR((Calculations[[#This Row],[A1-3]]+Calculations[[#This Row],[A4]]+Calculations[[#This Row],[A5]]+Calculations[[#This Row],[C2 total]]+Calculations[[#This Row],[C3 total]]+Calculations[[#This Row],[C4 total]])*Calculations[[#This Row],[Replacements]],0)</f>
        <v>0</v>
      </c>
      <c r="S87" t="str">
        <f>IFERROR(VLOOKUP(Calculations[[#This Row],[Material (choose from dropdown]],MaterialData[#All],4,FALSE),"")</f>
        <v/>
      </c>
      <c r="T87" s="322" cm="1">
        <f t="array" ref="T87">IFERROR(VLOOKUP(Calculations[[#This Row],[Waste 1]],WasteScenario[#All],2,FALSE)*'Stage assumptions'!$C$225*WasteTransportMethod[Emissions Factor
kgCO2e/kg.km]*Calculations[[#This Row],[Total Kg]],0)</f>
        <v>0</v>
      </c>
      <c r="U87" s="322" cm="1">
        <f t="array" ref="U87">IFERROR(VLOOKUP(Calculations[[#This Row],[Waste 1]],WasteScenario[#All],3,FALSE)*'Stage assumptions'!$C$224*WasteTransportMethod[Emissions Factor
kgCO2e/kg.km]*Calculations[[#This Row],[Total Kg]],0)</f>
        <v>0</v>
      </c>
      <c r="V87" s="322" cm="1">
        <f t="array" ref="V87">IFERROR(VLOOKUP(Calculations[[#This Row],[Waste 1]],WasteScenario[#All],4,FALSE)*'Stage assumptions'!$C$223*WasteTransportMethod[Emissions Factor
kgCO2e/kg.km]*Calculations[[#This Row],[Total Kg]],0)</f>
        <v>0</v>
      </c>
      <c r="W87" s="322" cm="1">
        <f t="array" ref="W87">IFERROR(VLOOKUP(Calculations[[#This Row],[Waste 1]],WasteScenario[#All],5,FALSE)*'Stage assumptions'!$C$226*WasteTransportMethod[Emissions Factor
kgCO2e/kg.km]*Calculations[[#This Row],[Total Kg]],0)</f>
        <v>0</v>
      </c>
      <c r="X87" s="322">
        <f>SUM(Calculations[[#This Row],[C2 Recycle]:[C2 Reuse]])</f>
        <v>0</v>
      </c>
      <c r="Y87" t="str">
        <f>IFERROR(VLOOKUP(Calculations[[#This Row],[Material (choose from dropdown]],MaterialData[#All],5,FALSE),"")</f>
        <v/>
      </c>
      <c r="Z87" s="322">
        <f>IFERROR(((VLOOKUP(Calculations[[#This Row],[Waste type 2]],WasteDisposalEmissions[#All],2,FALSE))*Calculations[[#This Row],[Total Kg]])*VLOOKUP(Calculations[[#This Row],[Waste 1]],WasteScenario[#All],2,FALSE),0)</f>
        <v>0</v>
      </c>
      <c r="AA87" s="322">
        <f>IFERROR((VLOOKUP(Calculations[[#This Row],[Waste type 2]],WasteDisposalEmissions[#All],3,FALSE))*Calculations[[#This Row],[Total Kg]]*VLOOKUP(Calculations[[#This Row],[Waste 1]],WasteScenario[#All],3,FALSE),0)</f>
        <v>0</v>
      </c>
      <c r="AB87" s="322">
        <f>SUM(Calculations[[#This Row],[C3 recyc]:[C3 incin]])</f>
        <v>0</v>
      </c>
      <c r="AC87" s="322">
        <f>IFERROR((VLOOKUP(Calculations[[#This Row],[Waste type 2]],WasteLandfillEmissions[#All],2,FALSE))*Calculations[[#This Row],[Total Kg]]*VLOOKUP(Calculations[[#This Row],[Waste 1]],WasteScenario[#All],4,FALSE),0)</f>
        <v>0</v>
      </c>
      <c r="AD87" s="322">
        <f>IFERROR((VLOOKUP(Calculations[[#This Row],[Waste type 2]],WasteLandfillEmissions[#All],3,FALSE))*Calculations[[#This Row],[Total Kg]]*VLOOKUP(Calculations[[#This Row],[Waste 1]],WasteScenario[#All],4,FALSE),0)</f>
        <v>0</v>
      </c>
      <c r="AE87" s="322">
        <f>SUM(Calculations[[#This Row],[C4 landfill]:[C4 re-use]])</f>
        <v>0</v>
      </c>
      <c r="AF87" s="322">
        <f>IFERROR(VLOOKUP(Calculations[[#This Row],[Material (choose from dropdown]],MaterialData[#All],8,FALSE),0)</f>
        <v>0</v>
      </c>
      <c r="AG87" s="322">
        <f>IFERROR(Calculations[[#This Row],[Total Kg]]*Calculations[[#This Row],[Seq factor]],0)</f>
        <v>0</v>
      </c>
      <c r="AI87" s="322">
        <f>Calculations[[#This Row],[A1-3]]+Calculations[[#This Row],[A4]]+Calculations[[#This Row],[A5]]+Calculations[[#This Row],[B4]]+Calculations[[#This Row],[C2 total]]+Calculations[[#This Row],[C3 total]]+Calculations[[#This Row],[C4 total]]</f>
        <v>0</v>
      </c>
      <c r="AJ87" s="2">
        <f>IFERROR(VLOOKUP(Calculations[[#This Row],[Material (choose from dropdown]],MaterialData[[#Headers],[#Data]],9,FALSE),0)</f>
        <v>0</v>
      </c>
      <c r="AK87" s="4">
        <f>IFERROR(VLOOKUP(Calculations[[#This Row],[Material (choose from dropdown]],MaterialData[[#Headers],[#Data]],10,FALSE),0)</f>
        <v>0</v>
      </c>
      <c r="AL87" s="322">
        <f>IFERROR(Calculations[[#This Row],[Data Quality Score]]*Calculations[[#This Row],[Total Kg]],0)</f>
        <v>0</v>
      </c>
    </row>
    <row r="88" spans="1:38" x14ac:dyDescent="0.3">
      <c r="A88" s="6">
        <f>IFERROR(MaterialsBoQ[[#This Row],[Scope Element]],0)</f>
        <v>0</v>
      </c>
      <c r="B88">
        <f>IFERROR(MaterialsBoQ[[#This Row],[Material ]],"")</f>
        <v>0</v>
      </c>
      <c r="C88">
        <f>IFERROR(MaterialsBoQ[[#This Row],[Unit]],"")</f>
        <v>0</v>
      </c>
      <c r="D88" s="322">
        <f>IFERROR(MaterialsBoQ[[#This Row],[Number]],0)</f>
        <v>0</v>
      </c>
      <c r="E88" s="322">
        <f>IFERROR(MaterialsBoQ[[#This Row],[Kg per unit]],0)</f>
        <v>0</v>
      </c>
      <c r="F88" s="322">
        <f>IFERROR(Calculations[[#This Row],[Number]]*Calculations[[#This Row],[Conversion factor]],0)</f>
        <v>0</v>
      </c>
      <c r="G88" s="322">
        <f>IFERROR(VLOOKUP(Calculations[[#This Row],[Material (choose from dropdown]],MaterialData[#All],7,FALSE),0)</f>
        <v>0</v>
      </c>
      <c r="H88" s="322">
        <f>Calculations[[#This Row],[Total Kg]]*Calculations[[#This Row],[Carbon Factor]]</f>
        <v>0</v>
      </c>
      <c r="I88" t="str">
        <f>IFERROR(VLOOKUP(Calculations[[#This Row],[Material (choose from dropdown]],MaterialData[#All],2,FALSE),"")</f>
        <v/>
      </c>
      <c r="J88" s="322">
        <f>IFERROR(((VLOOKUP(Calculations[[#This Row],[TransportSource]],TransportDistance[],2,FALSE)*'Stage assumptions'!$C$11)+VLOOKUP(Calculations[[#This Row],[TransportSource]],TransportDistance[],3,FALSE)*'Stage assumptions'!$C$12)*Calculations[[#This Row],[Total Kg]],0)</f>
        <v>0</v>
      </c>
      <c r="K88">
        <f>IFERROR(VLOOKUP(Calculations[[#This Row],[Material (choose from dropdown]], MaterialData[#All],3, FALSE),0)</f>
        <v>0</v>
      </c>
      <c r="L88" s="322">
        <f>IFERROR(VLOOKUP(Calculations[[#This Row],[A5type]],A5WastageRate[#All],2,FALSE)*Calculations[[#This Row],[A1-3]],0)</f>
        <v>0</v>
      </c>
      <c r="N88">
        <f>IFERROR(ROUNDUP(50/VLOOKUP(Calculations[[#This Row],[Scope Element]],B4referenceServiceLife[[Tier 2 element]:[Default Service Life]],2, FALSE)-1,0),0)</f>
        <v>0</v>
      </c>
      <c r="O88" s="322">
        <f>IFERROR((Calculations[[#This Row],[A1-3]]+Calculations[[#This Row],[A4]]+Calculations[[#This Row],[A5]]+Calculations[[#This Row],[C2 total]]+Calculations[[#This Row],[C3 total]]+Calculations[[#This Row],[C4 total]])*Calculations[[#This Row],[Replacements]],0)</f>
        <v>0</v>
      </c>
      <c r="S88" t="str">
        <f>IFERROR(VLOOKUP(Calculations[[#This Row],[Material (choose from dropdown]],MaterialData[#All],4,FALSE),"")</f>
        <v/>
      </c>
      <c r="T88" s="322" cm="1">
        <f t="array" ref="T88">IFERROR(VLOOKUP(Calculations[[#This Row],[Waste 1]],WasteScenario[#All],2,FALSE)*'Stage assumptions'!$C$225*WasteTransportMethod[Emissions Factor
kgCO2e/kg.km]*Calculations[[#This Row],[Total Kg]],0)</f>
        <v>0</v>
      </c>
      <c r="U88" s="322" cm="1">
        <f t="array" ref="U88">IFERROR(VLOOKUP(Calculations[[#This Row],[Waste 1]],WasteScenario[#All],3,FALSE)*'Stage assumptions'!$C$224*WasteTransportMethod[Emissions Factor
kgCO2e/kg.km]*Calculations[[#This Row],[Total Kg]],0)</f>
        <v>0</v>
      </c>
      <c r="V88" s="322" cm="1">
        <f t="array" ref="V88">IFERROR(VLOOKUP(Calculations[[#This Row],[Waste 1]],WasteScenario[#All],4,FALSE)*'Stage assumptions'!$C$223*WasteTransportMethod[Emissions Factor
kgCO2e/kg.km]*Calculations[[#This Row],[Total Kg]],0)</f>
        <v>0</v>
      </c>
      <c r="W88" s="322" cm="1">
        <f t="array" ref="W88">IFERROR(VLOOKUP(Calculations[[#This Row],[Waste 1]],WasteScenario[#All],5,FALSE)*'Stage assumptions'!$C$226*WasteTransportMethod[Emissions Factor
kgCO2e/kg.km]*Calculations[[#This Row],[Total Kg]],0)</f>
        <v>0</v>
      </c>
      <c r="X88" s="322">
        <f>SUM(Calculations[[#This Row],[C2 Recycle]:[C2 Reuse]])</f>
        <v>0</v>
      </c>
      <c r="Y88" t="str">
        <f>IFERROR(VLOOKUP(Calculations[[#This Row],[Material (choose from dropdown]],MaterialData[#All],5,FALSE),"")</f>
        <v/>
      </c>
      <c r="Z88" s="322">
        <f>IFERROR(((VLOOKUP(Calculations[[#This Row],[Waste type 2]],WasteDisposalEmissions[#All],2,FALSE))*Calculations[[#This Row],[Total Kg]])*VLOOKUP(Calculations[[#This Row],[Waste 1]],WasteScenario[#All],2,FALSE),0)</f>
        <v>0</v>
      </c>
      <c r="AA88" s="322">
        <f>IFERROR((VLOOKUP(Calculations[[#This Row],[Waste type 2]],WasteDisposalEmissions[#All],3,FALSE))*Calculations[[#This Row],[Total Kg]]*VLOOKUP(Calculations[[#This Row],[Waste 1]],WasteScenario[#All],3,FALSE),0)</f>
        <v>0</v>
      </c>
      <c r="AB88" s="322">
        <f>SUM(Calculations[[#This Row],[C3 recyc]:[C3 incin]])</f>
        <v>0</v>
      </c>
      <c r="AC88" s="322">
        <f>IFERROR((VLOOKUP(Calculations[[#This Row],[Waste type 2]],WasteLandfillEmissions[#All],2,FALSE))*Calculations[[#This Row],[Total Kg]]*VLOOKUP(Calculations[[#This Row],[Waste 1]],WasteScenario[#All],4,FALSE),0)</f>
        <v>0</v>
      </c>
      <c r="AD88" s="322">
        <f>IFERROR((VLOOKUP(Calculations[[#This Row],[Waste type 2]],WasteLandfillEmissions[#All],3,FALSE))*Calculations[[#This Row],[Total Kg]]*VLOOKUP(Calculations[[#This Row],[Waste 1]],WasteScenario[#All],4,FALSE),0)</f>
        <v>0</v>
      </c>
      <c r="AE88" s="322">
        <f>SUM(Calculations[[#This Row],[C4 landfill]:[C4 re-use]])</f>
        <v>0</v>
      </c>
      <c r="AF88" s="322">
        <f>IFERROR(VLOOKUP(Calculations[[#This Row],[Material (choose from dropdown]],MaterialData[#All],8,FALSE),0)</f>
        <v>0</v>
      </c>
      <c r="AG88" s="322">
        <f>IFERROR(Calculations[[#This Row],[Total Kg]]*Calculations[[#This Row],[Seq factor]],0)</f>
        <v>0</v>
      </c>
      <c r="AI88" s="322">
        <f>Calculations[[#This Row],[A1-3]]+Calculations[[#This Row],[A4]]+Calculations[[#This Row],[A5]]+Calculations[[#This Row],[B4]]+Calculations[[#This Row],[C2 total]]+Calculations[[#This Row],[C3 total]]+Calculations[[#This Row],[C4 total]]</f>
        <v>0</v>
      </c>
      <c r="AJ88" s="2">
        <f>IFERROR(VLOOKUP(Calculations[[#This Row],[Material (choose from dropdown]],MaterialData[[#Headers],[#Data]],9,FALSE),0)</f>
        <v>0</v>
      </c>
      <c r="AK88" s="4">
        <f>IFERROR(VLOOKUP(Calculations[[#This Row],[Material (choose from dropdown]],MaterialData[[#Headers],[#Data]],10,FALSE),0)</f>
        <v>0</v>
      </c>
      <c r="AL88" s="322">
        <f>IFERROR(Calculations[[#This Row],[Data Quality Score]]*Calculations[[#This Row],[Total Kg]],0)</f>
        <v>0</v>
      </c>
    </row>
    <row r="89" spans="1:38" x14ac:dyDescent="0.3">
      <c r="A89" s="6">
        <f>IFERROR(MaterialsBoQ[[#This Row],[Scope Element]],0)</f>
        <v>0</v>
      </c>
      <c r="B89">
        <f>IFERROR(MaterialsBoQ[[#This Row],[Material ]],"")</f>
        <v>0</v>
      </c>
      <c r="C89">
        <f>IFERROR(MaterialsBoQ[[#This Row],[Unit]],"")</f>
        <v>0</v>
      </c>
      <c r="D89" s="322">
        <f>IFERROR(MaterialsBoQ[[#This Row],[Number]],0)</f>
        <v>0</v>
      </c>
      <c r="E89" s="322">
        <f>IFERROR(MaterialsBoQ[[#This Row],[Kg per unit]],0)</f>
        <v>0</v>
      </c>
      <c r="F89" s="322">
        <f>IFERROR(Calculations[[#This Row],[Number]]*Calculations[[#This Row],[Conversion factor]],0)</f>
        <v>0</v>
      </c>
      <c r="G89" s="322">
        <f>IFERROR(VLOOKUP(Calculations[[#This Row],[Material (choose from dropdown]],MaterialData[#All],7,FALSE),0)</f>
        <v>0</v>
      </c>
      <c r="H89" s="322">
        <f>Calculations[[#This Row],[Total Kg]]*Calculations[[#This Row],[Carbon Factor]]</f>
        <v>0</v>
      </c>
      <c r="I89" t="str">
        <f>IFERROR(VLOOKUP(Calculations[[#This Row],[Material (choose from dropdown]],MaterialData[#All],2,FALSE),"")</f>
        <v/>
      </c>
      <c r="J89" s="322">
        <f>IFERROR(((VLOOKUP(Calculations[[#This Row],[TransportSource]],TransportDistance[],2,FALSE)*'Stage assumptions'!$C$11)+VLOOKUP(Calculations[[#This Row],[TransportSource]],TransportDistance[],3,FALSE)*'Stage assumptions'!$C$12)*Calculations[[#This Row],[Total Kg]],0)</f>
        <v>0</v>
      </c>
      <c r="K89">
        <f>IFERROR(VLOOKUP(Calculations[[#This Row],[Material (choose from dropdown]], MaterialData[#All],3, FALSE),0)</f>
        <v>0</v>
      </c>
      <c r="L89" s="322">
        <f>IFERROR(VLOOKUP(Calculations[[#This Row],[A5type]],A5WastageRate[#All],2,FALSE)*Calculations[[#This Row],[A1-3]],0)</f>
        <v>0</v>
      </c>
      <c r="N89">
        <f>IFERROR(ROUNDUP(50/VLOOKUP(Calculations[[#This Row],[Scope Element]],B4referenceServiceLife[[Tier 2 element]:[Default Service Life]],2, FALSE)-1,0),0)</f>
        <v>0</v>
      </c>
      <c r="O89" s="322">
        <f>IFERROR((Calculations[[#This Row],[A1-3]]+Calculations[[#This Row],[A4]]+Calculations[[#This Row],[A5]]+Calculations[[#This Row],[C2 total]]+Calculations[[#This Row],[C3 total]]+Calculations[[#This Row],[C4 total]])*Calculations[[#This Row],[Replacements]],0)</f>
        <v>0</v>
      </c>
      <c r="S89" t="str">
        <f>IFERROR(VLOOKUP(Calculations[[#This Row],[Material (choose from dropdown]],MaterialData[#All],4,FALSE),"")</f>
        <v/>
      </c>
      <c r="T89" s="322" cm="1">
        <f t="array" ref="T89">IFERROR(VLOOKUP(Calculations[[#This Row],[Waste 1]],WasteScenario[#All],2,FALSE)*'Stage assumptions'!$C$225*WasteTransportMethod[Emissions Factor
kgCO2e/kg.km]*Calculations[[#This Row],[Total Kg]],0)</f>
        <v>0</v>
      </c>
      <c r="U89" s="322" cm="1">
        <f t="array" ref="U89">IFERROR(VLOOKUP(Calculations[[#This Row],[Waste 1]],WasteScenario[#All],3,FALSE)*'Stage assumptions'!$C$224*WasteTransportMethod[Emissions Factor
kgCO2e/kg.km]*Calculations[[#This Row],[Total Kg]],0)</f>
        <v>0</v>
      </c>
      <c r="V89" s="322" cm="1">
        <f t="array" ref="V89">IFERROR(VLOOKUP(Calculations[[#This Row],[Waste 1]],WasteScenario[#All],4,FALSE)*'Stage assumptions'!$C$223*WasteTransportMethod[Emissions Factor
kgCO2e/kg.km]*Calculations[[#This Row],[Total Kg]],0)</f>
        <v>0</v>
      </c>
      <c r="W89" s="322" cm="1">
        <f t="array" ref="W89">IFERROR(VLOOKUP(Calculations[[#This Row],[Waste 1]],WasteScenario[#All],5,FALSE)*'Stage assumptions'!$C$226*WasteTransportMethod[Emissions Factor
kgCO2e/kg.km]*Calculations[[#This Row],[Total Kg]],0)</f>
        <v>0</v>
      </c>
      <c r="X89" s="322">
        <f>SUM(Calculations[[#This Row],[C2 Recycle]:[C2 Reuse]])</f>
        <v>0</v>
      </c>
      <c r="Y89" t="str">
        <f>IFERROR(VLOOKUP(Calculations[[#This Row],[Material (choose from dropdown]],MaterialData[#All],5,FALSE),"")</f>
        <v/>
      </c>
      <c r="Z89" s="322">
        <f>IFERROR(((VLOOKUP(Calculations[[#This Row],[Waste type 2]],WasteDisposalEmissions[#All],2,FALSE))*Calculations[[#This Row],[Total Kg]])*VLOOKUP(Calculations[[#This Row],[Waste 1]],WasteScenario[#All],2,FALSE),0)</f>
        <v>0</v>
      </c>
      <c r="AA89" s="322">
        <f>IFERROR((VLOOKUP(Calculations[[#This Row],[Waste type 2]],WasteDisposalEmissions[#All],3,FALSE))*Calculations[[#This Row],[Total Kg]]*VLOOKUP(Calculations[[#This Row],[Waste 1]],WasteScenario[#All],3,FALSE),0)</f>
        <v>0</v>
      </c>
      <c r="AB89" s="322">
        <f>SUM(Calculations[[#This Row],[C3 recyc]:[C3 incin]])</f>
        <v>0</v>
      </c>
      <c r="AC89" s="322">
        <f>IFERROR((VLOOKUP(Calculations[[#This Row],[Waste type 2]],WasteLandfillEmissions[#All],2,FALSE))*Calculations[[#This Row],[Total Kg]]*VLOOKUP(Calculations[[#This Row],[Waste 1]],WasteScenario[#All],4,FALSE),0)</f>
        <v>0</v>
      </c>
      <c r="AD89" s="322">
        <f>IFERROR((VLOOKUP(Calculations[[#This Row],[Waste type 2]],WasteLandfillEmissions[#All],3,FALSE))*Calculations[[#This Row],[Total Kg]]*VLOOKUP(Calculations[[#This Row],[Waste 1]],WasteScenario[#All],4,FALSE),0)</f>
        <v>0</v>
      </c>
      <c r="AE89" s="322">
        <f>SUM(Calculations[[#This Row],[C4 landfill]:[C4 re-use]])</f>
        <v>0</v>
      </c>
      <c r="AF89" s="322">
        <f>IFERROR(VLOOKUP(Calculations[[#This Row],[Material (choose from dropdown]],MaterialData[#All],8,FALSE),0)</f>
        <v>0</v>
      </c>
      <c r="AG89" s="322">
        <f>IFERROR(Calculations[[#This Row],[Total Kg]]*Calculations[[#This Row],[Seq factor]],0)</f>
        <v>0</v>
      </c>
      <c r="AI89" s="322">
        <f>Calculations[[#This Row],[A1-3]]+Calculations[[#This Row],[A4]]+Calculations[[#This Row],[A5]]+Calculations[[#This Row],[B4]]+Calculations[[#This Row],[C2 total]]+Calculations[[#This Row],[C3 total]]+Calculations[[#This Row],[C4 total]]</f>
        <v>0</v>
      </c>
      <c r="AJ89" s="2">
        <f>IFERROR(VLOOKUP(Calculations[[#This Row],[Material (choose from dropdown]],MaterialData[[#Headers],[#Data]],9,FALSE),0)</f>
        <v>0</v>
      </c>
      <c r="AK89" s="4">
        <f>IFERROR(VLOOKUP(Calculations[[#This Row],[Material (choose from dropdown]],MaterialData[[#Headers],[#Data]],10,FALSE),0)</f>
        <v>0</v>
      </c>
      <c r="AL89" s="322">
        <f>IFERROR(Calculations[[#This Row],[Data Quality Score]]*Calculations[[#This Row],[Total Kg]],0)</f>
        <v>0</v>
      </c>
    </row>
    <row r="90" spans="1:38" x14ac:dyDescent="0.3">
      <c r="A90" s="6">
        <f>IFERROR(MaterialsBoQ[[#This Row],[Scope Element]],0)</f>
        <v>0</v>
      </c>
      <c r="B90">
        <f>IFERROR(MaterialsBoQ[[#This Row],[Material ]],"")</f>
        <v>0</v>
      </c>
      <c r="C90">
        <f>IFERROR(MaterialsBoQ[[#This Row],[Unit]],"")</f>
        <v>0</v>
      </c>
      <c r="D90" s="322">
        <f>IFERROR(MaterialsBoQ[[#This Row],[Number]],0)</f>
        <v>0</v>
      </c>
      <c r="E90" s="322">
        <f>IFERROR(MaterialsBoQ[[#This Row],[Kg per unit]],0)</f>
        <v>0</v>
      </c>
      <c r="F90" s="322">
        <f>IFERROR(Calculations[[#This Row],[Number]]*Calculations[[#This Row],[Conversion factor]],0)</f>
        <v>0</v>
      </c>
      <c r="G90" s="322">
        <f>IFERROR(VLOOKUP(Calculations[[#This Row],[Material (choose from dropdown]],MaterialData[#All],7,FALSE),0)</f>
        <v>0</v>
      </c>
      <c r="H90" s="322">
        <f>Calculations[[#This Row],[Total Kg]]*Calculations[[#This Row],[Carbon Factor]]</f>
        <v>0</v>
      </c>
      <c r="I90" t="str">
        <f>IFERROR(VLOOKUP(Calculations[[#This Row],[Material (choose from dropdown]],MaterialData[#All],2,FALSE),"")</f>
        <v/>
      </c>
      <c r="J90" s="322">
        <f>IFERROR(((VLOOKUP(Calculations[[#This Row],[TransportSource]],TransportDistance[],2,FALSE)*'Stage assumptions'!$C$11)+VLOOKUP(Calculations[[#This Row],[TransportSource]],TransportDistance[],3,FALSE)*'Stage assumptions'!$C$12)*Calculations[[#This Row],[Total Kg]],0)</f>
        <v>0</v>
      </c>
      <c r="K90">
        <f>IFERROR(VLOOKUP(Calculations[[#This Row],[Material (choose from dropdown]], MaterialData[#All],3, FALSE),0)</f>
        <v>0</v>
      </c>
      <c r="L90" s="322">
        <f>IFERROR(VLOOKUP(Calculations[[#This Row],[A5type]],A5WastageRate[#All],2,FALSE)*Calculations[[#This Row],[A1-3]],0)</f>
        <v>0</v>
      </c>
      <c r="N90">
        <f>IFERROR(ROUNDUP(50/VLOOKUP(Calculations[[#This Row],[Scope Element]],B4referenceServiceLife[[Tier 2 element]:[Default Service Life]],2, FALSE)-1,0),0)</f>
        <v>0</v>
      </c>
      <c r="O90" s="322">
        <f>IFERROR((Calculations[[#This Row],[A1-3]]+Calculations[[#This Row],[A4]]+Calculations[[#This Row],[A5]]+Calculations[[#This Row],[C2 total]]+Calculations[[#This Row],[C3 total]]+Calculations[[#This Row],[C4 total]])*Calculations[[#This Row],[Replacements]],0)</f>
        <v>0</v>
      </c>
      <c r="S90" t="str">
        <f>IFERROR(VLOOKUP(Calculations[[#This Row],[Material (choose from dropdown]],MaterialData[#All],4,FALSE),"")</f>
        <v/>
      </c>
      <c r="T90" s="322" cm="1">
        <f t="array" ref="T90">IFERROR(VLOOKUP(Calculations[[#This Row],[Waste 1]],WasteScenario[#All],2,FALSE)*'Stage assumptions'!$C$225*WasteTransportMethod[Emissions Factor
kgCO2e/kg.km]*Calculations[[#This Row],[Total Kg]],0)</f>
        <v>0</v>
      </c>
      <c r="U90" s="322" cm="1">
        <f t="array" ref="U90">IFERROR(VLOOKUP(Calculations[[#This Row],[Waste 1]],WasteScenario[#All],3,FALSE)*'Stage assumptions'!$C$224*WasteTransportMethod[Emissions Factor
kgCO2e/kg.km]*Calculations[[#This Row],[Total Kg]],0)</f>
        <v>0</v>
      </c>
      <c r="V90" s="322" cm="1">
        <f t="array" ref="V90">IFERROR(VLOOKUP(Calculations[[#This Row],[Waste 1]],WasteScenario[#All],4,FALSE)*'Stage assumptions'!$C$223*WasteTransportMethod[Emissions Factor
kgCO2e/kg.km]*Calculations[[#This Row],[Total Kg]],0)</f>
        <v>0</v>
      </c>
      <c r="W90" s="322" cm="1">
        <f t="array" ref="W90">IFERROR(VLOOKUP(Calculations[[#This Row],[Waste 1]],WasteScenario[#All],5,FALSE)*'Stage assumptions'!$C$226*WasteTransportMethod[Emissions Factor
kgCO2e/kg.km]*Calculations[[#This Row],[Total Kg]],0)</f>
        <v>0</v>
      </c>
      <c r="X90" s="322">
        <f>SUM(Calculations[[#This Row],[C2 Recycle]:[C2 Reuse]])</f>
        <v>0</v>
      </c>
      <c r="Y90" t="str">
        <f>IFERROR(VLOOKUP(Calculations[[#This Row],[Material (choose from dropdown]],MaterialData[#All],5,FALSE),"")</f>
        <v/>
      </c>
      <c r="Z90" s="322">
        <f>IFERROR(((VLOOKUP(Calculations[[#This Row],[Waste type 2]],WasteDisposalEmissions[#All],2,FALSE))*Calculations[[#This Row],[Total Kg]])*VLOOKUP(Calculations[[#This Row],[Waste 1]],WasteScenario[#All],2,FALSE),0)</f>
        <v>0</v>
      </c>
      <c r="AA90" s="322">
        <f>IFERROR((VLOOKUP(Calculations[[#This Row],[Waste type 2]],WasteDisposalEmissions[#All],3,FALSE))*Calculations[[#This Row],[Total Kg]]*VLOOKUP(Calculations[[#This Row],[Waste 1]],WasteScenario[#All],3,FALSE),0)</f>
        <v>0</v>
      </c>
      <c r="AB90" s="322">
        <f>SUM(Calculations[[#This Row],[C3 recyc]:[C3 incin]])</f>
        <v>0</v>
      </c>
      <c r="AC90" s="322">
        <f>IFERROR((VLOOKUP(Calculations[[#This Row],[Waste type 2]],WasteLandfillEmissions[#All],2,FALSE))*Calculations[[#This Row],[Total Kg]]*VLOOKUP(Calculations[[#This Row],[Waste 1]],WasteScenario[#All],4,FALSE),0)</f>
        <v>0</v>
      </c>
      <c r="AD90" s="322">
        <f>IFERROR((VLOOKUP(Calculations[[#This Row],[Waste type 2]],WasteLandfillEmissions[#All],3,FALSE))*Calculations[[#This Row],[Total Kg]]*VLOOKUP(Calculations[[#This Row],[Waste 1]],WasteScenario[#All],4,FALSE),0)</f>
        <v>0</v>
      </c>
      <c r="AE90" s="322">
        <f>SUM(Calculations[[#This Row],[C4 landfill]:[C4 re-use]])</f>
        <v>0</v>
      </c>
      <c r="AF90" s="322">
        <f>IFERROR(VLOOKUP(Calculations[[#This Row],[Material (choose from dropdown]],MaterialData[#All],8,FALSE),0)</f>
        <v>0</v>
      </c>
      <c r="AG90" s="322">
        <f>IFERROR(Calculations[[#This Row],[Total Kg]]*Calculations[[#This Row],[Seq factor]],0)</f>
        <v>0</v>
      </c>
      <c r="AI90" s="322">
        <f>Calculations[[#This Row],[A1-3]]+Calculations[[#This Row],[A4]]+Calculations[[#This Row],[A5]]+Calculations[[#This Row],[B4]]+Calculations[[#This Row],[C2 total]]+Calculations[[#This Row],[C3 total]]+Calculations[[#This Row],[C4 total]]</f>
        <v>0</v>
      </c>
      <c r="AJ90" s="2">
        <f>IFERROR(VLOOKUP(Calculations[[#This Row],[Material (choose from dropdown]],MaterialData[[#Headers],[#Data]],9,FALSE),0)</f>
        <v>0</v>
      </c>
      <c r="AK90" s="4">
        <f>IFERROR(VLOOKUP(Calculations[[#This Row],[Material (choose from dropdown]],MaterialData[[#Headers],[#Data]],10,FALSE),0)</f>
        <v>0</v>
      </c>
      <c r="AL90" s="322">
        <f>IFERROR(Calculations[[#This Row],[Data Quality Score]]*Calculations[[#This Row],[Total Kg]],0)</f>
        <v>0</v>
      </c>
    </row>
    <row r="91" spans="1:38" x14ac:dyDescent="0.3">
      <c r="A91" s="6">
        <f>IFERROR(MaterialsBoQ[[#This Row],[Scope Element]],0)</f>
        <v>0</v>
      </c>
      <c r="B91">
        <f>IFERROR(MaterialsBoQ[[#This Row],[Material ]],"")</f>
        <v>0</v>
      </c>
      <c r="C91">
        <f>IFERROR(MaterialsBoQ[[#This Row],[Unit]],"")</f>
        <v>0</v>
      </c>
      <c r="D91" s="322">
        <f>IFERROR(MaterialsBoQ[[#This Row],[Number]],0)</f>
        <v>0</v>
      </c>
      <c r="E91" s="322">
        <f>IFERROR(MaterialsBoQ[[#This Row],[Kg per unit]],0)</f>
        <v>0</v>
      </c>
      <c r="F91" s="322">
        <f>IFERROR(Calculations[[#This Row],[Number]]*Calculations[[#This Row],[Conversion factor]],0)</f>
        <v>0</v>
      </c>
      <c r="G91" s="322">
        <f>IFERROR(VLOOKUP(Calculations[[#This Row],[Material (choose from dropdown]],MaterialData[#All],7,FALSE),0)</f>
        <v>0</v>
      </c>
      <c r="H91" s="322">
        <f>Calculations[[#This Row],[Total Kg]]*Calculations[[#This Row],[Carbon Factor]]</f>
        <v>0</v>
      </c>
      <c r="I91" t="str">
        <f>IFERROR(VLOOKUP(Calculations[[#This Row],[Material (choose from dropdown]],MaterialData[#All],2,FALSE),"")</f>
        <v/>
      </c>
      <c r="J91" s="322">
        <f>IFERROR(((VLOOKUP(Calculations[[#This Row],[TransportSource]],TransportDistance[],2,FALSE)*'Stage assumptions'!$C$11)+VLOOKUP(Calculations[[#This Row],[TransportSource]],TransportDistance[],3,FALSE)*'Stage assumptions'!$C$12)*Calculations[[#This Row],[Total Kg]],0)</f>
        <v>0</v>
      </c>
      <c r="K91">
        <f>IFERROR(VLOOKUP(Calculations[[#This Row],[Material (choose from dropdown]], MaterialData[#All],3, FALSE),0)</f>
        <v>0</v>
      </c>
      <c r="L91" s="322">
        <f>IFERROR(VLOOKUP(Calculations[[#This Row],[A5type]],A5WastageRate[#All],2,FALSE)*Calculations[[#This Row],[A1-3]],0)</f>
        <v>0</v>
      </c>
      <c r="N91">
        <f>IFERROR(ROUNDUP(50/VLOOKUP(Calculations[[#This Row],[Scope Element]],B4referenceServiceLife[[Tier 2 element]:[Default Service Life]],2, FALSE)-1,0),0)</f>
        <v>0</v>
      </c>
      <c r="O91" s="322">
        <f>IFERROR((Calculations[[#This Row],[A1-3]]+Calculations[[#This Row],[A4]]+Calculations[[#This Row],[A5]]+Calculations[[#This Row],[C2 total]]+Calculations[[#This Row],[C3 total]]+Calculations[[#This Row],[C4 total]])*Calculations[[#This Row],[Replacements]],0)</f>
        <v>0</v>
      </c>
      <c r="S91" t="str">
        <f>IFERROR(VLOOKUP(Calculations[[#This Row],[Material (choose from dropdown]],MaterialData[#All],4,FALSE),"")</f>
        <v/>
      </c>
      <c r="T91" s="322" cm="1">
        <f t="array" ref="T91">IFERROR(VLOOKUP(Calculations[[#This Row],[Waste 1]],WasteScenario[#All],2,FALSE)*'Stage assumptions'!$C$225*WasteTransportMethod[Emissions Factor
kgCO2e/kg.km]*Calculations[[#This Row],[Total Kg]],0)</f>
        <v>0</v>
      </c>
      <c r="U91" s="322" cm="1">
        <f t="array" ref="U91">IFERROR(VLOOKUP(Calculations[[#This Row],[Waste 1]],WasteScenario[#All],3,FALSE)*'Stage assumptions'!$C$224*WasteTransportMethod[Emissions Factor
kgCO2e/kg.km]*Calculations[[#This Row],[Total Kg]],0)</f>
        <v>0</v>
      </c>
      <c r="V91" s="322" cm="1">
        <f t="array" ref="V91">IFERROR(VLOOKUP(Calculations[[#This Row],[Waste 1]],WasteScenario[#All],4,FALSE)*'Stage assumptions'!$C$223*WasteTransportMethod[Emissions Factor
kgCO2e/kg.km]*Calculations[[#This Row],[Total Kg]],0)</f>
        <v>0</v>
      </c>
      <c r="W91" s="322" cm="1">
        <f t="array" ref="W91">IFERROR(VLOOKUP(Calculations[[#This Row],[Waste 1]],WasteScenario[#All],5,FALSE)*'Stage assumptions'!$C$226*WasteTransportMethod[Emissions Factor
kgCO2e/kg.km]*Calculations[[#This Row],[Total Kg]],0)</f>
        <v>0</v>
      </c>
      <c r="X91" s="322">
        <f>SUM(Calculations[[#This Row],[C2 Recycle]:[C2 Reuse]])</f>
        <v>0</v>
      </c>
      <c r="Y91" t="str">
        <f>IFERROR(VLOOKUP(Calculations[[#This Row],[Material (choose from dropdown]],MaterialData[#All],5,FALSE),"")</f>
        <v/>
      </c>
      <c r="Z91" s="322">
        <f>IFERROR(((VLOOKUP(Calculations[[#This Row],[Waste type 2]],WasteDisposalEmissions[#All],2,FALSE))*Calculations[[#This Row],[Total Kg]])*VLOOKUP(Calculations[[#This Row],[Waste 1]],WasteScenario[#All],2,FALSE),0)</f>
        <v>0</v>
      </c>
      <c r="AA91" s="322">
        <f>IFERROR((VLOOKUP(Calculations[[#This Row],[Waste type 2]],WasteDisposalEmissions[#All],3,FALSE))*Calculations[[#This Row],[Total Kg]]*VLOOKUP(Calculations[[#This Row],[Waste 1]],WasteScenario[#All],3,FALSE),0)</f>
        <v>0</v>
      </c>
      <c r="AB91" s="322">
        <f>SUM(Calculations[[#This Row],[C3 recyc]:[C3 incin]])</f>
        <v>0</v>
      </c>
      <c r="AC91" s="322">
        <f>IFERROR((VLOOKUP(Calculations[[#This Row],[Waste type 2]],WasteLandfillEmissions[#All],2,FALSE))*Calculations[[#This Row],[Total Kg]]*VLOOKUP(Calculations[[#This Row],[Waste 1]],WasteScenario[#All],4,FALSE),0)</f>
        <v>0</v>
      </c>
      <c r="AD91" s="322">
        <f>IFERROR((VLOOKUP(Calculations[[#This Row],[Waste type 2]],WasteLandfillEmissions[#All],3,FALSE))*Calculations[[#This Row],[Total Kg]]*VLOOKUP(Calculations[[#This Row],[Waste 1]],WasteScenario[#All],4,FALSE),0)</f>
        <v>0</v>
      </c>
      <c r="AE91" s="322">
        <f>SUM(Calculations[[#This Row],[C4 landfill]:[C4 re-use]])</f>
        <v>0</v>
      </c>
      <c r="AF91" s="322">
        <f>IFERROR(VLOOKUP(Calculations[[#This Row],[Material (choose from dropdown]],MaterialData[#All],8,FALSE),0)</f>
        <v>0</v>
      </c>
      <c r="AG91" s="322">
        <f>IFERROR(Calculations[[#This Row],[Total Kg]]*Calculations[[#This Row],[Seq factor]],0)</f>
        <v>0</v>
      </c>
      <c r="AI91" s="322">
        <f>Calculations[[#This Row],[A1-3]]+Calculations[[#This Row],[A4]]+Calculations[[#This Row],[A5]]+Calculations[[#This Row],[B4]]+Calculations[[#This Row],[C2 total]]+Calculations[[#This Row],[C3 total]]+Calculations[[#This Row],[C4 total]]</f>
        <v>0</v>
      </c>
      <c r="AJ91" s="2">
        <f>IFERROR(VLOOKUP(Calculations[[#This Row],[Material (choose from dropdown]],MaterialData[[#Headers],[#Data]],9,FALSE),0)</f>
        <v>0</v>
      </c>
      <c r="AK91" s="4">
        <f>IFERROR(VLOOKUP(Calculations[[#This Row],[Material (choose from dropdown]],MaterialData[[#Headers],[#Data]],10,FALSE),0)</f>
        <v>0</v>
      </c>
      <c r="AL91" s="322">
        <f>IFERROR(Calculations[[#This Row],[Data Quality Score]]*Calculations[[#This Row],[Total Kg]],0)</f>
        <v>0</v>
      </c>
    </row>
    <row r="92" spans="1:38" x14ac:dyDescent="0.3">
      <c r="A92" s="6">
        <f>IFERROR(MaterialsBoQ[[#This Row],[Scope Element]],0)</f>
        <v>0</v>
      </c>
      <c r="B92">
        <f>IFERROR(MaterialsBoQ[[#This Row],[Material ]],"")</f>
        <v>0</v>
      </c>
      <c r="C92">
        <f>IFERROR(MaterialsBoQ[[#This Row],[Unit]],"")</f>
        <v>0</v>
      </c>
      <c r="D92" s="322">
        <f>IFERROR(MaterialsBoQ[[#This Row],[Number]],0)</f>
        <v>0</v>
      </c>
      <c r="E92" s="322">
        <f>IFERROR(MaterialsBoQ[[#This Row],[Kg per unit]],0)</f>
        <v>0</v>
      </c>
      <c r="F92" s="322">
        <f>IFERROR(Calculations[[#This Row],[Number]]*Calculations[[#This Row],[Conversion factor]],0)</f>
        <v>0</v>
      </c>
      <c r="G92" s="322">
        <f>IFERROR(VLOOKUP(Calculations[[#This Row],[Material (choose from dropdown]],MaterialData[#All],7,FALSE),0)</f>
        <v>0</v>
      </c>
      <c r="H92" s="322">
        <f>Calculations[[#This Row],[Total Kg]]*Calculations[[#This Row],[Carbon Factor]]</f>
        <v>0</v>
      </c>
      <c r="I92" t="str">
        <f>IFERROR(VLOOKUP(Calculations[[#This Row],[Material (choose from dropdown]],MaterialData[#All],2,FALSE),"")</f>
        <v/>
      </c>
      <c r="J92" s="322">
        <f>IFERROR(((VLOOKUP(Calculations[[#This Row],[TransportSource]],TransportDistance[],2,FALSE)*'Stage assumptions'!$C$11)+VLOOKUP(Calculations[[#This Row],[TransportSource]],TransportDistance[],3,FALSE)*'Stage assumptions'!$C$12)*Calculations[[#This Row],[Total Kg]],0)</f>
        <v>0</v>
      </c>
      <c r="K92">
        <f>IFERROR(VLOOKUP(Calculations[[#This Row],[Material (choose from dropdown]], MaterialData[#All],3, FALSE),0)</f>
        <v>0</v>
      </c>
      <c r="L92" s="322">
        <f>IFERROR(VLOOKUP(Calculations[[#This Row],[A5type]],A5WastageRate[#All],2,FALSE)*Calculations[[#This Row],[A1-3]],0)</f>
        <v>0</v>
      </c>
      <c r="N92">
        <f>IFERROR(ROUNDUP(50/VLOOKUP(Calculations[[#This Row],[Scope Element]],B4referenceServiceLife[[Tier 2 element]:[Default Service Life]],2, FALSE)-1,0),0)</f>
        <v>0</v>
      </c>
      <c r="O92" s="322">
        <f>IFERROR((Calculations[[#This Row],[A1-3]]+Calculations[[#This Row],[A4]]+Calculations[[#This Row],[A5]]+Calculations[[#This Row],[C2 total]]+Calculations[[#This Row],[C3 total]]+Calculations[[#This Row],[C4 total]])*Calculations[[#This Row],[Replacements]],0)</f>
        <v>0</v>
      </c>
      <c r="S92" t="str">
        <f>IFERROR(VLOOKUP(Calculations[[#This Row],[Material (choose from dropdown]],MaterialData[#All],4,FALSE),"")</f>
        <v/>
      </c>
      <c r="T92" s="322" cm="1">
        <f t="array" ref="T92">IFERROR(VLOOKUP(Calculations[[#This Row],[Waste 1]],WasteScenario[#All],2,FALSE)*'Stage assumptions'!$C$225*WasteTransportMethod[Emissions Factor
kgCO2e/kg.km]*Calculations[[#This Row],[Total Kg]],0)</f>
        <v>0</v>
      </c>
      <c r="U92" s="322" cm="1">
        <f t="array" ref="U92">IFERROR(VLOOKUP(Calculations[[#This Row],[Waste 1]],WasteScenario[#All],3,FALSE)*'Stage assumptions'!$C$224*WasteTransportMethod[Emissions Factor
kgCO2e/kg.km]*Calculations[[#This Row],[Total Kg]],0)</f>
        <v>0</v>
      </c>
      <c r="V92" s="322" cm="1">
        <f t="array" ref="V92">IFERROR(VLOOKUP(Calculations[[#This Row],[Waste 1]],WasteScenario[#All],4,FALSE)*'Stage assumptions'!$C$223*WasteTransportMethod[Emissions Factor
kgCO2e/kg.km]*Calculations[[#This Row],[Total Kg]],0)</f>
        <v>0</v>
      </c>
      <c r="W92" s="322" cm="1">
        <f t="array" ref="W92">IFERROR(VLOOKUP(Calculations[[#This Row],[Waste 1]],WasteScenario[#All],5,FALSE)*'Stage assumptions'!$C$226*WasteTransportMethod[Emissions Factor
kgCO2e/kg.km]*Calculations[[#This Row],[Total Kg]],0)</f>
        <v>0</v>
      </c>
      <c r="X92" s="322">
        <f>SUM(Calculations[[#This Row],[C2 Recycle]:[C2 Reuse]])</f>
        <v>0</v>
      </c>
      <c r="Y92" t="str">
        <f>IFERROR(VLOOKUP(Calculations[[#This Row],[Material (choose from dropdown]],MaterialData[#All],5,FALSE),"")</f>
        <v/>
      </c>
      <c r="Z92" s="322">
        <f>IFERROR(((VLOOKUP(Calculations[[#This Row],[Waste type 2]],WasteDisposalEmissions[#All],2,FALSE))*Calculations[[#This Row],[Total Kg]])*VLOOKUP(Calculations[[#This Row],[Waste 1]],WasteScenario[#All],2,FALSE),0)</f>
        <v>0</v>
      </c>
      <c r="AA92" s="322">
        <f>IFERROR((VLOOKUP(Calculations[[#This Row],[Waste type 2]],WasteDisposalEmissions[#All],3,FALSE))*Calculations[[#This Row],[Total Kg]]*VLOOKUP(Calculations[[#This Row],[Waste 1]],WasteScenario[#All],3,FALSE),0)</f>
        <v>0</v>
      </c>
      <c r="AB92" s="322">
        <f>SUM(Calculations[[#This Row],[C3 recyc]:[C3 incin]])</f>
        <v>0</v>
      </c>
      <c r="AC92" s="322">
        <f>IFERROR((VLOOKUP(Calculations[[#This Row],[Waste type 2]],WasteLandfillEmissions[#All],2,FALSE))*Calculations[[#This Row],[Total Kg]]*VLOOKUP(Calculations[[#This Row],[Waste 1]],WasteScenario[#All],4,FALSE),0)</f>
        <v>0</v>
      </c>
      <c r="AD92" s="322">
        <f>IFERROR((VLOOKUP(Calculations[[#This Row],[Waste type 2]],WasteLandfillEmissions[#All],3,FALSE))*Calculations[[#This Row],[Total Kg]]*VLOOKUP(Calculations[[#This Row],[Waste 1]],WasteScenario[#All],4,FALSE),0)</f>
        <v>0</v>
      </c>
      <c r="AE92" s="322">
        <f>SUM(Calculations[[#This Row],[C4 landfill]:[C4 re-use]])</f>
        <v>0</v>
      </c>
      <c r="AF92" s="322">
        <f>IFERROR(VLOOKUP(Calculations[[#This Row],[Material (choose from dropdown]],MaterialData[#All],8,FALSE),0)</f>
        <v>0</v>
      </c>
      <c r="AG92" s="322">
        <f>IFERROR(Calculations[[#This Row],[Total Kg]]*Calculations[[#This Row],[Seq factor]],0)</f>
        <v>0</v>
      </c>
      <c r="AI92" s="322">
        <f>Calculations[[#This Row],[A1-3]]+Calculations[[#This Row],[A4]]+Calculations[[#This Row],[A5]]+Calculations[[#This Row],[B4]]+Calculations[[#This Row],[C2 total]]+Calculations[[#This Row],[C3 total]]+Calculations[[#This Row],[C4 total]]</f>
        <v>0</v>
      </c>
      <c r="AJ92" s="2">
        <f>IFERROR(VLOOKUP(Calculations[[#This Row],[Material (choose from dropdown]],MaterialData[[#Headers],[#Data]],9,FALSE),0)</f>
        <v>0</v>
      </c>
      <c r="AK92" s="4">
        <f>IFERROR(VLOOKUP(Calculations[[#This Row],[Material (choose from dropdown]],MaterialData[[#Headers],[#Data]],10,FALSE),0)</f>
        <v>0</v>
      </c>
      <c r="AL92" s="322">
        <f>IFERROR(Calculations[[#This Row],[Data Quality Score]]*Calculations[[#This Row],[Total Kg]],0)</f>
        <v>0</v>
      </c>
    </row>
    <row r="93" spans="1:38" x14ac:dyDescent="0.3">
      <c r="A93" s="6">
        <f>IFERROR(MaterialsBoQ[[#This Row],[Scope Element]],0)</f>
        <v>0</v>
      </c>
      <c r="B93">
        <f>IFERROR(MaterialsBoQ[[#This Row],[Material ]],"")</f>
        <v>0</v>
      </c>
      <c r="C93">
        <f>IFERROR(MaterialsBoQ[[#This Row],[Unit]],"")</f>
        <v>0</v>
      </c>
      <c r="D93" s="322">
        <f>IFERROR(MaterialsBoQ[[#This Row],[Number]],0)</f>
        <v>0</v>
      </c>
      <c r="E93" s="322">
        <f>IFERROR(MaterialsBoQ[[#This Row],[Kg per unit]],0)</f>
        <v>0</v>
      </c>
      <c r="F93" s="322">
        <f>IFERROR(Calculations[[#This Row],[Number]]*Calculations[[#This Row],[Conversion factor]],0)</f>
        <v>0</v>
      </c>
      <c r="G93" s="322">
        <f>IFERROR(VLOOKUP(Calculations[[#This Row],[Material (choose from dropdown]],MaterialData[#All],7,FALSE),0)</f>
        <v>0</v>
      </c>
      <c r="H93" s="322">
        <f>Calculations[[#This Row],[Total Kg]]*Calculations[[#This Row],[Carbon Factor]]</f>
        <v>0</v>
      </c>
      <c r="I93" t="str">
        <f>IFERROR(VLOOKUP(Calculations[[#This Row],[Material (choose from dropdown]],MaterialData[#All],2,FALSE),"")</f>
        <v/>
      </c>
      <c r="J93" s="322">
        <f>IFERROR(((VLOOKUP(Calculations[[#This Row],[TransportSource]],TransportDistance[],2,FALSE)*'Stage assumptions'!$C$11)+VLOOKUP(Calculations[[#This Row],[TransportSource]],TransportDistance[],3,FALSE)*'Stage assumptions'!$C$12)*Calculations[[#This Row],[Total Kg]],0)</f>
        <v>0</v>
      </c>
      <c r="K93">
        <f>IFERROR(VLOOKUP(Calculations[[#This Row],[Material (choose from dropdown]], MaterialData[#All],3, FALSE),0)</f>
        <v>0</v>
      </c>
      <c r="L93" s="322">
        <f>IFERROR(VLOOKUP(Calculations[[#This Row],[A5type]],A5WastageRate[#All],2,FALSE)*Calculations[[#This Row],[A1-3]],0)</f>
        <v>0</v>
      </c>
      <c r="N93">
        <f>IFERROR(ROUNDUP(50/VLOOKUP(Calculations[[#This Row],[Scope Element]],B4referenceServiceLife[[Tier 2 element]:[Default Service Life]],2, FALSE)-1,0),0)</f>
        <v>0</v>
      </c>
      <c r="O93" s="322">
        <f>IFERROR((Calculations[[#This Row],[A1-3]]+Calculations[[#This Row],[A4]]+Calculations[[#This Row],[A5]]+Calculations[[#This Row],[C2 total]]+Calculations[[#This Row],[C3 total]]+Calculations[[#This Row],[C4 total]])*Calculations[[#This Row],[Replacements]],0)</f>
        <v>0</v>
      </c>
      <c r="S93" t="str">
        <f>IFERROR(VLOOKUP(Calculations[[#This Row],[Material (choose from dropdown]],MaterialData[#All],4,FALSE),"")</f>
        <v/>
      </c>
      <c r="T93" s="322" cm="1">
        <f t="array" ref="T93">IFERROR(VLOOKUP(Calculations[[#This Row],[Waste 1]],WasteScenario[#All],2,FALSE)*'Stage assumptions'!$C$225*WasteTransportMethod[Emissions Factor
kgCO2e/kg.km]*Calculations[[#This Row],[Total Kg]],0)</f>
        <v>0</v>
      </c>
      <c r="U93" s="322" cm="1">
        <f t="array" ref="U93">IFERROR(VLOOKUP(Calculations[[#This Row],[Waste 1]],WasteScenario[#All],3,FALSE)*'Stage assumptions'!$C$224*WasteTransportMethod[Emissions Factor
kgCO2e/kg.km]*Calculations[[#This Row],[Total Kg]],0)</f>
        <v>0</v>
      </c>
      <c r="V93" s="322" cm="1">
        <f t="array" ref="V93">IFERROR(VLOOKUP(Calculations[[#This Row],[Waste 1]],WasteScenario[#All],4,FALSE)*'Stage assumptions'!$C$223*WasteTransportMethod[Emissions Factor
kgCO2e/kg.km]*Calculations[[#This Row],[Total Kg]],0)</f>
        <v>0</v>
      </c>
      <c r="W93" s="322" cm="1">
        <f t="array" ref="W93">IFERROR(VLOOKUP(Calculations[[#This Row],[Waste 1]],WasteScenario[#All],5,FALSE)*'Stage assumptions'!$C$226*WasteTransportMethod[Emissions Factor
kgCO2e/kg.km]*Calculations[[#This Row],[Total Kg]],0)</f>
        <v>0</v>
      </c>
      <c r="X93" s="322">
        <f>SUM(Calculations[[#This Row],[C2 Recycle]:[C2 Reuse]])</f>
        <v>0</v>
      </c>
      <c r="Y93" t="str">
        <f>IFERROR(VLOOKUP(Calculations[[#This Row],[Material (choose from dropdown]],MaterialData[#All],5,FALSE),"")</f>
        <v/>
      </c>
      <c r="Z93" s="322">
        <f>IFERROR(((VLOOKUP(Calculations[[#This Row],[Waste type 2]],WasteDisposalEmissions[#All],2,FALSE))*Calculations[[#This Row],[Total Kg]])*VLOOKUP(Calculations[[#This Row],[Waste 1]],WasteScenario[#All],2,FALSE),0)</f>
        <v>0</v>
      </c>
      <c r="AA93" s="322">
        <f>IFERROR((VLOOKUP(Calculations[[#This Row],[Waste type 2]],WasteDisposalEmissions[#All],3,FALSE))*Calculations[[#This Row],[Total Kg]]*VLOOKUP(Calculations[[#This Row],[Waste 1]],WasteScenario[#All],3,FALSE),0)</f>
        <v>0</v>
      </c>
      <c r="AB93" s="322">
        <f>SUM(Calculations[[#This Row],[C3 recyc]:[C3 incin]])</f>
        <v>0</v>
      </c>
      <c r="AC93" s="322">
        <f>IFERROR((VLOOKUP(Calculations[[#This Row],[Waste type 2]],WasteLandfillEmissions[#All],2,FALSE))*Calculations[[#This Row],[Total Kg]]*VLOOKUP(Calculations[[#This Row],[Waste 1]],WasteScenario[#All],4,FALSE),0)</f>
        <v>0</v>
      </c>
      <c r="AD93" s="322">
        <f>IFERROR((VLOOKUP(Calculations[[#This Row],[Waste type 2]],WasteLandfillEmissions[#All],3,FALSE))*Calculations[[#This Row],[Total Kg]]*VLOOKUP(Calculations[[#This Row],[Waste 1]],WasteScenario[#All],4,FALSE),0)</f>
        <v>0</v>
      </c>
      <c r="AE93" s="322">
        <f>SUM(Calculations[[#This Row],[C4 landfill]:[C4 re-use]])</f>
        <v>0</v>
      </c>
      <c r="AF93" s="322">
        <f>IFERROR(VLOOKUP(Calculations[[#This Row],[Material (choose from dropdown]],MaterialData[#All],8,FALSE),0)</f>
        <v>0</v>
      </c>
      <c r="AG93" s="322">
        <f>IFERROR(Calculations[[#This Row],[Total Kg]]*Calculations[[#This Row],[Seq factor]],0)</f>
        <v>0</v>
      </c>
      <c r="AI93" s="322">
        <f>Calculations[[#This Row],[A1-3]]+Calculations[[#This Row],[A4]]+Calculations[[#This Row],[A5]]+Calculations[[#This Row],[B4]]+Calculations[[#This Row],[C2 total]]+Calculations[[#This Row],[C3 total]]+Calculations[[#This Row],[C4 total]]</f>
        <v>0</v>
      </c>
      <c r="AJ93" s="2">
        <f>IFERROR(VLOOKUP(Calculations[[#This Row],[Material (choose from dropdown]],MaterialData[[#Headers],[#Data]],9,FALSE),0)</f>
        <v>0</v>
      </c>
      <c r="AK93" s="4">
        <f>IFERROR(VLOOKUP(Calculations[[#This Row],[Material (choose from dropdown]],MaterialData[[#Headers],[#Data]],10,FALSE),0)</f>
        <v>0</v>
      </c>
      <c r="AL93" s="322">
        <f>IFERROR(Calculations[[#This Row],[Data Quality Score]]*Calculations[[#This Row],[Total Kg]],0)</f>
        <v>0</v>
      </c>
    </row>
    <row r="94" spans="1:38" x14ac:dyDescent="0.3">
      <c r="A94" s="6">
        <f>IFERROR(MaterialsBoQ[[#This Row],[Scope Element]],0)</f>
        <v>0</v>
      </c>
      <c r="B94">
        <f>IFERROR(MaterialsBoQ[[#This Row],[Material ]],"")</f>
        <v>0</v>
      </c>
      <c r="C94">
        <f>IFERROR(MaterialsBoQ[[#This Row],[Unit]],"")</f>
        <v>0</v>
      </c>
      <c r="D94" s="322">
        <f>IFERROR(MaterialsBoQ[[#This Row],[Number]],0)</f>
        <v>0</v>
      </c>
      <c r="E94" s="322">
        <f>IFERROR(MaterialsBoQ[[#This Row],[Kg per unit]],0)</f>
        <v>0</v>
      </c>
      <c r="F94" s="322">
        <f>IFERROR(Calculations[[#This Row],[Number]]*Calculations[[#This Row],[Conversion factor]],0)</f>
        <v>0</v>
      </c>
      <c r="G94" s="322">
        <f>IFERROR(VLOOKUP(Calculations[[#This Row],[Material (choose from dropdown]],MaterialData[#All],7,FALSE),0)</f>
        <v>0</v>
      </c>
      <c r="H94" s="322">
        <f>Calculations[[#This Row],[Total Kg]]*Calculations[[#This Row],[Carbon Factor]]</f>
        <v>0</v>
      </c>
      <c r="I94" t="str">
        <f>IFERROR(VLOOKUP(Calculations[[#This Row],[Material (choose from dropdown]],MaterialData[#All],2,FALSE),"")</f>
        <v/>
      </c>
      <c r="J94" s="322">
        <f>IFERROR(((VLOOKUP(Calculations[[#This Row],[TransportSource]],TransportDistance[],2,FALSE)*'Stage assumptions'!$C$11)+VLOOKUP(Calculations[[#This Row],[TransportSource]],TransportDistance[],3,FALSE)*'Stage assumptions'!$C$12)*Calculations[[#This Row],[Total Kg]],0)</f>
        <v>0</v>
      </c>
      <c r="K94">
        <f>IFERROR(VLOOKUP(Calculations[[#This Row],[Material (choose from dropdown]], MaterialData[#All],3, FALSE),0)</f>
        <v>0</v>
      </c>
      <c r="L94" s="322">
        <f>IFERROR(VLOOKUP(Calculations[[#This Row],[A5type]],A5WastageRate[#All],2,FALSE)*Calculations[[#This Row],[A1-3]],0)</f>
        <v>0</v>
      </c>
      <c r="N94">
        <f>IFERROR(ROUNDUP(50/VLOOKUP(Calculations[[#This Row],[Scope Element]],B4referenceServiceLife[[Tier 2 element]:[Default Service Life]],2, FALSE)-1,0),0)</f>
        <v>0</v>
      </c>
      <c r="O94" s="322">
        <f>IFERROR((Calculations[[#This Row],[A1-3]]+Calculations[[#This Row],[A4]]+Calculations[[#This Row],[A5]]+Calculations[[#This Row],[C2 total]]+Calculations[[#This Row],[C3 total]]+Calculations[[#This Row],[C4 total]])*Calculations[[#This Row],[Replacements]],0)</f>
        <v>0</v>
      </c>
      <c r="S94" t="str">
        <f>IFERROR(VLOOKUP(Calculations[[#This Row],[Material (choose from dropdown]],MaterialData[#All],4,FALSE),"")</f>
        <v/>
      </c>
      <c r="T94" s="322" cm="1">
        <f t="array" ref="T94">IFERROR(VLOOKUP(Calculations[[#This Row],[Waste 1]],WasteScenario[#All],2,FALSE)*'Stage assumptions'!$C$225*WasteTransportMethod[Emissions Factor
kgCO2e/kg.km]*Calculations[[#This Row],[Total Kg]],0)</f>
        <v>0</v>
      </c>
      <c r="U94" s="322" cm="1">
        <f t="array" ref="U94">IFERROR(VLOOKUP(Calculations[[#This Row],[Waste 1]],WasteScenario[#All],3,FALSE)*'Stage assumptions'!$C$224*WasteTransportMethod[Emissions Factor
kgCO2e/kg.km]*Calculations[[#This Row],[Total Kg]],0)</f>
        <v>0</v>
      </c>
      <c r="V94" s="322" cm="1">
        <f t="array" ref="V94">IFERROR(VLOOKUP(Calculations[[#This Row],[Waste 1]],WasteScenario[#All],4,FALSE)*'Stage assumptions'!$C$223*WasteTransportMethod[Emissions Factor
kgCO2e/kg.km]*Calculations[[#This Row],[Total Kg]],0)</f>
        <v>0</v>
      </c>
      <c r="W94" s="322" cm="1">
        <f t="array" ref="W94">IFERROR(VLOOKUP(Calculations[[#This Row],[Waste 1]],WasteScenario[#All],5,FALSE)*'Stage assumptions'!$C$226*WasteTransportMethod[Emissions Factor
kgCO2e/kg.km]*Calculations[[#This Row],[Total Kg]],0)</f>
        <v>0</v>
      </c>
      <c r="X94" s="322">
        <f>SUM(Calculations[[#This Row],[C2 Recycle]:[C2 Reuse]])</f>
        <v>0</v>
      </c>
      <c r="Y94" t="str">
        <f>IFERROR(VLOOKUP(Calculations[[#This Row],[Material (choose from dropdown]],MaterialData[#All],5,FALSE),"")</f>
        <v/>
      </c>
      <c r="Z94" s="322">
        <f>IFERROR(((VLOOKUP(Calculations[[#This Row],[Waste type 2]],WasteDisposalEmissions[#All],2,FALSE))*Calculations[[#This Row],[Total Kg]])*VLOOKUP(Calculations[[#This Row],[Waste 1]],WasteScenario[#All],2,FALSE),0)</f>
        <v>0</v>
      </c>
      <c r="AA94" s="322">
        <f>IFERROR((VLOOKUP(Calculations[[#This Row],[Waste type 2]],WasteDisposalEmissions[#All],3,FALSE))*Calculations[[#This Row],[Total Kg]]*VLOOKUP(Calculations[[#This Row],[Waste 1]],WasteScenario[#All],3,FALSE),0)</f>
        <v>0</v>
      </c>
      <c r="AB94" s="322">
        <f>SUM(Calculations[[#This Row],[C3 recyc]:[C3 incin]])</f>
        <v>0</v>
      </c>
      <c r="AC94" s="322">
        <f>IFERROR((VLOOKUP(Calculations[[#This Row],[Waste type 2]],WasteLandfillEmissions[#All],2,FALSE))*Calculations[[#This Row],[Total Kg]]*VLOOKUP(Calculations[[#This Row],[Waste 1]],WasteScenario[#All],4,FALSE),0)</f>
        <v>0</v>
      </c>
      <c r="AD94" s="322">
        <f>IFERROR((VLOOKUP(Calculations[[#This Row],[Waste type 2]],WasteLandfillEmissions[#All],3,FALSE))*Calculations[[#This Row],[Total Kg]]*VLOOKUP(Calculations[[#This Row],[Waste 1]],WasteScenario[#All],4,FALSE),0)</f>
        <v>0</v>
      </c>
      <c r="AE94" s="322">
        <f>SUM(Calculations[[#This Row],[C4 landfill]:[C4 re-use]])</f>
        <v>0</v>
      </c>
      <c r="AF94" s="322">
        <f>IFERROR(VLOOKUP(Calculations[[#This Row],[Material (choose from dropdown]],MaterialData[#All],8,FALSE),0)</f>
        <v>0</v>
      </c>
      <c r="AG94" s="322">
        <f>IFERROR(Calculations[[#This Row],[Total Kg]]*Calculations[[#This Row],[Seq factor]],0)</f>
        <v>0</v>
      </c>
      <c r="AI94" s="322">
        <f>Calculations[[#This Row],[A1-3]]+Calculations[[#This Row],[A4]]+Calculations[[#This Row],[A5]]+Calculations[[#This Row],[B4]]+Calculations[[#This Row],[C2 total]]+Calculations[[#This Row],[C3 total]]+Calculations[[#This Row],[C4 total]]</f>
        <v>0</v>
      </c>
      <c r="AJ94" s="2">
        <f>IFERROR(VLOOKUP(Calculations[[#This Row],[Material (choose from dropdown]],MaterialData[[#Headers],[#Data]],9,FALSE),0)</f>
        <v>0</v>
      </c>
      <c r="AK94" s="4">
        <f>IFERROR(VLOOKUP(Calculations[[#This Row],[Material (choose from dropdown]],MaterialData[[#Headers],[#Data]],10,FALSE),0)</f>
        <v>0</v>
      </c>
      <c r="AL94" s="322">
        <f>IFERROR(Calculations[[#This Row],[Data Quality Score]]*Calculations[[#This Row],[Total Kg]],0)</f>
        <v>0</v>
      </c>
    </row>
    <row r="95" spans="1:38" x14ac:dyDescent="0.3">
      <c r="A95" s="6">
        <f>IFERROR(MaterialsBoQ[[#This Row],[Scope Element]],0)</f>
        <v>0</v>
      </c>
      <c r="B95">
        <f>IFERROR(MaterialsBoQ[[#This Row],[Material ]],"")</f>
        <v>0</v>
      </c>
      <c r="C95">
        <f>IFERROR(MaterialsBoQ[[#This Row],[Unit]],"")</f>
        <v>0</v>
      </c>
      <c r="D95" s="322">
        <f>IFERROR(MaterialsBoQ[[#This Row],[Number]],0)</f>
        <v>0</v>
      </c>
      <c r="E95" s="322">
        <f>IFERROR(MaterialsBoQ[[#This Row],[Kg per unit]],0)</f>
        <v>0</v>
      </c>
      <c r="F95" s="322">
        <f>IFERROR(Calculations[[#This Row],[Number]]*Calculations[[#This Row],[Conversion factor]],0)</f>
        <v>0</v>
      </c>
      <c r="G95" s="322">
        <f>IFERROR(VLOOKUP(Calculations[[#This Row],[Material (choose from dropdown]],MaterialData[#All],7,FALSE),0)</f>
        <v>0</v>
      </c>
      <c r="H95" s="322">
        <f>Calculations[[#This Row],[Total Kg]]*Calculations[[#This Row],[Carbon Factor]]</f>
        <v>0</v>
      </c>
      <c r="I95" t="str">
        <f>IFERROR(VLOOKUP(Calculations[[#This Row],[Material (choose from dropdown]],MaterialData[#All],2,FALSE),"")</f>
        <v/>
      </c>
      <c r="J95" s="322">
        <f>IFERROR(((VLOOKUP(Calculations[[#This Row],[TransportSource]],TransportDistance[],2,FALSE)*'Stage assumptions'!$C$11)+VLOOKUP(Calculations[[#This Row],[TransportSource]],TransportDistance[],3,FALSE)*'Stage assumptions'!$C$12)*Calculations[[#This Row],[Total Kg]],0)</f>
        <v>0</v>
      </c>
      <c r="K95">
        <f>IFERROR(VLOOKUP(Calculations[[#This Row],[Material (choose from dropdown]], MaterialData[#All],3, FALSE),0)</f>
        <v>0</v>
      </c>
      <c r="L95" s="322">
        <f>IFERROR(VLOOKUP(Calculations[[#This Row],[A5type]],A5WastageRate[#All],2,FALSE)*Calculations[[#This Row],[A1-3]],0)</f>
        <v>0</v>
      </c>
      <c r="N95">
        <f>IFERROR(ROUNDUP(50/VLOOKUP(Calculations[[#This Row],[Scope Element]],B4referenceServiceLife[[Tier 2 element]:[Default Service Life]],2, FALSE)-1,0),0)</f>
        <v>0</v>
      </c>
      <c r="O95" s="322">
        <f>IFERROR((Calculations[[#This Row],[A1-3]]+Calculations[[#This Row],[A4]]+Calculations[[#This Row],[A5]]+Calculations[[#This Row],[C2 total]]+Calculations[[#This Row],[C3 total]]+Calculations[[#This Row],[C4 total]])*Calculations[[#This Row],[Replacements]],0)</f>
        <v>0</v>
      </c>
      <c r="S95" t="str">
        <f>IFERROR(VLOOKUP(Calculations[[#This Row],[Material (choose from dropdown]],MaterialData[#All],4,FALSE),"")</f>
        <v/>
      </c>
      <c r="T95" s="322" cm="1">
        <f t="array" ref="T95">IFERROR(VLOOKUP(Calculations[[#This Row],[Waste 1]],WasteScenario[#All],2,FALSE)*'Stage assumptions'!$C$225*WasteTransportMethod[Emissions Factor
kgCO2e/kg.km]*Calculations[[#This Row],[Total Kg]],0)</f>
        <v>0</v>
      </c>
      <c r="U95" s="322" cm="1">
        <f t="array" ref="U95">IFERROR(VLOOKUP(Calculations[[#This Row],[Waste 1]],WasteScenario[#All],3,FALSE)*'Stage assumptions'!$C$224*WasteTransportMethod[Emissions Factor
kgCO2e/kg.km]*Calculations[[#This Row],[Total Kg]],0)</f>
        <v>0</v>
      </c>
      <c r="V95" s="322" cm="1">
        <f t="array" ref="V95">IFERROR(VLOOKUP(Calculations[[#This Row],[Waste 1]],WasteScenario[#All],4,FALSE)*'Stage assumptions'!$C$223*WasteTransportMethod[Emissions Factor
kgCO2e/kg.km]*Calculations[[#This Row],[Total Kg]],0)</f>
        <v>0</v>
      </c>
      <c r="W95" s="322" cm="1">
        <f t="array" ref="W95">IFERROR(VLOOKUP(Calculations[[#This Row],[Waste 1]],WasteScenario[#All],5,FALSE)*'Stage assumptions'!$C$226*WasteTransportMethod[Emissions Factor
kgCO2e/kg.km]*Calculations[[#This Row],[Total Kg]],0)</f>
        <v>0</v>
      </c>
      <c r="X95" s="322">
        <f>SUM(Calculations[[#This Row],[C2 Recycle]:[C2 Reuse]])</f>
        <v>0</v>
      </c>
      <c r="Y95" t="str">
        <f>IFERROR(VLOOKUP(Calculations[[#This Row],[Material (choose from dropdown]],MaterialData[#All],5,FALSE),"")</f>
        <v/>
      </c>
      <c r="Z95" s="322">
        <f>IFERROR(((VLOOKUP(Calculations[[#This Row],[Waste type 2]],WasteDisposalEmissions[#All],2,FALSE))*Calculations[[#This Row],[Total Kg]])*VLOOKUP(Calculations[[#This Row],[Waste 1]],WasteScenario[#All],2,FALSE),0)</f>
        <v>0</v>
      </c>
      <c r="AA95" s="322">
        <f>IFERROR((VLOOKUP(Calculations[[#This Row],[Waste type 2]],WasteDisposalEmissions[#All],3,FALSE))*Calculations[[#This Row],[Total Kg]]*VLOOKUP(Calculations[[#This Row],[Waste 1]],WasteScenario[#All],3,FALSE),0)</f>
        <v>0</v>
      </c>
      <c r="AB95" s="322">
        <f>SUM(Calculations[[#This Row],[C3 recyc]:[C3 incin]])</f>
        <v>0</v>
      </c>
      <c r="AC95" s="322">
        <f>IFERROR((VLOOKUP(Calculations[[#This Row],[Waste type 2]],WasteLandfillEmissions[#All],2,FALSE))*Calculations[[#This Row],[Total Kg]]*VLOOKUP(Calculations[[#This Row],[Waste 1]],WasteScenario[#All],4,FALSE),0)</f>
        <v>0</v>
      </c>
      <c r="AD95" s="322">
        <f>IFERROR((VLOOKUP(Calculations[[#This Row],[Waste type 2]],WasteLandfillEmissions[#All],3,FALSE))*Calculations[[#This Row],[Total Kg]]*VLOOKUP(Calculations[[#This Row],[Waste 1]],WasteScenario[#All],4,FALSE),0)</f>
        <v>0</v>
      </c>
      <c r="AE95" s="322">
        <f>SUM(Calculations[[#This Row],[C4 landfill]:[C4 re-use]])</f>
        <v>0</v>
      </c>
      <c r="AF95" s="322">
        <f>IFERROR(VLOOKUP(Calculations[[#This Row],[Material (choose from dropdown]],MaterialData[#All],8,FALSE),0)</f>
        <v>0</v>
      </c>
      <c r="AG95" s="322">
        <f>IFERROR(Calculations[[#This Row],[Total Kg]]*Calculations[[#This Row],[Seq factor]],0)</f>
        <v>0</v>
      </c>
      <c r="AI95" s="322">
        <f>Calculations[[#This Row],[A1-3]]+Calculations[[#This Row],[A4]]+Calculations[[#This Row],[A5]]+Calculations[[#This Row],[B4]]+Calculations[[#This Row],[C2 total]]+Calculations[[#This Row],[C3 total]]+Calculations[[#This Row],[C4 total]]</f>
        <v>0</v>
      </c>
      <c r="AJ95" s="2">
        <f>IFERROR(VLOOKUP(Calculations[[#This Row],[Material (choose from dropdown]],MaterialData[[#Headers],[#Data]],9,FALSE),0)</f>
        <v>0</v>
      </c>
      <c r="AK95" s="4">
        <f>IFERROR(VLOOKUP(Calculations[[#This Row],[Material (choose from dropdown]],MaterialData[[#Headers],[#Data]],10,FALSE),0)</f>
        <v>0</v>
      </c>
      <c r="AL95" s="322">
        <f>IFERROR(Calculations[[#This Row],[Data Quality Score]]*Calculations[[#This Row],[Total Kg]],0)</f>
        <v>0</v>
      </c>
    </row>
    <row r="96" spans="1:38" x14ac:dyDescent="0.3">
      <c r="A96" s="6">
        <f>IFERROR(MaterialsBoQ[[#This Row],[Scope Element]],0)</f>
        <v>0</v>
      </c>
      <c r="B96">
        <f>IFERROR(MaterialsBoQ[[#This Row],[Material ]],"")</f>
        <v>0</v>
      </c>
      <c r="C96">
        <f>IFERROR(MaterialsBoQ[[#This Row],[Unit]],"")</f>
        <v>0</v>
      </c>
      <c r="D96" s="322">
        <f>IFERROR(MaterialsBoQ[[#This Row],[Number]],0)</f>
        <v>0</v>
      </c>
      <c r="E96" s="322">
        <f>IFERROR(MaterialsBoQ[[#This Row],[Kg per unit]],0)</f>
        <v>0</v>
      </c>
      <c r="F96" s="322">
        <f>IFERROR(Calculations[[#This Row],[Number]]*Calculations[[#This Row],[Conversion factor]],0)</f>
        <v>0</v>
      </c>
      <c r="G96" s="322">
        <f>IFERROR(VLOOKUP(Calculations[[#This Row],[Material (choose from dropdown]],MaterialData[#All],7,FALSE),0)</f>
        <v>0</v>
      </c>
      <c r="H96" s="322">
        <f>Calculations[[#This Row],[Total Kg]]*Calculations[[#This Row],[Carbon Factor]]</f>
        <v>0</v>
      </c>
      <c r="I96" t="str">
        <f>IFERROR(VLOOKUP(Calculations[[#This Row],[Material (choose from dropdown]],MaterialData[#All],2,FALSE),"")</f>
        <v/>
      </c>
      <c r="J96" s="322">
        <f>IFERROR(((VLOOKUP(Calculations[[#This Row],[TransportSource]],TransportDistance[],2,FALSE)*'Stage assumptions'!$C$11)+VLOOKUP(Calculations[[#This Row],[TransportSource]],TransportDistance[],3,FALSE)*'Stage assumptions'!$C$12)*Calculations[[#This Row],[Total Kg]],0)</f>
        <v>0</v>
      </c>
      <c r="K96">
        <f>IFERROR(VLOOKUP(Calculations[[#This Row],[Material (choose from dropdown]], MaterialData[#All],3, FALSE),0)</f>
        <v>0</v>
      </c>
      <c r="L96" s="322">
        <f>IFERROR(VLOOKUP(Calculations[[#This Row],[A5type]],A5WastageRate[#All],2,FALSE)*Calculations[[#This Row],[A1-3]],0)</f>
        <v>0</v>
      </c>
      <c r="N96">
        <f>IFERROR(ROUNDUP(50/VLOOKUP(Calculations[[#This Row],[Scope Element]],B4referenceServiceLife[[Tier 2 element]:[Default Service Life]],2, FALSE)-1,0),0)</f>
        <v>0</v>
      </c>
      <c r="O96" s="322">
        <f>IFERROR((Calculations[[#This Row],[A1-3]]+Calculations[[#This Row],[A4]]+Calculations[[#This Row],[A5]]+Calculations[[#This Row],[C2 total]]+Calculations[[#This Row],[C3 total]]+Calculations[[#This Row],[C4 total]])*Calculations[[#This Row],[Replacements]],0)</f>
        <v>0</v>
      </c>
      <c r="S96" t="str">
        <f>IFERROR(VLOOKUP(Calculations[[#This Row],[Material (choose from dropdown]],MaterialData[#All],4,FALSE),"")</f>
        <v/>
      </c>
      <c r="T96" s="322" cm="1">
        <f t="array" ref="T96">IFERROR(VLOOKUP(Calculations[[#This Row],[Waste 1]],WasteScenario[#All],2,FALSE)*'Stage assumptions'!$C$225*WasteTransportMethod[Emissions Factor
kgCO2e/kg.km]*Calculations[[#This Row],[Total Kg]],0)</f>
        <v>0</v>
      </c>
      <c r="U96" s="322" cm="1">
        <f t="array" ref="U96">IFERROR(VLOOKUP(Calculations[[#This Row],[Waste 1]],WasteScenario[#All],3,FALSE)*'Stage assumptions'!$C$224*WasteTransportMethod[Emissions Factor
kgCO2e/kg.km]*Calculations[[#This Row],[Total Kg]],0)</f>
        <v>0</v>
      </c>
      <c r="V96" s="322" cm="1">
        <f t="array" ref="V96">IFERROR(VLOOKUP(Calculations[[#This Row],[Waste 1]],WasteScenario[#All],4,FALSE)*'Stage assumptions'!$C$223*WasteTransportMethod[Emissions Factor
kgCO2e/kg.km]*Calculations[[#This Row],[Total Kg]],0)</f>
        <v>0</v>
      </c>
      <c r="W96" s="322" cm="1">
        <f t="array" ref="W96">IFERROR(VLOOKUP(Calculations[[#This Row],[Waste 1]],WasteScenario[#All],5,FALSE)*'Stage assumptions'!$C$226*WasteTransportMethod[Emissions Factor
kgCO2e/kg.km]*Calculations[[#This Row],[Total Kg]],0)</f>
        <v>0</v>
      </c>
      <c r="X96" s="322">
        <f>SUM(Calculations[[#This Row],[C2 Recycle]:[C2 Reuse]])</f>
        <v>0</v>
      </c>
      <c r="Y96" t="str">
        <f>IFERROR(VLOOKUP(Calculations[[#This Row],[Material (choose from dropdown]],MaterialData[#All],5,FALSE),"")</f>
        <v/>
      </c>
      <c r="Z96" s="322">
        <f>IFERROR(((VLOOKUP(Calculations[[#This Row],[Waste type 2]],WasteDisposalEmissions[#All],2,FALSE))*Calculations[[#This Row],[Total Kg]])*VLOOKUP(Calculations[[#This Row],[Waste 1]],WasteScenario[#All],2,FALSE),0)</f>
        <v>0</v>
      </c>
      <c r="AA96" s="322">
        <f>IFERROR((VLOOKUP(Calculations[[#This Row],[Waste type 2]],WasteDisposalEmissions[#All],3,FALSE))*Calculations[[#This Row],[Total Kg]]*VLOOKUP(Calculations[[#This Row],[Waste 1]],WasteScenario[#All],3,FALSE),0)</f>
        <v>0</v>
      </c>
      <c r="AB96" s="322">
        <f>SUM(Calculations[[#This Row],[C3 recyc]:[C3 incin]])</f>
        <v>0</v>
      </c>
      <c r="AC96" s="322">
        <f>IFERROR((VLOOKUP(Calculations[[#This Row],[Waste type 2]],WasteLandfillEmissions[#All],2,FALSE))*Calculations[[#This Row],[Total Kg]]*VLOOKUP(Calculations[[#This Row],[Waste 1]],WasteScenario[#All],4,FALSE),0)</f>
        <v>0</v>
      </c>
      <c r="AD96" s="322">
        <f>IFERROR((VLOOKUP(Calculations[[#This Row],[Waste type 2]],WasteLandfillEmissions[#All],3,FALSE))*Calculations[[#This Row],[Total Kg]]*VLOOKUP(Calculations[[#This Row],[Waste 1]],WasteScenario[#All],4,FALSE),0)</f>
        <v>0</v>
      </c>
      <c r="AE96" s="322">
        <f>SUM(Calculations[[#This Row],[C4 landfill]:[C4 re-use]])</f>
        <v>0</v>
      </c>
      <c r="AF96" s="322">
        <f>IFERROR(VLOOKUP(Calculations[[#This Row],[Material (choose from dropdown]],MaterialData[#All],8,FALSE),0)</f>
        <v>0</v>
      </c>
      <c r="AG96" s="322">
        <f>IFERROR(Calculations[[#This Row],[Total Kg]]*Calculations[[#This Row],[Seq factor]],0)</f>
        <v>0</v>
      </c>
      <c r="AI96" s="322">
        <f>Calculations[[#This Row],[A1-3]]+Calculations[[#This Row],[A4]]+Calculations[[#This Row],[A5]]+Calculations[[#This Row],[B4]]+Calculations[[#This Row],[C2 total]]+Calculations[[#This Row],[C3 total]]+Calculations[[#This Row],[C4 total]]</f>
        <v>0</v>
      </c>
      <c r="AJ96" s="2">
        <f>IFERROR(VLOOKUP(Calculations[[#This Row],[Material (choose from dropdown]],MaterialData[[#Headers],[#Data]],9,FALSE),0)</f>
        <v>0</v>
      </c>
      <c r="AK96" s="4">
        <f>IFERROR(VLOOKUP(Calculations[[#This Row],[Material (choose from dropdown]],MaterialData[[#Headers],[#Data]],10,FALSE),0)</f>
        <v>0</v>
      </c>
      <c r="AL96" s="322">
        <f>IFERROR(Calculations[[#This Row],[Data Quality Score]]*Calculations[[#This Row],[Total Kg]],0)</f>
        <v>0</v>
      </c>
    </row>
    <row r="97" spans="1:38" x14ac:dyDescent="0.3">
      <c r="A97" s="6">
        <f>IFERROR(MaterialsBoQ[[#This Row],[Scope Element]],0)</f>
        <v>0</v>
      </c>
      <c r="B97">
        <f>IFERROR(MaterialsBoQ[[#This Row],[Material ]],"")</f>
        <v>0</v>
      </c>
      <c r="C97">
        <f>IFERROR(MaterialsBoQ[[#This Row],[Unit]],"")</f>
        <v>0</v>
      </c>
      <c r="D97" s="322">
        <f>IFERROR(MaterialsBoQ[[#This Row],[Number]],0)</f>
        <v>0</v>
      </c>
      <c r="E97" s="322">
        <f>IFERROR(MaterialsBoQ[[#This Row],[Kg per unit]],0)</f>
        <v>0</v>
      </c>
      <c r="F97" s="322">
        <f>IFERROR(Calculations[[#This Row],[Number]]*Calculations[[#This Row],[Conversion factor]],0)</f>
        <v>0</v>
      </c>
      <c r="G97" s="322">
        <f>IFERROR(VLOOKUP(Calculations[[#This Row],[Material (choose from dropdown]],MaterialData[#All],7,FALSE),0)</f>
        <v>0</v>
      </c>
      <c r="H97" s="322">
        <f>Calculations[[#This Row],[Total Kg]]*Calculations[[#This Row],[Carbon Factor]]</f>
        <v>0</v>
      </c>
      <c r="I97" t="str">
        <f>IFERROR(VLOOKUP(Calculations[[#This Row],[Material (choose from dropdown]],MaterialData[#All],2,FALSE),"")</f>
        <v/>
      </c>
      <c r="J97" s="322">
        <f>IFERROR(((VLOOKUP(Calculations[[#This Row],[TransportSource]],TransportDistance[],2,FALSE)*'Stage assumptions'!$C$11)+VLOOKUP(Calculations[[#This Row],[TransportSource]],TransportDistance[],3,FALSE)*'Stage assumptions'!$C$12)*Calculations[[#This Row],[Total Kg]],0)</f>
        <v>0</v>
      </c>
      <c r="K97">
        <f>IFERROR(VLOOKUP(Calculations[[#This Row],[Material (choose from dropdown]], MaterialData[#All],3, FALSE),0)</f>
        <v>0</v>
      </c>
      <c r="L97" s="322">
        <f>IFERROR(VLOOKUP(Calculations[[#This Row],[A5type]],A5WastageRate[#All],2,FALSE)*Calculations[[#This Row],[A1-3]],0)</f>
        <v>0</v>
      </c>
      <c r="N97">
        <f>IFERROR(ROUNDUP(50/VLOOKUP(Calculations[[#This Row],[Scope Element]],B4referenceServiceLife[[Tier 2 element]:[Default Service Life]],2, FALSE)-1,0),0)</f>
        <v>0</v>
      </c>
      <c r="O97" s="322">
        <f>IFERROR((Calculations[[#This Row],[A1-3]]+Calculations[[#This Row],[A4]]+Calculations[[#This Row],[A5]]+Calculations[[#This Row],[C2 total]]+Calculations[[#This Row],[C3 total]]+Calculations[[#This Row],[C4 total]])*Calculations[[#This Row],[Replacements]],0)</f>
        <v>0</v>
      </c>
      <c r="S97" t="str">
        <f>IFERROR(VLOOKUP(Calculations[[#This Row],[Material (choose from dropdown]],MaterialData[#All],4,FALSE),"")</f>
        <v/>
      </c>
      <c r="T97" s="322" cm="1">
        <f t="array" ref="T97">IFERROR(VLOOKUP(Calculations[[#This Row],[Waste 1]],WasteScenario[#All],2,FALSE)*'Stage assumptions'!$C$225*WasteTransportMethod[Emissions Factor
kgCO2e/kg.km]*Calculations[[#This Row],[Total Kg]],0)</f>
        <v>0</v>
      </c>
      <c r="U97" s="322" cm="1">
        <f t="array" ref="U97">IFERROR(VLOOKUP(Calculations[[#This Row],[Waste 1]],WasteScenario[#All],3,FALSE)*'Stage assumptions'!$C$224*WasteTransportMethod[Emissions Factor
kgCO2e/kg.km]*Calculations[[#This Row],[Total Kg]],0)</f>
        <v>0</v>
      </c>
      <c r="V97" s="322" cm="1">
        <f t="array" ref="V97">IFERROR(VLOOKUP(Calculations[[#This Row],[Waste 1]],WasteScenario[#All],4,FALSE)*'Stage assumptions'!$C$223*WasteTransportMethod[Emissions Factor
kgCO2e/kg.km]*Calculations[[#This Row],[Total Kg]],0)</f>
        <v>0</v>
      </c>
      <c r="W97" s="322" cm="1">
        <f t="array" ref="W97">IFERROR(VLOOKUP(Calculations[[#This Row],[Waste 1]],WasteScenario[#All],5,FALSE)*'Stage assumptions'!$C$226*WasteTransportMethod[Emissions Factor
kgCO2e/kg.km]*Calculations[[#This Row],[Total Kg]],0)</f>
        <v>0</v>
      </c>
      <c r="X97" s="322">
        <f>SUM(Calculations[[#This Row],[C2 Recycle]:[C2 Reuse]])</f>
        <v>0</v>
      </c>
      <c r="Y97" t="str">
        <f>IFERROR(VLOOKUP(Calculations[[#This Row],[Material (choose from dropdown]],MaterialData[#All],5,FALSE),"")</f>
        <v/>
      </c>
      <c r="Z97" s="322">
        <f>IFERROR(((VLOOKUP(Calculations[[#This Row],[Waste type 2]],WasteDisposalEmissions[#All],2,FALSE))*Calculations[[#This Row],[Total Kg]])*VLOOKUP(Calculations[[#This Row],[Waste 1]],WasteScenario[#All],2,FALSE),0)</f>
        <v>0</v>
      </c>
      <c r="AA97" s="322">
        <f>IFERROR((VLOOKUP(Calculations[[#This Row],[Waste type 2]],WasteDisposalEmissions[#All],3,FALSE))*Calculations[[#This Row],[Total Kg]]*VLOOKUP(Calculations[[#This Row],[Waste 1]],WasteScenario[#All],3,FALSE),0)</f>
        <v>0</v>
      </c>
      <c r="AB97" s="322">
        <f>SUM(Calculations[[#This Row],[C3 recyc]:[C3 incin]])</f>
        <v>0</v>
      </c>
      <c r="AC97" s="322">
        <f>IFERROR((VLOOKUP(Calculations[[#This Row],[Waste type 2]],WasteLandfillEmissions[#All],2,FALSE))*Calculations[[#This Row],[Total Kg]]*VLOOKUP(Calculations[[#This Row],[Waste 1]],WasteScenario[#All],4,FALSE),0)</f>
        <v>0</v>
      </c>
      <c r="AD97" s="322">
        <f>IFERROR((VLOOKUP(Calculations[[#This Row],[Waste type 2]],WasteLandfillEmissions[#All],3,FALSE))*Calculations[[#This Row],[Total Kg]]*VLOOKUP(Calculations[[#This Row],[Waste 1]],WasteScenario[#All],4,FALSE),0)</f>
        <v>0</v>
      </c>
      <c r="AE97" s="322">
        <f>SUM(Calculations[[#This Row],[C4 landfill]:[C4 re-use]])</f>
        <v>0</v>
      </c>
      <c r="AF97" s="322">
        <f>IFERROR(VLOOKUP(Calculations[[#This Row],[Material (choose from dropdown]],MaterialData[#All],8,FALSE),0)</f>
        <v>0</v>
      </c>
      <c r="AG97" s="322">
        <f>IFERROR(Calculations[[#This Row],[Total Kg]]*Calculations[[#This Row],[Seq factor]],0)</f>
        <v>0</v>
      </c>
      <c r="AI97" s="322">
        <f>Calculations[[#This Row],[A1-3]]+Calculations[[#This Row],[A4]]+Calculations[[#This Row],[A5]]+Calculations[[#This Row],[B4]]+Calculations[[#This Row],[C2 total]]+Calculations[[#This Row],[C3 total]]+Calculations[[#This Row],[C4 total]]</f>
        <v>0</v>
      </c>
      <c r="AJ97" s="2">
        <f>IFERROR(VLOOKUP(Calculations[[#This Row],[Material (choose from dropdown]],MaterialData[[#Headers],[#Data]],9,FALSE),0)</f>
        <v>0</v>
      </c>
      <c r="AK97" s="4">
        <f>IFERROR(VLOOKUP(Calculations[[#This Row],[Material (choose from dropdown]],MaterialData[[#Headers],[#Data]],10,FALSE),0)</f>
        <v>0</v>
      </c>
      <c r="AL97" s="322">
        <f>IFERROR(Calculations[[#This Row],[Data Quality Score]]*Calculations[[#This Row],[Total Kg]],0)</f>
        <v>0</v>
      </c>
    </row>
    <row r="98" spans="1:38" x14ac:dyDescent="0.3">
      <c r="A98" s="6">
        <f>IFERROR(MaterialsBoQ[[#This Row],[Scope Element]],0)</f>
        <v>0</v>
      </c>
      <c r="B98">
        <f>IFERROR(MaterialsBoQ[[#This Row],[Material ]],"")</f>
        <v>0</v>
      </c>
      <c r="C98">
        <f>IFERROR(MaterialsBoQ[[#This Row],[Unit]],"")</f>
        <v>0</v>
      </c>
      <c r="D98" s="322">
        <f>IFERROR(MaterialsBoQ[[#This Row],[Number]],0)</f>
        <v>0</v>
      </c>
      <c r="E98" s="322">
        <f>IFERROR(MaterialsBoQ[[#This Row],[Kg per unit]],0)</f>
        <v>0</v>
      </c>
      <c r="F98" s="322">
        <f>IFERROR(Calculations[[#This Row],[Number]]*Calculations[[#This Row],[Conversion factor]],0)</f>
        <v>0</v>
      </c>
      <c r="G98" s="322">
        <f>IFERROR(VLOOKUP(Calculations[[#This Row],[Material (choose from dropdown]],MaterialData[#All],7,FALSE),0)</f>
        <v>0</v>
      </c>
      <c r="H98" s="322">
        <f>Calculations[[#This Row],[Total Kg]]*Calculations[[#This Row],[Carbon Factor]]</f>
        <v>0</v>
      </c>
      <c r="I98" t="str">
        <f>IFERROR(VLOOKUP(Calculations[[#This Row],[Material (choose from dropdown]],MaterialData[#All],2,FALSE),"")</f>
        <v/>
      </c>
      <c r="J98" s="322">
        <f>IFERROR(((VLOOKUP(Calculations[[#This Row],[TransportSource]],TransportDistance[],2,FALSE)*'Stage assumptions'!$C$11)+VLOOKUP(Calculations[[#This Row],[TransportSource]],TransportDistance[],3,FALSE)*'Stage assumptions'!$C$12)*Calculations[[#This Row],[Total Kg]],0)</f>
        <v>0</v>
      </c>
      <c r="K98">
        <f>IFERROR(VLOOKUP(Calculations[[#This Row],[Material (choose from dropdown]], MaterialData[#All],3, FALSE),0)</f>
        <v>0</v>
      </c>
      <c r="L98" s="322">
        <f>IFERROR(VLOOKUP(Calculations[[#This Row],[A5type]],A5WastageRate[#All],2,FALSE)*Calculations[[#This Row],[A1-3]],0)</f>
        <v>0</v>
      </c>
      <c r="N98">
        <f>IFERROR(ROUNDUP(50/VLOOKUP(Calculations[[#This Row],[Scope Element]],B4referenceServiceLife[[Tier 2 element]:[Default Service Life]],2, FALSE)-1,0),0)</f>
        <v>0</v>
      </c>
      <c r="O98" s="322">
        <f>IFERROR((Calculations[[#This Row],[A1-3]]+Calculations[[#This Row],[A4]]+Calculations[[#This Row],[A5]]+Calculations[[#This Row],[C2 total]]+Calculations[[#This Row],[C3 total]]+Calculations[[#This Row],[C4 total]])*Calculations[[#This Row],[Replacements]],0)</f>
        <v>0</v>
      </c>
      <c r="S98" t="str">
        <f>IFERROR(VLOOKUP(Calculations[[#This Row],[Material (choose from dropdown]],MaterialData[#All],4,FALSE),"")</f>
        <v/>
      </c>
      <c r="T98" s="322" cm="1">
        <f t="array" ref="T98">IFERROR(VLOOKUP(Calculations[[#This Row],[Waste 1]],WasteScenario[#All],2,FALSE)*'Stage assumptions'!$C$225*WasteTransportMethod[Emissions Factor
kgCO2e/kg.km]*Calculations[[#This Row],[Total Kg]],0)</f>
        <v>0</v>
      </c>
      <c r="U98" s="322" cm="1">
        <f t="array" ref="U98">IFERROR(VLOOKUP(Calculations[[#This Row],[Waste 1]],WasteScenario[#All],3,FALSE)*'Stage assumptions'!$C$224*WasteTransportMethod[Emissions Factor
kgCO2e/kg.km]*Calculations[[#This Row],[Total Kg]],0)</f>
        <v>0</v>
      </c>
      <c r="V98" s="322" cm="1">
        <f t="array" ref="V98">IFERROR(VLOOKUP(Calculations[[#This Row],[Waste 1]],WasteScenario[#All],4,FALSE)*'Stage assumptions'!$C$223*WasteTransportMethod[Emissions Factor
kgCO2e/kg.km]*Calculations[[#This Row],[Total Kg]],0)</f>
        <v>0</v>
      </c>
      <c r="W98" s="322" cm="1">
        <f t="array" ref="W98">IFERROR(VLOOKUP(Calculations[[#This Row],[Waste 1]],WasteScenario[#All],5,FALSE)*'Stage assumptions'!$C$226*WasteTransportMethod[Emissions Factor
kgCO2e/kg.km]*Calculations[[#This Row],[Total Kg]],0)</f>
        <v>0</v>
      </c>
      <c r="X98" s="322">
        <f>SUM(Calculations[[#This Row],[C2 Recycle]:[C2 Reuse]])</f>
        <v>0</v>
      </c>
      <c r="Y98" t="str">
        <f>IFERROR(VLOOKUP(Calculations[[#This Row],[Material (choose from dropdown]],MaterialData[#All],5,FALSE),"")</f>
        <v/>
      </c>
      <c r="Z98" s="322">
        <f>IFERROR(((VLOOKUP(Calculations[[#This Row],[Waste type 2]],WasteDisposalEmissions[#All],2,FALSE))*Calculations[[#This Row],[Total Kg]])*VLOOKUP(Calculations[[#This Row],[Waste 1]],WasteScenario[#All],2,FALSE),0)</f>
        <v>0</v>
      </c>
      <c r="AA98" s="322">
        <f>IFERROR((VLOOKUP(Calculations[[#This Row],[Waste type 2]],WasteDisposalEmissions[#All],3,FALSE))*Calculations[[#This Row],[Total Kg]]*VLOOKUP(Calculations[[#This Row],[Waste 1]],WasteScenario[#All],3,FALSE),0)</f>
        <v>0</v>
      </c>
      <c r="AB98" s="322">
        <f>SUM(Calculations[[#This Row],[C3 recyc]:[C3 incin]])</f>
        <v>0</v>
      </c>
      <c r="AC98" s="322">
        <f>IFERROR((VLOOKUP(Calculations[[#This Row],[Waste type 2]],WasteLandfillEmissions[#All],2,FALSE))*Calculations[[#This Row],[Total Kg]]*VLOOKUP(Calculations[[#This Row],[Waste 1]],WasteScenario[#All],4,FALSE),0)</f>
        <v>0</v>
      </c>
      <c r="AD98" s="322">
        <f>IFERROR((VLOOKUP(Calculations[[#This Row],[Waste type 2]],WasteLandfillEmissions[#All],3,FALSE))*Calculations[[#This Row],[Total Kg]]*VLOOKUP(Calculations[[#This Row],[Waste 1]],WasteScenario[#All],4,FALSE),0)</f>
        <v>0</v>
      </c>
      <c r="AE98" s="322">
        <f>SUM(Calculations[[#This Row],[C4 landfill]:[C4 re-use]])</f>
        <v>0</v>
      </c>
      <c r="AF98" s="322">
        <f>IFERROR(VLOOKUP(Calculations[[#This Row],[Material (choose from dropdown]],MaterialData[#All],8,FALSE),0)</f>
        <v>0</v>
      </c>
      <c r="AG98" s="322">
        <f>IFERROR(Calculations[[#This Row],[Total Kg]]*Calculations[[#This Row],[Seq factor]],0)</f>
        <v>0</v>
      </c>
      <c r="AI98" s="322">
        <f>Calculations[[#This Row],[A1-3]]+Calculations[[#This Row],[A4]]+Calculations[[#This Row],[A5]]+Calculations[[#This Row],[B4]]+Calculations[[#This Row],[C2 total]]+Calculations[[#This Row],[C3 total]]+Calculations[[#This Row],[C4 total]]</f>
        <v>0</v>
      </c>
      <c r="AJ98" s="2">
        <f>IFERROR(VLOOKUP(Calculations[[#This Row],[Material (choose from dropdown]],MaterialData[[#Headers],[#Data]],9,FALSE),0)</f>
        <v>0</v>
      </c>
      <c r="AK98" s="4">
        <f>IFERROR(VLOOKUP(Calculations[[#This Row],[Material (choose from dropdown]],MaterialData[[#Headers],[#Data]],10,FALSE),0)</f>
        <v>0</v>
      </c>
      <c r="AL98" s="322">
        <f>IFERROR(Calculations[[#This Row],[Data Quality Score]]*Calculations[[#This Row],[Total Kg]],0)</f>
        <v>0</v>
      </c>
    </row>
    <row r="99" spans="1:38" x14ac:dyDescent="0.3">
      <c r="A99" s="6">
        <f>IFERROR(MaterialsBoQ[[#This Row],[Scope Element]],0)</f>
        <v>0</v>
      </c>
      <c r="B99">
        <f>IFERROR(MaterialsBoQ[[#This Row],[Material ]],"")</f>
        <v>0</v>
      </c>
      <c r="C99">
        <f>IFERROR(MaterialsBoQ[[#This Row],[Unit]],"")</f>
        <v>0</v>
      </c>
      <c r="D99" s="322">
        <f>IFERROR(MaterialsBoQ[[#This Row],[Number]],0)</f>
        <v>0</v>
      </c>
      <c r="E99" s="322">
        <f>IFERROR(MaterialsBoQ[[#This Row],[Kg per unit]],0)</f>
        <v>0</v>
      </c>
      <c r="F99" s="322">
        <f>IFERROR(Calculations[[#This Row],[Number]]*Calculations[[#This Row],[Conversion factor]],0)</f>
        <v>0</v>
      </c>
      <c r="G99" s="322">
        <f>IFERROR(VLOOKUP(Calculations[[#This Row],[Material (choose from dropdown]],MaterialData[#All],7,FALSE),0)</f>
        <v>0</v>
      </c>
      <c r="H99" s="322">
        <f>Calculations[[#This Row],[Total Kg]]*Calculations[[#This Row],[Carbon Factor]]</f>
        <v>0</v>
      </c>
      <c r="I99" t="str">
        <f>IFERROR(VLOOKUP(Calculations[[#This Row],[Material (choose from dropdown]],MaterialData[#All],2,FALSE),"")</f>
        <v/>
      </c>
      <c r="J99" s="322">
        <f>IFERROR(((VLOOKUP(Calculations[[#This Row],[TransportSource]],TransportDistance[],2,FALSE)*'Stage assumptions'!$C$11)+VLOOKUP(Calculations[[#This Row],[TransportSource]],TransportDistance[],3,FALSE)*'Stage assumptions'!$C$12)*Calculations[[#This Row],[Total Kg]],0)</f>
        <v>0</v>
      </c>
      <c r="K99">
        <f>IFERROR(VLOOKUP(Calculations[[#This Row],[Material (choose from dropdown]], MaterialData[#All],3, FALSE),0)</f>
        <v>0</v>
      </c>
      <c r="L99" s="322">
        <f>IFERROR(VLOOKUP(Calculations[[#This Row],[A5type]],A5WastageRate[#All],2,FALSE)*Calculations[[#This Row],[A1-3]],0)</f>
        <v>0</v>
      </c>
      <c r="N99">
        <f>IFERROR(ROUNDUP(50/VLOOKUP(Calculations[[#This Row],[Scope Element]],B4referenceServiceLife[[Tier 2 element]:[Default Service Life]],2, FALSE)-1,0),0)</f>
        <v>0</v>
      </c>
      <c r="O99" s="322">
        <f>IFERROR((Calculations[[#This Row],[A1-3]]+Calculations[[#This Row],[A4]]+Calculations[[#This Row],[A5]]+Calculations[[#This Row],[C2 total]]+Calculations[[#This Row],[C3 total]]+Calculations[[#This Row],[C4 total]])*Calculations[[#This Row],[Replacements]],0)</f>
        <v>0</v>
      </c>
      <c r="S99" t="str">
        <f>IFERROR(VLOOKUP(Calculations[[#This Row],[Material (choose from dropdown]],MaterialData[#All],4,FALSE),"")</f>
        <v/>
      </c>
      <c r="T99" s="322" cm="1">
        <f t="array" ref="T99">IFERROR(VLOOKUP(Calculations[[#This Row],[Waste 1]],WasteScenario[#All],2,FALSE)*'Stage assumptions'!$C$225*WasteTransportMethod[Emissions Factor
kgCO2e/kg.km]*Calculations[[#This Row],[Total Kg]],0)</f>
        <v>0</v>
      </c>
      <c r="U99" s="322" cm="1">
        <f t="array" ref="U99">IFERROR(VLOOKUP(Calculations[[#This Row],[Waste 1]],WasteScenario[#All],3,FALSE)*'Stage assumptions'!$C$224*WasteTransportMethod[Emissions Factor
kgCO2e/kg.km]*Calculations[[#This Row],[Total Kg]],0)</f>
        <v>0</v>
      </c>
      <c r="V99" s="322" cm="1">
        <f t="array" ref="V99">IFERROR(VLOOKUP(Calculations[[#This Row],[Waste 1]],WasteScenario[#All],4,FALSE)*'Stage assumptions'!$C$223*WasteTransportMethod[Emissions Factor
kgCO2e/kg.km]*Calculations[[#This Row],[Total Kg]],0)</f>
        <v>0</v>
      </c>
      <c r="W99" s="322" cm="1">
        <f t="array" ref="W99">IFERROR(VLOOKUP(Calculations[[#This Row],[Waste 1]],WasteScenario[#All],5,FALSE)*'Stage assumptions'!$C$226*WasteTransportMethod[Emissions Factor
kgCO2e/kg.km]*Calculations[[#This Row],[Total Kg]],0)</f>
        <v>0</v>
      </c>
      <c r="X99" s="322">
        <f>SUM(Calculations[[#This Row],[C2 Recycle]:[C2 Reuse]])</f>
        <v>0</v>
      </c>
      <c r="Y99" t="str">
        <f>IFERROR(VLOOKUP(Calculations[[#This Row],[Material (choose from dropdown]],MaterialData[#All],5,FALSE),"")</f>
        <v/>
      </c>
      <c r="Z99" s="322">
        <f>IFERROR(((VLOOKUP(Calculations[[#This Row],[Waste type 2]],WasteDisposalEmissions[#All],2,FALSE))*Calculations[[#This Row],[Total Kg]])*VLOOKUP(Calculations[[#This Row],[Waste 1]],WasteScenario[#All],2,FALSE),0)</f>
        <v>0</v>
      </c>
      <c r="AA99" s="322">
        <f>IFERROR((VLOOKUP(Calculations[[#This Row],[Waste type 2]],WasteDisposalEmissions[#All],3,FALSE))*Calculations[[#This Row],[Total Kg]]*VLOOKUP(Calculations[[#This Row],[Waste 1]],WasteScenario[#All],3,FALSE),0)</f>
        <v>0</v>
      </c>
      <c r="AB99" s="322">
        <f>SUM(Calculations[[#This Row],[C3 recyc]:[C3 incin]])</f>
        <v>0</v>
      </c>
      <c r="AC99" s="322">
        <f>IFERROR((VLOOKUP(Calculations[[#This Row],[Waste type 2]],WasteLandfillEmissions[#All],2,FALSE))*Calculations[[#This Row],[Total Kg]]*VLOOKUP(Calculations[[#This Row],[Waste 1]],WasteScenario[#All],4,FALSE),0)</f>
        <v>0</v>
      </c>
      <c r="AD99" s="322">
        <f>IFERROR((VLOOKUP(Calculations[[#This Row],[Waste type 2]],WasteLandfillEmissions[#All],3,FALSE))*Calculations[[#This Row],[Total Kg]]*VLOOKUP(Calculations[[#This Row],[Waste 1]],WasteScenario[#All],4,FALSE),0)</f>
        <v>0</v>
      </c>
      <c r="AE99" s="322">
        <f>SUM(Calculations[[#This Row],[C4 landfill]:[C4 re-use]])</f>
        <v>0</v>
      </c>
      <c r="AF99" s="322">
        <f>IFERROR(VLOOKUP(Calculations[[#This Row],[Material (choose from dropdown]],MaterialData[#All],8,FALSE),0)</f>
        <v>0</v>
      </c>
      <c r="AG99" s="322">
        <f>IFERROR(Calculations[[#This Row],[Total Kg]]*Calculations[[#This Row],[Seq factor]],0)</f>
        <v>0</v>
      </c>
      <c r="AI99" s="322">
        <f>Calculations[[#This Row],[A1-3]]+Calculations[[#This Row],[A4]]+Calculations[[#This Row],[A5]]+Calculations[[#This Row],[B4]]+Calculations[[#This Row],[C2 total]]+Calculations[[#This Row],[C3 total]]+Calculations[[#This Row],[C4 total]]</f>
        <v>0</v>
      </c>
      <c r="AJ99" s="2">
        <f>IFERROR(VLOOKUP(Calculations[[#This Row],[Material (choose from dropdown]],MaterialData[[#Headers],[#Data]],9,FALSE),0)</f>
        <v>0</v>
      </c>
      <c r="AK99" s="4">
        <f>IFERROR(VLOOKUP(Calculations[[#This Row],[Material (choose from dropdown]],MaterialData[[#Headers],[#Data]],10,FALSE),0)</f>
        <v>0</v>
      </c>
      <c r="AL99" s="322">
        <f>IFERROR(Calculations[[#This Row],[Data Quality Score]]*Calculations[[#This Row],[Total Kg]],0)</f>
        <v>0</v>
      </c>
    </row>
    <row r="100" spans="1:38" x14ac:dyDescent="0.3">
      <c r="A100" s="6">
        <f>IFERROR(MaterialsBoQ[[#This Row],[Scope Element]],0)</f>
        <v>0</v>
      </c>
      <c r="B100">
        <f>IFERROR(MaterialsBoQ[[#This Row],[Material ]],"")</f>
        <v>0</v>
      </c>
      <c r="C100">
        <f>IFERROR(MaterialsBoQ[[#This Row],[Unit]],"")</f>
        <v>0</v>
      </c>
      <c r="D100" s="322">
        <f>IFERROR(MaterialsBoQ[[#This Row],[Number]],0)</f>
        <v>0</v>
      </c>
      <c r="E100" s="322">
        <f>IFERROR(MaterialsBoQ[[#This Row],[Kg per unit]],0)</f>
        <v>0</v>
      </c>
      <c r="F100" s="322">
        <f>IFERROR(Calculations[[#This Row],[Number]]*Calculations[[#This Row],[Conversion factor]],0)</f>
        <v>0</v>
      </c>
      <c r="G100" s="322">
        <f>IFERROR(VLOOKUP(Calculations[[#This Row],[Material (choose from dropdown]],MaterialData[#All],7,FALSE),0)</f>
        <v>0</v>
      </c>
      <c r="H100" s="322">
        <f>Calculations[[#This Row],[Total Kg]]*Calculations[[#This Row],[Carbon Factor]]</f>
        <v>0</v>
      </c>
      <c r="I100" t="str">
        <f>IFERROR(VLOOKUP(Calculations[[#This Row],[Material (choose from dropdown]],MaterialData[#All],2,FALSE),"")</f>
        <v/>
      </c>
      <c r="J100" s="322">
        <f>IFERROR(((VLOOKUP(Calculations[[#This Row],[TransportSource]],TransportDistance[],2,FALSE)*'Stage assumptions'!$C$11)+VLOOKUP(Calculations[[#This Row],[TransportSource]],TransportDistance[],3,FALSE)*'Stage assumptions'!$C$12)*Calculations[[#This Row],[Total Kg]],0)</f>
        <v>0</v>
      </c>
      <c r="K100">
        <f>IFERROR(VLOOKUP(Calculations[[#This Row],[Material (choose from dropdown]], MaterialData[#All],3, FALSE),0)</f>
        <v>0</v>
      </c>
      <c r="L100" s="322">
        <f>IFERROR(VLOOKUP(Calculations[[#This Row],[A5type]],A5WastageRate[#All],2,FALSE)*Calculations[[#This Row],[A1-3]],0)</f>
        <v>0</v>
      </c>
      <c r="N100">
        <f>IFERROR(ROUNDUP(50/VLOOKUP(Calculations[[#This Row],[Scope Element]],B4referenceServiceLife[[Tier 2 element]:[Default Service Life]],2, FALSE)-1,0),0)</f>
        <v>0</v>
      </c>
      <c r="O100" s="322">
        <f>IFERROR((Calculations[[#This Row],[A1-3]]+Calculations[[#This Row],[A4]]+Calculations[[#This Row],[A5]]+Calculations[[#This Row],[C2 total]]+Calculations[[#This Row],[C3 total]]+Calculations[[#This Row],[C4 total]])*Calculations[[#This Row],[Replacements]],0)</f>
        <v>0</v>
      </c>
      <c r="S100" t="str">
        <f>IFERROR(VLOOKUP(Calculations[[#This Row],[Material (choose from dropdown]],MaterialData[#All],4,FALSE),"")</f>
        <v/>
      </c>
      <c r="T100" s="322" cm="1">
        <f t="array" ref="T100">IFERROR(VLOOKUP(Calculations[[#This Row],[Waste 1]],WasteScenario[#All],2,FALSE)*'Stage assumptions'!$C$225*WasteTransportMethod[Emissions Factor
kgCO2e/kg.km]*Calculations[[#This Row],[Total Kg]],0)</f>
        <v>0</v>
      </c>
      <c r="U100" s="322" cm="1">
        <f t="array" ref="U100">IFERROR(VLOOKUP(Calculations[[#This Row],[Waste 1]],WasteScenario[#All],3,FALSE)*'Stage assumptions'!$C$224*WasteTransportMethod[Emissions Factor
kgCO2e/kg.km]*Calculations[[#This Row],[Total Kg]],0)</f>
        <v>0</v>
      </c>
      <c r="V100" s="322" cm="1">
        <f t="array" ref="V100">IFERROR(VLOOKUP(Calculations[[#This Row],[Waste 1]],WasteScenario[#All],4,FALSE)*'Stage assumptions'!$C$223*WasteTransportMethod[Emissions Factor
kgCO2e/kg.km]*Calculations[[#This Row],[Total Kg]],0)</f>
        <v>0</v>
      </c>
      <c r="W100" s="322" cm="1">
        <f t="array" ref="W100">IFERROR(VLOOKUP(Calculations[[#This Row],[Waste 1]],WasteScenario[#All],5,FALSE)*'Stage assumptions'!$C$226*WasteTransportMethod[Emissions Factor
kgCO2e/kg.km]*Calculations[[#This Row],[Total Kg]],0)</f>
        <v>0</v>
      </c>
      <c r="X100" s="322">
        <f>SUM(Calculations[[#This Row],[C2 Recycle]:[C2 Reuse]])</f>
        <v>0</v>
      </c>
      <c r="Y100" t="str">
        <f>IFERROR(VLOOKUP(Calculations[[#This Row],[Material (choose from dropdown]],MaterialData[#All],5,FALSE),"")</f>
        <v/>
      </c>
      <c r="Z100" s="322">
        <f>IFERROR(((VLOOKUP(Calculations[[#This Row],[Waste type 2]],WasteDisposalEmissions[#All],2,FALSE))*Calculations[[#This Row],[Total Kg]])*VLOOKUP(Calculations[[#This Row],[Waste 1]],WasteScenario[#All],2,FALSE),0)</f>
        <v>0</v>
      </c>
      <c r="AA100" s="322">
        <f>IFERROR((VLOOKUP(Calculations[[#This Row],[Waste type 2]],WasteDisposalEmissions[#All],3,FALSE))*Calculations[[#This Row],[Total Kg]]*VLOOKUP(Calculations[[#This Row],[Waste 1]],WasteScenario[#All],3,FALSE),0)</f>
        <v>0</v>
      </c>
      <c r="AB100" s="322">
        <f>SUM(Calculations[[#This Row],[C3 recyc]:[C3 incin]])</f>
        <v>0</v>
      </c>
      <c r="AC100" s="322">
        <f>IFERROR((VLOOKUP(Calculations[[#This Row],[Waste type 2]],WasteLandfillEmissions[#All],2,FALSE))*Calculations[[#This Row],[Total Kg]]*VLOOKUP(Calculations[[#This Row],[Waste 1]],WasteScenario[#All],4,FALSE),0)</f>
        <v>0</v>
      </c>
      <c r="AD100" s="322">
        <f>IFERROR((VLOOKUP(Calculations[[#This Row],[Waste type 2]],WasteLandfillEmissions[#All],3,FALSE))*Calculations[[#This Row],[Total Kg]]*VLOOKUP(Calculations[[#This Row],[Waste 1]],WasteScenario[#All],4,FALSE),0)</f>
        <v>0</v>
      </c>
      <c r="AE100" s="322">
        <f>SUM(Calculations[[#This Row],[C4 landfill]:[C4 re-use]])</f>
        <v>0</v>
      </c>
      <c r="AF100" s="322">
        <f>IFERROR(VLOOKUP(Calculations[[#This Row],[Material (choose from dropdown]],MaterialData[#All],8,FALSE),0)</f>
        <v>0</v>
      </c>
      <c r="AG100" s="322">
        <f>IFERROR(Calculations[[#This Row],[Total Kg]]*Calculations[[#This Row],[Seq factor]],0)</f>
        <v>0</v>
      </c>
      <c r="AI100" s="322">
        <f>Calculations[[#This Row],[A1-3]]+Calculations[[#This Row],[A4]]+Calculations[[#This Row],[A5]]+Calculations[[#This Row],[B4]]+Calculations[[#This Row],[C2 total]]+Calculations[[#This Row],[C3 total]]+Calculations[[#This Row],[C4 total]]</f>
        <v>0</v>
      </c>
      <c r="AJ100" s="2">
        <f>IFERROR(VLOOKUP(Calculations[[#This Row],[Material (choose from dropdown]],MaterialData[[#Headers],[#Data]],9,FALSE),0)</f>
        <v>0</v>
      </c>
      <c r="AK100" s="4">
        <f>IFERROR(VLOOKUP(Calculations[[#This Row],[Material (choose from dropdown]],MaterialData[[#Headers],[#Data]],10,FALSE),0)</f>
        <v>0</v>
      </c>
      <c r="AL100" s="322">
        <f>IFERROR(Calculations[[#This Row],[Data Quality Score]]*Calculations[[#This Row],[Total Kg]],0)</f>
        <v>0</v>
      </c>
    </row>
    <row r="101" spans="1:38" x14ac:dyDescent="0.3">
      <c r="A101" s="6">
        <f>IFERROR(MaterialsBoQ[[#This Row],[Scope Element]],0)</f>
        <v>0</v>
      </c>
      <c r="B101">
        <f>IFERROR(MaterialsBoQ[[#This Row],[Material ]],"")</f>
        <v>0</v>
      </c>
      <c r="C101">
        <f>IFERROR(MaterialsBoQ[[#This Row],[Unit]],"")</f>
        <v>0</v>
      </c>
      <c r="D101" s="322">
        <f>IFERROR(MaterialsBoQ[[#This Row],[Number]],0)</f>
        <v>0</v>
      </c>
      <c r="E101" s="322">
        <f>IFERROR(MaterialsBoQ[[#This Row],[Kg per unit]],0)</f>
        <v>0</v>
      </c>
      <c r="F101" s="322">
        <f>IFERROR(Calculations[[#This Row],[Number]]*Calculations[[#This Row],[Conversion factor]],0)</f>
        <v>0</v>
      </c>
      <c r="G101" s="322">
        <f>IFERROR(VLOOKUP(Calculations[[#This Row],[Material (choose from dropdown]],MaterialData[#All],7,FALSE),0)</f>
        <v>0</v>
      </c>
      <c r="H101" s="322">
        <f>Calculations[[#This Row],[Total Kg]]*Calculations[[#This Row],[Carbon Factor]]</f>
        <v>0</v>
      </c>
      <c r="I101" t="str">
        <f>IFERROR(VLOOKUP(Calculations[[#This Row],[Material (choose from dropdown]],MaterialData[#All],2,FALSE),"")</f>
        <v/>
      </c>
      <c r="J101" s="322">
        <f>IFERROR(((VLOOKUP(Calculations[[#This Row],[TransportSource]],TransportDistance[],2,FALSE)*'Stage assumptions'!$C$11)+VLOOKUP(Calculations[[#This Row],[TransportSource]],TransportDistance[],3,FALSE)*'Stage assumptions'!$C$12)*Calculations[[#This Row],[Total Kg]],0)</f>
        <v>0</v>
      </c>
      <c r="K101">
        <f>IFERROR(VLOOKUP(Calculations[[#This Row],[Material (choose from dropdown]], MaterialData[#All],3, FALSE),0)</f>
        <v>0</v>
      </c>
      <c r="L101" s="322">
        <f>IFERROR(VLOOKUP(Calculations[[#This Row],[A5type]],A5WastageRate[#All],2,FALSE)*Calculations[[#This Row],[A1-3]],0)</f>
        <v>0</v>
      </c>
      <c r="N101">
        <f>IFERROR(ROUNDUP(50/VLOOKUP(Calculations[[#This Row],[Scope Element]],B4referenceServiceLife[[Tier 2 element]:[Default Service Life]],2, FALSE)-1,0),0)</f>
        <v>0</v>
      </c>
      <c r="O101" s="322">
        <f>IFERROR((Calculations[[#This Row],[A1-3]]+Calculations[[#This Row],[A4]]+Calculations[[#This Row],[A5]]+Calculations[[#This Row],[C2 total]]+Calculations[[#This Row],[C3 total]]+Calculations[[#This Row],[C4 total]])*Calculations[[#This Row],[Replacements]],0)</f>
        <v>0</v>
      </c>
      <c r="S101" t="str">
        <f>IFERROR(VLOOKUP(Calculations[[#This Row],[Material (choose from dropdown]],MaterialData[#All],4,FALSE),"")</f>
        <v/>
      </c>
      <c r="T101" s="322" cm="1">
        <f t="array" ref="T101">IFERROR(VLOOKUP(Calculations[[#This Row],[Waste 1]],WasteScenario[#All],2,FALSE)*'Stage assumptions'!$C$225*WasteTransportMethod[Emissions Factor
kgCO2e/kg.km]*Calculations[[#This Row],[Total Kg]],0)</f>
        <v>0</v>
      </c>
      <c r="U101" s="322" cm="1">
        <f t="array" ref="U101">IFERROR(VLOOKUP(Calculations[[#This Row],[Waste 1]],WasteScenario[#All],3,FALSE)*'Stage assumptions'!$C$224*WasteTransportMethod[Emissions Factor
kgCO2e/kg.km]*Calculations[[#This Row],[Total Kg]],0)</f>
        <v>0</v>
      </c>
      <c r="V101" s="322" cm="1">
        <f t="array" ref="V101">IFERROR(VLOOKUP(Calculations[[#This Row],[Waste 1]],WasteScenario[#All],4,FALSE)*'Stage assumptions'!$C$223*WasteTransportMethod[Emissions Factor
kgCO2e/kg.km]*Calculations[[#This Row],[Total Kg]],0)</f>
        <v>0</v>
      </c>
      <c r="W101" s="322" cm="1">
        <f t="array" ref="W101">IFERROR(VLOOKUP(Calculations[[#This Row],[Waste 1]],WasteScenario[#All],5,FALSE)*'Stage assumptions'!$C$226*WasteTransportMethod[Emissions Factor
kgCO2e/kg.km]*Calculations[[#This Row],[Total Kg]],0)</f>
        <v>0</v>
      </c>
      <c r="X101" s="322">
        <f>SUM(Calculations[[#This Row],[C2 Recycle]:[C2 Reuse]])</f>
        <v>0</v>
      </c>
      <c r="Y101" t="str">
        <f>IFERROR(VLOOKUP(Calculations[[#This Row],[Material (choose from dropdown]],MaterialData[#All],5,FALSE),"")</f>
        <v/>
      </c>
      <c r="Z101" s="322">
        <f>IFERROR(((VLOOKUP(Calculations[[#This Row],[Waste type 2]],WasteDisposalEmissions[#All],2,FALSE))*Calculations[[#This Row],[Total Kg]])*VLOOKUP(Calculations[[#This Row],[Waste 1]],WasteScenario[#All],2,FALSE),0)</f>
        <v>0</v>
      </c>
      <c r="AA101" s="322">
        <f>IFERROR((VLOOKUP(Calculations[[#This Row],[Waste type 2]],WasteDisposalEmissions[#All],3,FALSE))*Calculations[[#This Row],[Total Kg]]*VLOOKUP(Calculations[[#This Row],[Waste 1]],WasteScenario[#All],3,FALSE),0)</f>
        <v>0</v>
      </c>
      <c r="AB101" s="322">
        <f>SUM(Calculations[[#This Row],[C3 recyc]:[C3 incin]])</f>
        <v>0</v>
      </c>
      <c r="AC101" s="322">
        <f>IFERROR((VLOOKUP(Calculations[[#This Row],[Waste type 2]],WasteLandfillEmissions[#All],2,FALSE))*Calculations[[#This Row],[Total Kg]]*VLOOKUP(Calculations[[#This Row],[Waste 1]],WasteScenario[#All],4,FALSE),0)</f>
        <v>0</v>
      </c>
      <c r="AD101" s="322">
        <f>IFERROR((VLOOKUP(Calculations[[#This Row],[Waste type 2]],WasteLandfillEmissions[#All],3,FALSE))*Calculations[[#This Row],[Total Kg]]*VLOOKUP(Calculations[[#This Row],[Waste 1]],WasteScenario[#All],4,FALSE),0)</f>
        <v>0</v>
      </c>
      <c r="AE101" s="322">
        <f>SUM(Calculations[[#This Row],[C4 landfill]:[C4 re-use]])</f>
        <v>0</v>
      </c>
      <c r="AF101" s="322">
        <f>IFERROR(VLOOKUP(Calculations[[#This Row],[Material (choose from dropdown]],MaterialData[#All],8,FALSE),0)</f>
        <v>0</v>
      </c>
      <c r="AG101" s="322">
        <f>IFERROR(Calculations[[#This Row],[Total Kg]]*Calculations[[#This Row],[Seq factor]],0)</f>
        <v>0</v>
      </c>
      <c r="AI101" s="322">
        <f>Calculations[[#This Row],[A1-3]]+Calculations[[#This Row],[A4]]+Calculations[[#This Row],[A5]]+Calculations[[#This Row],[B4]]+Calculations[[#This Row],[C2 total]]+Calculations[[#This Row],[C3 total]]+Calculations[[#This Row],[C4 total]]</f>
        <v>0</v>
      </c>
      <c r="AJ101" s="2">
        <f>IFERROR(VLOOKUP(Calculations[[#This Row],[Material (choose from dropdown]],MaterialData[[#Headers],[#Data]],9,FALSE),0)</f>
        <v>0</v>
      </c>
      <c r="AK101" s="4">
        <f>IFERROR(VLOOKUP(Calculations[[#This Row],[Material (choose from dropdown]],MaterialData[[#Headers],[#Data]],10,FALSE),0)</f>
        <v>0</v>
      </c>
      <c r="AL101" s="322">
        <f>IFERROR(Calculations[[#This Row],[Data Quality Score]]*Calculations[[#This Row],[Total Kg]],0)</f>
        <v>0</v>
      </c>
    </row>
    <row r="102" spans="1:38" x14ac:dyDescent="0.3">
      <c r="A102" s="6">
        <f>IFERROR(MaterialsBoQ[[#This Row],[Scope Element]],0)</f>
        <v>0</v>
      </c>
      <c r="B102">
        <f>IFERROR(MaterialsBoQ[[#This Row],[Material ]],"")</f>
        <v>0</v>
      </c>
      <c r="C102">
        <f>IFERROR(MaterialsBoQ[[#This Row],[Unit]],"")</f>
        <v>0</v>
      </c>
      <c r="D102" s="322">
        <f>IFERROR(MaterialsBoQ[[#This Row],[Number]],0)</f>
        <v>0</v>
      </c>
      <c r="E102" s="322">
        <f>IFERROR(MaterialsBoQ[[#This Row],[Kg per unit]],0)</f>
        <v>0</v>
      </c>
      <c r="F102" s="322">
        <f>IFERROR(Calculations[[#This Row],[Number]]*Calculations[[#This Row],[Conversion factor]],0)</f>
        <v>0</v>
      </c>
      <c r="G102" s="322">
        <f>IFERROR(VLOOKUP(Calculations[[#This Row],[Material (choose from dropdown]],MaterialData[#All],7,FALSE),0)</f>
        <v>0</v>
      </c>
      <c r="H102" s="322">
        <f>Calculations[[#This Row],[Total Kg]]*Calculations[[#This Row],[Carbon Factor]]</f>
        <v>0</v>
      </c>
      <c r="I102" t="str">
        <f>IFERROR(VLOOKUP(Calculations[[#This Row],[Material (choose from dropdown]],MaterialData[#All],2,FALSE),"")</f>
        <v/>
      </c>
      <c r="J102" s="322">
        <f>IFERROR(((VLOOKUP(Calculations[[#This Row],[TransportSource]],TransportDistance[],2,FALSE)*'Stage assumptions'!$C$11)+VLOOKUP(Calculations[[#This Row],[TransportSource]],TransportDistance[],3,FALSE)*'Stage assumptions'!$C$12)*Calculations[[#This Row],[Total Kg]],0)</f>
        <v>0</v>
      </c>
      <c r="K102">
        <f>IFERROR(VLOOKUP(Calculations[[#This Row],[Material (choose from dropdown]], MaterialData[#All],3, FALSE),0)</f>
        <v>0</v>
      </c>
      <c r="L102" s="322">
        <f>IFERROR(VLOOKUP(Calculations[[#This Row],[A5type]],A5WastageRate[#All],2,FALSE)*Calculations[[#This Row],[A1-3]],0)</f>
        <v>0</v>
      </c>
      <c r="N102">
        <f>IFERROR(ROUNDUP(50/VLOOKUP(Calculations[[#This Row],[Scope Element]],B4referenceServiceLife[[Tier 2 element]:[Default Service Life]],2, FALSE)-1,0),0)</f>
        <v>0</v>
      </c>
      <c r="O102" s="322">
        <f>IFERROR((Calculations[[#This Row],[A1-3]]+Calculations[[#This Row],[A4]]+Calculations[[#This Row],[A5]]+Calculations[[#This Row],[C2 total]]+Calculations[[#This Row],[C3 total]]+Calculations[[#This Row],[C4 total]])*Calculations[[#This Row],[Replacements]],0)</f>
        <v>0</v>
      </c>
      <c r="S102" t="str">
        <f>IFERROR(VLOOKUP(Calculations[[#This Row],[Material (choose from dropdown]],MaterialData[#All],4,FALSE),"")</f>
        <v/>
      </c>
      <c r="T102" s="322" cm="1">
        <f t="array" ref="T102">IFERROR(VLOOKUP(Calculations[[#This Row],[Waste 1]],WasteScenario[#All],2,FALSE)*'Stage assumptions'!$C$225*WasteTransportMethod[Emissions Factor
kgCO2e/kg.km]*Calculations[[#This Row],[Total Kg]],0)</f>
        <v>0</v>
      </c>
      <c r="U102" s="322" cm="1">
        <f t="array" ref="U102">IFERROR(VLOOKUP(Calculations[[#This Row],[Waste 1]],WasteScenario[#All],3,FALSE)*'Stage assumptions'!$C$224*WasteTransportMethod[Emissions Factor
kgCO2e/kg.km]*Calculations[[#This Row],[Total Kg]],0)</f>
        <v>0</v>
      </c>
      <c r="V102" s="322" cm="1">
        <f t="array" ref="V102">IFERROR(VLOOKUP(Calculations[[#This Row],[Waste 1]],WasteScenario[#All],4,FALSE)*'Stage assumptions'!$C$223*WasteTransportMethod[Emissions Factor
kgCO2e/kg.km]*Calculations[[#This Row],[Total Kg]],0)</f>
        <v>0</v>
      </c>
      <c r="W102" s="322" cm="1">
        <f t="array" ref="W102">IFERROR(VLOOKUP(Calculations[[#This Row],[Waste 1]],WasteScenario[#All],5,FALSE)*'Stage assumptions'!$C$226*WasteTransportMethod[Emissions Factor
kgCO2e/kg.km]*Calculations[[#This Row],[Total Kg]],0)</f>
        <v>0</v>
      </c>
      <c r="X102" s="322">
        <f>SUM(Calculations[[#This Row],[C2 Recycle]:[C2 Reuse]])</f>
        <v>0</v>
      </c>
      <c r="Y102" t="str">
        <f>IFERROR(VLOOKUP(Calculations[[#This Row],[Material (choose from dropdown]],MaterialData[#All],5,FALSE),"")</f>
        <v/>
      </c>
      <c r="Z102" s="322">
        <f>IFERROR(((VLOOKUP(Calculations[[#This Row],[Waste type 2]],WasteDisposalEmissions[#All],2,FALSE))*Calculations[[#This Row],[Total Kg]])*VLOOKUP(Calculations[[#This Row],[Waste 1]],WasteScenario[#All],2,FALSE),0)</f>
        <v>0</v>
      </c>
      <c r="AA102" s="322">
        <f>IFERROR((VLOOKUP(Calculations[[#This Row],[Waste type 2]],WasteDisposalEmissions[#All],3,FALSE))*Calculations[[#This Row],[Total Kg]]*VLOOKUP(Calculations[[#This Row],[Waste 1]],WasteScenario[#All],3,FALSE),0)</f>
        <v>0</v>
      </c>
      <c r="AB102" s="322">
        <f>SUM(Calculations[[#This Row],[C3 recyc]:[C3 incin]])</f>
        <v>0</v>
      </c>
      <c r="AC102" s="322">
        <f>IFERROR((VLOOKUP(Calculations[[#This Row],[Waste type 2]],WasteLandfillEmissions[#All],2,FALSE))*Calculations[[#This Row],[Total Kg]]*VLOOKUP(Calculations[[#This Row],[Waste 1]],WasteScenario[#All],4,FALSE),0)</f>
        <v>0</v>
      </c>
      <c r="AD102" s="322">
        <f>IFERROR((VLOOKUP(Calculations[[#This Row],[Waste type 2]],WasteLandfillEmissions[#All],3,FALSE))*Calculations[[#This Row],[Total Kg]]*VLOOKUP(Calculations[[#This Row],[Waste 1]],WasteScenario[#All],4,FALSE),0)</f>
        <v>0</v>
      </c>
      <c r="AE102" s="322">
        <f>SUM(Calculations[[#This Row],[C4 landfill]:[C4 re-use]])</f>
        <v>0</v>
      </c>
      <c r="AF102" s="322">
        <f>IFERROR(VLOOKUP(Calculations[[#This Row],[Material (choose from dropdown]],MaterialData[#All],8,FALSE),0)</f>
        <v>0</v>
      </c>
      <c r="AG102" s="322">
        <f>IFERROR(Calculations[[#This Row],[Total Kg]]*Calculations[[#This Row],[Seq factor]],0)</f>
        <v>0</v>
      </c>
      <c r="AI102" s="322">
        <f>Calculations[[#This Row],[A1-3]]+Calculations[[#This Row],[A4]]+Calculations[[#This Row],[A5]]+Calculations[[#This Row],[B4]]+Calculations[[#This Row],[C2 total]]+Calculations[[#This Row],[C3 total]]+Calculations[[#This Row],[C4 total]]</f>
        <v>0</v>
      </c>
      <c r="AJ102" s="2">
        <f>IFERROR(VLOOKUP(Calculations[[#This Row],[Material (choose from dropdown]],MaterialData[[#Headers],[#Data]],9,FALSE),0)</f>
        <v>0</v>
      </c>
      <c r="AK102" s="4">
        <f>IFERROR(VLOOKUP(Calculations[[#This Row],[Material (choose from dropdown]],MaterialData[[#Headers],[#Data]],10,FALSE),0)</f>
        <v>0</v>
      </c>
      <c r="AL102" s="322">
        <f>IFERROR(Calculations[[#This Row],[Data Quality Score]]*Calculations[[#This Row],[Total Kg]],0)</f>
        <v>0</v>
      </c>
    </row>
    <row r="103" spans="1:38" x14ac:dyDescent="0.3">
      <c r="A103" s="6">
        <f>IFERROR(MaterialsBoQ[[#This Row],[Scope Element]],0)</f>
        <v>0</v>
      </c>
      <c r="B103">
        <f>IFERROR(MaterialsBoQ[[#This Row],[Material ]],"")</f>
        <v>0</v>
      </c>
      <c r="C103">
        <f>IFERROR(MaterialsBoQ[[#This Row],[Unit]],"")</f>
        <v>0</v>
      </c>
      <c r="D103" s="322">
        <f>IFERROR(MaterialsBoQ[[#This Row],[Number]],0)</f>
        <v>0</v>
      </c>
      <c r="E103" s="322">
        <f>IFERROR(MaterialsBoQ[[#This Row],[Kg per unit]],0)</f>
        <v>0</v>
      </c>
      <c r="F103" s="322">
        <f>IFERROR(Calculations[[#This Row],[Number]]*Calculations[[#This Row],[Conversion factor]],0)</f>
        <v>0</v>
      </c>
      <c r="G103" s="322">
        <f>IFERROR(VLOOKUP(Calculations[[#This Row],[Material (choose from dropdown]],MaterialData[#All],7,FALSE),0)</f>
        <v>0</v>
      </c>
      <c r="H103" s="322">
        <f>Calculations[[#This Row],[Total Kg]]*Calculations[[#This Row],[Carbon Factor]]</f>
        <v>0</v>
      </c>
      <c r="I103" t="str">
        <f>IFERROR(VLOOKUP(Calculations[[#This Row],[Material (choose from dropdown]],MaterialData[#All],2,FALSE),"")</f>
        <v/>
      </c>
      <c r="J103" s="322">
        <f>IFERROR(((VLOOKUP(Calculations[[#This Row],[TransportSource]],TransportDistance[],2,FALSE)*'Stage assumptions'!$C$11)+VLOOKUP(Calculations[[#This Row],[TransportSource]],TransportDistance[],3,FALSE)*'Stage assumptions'!$C$12)*Calculations[[#This Row],[Total Kg]],0)</f>
        <v>0</v>
      </c>
      <c r="K103">
        <f>IFERROR(VLOOKUP(Calculations[[#This Row],[Material (choose from dropdown]], MaterialData[#All],3, FALSE),0)</f>
        <v>0</v>
      </c>
      <c r="L103" s="322">
        <f>IFERROR(VLOOKUP(Calculations[[#This Row],[A5type]],A5WastageRate[#All],2,FALSE)*Calculations[[#This Row],[A1-3]],0)</f>
        <v>0</v>
      </c>
      <c r="N103">
        <f>IFERROR(ROUNDUP(50/VLOOKUP(Calculations[[#This Row],[Scope Element]],B4referenceServiceLife[[Tier 2 element]:[Default Service Life]],2, FALSE)-1,0),0)</f>
        <v>0</v>
      </c>
      <c r="O103" s="322">
        <f>IFERROR((Calculations[[#This Row],[A1-3]]+Calculations[[#This Row],[A4]]+Calculations[[#This Row],[A5]]+Calculations[[#This Row],[C2 total]]+Calculations[[#This Row],[C3 total]]+Calculations[[#This Row],[C4 total]])*Calculations[[#This Row],[Replacements]],0)</f>
        <v>0</v>
      </c>
      <c r="S103" t="str">
        <f>IFERROR(VLOOKUP(Calculations[[#This Row],[Material (choose from dropdown]],MaterialData[#All],4,FALSE),"")</f>
        <v/>
      </c>
      <c r="T103" s="322" cm="1">
        <f t="array" ref="T103">IFERROR(VLOOKUP(Calculations[[#This Row],[Waste 1]],WasteScenario[#All],2,FALSE)*'Stage assumptions'!$C$225*WasteTransportMethod[Emissions Factor
kgCO2e/kg.km]*Calculations[[#This Row],[Total Kg]],0)</f>
        <v>0</v>
      </c>
      <c r="U103" s="322" cm="1">
        <f t="array" ref="U103">IFERROR(VLOOKUP(Calculations[[#This Row],[Waste 1]],WasteScenario[#All],3,FALSE)*'Stage assumptions'!$C$224*WasteTransportMethod[Emissions Factor
kgCO2e/kg.km]*Calculations[[#This Row],[Total Kg]],0)</f>
        <v>0</v>
      </c>
      <c r="V103" s="322" cm="1">
        <f t="array" ref="V103">IFERROR(VLOOKUP(Calculations[[#This Row],[Waste 1]],WasteScenario[#All],4,FALSE)*'Stage assumptions'!$C$223*WasteTransportMethod[Emissions Factor
kgCO2e/kg.km]*Calculations[[#This Row],[Total Kg]],0)</f>
        <v>0</v>
      </c>
      <c r="W103" s="322" cm="1">
        <f t="array" ref="W103">IFERROR(VLOOKUP(Calculations[[#This Row],[Waste 1]],WasteScenario[#All],5,FALSE)*'Stage assumptions'!$C$226*WasteTransportMethod[Emissions Factor
kgCO2e/kg.km]*Calculations[[#This Row],[Total Kg]],0)</f>
        <v>0</v>
      </c>
      <c r="X103" s="322">
        <f>SUM(Calculations[[#This Row],[C2 Recycle]:[C2 Reuse]])</f>
        <v>0</v>
      </c>
      <c r="Y103" t="str">
        <f>IFERROR(VLOOKUP(Calculations[[#This Row],[Material (choose from dropdown]],MaterialData[#All],5,FALSE),"")</f>
        <v/>
      </c>
      <c r="Z103" s="322">
        <f>IFERROR(((VLOOKUP(Calculations[[#This Row],[Waste type 2]],WasteDisposalEmissions[#All],2,FALSE))*Calculations[[#This Row],[Total Kg]])*VLOOKUP(Calculations[[#This Row],[Waste 1]],WasteScenario[#All],2,FALSE),0)</f>
        <v>0</v>
      </c>
      <c r="AA103" s="322">
        <f>IFERROR((VLOOKUP(Calculations[[#This Row],[Waste type 2]],WasteDisposalEmissions[#All],3,FALSE))*Calculations[[#This Row],[Total Kg]]*VLOOKUP(Calculations[[#This Row],[Waste 1]],WasteScenario[#All],3,FALSE),0)</f>
        <v>0</v>
      </c>
      <c r="AB103" s="322">
        <f>SUM(Calculations[[#This Row],[C3 recyc]:[C3 incin]])</f>
        <v>0</v>
      </c>
      <c r="AC103" s="322">
        <f>IFERROR((VLOOKUP(Calculations[[#This Row],[Waste type 2]],WasteLandfillEmissions[#All],2,FALSE))*Calculations[[#This Row],[Total Kg]]*VLOOKUP(Calculations[[#This Row],[Waste 1]],WasteScenario[#All],4,FALSE),0)</f>
        <v>0</v>
      </c>
      <c r="AD103" s="322">
        <f>IFERROR((VLOOKUP(Calculations[[#This Row],[Waste type 2]],WasteLandfillEmissions[#All],3,FALSE))*Calculations[[#This Row],[Total Kg]]*VLOOKUP(Calculations[[#This Row],[Waste 1]],WasteScenario[#All],4,FALSE),0)</f>
        <v>0</v>
      </c>
      <c r="AE103" s="322">
        <f>SUM(Calculations[[#This Row],[C4 landfill]:[C4 re-use]])</f>
        <v>0</v>
      </c>
      <c r="AF103" s="322">
        <f>IFERROR(VLOOKUP(Calculations[[#This Row],[Material (choose from dropdown]],MaterialData[#All],8,FALSE),0)</f>
        <v>0</v>
      </c>
      <c r="AG103" s="322">
        <f>IFERROR(Calculations[[#This Row],[Total Kg]]*Calculations[[#This Row],[Seq factor]],0)</f>
        <v>0</v>
      </c>
      <c r="AI103" s="322">
        <f>Calculations[[#This Row],[A1-3]]+Calculations[[#This Row],[A4]]+Calculations[[#This Row],[A5]]+Calculations[[#This Row],[B4]]+Calculations[[#This Row],[C2 total]]+Calculations[[#This Row],[C3 total]]+Calculations[[#This Row],[C4 total]]</f>
        <v>0</v>
      </c>
      <c r="AJ103" s="2">
        <f>IFERROR(VLOOKUP(Calculations[[#This Row],[Material (choose from dropdown]],MaterialData[[#Headers],[#Data]],9,FALSE),0)</f>
        <v>0</v>
      </c>
      <c r="AK103" s="4">
        <f>IFERROR(VLOOKUP(Calculations[[#This Row],[Material (choose from dropdown]],MaterialData[[#Headers],[#Data]],10,FALSE),0)</f>
        <v>0</v>
      </c>
      <c r="AL103" s="322">
        <f>IFERROR(Calculations[[#This Row],[Data Quality Score]]*Calculations[[#This Row],[Total Kg]],0)</f>
        <v>0</v>
      </c>
    </row>
    <row r="104" spans="1:38" x14ac:dyDescent="0.3">
      <c r="A104" s="6">
        <f>IFERROR(MaterialsBoQ[[#This Row],[Scope Element]],0)</f>
        <v>0</v>
      </c>
      <c r="B104">
        <f>IFERROR(MaterialsBoQ[[#This Row],[Material ]],"")</f>
        <v>0</v>
      </c>
      <c r="C104">
        <f>IFERROR(MaterialsBoQ[[#This Row],[Unit]],"")</f>
        <v>0</v>
      </c>
      <c r="D104" s="322">
        <f>IFERROR(MaterialsBoQ[[#This Row],[Number]],0)</f>
        <v>0</v>
      </c>
      <c r="E104" s="322">
        <f>IFERROR(MaterialsBoQ[[#This Row],[Kg per unit]],0)</f>
        <v>0</v>
      </c>
      <c r="F104" s="322">
        <f>IFERROR(Calculations[[#This Row],[Number]]*Calculations[[#This Row],[Conversion factor]],0)</f>
        <v>0</v>
      </c>
      <c r="G104" s="322">
        <f>IFERROR(VLOOKUP(Calculations[[#This Row],[Material (choose from dropdown]],MaterialData[#All],7,FALSE),0)</f>
        <v>0</v>
      </c>
      <c r="H104" s="322">
        <f>Calculations[[#This Row],[Total Kg]]*Calculations[[#This Row],[Carbon Factor]]</f>
        <v>0</v>
      </c>
      <c r="I104" t="str">
        <f>IFERROR(VLOOKUP(Calculations[[#This Row],[Material (choose from dropdown]],MaterialData[#All],2,FALSE),"")</f>
        <v/>
      </c>
      <c r="J104" s="322">
        <f>IFERROR(((VLOOKUP(Calculations[[#This Row],[TransportSource]],TransportDistance[],2,FALSE)*'Stage assumptions'!$C$11)+VLOOKUP(Calculations[[#This Row],[TransportSource]],TransportDistance[],3,FALSE)*'Stage assumptions'!$C$12)*Calculations[[#This Row],[Total Kg]],0)</f>
        <v>0</v>
      </c>
      <c r="K104">
        <f>IFERROR(VLOOKUP(Calculations[[#This Row],[Material (choose from dropdown]], MaterialData[#All],3, FALSE),0)</f>
        <v>0</v>
      </c>
      <c r="L104" s="322">
        <f>IFERROR(VLOOKUP(Calculations[[#This Row],[A5type]],A5WastageRate[#All],2,FALSE)*Calculations[[#This Row],[A1-3]],0)</f>
        <v>0</v>
      </c>
      <c r="N104">
        <f>IFERROR(ROUNDUP(50/VLOOKUP(Calculations[[#This Row],[Scope Element]],B4referenceServiceLife[[Tier 2 element]:[Default Service Life]],2, FALSE)-1,0),0)</f>
        <v>0</v>
      </c>
      <c r="O104" s="322">
        <f>IFERROR((Calculations[[#This Row],[A1-3]]+Calculations[[#This Row],[A4]]+Calculations[[#This Row],[A5]]+Calculations[[#This Row],[C2 total]]+Calculations[[#This Row],[C3 total]]+Calculations[[#This Row],[C4 total]])*Calculations[[#This Row],[Replacements]],0)</f>
        <v>0</v>
      </c>
      <c r="S104" t="str">
        <f>IFERROR(VLOOKUP(Calculations[[#This Row],[Material (choose from dropdown]],MaterialData[#All],4,FALSE),"")</f>
        <v/>
      </c>
      <c r="T104" s="322" cm="1">
        <f t="array" ref="T104">IFERROR(VLOOKUP(Calculations[[#This Row],[Waste 1]],WasteScenario[#All],2,FALSE)*'Stage assumptions'!$C$225*WasteTransportMethod[Emissions Factor
kgCO2e/kg.km]*Calculations[[#This Row],[Total Kg]],0)</f>
        <v>0</v>
      </c>
      <c r="U104" s="322" cm="1">
        <f t="array" ref="U104">IFERROR(VLOOKUP(Calculations[[#This Row],[Waste 1]],WasteScenario[#All],3,FALSE)*'Stage assumptions'!$C$224*WasteTransportMethod[Emissions Factor
kgCO2e/kg.km]*Calculations[[#This Row],[Total Kg]],0)</f>
        <v>0</v>
      </c>
      <c r="V104" s="322" cm="1">
        <f t="array" ref="V104">IFERROR(VLOOKUP(Calculations[[#This Row],[Waste 1]],WasteScenario[#All],4,FALSE)*'Stage assumptions'!$C$223*WasteTransportMethod[Emissions Factor
kgCO2e/kg.km]*Calculations[[#This Row],[Total Kg]],0)</f>
        <v>0</v>
      </c>
      <c r="W104" s="322" cm="1">
        <f t="array" ref="W104">IFERROR(VLOOKUP(Calculations[[#This Row],[Waste 1]],WasteScenario[#All],5,FALSE)*'Stage assumptions'!$C$226*WasteTransportMethod[Emissions Factor
kgCO2e/kg.km]*Calculations[[#This Row],[Total Kg]],0)</f>
        <v>0</v>
      </c>
      <c r="X104" s="322">
        <f>SUM(Calculations[[#This Row],[C2 Recycle]:[C2 Reuse]])</f>
        <v>0</v>
      </c>
      <c r="Y104" t="str">
        <f>IFERROR(VLOOKUP(Calculations[[#This Row],[Material (choose from dropdown]],MaterialData[#All],5,FALSE),"")</f>
        <v/>
      </c>
      <c r="Z104" s="322">
        <f>IFERROR(((VLOOKUP(Calculations[[#This Row],[Waste type 2]],WasteDisposalEmissions[#All],2,FALSE))*Calculations[[#This Row],[Total Kg]])*VLOOKUP(Calculations[[#This Row],[Waste 1]],WasteScenario[#All],2,FALSE),0)</f>
        <v>0</v>
      </c>
      <c r="AA104" s="322">
        <f>IFERROR((VLOOKUP(Calculations[[#This Row],[Waste type 2]],WasteDisposalEmissions[#All],3,FALSE))*Calculations[[#This Row],[Total Kg]]*VLOOKUP(Calculations[[#This Row],[Waste 1]],WasteScenario[#All],3,FALSE),0)</f>
        <v>0</v>
      </c>
      <c r="AB104" s="322">
        <f>SUM(Calculations[[#This Row],[C3 recyc]:[C3 incin]])</f>
        <v>0</v>
      </c>
      <c r="AC104" s="322">
        <f>IFERROR((VLOOKUP(Calculations[[#This Row],[Waste type 2]],WasteLandfillEmissions[#All],2,FALSE))*Calculations[[#This Row],[Total Kg]]*VLOOKUP(Calculations[[#This Row],[Waste 1]],WasteScenario[#All],4,FALSE),0)</f>
        <v>0</v>
      </c>
      <c r="AD104" s="322">
        <f>IFERROR((VLOOKUP(Calculations[[#This Row],[Waste type 2]],WasteLandfillEmissions[#All],3,FALSE))*Calculations[[#This Row],[Total Kg]]*VLOOKUP(Calculations[[#This Row],[Waste 1]],WasteScenario[#All],4,FALSE),0)</f>
        <v>0</v>
      </c>
      <c r="AE104" s="322">
        <f>SUM(Calculations[[#This Row],[C4 landfill]:[C4 re-use]])</f>
        <v>0</v>
      </c>
      <c r="AF104" s="322">
        <f>IFERROR(VLOOKUP(Calculations[[#This Row],[Material (choose from dropdown]],MaterialData[#All],8,FALSE),0)</f>
        <v>0</v>
      </c>
      <c r="AG104" s="322">
        <f>IFERROR(Calculations[[#This Row],[Total Kg]]*Calculations[[#This Row],[Seq factor]],0)</f>
        <v>0</v>
      </c>
      <c r="AI104" s="322">
        <f>Calculations[[#This Row],[A1-3]]+Calculations[[#This Row],[A4]]+Calculations[[#This Row],[A5]]+Calculations[[#This Row],[B4]]+Calculations[[#This Row],[C2 total]]+Calculations[[#This Row],[C3 total]]+Calculations[[#This Row],[C4 total]]</f>
        <v>0</v>
      </c>
      <c r="AJ104" s="2">
        <f>IFERROR(VLOOKUP(Calculations[[#This Row],[Material (choose from dropdown]],MaterialData[[#Headers],[#Data]],9,FALSE),0)</f>
        <v>0</v>
      </c>
      <c r="AK104" s="4">
        <f>IFERROR(VLOOKUP(Calculations[[#This Row],[Material (choose from dropdown]],MaterialData[[#Headers],[#Data]],10,FALSE),0)</f>
        <v>0</v>
      </c>
      <c r="AL104" s="322">
        <f>IFERROR(Calculations[[#This Row],[Data Quality Score]]*Calculations[[#This Row],[Total Kg]],0)</f>
        <v>0</v>
      </c>
    </row>
    <row r="105" spans="1:38" x14ac:dyDescent="0.3">
      <c r="A105" s="6">
        <f>IFERROR(MaterialsBoQ[[#This Row],[Scope Element]],0)</f>
        <v>0</v>
      </c>
      <c r="B105">
        <f>IFERROR(MaterialsBoQ[[#This Row],[Material ]],"")</f>
        <v>0</v>
      </c>
      <c r="C105">
        <f>IFERROR(MaterialsBoQ[[#This Row],[Unit]],"")</f>
        <v>0</v>
      </c>
      <c r="D105" s="322">
        <f>IFERROR(MaterialsBoQ[[#This Row],[Number]],0)</f>
        <v>0</v>
      </c>
      <c r="E105" s="322">
        <f>IFERROR(MaterialsBoQ[[#This Row],[Kg per unit]],0)</f>
        <v>0</v>
      </c>
      <c r="F105" s="322">
        <f>IFERROR(Calculations[[#This Row],[Number]]*Calculations[[#This Row],[Conversion factor]],0)</f>
        <v>0</v>
      </c>
      <c r="G105" s="322">
        <f>IFERROR(VLOOKUP(Calculations[[#This Row],[Material (choose from dropdown]],MaterialData[#All],7,FALSE),0)</f>
        <v>0</v>
      </c>
      <c r="H105" s="322">
        <f>Calculations[[#This Row],[Total Kg]]*Calculations[[#This Row],[Carbon Factor]]</f>
        <v>0</v>
      </c>
      <c r="I105" t="str">
        <f>IFERROR(VLOOKUP(Calculations[[#This Row],[Material (choose from dropdown]],MaterialData[#All],2,FALSE),"")</f>
        <v/>
      </c>
      <c r="J105" s="322">
        <f>IFERROR(((VLOOKUP(Calculations[[#This Row],[TransportSource]],TransportDistance[],2,FALSE)*'Stage assumptions'!$C$11)+VLOOKUP(Calculations[[#This Row],[TransportSource]],TransportDistance[],3,FALSE)*'Stage assumptions'!$C$12)*Calculations[[#This Row],[Total Kg]],0)</f>
        <v>0</v>
      </c>
      <c r="K105">
        <f>IFERROR(VLOOKUP(Calculations[[#This Row],[Material (choose from dropdown]], MaterialData[#All],3, FALSE),0)</f>
        <v>0</v>
      </c>
      <c r="L105" s="322">
        <f>IFERROR(VLOOKUP(Calculations[[#This Row],[A5type]],A5WastageRate[#All],2,FALSE)*Calculations[[#This Row],[A1-3]],0)</f>
        <v>0</v>
      </c>
      <c r="N105">
        <f>IFERROR(ROUNDUP(50/VLOOKUP(Calculations[[#This Row],[Scope Element]],B4referenceServiceLife[[Tier 2 element]:[Default Service Life]],2, FALSE)-1,0),0)</f>
        <v>0</v>
      </c>
      <c r="O105" s="322">
        <f>IFERROR((Calculations[[#This Row],[A1-3]]+Calculations[[#This Row],[A4]]+Calculations[[#This Row],[A5]]+Calculations[[#This Row],[C2 total]]+Calculations[[#This Row],[C3 total]]+Calculations[[#This Row],[C4 total]])*Calculations[[#This Row],[Replacements]],0)</f>
        <v>0</v>
      </c>
      <c r="S105" t="str">
        <f>IFERROR(VLOOKUP(Calculations[[#This Row],[Material (choose from dropdown]],MaterialData[#All],4,FALSE),"")</f>
        <v/>
      </c>
      <c r="T105" s="322" cm="1">
        <f t="array" ref="T105">IFERROR(VLOOKUP(Calculations[[#This Row],[Waste 1]],WasteScenario[#All],2,FALSE)*'Stage assumptions'!$C$225*WasteTransportMethod[Emissions Factor
kgCO2e/kg.km]*Calculations[[#This Row],[Total Kg]],0)</f>
        <v>0</v>
      </c>
      <c r="U105" s="322" cm="1">
        <f t="array" ref="U105">IFERROR(VLOOKUP(Calculations[[#This Row],[Waste 1]],WasteScenario[#All],3,FALSE)*'Stage assumptions'!$C$224*WasteTransportMethod[Emissions Factor
kgCO2e/kg.km]*Calculations[[#This Row],[Total Kg]],0)</f>
        <v>0</v>
      </c>
      <c r="V105" s="322" cm="1">
        <f t="array" ref="V105">IFERROR(VLOOKUP(Calculations[[#This Row],[Waste 1]],WasteScenario[#All],4,FALSE)*'Stage assumptions'!$C$223*WasteTransportMethod[Emissions Factor
kgCO2e/kg.km]*Calculations[[#This Row],[Total Kg]],0)</f>
        <v>0</v>
      </c>
      <c r="W105" s="322" cm="1">
        <f t="array" ref="W105">IFERROR(VLOOKUP(Calculations[[#This Row],[Waste 1]],WasteScenario[#All],5,FALSE)*'Stage assumptions'!$C$226*WasteTransportMethod[Emissions Factor
kgCO2e/kg.km]*Calculations[[#This Row],[Total Kg]],0)</f>
        <v>0</v>
      </c>
      <c r="X105" s="322">
        <f>SUM(Calculations[[#This Row],[C2 Recycle]:[C2 Reuse]])</f>
        <v>0</v>
      </c>
      <c r="Y105" t="str">
        <f>IFERROR(VLOOKUP(Calculations[[#This Row],[Material (choose from dropdown]],MaterialData[#All],5,FALSE),"")</f>
        <v/>
      </c>
      <c r="Z105" s="322">
        <f>IFERROR(((VLOOKUP(Calculations[[#This Row],[Waste type 2]],WasteDisposalEmissions[#All],2,FALSE))*Calculations[[#This Row],[Total Kg]])*VLOOKUP(Calculations[[#This Row],[Waste 1]],WasteScenario[#All],2,FALSE),0)</f>
        <v>0</v>
      </c>
      <c r="AA105" s="322">
        <f>IFERROR((VLOOKUP(Calculations[[#This Row],[Waste type 2]],WasteDisposalEmissions[#All],3,FALSE))*Calculations[[#This Row],[Total Kg]]*VLOOKUP(Calculations[[#This Row],[Waste 1]],WasteScenario[#All],3,FALSE),0)</f>
        <v>0</v>
      </c>
      <c r="AB105" s="322">
        <f>SUM(Calculations[[#This Row],[C3 recyc]:[C3 incin]])</f>
        <v>0</v>
      </c>
      <c r="AC105" s="322">
        <f>IFERROR((VLOOKUP(Calculations[[#This Row],[Waste type 2]],WasteLandfillEmissions[#All],2,FALSE))*Calculations[[#This Row],[Total Kg]]*VLOOKUP(Calculations[[#This Row],[Waste 1]],WasteScenario[#All],4,FALSE),0)</f>
        <v>0</v>
      </c>
      <c r="AD105" s="322">
        <f>IFERROR((VLOOKUP(Calculations[[#This Row],[Waste type 2]],WasteLandfillEmissions[#All],3,FALSE))*Calculations[[#This Row],[Total Kg]]*VLOOKUP(Calculations[[#This Row],[Waste 1]],WasteScenario[#All],4,FALSE),0)</f>
        <v>0</v>
      </c>
      <c r="AE105" s="322">
        <f>SUM(Calculations[[#This Row],[C4 landfill]:[C4 re-use]])</f>
        <v>0</v>
      </c>
      <c r="AF105" s="322">
        <f>IFERROR(VLOOKUP(Calculations[[#This Row],[Material (choose from dropdown]],MaterialData[#All],8,FALSE),0)</f>
        <v>0</v>
      </c>
      <c r="AG105" s="322">
        <f>IFERROR(Calculations[[#This Row],[Total Kg]]*Calculations[[#This Row],[Seq factor]],0)</f>
        <v>0</v>
      </c>
      <c r="AI105" s="322">
        <f>Calculations[[#This Row],[A1-3]]+Calculations[[#This Row],[A4]]+Calculations[[#This Row],[A5]]+Calculations[[#This Row],[B4]]+Calculations[[#This Row],[C2 total]]+Calculations[[#This Row],[C3 total]]+Calculations[[#This Row],[C4 total]]</f>
        <v>0</v>
      </c>
      <c r="AJ105" s="2">
        <f>IFERROR(VLOOKUP(Calculations[[#This Row],[Material (choose from dropdown]],MaterialData[[#Headers],[#Data]],9,FALSE),0)</f>
        <v>0</v>
      </c>
      <c r="AK105" s="4">
        <f>IFERROR(VLOOKUP(Calculations[[#This Row],[Material (choose from dropdown]],MaterialData[[#Headers],[#Data]],10,FALSE),0)</f>
        <v>0</v>
      </c>
      <c r="AL105" s="322">
        <f>IFERROR(Calculations[[#This Row],[Data Quality Score]]*Calculations[[#This Row],[Total Kg]],0)</f>
        <v>0</v>
      </c>
    </row>
    <row r="106" spans="1:38" x14ac:dyDescent="0.3">
      <c r="A106" s="6">
        <f>IFERROR(MaterialsBoQ[[#This Row],[Scope Element]],0)</f>
        <v>0</v>
      </c>
      <c r="B106">
        <f>IFERROR(MaterialsBoQ[[#This Row],[Material ]],"")</f>
        <v>0</v>
      </c>
      <c r="C106">
        <f>IFERROR(MaterialsBoQ[[#This Row],[Unit]],"")</f>
        <v>0</v>
      </c>
      <c r="D106" s="322">
        <f>IFERROR(MaterialsBoQ[[#This Row],[Number]],0)</f>
        <v>0</v>
      </c>
      <c r="E106" s="322">
        <f>IFERROR(MaterialsBoQ[[#This Row],[Kg per unit]],0)</f>
        <v>0</v>
      </c>
      <c r="F106" s="322">
        <f>IFERROR(Calculations[[#This Row],[Number]]*Calculations[[#This Row],[Conversion factor]],0)</f>
        <v>0</v>
      </c>
      <c r="G106" s="322">
        <f>IFERROR(VLOOKUP(Calculations[[#This Row],[Material (choose from dropdown]],MaterialData[#All],7,FALSE),0)</f>
        <v>0</v>
      </c>
      <c r="H106" s="322">
        <f>Calculations[[#This Row],[Total Kg]]*Calculations[[#This Row],[Carbon Factor]]</f>
        <v>0</v>
      </c>
      <c r="I106" t="str">
        <f>IFERROR(VLOOKUP(Calculations[[#This Row],[Material (choose from dropdown]],MaterialData[#All],2,FALSE),"")</f>
        <v/>
      </c>
      <c r="J106" s="322">
        <f>IFERROR(((VLOOKUP(Calculations[[#This Row],[TransportSource]],TransportDistance[],2,FALSE)*'Stage assumptions'!$C$11)+VLOOKUP(Calculations[[#This Row],[TransportSource]],TransportDistance[],3,FALSE)*'Stage assumptions'!$C$12)*Calculations[[#This Row],[Total Kg]],0)</f>
        <v>0</v>
      </c>
      <c r="K106">
        <f>IFERROR(VLOOKUP(Calculations[[#This Row],[Material (choose from dropdown]], MaterialData[#All],3, FALSE),0)</f>
        <v>0</v>
      </c>
      <c r="L106" s="322">
        <f>IFERROR(VLOOKUP(Calculations[[#This Row],[A5type]],A5WastageRate[#All],2,FALSE)*Calculations[[#This Row],[A1-3]],0)</f>
        <v>0</v>
      </c>
      <c r="N106">
        <f>IFERROR(ROUNDUP(50/VLOOKUP(Calculations[[#This Row],[Scope Element]],B4referenceServiceLife[[Tier 2 element]:[Default Service Life]],2, FALSE)-1,0),0)</f>
        <v>0</v>
      </c>
      <c r="O106" s="322">
        <f>IFERROR((Calculations[[#This Row],[A1-3]]+Calculations[[#This Row],[A4]]+Calculations[[#This Row],[A5]]+Calculations[[#This Row],[C2 total]]+Calculations[[#This Row],[C3 total]]+Calculations[[#This Row],[C4 total]])*Calculations[[#This Row],[Replacements]],0)</f>
        <v>0</v>
      </c>
      <c r="S106" t="str">
        <f>IFERROR(VLOOKUP(Calculations[[#This Row],[Material (choose from dropdown]],MaterialData[#All],4,FALSE),"")</f>
        <v/>
      </c>
      <c r="T106" s="322" cm="1">
        <f t="array" ref="T106">IFERROR(VLOOKUP(Calculations[[#This Row],[Waste 1]],WasteScenario[#All],2,FALSE)*'Stage assumptions'!$C$225*WasteTransportMethod[Emissions Factor
kgCO2e/kg.km]*Calculations[[#This Row],[Total Kg]],0)</f>
        <v>0</v>
      </c>
      <c r="U106" s="322" cm="1">
        <f t="array" ref="U106">IFERROR(VLOOKUP(Calculations[[#This Row],[Waste 1]],WasteScenario[#All],3,FALSE)*'Stage assumptions'!$C$224*WasteTransportMethod[Emissions Factor
kgCO2e/kg.km]*Calculations[[#This Row],[Total Kg]],0)</f>
        <v>0</v>
      </c>
      <c r="V106" s="322" cm="1">
        <f t="array" ref="V106">IFERROR(VLOOKUP(Calculations[[#This Row],[Waste 1]],WasteScenario[#All],4,FALSE)*'Stage assumptions'!$C$223*WasteTransportMethod[Emissions Factor
kgCO2e/kg.km]*Calculations[[#This Row],[Total Kg]],0)</f>
        <v>0</v>
      </c>
      <c r="W106" s="322" cm="1">
        <f t="array" ref="W106">IFERROR(VLOOKUP(Calculations[[#This Row],[Waste 1]],WasteScenario[#All],5,FALSE)*'Stage assumptions'!$C$226*WasteTransportMethod[Emissions Factor
kgCO2e/kg.km]*Calculations[[#This Row],[Total Kg]],0)</f>
        <v>0</v>
      </c>
      <c r="X106" s="322">
        <f>SUM(Calculations[[#This Row],[C2 Recycle]:[C2 Reuse]])</f>
        <v>0</v>
      </c>
      <c r="Y106" t="str">
        <f>IFERROR(VLOOKUP(Calculations[[#This Row],[Material (choose from dropdown]],MaterialData[#All],5,FALSE),"")</f>
        <v/>
      </c>
      <c r="Z106" s="322">
        <f>IFERROR(((VLOOKUP(Calculations[[#This Row],[Waste type 2]],WasteDisposalEmissions[#All],2,FALSE))*Calculations[[#This Row],[Total Kg]])*VLOOKUP(Calculations[[#This Row],[Waste 1]],WasteScenario[#All],2,FALSE),0)</f>
        <v>0</v>
      </c>
      <c r="AA106" s="322">
        <f>IFERROR((VLOOKUP(Calculations[[#This Row],[Waste type 2]],WasteDisposalEmissions[#All],3,FALSE))*Calculations[[#This Row],[Total Kg]]*VLOOKUP(Calculations[[#This Row],[Waste 1]],WasteScenario[#All],3,FALSE),0)</f>
        <v>0</v>
      </c>
      <c r="AB106" s="322">
        <f>SUM(Calculations[[#This Row],[C3 recyc]:[C3 incin]])</f>
        <v>0</v>
      </c>
      <c r="AC106" s="322">
        <f>IFERROR((VLOOKUP(Calculations[[#This Row],[Waste type 2]],WasteLandfillEmissions[#All],2,FALSE))*Calculations[[#This Row],[Total Kg]]*VLOOKUP(Calculations[[#This Row],[Waste 1]],WasteScenario[#All],4,FALSE),0)</f>
        <v>0</v>
      </c>
      <c r="AD106" s="322">
        <f>IFERROR((VLOOKUP(Calculations[[#This Row],[Waste type 2]],WasteLandfillEmissions[#All],3,FALSE))*Calculations[[#This Row],[Total Kg]]*VLOOKUP(Calculations[[#This Row],[Waste 1]],WasteScenario[#All],4,FALSE),0)</f>
        <v>0</v>
      </c>
      <c r="AE106" s="322">
        <f>SUM(Calculations[[#This Row],[C4 landfill]:[C4 re-use]])</f>
        <v>0</v>
      </c>
      <c r="AF106" s="322">
        <f>IFERROR(VLOOKUP(Calculations[[#This Row],[Material (choose from dropdown]],MaterialData[#All],8,FALSE),0)</f>
        <v>0</v>
      </c>
      <c r="AG106" s="322">
        <f>IFERROR(Calculations[[#This Row],[Total Kg]]*Calculations[[#This Row],[Seq factor]],0)</f>
        <v>0</v>
      </c>
      <c r="AI106" s="322">
        <f>Calculations[[#This Row],[A1-3]]+Calculations[[#This Row],[A4]]+Calculations[[#This Row],[A5]]+Calculations[[#This Row],[B4]]+Calculations[[#This Row],[C2 total]]+Calculations[[#This Row],[C3 total]]+Calculations[[#This Row],[C4 total]]</f>
        <v>0</v>
      </c>
      <c r="AJ106" s="2">
        <f>IFERROR(VLOOKUP(Calculations[[#This Row],[Material (choose from dropdown]],MaterialData[[#Headers],[#Data]],9,FALSE),0)</f>
        <v>0</v>
      </c>
      <c r="AK106" s="4">
        <f>IFERROR(VLOOKUP(Calculations[[#This Row],[Material (choose from dropdown]],MaterialData[[#Headers],[#Data]],10,FALSE),0)</f>
        <v>0</v>
      </c>
      <c r="AL106" s="322">
        <f>IFERROR(Calculations[[#This Row],[Data Quality Score]]*Calculations[[#This Row],[Total Kg]],0)</f>
        <v>0</v>
      </c>
    </row>
    <row r="107" spans="1:38" x14ac:dyDescent="0.3">
      <c r="A107" s="6">
        <f>IFERROR(MaterialsBoQ[[#This Row],[Scope Element]],0)</f>
        <v>0</v>
      </c>
      <c r="B107">
        <f>IFERROR(MaterialsBoQ[[#This Row],[Material ]],"")</f>
        <v>0</v>
      </c>
      <c r="C107">
        <f>IFERROR(MaterialsBoQ[[#This Row],[Unit]],"")</f>
        <v>0</v>
      </c>
      <c r="D107" s="322">
        <f>IFERROR(MaterialsBoQ[[#This Row],[Number]],0)</f>
        <v>0</v>
      </c>
      <c r="E107" s="322">
        <f>IFERROR(MaterialsBoQ[[#This Row],[Kg per unit]],0)</f>
        <v>0</v>
      </c>
      <c r="F107" s="322">
        <f>IFERROR(Calculations[[#This Row],[Number]]*Calculations[[#This Row],[Conversion factor]],0)</f>
        <v>0</v>
      </c>
      <c r="G107" s="322">
        <f>IFERROR(VLOOKUP(Calculations[[#This Row],[Material (choose from dropdown]],MaterialData[#All],7,FALSE),0)</f>
        <v>0</v>
      </c>
      <c r="H107" s="322">
        <f>Calculations[[#This Row],[Total Kg]]*Calculations[[#This Row],[Carbon Factor]]</f>
        <v>0</v>
      </c>
      <c r="I107" t="str">
        <f>IFERROR(VLOOKUP(Calculations[[#This Row],[Material (choose from dropdown]],MaterialData[#All],2,FALSE),"")</f>
        <v/>
      </c>
      <c r="J107" s="322">
        <f>IFERROR(((VLOOKUP(Calculations[[#This Row],[TransportSource]],TransportDistance[],2,FALSE)*'Stage assumptions'!$C$11)+VLOOKUP(Calculations[[#This Row],[TransportSource]],TransportDistance[],3,FALSE)*'Stage assumptions'!$C$12)*Calculations[[#This Row],[Total Kg]],0)</f>
        <v>0</v>
      </c>
      <c r="K107">
        <f>IFERROR(VLOOKUP(Calculations[[#This Row],[Material (choose from dropdown]], MaterialData[#All],3, FALSE),0)</f>
        <v>0</v>
      </c>
      <c r="L107" s="322">
        <f>IFERROR(VLOOKUP(Calculations[[#This Row],[A5type]],A5WastageRate[#All],2,FALSE)*Calculations[[#This Row],[A1-3]],0)</f>
        <v>0</v>
      </c>
      <c r="N107">
        <f>IFERROR(ROUNDUP(50/VLOOKUP(Calculations[[#This Row],[Scope Element]],B4referenceServiceLife[[Tier 2 element]:[Default Service Life]],2, FALSE)-1,0),0)</f>
        <v>0</v>
      </c>
      <c r="O107" s="322">
        <f>IFERROR((Calculations[[#This Row],[A1-3]]+Calculations[[#This Row],[A4]]+Calculations[[#This Row],[A5]]+Calculations[[#This Row],[C2 total]]+Calculations[[#This Row],[C3 total]]+Calculations[[#This Row],[C4 total]])*Calculations[[#This Row],[Replacements]],0)</f>
        <v>0</v>
      </c>
      <c r="S107" t="str">
        <f>IFERROR(VLOOKUP(Calculations[[#This Row],[Material (choose from dropdown]],MaterialData[#All],4,FALSE),"")</f>
        <v/>
      </c>
      <c r="T107" s="322" cm="1">
        <f t="array" ref="T107">IFERROR(VLOOKUP(Calculations[[#This Row],[Waste 1]],WasteScenario[#All],2,FALSE)*'Stage assumptions'!$C$225*WasteTransportMethod[Emissions Factor
kgCO2e/kg.km]*Calculations[[#This Row],[Total Kg]],0)</f>
        <v>0</v>
      </c>
      <c r="U107" s="322" cm="1">
        <f t="array" ref="U107">IFERROR(VLOOKUP(Calculations[[#This Row],[Waste 1]],WasteScenario[#All],3,FALSE)*'Stage assumptions'!$C$224*WasteTransportMethod[Emissions Factor
kgCO2e/kg.km]*Calculations[[#This Row],[Total Kg]],0)</f>
        <v>0</v>
      </c>
      <c r="V107" s="322" cm="1">
        <f t="array" ref="V107">IFERROR(VLOOKUP(Calculations[[#This Row],[Waste 1]],WasteScenario[#All],4,FALSE)*'Stage assumptions'!$C$223*WasteTransportMethod[Emissions Factor
kgCO2e/kg.km]*Calculations[[#This Row],[Total Kg]],0)</f>
        <v>0</v>
      </c>
      <c r="W107" s="322" cm="1">
        <f t="array" ref="W107">IFERROR(VLOOKUP(Calculations[[#This Row],[Waste 1]],WasteScenario[#All],5,FALSE)*'Stage assumptions'!$C$226*WasteTransportMethod[Emissions Factor
kgCO2e/kg.km]*Calculations[[#This Row],[Total Kg]],0)</f>
        <v>0</v>
      </c>
      <c r="X107" s="322">
        <f>SUM(Calculations[[#This Row],[C2 Recycle]:[C2 Reuse]])</f>
        <v>0</v>
      </c>
      <c r="Y107" t="str">
        <f>IFERROR(VLOOKUP(Calculations[[#This Row],[Material (choose from dropdown]],MaterialData[#All],5,FALSE),"")</f>
        <v/>
      </c>
      <c r="Z107" s="322">
        <f>IFERROR(((VLOOKUP(Calculations[[#This Row],[Waste type 2]],WasteDisposalEmissions[#All],2,FALSE))*Calculations[[#This Row],[Total Kg]])*VLOOKUP(Calculations[[#This Row],[Waste 1]],WasteScenario[#All],2,FALSE),0)</f>
        <v>0</v>
      </c>
      <c r="AA107" s="322">
        <f>IFERROR((VLOOKUP(Calculations[[#This Row],[Waste type 2]],WasteDisposalEmissions[#All],3,FALSE))*Calculations[[#This Row],[Total Kg]]*VLOOKUP(Calculations[[#This Row],[Waste 1]],WasteScenario[#All],3,FALSE),0)</f>
        <v>0</v>
      </c>
      <c r="AB107" s="322">
        <f>SUM(Calculations[[#This Row],[C3 recyc]:[C3 incin]])</f>
        <v>0</v>
      </c>
      <c r="AC107" s="322">
        <f>IFERROR((VLOOKUP(Calculations[[#This Row],[Waste type 2]],WasteLandfillEmissions[#All],2,FALSE))*Calculations[[#This Row],[Total Kg]]*VLOOKUP(Calculations[[#This Row],[Waste 1]],WasteScenario[#All],4,FALSE),0)</f>
        <v>0</v>
      </c>
      <c r="AD107" s="322">
        <f>IFERROR((VLOOKUP(Calculations[[#This Row],[Waste type 2]],WasteLandfillEmissions[#All],3,FALSE))*Calculations[[#This Row],[Total Kg]]*VLOOKUP(Calculations[[#This Row],[Waste 1]],WasteScenario[#All],4,FALSE),0)</f>
        <v>0</v>
      </c>
      <c r="AE107" s="322">
        <f>SUM(Calculations[[#This Row],[C4 landfill]:[C4 re-use]])</f>
        <v>0</v>
      </c>
      <c r="AF107" s="322">
        <f>IFERROR(VLOOKUP(Calculations[[#This Row],[Material (choose from dropdown]],MaterialData[#All],8,FALSE),0)</f>
        <v>0</v>
      </c>
      <c r="AG107" s="322">
        <f>IFERROR(Calculations[[#This Row],[Total Kg]]*Calculations[[#This Row],[Seq factor]],0)</f>
        <v>0</v>
      </c>
      <c r="AI107" s="322">
        <f>Calculations[[#This Row],[A1-3]]+Calculations[[#This Row],[A4]]+Calculations[[#This Row],[A5]]+Calculations[[#This Row],[B4]]+Calculations[[#This Row],[C2 total]]+Calculations[[#This Row],[C3 total]]+Calculations[[#This Row],[C4 total]]</f>
        <v>0</v>
      </c>
      <c r="AJ107" s="2">
        <f>IFERROR(VLOOKUP(Calculations[[#This Row],[Material (choose from dropdown]],MaterialData[[#Headers],[#Data]],9,FALSE),0)</f>
        <v>0</v>
      </c>
      <c r="AK107" s="4">
        <f>IFERROR(VLOOKUP(Calculations[[#This Row],[Material (choose from dropdown]],MaterialData[[#Headers],[#Data]],10,FALSE),0)</f>
        <v>0</v>
      </c>
      <c r="AL107" s="322">
        <f>IFERROR(Calculations[[#This Row],[Data Quality Score]]*Calculations[[#This Row],[Total Kg]],0)</f>
        <v>0</v>
      </c>
    </row>
    <row r="108" spans="1:38" x14ac:dyDescent="0.3">
      <c r="A108" s="6">
        <f>IFERROR(MaterialsBoQ[[#This Row],[Scope Element]],0)</f>
        <v>0</v>
      </c>
      <c r="B108">
        <f>IFERROR(MaterialsBoQ[[#This Row],[Material ]],"")</f>
        <v>0</v>
      </c>
      <c r="C108">
        <f>IFERROR(MaterialsBoQ[[#This Row],[Unit]],"")</f>
        <v>0</v>
      </c>
      <c r="D108" s="322">
        <f>IFERROR(MaterialsBoQ[[#This Row],[Number]],0)</f>
        <v>0</v>
      </c>
      <c r="E108" s="322">
        <f>IFERROR(MaterialsBoQ[[#This Row],[Kg per unit]],0)</f>
        <v>0</v>
      </c>
      <c r="F108" s="322">
        <f>IFERROR(Calculations[[#This Row],[Number]]*Calculations[[#This Row],[Conversion factor]],0)</f>
        <v>0</v>
      </c>
      <c r="G108" s="322">
        <f>IFERROR(VLOOKUP(Calculations[[#This Row],[Material (choose from dropdown]],MaterialData[#All],7,FALSE),0)</f>
        <v>0</v>
      </c>
      <c r="H108" s="322">
        <f>Calculations[[#This Row],[Total Kg]]*Calculations[[#This Row],[Carbon Factor]]</f>
        <v>0</v>
      </c>
      <c r="I108" t="str">
        <f>IFERROR(VLOOKUP(Calculations[[#This Row],[Material (choose from dropdown]],MaterialData[#All],2,FALSE),"")</f>
        <v/>
      </c>
      <c r="J108" s="322">
        <f>IFERROR(((VLOOKUP(Calculations[[#This Row],[TransportSource]],TransportDistance[],2,FALSE)*'Stage assumptions'!$C$11)+VLOOKUP(Calculations[[#This Row],[TransportSource]],TransportDistance[],3,FALSE)*'Stage assumptions'!$C$12)*Calculations[[#This Row],[Total Kg]],0)</f>
        <v>0</v>
      </c>
      <c r="K108">
        <f>IFERROR(VLOOKUP(Calculations[[#This Row],[Material (choose from dropdown]], MaterialData[#All],3, FALSE),0)</f>
        <v>0</v>
      </c>
      <c r="L108" s="322">
        <f>IFERROR(VLOOKUP(Calculations[[#This Row],[A5type]],A5WastageRate[#All],2,FALSE)*Calculations[[#This Row],[A1-3]],0)</f>
        <v>0</v>
      </c>
      <c r="N108">
        <f>IFERROR(ROUNDUP(50/VLOOKUP(Calculations[[#This Row],[Scope Element]],B4referenceServiceLife[[Tier 2 element]:[Default Service Life]],2, FALSE)-1,0),0)</f>
        <v>0</v>
      </c>
      <c r="O108" s="322">
        <f>IFERROR((Calculations[[#This Row],[A1-3]]+Calculations[[#This Row],[A4]]+Calculations[[#This Row],[A5]]+Calculations[[#This Row],[C2 total]]+Calculations[[#This Row],[C3 total]]+Calculations[[#This Row],[C4 total]])*Calculations[[#This Row],[Replacements]],0)</f>
        <v>0</v>
      </c>
      <c r="S108" t="str">
        <f>IFERROR(VLOOKUP(Calculations[[#This Row],[Material (choose from dropdown]],MaterialData[#All],4,FALSE),"")</f>
        <v/>
      </c>
      <c r="T108" s="322" cm="1">
        <f t="array" ref="T108">IFERROR(VLOOKUP(Calculations[[#This Row],[Waste 1]],WasteScenario[#All],2,FALSE)*'Stage assumptions'!$C$225*WasteTransportMethod[Emissions Factor
kgCO2e/kg.km]*Calculations[[#This Row],[Total Kg]],0)</f>
        <v>0</v>
      </c>
      <c r="U108" s="322" cm="1">
        <f t="array" ref="U108">IFERROR(VLOOKUP(Calculations[[#This Row],[Waste 1]],WasteScenario[#All],3,FALSE)*'Stage assumptions'!$C$224*WasteTransportMethod[Emissions Factor
kgCO2e/kg.km]*Calculations[[#This Row],[Total Kg]],0)</f>
        <v>0</v>
      </c>
      <c r="V108" s="322" cm="1">
        <f t="array" ref="V108">IFERROR(VLOOKUP(Calculations[[#This Row],[Waste 1]],WasteScenario[#All],4,FALSE)*'Stage assumptions'!$C$223*WasteTransportMethod[Emissions Factor
kgCO2e/kg.km]*Calculations[[#This Row],[Total Kg]],0)</f>
        <v>0</v>
      </c>
      <c r="W108" s="322" cm="1">
        <f t="array" ref="W108">IFERROR(VLOOKUP(Calculations[[#This Row],[Waste 1]],WasteScenario[#All],5,FALSE)*'Stage assumptions'!$C$226*WasteTransportMethod[Emissions Factor
kgCO2e/kg.km]*Calculations[[#This Row],[Total Kg]],0)</f>
        <v>0</v>
      </c>
      <c r="X108" s="322">
        <f>SUM(Calculations[[#This Row],[C2 Recycle]:[C2 Reuse]])</f>
        <v>0</v>
      </c>
      <c r="Y108" t="str">
        <f>IFERROR(VLOOKUP(Calculations[[#This Row],[Material (choose from dropdown]],MaterialData[#All],5,FALSE),"")</f>
        <v/>
      </c>
      <c r="Z108" s="322">
        <f>IFERROR(((VLOOKUP(Calculations[[#This Row],[Waste type 2]],WasteDisposalEmissions[#All],2,FALSE))*Calculations[[#This Row],[Total Kg]])*VLOOKUP(Calculations[[#This Row],[Waste 1]],WasteScenario[#All],2,FALSE),0)</f>
        <v>0</v>
      </c>
      <c r="AA108" s="322">
        <f>IFERROR((VLOOKUP(Calculations[[#This Row],[Waste type 2]],WasteDisposalEmissions[#All],3,FALSE))*Calculations[[#This Row],[Total Kg]]*VLOOKUP(Calculations[[#This Row],[Waste 1]],WasteScenario[#All],3,FALSE),0)</f>
        <v>0</v>
      </c>
      <c r="AB108" s="322">
        <f>SUM(Calculations[[#This Row],[C3 recyc]:[C3 incin]])</f>
        <v>0</v>
      </c>
      <c r="AC108" s="322">
        <f>IFERROR((VLOOKUP(Calculations[[#This Row],[Waste type 2]],WasteLandfillEmissions[#All],2,FALSE))*Calculations[[#This Row],[Total Kg]]*VLOOKUP(Calculations[[#This Row],[Waste 1]],WasteScenario[#All],4,FALSE),0)</f>
        <v>0</v>
      </c>
      <c r="AD108" s="322">
        <f>IFERROR((VLOOKUP(Calculations[[#This Row],[Waste type 2]],WasteLandfillEmissions[#All],3,FALSE))*Calculations[[#This Row],[Total Kg]]*VLOOKUP(Calculations[[#This Row],[Waste 1]],WasteScenario[#All],4,FALSE),0)</f>
        <v>0</v>
      </c>
      <c r="AE108" s="322">
        <f>SUM(Calculations[[#This Row],[C4 landfill]:[C4 re-use]])</f>
        <v>0</v>
      </c>
      <c r="AF108" s="322">
        <f>IFERROR(VLOOKUP(Calculations[[#This Row],[Material (choose from dropdown]],MaterialData[#All],8,FALSE),0)</f>
        <v>0</v>
      </c>
      <c r="AG108" s="322">
        <f>IFERROR(Calculations[[#This Row],[Total Kg]]*Calculations[[#This Row],[Seq factor]],0)</f>
        <v>0</v>
      </c>
      <c r="AI108" s="322">
        <f>Calculations[[#This Row],[A1-3]]+Calculations[[#This Row],[A4]]+Calculations[[#This Row],[A5]]+Calculations[[#This Row],[B4]]+Calculations[[#This Row],[C2 total]]+Calculations[[#This Row],[C3 total]]+Calculations[[#This Row],[C4 total]]</f>
        <v>0</v>
      </c>
      <c r="AJ108" s="2">
        <f>IFERROR(VLOOKUP(Calculations[[#This Row],[Material (choose from dropdown]],MaterialData[[#Headers],[#Data]],9,FALSE),0)</f>
        <v>0</v>
      </c>
      <c r="AK108" s="4">
        <f>IFERROR(VLOOKUP(Calculations[[#This Row],[Material (choose from dropdown]],MaterialData[[#Headers],[#Data]],10,FALSE),0)</f>
        <v>0</v>
      </c>
      <c r="AL108" s="322">
        <f>IFERROR(Calculations[[#This Row],[Data Quality Score]]*Calculations[[#This Row],[Total Kg]],0)</f>
        <v>0</v>
      </c>
    </row>
    <row r="109" spans="1:38" x14ac:dyDescent="0.3">
      <c r="A109" s="6">
        <f>IFERROR(MaterialsBoQ[[#This Row],[Scope Element]],0)</f>
        <v>0</v>
      </c>
      <c r="B109">
        <f>IFERROR(MaterialsBoQ[[#This Row],[Material ]],"")</f>
        <v>0</v>
      </c>
      <c r="C109">
        <f>IFERROR(MaterialsBoQ[[#This Row],[Unit]],"")</f>
        <v>0</v>
      </c>
      <c r="D109" s="322">
        <f>IFERROR(MaterialsBoQ[[#This Row],[Number]],0)</f>
        <v>0</v>
      </c>
      <c r="E109" s="322">
        <f>IFERROR(MaterialsBoQ[[#This Row],[Kg per unit]],0)</f>
        <v>0</v>
      </c>
      <c r="F109" s="322">
        <f>IFERROR(Calculations[[#This Row],[Number]]*Calculations[[#This Row],[Conversion factor]],0)</f>
        <v>0</v>
      </c>
      <c r="G109" s="322">
        <f>IFERROR(VLOOKUP(Calculations[[#This Row],[Material (choose from dropdown]],MaterialData[#All],7,FALSE),0)</f>
        <v>0</v>
      </c>
      <c r="H109" s="322">
        <f>Calculations[[#This Row],[Total Kg]]*Calculations[[#This Row],[Carbon Factor]]</f>
        <v>0</v>
      </c>
      <c r="I109" t="str">
        <f>IFERROR(VLOOKUP(Calculations[[#This Row],[Material (choose from dropdown]],MaterialData[#All],2,FALSE),"")</f>
        <v/>
      </c>
      <c r="J109" s="322">
        <f>IFERROR(((VLOOKUP(Calculations[[#This Row],[TransportSource]],TransportDistance[],2,FALSE)*'Stage assumptions'!$C$11)+VLOOKUP(Calculations[[#This Row],[TransportSource]],TransportDistance[],3,FALSE)*'Stage assumptions'!$C$12)*Calculations[[#This Row],[Total Kg]],0)</f>
        <v>0</v>
      </c>
      <c r="K109">
        <f>IFERROR(VLOOKUP(Calculations[[#This Row],[Material (choose from dropdown]], MaterialData[#All],3, FALSE),0)</f>
        <v>0</v>
      </c>
      <c r="L109" s="322">
        <f>IFERROR(VLOOKUP(Calculations[[#This Row],[A5type]],A5WastageRate[#All],2,FALSE)*Calculations[[#This Row],[A1-3]],0)</f>
        <v>0</v>
      </c>
      <c r="N109">
        <f>IFERROR(ROUNDUP(50/VLOOKUP(Calculations[[#This Row],[Scope Element]],B4referenceServiceLife[[Tier 2 element]:[Default Service Life]],2, FALSE)-1,0),0)</f>
        <v>0</v>
      </c>
      <c r="O109" s="322">
        <f>IFERROR((Calculations[[#This Row],[A1-3]]+Calculations[[#This Row],[A4]]+Calculations[[#This Row],[A5]]+Calculations[[#This Row],[C2 total]]+Calculations[[#This Row],[C3 total]]+Calculations[[#This Row],[C4 total]])*Calculations[[#This Row],[Replacements]],0)</f>
        <v>0</v>
      </c>
      <c r="S109" t="str">
        <f>IFERROR(VLOOKUP(Calculations[[#This Row],[Material (choose from dropdown]],MaterialData[#All],4,FALSE),"")</f>
        <v/>
      </c>
      <c r="T109" s="322" cm="1">
        <f t="array" ref="T109">IFERROR(VLOOKUP(Calculations[[#This Row],[Waste 1]],WasteScenario[#All],2,FALSE)*'Stage assumptions'!$C$225*WasteTransportMethod[Emissions Factor
kgCO2e/kg.km]*Calculations[[#This Row],[Total Kg]],0)</f>
        <v>0</v>
      </c>
      <c r="U109" s="322" cm="1">
        <f t="array" ref="U109">IFERROR(VLOOKUP(Calculations[[#This Row],[Waste 1]],WasteScenario[#All],3,FALSE)*'Stage assumptions'!$C$224*WasteTransportMethod[Emissions Factor
kgCO2e/kg.km]*Calculations[[#This Row],[Total Kg]],0)</f>
        <v>0</v>
      </c>
      <c r="V109" s="322" cm="1">
        <f t="array" ref="V109">IFERROR(VLOOKUP(Calculations[[#This Row],[Waste 1]],WasteScenario[#All],4,FALSE)*'Stage assumptions'!$C$223*WasteTransportMethod[Emissions Factor
kgCO2e/kg.km]*Calculations[[#This Row],[Total Kg]],0)</f>
        <v>0</v>
      </c>
      <c r="W109" s="322" cm="1">
        <f t="array" ref="W109">IFERROR(VLOOKUP(Calculations[[#This Row],[Waste 1]],WasteScenario[#All],5,FALSE)*'Stage assumptions'!$C$226*WasteTransportMethod[Emissions Factor
kgCO2e/kg.km]*Calculations[[#This Row],[Total Kg]],0)</f>
        <v>0</v>
      </c>
      <c r="X109" s="322">
        <f>SUM(Calculations[[#This Row],[C2 Recycle]:[C2 Reuse]])</f>
        <v>0</v>
      </c>
      <c r="Y109" t="str">
        <f>IFERROR(VLOOKUP(Calculations[[#This Row],[Material (choose from dropdown]],MaterialData[#All],5,FALSE),"")</f>
        <v/>
      </c>
      <c r="Z109" s="322">
        <f>IFERROR(((VLOOKUP(Calculations[[#This Row],[Waste type 2]],WasteDisposalEmissions[#All],2,FALSE))*Calculations[[#This Row],[Total Kg]])*VLOOKUP(Calculations[[#This Row],[Waste 1]],WasteScenario[#All],2,FALSE),0)</f>
        <v>0</v>
      </c>
      <c r="AA109" s="322">
        <f>IFERROR((VLOOKUP(Calculations[[#This Row],[Waste type 2]],WasteDisposalEmissions[#All],3,FALSE))*Calculations[[#This Row],[Total Kg]]*VLOOKUP(Calculations[[#This Row],[Waste 1]],WasteScenario[#All],3,FALSE),0)</f>
        <v>0</v>
      </c>
      <c r="AB109" s="322">
        <f>SUM(Calculations[[#This Row],[C3 recyc]:[C3 incin]])</f>
        <v>0</v>
      </c>
      <c r="AC109" s="322">
        <f>IFERROR((VLOOKUP(Calculations[[#This Row],[Waste type 2]],WasteLandfillEmissions[#All],2,FALSE))*Calculations[[#This Row],[Total Kg]]*VLOOKUP(Calculations[[#This Row],[Waste 1]],WasteScenario[#All],4,FALSE),0)</f>
        <v>0</v>
      </c>
      <c r="AD109" s="322">
        <f>IFERROR((VLOOKUP(Calculations[[#This Row],[Waste type 2]],WasteLandfillEmissions[#All],3,FALSE))*Calculations[[#This Row],[Total Kg]]*VLOOKUP(Calculations[[#This Row],[Waste 1]],WasteScenario[#All],4,FALSE),0)</f>
        <v>0</v>
      </c>
      <c r="AE109" s="322">
        <f>SUM(Calculations[[#This Row],[C4 landfill]:[C4 re-use]])</f>
        <v>0</v>
      </c>
      <c r="AF109" s="322">
        <f>IFERROR(VLOOKUP(Calculations[[#This Row],[Material (choose from dropdown]],MaterialData[#All],8,FALSE),0)</f>
        <v>0</v>
      </c>
      <c r="AG109" s="322">
        <f>IFERROR(Calculations[[#This Row],[Total Kg]]*Calculations[[#This Row],[Seq factor]],0)</f>
        <v>0</v>
      </c>
      <c r="AI109" s="322">
        <f>Calculations[[#This Row],[A1-3]]+Calculations[[#This Row],[A4]]+Calculations[[#This Row],[A5]]+Calculations[[#This Row],[B4]]+Calculations[[#This Row],[C2 total]]+Calculations[[#This Row],[C3 total]]+Calculations[[#This Row],[C4 total]]</f>
        <v>0</v>
      </c>
      <c r="AJ109" s="2">
        <f>IFERROR(VLOOKUP(Calculations[[#This Row],[Material (choose from dropdown]],MaterialData[[#Headers],[#Data]],9,FALSE),0)</f>
        <v>0</v>
      </c>
      <c r="AK109" s="4">
        <f>IFERROR(VLOOKUP(Calculations[[#This Row],[Material (choose from dropdown]],MaterialData[[#Headers],[#Data]],10,FALSE),0)</f>
        <v>0</v>
      </c>
      <c r="AL109" s="322">
        <f>IFERROR(Calculations[[#This Row],[Data Quality Score]]*Calculations[[#This Row],[Total Kg]],0)</f>
        <v>0</v>
      </c>
    </row>
    <row r="110" spans="1:38" x14ac:dyDescent="0.3">
      <c r="A110" s="6">
        <f>IFERROR(MaterialsBoQ[[#This Row],[Scope Element]],0)</f>
        <v>0</v>
      </c>
      <c r="B110">
        <f>IFERROR(MaterialsBoQ[[#This Row],[Material ]],"")</f>
        <v>0</v>
      </c>
      <c r="C110">
        <f>IFERROR(MaterialsBoQ[[#This Row],[Unit]],"")</f>
        <v>0</v>
      </c>
      <c r="D110" s="322">
        <f>IFERROR(MaterialsBoQ[[#This Row],[Number]],0)</f>
        <v>0</v>
      </c>
      <c r="E110" s="322">
        <f>IFERROR(MaterialsBoQ[[#This Row],[Kg per unit]],0)</f>
        <v>0</v>
      </c>
      <c r="F110" s="322">
        <f>IFERROR(Calculations[[#This Row],[Number]]*Calculations[[#This Row],[Conversion factor]],0)</f>
        <v>0</v>
      </c>
      <c r="G110" s="322">
        <f>IFERROR(VLOOKUP(Calculations[[#This Row],[Material (choose from dropdown]],MaterialData[#All],7,FALSE),0)</f>
        <v>0</v>
      </c>
      <c r="H110" s="322">
        <f>Calculations[[#This Row],[Total Kg]]*Calculations[[#This Row],[Carbon Factor]]</f>
        <v>0</v>
      </c>
      <c r="I110" t="str">
        <f>IFERROR(VLOOKUP(Calculations[[#This Row],[Material (choose from dropdown]],MaterialData[#All],2,FALSE),"")</f>
        <v/>
      </c>
      <c r="J110" s="322">
        <f>IFERROR(((VLOOKUP(Calculations[[#This Row],[TransportSource]],TransportDistance[],2,FALSE)*'Stage assumptions'!$C$11)+VLOOKUP(Calculations[[#This Row],[TransportSource]],TransportDistance[],3,FALSE)*'Stage assumptions'!$C$12)*Calculations[[#This Row],[Total Kg]],0)</f>
        <v>0</v>
      </c>
      <c r="K110">
        <f>IFERROR(VLOOKUP(Calculations[[#This Row],[Material (choose from dropdown]], MaterialData[#All],3, FALSE),0)</f>
        <v>0</v>
      </c>
      <c r="L110" s="322">
        <f>IFERROR(VLOOKUP(Calculations[[#This Row],[A5type]],A5WastageRate[#All],2,FALSE)*Calculations[[#This Row],[A1-3]],0)</f>
        <v>0</v>
      </c>
      <c r="N110">
        <f>IFERROR(ROUNDUP(50/VLOOKUP(Calculations[[#This Row],[Scope Element]],B4referenceServiceLife[[Tier 2 element]:[Default Service Life]],2, FALSE)-1,0),0)</f>
        <v>0</v>
      </c>
      <c r="O110" s="322">
        <f>IFERROR((Calculations[[#This Row],[A1-3]]+Calculations[[#This Row],[A4]]+Calculations[[#This Row],[A5]]+Calculations[[#This Row],[C2 total]]+Calculations[[#This Row],[C3 total]]+Calculations[[#This Row],[C4 total]])*Calculations[[#This Row],[Replacements]],0)</f>
        <v>0</v>
      </c>
      <c r="S110" t="str">
        <f>IFERROR(VLOOKUP(Calculations[[#This Row],[Material (choose from dropdown]],MaterialData[#All],4,FALSE),"")</f>
        <v/>
      </c>
      <c r="T110" s="322" cm="1">
        <f t="array" ref="T110">IFERROR(VLOOKUP(Calculations[[#This Row],[Waste 1]],WasteScenario[#All],2,FALSE)*'Stage assumptions'!$C$225*WasteTransportMethod[Emissions Factor
kgCO2e/kg.km]*Calculations[[#This Row],[Total Kg]],0)</f>
        <v>0</v>
      </c>
      <c r="U110" s="322" cm="1">
        <f t="array" ref="U110">IFERROR(VLOOKUP(Calculations[[#This Row],[Waste 1]],WasteScenario[#All],3,FALSE)*'Stage assumptions'!$C$224*WasteTransportMethod[Emissions Factor
kgCO2e/kg.km]*Calculations[[#This Row],[Total Kg]],0)</f>
        <v>0</v>
      </c>
      <c r="V110" s="322" cm="1">
        <f t="array" ref="V110">IFERROR(VLOOKUP(Calculations[[#This Row],[Waste 1]],WasteScenario[#All],4,FALSE)*'Stage assumptions'!$C$223*WasteTransportMethod[Emissions Factor
kgCO2e/kg.km]*Calculations[[#This Row],[Total Kg]],0)</f>
        <v>0</v>
      </c>
      <c r="W110" s="322" cm="1">
        <f t="array" ref="W110">IFERROR(VLOOKUP(Calculations[[#This Row],[Waste 1]],WasteScenario[#All],5,FALSE)*'Stage assumptions'!$C$226*WasteTransportMethod[Emissions Factor
kgCO2e/kg.km]*Calculations[[#This Row],[Total Kg]],0)</f>
        <v>0</v>
      </c>
      <c r="X110" s="322">
        <f>SUM(Calculations[[#This Row],[C2 Recycle]:[C2 Reuse]])</f>
        <v>0</v>
      </c>
      <c r="Y110" t="str">
        <f>IFERROR(VLOOKUP(Calculations[[#This Row],[Material (choose from dropdown]],MaterialData[#All],5,FALSE),"")</f>
        <v/>
      </c>
      <c r="Z110" s="322">
        <f>IFERROR(((VLOOKUP(Calculations[[#This Row],[Waste type 2]],WasteDisposalEmissions[#All],2,FALSE))*Calculations[[#This Row],[Total Kg]])*VLOOKUP(Calculations[[#This Row],[Waste 1]],WasteScenario[#All],2,FALSE),0)</f>
        <v>0</v>
      </c>
      <c r="AA110" s="322">
        <f>IFERROR((VLOOKUP(Calculations[[#This Row],[Waste type 2]],WasteDisposalEmissions[#All],3,FALSE))*Calculations[[#This Row],[Total Kg]]*VLOOKUP(Calculations[[#This Row],[Waste 1]],WasteScenario[#All],3,FALSE),0)</f>
        <v>0</v>
      </c>
      <c r="AB110" s="322">
        <f>SUM(Calculations[[#This Row],[C3 recyc]:[C3 incin]])</f>
        <v>0</v>
      </c>
      <c r="AC110" s="322">
        <f>IFERROR((VLOOKUP(Calculations[[#This Row],[Waste type 2]],WasteLandfillEmissions[#All],2,FALSE))*Calculations[[#This Row],[Total Kg]]*VLOOKUP(Calculations[[#This Row],[Waste 1]],WasteScenario[#All],4,FALSE),0)</f>
        <v>0</v>
      </c>
      <c r="AD110" s="322">
        <f>IFERROR((VLOOKUP(Calculations[[#This Row],[Waste type 2]],WasteLandfillEmissions[#All],3,FALSE))*Calculations[[#This Row],[Total Kg]]*VLOOKUP(Calculations[[#This Row],[Waste 1]],WasteScenario[#All],4,FALSE),0)</f>
        <v>0</v>
      </c>
      <c r="AE110" s="322">
        <f>SUM(Calculations[[#This Row],[C4 landfill]:[C4 re-use]])</f>
        <v>0</v>
      </c>
      <c r="AF110" s="322">
        <f>IFERROR(VLOOKUP(Calculations[[#This Row],[Material (choose from dropdown]],MaterialData[#All],8,FALSE),0)</f>
        <v>0</v>
      </c>
      <c r="AG110" s="322">
        <f>IFERROR(Calculations[[#This Row],[Total Kg]]*Calculations[[#This Row],[Seq factor]],0)</f>
        <v>0</v>
      </c>
      <c r="AI110" s="322">
        <f>Calculations[[#This Row],[A1-3]]+Calculations[[#This Row],[A4]]+Calculations[[#This Row],[A5]]+Calculations[[#This Row],[B4]]+Calculations[[#This Row],[C2 total]]+Calculations[[#This Row],[C3 total]]+Calculations[[#This Row],[C4 total]]</f>
        <v>0</v>
      </c>
      <c r="AJ110" s="2">
        <f>IFERROR(VLOOKUP(Calculations[[#This Row],[Material (choose from dropdown]],MaterialData[[#Headers],[#Data]],9,FALSE),0)</f>
        <v>0</v>
      </c>
      <c r="AK110" s="4">
        <f>IFERROR(VLOOKUP(Calculations[[#This Row],[Material (choose from dropdown]],MaterialData[[#Headers],[#Data]],10,FALSE),0)</f>
        <v>0</v>
      </c>
      <c r="AL110" s="322">
        <f>IFERROR(Calculations[[#This Row],[Data Quality Score]]*Calculations[[#This Row],[Total Kg]],0)</f>
        <v>0</v>
      </c>
    </row>
    <row r="111" spans="1:38" x14ac:dyDescent="0.3">
      <c r="A111" s="6">
        <f>IFERROR(MaterialsBoQ[[#This Row],[Scope Element]],0)</f>
        <v>0</v>
      </c>
      <c r="B111">
        <f>IFERROR(MaterialsBoQ[[#This Row],[Material ]],"")</f>
        <v>0</v>
      </c>
      <c r="C111">
        <f>IFERROR(MaterialsBoQ[[#This Row],[Unit]],"")</f>
        <v>0</v>
      </c>
      <c r="D111" s="322">
        <f>IFERROR(MaterialsBoQ[[#This Row],[Number]],0)</f>
        <v>0</v>
      </c>
      <c r="E111" s="322">
        <f>IFERROR(MaterialsBoQ[[#This Row],[Kg per unit]],0)</f>
        <v>0</v>
      </c>
      <c r="F111" s="322">
        <f>IFERROR(Calculations[[#This Row],[Number]]*Calculations[[#This Row],[Conversion factor]],0)</f>
        <v>0</v>
      </c>
      <c r="G111" s="322">
        <f>IFERROR(VLOOKUP(Calculations[[#This Row],[Material (choose from dropdown]],MaterialData[#All],7,FALSE),0)</f>
        <v>0</v>
      </c>
      <c r="H111" s="322">
        <f>Calculations[[#This Row],[Total Kg]]*Calculations[[#This Row],[Carbon Factor]]</f>
        <v>0</v>
      </c>
      <c r="I111" t="str">
        <f>IFERROR(VLOOKUP(Calculations[[#This Row],[Material (choose from dropdown]],MaterialData[#All],2,FALSE),"")</f>
        <v/>
      </c>
      <c r="J111" s="322">
        <f>IFERROR(((VLOOKUP(Calculations[[#This Row],[TransportSource]],TransportDistance[],2,FALSE)*'Stage assumptions'!$C$11)+VLOOKUP(Calculations[[#This Row],[TransportSource]],TransportDistance[],3,FALSE)*'Stage assumptions'!$C$12)*Calculations[[#This Row],[Total Kg]],0)</f>
        <v>0</v>
      </c>
      <c r="K111">
        <f>IFERROR(VLOOKUP(Calculations[[#This Row],[Material (choose from dropdown]], MaterialData[#All],3, FALSE),0)</f>
        <v>0</v>
      </c>
      <c r="L111" s="322">
        <f>IFERROR(VLOOKUP(Calculations[[#This Row],[A5type]],A5WastageRate[#All],2,FALSE)*Calculations[[#This Row],[A1-3]],0)</f>
        <v>0</v>
      </c>
      <c r="N111">
        <f>IFERROR(ROUNDUP(50/VLOOKUP(Calculations[[#This Row],[Scope Element]],B4referenceServiceLife[[Tier 2 element]:[Default Service Life]],2, FALSE)-1,0),0)</f>
        <v>0</v>
      </c>
      <c r="O111" s="322">
        <f>IFERROR((Calculations[[#This Row],[A1-3]]+Calculations[[#This Row],[A4]]+Calculations[[#This Row],[A5]]+Calculations[[#This Row],[C2 total]]+Calculations[[#This Row],[C3 total]]+Calculations[[#This Row],[C4 total]])*Calculations[[#This Row],[Replacements]],0)</f>
        <v>0</v>
      </c>
      <c r="S111" t="str">
        <f>IFERROR(VLOOKUP(Calculations[[#This Row],[Material (choose from dropdown]],MaterialData[#All],4,FALSE),"")</f>
        <v/>
      </c>
      <c r="T111" s="322" cm="1">
        <f t="array" ref="T111">IFERROR(VLOOKUP(Calculations[[#This Row],[Waste 1]],WasteScenario[#All],2,FALSE)*'Stage assumptions'!$C$225*WasteTransportMethod[Emissions Factor
kgCO2e/kg.km]*Calculations[[#This Row],[Total Kg]],0)</f>
        <v>0</v>
      </c>
      <c r="U111" s="322" cm="1">
        <f t="array" ref="U111">IFERROR(VLOOKUP(Calculations[[#This Row],[Waste 1]],WasteScenario[#All],3,FALSE)*'Stage assumptions'!$C$224*WasteTransportMethod[Emissions Factor
kgCO2e/kg.km]*Calculations[[#This Row],[Total Kg]],0)</f>
        <v>0</v>
      </c>
      <c r="V111" s="322" cm="1">
        <f t="array" ref="V111">IFERROR(VLOOKUP(Calculations[[#This Row],[Waste 1]],WasteScenario[#All],4,FALSE)*'Stage assumptions'!$C$223*WasteTransportMethod[Emissions Factor
kgCO2e/kg.km]*Calculations[[#This Row],[Total Kg]],0)</f>
        <v>0</v>
      </c>
      <c r="W111" s="322" cm="1">
        <f t="array" ref="W111">IFERROR(VLOOKUP(Calculations[[#This Row],[Waste 1]],WasteScenario[#All],5,FALSE)*'Stage assumptions'!$C$226*WasteTransportMethod[Emissions Factor
kgCO2e/kg.km]*Calculations[[#This Row],[Total Kg]],0)</f>
        <v>0</v>
      </c>
      <c r="X111" s="322">
        <f>SUM(Calculations[[#This Row],[C2 Recycle]:[C2 Reuse]])</f>
        <v>0</v>
      </c>
      <c r="Y111" t="str">
        <f>IFERROR(VLOOKUP(Calculations[[#This Row],[Material (choose from dropdown]],MaterialData[#All],5,FALSE),"")</f>
        <v/>
      </c>
      <c r="Z111" s="322">
        <f>IFERROR(((VLOOKUP(Calculations[[#This Row],[Waste type 2]],WasteDisposalEmissions[#All],2,FALSE))*Calculations[[#This Row],[Total Kg]])*VLOOKUP(Calculations[[#This Row],[Waste 1]],WasteScenario[#All],2,FALSE),0)</f>
        <v>0</v>
      </c>
      <c r="AA111" s="322">
        <f>IFERROR((VLOOKUP(Calculations[[#This Row],[Waste type 2]],WasteDisposalEmissions[#All],3,FALSE))*Calculations[[#This Row],[Total Kg]]*VLOOKUP(Calculations[[#This Row],[Waste 1]],WasteScenario[#All],3,FALSE),0)</f>
        <v>0</v>
      </c>
      <c r="AB111" s="322">
        <f>SUM(Calculations[[#This Row],[C3 recyc]:[C3 incin]])</f>
        <v>0</v>
      </c>
      <c r="AC111" s="322">
        <f>IFERROR((VLOOKUP(Calculations[[#This Row],[Waste type 2]],WasteLandfillEmissions[#All],2,FALSE))*Calculations[[#This Row],[Total Kg]]*VLOOKUP(Calculations[[#This Row],[Waste 1]],WasteScenario[#All],4,FALSE),0)</f>
        <v>0</v>
      </c>
      <c r="AD111" s="322">
        <f>IFERROR((VLOOKUP(Calculations[[#This Row],[Waste type 2]],WasteLandfillEmissions[#All],3,FALSE))*Calculations[[#This Row],[Total Kg]]*VLOOKUP(Calculations[[#This Row],[Waste 1]],WasteScenario[#All],4,FALSE),0)</f>
        <v>0</v>
      </c>
      <c r="AE111" s="322">
        <f>SUM(Calculations[[#This Row],[C4 landfill]:[C4 re-use]])</f>
        <v>0</v>
      </c>
      <c r="AF111" s="322">
        <f>IFERROR(VLOOKUP(Calculations[[#This Row],[Material (choose from dropdown]],MaterialData[#All],8,FALSE),0)</f>
        <v>0</v>
      </c>
      <c r="AG111" s="322">
        <f>IFERROR(Calculations[[#This Row],[Total Kg]]*Calculations[[#This Row],[Seq factor]],0)</f>
        <v>0</v>
      </c>
      <c r="AI111" s="322">
        <f>Calculations[[#This Row],[A1-3]]+Calculations[[#This Row],[A4]]+Calculations[[#This Row],[A5]]+Calculations[[#This Row],[B4]]+Calculations[[#This Row],[C2 total]]+Calculations[[#This Row],[C3 total]]+Calculations[[#This Row],[C4 total]]</f>
        <v>0</v>
      </c>
      <c r="AJ111" s="2">
        <f>IFERROR(VLOOKUP(Calculations[[#This Row],[Material (choose from dropdown]],MaterialData[[#Headers],[#Data]],9,FALSE),0)</f>
        <v>0</v>
      </c>
      <c r="AK111" s="4">
        <f>IFERROR(VLOOKUP(Calculations[[#This Row],[Material (choose from dropdown]],MaterialData[[#Headers],[#Data]],10,FALSE),0)</f>
        <v>0</v>
      </c>
      <c r="AL111" s="322">
        <f>IFERROR(Calculations[[#This Row],[Data Quality Score]]*Calculations[[#This Row],[Total Kg]],0)</f>
        <v>0</v>
      </c>
    </row>
    <row r="112" spans="1:38" x14ac:dyDescent="0.3">
      <c r="A112" s="6">
        <f>IFERROR(MaterialsBoQ[[#This Row],[Scope Element]],0)</f>
        <v>0</v>
      </c>
      <c r="B112">
        <f>IFERROR(MaterialsBoQ[[#This Row],[Material ]],"")</f>
        <v>0</v>
      </c>
      <c r="C112">
        <f>IFERROR(MaterialsBoQ[[#This Row],[Unit]],"")</f>
        <v>0</v>
      </c>
      <c r="D112" s="322">
        <f>IFERROR(MaterialsBoQ[[#This Row],[Number]],0)</f>
        <v>0</v>
      </c>
      <c r="E112" s="322">
        <f>IFERROR(MaterialsBoQ[[#This Row],[Kg per unit]],0)</f>
        <v>0</v>
      </c>
      <c r="F112" s="322">
        <f>IFERROR(Calculations[[#This Row],[Number]]*Calculations[[#This Row],[Conversion factor]],0)</f>
        <v>0</v>
      </c>
      <c r="G112" s="322">
        <f>IFERROR(VLOOKUP(Calculations[[#This Row],[Material (choose from dropdown]],MaterialData[#All],7,FALSE),0)</f>
        <v>0</v>
      </c>
      <c r="H112" s="322">
        <f>Calculations[[#This Row],[Total Kg]]*Calculations[[#This Row],[Carbon Factor]]</f>
        <v>0</v>
      </c>
      <c r="I112" t="str">
        <f>IFERROR(VLOOKUP(Calculations[[#This Row],[Material (choose from dropdown]],MaterialData[#All],2,FALSE),"")</f>
        <v/>
      </c>
      <c r="J112" s="322">
        <f>IFERROR(((VLOOKUP(Calculations[[#This Row],[TransportSource]],TransportDistance[],2,FALSE)*'Stage assumptions'!$C$11)+VLOOKUP(Calculations[[#This Row],[TransportSource]],TransportDistance[],3,FALSE)*'Stage assumptions'!$C$12)*Calculations[[#This Row],[Total Kg]],0)</f>
        <v>0</v>
      </c>
      <c r="K112">
        <f>IFERROR(VLOOKUP(Calculations[[#This Row],[Material (choose from dropdown]], MaterialData[#All],3, FALSE),0)</f>
        <v>0</v>
      </c>
      <c r="L112" s="322">
        <f>IFERROR(VLOOKUP(Calculations[[#This Row],[A5type]],A5WastageRate[#All],2,FALSE)*Calculations[[#This Row],[A1-3]],0)</f>
        <v>0</v>
      </c>
      <c r="N112">
        <f>IFERROR(ROUNDUP(50/VLOOKUP(Calculations[[#This Row],[Scope Element]],B4referenceServiceLife[[Tier 2 element]:[Default Service Life]],2, FALSE)-1,0),0)</f>
        <v>0</v>
      </c>
      <c r="O112" s="322">
        <f>IFERROR((Calculations[[#This Row],[A1-3]]+Calculations[[#This Row],[A4]]+Calculations[[#This Row],[A5]]+Calculations[[#This Row],[C2 total]]+Calculations[[#This Row],[C3 total]]+Calculations[[#This Row],[C4 total]])*Calculations[[#This Row],[Replacements]],0)</f>
        <v>0</v>
      </c>
      <c r="S112" t="str">
        <f>IFERROR(VLOOKUP(Calculations[[#This Row],[Material (choose from dropdown]],MaterialData[#All],4,FALSE),"")</f>
        <v/>
      </c>
      <c r="T112" s="322" cm="1">
        <f t="array" ref="T112">IFERROR(VLOOKUP(Calculations[[#This Row],[Waste 1]],WasteScenario[#All],2,FALSE)*'Stage assumptions'!$C$225*WasteTransportMethod[Emissions Factor
kgCO2e/kg.km]*Calculations[[#This Row],[Total Kg]],0)</f>
        <v>0</v>
      </c>
      <c r="U112" s="322" cm="1">
        <f t="array" ref="U112">IFERROR(VLOOKUP(Calculations[[#This Row],[Waste 1]],WasteScenario[#All],3,FALSE)*'Stage assumptions'!$C$224*WasteTransportMethod[Emissions Factor
kgCO2e/kg.km]*Calculations[[#This Row],[Total Kg]],0)</f>
        <v>0</v>
      </c>
      <c r="V112" s="322" cm="1">
        <f t="array" ref="V112">IFERROR(VLOOKUP(Calculations[[#This Row],[Waste 1]],WasteScenario[#All],4,FALSE)*'Stage assumptions'!$C$223*WasteTransportMethod[Emissions Factor
kgCO2e/kg.km]*Calculations[[#This Row],[Total Kg]],0)</f>
        <v>0</v>
      </c>
      <c r="W112" s="322" cm="1">
        <f t="array" ref="W112">IFERROR(VLOOKUP(Calculations[[#This Row],[Waste 1]],WasteScenario[#All],5,FALSE)*'Stage assumptions'!$C$226*WasteTransportMethod[Emissions Factor
kgCO2e/kg.km]*Calculations[[#This Row],[Total Kg]],0)</f>
        <v>0</v>
      </c>
      <c r="X112" s="322">
        <f>SUM(Calculations[[#This Row],[C2 Recycle]:[C2 Reuse]])</f>
        <v>0</v>
      </c>
      <c r="Y112" t="str">
        <f>IFERROR(VLOOKUP(Calculations[[#This Row],[Material (choose from dropdown]],MaterialData[#All],5,FALSE),"")</f>
        <v/>
      </c>
      <c r="Z112" s="322">
        <f>IFERROR(((VLOOKUP(Calculations[[#This Row],[Waste type 2]],WasteDisposalEmissions[#All],2,FALSE))*Calculations[[#This Row],[Total Kg]])*VLOOKUP(Calculations[[#This Row],[Waste 1]],WasteScenario[#All],2,FALSE),0)</f>
        <v>0</v>
      </c>
      <c r="AA112" s="322">
        <f>IFERROR((VLOOKUP(Calculations[[#This Row],[Waste type 2]],WasteDisposalEmissions[#All],3,FALSE))*Calculations[[#This Row],[Total Kg]]*VLOOKUP(Calculations[[#This Row],[Waste 1]],WasteScenario[#All],3,FALSE),0)</f>
        <v>0</v>
      </c>
      <c r="AB112" s="322">
        <f>SUM(Calculations[[#This Row],[C3 recyc]:[C3 incin]])</f>
        <v>0</v>
      </c>
      <c r="AC112" s="322">
        <f>IFERROR((VLOOKUP(Calculations[[#This Row],[Waste type 2]],WasteLandfillEmissions[#All],2,FALSE))*Calculations[[#This Row],[Total Kg]]*VLOOKUP(Calculations[[#This Row],[Waste 1]],WasteScenario[#All],4,FALSE),0)</f>
        <v>0</v>
      </c>
      <c r="AD112" s="322">
        <f>IFERROR((VLOOKUP(Calculations[[#This Row],[Waste type 2]],WasteLandfillEmissions[#All],3,FALSE))*Calculations[[#This Row],[Total Kg]]*VLOOKUP(Calculations[[#This Row],[Waste 1]],WasteScenario[#All],4,FALSE),0)</f>
        <v>0</v>
      </c>
      <c r="AE112" s="322">
        <f>SUM(Calculations[[#This Row],[C4 landfill]:[C4 re-use]])</f>
        <v>0</v>
      </c>
      <c r="AF112" s="322">
        <f>IFERROR(VLOOKUP(Calculations[[#This Row],[Material (choose from dropdown]],MaterialData[#All],8,FALSE),0)</f>
        <v>0</v>
      </c>
      <c r="AG112" s="322">
        <f>IFERROR(Calculations[[#This Row],[Total Kg]]*Calculations[[#This Row],[Seq factor]],0)</f>
        <v>0</v>
      </c>
      <c r="AI112" s="322">
        <f>Calculations[[#This Row],[A1-3]]+Calculations[[#This Row],[A4]]+Calculations[[#This Row],[A5]]+Calculations[[#This Row],[B4]]+Calculations[[#This Row],[C2 total]]+Calculations[[#This Row],[C3 total]]+Calculations[[#This Row],[C4 total]]</f>
        <v>0</v>
      </c>
      <c r="AJ112" s="2">
        <f>IFERROR(VLOOKUP(Calculations[[#This Row],[Material (choose from dropdown]],MaterialData[[#Headers],[#Data]],9,FALSE),0)</f>
        <v>0</v>
      </c>
      <c r="AK112" s="4">
        <f>IFERROR(VLOOKUP(Calculations[[#This Row],[Material (choose from dropdown]],MaterialData[[#Headers],[#Data]],10,FALSE),0)</f>
        <v>0</v>
      </c>
      <c r="AL112" s="322">
        <f>IFERROR(Calculations[[#This Row],[Data Quality Score]]*Calculations[[#This Row],[Total Kg]],0)</f>
        <v>0</v>
      </c>
    </row>
    <row r="113" spans="1:38" x14ac:dyDescent="0.3">
      <c r="A113" s="6">
        <f>IFERROR(MaterialsBoQ[[#This Row],[Scope Element]],0)</f>
        <v>0</v>
      </c>
      <c r="B113">
        <f>IFERROR(MaterialsBoQ[[#This Row],[Material ]],"")</f>
        <v>0</v>
      </c>
      <c r="C113">
        <f>IFERROR(MaterialsBoQ[[#This Row],[Unit]],"")</f>
        <v>0</v>
      </c>
      <c r="D113" s="322">
        <f>IFERROR(MaterialsBoQ[[#This Row],[Number]],0)</f>
        <v>0</v>
      </c>
      <c r="E113" s="322">
        <f>IFERROR(MaterialsBoQ[[#This Row],[Kg per unit]],0)</f>
        <v>0</v>
      </c>
      <c r="F113" s="322">
        <f>IFERROR(Calculations[[#This Row],[Number]]*Calculations[[#This Row],[Conversion factor]],0)</f>
        <v>0</v>
      </c>
      <c r="G113" s="322">
        <f>IFERROR(VLOOKUP(Calculations[[#This Row],[Material (choose from dropdown]],MaterialData[#All],7,FALSE),0)</f>
        <v>0</v>
      </c>
      <c r="H113" s="322">
        <f>Calculations[[#This Row],[Total Kg]]*Calculations[[#This Row],[Carbon Factor]]</f>
        <v>0</v>
      </c>
      <c r="I113" t="str">
        <f>IFERROR(VLOOKUP(Calculations[[#This Row],[Material (choose from dropdown]],MaterialData[#All],2,FALSE),"")</f>
        <v/>
      </c>
      <c r="J113" s="322">
        <f>IFERROR(((VLOOKUP(Calculations[[#This Row],[TransportSource]],TransportDistance[],2,FALSE)*'Stage assumptions'!$C$11)+VLOOKUP(Calculations[[#This Row],[TransportSource]],TransportDistance[],3,FALSE)*'Stage assumptions'!$C$12)*Calculations[[#This Row],[Total Kg]],0)</f>
        <v>0</v>
      </c>
      <c r="K113">
        <f>IFERROR(VLOOKUP(Calculations[[#This Row],[Material (choose from dropdown]], MaterialData[#All],3, FALSE),0)</f>
        <v>0</v>
      </c>
      <c r="L113" s="322">
        <f>IFERROR(VLOOKUP(Calculations[[#This Row],[A5type]],A5WastageRate[#All],2,FALSE)*Calculations[[#This Row],[A1-3]],0)</f>
        <v>0</v>
      </c>
      <c r="N113">
        <f>IFERROR(ROUNDUP(50/VLOOKUP(Calculations[[#This Row],[Scope Element]],B4referenceServiceLife[[Tier 2 element]:[Default Service Life]],2, FALSE)-1,0),0)</f>
        <v>0</v>
      </c>
      <c r="O113" s="322">
        <f>IFERROR((Calculations[[#This Row],[A1-3]]+Calculations[[#This Row],[A4]]+Calculations[[#This Row],[A5]]+Calculations[[#This Row],[C2 total]]+Calculations[[#This Row],[C3 total]]+Calculations[[#This Row],[C4 total]])*Calculations[[#This Row],[Replacements]],0)</f>
        <v>0</v>
      </c>
      <c r="S113" t="str">
        <f>IFERROR(VLOOKUP(Calculations[[#This Row],[Material (choose from dropdown]],MaterialData[#All],4,FALSE),"")</f>
        <v/>
      </c>
      <c r="T113" s="322" cm="1">
        <f t="array" ref="T113">IFERROR(VLOOKUP(Calculations[[#This Row],[Waste 1]],WasteScenario[#All],2,FALSE)*'Stage assumptions'!$C$225*WasteTransportMethod[Emissions Factor
kgCO2e/kg.km]*Calculations[[#This Row],[Total Kg]],0)</f>
        <v>0</v>
      </c>
      <c r="U113" s="322" cm="1">
        <f t="array" ref="U113">IFERROR(VLOOKUP(Calculations[[#This Row],[Waste 1]],WasteScenario[#All],3,FALSE)*'Stage assumptions'!$C$224*WasteTransportMethod[Emissions Factor
kgCO2e/kg.km]*Calculations[[#This Row],[Total Kg]],0)</f>
        <v>0</v>
      </c>
      <c r="V113" s="322" cm="1">
        <f t="array" ref="V113">IFERROR(VLOOKUP(Calculations[[#This Row],[Waste 1]],WasteScenario[#All],4,FALSE)*'Stage assumptions'!$C$223*WasteTransportMethod[Emissions Factor
kgCO2e/kg.km]*Calculations[[#This Row],[Total Kg]],0)</f>
        <v>0</v>
      </c>
      <c r="W113" s="322" cm="1">
        <f t="array" ref="W113">IFERROR(VLOOKUP(Calculations[[#This Row],[Waste 1]],WasteScenario[#All],5,FALSE)*'Stage assumptions'!$C$226*WasteTransportMethod[Emissions Factor
kgCO2e/kg.km]*Calculations[[#This Row],[Total Kg]],0)</f>
        <v>0</v>
      </c>
      <c r="X113" s="322">
        <f>SUM(Calculations[[#This Row],[C2 Recycle]:[C2 Reuse]])</f>
        <v>0</v>
      </c>
      <c r="Y113" t="str">
        <f>IFERROR(VLOOKUP(Calculations[[#This Row],[Material (choose from dropdown]],MaterialData[#All],5,FALSE),"")</f>
        <v/>
      </c>
      <c r="Z113" s="322">
        <f>IFERROR(((VLOOKUP(Calculations[[#This Row],[Waste type 2]],WasteDisposalEmissions[#All],2,FALSE))*Calculations[[#This Row],[Total Kg]])*VLOOKUP(Calculations[[#This Row],[Waste 1]],WasteScenario[#All],2,FALSE),0)</f>
        <v>0</v>
      </c>
      <c r="AA113" s="322">
        <f>IFERROR((VLOOKUP(Calculations[[#This Row],[Waste type 2]],WasteDisposalEmissions[#All],3,FALSE))*Calculations[[#This Row],[Total Kg]]*VLOOKUP(Calculations[[#This Row],[Waste 1]],WasteScenario[#All],3,FALSE),0)</f>
        <v>0</v>
      </c>
      <c r="AB113" s="322">
        <f>SUM(Calculations[[#This Row],[C3 recyc]:[C3 incin]])</f>
        <v>0</v>
      </c>
      <c r="AC113" s="322">
        <f>IFERROR((VLOOKUP(Calculations[[#This Row],[Waste type 2]],WasteLandfillEmissions[#All],2,FALSE))*Calculations[[#This Row],[Total Kg]]*VLOOKUP(Calculations[[#This Row],[Waste 1]],WasteScenario[#All],4,FALSE),0)</f>
        <v>0</v>
      </c>
      <c r="AD113" s="322">
        <f>IFERROR((VLOOKUP(Calculations[[#This Row],[Waste type 2]],WasteLandfillEmissions[#All],3,FALSE))*Calculations[[#This Row],[Total Kg]]*VLOOKUP(Calculations[[#This Row],[Waste 1]],WasteScenario[#All],4,FALSE),0)</f>
        <v>0</v>
      </c>
      <c r="AE113" s="322">
        <f>SUM(Calculations[[#This Row],[C4 landfill]:[C4 re-use]])</f>
        <v>0</v>
      </c>
      <c r="AF113" s="322">
        <f>IFERROR(VLOOKUP(Calculations[[#This Row],[Material (choose from dropdown]],MaterialData[#All],8,FALSE),0)</f>
        <v>0</v>
      </c>
      <c r="AG113" s="322">
        <f>IFERROR(Calculations[[#This Row],[Total Kg]]*Calculations[[#This Row],[Seq factor]],0)</f>
        <v>0</v>
      </c>
      <c r="AI113" s="322">
        <f>Calculations[[#This Row],[A1-3]]+Calculations[[#This Row],[A4]]+Calculations[[#This Row],[A5]]+Calculations[[#This Row],[B4]]+Calculations[[#This Row],[C2 total]]+Calculations[[#This Row],[C3 total]]+Calculations[[#This Row],[C4 total]]</f>
        <v>0</v>
      </c>
      <c r="AJ113" s="2">
        <f>IFERROR(VLOOKUP(Calculations[[#This Row],[Material (choose from dropdown]],MaterialData[[#Headers],[#Data]],9,FALSE),0)</f>
        <v>0</v>
      </c>
      <c r="AK113" s="4">
        <f>IFERROR(VLOOKUP(Calculations[[#This Row],[Material (choose from dropdown]],MaterialData[[#Headers],[#Data]],10,FALSE),0)</f>
        <v>0</v>
      </c>
      <c r="AL113" s="322">
        <f>IFERROR(Calculations[[#This Row],[Data Quality Score]]*Calculations[[#This Row],[Total Kg]],0)</f>
        <v>0</v>
      </c>
    </row>
    <row r="114" spans="1:38" x14ac:dyDescent="0.3">
      <c r="A114" s="6">
        <f>IFERROR(MaterialsBoQ[[#This Row],[Scope Element]],0)</f>
        <v>0</v>
      </c>
      <c r="B114">
        <f>IFERROR(MaterialsBoQ[[#This Row],[Material ]],"")</f>
        <v>0</v>
      </c>
      <c r="C114">
        <f>IFERROR(MaterialsBoQ[[#This Row],[Unit]],"")</f>
        <v>0</v>
      </c>
      <c r="D114" s="322">
        <f>IFERROR(MaterialsBoQ[[#This Row],[Number]],0)</f>
        <v>0</v>
      </c>
      <c r="E114" s="322">
        <f>IFERROR(MaterialsBoQ[[#This Row],[Kg per unit]],0)</f>
        <v>0</v>
      </c>
      <c r="F114" s="322">
        <f>IFERROR(Calculations[[#This Row],[Number]]*Calculations[[#This Row],[Conversion factor]],0)</f>
        <v>0</v>
      </c>
      <c r="G114" s="322">
        <f>IFERROR(VLOOKUP(Calculations[[#This Row],[Material (choose from dropdown]],MaterialData[#All],7,FALSE),0)</f>
        <v>0</v>
      </c>
      <c r="H114" s="322">
        <f>Calculations[[#This Row],[Total Kg]]*Calculations[[#This Row],[Carbon Factor]]</f>
        <v>0</v>
      </c>
      <c r="I114" t="str">
        <f>IFERROR(VLOOKUP(Calculations[[#This Row],[Material (choose from dropdown]],MaterialData[#All],2,FALSE),"")</f>
        <v/>
      </c>
      <c r="J114" s="322">
        <f>IFERROR(((VLOOKUP(Calculations[[#This Row],[TransportSource]],TransportDistance[],2,FALSE)*'Stage assumptions'!$C$11)+VLOOKUP(Calculations[[#This Row],[TransportSource]],TransportDistance[],3,FALSE)*'Stage assumptions'!$C$12)*Calculations[[#This Row],[Total Kg]],0)</f>
        <v>0</v>
      </c>
      <c r="K114">
        <f>IFERROR(VLOOKUP(Calculations[[#This Row],[Material (choose from dropdown]], MaterialData[#All],3, FALSE),0)</f>
        <v>0</v>
      </c>
      <c r="L114" s="322">
        <f>IFERROR(VLOOKUP(Calculations[[#This Row],[A5type]],A5WastageRate[#All],2,FALSE)*Calculations[[#This Row],[A1-3]],0)</f>
        <v>0</v>
      </c>
      <c r="N114">
        <f>IFERROR(ROUNDUP(50/VLOOKUP(Calculations[[#This Row],[Scope Element]],B4referenceServiceLife[[Tier 2 element]:[Default Service Life]],2, FALSE)-1,0),0)</f>
        <v>0</v>
      </c>
      <c r="O114" s="322">
        <f>IFERROR((Calculations[[#This Row],[A1-3]]+Calculations[[#This Row],[A4]]+Calculations[[#This Row],[A5]]+Calculations[[#This Row],[C2 total]]+Calculations[[#This Row],[C3 total]]+Calculations[[#This Row],[C4 total]])*Calculations[[#This Row],[Replacements]],0)</f>
        <v>0</v>
      </c>
      <c r="S114" t="str">
        <f>IFERROR(VLOOKUP(Calculations[[#This Row],[Material (choose from dropdown]],MaterialData[#All],4,FALSE),"")</f>
        <v/>
      </c>
      <c r="T114" s="322" cm="1">
        <f t="array" ref="T114">IFERROR(VLOOKUP(Calculations[[#This Row],[Waste 1]],WasteScenario[#All],2,FALSE)*'Stage assumptions'!$C$225*WasteTransportMethod[Emissions Factor
kgCO2e/kg.km]*Calculations[[#This Row],[Total Kg]],0)</f>
        <v>0</v>
      </c>
      <c r="U114" s="322" cm="1">
        <f t="array" ref="U114">IFERROR(VLOOKUP(Calculations[[#This Row],[Waste 1]],WasteScenario[#All],3,FALSE)*'Stage assumptions'!$C$224*WasteTransportMethod[Emissions Factor
kgCO2e/kg.km]*Calculations[[#This Row],[Total Kg]],0)</f>
        <v>0</v>
      </c>
      <c r="V114" s="322" cm="1">
        <f t="array" ref="V114">IFERROR(VLOOKUP(Calculations[[#This Row],[Waste 1]],WasteScenario[#All],4,FALSE)*'Stage assumptions'!$C$223*WasteTransportMethod[Emissions Factor
kgCO2e/kg.km]*Calculations[[#This Row],[Total Kg]],0)</f>
        <v>0</v>
      </c>
      <c r="W114" s="322" cm="1">
        <f t="array" ref="W114">IFERROR(VLOOKUP(Calculations[[#This Row],[Waste 1]],WasteScenario[#All],5,FALSE)*'Stage assumptions'!$C$226*WasteTransportMethod[Emissions Factor
kgCO2e/kg.km]*Calculations[[#This Row],[Total Kg]],0)</f>
        <v>0</v>
      </c>
      <c r="X114" s="322">
        <f>SUM(Calculations[[#This Row],[C2 Recycle]:[C2 Reuse]])</f>
        <v>0</v>
      </c>
      <c r="Y114" t="str">
        <f>IFERROR(VLOOKUP(Calculations[[#This Row],[Material (choose from dropdown]],MaterialData[#All],5,FALSE),"")</f>
        <v/>
      </c>
      <c r="Z114" s="322">
        <f>IFERROR(((VLOOKUP(Calculations[[#This Row],[Waste type 2]],WasteDisposalEmissions[#All],2,FALSE))*Calculations[[#This Row],[Total Kg]])*VLOOKUP(Calculations[[#This Row],[Waste 1]],WasteScenario[#All],2,FALSE),0)</f>
        <v>0</v>
      </c>
      <c r="AA114" s="322">
        <f>IFERROR((VLOOKUP(Calculations[[#This Row],[Waste type 2]],WasteDisposalEmissions[#All],3,FALSE))*Calculations[[#This Row],[Total Kg]]*VLOOKUP(Calculations[[#This Row],[Waste 1]],WasteScenario[#All],3,FALSE),0)</f>
        <v>0</v>
      </c>
      <c r="AB114" s="322">
        <f>SUM(Calculations[[#This Row],[C3 recyc]:[C3 incin]])</f>
        <v>0</v>
      </c>
      <c r="AC114" s="322">
        <f>IFERROR((VLOOKUP(Calculations[[#This Row],[Waste type 2]],WasteLandfillEmissions[#All],2,FALSE))*Calculations[[#This Row],[Total Kg]]*VLOOKUP(Calculations[[#This Row],[Waste 1]],WasteScenario[#All],4,FALSE),0)</f>
        <v>0</v>
      </c>
      <c r="AD114" s="322">
        <f>IFERROR((VLOOKUP(Calculations[[#This Row],[Waste type 2]],WasteLandfillEmissions[#All],3,FALSE))*Calculations[[#This Row],[Total Kg]]*VLOOKUP(Calculations[[#This Row],[Waste 1]],WasteScenario[#All],4,FALSE),0)</f>
        <v>0</v>
      </c>
      <c r="AE114" s="322">
        <f>SUM(Calculations[[#This Row],[C4 landfill]:[C4 re-use]])</f>
        <v>0</v>
      </c>
      <c r="AF114" s="322">
        <f>IFERROR(VLOOKUP(Calculations[[#This Row],[Material (choose from dropdown]],MaterialData[#All],8,FALSE),0)</f>
        <v>0</v>
      </c>
      <c r="AG114" s="322">
        <f>IFERROR(Calculations[[#This Row],[Total Kg]]*Calculations[[#This Row],[Seq factor]],0)</f>
        <v>0</v>
      </c>
      <c r="AI114" s="322">
        <f>Calculations[[#This Row],[A1-3]]+Calculations[[#This Row],[A4]]+Calculations[[#This Row],[A5]]+Calculations[[#This Row],[B4]]+Calculations[[#This Row],[C2 total]]+Calculations[[#This Row],[C3 total]]+Calculations[[#This Row],[C4 total]]</f>
        <v>0</v>
      </c>
      <c r="AJ114" s="2">
        <f>IFERROR(VLOOKUP(Calculations[[#This Row],[Material (choose from dropdown]],MaterialData[[#Headers],[#Data]],9,FALSE),0)</f>
        <v>0</v>
      </c>
      <c r="AK114" s="4">
        <f>IFERROR(VLOOKUP(Calculations[[#This Row],[Material (choose from dropdown]],MaterialData[[#Headers],[#Data]],10,FALSE),0)</f>
        <v>0</v>
      </c>
      <c r="AL114" s="322">
        <f>IFERROR(Calculations[[#This Row],[Data Quality Score]]*Calculations[[#This Row],[Total Kg]],0)</f>
        <v>0</v>
      </c>
    </row>
    <row r="115" spans="1:38" x14ac:dyDescent="0.3">
      <c r="A115" s="6">
        <f>IFERROR(MaterialsBoQ[[#This Row],[Scope Element]],0)</f>
        <v>0</v>
      </c>
      <c r="B115">
        <f>IFERROR(MaterialsBoQ[[#This Row],[Material ]],"")</f>
        <v>0</v>
      </c>
      <c r="C115">
        <f>IFERROR(MaterialsBoQ[[#This Row],[Unit]],"")</f>
        <v>0</v>
      </c>
      <c r="D115" s="322">
        <f>IFERROR(MaterialsBoQ[[#This Row],[Number]],0)</f>
        <v>0</v>
      </c>
      <c r="E115" s="322">
        <f>IFERROR(MaterialsBoQ[[#This Row],[Kg per unit]],0)</f>
        <v>0</v>
      </c>
      <c r="F115" s="322">
        <f>IFERROR(Calculations[[#This Row],[Number]]*Calculations[[#This Row],[Conversion factor]],0)</f>
        <v>0</v>
      </c>
      <c r="G115" s="322">
        <f>IFERROR(VLOOKUP(Calculations[[#This Row],[Material (choose from dropdown]],MaterialData[#All],7,FALSE),0)</f>
        <v>0</v>
      </c>
      <c r="H115" s="322">
        <f>Calculations[[#This Row],[Total Kg]]*Calculations[[#This Row],[Carbon Factor]]</f>
        <v>0</v>
      </c>
      <c r="I115" t="str">
        <f>IFERROR(VLOOKUP(Calculations[[#This Row],[Material (choose from dropdown]],MaterialData[#All],2,FALSE),"")</f>
        <v/>
      </c>
      <c r="J115" s="322">
        <f>IFERROR(((VLOOKUP(Calculations[[#This Row],[TransportSource]],TransportDistance[],2,FALSE)*'Stage assumptions'!$C$11)+VLOOKUP(Calculations[[#This Row],[TransportSource]],TransportDistance[],3,FALSE)*'Stage assumptions'!$C$12)*Calculations[[#This Row],[Total Kg]],0)</f>
        <v>0</v>
      </c>
      <c r="K115">
        <f>IFERROR(VLOOKUP(Calculations[[#This Row],[Material (choose from dropdown]], MaterialData[#All],3, FALSE),0)</f>
        <v>0</v>
      </c>
      <c r="L115" s="322">
        <f>IFERROR(VLOOKUP(Calculations[[#This Row],[A5type]],A5WastageRate[#All],2,FALSE)*Calculations[[#This Row],[A1-3]],0)</f>
        <v>0</v>
      </c>
      <c r="N115">
        <f>IFERROR(ROUNDUP(50/VLOOKUP(Calculations[[#This Row],[Scope Element]],B4referenceServiceLife[[Tier 2 element]:[Default Service Life]],2, FALSE)-1,0),0)</f>
        <v>0</v>
      </c>
      <c r="O115" s="322">
        <f>IFERROR((Calculations[[#This Row],[A1-3]]+Calculations[[#This Row],[A4]]+Calculations[[#This Row],[A5]]+Calculations[[#This Row],[C2 total]]+Calculations[[#This Row],[C3 total]]+Calculations[[#This Row],[C4 total]])*Calculations[[#This Row],[Replacements]],0)</f>
        <v>0</v>
      </c>
      <c r="S115" t="str">
        <f>IFERROR(VLOOKUP(Calculations[[#This Row],[Material (choose from dropdown]],MaterialData[#All],4,FALSE),"")</f>
        <v/>
      </c>
      <c r="T115" s="322" cm="1">
        <f t="array" ref="T115">IFERROR(VLOOKUP(Calculations[[#This Row],[Waste 1]],WasteScenario[#All],2,FALSE)*'Stage assumptions'!$C$225*WasteTransportMethod[Emissions Factor
kgCO2e/kg.km]*Calculations[[#This Row],[Total Kg]],0)</f>
        <v>0</v>
      </c>
      <c r="U115" s="322" cm="1">
        <f t="array" ref="U115">IFERROR(VLOOKUP(Calculations[[#This Row],[Waste 1]],WasteScenario[#All],3,FALSE)*'Stage assumptions'!$C$224*WasteTransportMethod[Emissions Factor
kgCO2e/kg.km]*Calculations[[#This Row],[Total Kg]],0)</f>
        <v>0</v>
      </c>
      <c r="V115" s="322" cm="1">
        <f t="array" ref="V115">IFERROR(VLOOKUP(Calculations[[#This Row],[Waste 1]],WasteScenario[#All],4,FALSE)*'Stage assumptions'!$C$223*WasteTransportMethod[Emissions Factor
kgCO2e/kg.km]*Calculations[[#This Row],[Total Kg]],0)</f>
        <v>0</v>
      </c>
      <c r="W115" s="322" cm="1">
        <f t="array" ref="W115">IFERROR(VLOOKUP(Calculations[[#This Row],[Waste 1]],WasteScenario[#All],5,FALSE)*'Stage assumptions'!$C$226*WasteTransportMethod[Emissions Factor
kgCO2e/kg.km]*Calculations[[#This Row],[Total Kg]],0)</f>
        <v>0</v>
      </c>
      <c r="X115" s="322">
        <f>SUM(Calculations[[#This Row],[C2 Recycle]:[C2 Reuse]])</f>
        <v>0</v>
      </c>
      <c r="Y115" t="str">
        <f>IFERROR(VLOOKUP(Calculations[[#This Row],[Material (choose from dropdown]],MaterialData[#All],5,FALSE),"")</f>
        <v/>
      </c>
      <c r="Z115" s="322">
        <f>IFERROR(((VLOOKUP(Calculations[[#This Row],[Waste type 2]],WasteDisposalEmissions[#All],2,FALSE))*Calculations[[#This Row],[Total Kg]])*VLOOKUP(Calculations[[#This Row],[Waste 1]],WasteScenario[#All],2,FALSE),0)</f>
        <v>0</v>
      </c>
      <c r="AA115" s="322">
        <f>IFERROR((VLOOKUP(Calculations[[#This Row],[Waste type 2]],WasteDisposalEmissions[#All],3,FALSE))*Calculations[[#This Row],[Total Kg]]*VLOOKUP(Calculations[[#This Row],[Waste 1]],WasteScenario[#All],3,FALSE),0)</f>
        <v>0</v>
      </c>
      <c r="AB115" s="322">
        <f>SUM(Calculations[[#This Row],[C3 recyc]:[C3 incin]])</f>
        <v>0</v>
      </c>
      <c r="AC115" s="322">
        <f>IFERROR((VLOOKUP(Calculations[[#This Row],[Waste type 2]],WasteLandfillEmissions[#All],2,FALSE))*Calculations[[#This Row],[Total Kg]]*VLOOKUP(Calculations[[#This Row],[Waste 1]],WasteScenario[#All],4,FALSE),0)</f>
        <v>0</v>
      </c>
      <c r="AD115" s="322">
        <f>IFERROR((VLOOKUP(Calculations[[#This Row],[Waste type 2]],WasteLandfillEmissions[#All],3,FALSE))*Calculations[[#This Row],[Total Kg]]*VLOOKUP(Calculations[[#This Row],[Waste 1]],WasteScenario[#All],4,FALSE),0)</f>
        <v>0</v>
      </c>
      <c r="AE115" s="322">
        <f>SUM(Calculations[[#This Row],[C4 landfill]:[C4 re-use]])</f>
        <v>0</v>
      </c>
      <c r="AF115" s="322">
        <f>IFERROR(VLOOKUP(Calculations[[#This Row],[Material (choose from dropdown]],MaterialData[#All],8,FALSE),0)</f>
        <v>0</v>
      </c>
      <c r="AG115" s="322">
        <f>IFERROR(Calculations[[#This Row],[Total Kg]]*Calculations[[#This Row],[Seq factor]],0)</f>
        <v>0</v>
      </c>
      <c r="AI115" s="322">
        <f>Calculations[[#This Row],[A1-3]]+Calculations[[#This Row],[A4]]+Calculations[[#This Row],[A5]]+Calculations[[#This Row],[B4]]+Calculations[[#This Row],[C2 total]]+Calculations[[#This Row],[C3 total]]+Calculations[[#This Row],[C4 total]]</f>
        <v>0</v>
      </c>
      <c r="AJ115" s="2">
        <f>IFERROR(VLOOKUP(Calculations[[#This Row],[Material (choose from dropdown]],MaterialData[[#Headers],[#Data]],9,FALSE),0)</f>
        <v>0</v>
      </c>
      <c r="AK115" s="4">
        <f>IFERROR(VLOOKUP(Calculations[[#This Row],[Material (choose from dropdown]],MaterialData[[#Headers],[#Data]],10,FALSE),0)</f>
        <v>0</v>
      </c>
      <c r="AL115" s="322">
        <f>IFERROR(Calculations[[#This Row],[Data Quality Score]]*Calculations[[#This Row],[Total Kg]],0)</f>
        <v>0</v>
      </c>
    </row>
    <row r="116" spans="1:38" x14ac:dyDescent="0.3">
      <c r="A116" s="6">
        <f>IFERROR(MaterialsBoQ[[#This Row],[Scope Element]],0)</f>
        <v>0</v>
      </c>
      <c r="B116">
        <f>IFERROR(MaterialsBoQ[[#This Row],[Material ]],"")</f>
        <v>0</v>
      </c>
      <c r="C116">
        <f>IFERROR(MaterialsBoQ[[#This Row],[Unit]],"")</f>
        <v>0</v>
      </c>
      <c r="D116" s="322">
        <f>IFERROR(MaterialsBoQ[[#This Row],[Number]],0)</f>
        <v>0</v>
      </c>
      <c r="E116" s="322">
        <f>IFERROR(MaterialsBoQ[[#This Row],[Kg per unit]],0)</f>
        <v>0</v>
      </c>
      <c r="F116" s="322">
        <f>IFERROR(Calculations[[#This Row],[Number]]*Calculations[[#This Row],[Conversion factor]],0)</f>
        <v>0</v>
      </c>
      <c r="G116" s="322">
        <f>IFERROR(VLOOKUP(Calculations[[#This Row],[Material (choose from dropdown]],MaterialData[#All],7,FALSE),0)</f>
        <v>0</v>
      </c>
      <c r="H116" s="322">
        <f>Calculations[[#This Row],[Total Kg]]*Calculations[[#This Row],[Carbon Factor]]</f>
        <v>0</v>
      </c>
      <c r="I116" t="str">
        <f>IFERROR(VLOOKUP(Calculations[[#This Row],[Material (choose from dropdown]],MaterialData[#All],2,FALSE),"")</f>
        <v/>
      </c>
      <c r="J116" s="322">
        <f>IFERROR(((VLOOKUP(Calculations[[#This Row],[TransportSource]],TransportDistance[],2,FALSE)*'Stage assumptions'!$C$11)+VLOOKUP(Calculations[[#This Row],[TransportSource]],TransportDistance[],3,FALSE)*'Stage assumptions'!$C$12)*Calculations[[#This Row],[Total Kg]],0)</f>
        <v>0</v>
      </c>
      <c r="K116">
        <f>IFERROR(VLOOKUP(Calculations[[#This Row],[Material (choose from dropdown]], MaterialData[#All],3, FALSE),0)</f>
        <v>0</v>
      </c>
      <c r="L116" s="322">
        <f>IFERROR(VLOOKUP(Calculations[[#This Row],[A5type]],A5WastageRate[#All],2,FALSE)*Calculations[[#This Row],[A1-3]],0)</f>
        <v>0</v>
      </c>
      <c r="N116">
        <f>IFERROR(ROUNDUP(50/VLOOKUP(Calculations[[#This Row],[Scope Element]],B4referenceServiceLife[[Tier 2 element]:[Default Service Life]],2, FALSE)-1,0),0)</f>
        <v>0</v>
      </c>
      <c r="O116" s="322">
        <f>IFERROR((Calculations[[#This Row],[A1-3]]+Calculations[[#This Row],[A4]]+Calculations[[#This Row],[A5]]+Calculations[[#This Row],[C2 total]]+Calculations[[#This Row],[C3 total]]+Calculations[[#This Row],[C4 total]])*Calculations[[#This Row],[Replacements]],0)</f>
        <v>0</v>
      </c>
      <c r="S116" t="str">
        <f>IFERROR(VLOOKUP(Calculations[[#This Row],[Material (choose from dropdown]],MaterialData[#All],4,FALSE),"")</f>
        <v/>
      </c>
      <c r="T116" s="322" cm="1">
        <f t="array" ref="T116">IFERROR(VLOOKUP(Calculations[[#This Row],[Waste 1]],WasteScenario[#All],2,FALSE)*'Stage assumptions'!$C$225*WasteTransportMethod[Emissions Factor
kgCO2e/kg.km]*Calculations[[#This Row],[Total Kg]],0)</f>
        <v>0</v>
      </c>
      <c r="U116" s="322" cm="1">
        <f t="array" ref="U116">IFERROR(VLOOKUP(Calculations[[#This Row],[Waste 1]],WasteScenario[#All],3,FALSE)*'Stage assumptions'!$C$224*WasteTransportMethod[Emissions Factor
kgCO2e/kg.km]*Calculations[[#This Row],[Total Kg]],0)</f>
        <v>0</v>
      </c>
      <c r="V116" s="322" cm="1">
        <f t="array" ref="V116">IFERROR(VLOOKUP(Calculations[[#This Row],[Waste 1]],WasteScenario[#All],4,FALSE)*'Stage assumptions'!$C$223*WasteTransportMethod[Emissions Factor
kgCO2e/kg.km]*Calculations[[#This Row],[Total Kg]],0)</f>
        <v>0</v>
      </c>
      <c r="W116" s="322" cm="1">
        <f t="array" ref="W116">IFERROR(VLOOKUP(Calculations[[#This Row],[Waste 1]],WasteScenario[#All],5,FALSE)*'Stage assumptions'!$C$226*WasteTransportMethod[Emissions Factor
kgCO2e/kg.km]*Calculations[[#This Row],[Total Kg]],0)</f>
        <v>0</v>
      </c>
      <c r="X116" s="322">
        <f>SUM(Calculations[[#This Row],[C2 Recycle]:[C2 Reuse]])</f>
        <v>0</v>
      </c>
      <c r="Y116" t="str">
        <f>IFERROR(VLOOKUP(Calculations[[#This Row],[Material (choose from dropdown]],MaterialData[#All],5,FALSE),"")</f>
        <v/>
      </c>
      <c r="Z116" s="322">
        <f>IFERROR(((VLOOKUP(Calculations[[#This Row],[Waste type 2]],WasteDisposalEmissions[#All],2,FALSE))*Calculations[[#This Row],[Total Kg]])*VLOOKUP(Calculations[[#This Row],[Waste 1]],WasteScenario[#All],2,FALSE),0)</f>
        <v>0</v>
      </c>
      <c r="AA116" s="322">
        <f>IFERROR((VLOOKUP(Calculations[[#This Row],[Waste type 2]],WasteDisposalEmissions[#All],3,FALSE))*Calculations[[#This Row],[Total Kg]]*VLOOKUP(Calculations[[#This Row],[Waste 1]],WasteScenario[#All],3,FALSE),0)</f>
        <v>0</v>
      </c>
      <c r="AB116" s="322">
        <f>SUM(Calculations[[#This Row],[C3 recyc]:[C3 incin]])</f>
        <v>0</v>
      </c>
      <c r="AC116" s="322">
        <f>IFERROR((VLOOKUP(Calculations[[#This Row],[Waste type 2]],WasteLandfillEmissions[#All],2,FALSE))*Calculations[[#This Row],[Total Kg]]*VLOOKUP(Calculations[[#This Row],[Waste 1]],WasteScenario[#All],4,FALSE),0)</f>
        <v>0</v>
      </c>
      <c r="AD116" s="322">
        <f>IFERROR((VLOOKUP(Calculations[[#This Row],[Waste type 2]],WasteLandfillEmissions[#All],3,FALSE))*Calculations[[#This Row],[Total Kg]]*VLOOKUP(Calculations[[#This Row],[Waste 1]],WasteScenario[#All],4,FALSE),0)</f>
        <v>0</v>
      </c>
      <c r="AE116" s="322">
        <f>SUM(Calculations[[#This Row],[C4 landfill]:[C4 re-use]])</f>
        <v>0</v>
      </c>
      <c r="AF116" s="322">
        <f>IFERROR(VLOOKUP(Calculations[[#This Row],[Material (choose from dropdown]],MaterialData[#All],8,FALSE),0)</f>
        <v>0</v>
      </c>
      <c r="AG116" s="322">
        <f>IFERROR(Calculations[[#This Row],[Total Kg]]*Calculations[[#This Row],[Seq factor]],0)</f>
        <v>0</v>
      </c>
      <c r="AI116" s="322">
        <f>Calculations[[#This Row],[A1-3]]+Calculations[[#This Row],[A4]]+Calculations[[#This Row],[A5]]+Calculations[[#This Row],[B4]]+Calculations[[#This Row],[C2 total]]+Calculations[[#This Row],[C3 total]]+Calculations[[#This Row],[C4 total]]</f>
        <v>0</v>
      </c>
      <c r="AJ116" s="2">
        <f>IFERROR(VLOOKUP(Calculations[[#This Row],[Material (choose from dropdown]],MaterialData[[#Headers],[#Data]],9,FALSE),0)</f>
        <v>0</v>
      </c>
      <c r="AK116" s="4">
        <f>IFERROR(VLOOKUP(Calculations[[#This Row],[Material (choose from dropdown]],MaterialData[[#Headers],[#Data]],10,FALSE),0)</f>
        <v>0</v>
      </c>
      <c r="AL116" s="322">
        <f>IFERROR(Calculations[[#This Row],[Data Quality Score]]*Calculations[[#This Row],[Total Kg]],0)</f>
        <v>0</v>
      </c>
    </row>
    <row r="117" spans="1:38" x14ac:dyDescent="0.3">
      <c r="A117" s="6">
        <f>IFERROR(MaterialsBoQ[[#This Row],[Scope Element]],0)</f>
        <v>0</v>
      </c>
      <c r="B117">
        <f>IFERROR(MaterialsBoQ[[#This Row],[Material ]],"")</f>
        <v>0</v>
      </c>
      <c r="C117">
        <f>IFERROR(MaterialsBoQ[[#This Row],[Unit]],"")</f>
        <v>0</v>
      </c>
      <c r="D117" s="322">
        <f>IFERROR(MaterialsBoQ[[#This Row],[Number]],0)</f>
        <v>0</v>
      </c>
      <c r="E117" s="322">
        <f>IFERROR(MaterialsBoQ[[#This Row],[Kg per unit]],0)</f>
        <v>0</v>
      </c>
      <c r="F117" s="322">
        <f>IFERROR(Calculations[[#This Row],[Number]]*Calculations[[#This Row],[Conversion factor]],0)</f>
        <v>0</v>
      </c>
      <c r="G117" s="322">
        <f>IFERROR(VLOOKUP(Calculations[[#This Row],[Material (choose from dropdown]],MaterialData[#All],7,FALSE),0)</f>
        <v>0</v>
      </c>
      <c r="H117" s="322">
        <f>Calculations[[#This Row],[Total Kg]]*Calculations[[#This Row],[Carbon Factor]]</f>
        <v>0</v>
      </c>
      <c r="I117" t="str">
        <f>IFERROR(VLOOKUP(Calculations[[#This Row],[Material (choose from dropdown]],MaterialData[#All],2,FALSE),"")</f>
        <v/>
      </c>
      <c r="J117" s="322">
        <f>IFERROR(((VLOOKUP(Calculations[[#This Row],[TransportSource]],TransportDistance[],2,FALSE)*'Stage assumptions'!$C$11)+VLOOKUP(Calculations[[#This Row],[TransportSource]],TransportDistance[],3,FALSE)*'Stage assumptions'!$C$12)*Calculations[[#This Row],[Total Kg]],0)</f>
        <v>0</v>
      </c>
      <c r="K117">
        <f>IFERROR(VLOOKUP(Calculations[[#This Row],[Material (choose from dropdown]], MaterialData[#All],3, FALSE),0)</f>
        <v>0</v>
      </c>
      <c r="L117" s="322">
        <f>IFERROR(VLOOKUP(Calculations[[#This Row],[A5type]],A5WastageRate[#All],2,FALSE)*Calculations[[#This Row],[A1-3]],0)</f>
        <v>0</v>
      </c>
      <c r="N117">
        <f>IFERROR(ROUNDUP(50/VLOOKUP(Calculations[[#This Row],[Scope Element]],B4referenceServiceLife[[Tier 2 element]:[Default Service Life]],2, FALSE)-1,0),0)</f>
        <v>0</v>
      </c>
      <c r="O117" s="322">
        <f>IFERROR((Calculations[[#This Row],[A1-3]]+Calculations[[#This Row],[A4]]+Calculations[[#This Row],[A5]]+Calculations[[#This Row],[C2 total]]+Calculations[[#This Row],[C3 total]]+Calculations[[#This Row],[C4 total]])*Calculations[[#This Row],[Replacements]],0)</f>
        <v>0</v>
      </c>
      <c r="S117" t="str">
        <f>IFERROR(VLOOKUP(Calculations[[#This Row],[Material (choose from dropdown]],MaterialData[#All],4,FALSE),"")</f>
        <v/>
      </c>
      <c r="T117" s="322" cm="1">
        <f t="array" ref="T117">IFERROR(VLOOKUP(Calculations[[#This Row],[Waste 1]],WasteScenario[#All],2,FALSE)*'Stage assumptions'!$C$225*WasteTransportMethod[Emissions Factor
kgCO2e/kg.km]*Calculations[[#This Row],[Total Kg]],0)</f>
        <v>0</v>
      </c>
      <c r="U117" s="322" cm="1">
        <f t="array" ref="U117">IFERROR(VLOOKUP(Calculations[[#This Row],[Waste 1]],WasteScenario[#All],3,FALSE)*'Stage assumptions'!$C$224*WasteTransportMethod[Emissions Factor
kgCO2e/kg.km]*Calculations[[#This Row],[Total Kg]],0)</f>
        <v>0</v>
      </c>
      <c r="V117" s="322" cm="1">
        <f t="array" ref="V117">IFERROR(VLOOKUP(Calculations[[#This Row],[Waste 1]],WasteScenario[#All],4,FALSE)*'Stage assumptions'!$C$223*WasteTransportMethod[Emissions Factor
kgCO2e/kg.km]*Calculations[[#This Row],[Total Kg]],0)</f>
        <v>0</v>
      </c>
      <c r="W117" s="322" cm="1">
        <f t="array" ref="W117">IFERROR(VLOOKUP(Calculations[[#This Row],[Waste 1]],WasteScenario[#All],5,FALSE)*'Stage assumptions'!$C$226*WasteTransportMethod[Emissions Factor
kgCO2e/kg.km]*Calculations[[#This Row],[Total Kg]],0)</f>
        <v>0</v>
      </c>
      <c r="X117" s="322">
        <f>SUM(Calculations[[#This Row],[C2 Recycle]:[C2 Reuse]])</f>
        <v>0</v>
      </c>
      <c r="Y117" t="str">
        <f>IFERROR(VLOOKUP(Calculations[[#This Row],[Material (choose from dropdown]],MaterialData[#All],5,FALSE),"")</f>
        <v/>
      </c>
      <c r="Z117" s="322">
        <f>IFERROR(((VLOOKUP(Calculations[[#This Row],[Waste type 2]],WasteDisposalEmissions[#All],2,FALSE))*Calculations[[#This Row],[Total Kg]])*VLOOKUP(Calculations[[#This Row],[Waste 1]],WasteScenario[#All],2,FALSE),0)</f>
        <v>0</v>
      </c>
      <c r="AA117" s="322">
        <f>IFERROR((VLOOKUP(Calculations[[#This Row],[Waste type 2]],WasteDisposalEmissions[#All],3,FALSE))*Calculations[[#This Row],[Total Kg]]*VLOOKUP(Calculations[[#This Row],[Waste 1]],WasteScenario[#All],3,FALSE),0)</f>
        <v>0</v>
      </c>
      <c r="AB117" s="322">
        <f>SUM(Calculations[[#This Row],[C3 recyc]:[C3 incin]])</f>
        <v>0</v>
      </c>
      <c r="AC117" s="322">
        <f>IFERROR((VLOOKUP(Calculations[[#This Row],[Waste type 2]],WasteLandfillEmissions[#All],2,FALSE))*Calculations[[#This Row],[Total Kg]]*VLOOKUP(Calculations[[#This Row],[Waste 1]],WasteScenario[#All],4,FALSE),0)</f>
        <v>0</v>
      </c>
      <c r="AD117" s="322">
        <f>IFERROR((VLOOKUP(Calculations[[#This Row],[Waste type 2]],WasteLandfillEmissions[#All],3,FALSE))*Calculations[[#This Row],[Total Kg]]*VLOOKUP(Calculations[[#This Row],[Waste 1]],WasteScenario[#All],4,FALSE),0)</f>
        <v>0</v>
      </c>
      <c r="AE117" s="322">
        <f>SUM(Calculations[[#This Row],[C4 landfill]:[C4 re-use]])</f>
        <v>0</v>
      </c>
      <c r="AF117" s="322">
        <f>IFERROR(VLOOKUP(Calculations[[#This Row],[Material (choose from dropdown]],MaterialData[#All],8,FALSE),0)</f>
        <v>0</v>
      </c>
      <c r="AG117" s="322">
        <f>IFERROR(Calculations[[#This Row],[Total Kg]]*Calculations[[#This Row],[Seq factor]],0)</f>
        <v>0</v>
      </c>
      <c r="AI117" s="322">
        <f>Calculations[[#This Row],[A1-3]]+Calculations[[#This Row],[A4]]+Calculations[[#This Row],[A5]]+Calculations[[#This Row],[B4]]+Calculations[[#This Row],[C2 total]]+Calculations[[#This Row],[C3 total]]+Calculations[[#This Row],[C4 total]]</f>
        <v>0</v>
      </c>
      <c r="AJ117" s="2">
        <f>IFERROR(VLOOKUP(Calculations[[#This Row],[Material (choose from dropdown]],MaterialData[[#Headers],[#Data]],9,FALSE),0)</f>
        <v>0</v>
      </c>
      <c r="AK117" s="4">
        <f>IFERROR(VLOOKUP(Calculations[[#This Row],[Material (choose from dropdown]],MaterialData[[#Headers],[#Data]],10,FALSE),0)</f>
        <v>0</v>
      </c>
      <c r="AL117" s="322">
        <f>IFERROR(Calculations[[#This Row],[Data Quality Score]]*Calculations[[#This Row],[Total Kg]],0)</f>
        <v>0</v>
      </c>
    </row>
    <row r="118" spans="1:38" x14ac:dyDescent="0.3">
      <c r="A118" s="6">
        <f>IFERROR(MaterialsBoQ[[#This Row],[Scope Element]],0)</f>
        <v>0</v>
      </c>
      <c r="B118">
        <f>IFERROR(MaterialsBoQ[[#This Row],[Material ]],"")</f>
        <v>0</v>
      </c>
      <c r="C118">
        <f>IFERROR(MaterialsBoQ[[#This Row],[Unit]],"")</f>
        <v>0</v>
      </c>
      <c r="D118" s="322">
        <f>IFERROR(MaterialsBoQ[[#This Row],[Number]],0)</f>
        <v>0</v>
      </c>
      <c r="E118" s="322">
        <f>IFERROR(MaterialsBoQ[[#This Row],[Kg per unit]],0)</f>
        <v>0</v>
      </c>
      <c r="F118" s="322">
        <f>IFERROR(Calculations[[#This Row],[Number]]*Calculations[[#This Row],[Conversion factor]],0)</f>
        <v>0</v>
      </c>
      <c r="G118" s="322">
        <f>IFERROR(VLOOKUP(Calculations[[#This Row],[Material (choose from dropdown]],MaterialData[#All],7,FALSE),0)</f>
        <v>0</v>
      </c>
      <c r="H118" s="322">
        <f>Calculations[[#This Row],[Total Kg]]*Calculations[[#This Row],[Carbon Factor]]</f>
        <v>0</v>
      </c>
      <c r="I118" t="str">
        <f>IFERROR(VLOOKUP(Calculations[[#This Row],[Material (choose from dropdown]],MaterialData[#All],2,FALSE),"")</f>
        <v/>
      </c>
      <c r="J118" s="322">
        <f>IFERROR(((VLOOKUP(Calculations[[#This Row],[TransportSource]],TransportDistance[],2,FALSE)*'Stage assumptions'!$C$11)+VLOOKUP(Calculations[[#This Row],[TransportSource]],TransportDistance[],3,FALSE)*'Stage assumptions'!$C$12)*Calculations[[#This Row],[Total Kg]],0)</f>
        <v>0</v>
      </c>
      <c r="K118">
        <f>IFERROR(VLOOKUP(Calculations[[#This Row],[Material (choose from dropdown]], MaterialData[#All],3, FALSE),0)</f>
        <v>0</v>
      </c>
      <c r="L118" s="322">
        <f>IFERROR(VLOOKUP(Calculations[[#This Row],[A5type]],A5WastageRate[#All],2,FALSE)*Calculations[[#This Row],[A1-3]],0)</f>
        <v>0</v>
      </c>
      <c r="N118">
        <f>IFERROR(ROUNDUP(50/VLOOKUP(Calculations[[#This Row],[Scope Element]],B4referenceServiceLife[[Tier 2 element]:[Default Service Life]],2, FALSE)-1,0),0)</f>
        <v>0</v>
      </c>
      <c r="O118" s="322">
        <f>IFERROR((Calculations[[#This Row],[A1-3]]+Calculations[[#This Row],[A4]]+Calculations[[#This Row],[A5]]+Calculations[[#This Row],[C2 total]]+Calculations[[#This Row],[C3 total]]+Calculations[[#This Row],[C4 total]])*Calculations[[#This Row],[Replacements]],0)</f>
        <v>0</v>
      </c>
      <c r="S118" t="str">
        <f>IFERROR(VLOOKUP(Calculations[[#This Row],[Material (choose from dropdown]],MaterialData[#All],4,FALSE),"")</f>
        <v/>
      </c>
      <c r="T118" s="322" cm="1">
        <f t="array" ref="T118">IFERROR(VLOOKUP(Calculations[[#This Row],[Waste 1]],WasteScenario[#All],2,FALSE)*'Stage assumptions'!$C$225*WasteTransportMethod[Emissions Factor
kgCO2e/kg.km]*Calculations[[#This Row],[Total Kg]],0)</f>
        <v>0</v>
      </c>
      <c r="U118" s="322" cm="1">
        <f t="array" ref="U118">IFERROR(VLOOKUP(Calculations[[#This Row],[Waste 1]],WasteScenario[#All],3,FALSE)*'Stage assumptions'!$C$224*WasteTransportMethod[Emissions Factor
kgCO2e/kg.km]*Calculations[[#This Row],[Total Kg]],0)</f>
        <v>0</v>
      </c>
      <c r="V118" s="322" cm="1">
        <f t="array" ref="V118">IFERROR(VLOOKUP(Calculations[[#This Row],[Waste 1]],WasteScenario[#All],4,FALSE)*'Stage assumptions'!$C$223*WasteTransportMethod[Emissions Factor
kgCO2e/kg.km]*Calculations[[#This Row],[Total Kg]],0)</f>
        <v>0</v>
      </c>
      <c r="W118" s="322" cm="1">
        <f t="array" ref="W118">IFERROR(VLOOKUP(Calculations[[#This Row],[Waste 1]],WasteScenario[#All],5,FALSE)*'Stage assumptions'!$C$226*WasteTransportMethod[Emissions Factor
kgCO2e/kg.km]*Calculations[[#This Row],[Total Kg]],0)</f>
        <v>0</v>
      </c>
      <c r="X118" s="322">
        <f>SUM(Calculations[[#This Row],[C2 Recycle]:[C2 Reuse]])</f>
        <v>0</v>
      </c>
      <c r="Y118" t="str">
        <f>IFERROR(VLOOKUP(Calculations[[#This Row],[Material (choose from dropdown]],MaterialData[#All],5,FALSE),"")</f>
        <v/>
      </c>
      <c r="Z118" s="322">
        <f>IFERROR(((VLOOKUP(Calculations[[#This Row],[Waste type 2]],WasteDisposalEmissions[#All],2,FALSE))*Calculations[[#This Row],[Total Kg]])*VLOOKUP(Calculations[[#This Row],[Waste 1]],WasteScenario[#All],2,FALSE),0)</f>
        <v>0</v>
      </c>
      <c r="AA118" s="322">
        <f>IFERROR((VLOOKUP(Calculations[[#This Row],[Waste type 2]],WasteDisposalEmissions[#All],3,FALSE))*Calculations[[#This Row],[Total Kg]]*VLOOKUP(Calculations[[#This Row],[Waste 1]],WasteScenario[#All],3,FALSE),0)</f>
        <v>0</v>
      </c>
      <c r="AB118" s="322">
        <f>SUM(Calculations[[#This Row],[C3 recyc]:[C3 incin]])</f>
        <v>0</v>
      </c>
      <c r="AC118" s="322">
        <f>IFERROR((VLOOKUP(Calculations[[#This Row],[Waste type 2]],WasteLandfillEmissions[#All],2,FALSE))*Calculations[[#This Row],[Total Kg]]*VLOOKUP(Calculations[[#This Row],[Waste 1]],WasteScenario[#All],4,FALSE),0)</f>
        <v>0</v>
      </c>
      <c r="AD118" s="322">
        <f>IFERROR((VLOOKUP(Calculations[[#This Row],[Waste type 2]],WasteLandfillEmissions[#All],3,FALSE))*Calculations[[#This Row],[Total Kg]]*VLOOKUP(Calculations[[#This Row],[Waste 1]],WasteScenario[#All],4,FALSE),0)</f>
        <v>0</v>
      </c>
      <c r="AE118" s="322">
        <f>SUM(Calculations[[#This Row],[C4 landfill]:[C4 re-use]])</f>
        <v>0</v>
      </c>
      <c r="AF118" s="322">
        <f>IFERROR(VLOOKUP(Calculations[[#This Row],[Material (choose from dropdown]],MaterialData[#All],8,FALSE),0)</f>
        <v>0</v>
      </c>
      <c r="AG118" s="322">
        <f>IFERROR(Calculations[[#This Row],[Total Kg]]*Calculations[[#This Row],[Seq factor]],0)</f>
        <v>0</v>
      </c>
      <c r="AI118" s="322">
        <f>Calculations[[#This Row],[A1-3]]+Calculations[[#This Row],[A4]]+Calculations[[#This Row],[A5]]+Calculations[[#This Row],[B4]]+Calculations[[#This Row],[C2 total]]+Calculations[[#This Row],[C3 total]]+Calculations[[#This Row],[C4 total]]</f>
        <v>0</v>
      </c>
      <c r="AJ118" s="2">
        <f>IFERROR(VLOOKUP(Calculations[[#This Row],[Material (choose from dropdown]],MaterialData[[#Headers],[#Data]],9,FALSE),0)</f>
        <v>0</v>
      </c>
      <c r="AK118" s="4">
        <f>IFERROR(VLOOKUP(Calculations[[#This Row],[Material (choose from dropdown]],MaterialData[[#Headers],[#Data]],10,FALSE),0)</f>
        <v>0</v>
      </c>
      <c r="AL118" s="322">
        <f>IFERROR(Calculations[[#This Row],[Data Quality Score]]*Calculations[[#This Row],[Total Kg]],0)</f>
        <v>0</v>
      </c>
    </row>
    <row r="119" spans="1:38" x14ac:dyDescent="0.3">
      <c r="A119" s="6">
        <f>IFERROR(MaterialsBoQ[[#This Row],[Scope Element]],0)</f>
        <v>0</v>
      </c>
      <c r="B119">
        <f>IFERROR(MaterialsBoQ[[#This Row],[Material ]],"")</f>
        <v>0</v>
      </c>
      <c r="C119">
        <f>IFERROR(MaterialsBoQ[[#This Row],[Unit]],"")</f>
        <v>0</v>
      </c>
      <c r="D119" s="322">
        <f>IFERROR(MaterialsBoQ[[#This Row],[Number]],0)</f>
        <v>0</v>
      </c>
      <c r="E119" s="322">
        <f>IFERROR(MaterialsBoQ[[#This Row],[Kg per unit]],0)</f>
        <v>0</v>
      </c>
      <c r="F119" s="322">
        <f>IFERROR(Calculations[[#This Row],[Number]]*Calculations[[#This Row],[Conversion factor]],0)</f>
        <v>0</v>
      </c>
      <c r="G119" s="322">
        <f>IFERROR(VLOOKUP(Calculations[[#This Row],[Material (choose from dropdown]],MaterialData[#All],7,FALSE),0)</f>
        <v>0</v>
      </c>
      <c r="H119" s="322">
        <f>Calculations[[#This Row],[Total Kg]]*Calculations[[#This Row],[Carbon Factor]]</f>
        <v>0</v>
      </c>
      <c r="I119" t="str">
        <f>IFERROR(VLOOKUP(Calculations[[#This Row],[Material (choose from dropdown]],MaterialData[#All],2,FALSE),"")</f>
        <v/>
      </c>
      <c r="J119" s="322">
        <f>IFERROR(((VLOOKUP(Calculations[[#This Row],[TransportSource]],TransportDistance[],2,FALSE)*'Stage assumptions'!$C$11)+VLOOKUP(Calculations[[#This Row],[TransportSource]],TransportDistance[],3,FALSE)*'Stage assumptions'!$C$12)*Calculations[[#This Row],[Total Kg]],0)</f>
        <v>0</v>
      </c>
      <c r="K119">
        <f>IFERROR(VLOOKUP(Calculations[[#This Row],[Material (choose from dropdown]], MaterialData[#All],3, FALSE),0)</f>
        <v>0</v>
      </c>
      <c r="L119" s="322">
        <f>IFERROR(VLOOKUP(Calculations[[#This Row],[A5type]],A5WastageRate[#All],2,FALSE)*Calculations[[#This Row],[A1-3]],0)</f>
        <v>0</v>
      </c>
      <c r="N119">
        <f>IFERROR(ROUNDUP(50/VLOOKUP(Calculations[[#This Row],[Scope Element]],B4referenceServiceLife[[Tier 2 element]:[Default Service Life]],2, FALSE)-1,0),0)</f>
        <v>0</v>
      </c>
      <c r="O119" s="322">
        <f>IFERROR((Calculations[[#This Row],[A1-3]]+Calculations[[#This Row],[A4]]+Calculations[[#This Row],[A5]]+Calculations[[#This Row],[C2 total]]+Calculations[[#This Row],[C3 total]]+Calculations[[#This Row],[C4 total]])*Calculations[[#This Row],[Replacements]],0)</f>
        <v>0</v>
      </c>
      <c r="S119" t="str">
        <f>IFERROR(VLOOKUP(Calculations[[#This Row],[Material (choose from dropdown]],MaterialData[#All],4,FALSE),"")</f>
        <v/>
      </c>
      <c r="T119" s="322" cm="1">
        <f t="array" ref="T119">IFERROR(VLOOKUP(Calculations[[#This Row],[Waste 1]],WasteScenario[#All],2,FALSE)*'Stage assumptions'!$C$225*WasteTransportMethod[Emissions Factor
kgCO2e/kg.km]*Calculations[[#This Row],[Total Kg]],0)</f>
        <v>0</v>
      </c>
      <c r="U119" s="322" cm="1">
        <f t="array" ref="U119">IFERROR(VLOOKUP(Calculations[[#This Row],[Waste 1]],WasteScenario[#All],3,FALSE)*'Stage assumptions'!$C$224*WasteTransportMethod[Emissions Factor
kgCO2e/kg.km]*Calculations[[#This Row],[Total Kg]],0)</f>
        <v>0</v>
      </c>
      <c r="V119" s="322" cm="1">
        <f t="array" ref="V119">IFERROR(VLOOKUP(Calculations[[#This Row],[Waste 1]],WasteScenario[#All],4,FALSE)*'Stage assumptions'!$C$223*WasteTransportMethod[Emissions Factor
kgCO2e/kg.km]*Calculations[[#This Row],[Total Kg]],0)</f>
        <v>0</v>
      </c>
      <c r="W119" s="322" cm="1">
        <f t="array" ref="W119">IFERROR(VLOOKUP(Calculations[[#This Row],[Waste 1]],WasteScenario[#All],5,FALSE)*'Stage assumptions'!$C$226*WasteTransportMethod[Emissions Factor
kgCO2e/kg.km]*Calculations[[#This Row],[Total Kg]],0)</f>
        <v>0</v>
      </c>
      <c r="X119" s="322">
        <f>SUM(Calculations[[#This Row],[C2 Recycle]:[C2 Reuse]])</f>
        <v>0</v>
      </c>
      <c r="Y119" t="str">
        <f>IFERROR(VLOOKUP(Calculations[[#This Row],[Material (choose from dropdown]],MaterialData[#All],5,FALSE),"")</f>
        <v/>
      </c>
      <c r="Z119" s="322">
        <f>IFERROR(((VLOOKUP(Calculations[[#This Row],[Waste type 2]],WasteDisposalEmissions[#All],2,FALSE))*Calculations[[#This Row],[Total Kg]])*VLOOKUP(Calculations[[#This Row],[Waste 1]],WasteScenario[#All],2,FALSE),0)</f>
        <v>0</v>
      </c>
      <c r="AA119" s="322">
        <f>IFERROR((VLOOKUP(Calculations[[#This Row],[Waste type 2]],WasteDisposalEmissions[#All],3,FALSE))*Calculations[[#This Row],[Total Kg]]*VLOOKUP(Calculations[[#This Row],[Waste 1]],WasteScenario[#All],3,FALSE),0)</f>
        <v>0</v>
      </c>
      <c r="AB119" s="322">
        <f>SUM(Calculations[[#This Row],[C3 recyc]:[C3 incin]])</f>
        <v>0</v>
      </c>
      <c r="AC119" s="322">
        <f>IFERROR((VLOOKUP(Calculations[[#This Row],[Waste type 2]],WasteLandfillEmissions[#All],2,FALSE))*Calculations[[#This Row],[Total Kg]]*VLOOKUP(Calculations[[#This Row],[Waste 1]],WasteScenario[#All],4,FALSE),0)</f>
        <v>0</v>
      </c>
      <c r="AD119" s="322">
        <f>IFERROR((VLOOKUP(Calculations[[#This Row],[Waste type 2]],WasteLandfillEmissions[#All],3,FALSE))*Calculations[[#This Row],[Total Kg]]*VLOOKUP(Calculations[[#This Row],[Waste 1]],WasteScenario[#All],4,FALSE),0)</f>
        <v>0</v>
      </c>
      <c r="AE119" s="322">
        <f>SUM(Calculations[[#This Row],[C4 landfill]:[C4 re-use]])</f>
        <v>0</v>
      </c>
      <c r="AF119" s="322">
        <f>IFERROR(VLOOKUP(Calculations[[#This Row],[Material (choose from dropdown]],MaterialData[#All],8,FALSE),0)</f>
        <v>0</v>
      </c>
      <c r="AG119" s="322">
        <f>IFERROR(Calculations[[#This Row],[Total Kg]]*Calculations[[#This Row],[Seq factor]],0)</f>
        <v>0</v>
      </c>
      <c r="AI119" s="322">
        <f>Calculations[[#This Row],[A1-3]]+Calculations[[#This Row],[A4]]+Calculations[[#This Row],[A5]]+Calculations[[#This Row],[B4]]+Calculations[[#This Row],[C2 total]]+Calculations[[#This Row],[C3 total]]+Calculations[[#This Row],[C4 total]]</f>
        <v>0</v>
      </c>
      <c r="AJ119" s="2">
        <f>IFERROR(VLOOKUP(Calculations[[#This Row],[Material (choose from dropdown]],MaterialData[[#Headers],[#Data]],9,FALSE),0)</f>
        <v>0</v>
      </c>
      <c r="AK119" s="4">
        <f>IFERROR(VLOOKUP(Calculations[[#This Row],[Material (choose from dropdown]],MaterialData[[#Headers],[#Data]],10,FALSE),0)</f>
        <v>0</v>
      </c>
      <c r="AL119" s="322">
        <f>IFERROR(Calculations[[#This Row],[Data Quality Score]]*Calculations[[#This Row],[Total Kg]],0)</f>
        <v>0</v>
      </c>
    </row>
    <row r="120" spans="1:38" x14ac:dyDescent="0.3">
      <c r="A120" s="6">
        <f>IFERROR(MaterialsBoQ[[#This Row],[Scope Element]],0)</f>
        <v>0</v>
      </c>
      <c r="B120">
        <f>IFERROR(MaterialsBoQ[[#This Row],[Material ]],"")</f>
        <v>0</v>
      </c>
      <c r="C120">
        <f>IFERROR(MaterialsBoQ[[#This Row],[Unit]],"")</f>
        <v>0</v>
      </c>
      <c r="D120" s="322">
        <f>IFERROR(MaterialsBoQ[[#This Row],[Number]],0)</f>
        <v>0</v>
      </c>
      <c r="E120" s="322">
        <f>IFERROR(MaterialsBoQ[[#This Row],[Kg per unit]],0)</f>
        <v>0</v>
      </c>
      <c r="F120" s="322">
        <f>IFERROR(Calculations[[#This Row],[Number]]*Calculations[[#This Row],[Conversion factor]],0)</f>
        <v>0</v>
      </c>
      <c r="G120" s="322">
        <f>IFERROR(VLOOKUP(Calculations[[#This Row],[Material (choose from dropdown]],MaterialData[#All],7,FALSE),0)</f>
        <v>0</v>
      </c>
      <c r="H120" s="322">
        <f>Calculations[[#This Row],[Total Kg]]*Calculations[[#This Row],[Carbon Factor]]</f>
        <v>0</v>
      </c>
      <c r="I120" t="str">
        <f>IFERROR(VLOOKUP(Calculations[[#This Row],[Material (choose from dropdown]],MaterialData[#All],2,FALSE),"")</f>
        <v/>
      </c>
      <c r="J120" s="322">
        <f>IFERROR(((VLOOKUP(Calculations[[#This Row],[TransportSource]],TransportDistance[],2,FALSE)*'Stage assumptions'!$C$11)+VLOOKUP(Calculations[[#This Row],[TransportSource]],TransportDistance[],3,FALSE)*'Stage assumptions'!$C$12)*Calculations[[#This Row],[Total Kg]],0)</f>
        <v>0</v>
      </c>
      <c r="K120">
        <f>IFERROR(VLOOKUP(Calculations[[#This Row],[Material (choose from dropdown]], MaterialData[#All],3, FALSE),0)</f>
        <v>0</v>
      </c>
      <c r="L120" s="322">
        <f>IFERROR(VLOOKUP(Calculations[[#This Row],[A5type]],A5WastageRate[#All],2,FALSE)*Calculations[[#This Row],[A1-3]],0)</f>
        <v>0</v>
      </c>
      <c r="N120">
        <f>IFERROR(ROUNDUP(50/VLOOKUP(Calculations[[#This Row],[Scope Element]],B4referenceServiceLife[[Tier 2 element]:[Default Service Life]],2, FALSE)-1,0),0)</f>
        <v>0</v>
      </c>
      <c r="O120" s="322">
        <f>IFERROR((Calculations[[#This Row],[A1-3]]+Calculations[[#This Row],[A4]]+Calculations[[#This Row],[A5]]+Calculations[[#This Row],[C2 total]]+Calculations[[#This Row],[C3 total]]+Calculations[[#This Row],[C4 total]])*Calculations[[#This Row],[Replacements]],0)</f>
        <v>0</v>
      </c>
      <c r="S120" t="str">
        <f>IFERROR(VLOOKUP(Calculations[[#This Row],[Material (choose from dropdown]],MaterialData[#All],4,FALSE),"")</f>
        <v/>
      </c>
      <c r="T120" s="322" cm="1">
        <f t="array" ref="T120">IFERROR(VLOOKUP(Calculations[[#This Row],[Waste 1]],WasteScenario[#All],2,FALSE)*'Stage assumptions'!$C$225*WasteTransportMethod[Emissions Factor
kgCO2e/kg.km]*Calculations[[#This Row],[Total Kg]],0)</f>
        <v>0</v>
      </c>
      <c r="U120" s="322" cm="1">
        <f t="array" ref="U120">IFERROR(VLOOKUP(Calculations[[#This Row],[Waste 1]],WasteScenario[#All],3,FALSE)*'Stage assumptions'!$C$224*WasteTransportMethod[Emissions Factor
kgCO2e/kg.km]*Calculations[[#This Row],[Total Kg]],0)</f>
        <v>0</v>
      </c>
      <c r="V120" s="322" cm="1">
        <f t="array" ref="V120">IFERROR(VLOOKUP(Calculations[[#This Row],[Waste 1]],WasteScenario[#All],4,FALSE)*'Stage assumptions'!$C$223*WasteTransportMethod[Emissions Factor
kgCO2e/kg.km]*Calculations[[#This Row],[Total Kg]],0)</f>
        <v>0</v>
      </c>
      <c r="W120" s="322" cm="1">
        <f t="array" ref="W120">IFERROR(VLOOKUP(Calculations[[#This Row],[Waste 1]],WasteScenario[#All],5,FALSE)*'Stage assumptions'!$C$226*WasteTransportMethod[Emissions Factor
kgCO2e/kg.km]*Calculations[[#This Row],[Total Kg]],0)</f>
        <v>0</v>
      </c>
      <c r="X120" s="322">
        <f>SUM(Calculations[[#This Row],[C2 Recycle]:[C2 Reuse]])</f>
        <v>0</v>
      </c>
      <c r="Y120" t="str">
        <f>IFERROR(VLOOKUP(Calculations[[#This Row],[Material (choose from dropdown]],MaterialData[#All],5,FALSE),"")</f>
        <v/>
      </c>
      <c r="Z120" s="322">
        <f>IFERROR(((VLOOKUP(Calculations[[#This Row],[Waste type 2]],WasteDisposalEmissions[#All],2,FALSE))*Calculations[[#This Row],[Total Kg]])*VLOOKUP(Calculations[[#This Row],[Waste 1]],WasteScenario[#All],2,FALSE),0)</f>
        <v>0</v>
      </c>
      <c r="AA120" s="322">
        <f>IFERROR((VLOOKUP(Calculations[[#This Row],[Waste type 2]],WasteDisposalEmissions[#All],3,FALSE))*Calculations[[#This Row],[Total Kg]]*VLOOKUP(Calculations[[#This Row],[Waste 1]],WasteScenario[#All],3,FALSE),0)</f>
        <v>0</v>
      </c>
      <c r="AB120" s="322">
        <f>SUM(Calculations[[#This Row],[C3 recyc]:[C3 incin]])</f>
        <v>0</v>
      </c>
      <c r="AC120" s="322">
        <f>IFERROR((VLOOKUP(Calculations[[#This Row],[Waste type 2]],WasteLandfillEmissions[#All],2,FALSE))*Calculations[[#This Row],[Total Kg]]*VLOOKUP(Calculations[[#This Row],[Waste 1]],WasteScenario[#All],4,FALSE),0)</f>
        <v>0</v>
      </c>
      <c r="AD120" s="322">
        <f>IFERROR((VLOOKUP(Calculations[[#This Row],[Waste type 2]],WasteLandfillEmissions[#All],3,FALSE))*Calculations[[#This Row],[Total Kg]]*VLOOKUP(Calculations[[#This Row],[Waste 1]],WasteScenario[#All],4,FALSE),0)</f>
        <v>0</v>
      </c>
      <c r="AE120" s="322">
        <f>SUM(Calculations[[#This Row],[C4 landfill]:[C4 re-use]])</f>
        <v>0</v>
      </c>
      <c r="AF120" s="322">
        <f>IFERROR(VLOOKUP(Calculations[[#This Row],[Material (choose from dropdown]],MaterialData[#All],8,FALSE),0)</f>
        <v>0</v>
      </c>
      <c r="AG120" s="322">
        <f>IFERROR(Calculations[[#This Row],[Total Kg]]*Calculations[[#This Row],[Seq factor]],0)</f>
        <v>0</v>
      </c>
      <c r="AI120" s="322">
        <f>Calculations[[#This Row],[A1-3]]+Calculations[[#This Row],[A4]]+Calculations[[#This Row],[A5]]+Calculations[[#This Row],[B4]]+Calculations[[#This Row],[C2 total]]+Calculations[[#This Row],[C3 total]]+Calculations[[#This Row],[C4 total]]</f>
        <v>0</v>
      </c>
      <c r="AJ120" s="2">
        <f>IFERROR(VLOOKUP(Calculations[[#This Row],[Material (choose from dropdown]],MaterialData[[#Headers],[#Data]],9,FALSE),0)</f>
        <v>0</v>
      </c>
      <c r="AK120" s="4">
        <f>IFERROR(VLOOKUP(Calculations[[#This Row],[Material (choose from dropdown]],MaterialData[[#Headers],[#Data]],10,FALSE),0)</f>
        <v>0</v>
      </c>
      <c r="AL120" s="322">
        <f>IFERROR(Calculations[[#This Row],[Data Quality Score]]*Calculations[[#This Row],[Total Kg]],0)</f>
        <v>0</v>
      </c>
    </row>
    <row r="121" spans="1:38" x14ac:dyDescent="0.3">
      <c r="A121" s="6">
        <f>IFERROR(MaterialsBoQ[[#This Row],[Scope Element]],0)</f>
        <v>0</v>
      </c>
      <c r="B121">
        <f>IFERROR(MaterialsBoQ[[#This Row],[Material ]],"")</f>
        <v>0</v>
      </c>
      <c r="C121">
        <f>IFERROR(MaterialsBoQ[[#This Row],[Unit]],"")</f>
        <v>0</v>
      </c>
      <c r="D121" s="322">
        <f>IFERROR(MaterialsBoQ[[#This Row],[Number]],0)</f>
        <v>0</v>
      </c>
      <c r="E121" s="322">
        <f>IFERROR(MaterialsBoQ[[#This Row],[Kg per unit]],0)</f>
        <v>0</v>
      </c>
      <c r="F121" s="322">
        <f>IFERROR(Calculations[[#This Row],[Number]]*Calculations[[#This Row],[Conversion factor]],0)</f>
        <v>0</v>
      </c>
      <c r="G121" s="322">
        <f>IFERROR(VLOOKUP(Calculations[[#This Row],[Material (choose from dropdown]],MaterialData[#All],7,FALSE),0)</f>
        <v>0</v>
      </c>
      <c r="H121" s="322">
        <f>Calculations[[#This Row],[Total Kg]]*Calculations[[#This Row],[Carbon Factor]]</f>
        <v>0</v>
      </c>
      <c r="I121" t="str">
        <f>IFERROR(VLOOKUP(Calculations[[#This Row],[Material (choose from dropdown]],MaterialData[#All],2,FALSE),"")</f>
        <v/>
      </c>
      <c r="J121" s="322">
        <f>IFERROR(((VLOOKUP(Calculations[[#This Row],[TransportSource]],TransportDistance[],2,FALSE)*'Stage assumptions'!$C$11)+VLOOKUP(Calculations[[#This Row],[TransportSource]],TransportDistance[],3,FALSE)*'Stage assumptions'!$C$12)*Calculations[[#This Row],[Total Kg]],0)</f>
        <v>0</v>
      </c>
      <c r="K121">
        <f>IFERROR(VLOOKUP(Calculations[[#This Row],[Material (choose from dropdown]], MaterialData[#All],3, FALSE),0)</f>
        <v>0</v>
      </c>
      <c r="L121" s="322">
        <f>IFERROR(VLOOKUP(Calculations[[#This Row],[A5type]],A5WastageRate[#All],2,FALSE)*Calculations[[#This Row],[A1-3]],0)</f>
        <v>0</v>
      </c>
      <c r="N121">
        <f>IFERROR(ROUNDUP(50/VLOOKUP(Calculations[[#This Row],[Scope Element]],B4referenceServiceLife[[Tier 2 element]:[Default Service Life]],2, FALSE)-1,0),0)</f>
        <v>0</v>
      </c>
      <c r="O121" s="322">
        <f>IFERROR((Calculations[[#This Row],[A1-3]]+Calculations[[#This Row],[A4]]+Calculations[[#This Row],[A5]]+Calculations[[#This Row],[C2 total]]+Calculations[[#This Row],[C3 total]]+Calculations[[#This Row],[C4 total]])*Calculations[[#This Row],[Replacements]],0)</f>
        <v>0</v>
      </c>
      <c r="S121" t="str">
        <f>IFERROR(VLOOKUP(Calculations[[#This Row],[Material (choose from dropdown]],MaterialData[#All],4,FALSE),"")</f>
        <v/>
      </c>
      <c r="T121" s="322" cm="1">
        <f t="array" ref="T121">IFERROR(VLOOKUP(Calculations[[#This Row],[Waste 1]],WasteScenario[#All],2,FALSE)*'Stage assumptions'!$C$225*WasteTransportMethod[Emissions Factor
kgCO2e/kg.km]*Calculations[[#This Row],[Total Kg]],0)</f>
        <v>0</v>
      </c>
      <c r="U121" s="322" cm="1">
        <f t="array" ref="U121">IFERROR(VLOOKUP(Calculations[[#This Row],[Waste 1]],WasteScenario[#All],3,FALSE)*'Stage assumptions'!$C$224*WasteTransportMethod[Emissions Factor
kgCO2e/kg.km]*Calculations[[#This Row],[Total Kg]],0)</f>
        <v>0</v>
      </c>
      <c r="V121" s="322" cm="1">
        <f t="array" ref="V121">IFERROR(VLOOKUP(Calculations[[#This Row],[Waste 1]],WasteScenario[#All],4,FALSE)*'Stage assumptions'!$C$223*WasteTransportMethod[Emissions Factor
kgCO2e/kg.km]*Calculations[[#This Row],[Total Kg]],0)</f>
        <v>0</v>
      </c>
      <c r="W121" s="322" cm="1">
        <f t="array" ref="W121">IFERROR(VLOOKUP(Calculations[[#This Row],[Waste 1]],WasteScenario[#All],5,FALSE)*'Stage assumptions'!$C$226*WasteTransportMethod[Emissions Factor
kgCO2e/kg.km]*Calculations[[#This Row],[Total Kg]],0)</f>
        <v>0</v>
      </c>
      <c r="X121" s="322">
        <f>SUM(Calculations[[#This Row],[C2 Recycle]:[C2 Reuse]])</f>
        <v>0</v>
      </c>
      <c r="Y121" t="str">
        <f>IFERROR(VLOOKUP(Calculations[[#This Row],[Material (choose from dropdown]],MaterialData[#All],5,FALSE),"")</f>
        <v/>
      </c>
      <c r="Z121" s="322">
        <f>IFERROR(((VLOOKUP(Calculations[[#This Row],[Waste type 2]],WasteDisposalEmissions[#All],2,FALSE))*Calculations[[#This Row],[Total Kg]])*VLOOKUP(Calculations[[#This Row],[Waste 1]],WasteScenario[#All],2,FALSE),0)</f>
        <v>0</v>
      </c>
      <c r="AA121" s="322">
        <f>IFERROR((VLOOKUP(Calculations[[#This Row],[Waste type 2]],WasteDisposalEmissions[#All],3,FALSE))*Calculations[[#This Row],[Total Kg]]*VLOOKUP(Calculations[[#This Row],[Waste 1]],WasteScenario[#All],3,FALSE),0)</f>
        <v>0</v>
      </c>
      <c r="AB121" s="322">
        <f>SUM(Calculations[[#This Row],[C3 recyc]:[C3 incin]])</f>
        <v>0</v>
      </c>
      <c r="AC121" s="322">
        <f>IFERROR((VLOOKUP(Calculations[[#This Row],[Waste type 2]],WasteLandfillEmissions[#All],2,FALSE))*Calculations[[#This Row],[Total Kg]]*VLOOKUP(Calculations[[#This Row],[Waste 1]],WasteScenario[#All],4,FALSE),0)</f>
        <v>0</v>
      </c>
      <c r="AD121" s="322">
        <f>IFERROR((VLOOKUP(Calculations[[#This Row],[Waste type 2]],WasteLandfillEmissions[#All],3,FALSE))*Calculations[[#This Row],[Total Kg]]*VLOOKUP(Calculations[[#This Row],[Waste 1]],WasteScenario[#All],4,FALSE),0)</f>
        <v>0</v>
      </c>
      <c r="AE121" s="322">
        <f>SUM(Calculations[[#This Row],[C4 landfill]:[C4 re-use]])</f>
        <v>0</v>
      </c>
      <c r="AF121" s="322">
        <f>IFERROR(VLOOKUP(Calculations[[#This Row],[Material (choose from dropdown]],MaterialData[#All],8,FALSE),0)</f>
        <v>0</v>
      </c>
      <c r="AG121" s="322">
        <f>IFERROR(Calculations[[#This Row],[Total Kg]]*Calculations[[#This Row],[Seq factor]],0)</f>
        <v>0</v>
      </c>
      <c r="AI121" s="322">
        <f>Calculations[[#This Row],[A1-3]]+Calculations[[#This Row],[A4]]+Calculations[[#This Row],[A5]]+Calculations[[#This Row],[B4]]+Calculations[[#This Row],[C2 total]]+Calculations[[#This Row],[C3 total]]+Calculations[[#This Row],[C4 total]]</f>
        <v>0</v>
      </c>
      <c r="AJ121" s="2">
        <f>IFERROR(VLOOKUP(Calculations[[#This Row],[Material (choose from dropdown]],MaterialData[[#Headers],[#Data]],9,FALSE),0)</f>
        <v>0</v>
      </c>
      <c r="AK121" s="4">
        <f>IFERROR(VLOOKUP(Calculations[[#This Row],[Material (choose from dropdown]],MaterialData[[#Headers],[#Data]],10,FALSE),0)</f>
        <v>0</v>
      </c>
      <c r="AL121" s="322">
        <f>IFERROR(Calculations[[#This Row],[Data Quality Score]]*Calculations[[#This Row],[Total Kg]],0)</f>
        <v>0</v>
      </c>
    </row>
    <row r="122" spans="1:38" x14ac:dyDescent="0.3">
      <c r="A122" s="6">
        <f>IFERROR(MaterialsBoQ[[#This Row],[Scope Element]],0)</f>
        <v>0</v>
      </c>
      <c r="B122">
        <f>IFERROR(MaterialsBoQ[[#This Row],[Material ]],"")</f>
        <v>0</v>
      </c>
      <c r="C122">
        <f>IFERROR(MaterialsBoQ[[#This Row],[Unit]],"")</f>
        <v>0</v>
      </c>
      <c r="D122" s="322">
        <f>IFERROR(MaterialsBoQ[[#This Row],[Number]],0)</f>
        <v>0</v>
      </c>
      <c r="E122" s="322">
        <f>IFERROR(MaterialsBoQ[[#This Row],[Kg per unit]],0)</f>
        <v>0</v>
      </c>
      <c r="F122" s="322">
        <f>IFERROR(Calculations[[#This Row],[Number]]*Calculations[[#This Row],[Conversion factor]],0)</f>
        <v>0</v>
      </c>
      <c r="G122" s="322">
        <f>IFERROR(VLOOKUP(Calculations[[#This Row],[Material (choose from dropdown]],MaterialData[#All],7,FALSE),0)</f>
        <v>0</v>
      </c>
      <c r="H122" s="322">
        <f>Calculations[[#This Row],[Total Kg]]*Calculations[[#This Row],[Carbon Factor]]</f>
        <v>0</v>
      </c>
      <c r="I122" t="str">
        <f>IFERROR(VLOOKUP(Calculations[[#This Row],[Material (choose from dropdown]],MaterialData[#All],2,FALSE),"")</f>
        <v/>
      </c>
      <c r="J122" s="322">
        <f>IFERROR(((VLOOKUP(Calculations[[#This Row],[TransportSource]],TransportDistance[],2,FALSE)*'Stage assumptions'!$C$11)+VLOOKUP(Calculations[[#This Row],[TransportSource]],TransportDistance[],3,FALSE)*'Stage assumptions'!$C$12)*Calculations[[#This Row],[Total Kg]],0)</f>
        <v>0</v>
      </c>
      <c r="K122">
        <f>IFERROR(VLOOKUP(Calculations[[#This Row],[Material (choose from dropdown]], MaterialData[#All],3, FALSE),0)</f>
        <v>0</v>
      </c>
      <c r="L122" s="322">
        <f>IFERROR(VLOOKUP(Calculations[[#This Row],[A5type]],A5WastageRate[#All],2,FALSE)*Calculations[[#This Row],[A1-3]],0)</f>
        <v>0</v>
      </c>
      <c r="N122">
        <f>IFERROR(ROUNDUP(50/VLOOKUP(Calculations[[#This Row],[Scope Element]],B4referenceServiceLife[[Tier 2 element]:[Default Service Life]],2, FALSE)-1,0),0)</f>
        <v>0</v>
      </c>
      <c r="O122" s="322">
        <f>IFERROR((Calculations[[#This Row],[A1-3]]+Calculations[[#This Row],[A4]]+Calculations[[#This Row],[A5]]+Calculations[[#This Row],[C2 total]]+Calculations[[#This Row],[C3 total]]+Calculations[[#This Row],[C4 total]])*Calculations[[#This Row],[Replacements]],0)</f>
        <v>0</v>
      </c>
      <c r="S122" t="str">
        <f>IFERROR(VLOOKUP(Calculations[[#This Row],[Material (choose from dropdown]],MaterialData[#All],4,FALSE),"")</f>
        <v/>
      </c>
      <c r="T122" s="322" cm="1">
        <f t="array" ref="T122">IFERROR(VLOOKUP(Calculations[[#This Row],[Waste 1]],WasteScenario[#All],2,FALSE)*'Stage assumptions'!$C$225*WasteTransportMethod[Emissions Factor
kgCO2e/kg.km]*Calculations[[#This Row],[Total Kg]],0)</f>
        <v>0</v>
      </c>
      <c r="U122" s="322" cm="1">
        <f t="array" ref="U122">IFERROR(VLOOKUP(Calculations[[#This Row],[Waste 1]],WasteScenario[#All],3,FALSE)*'Stage assumptions'!$C$224*WasteTransportMethod[Emissions Factor
kgCO2e/kg.km]*Calculations[[#This Row],[Total Kg]],0)</f>
        <v>0</v>
      </c>
      <c r="V122" s="322" cm="1">
        <f t="array" ref="V122">IFERROR(VLOOKUP(Calculations[[#This Row],[Waste 1]],WasteScenario[#All],4,FALSE)*'Stage assumptions'!$C$223*WasteTransportMethod[Emissions Factor
kgCO2e/kg.km]*Calculations[[#This Row],[Total Kg]],0)</f>
        <v>0</v>
      </c>
      <c r="W122" s="322" cm="1">
        <f t="array" ref="W122">IFERROR(VLOOKUP(Calculations[[#This Row],[Waste 1]],WasteScenario[#All],5,FALSE)*'Stage assumptions'!$C$226*WasteTransportMethod[Emissions Factor
kgCO2e/kg.km]*Calculations[[#This Row],[Total Kg]],0)</f>
        <v>0</v>
      </c>
      <c r="X122" s="322">
        <f>SUM(Calculations[[#This Row],[C2 Recycle]:[C2 Reuse]])</f>
        <v>0</v>
      </c>
      <c r="Y122" t="str">
        <f>IFERROR(VLOOKUP(Calculations[[#This Row],[Material (choose from dropdown]],MaterialData[#All],5,FALSE),"")</f>
        <v/>
      </c>
      <c r="Z122" s="322">
        <f>IFERROR(((VLOOKUP(Calculations[[#This Row],[Waste type 2]],WasteDisposalEmissions[#All],2,FALSE))*Calculations[[#This Row],[Total Kg]])*VLOOKUP(Calculations[[#This Row],[Waste 1]],WasteScenario[#All],2,FALSE),0)</f>
        <v>0</v>
      </c>
      <c r="AA122" s="322">
        <f>IFERROR((VLOOKUP(Calculations[[#This Row],[Waste type 2]],WasteDisposalEmissions[#All],3,FALSE))*Calculations[[#This Row],[Total Kg]]*VLOOKUP(Calculations[[#This Row],[Waste 1]],WasteScenario[#All],3,FALSE),0)</f>
        <v>0</v>
      </c>
      <c r="AB122" s="322">
        <f>SUM(Calculations[[#This Row],[C3 recyc]:[C3 incin]])</f>
        <v>0</v>
      </c>
      <c r="AC122" s="322">
        <f>IFERROR((VLOOKUP(Calculations[[#This Row],[Waste type 2]],WasteLandfillEmissions[#All],2,FALSE))*Calculations[[#This Row],[Total Kg]]*VLOOKUP(Calculations[[#This Row],[Waste 1]],WasteScenario[#All],4,FALSE),0)</f>
        <v>0</v>
      </c>
      <c r="AD122" s="322">
        <f>IFERROR((VLOOKUP(Calculations[[#This Row],[Waste type 2]],WasteLandfillEmissions[#All],3,FALSE))*Calculations[[#This Row],[Total Kg]]*VLOOKUP(Calculations[[#This Row],[Waste 1]],WasteScenario[#All],4,FALSE),0)</f>
        <v>0</v>
      </c>
      <c r="AE122" s="322">
        <f>SUM(Calculations[[#This Row],[C4 landfill]:[C4 re-use]])</f>
        <v>0</v>
      </c>
      <c r="AF122" s="322">
        <f>IFERROR(VLOOKUP(Calculations[[#This Row],[Material (choose from dropdown]],MaterialData[#All],8,FALSE),0)</f>
        <v>0</v>
      </c>
      <c r="AG122" s="322">
        <f>IFERROR(Calculations[[#This Row],[Total Kg]]*Calculations[[#This Row],[Seq factor]],0)</f>
        <v>0</v>
      </c>
      <c r="AI122" s="322">
        <f>Calculations[[#This Row],[A1-3]]+Calculations[[#This Row],[A4]]+Calculations[[#This Row],[A5]]+Calculations[[#This Row],[B4]]+Calculations[[#This Row],[C2 total]]+Calculations[[#This Row],[C3 total]]+Calculations[[#This Row],[C4 total]]</f>
        <v>0</v>
      </c>
      <c r="AJ122" s="2">
        <f>IFERROR(VLOOKUP(Calculations[[#This Row],[Material (choose from dropdown]],MaterialData[[#Headers],[#Data]],9,FALSE),0)</f>
        <v>0</v>
      </c>
      <c r="AK122" s="4">
        <f>IFERROR(VLOOKUP(Calculations[[#This Row],[Material (choose from dropdown]],MaterialData[[#Headers],[#Data]],10,FALSE),0)</f>
        <v>0</v>
      </c>
      <c r="AL122" s="322">
        <f>IFERROR(Calculations[[#This Row],[Data Quality Score]]*Calculations[[#This Row],[Total Kg]],0)</f>
        <v>0</v>
      </c>
    </row>
    <row r="123" spans="1:38" x14ac:dyDescent="0.3">
      <c r="A123" s="6">
        <f>IFERROR(MaterialsBoQ[[#This Row],[Scope Element]],0)</f>
        <v>0</v>
      </c>
      <c r="B123">
        <f>IFERROR(MaterialsBoQ[[#This Row],[Material ]],"")</f>
        <v>0</v>
      </c>
      <c r="C123">
        <f>IFERROR(MaterialsBoQ[[#This Row],[Unit]],"")</f>
        <v>0</v>
      </c>
      <c r="D123" s="322">
        <f>IFERROR(MaterialsBoQ[[#This Row],[Number]],0)</f>
        <v>0</v>
      </c>
      <c r="E123" s="322">
        <f>IFERROR(MaterialsBoQ[[#This Row],[Kg per unit]],0)</f>
        <v>0</v>
      </c>
      <c r="F123" s="322">
        <f>IFERROR(Calculations[[#This Row],[Number]]*Calculations[[#This Row],[Conversion factor]],0)</f>
        <v>0</v>
      </c>
      <c r="G123" s="322">
        <f>IFERROR(VLOOKUP(Calculations[[#This Row],[Material (choose from dropdown]],MaterialData[#All],7,FALSE),0)</f>
        <v>0</v>
      </c>
      <c r="H123" s="322">
        <f>Calculations[[#This Row],[Total Kg]]*Calculations[[#This Row],[Carbon Factor]]</f>
        <v>0</v>
      </c>
      <c r="I123" t="str">
        <f>IFERROR(VLOOKUP(Calculations[[#This Row],[Material (choose from dropdown]],MaterialData[#All],2,FALSE),"")</f>
        <v/>
      </c>
      <c r="J123" s="322">
        <f>IFERROR(((VLOOKUP(Calculations[[#This Row],[TransportSource]],TransportDistance[],2,FALSE)*'Stage assumptions'!$C$11)+VLOOKUP(Calculations[[#This Row],[TransportSource]],TransportDistance[],3,FALSE)*'Stage assumptions'!$C$12)*Calculations[[#This Row],[Total Kg]],0)</f>
        <v>0</v>
      </c>
      <c r="K123">
        <f>IFERROR(VLOOKUP(Calculations[[#This Row],[Material (choose from dropdown]], MaterialData[#All],3, FALSE),0)</f>
        <v>0</v>
      </c>
      <c r="L123" s="322">
        <f>IFERROR(VLOOKUP(Calculations[[#This Row],[A5type]],A5WastageRate[#All],2,FALSE)*Calculations[[#This Row],[A1-3]],0)</f>
        <v>0</v>
      </c>
      <c r="N123">
        <f>IFERROR(ROUNDUP(50/VLOOKUP(Calculations[[#This Row],[Scope Element]],B4referenceServiceLife[[Tier 2 element]:[Default Service Life]],2, FALSE)-1,0),0)</f>
        <v>0</v>
      </c>
      <c r="O123" s="322">
        <f>IFERROR((Calculations[[#This Row],[A1-3]]+Calculations[[#This Row],[A4]]+Calculations[[#This Row],[A5]]+Calculations[[#This Row],[C2 total]]+Calculations[[#This Row],[C3 total]]+Calculations[[#This Row],[C4 total]])*Calculations[[#This Row],[Replacements]],0)</f>
        <v>0</v>
      </c>
      <c r="S123" t="str">
        <f>IFERROR(VLOOKUP(Calculations[[#This Row],[Material (choose from dropdown]],MaterialData[#All],4,FALSE),"")</f>
        <v/>
      </c>
      <c r="T123" s="322" cm="1">
        <f t="array" ref="T123">IFERROR(VLOOKUP(Calculations[[#This Row],[Waste 1]],WasteScenario[#All],2,FALSE)*'Stage assumptions'!$C$225*WasteTransportMethod[Emissions Factor
kgCO2e/kg.km]*Calculations[[#This Row],[Total Kg]],0)</f>
        <v>0</v>
      </c>
      <c r="U123" s="322" cm="1">
        <f t="array" ref="U123">IFERROR(VLOOKUP(Calculations[[#This Row],[Waste 1]],WasteScenario[#All],3,FALSE)*'Stage assumptions'!$C$224*WasteTransportMethod[Emissions Factor
kgCO2e/kg.km]*Calculations[[#This Row],[Total Kg]],0)</f>
        <v>0</v>
      </c>
      <c r="V123" s="322" cm="1">
        <f t="array" ref="V123">IFERROR(VLOOKUP(Calculations[[#This Row],[Waste 1]],WasteScenario[#All],4,FALSE)*'Stage assumptions'!$C$223*WasteTransportMethod[Emissions Factor
kgCO2e/kg.km]*Calculations[[#This Row],[Total Kg]],0)</f>
        <v>0</v>
      </c>
      <c r="W123" s="322" cm="1">
        <f t="array" ref="W123">IFERROR(VLOOKUP(Calculations[[#This Row],[Waste 1]],WasteScenario[#All],5,FALSE)*'Stage assumptions'!$C$226*WasteTransportMethod[Emissions Factor
kgCO2e/kg.km]*Calculations[[#This Row],[Total Kg]],0)</f>
        <v>0</v>
      </c>
      <c r="X123" s="322">
        <f>SUM(Calculations[[#This Row],[C2 Recycle]:[C2 Reuse]])</f>
        <v>0</v>
      </c>
      <c r="Y123" t="str">
        <f>IFERROR(VLOOKUP(Calculations[[#This Row],[Material (choose from dropdown]],MaterialData[#All],5,FALSE),"")</f>
        <v/>
      </c>
      <c r="Z123" s="322">
        <f>IFERROR(((VLOOKUP(Calculations[[#This Row],[Waste type 2]],WasteDisposalEmissions[#All],2,FALSE))*Calculations[[#This Row],[Total Kg]])*VLOOKUP(Calculations[[#This Row],[Waste 1]],WasteScenario[#All],2,FALSE),0)</f>
        <v>0</v>
      </c>
      <c r="AA123" s="322">
        <f>IFERROR((VLOOKUP(Calculations[[#This Row],[Waste type 2]],WasteDisposalEmissions[#All],3,FALSE))*Calculations[[#This Row],[Total Kg]]*VLOOKUP(Calculations[[#This Row],[Waste 1]],WasteScenario[#All],3,FALSE),0)</f>
        <v>0</v>
      </c>
      <c r="AB123" s="322">
        <f>SUM(Calculations[[#This Row],[C3 recyc]:[C3 incin]])</f>
        <v>0</v>
      </c>
      <c r="AC123" s="322">
        <f>IFERROR((VLOOKUP(Calculations[[#This Row],[Waste type 2]],WasteLandfillEmissions[#All],2,FALSE))*Calculations[[#This Row],[Total Kg]]*VLOOKUP(Calculations[[#This Row],[Waste 1]],WasteScenario[#All],4,FALSE),0)</f>
        <v>0</v>
      </c>
      <c r="AD123" s="322">
        <f>IFERROR((VLOOKUP(Calculations[[#This Row],[Waste type 2]],WasteLandfillEmissions[#All],3,FALSE))*Calculations[[#This Row],[Total Kg]]*VLOOKUP(Calculations[[#This Row],[Waste 1]],WasteScenario[#All],4,FALSE),0)</f>
        <v>0</v>
      </c>
      <c r="AE123" s="322">
        <f>SUM(Calculations[[#This Row],[C4 landfill]:[C4 re-use]])</f>
        <v>0</v>
      </c>
      <c r="AF123" s="322">
        <f>IFERROR(VLOOKUP(Calculations[[#This Row],[Material (choose from dropdown]],MaterialData[#All],8,FALSE),0)</f>
        <v>0</v>
      </c>
      <c r="AG123" s="322">
        <f>IFERROR(Calculations[[#This Row],[Total Kg]]*Calculations[[#This Row],[Seq factor]],0)</f>
        <v>0</v>
      </c>
      <c r="AI123" s="322">
        <f>Calculations[[#This Row],[A1-3]]+Calculations[[#This Row],[A4]]+Calculations[[#This Row],[A5]]+Calculations[[#This Row],[B4]]+Calculations[[#This Row],[C2 total]]+Calculations[[#This Row],[C3 total]]+Calculations[[#This Row],[C4 total]]</f>
        <v>0</v>
      </c>
      <c r="AJ123" s="2">
        <f>IFERROR(VLOOKUP(Calculations[[#This Row],[Material (choose from dropdown]],MaterialData[[#Headers],[#Data]],9,FALSE),0)</f>
        <v>0</v>
      </c>
      <c r="AK123" s="4">
        <f>IFERROR(VLOOKUP(Calculations[[#This Row],[Material (choose from dropdown]],MaterialData[[#Headers],[#Data]],10,FALSE),0)</f>
        <v>0</v>
      </c>
      <c r="AL123" s="322">
        <f>IFERROR(Calculations[[#This Row],[Data Quality Score]]*Calculations[[#This Row],[Total Kg]],0)</f>
        <v>0</v>
      </c>
    </row>
    <row r="124" spans="1:38" x14ac:dyDescent="0.3">
      <c r="A124" s="6">
        <f>IFERROR(MaterialsBoQ[[#This Row],[Scope Element]],0)</f>
        <v>0</v>
      </c>
      <c r="B124">
        <f>IFERROR(MaterialsBoQ[[#This Row],[Material ]],"")</f>
        <v>0</v>
      </c>
      <c r="C124">
        <f>IFERROR(MaterialsBoQ[[#This Row],[Unit]],"")</f>
        <v>0</v>
      </c>
      <c r="D124" s="322">
        <f>IFERROR(MaterialsBoQ[[#This Row],[Number]],0)</f>
        <v>0</v>
      </c>
      <c r="E124" s="322">
        <f>IFERROR(MaterialsBoQ[[#This Row],[Kg per unit]],0)</f>
        <v>0</v>
      </c>
      <c r="F124" s="322">
        <f>IFERROR(Calculations[[#This Row],[Number]]*Calculations[[#This Row],[Conversion factor]],0)</f>
        <v>0</v>
      </c>
      <c r="G124" s="322">
        <f>IFERROR(VLOOKUP(Calculations[[#This Row],[Material (choose from dropdown]],MaterialData[#All],7,FALSE),0)</f>
        <v>0</v>
      </c>
      <c r="H124" s="322">
        <f>Calculations[[#This Row],[Total Kg]]*Calculations[[#This Row],[Carbon Factor]]</f>
        <v>0</v>
      </c>
      <c r="I124" t="str">
        <f>IFERROR(VLOOKUP(Calculations[[#This Row],[Material (choose from dropdown]],MaterialData[#All],2,FALSE),"")</f>
        <v/>
      </c>
      <c r="J124" s="322">
        <f>IFERROR(((VLOOKUP(Calculations[[#This Row],[TransportSource]],TransportDistance[],2,FALSE)*'Stage assumptions'!$C$11)+VLOOKUP(Calculations[[#This Row],[TransportSource]],TransportDistance[],3,FALSE)*'Stage assumptions'!$C$12)*Calculations[[#This Row],[Total Kg]],0)</f>
        <v>0</v>
      </c>
      <c r="K124">
        <f>IFERROR(VLOOKUP(Calculations[[#This Row],[Material (choose from dropdown]], MaterialData[#All],3, FALSE),0)</f>
        <v>0</v>
      </c>
      <c r="L124" s="322">
        <f>IFERROR(VLOOKUP(Calculations[[#This Row],[A5type]],A5WastageRate[#All],2,FALSE)*Calculations[[#This Row],[A1-3]],0)</f>
        <v>0</v>
      </c>
      <c r="N124">
        <f>IFERROR(ROUNDUP(50/VLOOKUP(Calculations[[#This Row],[Scope Element]],B4referenceServiceLife[[Tier 2 element]:[Default Service Life]],2, FALSE)-1,0),0)</f>
        <v>0</v>
      </c>
      <c r="O124" s="322">
        <f>IFERROR((Calculations[[#This Row],[A1-3]]+Calculations[[#This Row],[A4]]+Calculations[[#This Row],[A5]]+Calculations[[#This Row],[C2 total]]+Calculations[[#This Row],[C3 total]]+Calculations[[#This Row],[C4 total]])*Calculations[[#This Row],[Replacements]],0)</f>
        <v>0</v>
      </c>
      <c r="S124" t="str">
        <f>IFERROR(VLOOKUP(Calculations[[#This Row],[Material (choose from dropdown]],MaterialData[#All],4,FALSE),"")</f>
        <v/>
      </c>
      <c r="T124" s="322" cm="1">
        <f t="array" ref="T124">IFERROR(VLOOKUP(Calculations[[#This Row],[Waste 1]],WasteScenario[#All],2,FALSE)*'Stage assumptions'!$C$225*WasteTransportMethod[Emissions Factor
kgCO2e/kg.km]*Calculations[[#This Row],[Total Kg]],0)</f>
        <v>0</v>
      </c>
      <c r="U124" s="322" cm="1">
        <f t="array" ref="U124">IFERROR(VLOOKUP(Calculations[[#This Row],[Waste 1]],WasteScenario[#All],3,FALSE)*'Stage assumptions'!$C$224*WasteTransportMethod[Emissions Factor
kgCO2e/kg.km]*Calculations[[#This Row],[Total Kg]],0)</f>
        <v>0</v>
      </c>
      <c r="V124" s="322" cm="1">
        <f t="array" ref="V124">IFERROR(VLOOKUP(Calculations[[#This Row],[Waste 1]],WasteScenario[#All],4,FALSE)*'Stage assumptions'!$C$223*WasteTransportMethod[Emissions Factor
kgCO2e/kg.km]*Calculations[[#This Row],[Total Kg]],0)</f>
        <v>0</v>
      </c>
      <c r="W124" s="322" cm="1">
        <f t="array" ref="W124">IFERROR(VLOOKUP(Calculations[[#This Row],[Waste 1]],WasteScenario[#All],5,FALSE)*'Stage assumptions'!$C$226*WasteTransportMethod[Emissions Factor
kgCO2e/kg.km]*Calculations[[#This Row],[Total Kg]],0)</f>
        <v>0</v>
      </c>
      <c r="X124" s="322">
        <f>SUM(Calculations[[#This Row],[C2 Recycle]:[C2 Reuse]])</f>
        <v>0</v>
      </c>
      <c r="Y124" t="str">
        <f>IFERROR(VLOOKUP(Calculations[[#This Row],[Material (choose from dropdown]],MaterialData[#All],5,FALSE),"")</f>
        <v/>
      </c>
      <c r="Z124" s="322">
        <f>IFERROR(((VLOOKUP(Calculations[[#This Row],[Waste type 2]],WasteDisposalEmissions[#All],2,FALSE))*Calculations[[#This Row],[Total Kg]])*VLOOKUP(Calculations[[#This Row],[Waste 1]],WasteScenario[#All],2,FALSE),0)</f>
        <v>0</v>
      </c>
      <c r="AA124" s="322">
        <f>IFERROR((VLOOKUP(Calculations[[#This Row],[Waste type 2]],WasteDisposalEmissions[#All],3,FALSE))*Calculations[[#This Row],[Total Kg]]*VLOOKUP(Calculations[[#This Row],[Waste 1]],WasteScenario[#All],3,FALSE),0)</f>
        <v>0</v>
      </c>
      <c r="AB124" s="322">
        <f>SUM(Calculations[[#This Row],[C3 recyc]:[C3 incin]])</f>
        <v>0</v>
      </c>
      <c r="AC124" s="322">
        <f>IFERROR((VLOOKUP(Calculations[[#This Row],[Waste type 2]],WasteLandfillEmissions[#All],2,FALSE))*Calculations[[#This Row],[Total Kg]]*VLOOKUP(Calculations[[#This Row],[Waste 1]],WasteScenario[#All],4,FALSE),0)</f>
        <v>0</v>
      </c>
      <c r="AD124" s="322">
        <f>IFERROR((VLOOKUP(Calculations[[#This Row],[Waste type 2]],WasteLandfillEmissions[#All],3,FALSE))*Calculations[[#This Row],[Total Kg]]*VLOOKUP(Calculations[[#This Row],[Waste 1]],WasteScenario[#All],4,FALSE),0)</f>
        <v>0</v>
      </c>
      <c r="AE124" s="322">
        <f>SUM(Calculations[[#This Row],[C4 landfill]:[C4 re-use]])</f>
        <v>0</v>
      </c>
      <c r="AF124" s="322">
        <f>IFERROR(VLOOKUP(Calculations[[#This Row],[Material (choose from dropdown]],MaterialData[#All],8,FALSE),0)</f>
        <v>0</v>
      </c>
      <c r="AG124" s="322">
        <f>IFERROR(Calculations[[#This Row],[Total Kg]]*Calculations[[#This Row],[Seq factor]],0)</f>
        <v>0</v>
      </c>
      <c r="AI124" s="322">
        <f>Calculations[[#This Row],[A1-3]]+Calculations[[#This Row],[A4]]+Calculations[[#This Row],[A5]]+Calculations[[#This Row],[B4]]+Calculations[[#This Row],[C2 total]]+Calculations[[#This Row],[C3 total]]+Calculations[[#This Row],[C4 total]]</f>
        <v>0</v>
      </c>
      <c r="AJ124" s="2">
        <f>IFERROR(VLOOKUP(Calculations[[#This Row],[Material (choose from dropdown]],MaterialData[[#Headers],[#Data]],9,FALSE),0)</f>
        <v>0</v>
      </c>
      <c r="AK124" s="4">
        <f>IFERROR(VLOOKUP(Calculations[[#This Row],[Material (choose from dropdown]],MaterialData[[#Headers],[#Data]],10,FALSE),0)</f>
        <v>0</v>
      </c>
      <c r="AL124" s="322">
        <f>IFERROR(Calculations[[#This Row],[Data Quality Score]]*Calculations[[#This Row],[Total Kg]],0)</f>
        <v>0</v>
      </c>
    </row>
    <row r="125" spans="1:38" x14ac:dyDescent="0.3">
      <c r="A125" s="6">
        <f>IFERROR(MaterialsBoQ[[#This Row],[Scope Element]],0)</f>
        <v>0</v>
      </c>
      <c r="B125">
        <f>IFERROR(MaterialsBoQ[[#This Row],[Material ]],"")</f>
        <v>0</v>
      </c>
      <c r="C125">
        <f>IFERROR(MaterialsBoQ[[#This Row],[Unit]],"")</f>
        <v>0</v>
      </c>
      <c r="D125" s="322">
        <f>IFERROR(MaterialsBoQ[[#This Row],[Number]],0)</f>
        <v>0</v>
      </c>
      <c r="E125" s="322">
        <f>IFERROR(MaterialsBoQ[[#This Row],[Kg per unit]],0)</f>
        <v>0</v>
      </c>
      <c r="F125" s="322">
        <f>IFERROR(Calculations[[#This Row],[Number]]*Calculations[[#This Row],[Conversion factor]],0)</f>
        <v>0</v>
      </c>
      <c r="G125" s="322">
        <f>IFERROR(VLOOKUP(Calculations[[#This Row],[Material (choose from dropdown]],MaterialData[#All],7,FALSE),0)</f>
        <v>0</v>
      </c>
      <c r="H125" s="322">
        <f>Calculations[[#This Row],[Total Kg]]*Calculations[[#This Row],[Carbon Factor]]</f>
        <v>0</v>
      </c>
      <c r="I125" t="str">
        <f>IFERROR(VLOOKUP(Calculations[[#This Row],[Material (choose from dropdown]],MaterialData[#All],2,FALSE),"")</f>
        <v/>
      </c>
      <c r="J125" s="322">
        <f>IFERROR(((VLOOKUP(Calculations[[#This Row],[TransportSource]],TransportDistance[],2,FALSE)*'Stage assumptions'!$C$11)+VLOOKUP(Calculations[[#This Row],[TransportSource]],TransportDistance[],3,FALSE)*'Stage assumptions'!$C$12)*Calculations[[#This Row],[Total Kg]],0)</f>
        <v>0</v>
      </c>
      <c r="K125">
        <f>IFERROR(VLOOKUP(Calculations[[#This Row],[Material (choose from dropdown]], MaterialData[#All],3, FALSE),0)</f>
        <v>0</v>
      </c>
      <c r="L125" s="322">
        <f>IFERROR(VLOOKUP(Calculations[[#This Row],[A5type]],A5WastageRate[#All],2,FALSE)*Calculations[[#This Row],[A1-3]],0)</f>
        <v>0</v>
      </c>
      <c r="N125">
        <f>IFERROR(ROUNDUP(50/VLOOKUP(Calculations[[#This Row],[Scope Element]],B4referenceServiceLife[[Tier 2 element]:[Default Service Life]],2, FALSE)-1,0),0)</f>
        <v>0</v>
      </c>
      <c r="O125" s="322">
        <f>IFERROR((Calculations[[#This Row],[A1-3]]+Calculations[[#This Row],[A4]]+Calculations[[#This Row],[A5]]+Calculations[[#This Row],[C2 total]]+Calculations[[#This Row],[C3 total]]+Calculations[[#This Row],[C4 total]])*Calculations[[#This Row],[Replacements]],0)</f>
        <v>0</v>
      </c>
      <c r="S125" t="str">
        <f>IFERROR(VLOOKUP(Calculations[[#This Row],[Material (choose from dropdown]],MaterialData[#All],4,FALSE),"")</f>
        <v/>
      </c>
      <c r="T125" s="322" cm="1">
        <f t="array" ref="T125">IFERROR(VLOOKUP(Calculations[[#This Row],[Waste 1]],WasteScenario[#All],2,FALSE)*'Stage assumptions'!$C$225*WasteTransportMethod[Emissions Factor
kgCO2e/kg.km]*Calculations[[#This Row],[Total Kg]],0)</f>
        <v>0</v>
      </c>
      <c r="U125" s="322" cm="1">
        <f t="array" ref="U125">IFERROR(VLOOKUP(Calculations[[#This Row],[Waste 1]],WasteScenario[#All],3,FALSE)*'Stage assumptions'!$C$224*WasteTransportMethod[Emissions Factor
kgCO2e/kg.km]*Calculations[[#This Row],[Total Kg]],0)</f>
        <v>0</v>
      </c>
      <c r="V125" s="322" cm="1">
        <f t="array" ref="V125">IFERROR(VLOOKUP(Calculations[[#This Row],[Waste 1]],WasteScenario[#All],4,FALSE)*'Stage assumptions'!$C$223*WasteTransportMethod[Emissions Factor
kgCO2e/kg.km]*Calculations[[#This Row],[Total Kg]],0)</f>
        <v>0</v>
      </c>
      <c r="W125" s="322" cm="1">
        <f t="array" ref="W125">IFERROR(VLOOKUP(Calculations[[#This Row],[Waste 1]],WasteScenario[#All],5,FALSE)*'Stage assumptions'!$C$226*WasteTransportMethod[Emissions Factor
kgCO2e/kg.km]*Calculations[[#This Row],[Total Kg]],0)</f>
        <v>0</v>
      </c>
      <c r="X125" s="322">
        <f>SUM(Calculations[[#This Row],[C2 Recycle]:[C2 Reuse]])</f>
        <v>0</v>
      </c>
      <c r="Y125" t="str">
        <f>IFERROR(VLOOKUP(Calculations[[#This Row],[Material (choose from dropdown]],MaterialData[#All],5,FALSE),"")</f>
        <v/>
      </c>
      <c r="Z125" s="322">
        <f>IFERROR(((VLOOKUP(Calculations[[#This Row],[Waste type 2]],WasteDisposalEmissions[#All],2,FALSE))*Calculations[[#This Row],[Total Kg]])*VLOOKUP(Calculations[[#This Row],[Waste 1]],WasteScenario[#All],2,FALSE),0)</f>
        <v>0</v>
      </c>
      <c r="AA125" s="322">
        <f>IFERROR((VLOOKUP(Calculations[[#This Row],[Waste type 2]],WasteDisposalEmissions[#All],3,FALSE))*Calculations[[#This Row],[Total Kg]]*VLOOKUP(Calculations[[#This Row],[Waste 1]],WasteScenario[#All],3,FALSE),0)</f>
        <v>0</v>
      </c>
      <c r="AB125" s="322">
        <f>SUM(Calculations[[#This Row],[C3 recyc]:[C3 incin]])</f>
        <v>0</v>
      </c>
      <c r="AC125" s="322">
        <f>IFERROR((VLOOKUP(Calculations[[#This Row],[Waste type 2]],WasteLandfillEmissions[#All],2,FALSE))*Calculations[[#This Row],[Total Kg]]*VLOOKUP(Calculations[[#This Row],[Waste 1]],WasteScenario[#All],4,FALSE),0)</f>
        <v>0</v>
      </c>
      <c r="AD125" s="322">
        <f>IFERROR((VLOOKUP(Calculations[[#This Row],[Waste type 2]],WasteLandfillEmissions[#All],3,FALSE))*Calculations[[#This Row],[Total Kg]]*VLOOKUP(Calculations[[#This Row],[Waste 1]],WasteScenario[#All],4,FALSE),0)</f>
        <v>0</v>
      </c>
      <c r="AE125" s="322">
        <f>SUM(Calculations[[#This Row],[C4 landfill]:[C4 re-use]])</f>
        <v>0</v>
      </c>
      <c r="AF125" s="322">
        <f>IFERROR(VLOOKUP(Calculations[[#This Row],[Material (choose from dropdown]],MaterialData[#All],8,FALSE),0)</f>
        <v>0</v>
      </c>
      <c r="AG125" s="322">
        <f>IFERROR(Calculations[[#This Row],[Total Kg]]*Calculations[[#This Row],[Seq factor]],0)</f>
        <v>0</v>
      </c>
      <c r="AI125" s="322">
        <f>Calculations[[#This Row],[A1-3]]+Calculations[[#This Row],[A4]]+Calculations[[#This Row],[A5]]+Calculations[[#This Row],[B4]]+Calculations[[#This Row],[C2 total]]+Calculations[[#This Row],[C3 total]]+Calculations[[#This Row],[C4 total]]</f>
        <v>0</v>
      </c>
      <c r="AJ125" s="2">
        <f>IFERROR(VLOOKUP(Calculations[[#This Row],[Material (choose from dropdown]],MaterialData[[#Headers],[#Data]],9,FALSE),0)</f>
        <v>0</v>
      </c>
      <c r="AK125" s="4">
        <f>IFERROR(VLOOKUP(Calculations[[#This Row],[Material (choose from dropdown]],MaterialData[[#Headers],[#Data]],10,FALSE),0)</f>
        <v>0</v>
      </c>
      <c r="AL125" s="322">
        <f>IFERROR(Calculations[[#This Row],[Data Quality Score]]*Calculations[[#This Row],[Total Kg]],0)</f>
        <v>0</v>
      </c>
    </row>
    <row r="126" spans="1:38" x14ac:dyDescent="0.3">
      <c r="A126" s="6">
        <f>IFERROR(MaterialsBoQ[[#This Row],[Scope Element]],0)</f>
        <v>0</v>
      </c>
      <c r="B126">
        <f>IFERROR(MaterialsBoQ[[#This Row],[Material ]],"")</f>
        <v>0</v>
      </c>
      <c r="C126">
        <f>IFERROR(MaterialsBoQ[[#This Row],[Unit]],"")</f>
        <v>0</v>
      </c>
      <c r="D126" s="322">
        <f>IFERROR(MaterialsBoQ[[#This Row],[Number]],0)</f>
        <v>0</v>
      </c>
      <c r="E126" s="322">
        <f>IFERROR(MaterialsBoQ[[#This Row],[Kg per unit]],0)</f>
        <v>0</v>
      </c>
      <c r="F126" s="322">
        <f>IFERROR(Calculations[[#This Row],[Number]]*Calculations[[#This Row],[Conversion factor]],0)</f>
        <v>0</v>
      </c>
      <c r="G126" s="322">
        <f>IFERROR(VLOOKUP(Calculations[[#This Row],[Material (choose from dropdown]],MaterialData[#All],7,FALSE),0)</f>
        <v>0</v>
      </c>
      <c r="H126" s="322">
        <f>Calculations[[#This Row],[Total Kg]]*Calculations[[#This Row],[Carbon Factor]]</f>
        <v>0</v>
      </c>
      <c r="I126" t="str">
        <f>IFERROR(VLOOKUP(Calculations[[#This Row],[Material (choose from dropdown]],MaterialData[#All],2,FALSE),"")</f>
        <v/>
      </c>
      <c r="J126" s="322">
        <f>IFERROR(((VLOOKUP(Calculations[[#This Row],[TransportSource]],TransportDistance[],2,FALSE)*'Stage assumptions'!$C$11)+VLOOKUP(Calculations[[#This Row],[TransportSource]],TransportDistance[],3,FALSE)*'Stage assumptions'!$C$12)*Calculations[[#This Row],[Total Kg]],0)</f>
        <v>0</v>
      </c>
      <c r="K126">
        <f>IFERROR(VLOOKUP(Calculations[[#This Row],[Material (choose from dropdown]], MaterialData[#All],3, FALSE),0)</f>
        <v>0</v>
      </c>
      <c r="L126" s="322">
        <f>IFERROR(VLOOKUP(Calculations[[#This Row],[A5type]],A5WastageRate[#All],2,FALSE)*Calculations[[#This Row],[A1-3]],0)</f>
        <v>0</v>
      </c>
      <c r="N126">
        <f>IFERROR(ROUNDUP(50/VLOOKUP(Calculations[[#This Row],[Scope Element]],B4referenceServiceLife[[Tier 2 element]:[Default Service Life]],2, FALSE)-1,0),0)</f>
        <v>0</v>
      </c>
      <c r="O126" s="322">
        <f>IFERROR((Calculations[[#This Row],[A1-3]]+Calculations[[#This Row],[A4]]+Calculations[[#This Row],[A5]]+Calculations[[#This Row],[C2 total]]+Calculations[[#This Row],[C3 total]]+Calculations[[#This Row],[C4 total]])*Calculations[[#This Row],[Replacements]],0)</f>
        <v>0</v>
      </c>
      <c r="S126" t="str">
        <f>IFERROR(VLOOKUP(Calculations[[#This Row],[Material (choose from dropdown]],MaterialData[#All],4,FALSE),"")</f>
        <v/>
      </c>
      <c r="T126" s="322" cm="1">
        <f t="array" ref="T126">IFERROR(VLOOKUP(Calculations[[#This Row],[Waste 1]],WasteScenario[#All],2,FALSE)*'Stage assumptions'!$C$225*WasteTransportMethod[Emissions Factor
kgCO2e/kg.km]*Calculations[[#This Row],[Total Kg]],0)</f>
        <v>0</v>
      </c>
      <c r="U126" s="322" cm="1">
        <f t="array" ref="U126">IFERROR(VLOOKUP(Calculations[[#This Row],[Waste 1]],WasteScenario[#All],3,FALSE)*'Stage assumptions'!$C$224*WasteTransportMethod[Emissions Factor
kgCO2e/kg.km]*Calculations[[#This Row],[Total Kg]],0)</f>
        <v>0</v>
      </c>
      <c r="V126" s="322" cm="1">
        <f t="array" ref="V126">IFERROR(VLOOKUP(Calculations[[#This Row],[Waste 1]],WasteScenario[#All],4,FALSE)*'Stage assumptions'!$C$223*WasteTransportMethod[Emissions Factor
kgCO2e/kg.km]*Calculations[[#This Row],[Total Kg]],0)</f>
        <v>0</v>
      </c>
      <c r="W126" s="322" cm="1">
        <f t="array" ref="W126">IFERROR(VLOOKUP(Calculations[[#This Row],[Waste 1]],WasteScenario[#All],5,FALSE)*'Stage assumptions'!$C$226*WasteTransportMethod[Emissions Factor
kgCO2e/kg.km]*Calculations[[#This Row],[Total Kg]],0)</f>
        <v>0</v>
      </c>
      <c r="X126" s="322">
        <f>SUM(Calculations[[#This Row],[C2 Recycle]:[C2 Reuse]])</f>
        <v>0</v>
      </c>
      <c r="Y126" t="str">
        <f>IFERROR(VLOOKUP(Calculations[[#This Row],[Material (choose from dropdown]],MaterialData[#All],5,FALSE),"")</f>
        <v/>
      </c>
      <c r="Z126" s="322">
        <f>IFERROR(((VLOOKUP(Calculations[[#This Row],[Waste type 2]],WasteDisposalEmissions[#All],2,FALSE))*Calculations[[#This Row],[Total Kg]])*VLOOKUP(Calculations[[#This Row],[Waste 1]],WasteScenario[#All],2,FALSE),0)</f>
        <v>0</v>
      </c>
      <c r="AA126" s="322">
        <f>IFERROR((VLOOKUP(Calculations[[#This Row],[Waste type 2]],WasteDisposalEmissions[#All],3,FALSE))*Calculations[[#This Row],[Total Kg]]*VLOOKUP(Calculations[[#This Row],[Waste 1]],WasteScenario[#All],3,FALSE),0)</f>
        <v>0</v>
      </c>
      <c r="AB126" s="322">
        <f>SUM(Calculations[[#This Row],[C3 recyc]:[C3 incin]])</f>
        <v>0</v>
      </c>
      <c r="AC126" s="322">
        <f>IFERROR((VLOOKUP(Calculations[[#This Row],[Waste type 2]],WasteLandfillEmissions[#All],2,FALSE))*Calculations[[#This Row],[Total Kg]]*VLOOKUP(Calculations[[#This Row],[Waste 1]],WasteScenario[#All],4,FALSE),0)</f>
        <v>0</v>
      </c>
      <c r="AD126" s="322">
        <f>IFERROR((VLOOKUP(Calculations[[#This Row],[Waste type 2]],WasteLandfillEmissions[#All],3,FALSE))*Calculations[[#This Row],[Total Kg]]*VLOOKUP(Calculations[[#This Row],[Waste 1]],WasteScenario[#All],4,FALSE),0)</f>
        <v>0</v>
      </c>
      <c r="AE126" s="322">
        <f>SUM(Calculations[[#This Row],[C4 landfill]:[C4 re-use]])</f>
        <v>0</v>
      </c>
      <c r="AF126" s="322">
        <f>IFERROR(VLOOKUP(Calculations[[#This Row],[Material (choose from dropdown]],MaterialData[#All],8,FALSE),0)</f>
        <v>0</v>
      </c>
      <c r="AG126" s="322">
        <f>IFERROR(Calculations[[#This Row],[Total Kg]]*Calculations[[#This Row],[Seq factor]],0)</f>
        <v>0</v>
      </c>
      <c r="AI126" s="322">
        <f>Calculations[[#This Row],[A1-3]]+Calculations[[#This Row],[A4]]+Calculations[[#This Row],[A5]]+Calculations[[#This Row],[B4]]+Calculations[[#This Row],[C2 total]]+Calculations[[#This Row],[C3 total]]+Calculations[[#This Row],[C4 total]]</f>
        <v>0</v>
      </c>
      <c r="AJ126" s="2">
        <f>IFERROR(VLOOKUP(Calculations[[#This Row],[Material (choose from dropdown]],MaterialData[[#Headers],[#Data]],9,FALSE),0)</f>
        <v>0</v>
      </c>
      <c r="AK126" s="4">
        <f>IFERROR(VLOOKUP(Calculations[[#This Row],[Material (choose from dropdown]],MaterialData[[#Headers],[#Data]],10,FALSE),0)</f>
        <v>0</v>
      </c>
      <c r="AL126" s="322">
        <f>IFERROR(Calculations[[#This Row],[Data Quality Score]]*Calculations[[#This Row],[Total Kg]],0)</f>
        <v>0</v>
      </c>
    </row>
    <row r="127" spans="1:38" x14ac:dyDescent="0.3">
      <c r="A127" s="6">
        <f>IFERROR(MaterialsBoQ[[#This Row],[Scope Element]],0)</f>
        <v>0</v>
      </c>
      <c r="B127">
        <f>IFERROR(MaterialsBoQ[[#This Row],[Material ]],"")</f>
        <v>0</v>
      </c>
      <c r="C127">
        <f>IFERROR(MaterialsBoQ[[#This Row],[Unit]],"")</f>
        <v>0</v>
      </c>
      <c r="D127" s="322">
        <f>IFERROR(MaterialsBoQ[[#This Row],[Number]],0)</f>
        <v>0</v>
      </c>
      <c r="E127" s="322">
        <f>IFERROR(MaterialsBoQ[[#This Row],[Kg per unit]],0)</f>
        <v>0</v>
      </c>
      <c r="F127" s="322">
        <f>IFERROR(Calculations[[#This Row],[Number]]*Calculations[[#This Row],[Conversion factor]],0)</f>
        <v>0</v>
      </c>
      <c r="G127" s="322">
        <f>IFERROR(VLOOKUP(Calculations[[#This Row],[Material (choose from dropdown]],MaterialData[#All],7,FALSE),0)</f>
        <v>0</v>
      </c>
      <c r="H127" s="322">
        <f>Calculations[[#This Row],[Total Kg]]*Calculations[[#This Row],[Carbon Factor]]</f>
        <v>0</v>
      </c>
      <c r="I127" t="str">
        <f>IFERROR(VLOOKUP(Calculations[[#This Row],[Material (choose from dropdown]],MaterialData[#All],2,FALSE),"")</f>
        <v/>
      </c>
      <c r="J127" s="322">
        <f>IFERROR(((VLOOKUP(Calculations[[#This Row],[TransportSource]],TransportDistance[],2,FALSE)*'Stage assumptions'!$C$11)+VLOOKUP(Calculations[[#This Row],[TransportSource]],TransportDistance[],3,FALSE)*'Stage assumptions'!$C$12)*Calculations[[#This Row],[Total Kg]],0)</f>
        <v>0</v>
      </c>
      <c r="K127">
        <f>IFERROR(VLOOKUP(Calculations[[#This Row],[Material (choose from dropdown]], MaterialData[#All],3, FALSE),0)</f>
        <v>0</v>
      </c>
      <c r="L127" s="322">
        <f>IFERROR(VLOOKUP(Calculations[[#This Row],[A5type]],A5WastageRate[#All],2,FALSE)*Calculations[[#This Row],[A1-3]],0)</f>
        <v>0</v>
      </c>
      <c r="N127">
        <f>IFERROR(ROUNDUP(50/VLOOKUP(Calculations[[#This Row],[Scope Element]],B4referenceServiceLife[[Tier 2 element]:[Default Service Life]],2, FALSE)-1,0),0)</f>
        <v>0</v>
      </c>
      <c r="O127" s="322">
        <f>IFERROR((Calculations[[#This Row],[A1-3]]+Calculations[[#This Row],[A4]]+Calculations[[#This Row],[A5]]+Calculations[[#This Row],[C2 total]]+Calculations[[#This Row],[C3 total]]+Calculations[[#This Row],[C4 total]])*Calculations[[#This Row],[Replacements]],0)</f>
        <v>0</v>
      </c>
      <c r="S127" t="str">
        <f>IFERROR(VLOOKUP(Calculations[[#This Row],[Material (choose from dropdown]],MaterialData[#All],4,FALSE),"")</f>
        <v/>
      </c>
      <c r="T127" s="322" cm="1">
        <f t="array" ref="T127">IFERROR(VLOOKUP(Calculations[[#This Row],[Waste 1]],WasteScenario[#All],2,FALSE)*'Stage assumptions'!$C$225*WasteTransportMethod[Emissions Factor
kgCO2e/kg.km]*Calculations[[#This Row],[Total Kg]],0)</f>
        <v>0</v>
      </c>
      <c r="U127" s="322" cm="1">
        <f t="array" ref="U127">IFERROR(VLOOKUP(Calculations[[#This Row],[Waste 1]],WasteScenario[#All],3,FALSE)*'Stage assumptions'!$C$224*WasteTransportMethod[Emissions Factor
kgCO2e/kg.km]*Calculations[[#This Row],[Total Kg]],0)</f>
        <v>0</v>
      </c>
      <c r="V127" s="322" cm="1">
        <f t="array" ref="V127">IFERROR(VLOOKUP(Calculations[[#This Row],[Waste 1]],WasteScenario[#All],4,FALSE)*'Stage assumptions'!$C$223*WasteTransportMethod[Emissions Factor
kgCO2e/kg.km]*Calculations[[#This Row],[Total Kg]],0)</f>
        <v>0</v>
      </c>
      <c r="W127" s="322" cm="1">
        <f t="array" ref="W127">IFERROR(VLOOKUP(Calculations[[#This Row],[Waste 1]],WasteScenario[#All],5,FALSE)*'Stage assumptions'!$C$226*WasteTransportMethod[Emissions Factor
kgCO2e/kg.km]*Calculations[[#This Row],[Total Kg]],0)</f>
        <v>0</v>
      </c>
      <c r="X127" s="322">
        <f>SUM(Calculations[[#This Row],[C2 Recycle]:[C2 Reuse]])</f>
        <v>0</v>
      </c>
      <c r="Y127" t="str">
        <f>IFERROR(VLOOKUP(Calculations[[#This Row],[Material (choose from dropdown]],MaterialData[#All],5,FALSE),"")</f>
        <v/>
      </c>
      <c r="Z127" s="322">
        <f>IFERROR(((VLOOKUP(Calculations[[#This Row],[Waste type 2]],WasteDisposalEmissions[#All],2,FALSE))*Calculations[[#This Row],[Total Kg]])*VLOOKUP(Calculations[[#This Row],[Waste 1]],WasteScenario[#All],2,FALSE),0)</f>
        <v>0</v>
      </c>
      <c r="AA127" s="322">
        <f>IFERROR((VLOOKUP(Calculations[[#This Row],[Waste type 2]],WasteDisposalEmissions[#All],3,FALSE))*Calculations[[#This Row],[Total Kg]]*VLOOKUP(Calculations[[#This Row],[Waste 1]],WasteScenario[#All],3,FALSE),0)</f>
        <v>0</v>
      </c>
      <c r="AB127" s="322">
        <f>SUM(Calculations[[#This Row],[C3 recyc]:[C3 incin]])</f>
        <v>0</v>
      </c>
      <c r="AC127" s="322">
        <f>IFERROR((VLOOKUP(Calculations[[#This Row],[Waste type 2]],WasteLandfillEmissions[#All],2,FALSE))*Calculations[[#This Row],[Total Kg]]*VLOOKUP(Calculations[[#This Row],[Waste 1]],WasteScenario[#All],4,FALSE),0)</f>
        <v>0</v>
      </c>
      <c r="AD127" s="322">
        <f>IFERROR((VLOOKUP(Calculations[[#This Row],[Waste type 2]],WasteLandfillEmissions[#All],3,FALSE))*Calculations[[#This Row],[Total Kg]]*VLOOKUP(Calculations[[#This Row],[Waste 1]],WasteScenario[#All],4,FALSE),0)</f>
        <v>0</v>
      </c>
      <c r="AE127" s="322">
        <f>SUM(Calculations[[#This Row],[C4 landfill]:[C4 re-use]])</f>
        <v>0</v>
      </c>
      <c r="AF127" s="322">
        <f>IFERROR(VLOOKUP(Calculations[[#This Row],[Material (choose from dropdown]],MaterialData[#All],8,FALSE),0)</f>
        <v>0</v>
      </c>
      <c r="AG127" s="322">
        <f>IFERROR(Calculations[[#This Row],[Total Kg]]*Calculations[[#This Row],[Seq factor]],0)</f>
        <v>0</v>
      </c>
      <c r="AI127" s="322">
        <f>Calculations[[#This Row],[A1-3]]+Calculations[[#This Row],[A4]]+Calculations[[#This Row],[A5]]+Calculations[[#This Row],[B4]]+Calculations[[#This Row],[C2 total]]+Calculations[[#This Row],[C3 total]]+Calculations[[#This Row],[C4 total]]</f>
        <v>0</v>
      </c>
      <c r="AJ127" s="2">
        <f>IFERROR(VLOOKUP(Calculations[[#This Row],[Material (choose from dropdown]],MaterialData[[#Headers],[#Data]],9,FALSE),0)</f>
        <v>0</v>
      </c>
      <c r="AK127" s="4">
        <f>IFERROR(VLOOKUP(Calculations[[#This Row],[Material (choose from dropdown]],MaterialData[[#Headers],[#Data]],10,FALSE),0)</f>
        <v>0</v>
      </c>
      <c r="AL127" s="322">
        <f>IFERROR(Calculations[[#This Row],[Data Quality Score]]*Calculations[[#This Row],[Total Kg]],0)</f>
        <v>0</v>
      </c>
    </row>
    <row r="128" spans="1:38" x14ac:dyDescent="0.3">
      <c r="A128" s="6">
        <f>IFERROR(MaterialsBoQ[[#This Row],[Scope Element]],0)</f>
        <v>0</v>
      </c>
      <c r="B128">
        <f>IFERROR(MaterialsBoQ[[#This Row],[Material ]],"")</f>
        <v>0</v>
      </c>
      <c r="C128">
        <f>IFERROR(MaterialsBoQ[[#This Row],[Unit]],"")</f>
        <v>0</v>
      </c>
      <c r="D128" s="322">
        <f>IFERROR(MaterialsBoQ[[#This Row],[Number]],0)</f>
        <v>0</v>
      </c>
      <c r="E128" s="322">
        <f>IFERROR(MaterialsBoQ[[#This Row],[Kg per unit]],0)</f>
        <v>0</v>
      </c>
      <c r="F128" s="322">
        <f>IFERROR(Calculations[[#This Row],[Number]]*Calculations[[#This Row],[Conversion factor]],0)</f>
        <v>0</v>
      </c>
      <c r="G128" s="322">
        <f>IFERROR(VLOOKUP(Calculations[[#This Row],[Material (choose from dropdown]],MaterialData[#All],7,FALSE),0)</f>
        <v>0</v>
      </c>
      <c r="H128" s="322">
        <f>Calculations[[#This Row],[Total Kg]]*Calculations[[#This Row],[Carbon Factor]]</f>
        <v>0</v>
      </c>
      <c r="I128" t="str">
        <f>IFERROR(VLOOKUP(Calculations[[#This Row],[Material (choose from dropdown]],MaterialData[#All],2,FALSE),"")</f>
        <v/>
      </c>
      <c r="J128" s="322">
        <f>IFERROR(((VLOOKUP(Calculations[[#This Row],[TransportSource]],TransportDistance[],2,FALSE)*'Stage assumptions'!$C$11)+VLOOKUP(Calculations[[#This Row],[TransportSource]],TransportDistance[],3,FALSE)*'Stage assumptions'!$C$12)*Calculations[[#This Row],[Total Kg]],0)</f>
        <v>0</v>
      </c>
      <c r="K128">
        <f>IFERROR(VLOOKUP(Calculations[[#This Row],[Material (choose from dropdown]], MaterialData[#All],3, FALSE),0)</f>
        <v>0</v>
      </c>
      <c r="L128" s="322">
        <f>IFERROR(VLOOKUP(Calculations[[#This Row],[A5type]],A5WastageRate[#All],2,FALSE)*Calculations[[#This Row],[A1-3]],0)</f>
        <v>0</v>
      </c>
      <c r="N128">
        <f>IFERROR(ROUNDUP(50/VLOOKUP(Calculations[[#This Row],[Scope Element]],B4referenceServiceLife[[Tier 2 element]:[Default Service Life]],2, FALSE)-1,0),0)</f>
        <v>0</v>
      </c>
      <c r="O128" s="322">
        <f>IFERROR((Calculations[[#This Row],[A1-3]]+Calculations[[#This Row],[A4]]+Calculations[[#This Row],[A5]]+Calculations[[#This Row],[C2 total]]+Calculations[[#This Row],[C3 total]]+Calculations[[#This Row],[C4 total]])*Calculations[[#This Row],[Replacements]],0)</f>
        <v>0</v>
      </c>
      <c r="S128" t="str">
        <f>IFERROR(VLOOKUP(Calculations[[#This Row],[Material (choose from dropdown]],MaterialData[#All],4,FALSE),"")</f>
        <v/>
      </c>
      <c r="T128" s="322" cm="1">
        <f t="array" ref="T128">IFERROR(VLOOKUP(Calculations[[#This Row],[Waste 1]],WasteScenario[#All],2,FALSE)*'Stage assumptions'!$C$225*WasteTransportMethod[Emissions Factor
kgCO2e/kg.km]*Calculations[[#This Row],[Total Kg]],0)</f>
        <v>0</v>
      </c>
      <c r="U128" s="322" cm="1">
        <f t="array" ref="U128">IFERROR(VLOOKUP(Calculations[[#This Row],[Waste 1]],WasteScenario[#All],3,FALSE)*'Stage assumptions'!$C$224*WasteTransportMethod[Emissions Factor
kgCO2e/kg.km]*Calculations[[#This Row],[Total Kg]],0)</f>
        <v>0</v>
      </c>
      <c r="V128" s="322" cm="1">
        <f t="array" ref="V128">IFERROR(VLOOKUP(Calculations[[#This Row],[Waste 1]],WasteScenario[#All],4,FALSE)*'Stage assumptions'!$C$223*WasteTransportMethod[Emissions Factor
kgCO2e/kg.km]*Calculations[[#This Row],[Total Kg]],0)</f>
        <v>0</v>
      </c>
      <c r="W128" s="322" cm="1">
        <f t="array" ref="W128">IFERROR(VLOOKUP(Calculations[[#This Row],[Waste 1]],WasteScenario[#All],5,FALSE)*'Stage assumptions'!$C$226*WasteTransportMethod[Emissions Factor
kgCO2e/kg.km]*Calculations[[#This Row],[Total Kg]],0)</f>
        <v>0</v>
      </c>
      <c r="X128" s="322">
        <f>SUM(Calculations[[#This Row],[C2 Recycle]:[C2 Reuse]])</f>
        <v>0</v>
      </c>
      <c r="Y128" t="str">
        <f>IFERROR(VLOOKUP(Calculations[[#This Row],[Material (choose from dropdown]],MaterialData[#All],5,FALSE),"")</f>
        <v/>
      </c>
      <c r="Z128" s="322">
        <f>IFERROR(((VLOOKUP(Calculations[[#This Row],[Waste type 2]],WasteDisposalEmissions[#All],2,FALSE))*Calculations[[#This Row],[Total Kg]])*VLOOKUP(Calculations[[#This Row],[Waste 1]],WasteScenario[#All],2,FALSE),0)</f>
        <v>0</v>
      </c>
      <c r="AA128" s="322">
        <f>IFERROR((VLOOKUP(Calculations[[#This Row],[Waste type 2]],WasteDisposalEmissions[#All],3,FALSE))*Calculations[[#This Row],[Total Kg]]*VLOOKUP(Calculations[[#This Row],[Waste 1]],WasteScenario[#All],3,FALSE),0)</f>
        <v>0</v>
      </c>
      <c r="AB128" s="322">
        <f>SUM(Calculations[[#This Row],[C3 recyc]:[C3 incin]])</f>
        <v>0</v>
      </c>
      <c r="AC128" s="322">
        <f>IFERROR((VLOOKUP(Calculations[[#This Row],[Waste type 2]],WasteLandfillEmissions[#All],2,FALSE))*Calculations[[#This Row],[Total Kg]]*VLOOKUP(Calculations[[#This Row],[Waste 1]],WasteScenario[#All],4,FALSE),0)</f>
        <v>0</v>
      </c>
      <c r="AD128" s="322">
        <f>IFERROR((VLOOKUP(Calculations[[#This Row],[Waste type 2]],WasteLandfillEmissions[#All],3,FALSE))*Calculations[[#This Row],[Total Kg]]*VLOOKUP(Calculations[[#This Row],[Waste 1]],WasteScenario[#All],4,FALSE),0)</f>
        <v>0</v>
      </c>
      <c r="AE128" s="322">
        <f>SUM(Calculations[[#This Row],[C4 landfill]:[C4 re-use]])</f>
        <v>0</v>
      </c>
      <c r="AF128" s="322">
        <f>IFERROR(VLOOKUP(Calculations[[#This Row],[Material (choose from dropdown]],MaterialData[#All],8,FALSE),0)</f>
        <v>0</v>
      </c>
      <c r="AG128" s="322">
        <f>IFERROR(Calculations[[#This Row],[Total Kg]]*Calculations[[#This Row],[Seq factor]],0)</f>
        <v>0</v>
      </c>
      <c r="AI128" s="322">
        <f>Calculations[[#This Row],[A1-3]]+Calculations[[#This Row],[A4]]+Calculations[[#This Row],[A5]]+Calculations[[#This Row],[B4]]+Calculations[[#This Row],[C2 total]]+Calculations[[#This Row],[C3 total]]+Calculations[[#This Row],[C4 total]]</f>
        <v>0</v>
      </c>
      <c r="AJ128" s="2">
        <f>IFERROR(VLOOKUP(Calculations[[#This Row],[Material (choose from dropdown]],MaterialData[[#Headers],[#Data]],9,FALSE),0)</f>
        <v>0</v>
      </c>
      <c r="AK128" s="4">
        <f>IFERROR(VLOOKUP(Calculations[[#This Row],[Material (choose from dropdown]],MaterialData[[#Headers],[#Data]],10,FALSE),0)</f>
        <v>0</v>
      </c>
      <c r="AL128" s="322">
        <f>IFERROR(Calculations[[#This Row],[Data Quality Score]]*Calculations[[#This Row],[Total Kg]],0)</f>
        <v>0</v>
      </c>
    </row>
    <row r="129" spans="1:38" x14ac:dyDescent="0.3">
      <c r="A129" s="6">
        <f>IFERROR(MaterialsBoQ[[#This Row],[Scope Element]],0)</f>
        <v>0</v>
      </c>
      <c r="B129">
        <f>IFERROR(MaterialsBoQ[[#This Row],[Material ]],"")</f>
        <v>0</v>
      </c>
      <c r="C129">
        <f>IFERROR(MaterialsBoQ[[#This Row],[Unit]],"")</f>
        <v>0</v>
      </c>
      <c r="D129" s="322">
        <f>IFERROR(MaterialsBoQ[[#This Row],[Number]],0)</f>
        <v>0</v>
      </c>
      <c r="E129" s="322">
        <f>IFERROR(MaterialsBoQ[[#This Row],[Kg per unit]],0)</f>
        <v>0</v>
      </c>
      <c r="F129" s="322">
        <f>IFERROR(Calculations[[#This Row],[Number]]*Calculations[[#This Row],[Conversion factor]],0)</f>
        <v>0</v>
      </c>
      <c r="G129" s="322">
        <f>IFERROR(VLOOKUP(Calculations[[#This Row],[Material (choose from dropdown]],MaterialData[#All],7,FALSE),0)</f>
        <v>0</v>
      </c>
      <c r="H129" s="322">
        <f>Calculations[[#This Row],[Total Kg]]*Calculations[[#This Row],[Carbon Factor]]</f>
        <v>0</v>
      </c>
      <c r="I129" t="str">
        <f>IFERROR(VLOOKUP(Calculations[[#This Row],[Material (choose from dropdown]],MaterialData[#All],2,FALSE),"")</f>
        <v/>
      </c>
      <c r="J129" s="322">
        <f>IFERROR(((VLOOKUP(Calculations[[#This Row],[TransportSource]],TransportDistance[],2,FALSE)*'Stage assumptions'!$C$11)+VLOOKUP(Calculations[[#This Row],[TransportSource]],TransportDistance[],3,FALSE)*'Stage assumptions'!$C$12)*Calculations[[#This Row],[Total Kg]],0)</f>
        <v>0</v>
      </c>
      <c r="K129">
        <f>IFERROR(VLOOKUP(Calculations[[#This Row],[Material (choose from dropdown]], MaterialData[#All],3, FALSE),0)</f>
        <v>0</v>
      </c>
      <c r="L129" s="322">
        <f>IFERROR(VLOOKUP(Calculations[[#This Row],[A5type]],A5WastageRate[#All],2,FALSE)*Calculations[[#This Row],[A1-3]],0)</f>
        <v>0</v>
      </c>
      <c r="N129">
        <f>IFERROR(ROUNDUP(50/VLOOKUP(Calculations[[#This Row],[Scope Element]],B4referenceServiceLife[[Tier 2 element]:[Default Service Life]],2, FALSE)-1,0),0)</f>
        <v>0</v>
      </c>
      <c r="O129" s="322">
        <f>IFERROR((Calculations[[#This Row],[A1-3]]+Calculations[[#This Row],[A4]]+Calculations[[#This Row],[A5]]+Calculations[[#This Row],[C2 total]]+Calculations[[#This Row],[C3 total]]+Calculations[[#This Row],[C4 total]])*Calculations[[#This Row],[Replacements]],0)</f>
        <v>0</v>
      </c>
      <c r="S129" t="str">
        <f>IFERROR(VLOOKUP(Calculations[[#This Row],[Material (choose from dropdown]],MaterialData[#All],4,FALSE),"")</f>
        <v/>
      </c>
      <c r="T129" s="322" cm="1">
        <f t="array" ref="T129">IFERROR(VLOOKUP(Calculations[[#This Row],[Waste 1]],WasteScenario[#All],2,FALSE)*'Stage assumptions'!$C$225*WasteTransportMethod[Emissions Factor
kgCO2e/kg.km]*Calculations[[#This Row],[Total Kg]],0)</f>
        <v>0</v>
      </c>
      <c r="U129" s="322" cm="1">
        <f t="array" ref="U129">IFERROR(VLOOKUP(Calculations[[#This Row],[Waste 1]],WasteScenario[#All],3,FALSE)*'Stage assumptions'!$C$224*WasteTransportMethod[Emissions Factor
kgCO2e/kg.km]*Calculations[[#This Row],[Total Kg]],0)</f>
        <v>0</v>
      </c>
      <c r="V129" s="322" cm="1">
        <f t="array" ref="V129">IFERROR(VLOOKUP(Calculations[[#This Row],[Waste 1]],WasteScenario[#All],4,FALSE)*'Stage assumptions'!$C$223*WasteTransportMethod[Emissions Factor
kgCO2e/kg.km]*Calculations[[#This Row],[Total Kg]],0)</f>
        <v>0</v>
      </c>
      <c r="W129" s="322" cm="1">
        <f t="array" ref="W129">IFERROR(VLOOKUP(Calculations[[#This Row],[Waste 1]],WasteScenario[#All],5,FALSE)*'Stage assumptions'!$C$226*WasteTransportMethod[Emissions Factor
kgCO2e/kg.km]*Calculations[[#This Row],[Total Kg]],0)</f>
        <v>0</v>
      </c>
      <c r="X129" s="322">
        <f>SUM(Calculations[[#This Row],[C2 Recycle]:[C2 Reuse]])</f>
        <v>0</v>
      </c>
      <c r="Y129" t="str">
        <f>IFERROR(VLOOKUP(Calculations[[#This Row],[Material (choose from dropdown]],MaterialData[#All],5,FALSE),"")</f>
        <v/>
      </c>
      <c r="Z129" s="322">
        <f>IFERROR(((VLOOKUP(Calculations[[#This Row],[Waste type 2]],WasteDisposalEmissions[#All],2,FALSE))*Calculations[[#This Row],[Total Kg]])*VLOOKUP(Calculations[[#This Row],[Waste 1]],WasteScenario[#All],2,FALSE),0)</f>
        <v>0</v>
      </c>
      <c r="AA129" s="322">
        <f>IFERROR((VLOOKUP(Calculations[[#This Row],[Waste type 2]],WasteDisposalEmissions[#All],3,FALSE))*Calculations[[#This Row],[Total Kg]]*VLOOKUP(Calculations[[#This Row],[Waste 1]],WasteScenario[#All],3,FALSE),0)</f>
        <v>0</v>
      </c>
      <c r="AB129" s="322">
        <f>SUM(Calculations[[#This Row],[C3 recyc]:[C3 incin]])</f>
        <v>0</v>
      </c>
      <c r="AC129" s="322">
        <f>IFERROR((VLOOKUP(Calculations[[#This Row],[Waste type 2]],WasteLandfillEmissions[#All],2,FALSE))*Calculations[[#This Row],[Total Kg]]*VLOOKUP(Calculations[[#This Row],[Waste 1]],WasteScenario[#All],4,FALSE),0)</f>
        <v>0</v>
      </c>
      <c r="AD129" s="322">
        <f>IFERROR((VLOOKUP(Calculations[[#This Row],[Waste type 2]],WasteLandfillEmissions[#All],3,FALSE))*Calculations[[#This Row],[Total Kg]]*VLOOKUP(Calculations[[#This Row],[Waste 1]],WasteScenario[#All],4,FALSE),0)</f>
        <v>0</v>
      </c>
      <c r="AE129" s="322">
        <f>SUM(Calculations[[#This Row],[C4 landfill]:[C4 re-use]])</f>
        <v>0</v>
      </c>
      <c r="AF129" s="322">
        <f>IFERROR(VLOOKUP(Calculations[[#This Row],[Material (choose from dropdown]],MaterialData[#All],8,FALSE),0)</f>
        <v>0</v>
      </c>
      <c r="AG129" s="322">
        <f>IFERROR(Calculations[[#This Row],[Total Kg]]*Calculations[[#This Row],[Seq factor]],0)</f>
        <v>0</v>
      </c>
      <c r="AI129" s="322">
        <f>Calculations[[#This Row],[A1-3]]+Calculations[[#This Row],[A4]]+Calculations[[#This Row],[A5]]+Calculations[[#This Row],[B4]]+Calculations[[#This Row],[C2 total]]+Calculations[[#This Row],[C3 total]]+Calculations[[#This Row],[C4 total]]</f>
        <v>0</v>
      </c>
      <c r="AJ129" s="2">
        <f>IFERROR(VLOOKUP(Calculations[[#This Row],[Material (choose from dropdown]],MaterialData[[#Headers],[#Data]],9,FALSE),0)</f>
        <v>0</v>
      </c>
      <c r="AK129" s="4">
        <f>IFERROR(VLOOKUP(Calculations[[#This Row],[Material (choose from dropdown]],MaterialData[[#Headers],[#Data]],10,FALSE),0)</f>
        <v>0</v>
      </c>
      <c r="AL129" s="322">
        <f>IFERROR(Calculations[[#This Row],[Data Quality Score]]*Calculations[[#This Row],[Total Kg]],0)</f>
        <v>0</v>
      </c>
    </row>
    <row r="130" spans="1:38" x14ac:dyDescent="0.3">
      <c r="A130" s="6">
        <f>IFERROR(MaterialsBoQ[[#This Row],[Scope Element]],0)</f>
        <v>0</v>
      </c>
      <c r="B130">
        <f>IFERROR(MaterialsBoQ[[#This Row],[Material ]],"")</f>
        <v>0</v>
      </c>
      <c r="C130">
        <f>IFERROR(MaterialsBoQ[[#This Row],[Unit]],"")</f>
        <v>0</v>
      </c>
      <c r="D130" s="322">
        <f>IFERROR(MaterialsBoQ[[#This Row],[Number]],0)</f>
        <v>0</v>
      </c>
      <c r="E130" s="322">
        <f>IFERROR(MaterialsBoQ[[#This Row],[Kg per unit]],0)</f>
        <v>0</v>
      </c>
      <c r="F130" s="322">
        <f>IFERROR(Calculations[[#This Row],[Number]]*Calculations[[#This Row],[Conversion factor]],0)</f>
        <v>0</v>
      </c>
      <c r="G130" s="322">
        <f>IFERROR(VLOOKUP(Calculations[[#This Row],[Material (choose from dropdown]],MaterialData[#All],7,FALSE),0)</f>
        <v>0</v>
      </c>
      <c r="H130" s="322">
        <f>Calculations[[#This Row],[Total Kg]]*Calculations[[#This Row],[Carbon Factor]]</f>
        <v>0</v>
      </c>
      <c r="I130" t="str">
        <f>IFERROR(VLOOKUP(Calculations[[#This Row],[Material (choose from dropdown]],MaterialData[#All],2,FALSE),"")</f>
        <v/>
      </c>
      <c r="J130" s="322">
        <f>IFERROR(((VLOOKUP(Calculations[[#This Row],[TransportSource]],TransportDistance[],2,FALSE)*'Stage assumptions'!$C$11)+VLOOKUP(Calculations[[#This Row],[TransportSource]],TransportDistance[],3,FALSE)*'Stage assumptions'!$C$12)*Calculations[[#This Row],[Total Kg]],0)</f>
        <v>0</v>
      </c>
      <c r="K130">
        <f>IFERROR(VLOOKUP(Calculations[[#This Row],[Material (choose from dropdown]], MaterialData[#All],3, FALSE),0)</f>
        <v>0</v>
      </c>
      <c r="L130" s="322">
        <f>IFERROR(VLOOKUP(Calculations[[#This Row],[A5type]],A5WastageRate[#All],2,FALSE)*Calculations[[#This Row],[A1-3]],0)</f>
        <v>0</v>
      </c>
      <c r="N130">
        <f>IFERROR(ROUNDUP(50/VLOOKUP(Calculations[[#This Row],[Scope Element]],B4referenceServiceLife[[Tier 2 element]:[Default Service Life]],2, FALSE)-1,0),0)</f>
        <v>0</v>
      </c>
      <c r="O130" s="322">
        <f>IFERROR((Calculations[[#This Row],[A1-3]]+Calculations[[#This Row],[A4]]+Calculations[[#This Row],[A5]]+Calculations[[#This Row],[C2 total]]+Calculations[[#This Row],[C3 total]]+Calculations[[#This Row],[C4 total]])*Calculations[[#This Row],[Replacements]],0)</f>
        <v>0</v>
      </c>
      <c r="S130" t="str">
        <f>IFERROR(VLOOKUP(Calculations[[#This Row],[Material (choose from dropdown]],MaterialData[#All],4,FALSE),"")</f>
        <v/>
      </c>
      <c r="T130" s="322" cm="1">
        <f t="array" ref="T130">IFERROR(VLOOKUP(Calculations[[#This Row],[Waste 1]],WasteScenario[#All],2,FALSE)*'Stage assumptions'!$C$225*WasteTransportMethod[Emissions Factor
kgCO2e/kg.km]*Calculations[[#This Row],[Total Kg]],0)</f>
        <v>0</v>
      </c>
      <c r="U130" s="322" cm="1">
        <f t="array" ref="U130">IFERROR(VLOOKUP(Calculations[[#This Row],[Waste 1]],WasteScenario[#All],3,FALSE)*'Stage assumptions'!$C$224*WasteTransportMethod[Emissions Factor
kgCO2e/kg.km]*Calculations[[#This Row],[Total Kg]],0)</f>
        <v>0</v>
      </c>
      <c r="V130" s="322" cm="1">
        <f t="array" ref="V130">IFERROR(VLOOKUP(Calculations[[#This Row],[Waste 1]],WasteScenario[#All],4,FALSE)*'Stage assumptions'!$C$223*WasteTransportMethod[Emissions Factor
kgCO2e/kg.km]*Calculations[[#This Row],[Total Kg]],0)</f>
        <v>0</v>
      </c>
      <c r="W130" s="322" cm="1">
        <f t="array" ref="W130">IFERROR(VLOOKUP(Calculations[[#This Row],[Waste 1]],WasteScenario[#All],5,FALSE)*'Stage assumptions'!$C$226*WasteTransportMethod[Emissions Factor
kgCO2e/kg.km]*Calculations[[#This Row],[Total Kg]],0)</f>
        <v>0</v>
      </c>
      <c r="X130" s="322">
        <f>SUM(Calculations[[#This Row],[C2 Recycle]:[C2 Reuse]])</f>
        <v>0</v>
      </c>
      <c r="Y130" t="str">
        <f>IFERROR(VLOOKUP(Calculations[[#This Row],[Material (choose from dropdown]],MaterialData[#All],5,FALSE),"")</f>
        <v/>
      </c>
      <c r="Z130" s="322">
        <f>IFERROR(((VLOOKUP(Calculations[[#This Row],[Waste type 2]],WasteDisposalEmissions[#All],2,FALSE))*Calculations[[#This Row],[Total Kg]])*VLOOKUP(Calculations[[#This Row],[Waste 1]],WasteScenario[#All],2,FALSE),0)</f>
        <v>0</v>
      </c>
      <c r="AA130" s="322">
        <f>IFERROR((VLOOKUP(Calculations[[#This Row],[Waste type 2]],WasteDisposalEmissions[#All],3,FALSE))*Calculations[[#This Row],[Total Kg]]*VLOOKUP(Calculations[[#This Row],[Waste 1]],WasteScenario[#All],3,FALSE),0)</f>
        <v>0</v>
      </c>
      <c r="AB130" s="322">
        <f>SUM(Calculations[[#This Row],[C3 recyc]:[C3 incin]])</f>
        <v>0</v>
      </c>
      <c r="AC130" s="322">
        <f>IFERROR((VLOOKUP(Calculations[[#This Row],[Waste type 2]],WasteLandfillEmissions[#All],2,FALSE))*Calculations[[#This Row],[Total Kg]]*VLOOKUP(Calculations[[#This Row],[Waste 1]],WasteScenario[#All],4,FALSE),0)</f>
        <v>0</v>
      </c>
      <c r="AD130" s="322">
        <f>IFERROR((VLOOKUP(Calculations[[#This Row],[Waste type 2]],WasteLandfillEmissions[#All],3,FALSE))*Calculations[[#This Row],[Total Kg]]*VLOOKUP(Calculations[[#This Row],[Waste 1]],WasteScenario[#All],4,FALSE),0)</f>
        <v>0</v>
      </c>
      <c r="AE130" s="322">
        <f>SUM(Calculations[[#This Row],[C4 landfill]:[C4 re-use]])</f>
        <v>0</v>
      </c>
      <c r="AF130" s="322">
        <f>IFERROR(VLOOKUP(Calculations[[#This Row],[Material (choose from dropdown]],MaterialData[#All],8,FALSE),0)</f>
        <v>0</v>
      </c>
      <c r="AG130" s="322">
        <f>IFERROR(Calculations[[#This Row],[Total Kg]]*Calculations[[#This Row],[Seq factor]],0)</f>
        <v>0</v>
      </c>
      <c r="AI130" s="322">
        <f>Calculations[[#This Row],[A1-3]]+Calculations[[#This Row],[A4]]+Calculations[[#This Row],[A5]]+Calculations[[#This Row],[B4]]+Calculations[[#This Row],[C2 total]]+Calculations[[#This Row],[C3 total]]+Calculations[[#This Row],[C4 total]]</f>
        <v>0</v>
      </c>
      <c r="AJ130" s="2">
        <f>IFERROR(VLOOKUP(Calculations[[#This Row],[Material (choose from dropdown]],MaterialData[[#Headers],[#Data]],9,FALSE),0)</f>
        <v>0</v>
      </c>
      <c r="AK130" s="4">
        <f>IFERROR(VLOOKUP(Calculations[[#This Row],[Material (choose from dropdown]],MaterialData[[#Headers],[#Data]],10,FALSE),0)</f>
        <v>0</v>
      </c>
      <c r="AL130" s="322">
        <f>IFERROR(Calculations[[#This Row],[Data Quality Score]]*Calculations[[#This Row],[Total Kg]],0)</f>
        <v>0</v>
      </c>
    </row>
    <row r="131" spans="1:38" x14ac:dyDescent="0.3">
      <c r="A131" s="6">
        <f>IFERROR(MaterialsBoQ[[#This Row],[Scope Element]],0)</f>
        <v>0</v>
      </c>
      <c r="B131">
        <f>IFERROR(MaterialsBoQ[[#This Row],[Material ]],"")</f>
        <v>0</v>
      </c>
      <c r="C131">
        <f>IFERROR(MaterialsBoQ[[#This Row],[Unit]],"")</f>
        <v>0</v>
      </c>
      <c r="D131" s="322">
        <f>IFERROR(MaterialsBoQ[[#This Row],[Number]],0)</f>
        <v>0</v>
      </c>
      <c r="E131" s="322">
        <f>IFERROR(MaterialsBoQ[[#This Row],[Kg per unit]],0)</f>
        <v>0</v>
      </c>
      <c r="F131" s="322">
        <f>IFERROR(Calculations[[#This Row],[Number]]*Calculations[[#This Row],[Conversion factor]],0)</f>
        <v>0</v>
      </c>
      <c r="G131" s="322">
        <f>IFERROR(VLOOKUP(Calculations[[#This Row],[Material (choose from dropdown]],MaterialData[#All],7,FALSE),0)</f>
        <v>0</v>
      </c>
      <c r="H131" s="322">
        <f>Calculations[[#This Row],[Total Kg]]*Calculations[[#This Row],[Carbon Factor]]</f>
        <v>0</v>
      </c>
      <c r="I131" t="str">
        <f>IFERROR(VLOOKUP(Calculations[[#This Row],[Material (choose from dropdown]],MaterialData[#All],2,FALSE),"")</f>
        <v/>
      </c>
      <c r="J131" s="322">
        <f>IFERROR(((VLOOKUP(Calculations[[#This Row],[TransportSource]],TransportDistance[],2,FALSE)*'Stage assumptions'!$C$11)+VLOOKUP(Calculations[[#This Row],[TransportSource]],TransportDistance[],3,FALSE)*'Stage assumptions'!$C$12)*Calculations[[#This Row],[Total Kg]],0)</f>
        <v>0</v>
      </c>
      <c r="K131">
        <f>IFERROR(VLOOKUP(Calculations[[#This Row],[Material (choose from dropdown]], MaterialData[#All],3, FALSE),0)</f>
        <v>0</v>
      </c>
      <c r="L131" s="322">
        <f>IFERROR(VLOOKUP(Calculations[[#This Row],[A5type]],A5WastageRate[#All],2,FALSE)*Calculations[[#This Row],[A1-3]],0)</f>
        <v>0</v>
      </c>
      <c r="N131">
        <f>IFERROR(ROUNDUP(50/VLOOKUP(Calculations[[#This Row],[Scope Element]],B4referenceServiceLife[[Tier 2 element]:[Default Service Life]],2, FALSE)-1,0),0)</f>
        <v>0</v>
      </c>
      <c r="O131" s="322">
        <f>IFERROR((Calculations[[#This Row],[A1-3]]+Calculations[[#This Row],[A4]]+Calculations[[#This Row],[A5]]+Calculations[[#This Row],[C2 total]]+Calculations[[#This Row],[C3 total]]+Calculations[[#This Row],[C4 total]])*Calculations[[#This Row],[Replacements]],0)</f>
        <v>0</v>
      </c>
      <c r="S131" t="str">
        <f>IFERROR(VLOOKUP(Calculations[[#This Row],[Material (choose from dropdown]],MaterialData[#All],4,FALSE),"")</f>
        <v/>
      </c>
      <c r="T131" s="322" cm="1">
        <f t="array" ref="T131">IFERROR(VLOOKUP(Calculations[[#This Row],[Waste 1]],WasteScenario[#All],2,FALSE)*'Stage assumptions'!$C$225*WasteTransportMethod[Emissions Factor
kgCO2e/kg.km]*Calculations[[#This Row],[Total Kg]],0)</f>
        <v>0</v>
      </c>
      <c r="U131" s="322" cm="1">
        <f t="array" ref="U131">IFERROR(VLOOKUP(Calculations[[#This Row],[Waste 1]],WasteScenario[#All],3,FALSE)*'Stage assumptions'!$C$224*WasteTransportMethod[Emissions Factor
kgCO2e/kg.km]*Calculations[[#This Row],[Total Kg]],0)</f>
        <v>0</v>
      </c>
      <c r="V131" s="322" cm="1">
        <f t="array" ref="V131">IFERROR(VLOOKUP(Calculations[[#This Row],[Waste 1]],WasteScenario[#All],4,FALSE)*'Stage assumptions'!$C$223*WasteTransportMethod[Emissions Factor
kgCO2e/kg.km]*Calculations[[#This Row],[Total Kg]],0)</f>
        <v>0</v>
      </c>
      <c r="W131" s="322" cm="1">
        <f t="array" ref="W131">IFERROR(VLOOKUP(Calculations[[#This Row],[Waste 1]],WasteScenario[#All],5,FALSE)*'Stage assumptions'!$C$226*WasteTransportMethod[Emissions Factor
kgCO2e/kg.km]*Calculations[[#This Row],[Total Kg]],0)</f>
        <v>0</v>
      </c>
      <c r="X131" s="322">
        <f>SUM(Calculations[[#This Row],[C2 Recycle]:[C2 Reuse]])</f>
        <v>0</v>
      </c>
      <c r="Y131" t="str">
        <f>IFERROR(VLOOKUP(Calculations[[#This Row],[Material (choose from dropdown]],MaterialData[#All],5,FALSE),"")</f>
        <v/>
      </c>
      <c r="Z131" s="322">
        <f>IFERROR(((VLOOKUP(Calculations[[#This Row],[Waste type 2]],WasteDisposalEmissions[#All],2,FALSE))*Calculations[[#This Row],[Total Kg]])*VLOOKUP(Calculations[[#This Row],[Waste 1]],WasteScenario[#All],2,FALSE),0)</f>
        <v>0</v>
      </c>
      <c r="AA131" s="322">
        <f>IFERROR((VLOOKUP(Calculations[[#This Row],[Waste type 2]],WasteDisposalEmissions[#All],3,FALSE))*Calculations[[#This Row],[Total Kg]]*VLOOKUP(Calculations[[#This Row],[Waste 1]],WasteScenario[#All],3,FALSE),0)</f>
        <v>0</v>
      </c>
      <c r="AB131" s="322">
        <f>SUM(Calculations[[#This Row],[C3 recyc]:[C3 incin]])</f>
        <v>0</v>
      </c>
      <c r="AC131" s="322">
        <f>IFERROR((VLOOKUP(Calculations[[#This Row],[Waste type 2]],WasteLandfillEmissions[#All],2,FALSE))*Calculations[[#This Row],[Total Kg]]*VLOOKUP(Calculations[[#This Row],[Waste 1]],WasteScenario[#All],4,FALSE),0)</f>
        <v>0</v>
      </c>
      <c r="AD131" s="322">
        <f>IFERROR((VLOOKUP(Calculations[[#This Row],[Waste type 2]],WasteLandfillEmissions[#All],3,FALSE))*Calculations[[#This Row],[Total Kg]]*VLOOKUP(Calculations[[#This Row],[Waste 1]],WasteScenario[#All],4,FALSE),0)</f>
        <v>0</v>
      </c>
      <c r="AE131" s="322">
        <f>SUM(Calculations[[#This Row],[C4 landfill]:[C4 re-use]])</f>
        <v>0</v>
      </c>
      <c r="AF131" s="322">
        <f>IFERROR(VLOOKUP(Calculations[[#This Row],[Material (choose from dropdown]],MaterialData[#All],8,FALSE),0)</f>
        <v>0</v>
      </c>
      <c r="AG131" s="322">
        <f>IFERROR(Calculations[[#This Row],[Total Kg]]*Calculations[[#This Row],[Seq factor]],0)</f>
        <v>0</v>
      </c>
      <c r="AI131" s="322">
        <f>Calculations[[#This Row],[A1-3]]+Calculations[[#This Row],[A4]]+Calculations[[#This Row],[A5]]+Calculations[[#This Row],[B4]]+Calculations[[#This Row],[C2 total]]+Calculations[[#This Row],[C3 total]]+Calculations[[#This Row],[C4 total]]</f>
        <v>0</v>
      </c>
      <c r="AJ131" s="2">
        <f>IFERROR(VLOOKUP(Calculations[[#This Row],[Material (choose from dropdown]],MaterialData[[#Headers],[#Data]],9,FALSE),0)</f>
        <v>0</v>
      </c>
      <c r="AK131" s="4">
        <f>IFERROR(VLOOKUP(Calculations[[#This Row],[Material (choose from dropdown]],MaterialData[[#Headers],[#Data]],10,FALSE),0)</f>
        <v>0</v>
      </c>
      <c r="AL131" s="322">
        <f>IFERROR(Calculations[[#This Row],[Data Quality Score]]*Calculations[[#This Row],[Total Kg]],0)</f>
        <v>0</v>
      </c>
    </row>
    <row r="132" spans="1:38" x14ac:dyDescent="0.3">
      <c r="A132" s="6">
        <f>IFERROR(MaterialsBoQ[[#This Row],[Scope Element]],0)</f>
        <v>0</v>
      </c>
      <c r="B132">
        <f>IFERROR(MaterialsBoQ[[#This Row],[Material ]],"")</f>
        <v>0</v>
      </c>
      <c r="C132">
        <f>IFERROR(MaterialsBoQ[[#This Row],[Unit]],"")</f>
        <v>0</v>
      </c>
      <c r="D132" s="322">
        <f>IFERROR(MaterialsBoQ[[#This Row],[Number]],0)</f>
        <v>0</v>
      </c>
      <c r="E132" s="322">
        <f>IFERROR(MaterialsBoQ[[#This Row],[Kg per unit]],0)</f>
        <v>0</v>
      </c>
      <c r="F132" s="322">
        <f>IFERROR(Calculations[[#This Row],[Number]]*Calculations[[#This Row],[Conversion factor]],0)</f>
        <v>0</v>
      </c>
      <c r="G132" s="322">
        <f>IFERROR(VLOOKUP(Calculations[[#This Row],[Material (choose from dropdown]],MaterialData[#All],7,FALSE),0)</f>
        <v>0</v>
      </c>
      <c r="H132" s="322">
        <f>Calculations[[#This Row],[Total Kg]]*Calculations[[#This Row],[Carbon Factor]]</f>
        <v>0</v>
      </c>
      <c r="I132" t="str">
        <f>IFERROR(VLOOKUP(Calculations[[#This Row],[Material (choose from dropdown]],MaterialData[#All],2,FALSE),"")</f>
        <v/>
      </c>
      <c r="J132" s="322">
        <f>IFERROR(((VLOOKUP(Calculations[[#This Row],[TransportSource]],TransportDistance[],2,FALSE)*'Stage assumptions'!$C$11)+VLOOKUP(Calculations[[#This Row],[TransportSource]],TransportDistance[],3,FALSE)*'Stage assumptions'!$C$12)*Calculations[[#This Row],[Total Kg]],0)</f>
        <v>0</v>
      </c>
      <c r="K132">
        <f>IFERROR(VLOOKUP(Calculations[[#This Row],[Material (choose from dropdown]], MaterialData[#All],3, FALSE),0)</f>
        <v>0</v>
      </c>
      <c r="L132" s="322">
        <f>IFERROR(VLOOKUP(Calculations[[#This Row],[A5type]],A5WastageRate[#All],2,FALSE)*Calculations[[#This Row],[A1-3]],0)</f>
        <v>0</v>
      </c>
      <c r="N132">
        <f>IFERROR(ROUNDUP(50/VLOOKUP(Calculations[[#This Row],[Scope Element]],B4referenceServiceLife[[Tier 2 element]:[Default Service Life]],2, FALSE)-1,0),0)</f>
        <v>0</v>
      </c>
      <c r="O132" s="322">
        <f>IFERROR((Calculations[[#This Row],[A1-3]]+Calculations[[#This Row],[A4]]+Calculations[[#This Row],[A5]]+Calculations[[#This Row],[C2 total]]+Calculations[[#This Row],[C3 total]]+Calculations[[#This Row],[C4 total]])*Calculations[[#This Row],[Replacements]],0)</f>
        <v>0</v>
      </c>
      <c r="S132" t="str">
        <f>IFERROR(VLOOKUP(Calculations[[#This Row],[Material (choose from dropdown]],MaterialData[#All],4,FALSE),"")</f>
        <v/>
      </c>
      <c r="T132" s="322" cm="1">
        <f t="array" ref="T132">IFERROR(VLOOKUP(Calculations[[#This Row],[Waste 1]],WasteScenario[#All],2,FALSE)*'Stage assumptions'!$C$225*WasteTransportMethod[Emissions Factor
kgCO2e/kg.km]*Calculations[[#This Row],[Total Kg]],0)</f>
        <v>0</v>
      </c>
      <c r="U132" s="322" cm="1">
        <f t="array" ref="U132">IFERROR(VLOOKUP(Calculations[[#This Row],[Waste 1]],WasteScenario[#All],3,FALSE)*'Stage assumptions'!$C$224*WasteTransportMethod[Emissions Factor
kgCO2e/kg.km]*Calculations[[#This Row],[Total Kg]],0)</f>
        <v>0</v>
      </c>
      <c r="V132" s="322" cm="1">
        <f t="array" ref="V132">IFERROR(VLOOKUP(Calculations[[#This Row],[Waste 1]],WasteScenario[#All],4,FALSE)*'Stage assumptions'!$C$223*WasteTransportMethod[Emissions Factor
kgCO2e/kg.km]*Calculations[[#This Row],[Total Kg]],0)</f>
        <v>0</v>
      </c>
      <c r="W132" s="322" cm="1">
        <f t="array" ref="W132">IFERROR(VLOOKUP(Calculations[[#This Row],[Waste 1]],WasteScenario[#All],5,FALSE)*'Stage assumptions'!$C$226*WasteTransportMethod[Emissions Factor
kgCO2e/kg.km]*Calculations[[#This Row],[Total Kg]],0)</f>
        <v>0</v>
      </c>
      <c r="X132" s="322">
        <f>SUM(Calculations[[#This Row],[C2 Recycle]:[C2 Reuse]])</f>
        <v>0</v>
      </c>
      <c r="Y132" t="str">
        <f>IFERROR(VLOOKUP(Calculations[[#This Row],[Material (choose from dropdown]],MaterialData[#All],5,FALSE),"")</f>
        <v/>
      </c>
      <c r="Z132" s="322">
        <f>IFERROR(((VLOOKUP(Calculations[[#This Row],[Waste type 2]],WasteDisposalEmissions[#All],2,FALSE))*Calculations[[#This Row],[Total Kg]])*VLOOKUP(Calculations[[#This Row],[Waste 1]],WasteScenario[#All],2,FALSE),0)</f>
        <v>0</v>
      </c>
      <c r="AA132" s="322">
        <f>IFERROR((VLOOKUP(Calculations[[#This Row],[Waste type 2]],WasteDisposalEmissions[#All],3,FALSE))*Calculations[[#This Row],[Total Kg]]*VLOOKUP(Calculations[[#This Row],[Waste 1]],WasteScenario[#All],3,FALSE),0)</f>
        <v>0</v>
      </c>
      <c r="AB132" s="322">
        <f>SUM(Calculations[[#This Row],[C3 recyc]:[C3 incin]])</f>
        <v>0</v>
      </c>
      <c r="AC132" s="322">
        <f>IFERROR((VLOOKUP(Calculations[[#This Row],[Waste type 2]],WasteLandfillEmissions[#All],2,FALSE))*Calculations[[#This Row],[Total Kg]]*VLOOKUP(Calculations[[#This Row],[Waste 1]],WasteScenario[#All],4,FALSE),0)</f>
        <v>0</v>
      </c>
      <c r="AD132" s="322">
        <f>IFERROR((VLOOKUP(Calculations[[#This Row],[Waste type 2]],WasteLandfillEmissions[#All],3,FALSE))*Calculations[[#This Row],[Total Kg]]*VLOOKUP(Calculations[[#This Row],[Waste 1]],WasteScenario[#All],4,FALSE),0)</f>
        <v>0</v>
      </c>
      <c r="AE132" s="322">
        <f>SUM(Calculations[[#This Row],[C4 landfill]:[C4 re-use]])</f>
        <v>0</v>
      </c>
      <c r="AF132" s="322">
        <f>IFERROR(VLOOKUP(Calculations[[#This Row],[Material (choose from dropdown]],MaterialData[#All],8,FALSE),0)</f>
        <v>0</v>
      </c>
      <c r="AG132" s="322">
        <f>IFERROR(Calculations[[#This Row],[Total Kg]]*Calculations[[#This Row],[Seq factor]],0)</f>
        <v>0</v>
      </c>
      <c r="AI132" s="322">
        <f>Calculations[[#This Row],[A1-3]]+Calculations[[#This Row],[A4]]+Calculations[[#This Row],[A5]]+Calculations[[#This Row],[B4]]+Calculations[[#This Row],[C2 total]]+Calculations[[#This Row],[C3 total]]+Calculations[[#This Row],[C4 total]]</f>
        <v>0</v>
      </c>
      <c r="AJ132" s="2">
        <f>IFERROR(VLOOKUP(Calculations[[#This Row],[Material (choose from dropdown]],MaterialData[[#Headers],[#Data]],9,FALSE),0)</f>
        <v>0</v>
      </c>
      <c r="AK132" s="4">
        <f>IFERROR(VLOOKUP(Calculations[[#This Row],[Material (choose from dropdown]],MaterialData[[#Headers],[#Data]],10,FALSE),0)</f>
        <v>0</v>
      </c>
      <c r="AL132" s="322">
        <f>IFERROR(Calculations[[#This Row],[Data Quality Score]]*Calculations[[#This Row],[Total Kg]],0)</f>
        <v>0</v>
      </c>
    </row>
    <row r="133" spans="1:38" x14ac:dyDescent="0.3">
      <c r="A133" s="6">
        <f>IFERROR(MaterialsBoQ[[#This Row],[Scope Element]],0)</f>
        <v>0</v>
      </c>
      <c r="B133">
        <f>IFERROR(MaterialsBoQ[[#This Row],[Material ]],"")</f>
        <v>0</v>
      </c>
      <c r="C133">
        <f>IFERROR(MaterialsBoQ[[#This Row],[Unit]],"")</f>
        <v>0</v>
      </c>
      <c r="D133" s="322">
        <f>IFERROR(MaterialsBoQ[[#This Row],[Number]],0)</f>
        <v>0</v>
      </c>
      <c r="E133" s="322">
        <f>IFERROR(MaterialsBoQ[[#This Row],[Kg per unit]],0)</f>
        <v>0</v>
      </c>
      <c r="F133" s="322">
        <f>IFERROR(Calculations[[#This Row],[Number]]*Calculations[[#This Row],[Conversion factor]],0)</f>
        <v>0</v>
      </c>
      <c r="G133" s="322">
        <f>IFERROR(VLOOKUP(Calculations[[#This Row],[Material (choose from dropdown]],MaterialData[#All],7,FALSE),0)</f>
        <v>0</v>
      </c>
      <c r="H133" s="322">
        <f>Calculations[[#This Row],[Total Kg]]*Calculations[[#This Row],[Carbon Factor]]</f>
        <v>0</v>
      </c>
      <c r="I133" t="str">
        <f>IFERROR(VLOOKUP(Calculations[[#This Row],[Material (choose from dropdown]],MaterialData[#All],2,FALSE),"")</f>
        <v/>
      </c>
      <c r="J133" s="322">
        <f>IFERROR(((VLOOKUP(Calculations[[#This Row],[TransportSource]],TransportDistance[],2,FALSE)*'Stage assumptions'!$C$11)+VLOOKUP(Calculations[[#This Row],[TransportSource]],TransportDistance[],3,FALSE)*'Stage assumptions'!$C$12)*Calculations[[#This Row],[Total Kg]],0)</f>
        <v>0</v>
      </c>
      <c r="K133">
        <f>IFERROR(VLOOKUP(Calculations[[#This Row],[Material (choose from dropdown]], MaterialData[#All],3, FALSE),0)</f>
        <v>0</v>
      </c>
      <c r="L133" s="322">
        <f>IFERROR(VLOOKUP(Calculations[[#This Row],[A5type]],A5WastageRate[#All],2,FALSE)*Calculations[[#This Row],[A1-3]],0)</f>
        <v>0</v>
      </c>
      <c r="N133">
        <f>IFERROR(ROUNDUP(50/VLOOKUP(Calculations[[#This Row],[Scope Element]],B4referenceServiceLife[[Tier 2 element]:[Default Service Life]],2, FALSE)-1,0),0)</f>
        <v>0</v>
      </c>
      <c r="O133" s="322">
        <f>IFERROR((Calculations[[#This Row],[A1-3]]+Calculations[[#This Row],[A4]]+Calculations[[#This Row],[A5]]+Calculations[[#This Row],[C2 total]]+Calculations[[#This Row],[C3 total]]+Calculations[[#This Row],[C4 total]])*Calculations[[#This Row],[Replacements]],0)</f>
        <v>0</v>
      </c>
      <c r="S133" t="str">
        <f>IFERROR(VLOOKUP(Calculations[[#This Row],[Material (choose from dropdown]],MaterialData[#All],4,FALSE),"")</f>
        <v/>
      </c>
      <c r="T133" s="322" cm="1">
        <f t="array" ref="T133">IFERROR(VLOOKUP(Calculations[[#This Row],[Waste 1]],WasteScenario[#All],2,FALSE)*'Stage assumptions'!$C$225*WasteTransportMethod[Emissions Factor
kgCO2e/kg.km]*Calculations[[#This Row],[Total Kg]],0)</f>
        <v>0</v>
      </c>
      <c r="U133" s="322" cm="1">
        <f t="array" ref="U133">IFERROR(VLOOKUP(Calculations[[#This Row],[Waste 1]],WasteScenario[#All],3,FALSE)*'Stage assumptions'!$C$224*WasteTransportMethod[Emissions Factor
kgCO2e/kg.km]*Calculations[[#This Row],[Total Kg]],0)</f>
        <v>0</v>
      </c>
      <c r="V133" s="322" cm="1">
        <f t="array" ref="V133">IFERROR(VLOOKUP(Calculations[[#This Row],[Waste 1]],WasteScenario[#All],4,FALSE)*'Stage assumptions'!$C$223*WasteTransportMethod[Emissions Factor
kgCO2e/kg.km]*Calculations[[#This Row],[Total Kg]],0)</f>
        <v>0</v>
      </c>
      <c r="W133" s="322" cm="1">
        <f t="array" ref="W133">IFERROR(VLOOKUP(Calculations[[#This Row],[Waste 1]],WasteScenario[#All],5,FALSE)*'Stage assumptions'!$C$226*WasteTransportMethod[Emissions Factor
kgCO2e/kg.km]*Calculations[[#This Row],[Total Kg]],0)</f>
        <v>0</v>
      </c>
      <c r="X133" s="322">
        <f>SUM(Calculations[[#This Row],[C2 Recycle]:[C2 Reuse]])</f>
        <v>0</v>
      </c>
      <c r="Y133" t="str">
        <f>IFERROR(VLOOKUP(Calculations[[#This Row],[Material (choose from dropdown]],MaterialData[#All],5,FALSE),"")</f>
        <v/>
      </c>
      <c r="Z133" s="322">
        <f>IFERROR(((VLOOKUP(Calculations[[#This Row],[Waste type 2]],WasteDisposalEmissions[#All],2,FALSE))*Calculations[[#This Row],[Total Kg]])*VLOOKUP(Calculations[[#This Row],[Waste 1]],WasteScenario[#All],2,FALSE),0)</f>
        <v>0</v>
      </c>
      <c r="AA133" s="322">
        <f>IFERROR((VLOOKUP(Calculations[[#This Row],[Waste type 2]],WasteDisposalEmissions[#All],3,FALSE))*Calculations[[#This Row],[Total Kg]]*VLOOKUP(Calculations[[#This Row],[Waste 1]],WasteScenario[#All],3,FALSE),0)</f>
        <v>0</v>
      </c>
      <c r="AB133" s="322">
        <f>SUM(Calculations[[#This Row],[C3 recyc]:[C3 incin]])</f>
        <v>0</v>
      </c>
      <c r="AC133" s="322">
        <f>IFERROR((VLOOKUP(Calculations[[#This Row],[Waste type 2]],WasteLandfillEmissions[#All],2,FALSE))*Calculations[[#This Row],[Total Kg]]*VLOOKUP(Calculations[[#This Row],[Waste 1]],WasteScenario[#All],4,FALSE),0)</f>
        <v>0</v>
      </c>
      <c r="AD133" s="322">
        <f>IFERROR((VLOOKUP(Calculations[[#This Row],[Waste type 2]],WasteLandfillEmissions[#All],3,FALSE))*Calculations[[#This Row],[Total Kg]]*VLOOKUP(Calculations[[#This Row],[Waste 1]],WasteScenario[#All],4,FALSE),0)</f>
        <v>0</v>
      </c>
      <c r="AE133" s="322">
        <f>SUM(Calculations[[#This Row],[C4 landfill]:[C4 re-use]])</f>
        <v>0</v>
      </c>
      <c r="AF133" s="322">
        <f>IFERROR(VLOOKUP(Calculations[[#This Row],[Material (choose from dropdown]],MaterialData[#All],8,FALSE),0)</f>
        <v>0</v>
      </c>
      <c r="AG133" s="322">
        <f>IFERROR(Calculations[[#This Row],[Total Kg]]*Calculations[[#This Row],[Seq factor]],0)</f>
        <v>0</v>
      </c>
      <c r="AI133" s="322">
        <f>Calculations[[#This Row],[A1-3]]+Calculations[[#This Row],[A4]]+Calculations[[#This Row],[A5]]+Calculations[[#This Row],[B4]]+Calculations[[#This Row],[C2 total]]+Calculations[[#This Row],[C3 total]]+Calculations[[#This Row],[C4 total]]</f>
        <v>0</v>
      </c>
      <c r="AJ133" s="2">
        <f>IFERROR(VLOOKUP(Calculations[[#This Row],[Material (choose from dropdown]],MaterialData[[#Headers],[#Data]],9,FALSE),0)</f>
        <v>0</v>
      </c>
      <c r="AK133" s="4">
        <f>IFERROR(VLOOKUP(Calculations[[#This Row],[Material (choose from dropdown]],MaterialData[[#Headers],[#Data]],10,FALSE),0)</f>
        <v>0</v>
      </c>
      <c r="AL133" s="322">
        <f>IFERROR(Calculations[[#This Row],[Data Quality Score]]*Calculations[[#This Row],[Total Kg]],0)</f>
        <v>0</v>
      </c>
    </row>
    <row r="134" spans="1:38" x14ac:dyDescent="0.3">
      <c r="A134" s="6">
        <f>IFERROR(MaterialsBoQ[[#This Row],[Scope Element]],0)</f>
        <v>0</v>
      </c>
      <c r="B134">
        <f>IFERROR(MaterialsBoQ[[#This Row],[Material ]],"")</f>
        <v>0</v>
      </c>
      <c r="C134">
        <f>IFERROR(MaterialsBoQ[[#This Row],[Unit]],"")</f>
        <v>0</v>
      </c>
      <c r="D134" s="322">
        <f>IFERROR(MaterialsBoQ[[#This Row],[Number]],0)</f>
        <v>0</v>
      </c>
      <c r="E134" s="322">
        <f>IFERROR(MaterialsBoQ[[#This Row],[Kg per unit]],0)</f>
        <v>0</v>
      </c>
      <c r="F134" s="322">
        <f>IFERROR(Calculations[[#This Row],[Number]]*Calculations[[#This Row],[Conversion factor]],0)</f>
        <v>0</v>
      </c>
      <c r="G134" s="322">
        <f>IFERROR(VLOOKUP(Calculations[[#This Row],[Material (choose from dropdown]],MaterialData[#All],7,FALSE),0)</f>
        <v>0</v>
      </c>
      <c r="H134" s="322">
        <f>Calculations[[#This Row],[Total Kg]]*Calculations[[#This Row],[Carbon Factor]]</f>
        <v>0</v>
      </c>
      <c r="I134" t="str">
        <f>IFERROR(VLOOKUP(Calculations[[#This Row],[Material (choose from dropdown]],MaterialData[#All],2,FALSE),"")</f>
        <v/>
      </c>
      <c r="J134" s="322">
        <f>IFERROR(((VLOOKUP(Calculations[[#This Row],[TransportSource]],TransportDistance[],2,FALSE)*'Stage assumptions'!$C$11)+VLOOKUP(Calculations[[#This Row],[TransportSource]],TransportDistance[],3,FALSE)*'Stage assumptions'!$C$12)*Calculations[[#This Row],[Total Kg]],0)</f>
        <v>0</v>
      </c>
      <c r="K134">
        <f>IFERROR(VLOOKUP(Calculations[[#This Row],[Material (choose from dropdown]], MaterialData[#All],3, FALSE),0)</f>
        <v>0</v>
      </c>
      <c r="L134" s="322">
        <f>IFERROR(VLOOKUP(Calculations[[#This Row],[A5type]],A5WastageRate[#All],2,FALSE)*Calculations[[#This Row],[A1-3]],0)</f>
        <v>0</v>
      </c>
      <c r="N134">
        <f>IFERROR(ROUNDUP(50/VLOOKUP(Calculations[[#This Row],[Scope Element]],B4referenceServiceLife[[Tier 2 element]:[Default Service Life]],2, FALSE)-1,0),0)</f>
        <v>0</v>
      </c>
      <c r="O134" s="322">
        <f>IFERROR((Calculations[[#This Row],[A1-3]]+Calculations[[#This Row],[A4]]+Calculations[[#This Row],[A5]]+Calculations[[#This Row],[C2 total]]+Calculations[[#This Row],[C3 total]]+Calculations[[#This Row],[C4 total]])*Calculations[[#This Row],[Replacements]],0)</f>
        <v>0</v>
      </c>
      <c r="S134" t="str">
        <f>IFERROR(VLOOKUP(Calculations[[#This Row],[Material (choose from dropdown]],MaterialData[#All],4,FALSE),"")</f>
        <v/>
      </c>
      <c r="T134" s="322" cm="1">
        <f t="array" ref="T134">IFERROR(VLOOKUP(Calculations[[#This Row],[Waste 1]],WasteScenario[#All],2,FALSE)*'Stage assumptions'!$C$225*WasteTransportMethod[Emissions Factor
kgCO2e/kg.km]*Calculations[[#This Row],[Total Kg]],0)</f>
        <v>0</v>
      </c>
      <c r="U134" s="322" cm="1">
        <f t="array" ref="U134">IFERROR(VLOOKUP(Calculations[[#This Row],[Waste 1]],WasteScenario[#All],3,FALSE)*'Stage assumptions'!$C$224*WasteTransportMethod[Emissions Factor
kgCO2e/kg.km]*Calculations[[#This Row],[Total Kg]],0)</f>
        <v>0</v>
      </c>
      <c r="V134" s="322" cm="1">
        <f t="array" ref="V134">IFERROR(VLOOKUP(Calculations[[#This Row],[Waste 1]],WasteScenario[#All],4,FALSE)*'Stage assumptions'!$C$223*WasteTransportMethod[Emissions Factor
kgCO2e/kg.km]*Calculations[[#This Row],[Total Kg]],0)</f>
        <v>0</v>
      </c>
      <c r="W134" s="322" cm="1">
        <f t="array" ref="W134">IFERROR(VLOOKUP(Calculations[[#This Row],[Waste 1]],WasteScenario[#All],5,FALSE)*'Stage assumptions'!$C$226*WasteTransportMethod[Emissions Factor
kgCO2e/kg.km]*Calculations[[#This Row],[Total Kg]],0)</f>
        <v>0</v>
      </c>
      <c r="X134" s="322">
        <f>SUM(Calculations[[#This Row],[C2 Recycle]:[C2 Reuse]])</f>
        <v>0</v>
      </c>
      <c r="Y134" t="str">
        <f>IFERROR(VLOOKUP(Calculations[[#This Row],[Material (choose from dropdown]],MaterialData[#All],5,FALSE),"")</f>
        <v/>
      </c>
      <c r="Z134" s="322">
        <f>IFERROR(((VLOOKUP(Calculations[[#This Row],[Waste type 2]],WasteDisposalEmissions[#All],2,FALSE))*Calculations[[#This Row],[Total Kg]])*VLOOKUP(Calculations[[#This Row],[Waste 1]],WasteScenario[#All],2,FALSE),0)</f>
        <v>0</v>
      </c>
      <c r="AA134" s="322">
        <f>IFERROR((VLOOKUP(Calculations[[#This Row],[Waste type 2]],WasteDisposalEmissions[#All],3,FALSE))*Calculations[[#This Row],[Total Kg]]*VLOOKUP(Calculations[[#This Row],[Waste 1]],WasteScenario[#All],3,FALSE),0)</f>
        <v>0</v>
      </c>
      <c r="AB134" s="322">
        <f>SUM(Calculations[[#This Row],[C3 recyc]:[C3 incin]])</f>
        <v>0</v>
      </c>
      <c r="AC134" s="322">
        <f>IFERROR((VLOOKUP(Calculations[[#This Row],[Waste type 2]],WasteLandfillEmissions[#All],2,FALSE))*Calculations[[#This Row],[Total Kg]]*VLOOKUP(Calculations[[#This Row],[Waste 1]],WasteScenario[#All],4,FALSE),0)</f>
        <v>0</v>
      </c>
      <c r="AD134" s="322">
        <f>IFERROR((VLOOKUP(Calculations[[#This Row],[Waste type 2]],WasteLandfillEmissions[#All],3,FALSE))*Calculations[[#This Row],[Total Kg]]*VLOOKUP(Calculations[[#This Row],[Waste 1]],WasteScenario[#All],4,FALSE),0)</f>
        <v>0</v>
      </c>
      <c r="AE134" s="322">
        <f>SUM(Calculations[[#This Row],[C4 landfill]:[C4 re-use]])</f>
        <v>0</v>
      </c>
      <c r="AF134" s="322">
        <f>IFERROR(VLOOKUP(Calculations[[#This Row],[Material (choose from dropdown]],MaterialData[#All],8,FALSE),0)</f>
        <v>0</v>
      </c>
      <c r="AG134" s="322">
        <f>IFERROR(Calculations[[#This Row],[Total Kg]]*Calculations[[#This Row],[Seq factor]],0)</f>
        <v>0</v>
      </c>
      <c r="AI134" s="322">
        <f>Calculations[[#This Row],[A1-3]]+Calculations[[#This Row],[A4]]+Calculations[[#This Row],[A5]]+Calculations[[#This Row],[B4]]+Calculations[[#This Row],[C2 total]]+Calculations[[#This Row],[C3 total]]+Calculations[[#This Row],[C4 total]]</f>
        <v>0</v>
      </c>
      <c r="AJ134" s="2">
        <f>IFERROR(VLOOKUP(Calculations[[#This Row],[Material (choose from dropdown]],MaterialData[[#Headers],[#Data]],9,FALSE),0)</f>
        <v>0</v>
      </c>
      <c r="AK134" s="4">
        <f>IFERROR(VLOOKUP(Calculations[[#This Row],[Material (choose from dropdown]],MaterialData[[#Headers],[#Data]],10,FALSE),0)</f>
        <v>0</v>
      </c>
      <c r="AL134" s="322">
        <f>IFERROR(Calculations[[#This Row],[Data Quality Score]]*Calculations[[#This Row],[Total Kg]],0)</f>
        <v>0</v>
      </c>
    </row>
    <row r="135" spans="1:38" x14ac:dyDescent="0.3">
      <c r="A135" s="6">
        <f>IFERROR(MaterialsBoQ[[#This Row],[Scope Element]],0)</f>
        <v>0</v>
      </c>
      <c r="B135">
        <f>IFERROR(MaterialsBoQ[[#This Row],[Material ]],"")</f>
        <v>0</v>
      </c>
      <c r="C135">
        <f>IFERROR(MaterialsBoQ[[#This Row],[Unit]],"")</f>
        <v>0</v>
      </c>
      <c r="D135" s="322">
        <f>IFERROR(MaterialsBoQ[[#This Row],[Number]],0)</f>
        <v>0</v>
      </c>
      <c r="E135" s="322">
        <f>IFERROR(MaterialsBoQ[[#This Row],[Kg per unit]],0)</f>
        <v>0</v>
      </c>
      <c r="F135" s="322">
        <f>IFERROR(Calculations[[#This Row],[Number]]*Calculations[[#This Row],[Conversion factor]],0)</f>
        <v>0</v>
      </c>
      <c r="G135" s="322">
        <f>IFERROR(VLOOKUP(Calculations[[#This Row],[Material (choose from dropdown]],MaterialData[#All],7,FALSE),0)</f>
        <v>0</v>
      </c>
      <c r="H135" s="322">
        <f>Calculations[[#This Row],[Total Kg]]*Calculations[[#This Row],[Carbon Factor]]</f>
        <v>0</v>
      </c>
      <c r="I135" t="str">
        <f>IFERROR(VLOOKUP(Calculations[[#This Row],[Material (choose from dropdown]],MaterialData[#All],2,FALSE),"")</f>
        <v/>
      </c>
      <c r="J135" s="322">
        <f>IFERROR(((VLOOKUP(Calculations[[#This Row],[TransportSource]],TransportDistance[],2,FALSE)*'Stage assumptions'!$C$11)+VLOOKUP(Calculations[[#This Row],[TransportSource]],TransportDistance[],3,FALSE)*'Stage assumptions'!$C$12)*Calculations[[#This Row],[Total Kg]],0)</f>
        <v>0</v>
      </c>
      <c r="K135">
        <f>IFERROR(VLOOKUP(Calculations[[#This Row],[Material (choose from dropdown]], MaterialData[#All],3, FALSE),0)</f>
        <v>0</v>
      </c>
      <c r="L135" s="322">
        <f>IFERROR(VLOOKUP(Calculations[[#This Row],[A5type]],A5WastageRate[#All],2,FALSE)*Calculations[[#This Row],[A1-3]],0)</f>
        <v>0</v>
      </c>
      <c r="N135">
        <f>IFERROR(ROUNDUP(50/VLOOKUP(Calculations[[#This Row],[Scope Element]],B4referenceServiceLife[[Tier 2 element]:[Default Service Life]],2, FALSE)-1,0),0)</f>
        <v>0</v>
      </c>
      <c r="O135" s="322">
        <f>IFERROR((Calculations[[#This Row],[A1-3]]+Calculations[[#This Row],[A4]]+Calculations[[#This Row],[A5]]+Calculations[[#This Row],[C2 total]]+Calculations[[#This Row],[C3 total]]+Calculations[[#This Row],[C4 total]])*Calculations[[#This Row],[Replacements]],0)</f>
        <v>0</v>
      </c>
      <c r="S135" t="str">
        <f>IFERROR(VLOOKUP(Calculations[[#This Row],[Material (choose from dropdown]],MaterialData[#All],4,FALSE),"")</f>
        <v/>
      </c>
      <c r="T135" s="322" cm="1">
        <f t="array" ref="T135">IFERROR(VLOOKUP(Calculations[[#This Row],[Waste 1]],WasteScenario[#All],2,FALSE)*'Stage assumptions'!$C$225*WasteTransportMethod[Emissions Factor
kgCO2e/kg.km]*Calculations[[#This Row],[Total Kg]],0)</f>
        <v>0</v>
      </c>
      <c r="U135" s="322" cm="1">
        <f t="array" ref="U135">IFERROR(VLOOKUP(Calculations[[#This Row],[Waste 1]],WasteScenario[#All],3,FALSE)*'Stage assumptions'!$C$224*WasteTransportMethod[Emissions Factor
kgCO2e/kg.km]*Calculations[[#This Row],[Total Kg]],0)</f>
        <v>0</v>
      </c>
      <c r="V135" s="322" cm="1">
        <f t="array" ref="V135">IFERROR(VLOOKUP(Calculations[[#This Row],[Waste 1]],WasteScenario[#All],4,FALSE)*'Stage assumptions'!$C$223*WasteTransportMethod[Emissions Factor
kgCO2e/kg.km]*Calculations[[#This Row],[Total Kg]],0)</f>
        <v>0</v>
      </c>
      <c r="W135" s="322" cm="1">
        <f t="array" ref="W135">IFERROR(VLOOKUP(Calculations[[#This Row],[Waste 1]],WasteScenario[#All],5,FALSE)*'Stage assumptions'!$C$226*WasteTransportMethod[Emissions Factor
kgCO2e/kg.km]*Calculations[[#This Row],[Total Kg]],0)</f>
        <v>0</v>
      </c>
      <c r="X135" s="322">
        <f>SUM(Calculations[[#This Row],[C2 Recycle]:[C2 Reuse]])</f>
        <v>0</v>
      </c>
      <c r="Y135" t="str">
        <f>IFERROR(VLOOKUP(Calculations[[#This Row],[Material (choose from dropdown]],MaterialData[#All],5,FALSE),"")</f>
        <v/>
      </c>
      <c r="Z135" s="322">
        <f>IFERROR(((VLOOKUP(Calculations[[#This Row],[Waste type 2]],WasteDisposalEmissions[#All],2,FALSE))*Calculations[[#This Row],[Total Kg]])*VLOOKUP(Calculations[[#This Row],[Waste 1]],WasteScenario[#All],2,FALSE),0)</f>
        <v>0</v>
      </c>
      <c r="AA135" s="322">
        <f>IFERROR((VLOOKUP(Calculations[[#This Row],[Waste type 2]],WasteDisposalEmissions[#All],3,FALSE))*Calculations[[#This Row],[Total Kg]]*VLOOKUP(Calculations[[#This Row],[Waste 1]],WasteScenario[#All],3,FALSE),0)</f>
        <v>0</v>
      </c>
      <c r="AB135" s="322">
        <f>SUM(Calculations[[#This Row],[C3 recyc]:[C3 incin]])</f>
        <v>0</v>
      </c>
      <c r="AC135" s="322">
        <f>IFERROR((VLOOKUP(Calculations[[#This Row],[Waste type 2]],WasteLandfillEmissions[#All],2,FALSE))*Calculations[[#This Row],[Total Kg]]*VLOOKUP(Calculations[[#This Row],[Waste 1]],WasteScenario[#All],4,FALSE),0)</f>
        <v>0</v>
      </c>
      <c r="AD135" s="322">
        <f>IFERROR((VLOOKUP(Calculations[[#This Row],[Waste type 2]],WasteLandfillEmissions[#All],3,FALSE))*Calculations[[#This Row],[Total Kg]]*VLOOKUP(Calculations[[#This Row],[Waste 1]],WasteScenario[#All],4,FALSE),0)</f>
        <v>0</v>
      </c>
      <c r="AE135" s="322">
        <f>SUM(Calculations[[#This Row],[C4 landfill]:[C4 re-use]])</f>
        <v>0</v>
      </c>
      <c r="AF135" s="322">
        <f>IFERROR(VLOOKUP(Calculations[[#This Row],[Material (choose from dropdown]],MaterialData[#All],8,FALSE),0)</f>
        <v>0</v>
      </c>
      <c r="AG135" s="322">
        <f>IFERROR(Calculations[[#This Row],[Total Kg]]*Calculations[[#This Row],[Seq factor]],0)</f>
        <v>0</v>
      </c>
      <c r="AI135" s="322">
        <f>Calculations[[#This Row],[A1-3]]+Calculations[[#This Row],[A4]]+Calculations[[#This Row],[A5]]+Calculations[[#This Row],[B4]]+Calculations[[#This Row],[C2 total]]+Calculations[[#This Row],[C3 total]]+Calculations[[#This Row],[C4 total]]</f>
        <v>0</v>
      </c>
      <c r="AJ135" s="2">
        <f>IFERROR(VLOOKUP(Calculations[[#This Row],[Material (choose from dropdown]],MaterialData[[#Headers],[#Data]],9,FALSE),0)</f>
        <v>0</v>
      </c>
      <c r="AK135" s="4">
        <f>IFERROR(VLOOKUP(Calculations[[#This Row],[Material (choose from dropdown]],MaterialData[[#Headers],[#Data]],10,FALSE),0)</f>
        <v>0</v>
      </c>
      <c r="AL135" s="322">
        <f>IFERROR(Calculations[[#This Row],[Data Quality Score]]*Calculations[[#This Row],[Total Kg]],0)</f>
        <v>0</v>
      </c>
    </row>
    <row r="136" spans="1:38" x14ac:dyDescent="0.3">
      <c r="A136" s="6">
        <f>IFERROR(MaterialsBoQ[[#This Row],[Scope Element]],0)</f>
        <v>0</v>
      </c>
      <c r="B136">
        <f>IFERROR(MaterialsBoQ[[#This Row],[Material ]],"")</f>
        <v>0</v>
      </c>
      <c r="C136">
        <f>IFERROR(MaterialsBoQ[[#This Row],[Unit]],"")</f>
        <v>0</v>
      </c>
      <c r="D136" s="322">
        <f>IFERROR(MaterialsBoQ[[#This Row],[Number]],0)</f>
        <v>0</v>
      </c>
      <c r="E136" s="322">
        <f>IFERROR(MaterialsBoQ[[#This Row],[Kg per unit]],0)</f>
        <v>0</v>
      </c>
      <c r="F136" s="322">
        <f>IFERROR(Calculations[[#This Row],[Number]]*Calculations[[#This Row],[Conversion factor]],0)</f>
        <v>0</v>
      </c>
      <c r="G136" s="322">
        <f>IFERROR(VLOOKUP(Calculations[[#This Row],[Material (choose from dropdown]],MaterialData[#All],7,FALSE),0)</f>
        <v>0</v>
      </c>
      <c r="H136" s="322">
        <f>Calculations[[#This Row],[Total Kg]]*Calculations[[#This Row],[Carbon Factor]]</f>
        <v>0</v>
      </c>
      <c r="I136" t="str">
        <f>IFERROR(VLOOKUP(Calculations[[#This Row],[Material (choose from dropdown]],MaterialData[#All],2,FALSE),"")</f>
        <v/>
      </c>
      <c r="J136" s="322">
        <f>IFERROR(((VLOOKUP(Calculations[[#This Row],[TransportSource]],TransportDistance[],2,FALSE)*'Stage assumptions'!$C$11)+VLOOKUP(Calculations[[#This Row],[TransportSource]],TransportDistance[],3,FALSE)*'Stage assumptions'!$C$12)*Calculations[[#This Row],[Total Kg]],0)</f>
        <v>0</v>
      </c>
      <c r="K136">
        <f>IFERROR(VLOOKUP(Calculations[[#This Row],[Material (choose from dropdown]], MaterialData[#All],3, FALSE),0)</f>
        <v>0</v>
      </c>
      <c r="L136" s="322">
        <f>IFERROR(VLOOKUP(Calculations[[#This Row],[A5type]],A5WastageRate[#All],2,FALSE)*Calculations[[#This Row],[A1-3]],0)</f>
        <v>0</v>
      </c>
      <c r="N136">
        <f>IFERROR(ROUNDUP(50/VLOOKUP(Calculations[[#This Row],[Scope Element]],B4referenceServiceLife[[Tier 2 element]:[Default Service Life]],2, FALSE)-1,0),0)</f>
        <v>0</v>
      </c>
      <c r="O136" s="322">
        <f>IFERROR((Calculations[[#This Row],[A1-3]]+Calculations[[#This Row],[A4]]+Calculations[[#This Row],[A5]]+Calculations[[#This Row],[C2 total]]+Calculations[[#This Row],[C3 total]]+Calculations[[#This Row],[C4 total]])*Calculations[[#This Row],[Replacements]],0)</f>
        <v>0</v>
      </c>
      <c r="S136" t="str">
        <f>IFERROR(VLOOKUP(Calculations[[#This Row],[Material (choose from dropdown]],MaterialData[#All],4,FALSE),"")</f>
        <v/>
      </c>
      <c r="T136" s="322" cm="1">
        <f t="array" ref="T136">IFERROR(VLOOKUP(Calculations[[#This Row],[Waste 1]],WasteScenario[#All],2,FALSE)*'Stage assumptions'!$C$225*WasteTransportMethod[Emissions Factor
kgCO2e/kg.km]*Calculations[[#This Row],[Total Kg]],0)</f>
        <v>0</v>
      </c>
      <c r="U136" s="322" cm="1">
        <f t="array" ref="U136">IFERROR(VLOOKUP(Calculations[[#This Row],[Waste 1]],WasteScenario[#All],3,FALSE)*'Stage assumptions'!$C$224*WasteTransportMethod[Emissions Factor
kgCO2e/kg.km]*Calculations[[#This Row],[Total Kg]],0)</f>
        <v>0</v>
      </c>
      <c r="V136" s="322" cm="1">
        <f t="array" ref="V136">IFERROR(VLOOKUP(Calculations[[#This Row],[Waste 1]],WasteScenario[#All],4,FALSE)*'Stage assumptions'!$C$223*WasteTransportMethod[Emissions Factor
kgCO2e/kg.km]*Calculations[[#This Row],[Total Kg]],0)</f>
        <v>0</v>
      </c>
      <c r="W136" s="322" cm="1">
        <f t="array" ref="W136">IFERROR(VLOOKUP(Calculations[[#This Row],[Waste 1]],WasteScenario[#All],5,FALSE)*'Stage assumptions'!$C$226*WasteTransportMethod[Emissions Factor
kgCO2e/kg.km]*Calculations[[#This Row],[Total Kg]],0)</f>
        <v>0</v>
      </c>
      <c r="X136" s="322">
        <f>SUM(Calculations[[#This Row],[C2 Recycle]:[C2 Reuse]])</f>
        <v>0</v>
      </c>
      <c r="Y136" t="str">
        <f>IFERROR(VLOOKUP(Calculations[[#This Row],[Material (choose from dropdown]],MaterialData[#All],5,FALSE),"")</f>
        <v/>
      </c>
      <c r="Z136" s="322">
        <f>IFERROR(((VLOOKUP(Calculations[[#This Row],[Waste type 2]],WasteDisposalEmissions[#All],2,FALSE))*Calculations[[#This Row],[Total Kg]])*VLOOKUP(Calculations[[#This Row],[Waste 1]],WasteScenario[#All],2,FALSE),0)</f>
        <v>0</v>
      </c>
      <c r="AA136" s="322">
        <f>IFERROR((VLOOKUP(Calculations[[#This Row],[Waste type 2]],WasteDisposalEmissions[#All],3,FALSE))*Calculations[[#This Row],[Total Kg]]*VLOOKUP(Calculations[[#This Row],[Waste 1]],WasteScenario[#All],3,FALSE),0)</f>
        <v>0</v>
      </c>
      <c r="AB136" s="322">
        <f>SUM(Calculations[[#This Row],[C3 recyc]:[C3 incin]])</f>
        <v>0</v>
      </c>
      <c r="AC136" s="322">
        <f>IFERROR((VLOOKUP(Calculations[[#This Row],[Waste type 2]],WasteLandfillEmissions[#All],2,FALSE))*Calculations[[#This Row],[Total Kg]]*VLOOKUP(Calculations[[#This Row],[Waste 1]],WasteScenario[#All],4,FALSE),0)</f>
        <v>0</v>
      </c>
      <c r="AD136" s="322">
        <f>IFERROR((VLOOKUP(Calculations[[#This Row],[Waste type 2]],WasteLandfillEmissions[#All],3,FALSE))*Calculations[[#This Row],[Total Kg]]*VLOOKUP(Calculations[[#This Row],[Waste 1]],WasteScenario[#All],4,FALSE),0)</f>
        <v>0</v>
      </c>
      <c r="AE136" s="322">
        <f>SUM(Calculations[[#This Row],[C4 landfill]:[C4 re-use]])</f>
        <v>0</v>
      </c>
      <c r="AF136" s="322">
        <f>IFERROR(VLOOKUP(Calculations[[#This Row],[Material (choose from dropdown]],MaterialData[#All],8,FALSE),0)</f>
        <v>0</v>
      </c>
      <c r="AG136" s="322">
        <f>IFERROR(Calculations[[#This Row],[Total Kg]]*Calculations[[#This Row],[Seq factor]],0)</f>
        <v>0</v>
      </c>
      <c r="AI136" s="322">
        <f>Calculations[[#This Row],[A1-3]]+Calculations[[#This Row],[A4]]+Calculations[[#This Row],[A5]]+Calculations[[#This Row],[B4]]+Calculations[[#This Row],[C2 total]]+Calculations[[#This Row],[C3 total]]+Calculations[[#This Row],[C4 total]]</f>
        <v>0</v>
      </c>
      <c r="AJ136" s="2">
        <f>IFERROR(VLOOKUP(Calculations[[#This Row],[Material (choose from dropdown]],MaterialData[[#Headers],[#Data]],9,FALSE),0)</f>
        <v>0</v>
      </c>
      <c r="AK136" s="4">
        <f>IFERROR(VLOOKUP(Calculations[[#This Row],[Material (choose from dropdown]],MaterialData[[#Headers],[#Data]],10,FALSE),0)</f>
        <v>0</v>
      </c>
      <c r="AL136" s="322">
        <f>IFERROR(Calculations[[#This Row],[Data Quality Score]]*Calculations[[#This Row],[Total Kg]],0)</f>
        <v>0</v>
      </c>
    </row>
    <row r="137" spans="1:38" x14ac:dyDescent="0.3">
      <c r="A137" s="6">
        <f>IFERROR(MaterialsBoQ[[#This Row],[Scope Element]],0)</f>
        <v>0</v>
      </c>
      <c r="B137">
        <f>IFERROR(MaterialsBoQ[[#This Row],[Material ]],"")</f>
        <v>0</v>
      </c>
      <c r="C137">
        <f>IFERROR(MaterialsBoQ[[#This Row],[Unit]],"")</f>
        <v>0</v>
      </c>
      <c r="D137" s="322">
        <f>IFERROR(MaterialsBoQ[[#This Row],[Number]],0)</f>
        <v>0</v>
      </c>
      <c r="E137" s="322">
        <f>IFERROR(MaterialsBoQ[[#This Row],[Kg per unit]],0)</f>
        <v>0</v>
      </c>
      <c r="F137" s="322">
        <f>IFERROR(Calculations[[#This Row],[Number]]*Calculations[[#This Row],[Conversion factor]],0)</f>
        <v>0</v>
      </c>
      <c r="G137" s="322">
        <f>IFERROR(VLOOKUP(Calculations[[#This Row],[Material (choose from dropdown]],MaterialData[#All],7,FALSE),0)</f>
        <v>0</v>
      </c>
      <c r="H137" s="322">
        <f>Calculations[[#This Row],[Total Kg]]*Calculations[[#This Row],[Carbon Factor]]</f>
        <v>0</v>
      </c>
      <c r="I137" t="str">
        <f>IFERROR(VLOOKUP(Calculations[[#This Row],[Material (choose from dropdown]],MaterialData[#All],2,FALSE),"")</f>
        <v/>
      </c>
      <c r="J137" s="322">
        <f>IFERROR(((VLOOKUP(Calculations[[#This Row],[TransportSource]],TransportDistance[],2,FALSE)*'Stage assumptions'!$C$11)+VLOOKUP(Calculations[[#This Row],[TransportSource]],TransportDistance[],3,FALSE)*'Stage assumptions'!$C$12)*Calculations[[#This Row],[Total Kg]],0)</f>
        <v>0</v>
      </c>
      <c r="K137">
        <f>IFERROR(VLOOKUP(Calculations[[#This Row],[Material (choose from dropdown]], MaterialData[#All],3, FALSE),0)</f>
        <v>0</v>
      </c>
      <c r="L137" s="322">
        <f>IFERROR(VLOOKUP(Calculations[[#This Row],[A5type]],A5WastageRate[#All],2,FALSE)*Calculations[[#This Row],[A1-3]],0)</f>
        <v>0</v>
      </c>
      <c r="N137">
        <f>IFERROR(ROUNDUP(50/VLOOKUP(Calculations[[#This Row],[Scope Element]],B4referenceServiceLife[[Tier 2 element]:[Default Service Life]],2, FALSE)-1,0),0)</f>
        <v>0</v>
      </c>
      <c r="O137" s="322">
        <f>IFERROR((Calculations[[#This Row],[A1-3]]+Calculations[[#This Row],[A4]]+Calculations[[#This Row],[A5]]+Calculations[[#This Row],[C2 total]]+Calculations[[#This Row],[C3 total]]+Calculations[[#This Row],[C4 total]])*Calculations[[#This Row],[Replacements]],0)</f>
        <v>0</v>
      </c>
      <c r="S137" t="str">
        <f>IFERROR(VLOOKUP(Calculations[[#This Row],[Material (choose from dropdown]],MaterialData[#All],4,FALSE),"")</f>
        <v/>
      </c>
      <c r="T137" s="322" cm="1">
        <f t="array" ref="T137">IFERROR(VLOOKUP(Calculations[[#This Row],[Waste 1]],WasteScenario[#All],2,FALSE)*'Stage assumptions'!$C$225*WasteTransportMethod[Emissions Factor
kgCO2e/kg.km]*Calculations[[#This Row],[Total Kg]],0)</f>
        <v>0</v>
      </c>
      <c r="U137" s="322" cm="1">
        <f t="array" ref="U137">IFERROR(VLOOKUP(Calculations[[#This Row],[Waste 1]],WasteScenario[#All],3,FALSE)*'Stage assumptions'!$C$224*WasteTransportMethod[Emissions Factor
kgCO2e/kg.km]*Calculations[[#This Row],[Total Kg]],0)</f>
        <v>0</v>
      </c>
      <c r="V137" s="322" cm="1">
        <f t="array" ref="V137">IFERROR(VLOOKUP(Calculations[[#This Row],[Waste 1]],WasteScenario[#All],4,FALSE)*'Stage assumptions'!$C$223*WasteTransportMethod[Emissions Factor
kgCO2e/kg.km]*Calculations[[#This Row],[Total Kg]],0)</f>
        <v>0</v>
      </c>
      <c r="W137" s="322" cm="1">
        <f t="array" ref="W137">IFERROR(VLOOKUP(Calculations[[#This Row],[Waste 1]],WasteScenario[#All],5,FALSE)*'Stage assumptions'!$C$226*WasteTransportMethod[Emissions Factor
kgCO2e/kg.km]*Calculations[[#This Row],[Total Kg]],0)</f>
        <v>0</v>
      </c>
      <c r="X137" s="322">
        <f>SUM(Calculations[[#This Row],[C2 Recycle]:[C2 Reuse]])</f>
        <v>0</v>
      </c>
      <c r="Y137" t="str">
        <f>IFERROR(VLOOKUP(Calculations[[#This Row],[Material (choose from dropdown]],MaterialData[#All],5,FALSE),"")</f>
        <v/>
      </c>
      <c r="Z137" s="322">
        <f>IFERROR(((VLOOKUP(Calculations[[#This Row],[Waste type 2]],WasteDisposalEmissions[#All],2,FALSE))*Calculations[[#This Row],[Total Kg]])*VLOOKUP(Calculations[[#This Row],[Waste 1]],WasteScenario[#All],2,FALSE),0)</f>
        <v>0</v>
      </c>
      <c r="AA137" s="322">
        <f>IFERROR((VLOOKUP(Calculations[[#This Row],[Waste type 2]],WasteDisposalEmissions[#All],3,FALSE))*Calculations[[#This Row],[Total Kg]]*VLOOKUP(Calculations[[#This Row],[Waste 1]],WasteScenario[#All],3,FALSE),0)</f>
        <v>0</v>
      </c>
      <c r="AB137" s="322">
        <f>SUM(Calculations[[#This Row],[C3 recyc]:[C3 incin]])</f>
        <v>0</v>
      </c>
      <c r="AC137" s="322">
        <f>IFERROR((VLOOKUP(Calculations[[#This Row],[Waste type 2]],WasteLandfillEmissions[#All],2,FALSE))*Calculations[[#This Row],[Total Kg]]*VLOOKUP(Calculations[[#This Row],[Waste 1]],WasteScenario[#All],4,FALSE),0)</f>
        <v>0</v>
      </c>
      <c r="AD137" s="322">
        <f>IFERROR((VLOOKUP(Calculations[[#This Row],[Waste type 2]],WasteLandfillEmissions[#All],3,FALSE))*Calculations[[#This Row],[Total Kg]]*VLOOKUP(Calculations[[#This Row],[Waste 1]],WasteScenario[#All],4,FALSE),0)</f>
        <v>0</v>
      </c>
      <c r="AE137" s="322">
        <f>SUM(Calculations[[#This Row],[C4 landfill]:[C4 re-use]])</f>
        <v>0</v>
      </c>
      <c r="AF137" s="322">
        <f>IFERROR(VLOOKUP(Calculations[[#This Row],[Material (choose from dropdown]],MaterialData[#All],8,FALSE),0)</f>
        <v>0</v>
      </c>
      <c r="AG137" s="322">
        <f>IFERROR(Calculations[[#This Row],[Total Kg]]*Calculations[[#This Row],[Seq factor]],0)</f>
        <v>0</v>
      </c>
      <c r="AI137" s="322">
        <f>Calculations[[#This Row],[A1-3]]+Calculations[[#This Row],[A4]]+Calculations[[#This Row],[A5]]+Calculations[[#This Row],[B4]]+Calculations[[#This Row],[C2 total]]+Calculations[[#This Row],[C3 total]]+Calculations[[#This Row],[C4 total]]</f>
        <v>0</v>
      </c>
      <c r="AJ137" s="2">
        <f>IFERROR(VLOOKUP(Calculations[[#This Row],[Material (choose from dropdown]],MaterialData[[#Headers],[#Data]],9,FALSE),0)</f>
        <v>0</v>
      </c>
      <c r="AK137" s="4">
        <f>IFERROR(VLOOKUP(Calculations[[#This Row],[Material (choose from dropdown]],MaterialData[[#Headers],[#Data]],10,FALSE),0)</f>
        <v>0</v>
      </c>
      <c r="AL137" s="322">
        <f>IFERROR(Calculations[[#This Row],[Data Quality Score]]*Calculations[[#This Row],[Total Kg]],0)</f>
        <v>0</v>
      </c>
    </row>
    <row r="138" spans="1:38" x14ac:dyDescent="0.3">
      <c r="A138" s="6">
        <f>IFERROR(MaterialsBoQ[[#This Row],[Scope Element]],0)</f>
        <v>0</v>
      </c>
      <c r="B138">
        <f>IFERROR(MaterialsBoQ[[#This Row],[Material ]],"")</f>
        <v>0</v>
      </c>
      <c r="C138">
        <f>IFERROR(MaterialsBoQ[[#This Row],[Unit]],"")</f>
        <v>0</v>
      </c>
      <c r="D138" s="322">
        <f>IFERROR(MaterialsBoQ[[#This Row],[Number]],0)</f>
        <v>0</v>
      </c>
      <c r="E138" s="322">
        <f>IFERROR(MaterialsBoQ[[#This Row],[Kg per unit]],0)</f>
        <v>0</v>
      </c>
      <c r="F138" s="322">
        <f>IFERROR(Calculations[[#This Row],[Number]]*Calculations[[#This Row],[Conversion factor]],0)</f>
        <v>0</v>
      </c>
      <c r="G138" s="322">
        <f>IFERROR(VLOOKUP(Calculations[[#This Row],[Material (choose from dropdown]],MaterialData[#All],7,FALSE),0)</f>
        <v>0</v>
      </c>
      <c r="H138" s="322">
        <f>Calculations[[#This Row],[Total Kg]]*Calculations[[#This Row],[Carbon Factor]]</f>
        <v>0</v>
      </c>
      <c r="I138" t="str">
        <f>IFERROR(VLOOKUP(Calculations[[#This Row],[Material (choose from dropdown]],MaterialData[#All],2,FALSE),"")</f>
        <v/>
      </c>
      <c r="J138" s="322">
        <f>IFERROR(((VLOOKUP(Calculations[[#This Row],[TransportSource]],TransportDistance[],2,FALSE)*'Stage assumptions'!$C$11)+VLOOKUP(Calculations[[#This Row],[TransportSource]],TransportDistance[],3,FALSE)*'Stage assumptions'!$C$12)*Calculations[[#This Row],[Total Kg]],0)</f>
        <v>0</v>
      </c>
      <c r="K138">
        <f>IFERROR(VLOOKUP(Calculations[[#This Row],[Material (choose from dropdown]], MaterialData[#All],3, FALSE),0)</f>
        <v>0</v>
      </c>
      <c r="L138" s="322">
        <f>IFERROR(VLOOKUP(Calculations[[#This Row],[A5type]],A5WastageRate[#All],2,FALSE)*Calculations[[#This Row],[A1-3]],0)</f>
        <v>0</v>
      </c>
      <c r="N138">
        <f>IFERROR(ROUNDUP(50/VLOOKUP(Calculations[[#This Row],[Scope Element]],B4referenceServiceLife[[Tier 2 element]:[Default Service Life]],2, FALSE)-1,0),0)</f>
        <v>0</v>
      </c>
      <c r="O138" s="322">
        <f>IFERROR((Calculations[[#This Row],[A1-3]]+Calculations[[#This Row],[A4]]+Calculations[[#This Row],[A5]]+Calculations[[#This Row],[C2 total]]+Calculations[[#This Row],[C3 total]]+Calculations[[#This Row],[C4 total]])*Calculations[[#This Row],[Replacements]],0)</f>
        <v>0</v>
      </c>
      <c r="S138" t="str">
        <f>IFERROR(VLOOKUP(Calculations[[#This Row],[Material (choose from dropdown]],MaterialData[#All],4,FALSE),"")</f>
        <v/>
      </c>
      <c r="T138" s="322" cm="1">
        <f t="array" ref="T138">IFERROR(VLOOKUP(Calculations[[#This Row],[Waste 1]],WasteScenario[#All],2,FALSE)*'Stage assumptions'!$C$225*WasteTransportMethod[Emissions Factor
kgCO2e/kg.km]*Calculations[[#This Row],[Total Kg]],0)</f>
        <v>0</v>
      </c>
      <c r="U138" s="322" cm="1">
        <f t="array" ref="U138">IFERROR(VLOOKUP(Calculations[[#This Row],[Waste 1]],WasteScenario[#All],3,FALSE)*'Stage assumptions'!$C$224*WasteTransportMethod[Emissions Factor
kgCO2e/kg.km]*Calculations[[#This Row],[Total Kg]],0)</f>
        <v>0</v>
      </c>
      <c r="V138" s="322" cm="1">
        <f t="array" ref="V138">IFERROR(VLOOKUP(Calculations[[#This Row],[Waste 1]],WasteScenario[#All],4,FALSE)*'Stage assumptions'!$C$223*WasteTransportMethod[Emissions Factor
kgCO2e/kg.km]*Calculations[[#This Row],[Total Kg]],0)</f>
        <v>0</v>
      </c>
      <c r="W138" s="322" cm="1">
        <f t="array" ref="W138">IFERROR(VLOOKUP(Calculations[[#This Row],[Waste 1]],WasteScenario[#All],5,FALSE)*'Stage assumptions'!$C$226*WasteTransportMethod[Emissions Factor
kgCO2e/kg.km]*Calculations[[#This Row],[Total Kg]],0)</f>
        <v>0</v>
      </c>
      <c r="X138" s="322">
        <f>SUM(Calculations[[#This Row],[C2 Recycle]:[C2 Reuse]])</f>
        <v>0</v>
      </c>
      <c r="Y138" t="str">
        <f>IFERROR(VLOOKUP(Calculations[[#This Row],[Material (choose from dropdown]],MaterialData[#All],5,FALSE),"")</f>
        <v/>
      </c>
      <c r="Z138" s="322">
        <f>IFERROR(((VLOOKUP(Calculations[[#This Row],[Waste type 2]],WasteDisposalEmissions[#All],2,FALSE))*Calculations[[#This Row],[Total Kg]])*VLOOKUP(Calculations[[#This Row],[Waste 1]],WasteScenario[#All],2,FALSE),0)</f>
        <v>0</v>
      </c>
      <c r="AA138" s="322">
        <f>IFERROR((VLOOKUP(Calculations[[#This Row],[Waste type 2]],WasteDisposalEmissions[#All],3,FALSE))*Calculations[[#This Row],[Total Kg]]*VLOOKUP(Calculations[[#This Row],[Waste 1]],WasteScenario[#All],3,FALSE),0)</f>
        <v>0</v>
      </c>
      <c r="AB138" s="322">
        <f>SUM(Calculations[[#This Row],[C3 recyc]:[C3 incin]])</f>
        <v>0</v>
      </c>
      <c r="AC138" s="322">
        <f>IFERROR((VLOOKUP(Calculations[[#This Row],[Waste type 2]],WasteLandfillEmissions[#All],2,FALSE))*Calculations[[#This Row],[Total Kg]]*VLOOKUP(Calculations[[#This Row],[Waste 1]],WasteScenario[#All],4,FALSE),0)</f>
        <v>0</v>
      </c>
      <c r="AD138" s="322">
        <f>IFERROR((VLOOKUP(Calculations[[#This Row],[Waste type 2]],WasteLandfillEmissions[#All],3,FALSE))*Calculations[[#This Row],[Total Kg]]*VLOOKUP(Calculations[[#This Row],[Waste 1]],WasteScenario[#All],4,FALSE),0)</f>
        <v>0</v>
      </c>
      <c r="AE138" s="322">
        <f>SUM(Calculations[[#This Row],[C4 landfill]:[C4 re-use]])</f>
        <v>0</v>
      </c>
      <c r="AF138" s="322">
        <f>IFERROR(VLOOKUP(Calculations[[#This Row],[Material (choose from dropdown]],MaterialData[#All],8,FALSE),0)</f>
        <v>0</v>
      </c>
      <c r="AG138" s="322">
        <f>IFERROR(Calculations[[#This Row],[Total Kg]]*Calculations[[#This Row],[Seq factor]],0)</f>
        <v>0</v>
      </c>
      <c r="AI138" s="322">
        <f>Calculations[[#This Row],[A1-3]]+Calculations[[#This Row],[A4]]+Calculations[[#This Row],[A5]]+Calculations[[#This Row],[B4]]+Calculations[[#This Row],[C2 total]]+Calculations[[#This Row],[C3 total]]+Calculations[[#This Row],[C4 total]]</f>
        <v>0</v>
      </c>
      <c r="AJ138" s="2">
        <f>IFERROR(VLOOKUP(Calculations[[#This Row],[Material (choose from dropdown]],MaterialData[[#Headers],[#Data]],9,FALSE),0)</f>
        <v>0</v>
      </c>
      <c r="AK138" s="4">
        <f>IFERROR(VLOOKUP(Calculations[[#This Row],[Material (choose from dropdown]],MaterialData[[#Headers],[#Data]],10,FALSE),0)</f>
        <v>0</v>
      </c>
      <c r="AL138" s="322">
        <f>IFERROR(Calculations[[#This Row],[Data Quality Score]]*Calculations[[#This Row],[Total Kg]],0)</f>
        <v>0</v>
      </c>
    </row>
    <row r="139" spans="1:38" x14ac:dyDescent="0.3">
      <c r="A139" s="6">
        <f>IFERROR(MaterialsBoQ[[#This Row],[Scope Element]],0)</f>
        <v>0</v>
      </c>
      <c r="B139">
        <f>IFERROR(MaterialsBoQ[[#This Row],[Material ]],"")</f>
        <v>0</v>
      </c>
      <c r="C139">
        <f>IFERROR(MaterialsBoQ[[#This Row],[Unit]],"")</f>
        <v>0</v>
      </c>
      <c r="D139" s="322">
        <f>IFERROR(MaterialsBoQ[[#This Row],[Number]],0)</f>
        <v>0</v>
      </c>
      <c r="E139" s="322">
        <f>IFERROR(MaterialsBoQ[[#This Row],[Kg per unit]],0)</f>
        <v>0</v>
      </c>
      <c r="F139" s="322">
        <f>IFERROR(Calculations[[#This Row],[Number]]*Calculations[[#This Row],[Conversion factor]],0)</f>
        <v>0</v>
      </c>
      <c r="G139" s="322">
        <f>IFERROR(VLOOKUP(Calculations[[#This Row],[Material (choose from dropdown]],MaterialData[#All],7,FALSE),0)</f>
        <v>0</v>
      </c>
      <c r="H139" s="322">
        <f>Calculations[[#This Row],[Total Kg]]*Calculations[[#This Row],[Carbon Factor]]</f>
        <v>0</v>
      </c>
      <c r="I139" t="str">
        <f>IFERROR(VLOOKUP(Calculations[[#This Row],[Material (choose from dropdown]],MaterialData[#All],2,FALSE),"")</f>
        <v/>
      </c>
      <c r="J139" s="322">
        <f>IFERROR(((VLOOKUP(Calculations[[#This Row],[TransportSource]],TransportDistance[],2,FALSE)*'Stage assumptions'!$C$11)+VLOOKUP(Calculations[[#This Row],[TransportSource]],TransportDistance[],3,FALSE)*'Stage assumptions'!$C$12)*Calculations[[#This Row],[Total Kg]],0)</f>
        <v>0</v>
      </c>
      <c r="K139">
        <f>IFERROR(VLOOKUP(Calculations[[#This Row],[Material (choose from dropdown]], MaterialData[#All],3, FALSE),0)</f>
        <v>0</v>
      </c>
      <c r="L139" s="322">
        <f>IFERROR(VLOOKUP(Calculations[[#This Row],[A5type]],A5WastageRate[#All],2,FALSE)*Calculations[[#This Row],[A1-3]],0)</f>
        <v>0</v>
      </c>
      <c r="N139">
        <f>IFERROR(ROUNDUP(50/VLOOKUP(Calculations[[#This Row],[Scope Element]],B4referenceServiceLife[[Tier 2 element]:[Default Service Life]],2, FALSE)-1,0),0)</f>
        <v>0</v>
      </c>
      <c r="O139" s="322">
        <f>IFERROR((Calculations[[#This Row],[A1-3]]+Calculations[[#This Row],[A4]]+Calculations[[#This Row],[A5]]+Calculations[[#This Row],[C2 total]]+Calculations[[#This Row],[C3 total]]+Calculations[[#This Row],[C4 total]])*Calculations[[#This Row],[Replacements]],0)</f>
        <v>0</v>
      </c>
      <c r="S139" t="str">
        <f>IFERROR(VLOOKUP(Calculations[[#This Row],[Material (choose from dropdown]],MaterialData[#All],4,FALSE),"")</f>
        <v/>
      </c>
      <c r="T139" s="322" cm="1">
        <f t="array" ref="T139">IFERROR(VLOOKUP(Calculations[[#This Row],[Waste 1]],WasteScenario[#All],2,FALSE)*'Stage assumptions'!$C$225*WasteTransportMethod[Emissions Factor
kgCO2e/kg.km]*Calculations[[#This Row],[Total Kg]],0)</f>
        <v>0</v>
      </c>
      <c r="U139" s="322" cm="1">
        <f t="array" ref="U139">IFERROR(VLOOKUP(Calculations[[#This Row],[Waste 1]],WasteScenario[#All],3,FALSE)*'Stage assumptions'!$C$224*WasteTransportMethod[Emissions Factor
kgCO2e/kg.km]*Calculations[[#This Row],[Total Kg]],0)</f>
        <v>0</v>
      </c>
      <c r="V139" s="322" cm="1">
        <f t="array" ref="V139">IFERROR(VLOOKUP(Calculations[[#This Row],[Waste 1]],WasteScenario[#All],4,FALSE)*'Stage assumptions'!$C$223*WasteTransportMethod[Emissions Factor
kgCO2e/kg.km]*Calculations[[#This Row],[Total Kg]],0)</f>
        <v>0</v>
      </c>
      <c r="W139" s="322" cm="1">
        <f t="array" ref="W139">IFERROR(VLOOKUP(Calculations[[#This Row],[Waste 1]],WasteScenario[#All],5,FALSE)*'Stage assumptions'!$C$226*WasteTransportMethod[Emissions Factor
kgCO2e/kg.km]*Calculations[[#This Row],[Total Kg]],0)</f>
        <v>0</v>
      </c>
      <c r="X139" s="322">
        <f>SUM(Calculations[[#This Row],[C2 Recycle]:[C2 Reuse]])</f>
        <v>0</v>
      </c>
      <c r="Y139" t="str">
        <f>IFERROR(VLOOKUP(Calculations[[#This Row],[Material (choose from dropdown]],MaterialData[#All],5,FALSE),"")</f>
        <v/>
      </c>
      <c r="Z139" s="322">
        <f>IFERROR(((VLOOKUP(Calculations[[#This Row],[Waste type 2]],WasteDisposalEmissions[#All],2,FALSE))*Calculations[[#This Row],[Total Kg]])*VLOOKUP(Calculations[[#This Row],[Waste 1]],WasteScenario[#All],2,FALSE),0)</f>
        <v>0</v>
      </c>
      <c r="AA139" s="322">
        <f>IFERROR((VLOOKUP(Calculations[[#This Row],[Waste type 2]],WasteDisposalEmissions[#All],3,FALSE))*Calculations[[#This Row],[Total Kg]]*VLOOKUP(Calculations[[#This Row],[Waste 1]],WasteScenario[#All],3,FALSE),0)</f>
        <v>0</v>
      </c>
      <c r="AB139" s="322">
        <f>SUM(Calculations[[#This Row],[C3 recyc]:[C3 incin]])</f>
        <v>0</v>
      </c>
      <c r="AC139" s="322">
        <f>IFERROR((VLOOKUP(Calculations[[#This Row],[Waste type 2]],WasteLandfillEmissions[#All],2,FALSE))*Calculations[[#This Row],[Total Kg]]*VLOOKUP(Calculations[[#This Row],[Waste 1]],WasteScenario[#All],4,FALSE),0)</f>
        <v>0</v>
      </c>
      <c r="AD139" s="322">
        <f>IFERROR((VLOOKUP(Calculations[[#This Row],[Waste type 2]],WasteLandfillEmissions[#All],3,FALSE))*Calculations[[#This Row],[Total Kg]]*VLOOKUP(Calculations[[#This Row],[Waste 1]],WasteScenario[#All],4,FALSE),0)</f>
        <v>0</v>
      </c>
      <c r="AE139" s="322">
        <f>SUM(Calculations[[#This Row],[C4 landfill]:[C4 re-use]])</f>
        <v>0</v>
      </c>
      <c r="AF139" s="322">
        <f>IFERROR(VLOOKUP(Calculations[[#This Row],[Material (choose from dropdown]],MaterialData[#All],8,FALSE),0)</f>
        <v>0</v>
      </c>
      <c r="AG139" s="322">
        <f>IFERROR(Calculations[[#This Row],[Total Kg]]*Calculations[[#This Row],[Seq factor]],0)</f>
        <v>0</v>
      </c>
      <c r="AI139" s="322">
        <f>Calculations[[#This Row],[A1-3]]+Calculations[[#This Row],[A4]]+Calculations[[#This Row],[A5]]+Calculations[[#This Row],[B4]]+Calculations[[#This Row],[C2 total]]+Calculations[[#This Row],[C3 total]]+Calculations[[#This Row],[C4 total]]</f>
        <v>0</v>
      </c>
      <c r="AJ139" s="2">
        <f>IFERROR(VLOOKUP(Calculations[[#This Row],[Material (choose from dropdown]],MaterialData[[#Headers],[#Data]],9,FALSE),0)</f>
        <v>0</v>
      </c>
      <c r="AK139" s="4">
        <f>IFERROR(VLOOKUP(Calculations[[#This Row],[Material (choose from dropdown]],MaterialData[[#Headers],[#Data]],10,FALSE),0)</f>
        <v>0</v>
      </c>
      <c r="AL139" s="322">
        <f>IFERROR(Calculations[[#This Row],[Data Quality Score]]*Calculations[[#This Row],[Total Kg]],0)</f>
        <v>0</v>
      </c>
    </row>
    <row r="140" spans="1:38" x14ac:dyDescent="0.3">
      <c r="A140" s="6">
        <f>IFERROR(MaterialsBoQ[[#This Row],[Scope Element]],0)</f>
        <v>0</v>
      </c>
      <c r="B140">
        <f>IFERROR(MaterialsBoQ[[#This Row],[Material ]],"")</f>
        <v>0</v>
      </c>
      <c r="C140">
        <f>IFERROR(MaterialsBoQ[[#This Row],[Unit]],"")</f>
        <v>0</v>
      </c>
      <c r="D140" s="322">
        <f>IFERROR(MaterialsBoQ[[#This Row],[Number]],0)</f>
        <v>0</v>
      </c>
      <c r="E140" s="322">
        <f>IFERROR(MaterialsBoQ[[#This Row],[Kg per unit]],0)</f>
        <v>0</v>
      </c>
      <c r="F140" s="322">
        <f>IFERROR(Calculations[[#This Row],[Number]]*Calculations[[#This Row],[Conversion factor]],0)</f>
        <v>0</v>
      </c>
      <c r="G140" s="322">
        <f>IFERROR(VLOOKUP(Calculations[[#This Row],[Material (choose from dropdown]],MaterialData[#All],7,FALSE),0)</f>
        <v>0</v>
      </c>
      <c r="H140" s="322">
        <f>Calculations[[#This Row],[Total Kg]]*Calculations[[#This Row],[Carbon Factor]]</f>
        <v>0</v>
      </c>
      <c r="I140" t="str">
        <f>IFERROR(VLOOKUP(Calculations[[#This Row],[Material (choose from dropdown]],MaterialData[#All],2,FALSE),"")</f>
        <v/>
      </c>
      <c r="J140" s="322">
        <f>IFERROR(((VLOOKUP(Calculations[[#This Row],[TransportSource]],TransportDistance[],2,FALSE)*'Stage assumptions'!$C$11)+VLOOKUP(Calculations[[#This Row],[TransportSource]],TransportDistance[],3,FALSE)*'Stage assumptions'!$C$12)*Calculations[[#This Row],[Total Kg]],0)</f>
        <v>0</v>
      </c>
      <c r="K140">
        <f>IFERROR(VLOOKUP(Calculations[[#This Row],[Material (choose from dropdown]], MaterialData[#All],3, FALSE),0)</f>
        <v>0</v>
      </c>
      <c r="L140" s="322">
        <f>IFERROR(VLOOKUP(Calculations[[#This Row],[A5type]],A5WastageRate[#All],2,FALSE)*Calculations[[#This Row],[A1-3]],0)</f>
        <v>0</v>
      </c>
      <c r="N140">
        <f>IFERROR(ROUNDUP(50/VLOOKUP(Calculations[[#This Row],[Scope Element]],B4referenceServiceLife[[Tier 2 element]:[Default Service Life]],2, FALSE)-1,0),0)</f>
        <v>0</v>
      </c>
      <c r="O140" s="322">
        <f>IFERROR((Calculations[[#This Row],[A1-3]]+Calculations[[#This Row],[A4]]+Calculations[[#This Row],[A5]]+Calculations[[#This Row],[C2 total]]+Calculations[[#This Row],[C3 total]]+Calculations[[#This Row],[C4 total]])*Calculations[[#This Row],[Replacements]],0)</f>
        <v>0</v>
      </c>
      <c r="S140" t="str">
        <f>IFERROR(VLOOKUP(Calculations[[#This Row],[Material (choose from dropdown]],MaterialData[#All],4,FALSE),"")</f>
        <v/>
      </c>
      <c r="T140" s="322" cm="1">
        <f t="array" ref="T140">IFERROR(VLOOKUP(Calculations[[#This Row],[Waste 1]],WasteScenario[#All],2,FALSE)*'Stage assumptions'!$C$225*WasteTransportMethod[Emissions Factor
kgCO2e/kg.km]*Calculations[[#This Row],[Total Kg]],0)</f>
        <v>0</v>
      </c>
      <c r="U140" s="322" cm="1">
        <f t="array" ref="U140">IFERROR(VLOOKUP(Calculations[[#This Row],[Waste 1]],WasteScenario[#All],3,FALSE)*'Stage assumptions'!$C$224*WasteTransportMethod[Emissions Factor
kgCO2e/kg.km]*Calculations[[#This Row],[Total Kg]],0)</f>
        <v>0</v>
      </c>
      <c r="V140" s="322" cm="1">
        <f t="array" ref="V140">IFERROR(VLOOKUP(Calculations[[#This Row],[Waste 1]],WasteScenario[#All],4,FALSE)*'Stage assumptions'!$C$223*WasteTransportMethod[Emissions Factor
kgCO2e/kg.km]*Calculations[[#This Row],[Total Kg]],0)</f>
        <v>0</v>
      </c>
      <c r="W140" s="322" cm="1">
        <f t="array" ref="W140">IFERROR(VLOOKUP(Calculations[[#This Row],[Waste 1]],WasteScenario[#All],5,FALSE)*'Stage assumptions'!$C$226*WasteTransportMethod[Emissions Factor
kgCO2e/kg.km]*Calculations[[#This Row],[Total Kg]],0)</f>
        <v>0</v>
      </c>
      <c r="X140" s="322">
        <f>SUM(Calculations[[#This Row],[C2 Recycle]:[C2 Reuse]])</f>
        <v>0</v>
      </c>
      <c r="Y140" t="str">
        <f>IFERROR(VLOOKUP(Calculations[[#This Row],[Material (choose from dropdown]],MaterialData[#All],5,FALSE),"")</f>
        <v/>
      </c>
      <c r="Z140" s="322">
        <f>IFERROR(((VLOOKUP(Calculations[[#This Row],[Waste type 2]],WasteDisposalEmissions[#All],2,FALSE))*Calculations[[#This Row],[Total Kg]])*VLOOKUP(Calculations[[#This Row],[Waste 1]],WasteScenario[#All],2,FALSE),0)</f>
        <v>0</v>
      </c>
      <c r="AA140" s="322">
        <f>IFERROR((VLOOKUP(Calculations[[#This Row],[Waste type 2]],WasteDisposalEmissions[#All],3,FALSE))*Calculations[[#This Row],[Total Kg]]*VLOOKUP(Calculations[[#This Row],[Waste 1]],WasteScenario[#All],3,FALSE),0)</f>
        <v>0</v>
      </c>
      <c r="AB140" s="322">
        <f>SUM(Calculations[[#This Row],[C3 recyc]:[C3 incin]])</f>
        <v>0</v>
      </c>
      <c r="AC140" s="322">
        <f>IFERROR((VLOOKUP(Calculations[[#This Row],[Waste type 2]],WasteLandfillEmissions[#All],2,FALSE))*Calculations[[#This Row],[Total Kg]]*VLOOKUP(Calculations[[#This Row],[Waste 1]],WasteScenario[#All],4,FALSE),0)</f>
        <v>0</v>
      </c>
      <c r="AD140" s="322">
        <f>IFERROR((VLOOKUP(Calculations[[#This Row],[Waste type 2]],WasteLandfillEmissions[#All],3,FALSE))*Calculations[[#This Row],[Total Kg]]*VLOOKUP(Calculations[[#This Row],[Waste 1]],WasteScenario[#All],4,FALSE),0)</f>
        <v>0</v>
      </c>
      <c r="AE140" s="322">
        <f>SUM(Calculations[[#This Row],[C4 landfill]:[C4 re-use]])</f>
        <v>0</v>
      </c>
      <c r="AF140" s="322">
        <f>IFERROR(VLOOKUP(Calculations[[#This Row],[Material (choose from dropdown]],MaterialData[#All],8,FALSE),0)</f>
        <v>0</v>
      </c>
      <c r="AG140" s="322">
        <f>IFERROR(Calculations[[#This Row],[Total Kg]]*Calculations[[#This Row],[Seq factor]],0)</f>
        <v>0</v>
      </c>
      <c r="AI140" s="322">
        <f>Calculations[[#This Row],[A1-3]]+Calculations[[#This Row],[A4]]+Calculations[[#This Row],[A5]]+Calculations[[#This Row],[B4]]+Calculations[[#This Row],[C2 total]]+Calculations[[#This Row],[C3 total]]+Calculations[[#This Row],[C4 total]]</f>
        <v>0</v>
      </c>
      <c r="AJ140" s="2">
        <f>IFERROR(VLOOKUP(Calculations[[#This Row],[Material (choose from dropdown]],MaterialData[[#Headers],[#Data]],9,FALSE),0)</f>
        <v>0</v>
      </c>
      <c r="AK140" s="4">
        <f>IFERROR(VLOOKUP(Calculations[[#This Row],[Material (choose from dropdown]],MaterialData[[#Headers],[#Data]],10,FALSE),0)</f>
        <v>0</v>
      </c>
      <c r="AL140" s="322">
        <f>IFERROR(Calculations[[#This Row],[Data Quality Score]]*Calculations[[#This Row],[Total Kg]],0)</f>
        <v>0</v>
      </c>
    </row>
    <row r="141" spans="1:38" x14ac:dyDescent="0.3">
      <c r="A141" s="6">
        <f>IFERROR(MaterialsBoQ[[#This Row],[Scope Element]],0)</f>
        <v>0</v>
      </c>
      <c r="B141">
        <f>IFERROR(MaterialsBoQ[[#This Row],[Material ]],"")</f>
        <v>0</v>
      </c>
      <c r="C141">
        <f>IFERROR(MaterialsBoQ[[#This Row],[Unit]],"")</f>
        <v>0</v>
      </c>
      <c r="D141" s="322">
        <f>IFERROR(MaterialsBoQ[[#This Row],[Number]],0)</f>
        <v>0</v>
      </c>
      <c r="E141" s="322">
        <f>IFERROR(MaterialsBoQ[[#This Row],[Kg per unit]],0)</f>
        <v>0</v>
      </c>
      <c r="F141" s="322">
        <f>IFERROR(Calculations[[#This Row],[Number]]*Calculations[[#This Row],[Conversion factor]],0)</f>
        <v>0</v>
      </c>
      <c r="G141" s="322">
        <f>IFERROR(VLOOKUP(Calculations[[#This Row],[Material (choose from dropdown]],MaterialData[#All],7,FALSE),0)</f>
        <v>0</v>
      </c>
      <c r="H141" s="322">
        <f>Calculations[[#This Row],[Total Kg]]*Calculations[[#This Row],[Carbon Factor]]</f>
        <v>0</v>
      </c>
      <c r="I141" t="str">
        <f>IFERROR(VLOOKUP(Calculations[[#This Row],[Material (choose from dropdown]],MaterialData[#All],2,FALSE),"")</f>
        <v/>
      </c>
      <c r="J141" s="322">
        <f>IFERROR(((VLOOKUP(Calculations[[#This Row],[TransportSource]],TransportDistance[],2,FALSE)*'Stage assumptions'!$C$11)+VLOOKUP(Calculations[[#This Row],[TransportSource]],TransportDistance[],3,FALSE)*'Stage assumptions'!$C$12)*Calculations[[#This Row],[Total Kg]],0)</f>
        <v>0</v>
      </c>
      <c r="K141">
        <f>IFERROR(VLOOKUP(Calculations[[#This Row],[Material (choose from dropdown]], MaterialData[#All],3, FALSE),0)</f>
        <v>0</v>
      </c>
      <c r="L141" s="322">
        <f>IFERROR(VLOOKUP(Calculations[[#This Row],[A5type]],A5WastageRate[#All],2,FALSE)*Calculations[[#This Row],[A1-3]],0)</f>
        <v>0</v>
      </c>
      <c r="N141">
        <f>IFERROR(ROUNDUP(50/VLOOKUP(Calculations[[#This Row],[Scope Element]],B4referenceServiceLife[[Tier 2 element]:[Default Service Life]],2, FALSE)-1,0),0)</f>
        <v>0</v>
      </c>
      <c r="O141" s="322">
        <f>IFERROR((Calculations[[#This Row],[A1-3]]+Calculations[[#This Row],[A4]]+Calculations[[#This Row],[A5]]+Calculations[[#This Row],[C2 total]]+Calculations[[#This Row],[C3 total]]+Calculations[[#This Row],[C4 total]])*Calculations[[#This Row],[Replacements]],0)</f>
        <v>0</v>
      </c>
      <c r="S141" t="str">
        <f>IFERROR(VLOOKUP(Calculations[[#This Row],[Material (choose from dropdown]],MaterialData[#All],4,FALSE),"")</f>
        <v/>
      </c>
      <c r="T141" s="322" cm="1">
        <f t="array" ref="T141">IFERROR(VLOOKUP(Calculations[[#This Row],[Waste 1]],WasteScenario[#All],2,FALSE)*'Stage assumptions'!$C$225*WasteTransportMethod[Emissions Factor
kgCO2e/kg.km]*Calculations[[#This Row],[Total Kg]],0)</f>
        <v>0</v>
      </c>
      <c r="U141" s="322" cm="1">
        <f t="array" ref="U141">IFERROR(VLOOKUP(Calculations[[#This Row],[Waste 1]],WasteScenario[#All],3,FALSE)*'Stage assumptions'!$C$224*WasteTransportMethod[Emissions Factor
kgCO2e/kg.km]*Calculations[[#This Row],[Total Kg]],0)</f>
        <v>0</v>
      </c>
      <c r="V141" s="322" cm="1">
        <f t="array" ref="V141">IFERROR(VLOOKUP(Calculations[[#This Row],[Waste 1]],WasteScenario[#All],4,FALSE)*'Stage assumptions'!$C$223*WasteTransportMethod[Emissions Factor
kgCO2e/kg.km]*Calculations[[#This Row],[Total Kg]],0)</f>
        <v>0</v>
      </c>
      <c r="W141" s="322" cm="1">
        <f t="array" ref="W141">IFERROR(VLOOKUP(Calculations[[#This Row],[Waste 1]],WasteScenario[#All],5,FALSE)*'Stage assumptions'!$C$226*WasteTransportMethod[Emissions Factor
kgCO2e/kg.km]*Calculations[[#This Row],[Total Kg]],0)</f>
        <v>0</v>
      </c>
      <c r="X141" s="322">
        <f>SUM(Calculations[[#This Row],[C2 Recycle]:[C2 Reuse]])</f>
        <v>0</v>
      </c>
      <c r="Y141" t="str">
        <f>IFERROR(VLOOKUP(Calculations[[#This Row],[Material (choose from dropdown]],MaterialData[#All],5,FALSE),"")</f>
        <v/>
      </c>
      <c r="Z141" s="322">
        <f>IFERROR(((VLOOKUP(Calculations[[#This Row],[Waste type 2]],WasteDisposalEmissions[#All],2,FALSE))*Calculations[[#This Row],[Total Kg]])*VLOOKUP(Calculations[[#This Row],[Waste 1]],WasteScenario[#All],2,FALSE),0)</f>
        <v>0</v>
      </c>
      <c r="AA141" s="322">
        <f>IFERROR((VLOOKUP(Calculations[[#This Row],[Waste type 2]],WasteDisposalEmissions[#All],3,FALSE))*Calculations[[#This Row],[Total Kg]]*VLOOKUP(Calculations[[#This Row],[Waste 1]],WasteScenario[#All],3,FALSE),0)</f>
        <v>0</v>
      </c>
      <c r="AB141" s="322">
        <f>SUM(Calculations[[#This Row],[C3 recyc]:[C3 incin]])</f>
        <v>0</v>
      </c>
      <c r="AC141" s="322">
        <f>IFERROR((VLOOKUP(Calculations[[#This Row],[Waste type 2]],WasteLandfillEmissions[#All],2,FALSE))*Calculations[[#This Row],[Total Kg]]*VLOOKUP(Calculations[[#This Row],[Waste 1]],WasteScenario[#All],4,FALSE),0)</f>
        <v>0</v>
      </c>
      <c r="AD141" s="322">
        <f>IFERROR((VLOOKUP(Calculations[[#This Row],[Waste type 2]],WasteLandfillEmissions[#All],3,FALSE))*Calculations[[#This Row],[Total Kg]]*VLOOKUP(Calculations[[#This Row],[Waste 1]],WasteScenario[#All],4,FALSE),0)</f>
        <v>0</v>
      </c>
      <c r="AE141" s="322">
        <f>SUM(Calculations[[#This Row],[C4 landfill]:[C4 re-use]])</f>
        <v>0</v>
      </c>
      <c r="AF141" s="322">
        <f>IFERROR(VLOOKUP(Calculations[[#This Row],[Material (choose from dropdown]],MaterialData[#All],8,FALSE),0)</f>
        <v>0</v>
      </c>
      <c r="AG141" s="322">
        <f>IFERROR(Calculations[[#This Row],[Total Kg]]*Calculations[[#This Row],[Seq factor]],0)</f>
        <v>0</v>
      </c>
      <c r="AI141" s="322">
        <f>Calculations[[#This Row],[A1-3]]+Calculations[[#This Row],[A4]]+Calculations[[#This Row],[A5]]+Calculations[[#This Row],[B4]]+Calculations[[#This Row],[C2 total]]+Calculations[[#This Row],[C3 total]]+Calculations[[#This Row],[C4 total]]</f>
        <v>0</v>
      </c>
      <c r="AJ141" s="2">
        <f>IFERROR(VLOOKUP(Calculations[[#This Row],[Material (choose from dropdown]],MaterialData[[#Headers],[#Data]],9,FALSE),0)</f>
        <v>0</v>
      </c>
      <c r="AK141" s="4">
        <f>IFERROR(VLOOKUP(Calculations[[#This Row],[Material (choose from dropdown]],MaterialData[[#Headers],[#Data]],10,FALSE),0)</f>
        <v>0</v>
      </c>
      <c r="AL141" s="322">
        <f>IFERROR(Calculations[[#This Row],[Data Quality Score]]*Calculations[[#This Row],[Total Kg]],0)</f>
        <v>0</v>
      </c>
    </row>
    <row r="142" spans="1:38" x14ac:dyDescent="0.3">
      <c r="A142" s="6">
        <f>IFERROR(MaterialsBoQ[[#This Row],[Scope Element]],0)</f>
        <v>0</v>
      </c>
      <c r="B142">
        <f>IFERROR(MaterialsBoQ[[#This Row],[Material ]],"")</f>
        <v>0</v>
      </c>
      <c r="C142">
        <f>IFERROR(MaterialsBoQ[[#This Row],[Unit]],"")</f>
        <v>0</v>
      </c>
      <c r="D142" s="322">
        <f>IFERROR(MaterialsBoQ[[#This Row],[Number]],0)</f>
        <v>0</v>
      </c>
      <c r="E142" s="322">
        <f>IFERROR(MaterialsBoQ[[#This Row],[Kg per unit]],0)</f>
        <v>0</v>
      </c>
      <c r="F142" s="322">
        <f>IFERROR(Calculations[[#This Row],[Number]]*Calculations[[#This Row],[Conversion factor]],0)</f>
        <v>0</v>
      </c>
      <c r="G142" s="322">
        <f>IFERROR(VLOOKUP(Calculations[[#This Row],[Material (choose from dropdown]],MaterialData[#All],7,FALSE),0)</f>
        <v>0</v>
      </c>
      <c r="H142" s="322">
        <f>Calculations[[#This Row],[Total Kg]]*Calculations[[#This Row],[Carbon Factor]]</f>
        <v>0</v>
      </c>
      <c r="I142" t="str">
        <f>IFERROR(VLOOKUP(Calculations[[#This Row],[Material (choose from dropdown]],MaterialData[#All],2,FALSE),"")</f>
        <v/>
      </c>
      <c r="J142" s="322">
        <f>IFERROR(((VLOOKUP(Calculations[[#This Row],[TransportSource]],TransportDistance[],2,FALSE)*'Stage assumptions'!$C$11)+VLOOKUP(Calculations[[#This Row],[TransportSource]],TransportDistance[],3,FALSE)*'Stage assumptions'!$C$12)*Calculations[[#This Row],[Total Kg]],0)</f>
        <v>0</v>
      </c>
      <c r="K142">
        <f>IFERROR(VLOOKUP(Calculations[[#This Row],[Material (choose from dropdown]], MaterialData[#All],3, FALSE),0)</f>
        <v>0</v>
      </c>
      <c r="L142" s="322">
        <f>IFERROR(VLOOKUP(Calculations[[#This Row],[A5type]],A5WastageRate[#All],2,FALSE)*Calculations[[#This Row],[A1-3]],0)</f>
        <v>0</v>
      </c>
      <c r="N142">
        <f>IFERROR(ROUNDUP(50/VLOOKUP(Calculations[[#This Row],[Scope Element]],B4referenceServiceLife[[Tier 2 element]:[Default Service Life]],2, FALSE)-1,0),0)</f>
        <v>0</v>
      </c>
      <c r="O142" s="322">
        <f>IFERROR((Calculations[[#This Row],[A1-3]]+Calculations[[#This Row],[A4]]+Calculations[[#This Row],[A5]]+Calculations[[#This Row],[C2 total]]+Calculations[[#This Row],[C3 total]]+Calculations[[#This Row],[C4 total]])*Calculations[[#This Row],[Replacements]],0)</f>
        <v>0</v>
      </c>
      <c r="S142" t="str">
        <f>IFERROR(VLOOKUP(Calculations[[#This Row],[Material (choose from dropdown]],MaterialData[#All],4,FALSE),"")</f>
        <v/>
      </c>
      <c r="T142" s="322" cm="1">
        <f t="array" ref="T142">IFERROR(VLOOKUP(Calculations[[#This Row],[Waste 1]],WasteScenario[#All],2,FALSE)*'Stage assumptions'!$C$225*WasteTransportMethod[Emissions Factor
kgCO2e/kg.km]*Calculations[[#This Row],[Total Kg]],0)</f>
        <v>0</v>
      </c>
      <c r="U142" s="322" cm="1">
        <f t="array" ref="U142">IFERROR(VLOOKUP(Calculations[[#This Row],[Waste 1]],WasteScenario[#All],3,FALSE)*'Stage assumptions'!$C$224*WasteTransportMethod[Emissions Factor
kgCO2e/kg.km]*Calculations[[#This Row],[Total Kg]],0)</f>
        <v>0</v>
      </c>
      <c r="V142" s="322" cm="1">
        <f t="array" ref="V142">IFERROR(VLOOKUP(Calculations[[#This Row],[Waste 1]],WasteScenario[#All],4,FALSE)*'Stage assumptions'!$C$223*WasteTransportMethod[Emissions Factor
kgCO2e/kg.km]*Calculations[[#This Row],[Total Kg]],0)</f>
        <v>0</v>
      </c>
      <c r="W142" s="322" cm="1">
        <f t="array" ref="W142">IFERROR(VLOOKUP(Calculations[[#This Row],[Waste 1]],WasteScenario[#All],5,FALSE)*'Stage assumptions'!$C$226*WasteTransportMethod[Emissions Factor
kgCO2e/kg.km]*Calculations[[#This Row],[Total Kg]],0)</f>
        <v>0</v>
      </c>
      <c r="X142" s="322">
        <f>SUM(Calculations[[#This Row],[C2 Recycle]:[C2 Reuse]])</f>
        <v>0</v>
      </c>
      <c r="Y142" t="str">
        <f>IFERROR(VLOOKUP(Calculations[[#This Row],[Material (choose from dropdown]],MaterialData[#All],5,FALSE),"")</f>
        <v/>
      </c>
      <c r="Z142" s="322">
        <f>IFERROR(((VLOOKUP(Calculations[[#This Row],[Waste type 2]],WasteDisposalEmissions[#All],2,FALSE))*Calculations[[#This Row],[Total Kg]])*VLOOKUP(Calculations[[#This Row],[Waste 1]],WasteScenario[#All],2,FALSE),0)</f>
        <v>0</v>
      </c>
      <c r="AA142" s="322">
        <f>IFERROR((VLOOKUP(Calculations[[#This Row],[Waste type 2]],WasteDisposalEmissions[#All],3,FALSE))*Calculations[[#This Row],[Total Kg]]*VLOOKUP(Calculations[[#This Row],[Waste 1]],WasteScenario[#All],3,FALSE),0)</f>
        <v>0</v>
      </c>
      <c r="AB142" s="322">
        <f>SUM(Calculations[[#This Row],[C3 recyc]:[C3 incin]])</f>
        <v>0</v>
      </c>
      <c r="AC142" s="322">
        <f>IFERROR((VLOOKUP(Calculations[[#This Row],[Waste type 2]],WasteLandfillEmissions[#All],2,FALSE))*Calculations[[#This Row],[Total Kg]]*VLOOKUP(Calculations[[#This Row],[Waste 1]],WasteScenario[#All],4,FALSE),0)</f>
        <v>0</v>
      </c>
      <c r="AD142" s="322">
        <f>IFERROR((VLOOKUP(Calculations[[#This Row],[Waste type 2]],WasteLandfillEmissions[#All],3,FALSE))*Calculations[[#This Row],[Total Kg]]*VLOOKUP(Calculations[[#This Row],[Waste 1]],WasteScenario[#All],4,FALSE),0)</f>
        <v>0</v>
      </c>
      <c r="AE142" s="322">
        <f>SUM(Calculations[[#This Row],[C4 landfill]:[C4 re-use]])</f>
        <v>0</v>
      </c>
      <c r="AF142" s="322">
        <f>IFERROR(VLOOKUP(Calculations[[#This Row],[Material (choose from dropdown]],MaterialData[#All],8,FALSE),0)</f>
        <v>0</v>
      </c>
      <c r="AG142" s="322">
        <f>IFERROR(Calculations[[#This Row],[Total Kg]]*Calculations[[#This Row],[Seq factor]],0)</f>
        <v>0</v>
      </c>
      <c r="AI142" s="322">
        <f>Calculations[[#This Row],[A1-3]]+Calculations[[#This Row],[A4]]+Calculations[[#This Row],[A5]]+Calculations[[#This Row],[B4]]+Calculations[[#This Row],[C2 total]]+Calculations[[#This Row],[C3 total]]+Calculations[[#This Row],[C4 total]]</f>
        <v>0</v>
      </c>
      <c r="AJ142" s="2">
        <f>IFERROR(VLOOKUP(Calculations[[#This Row],[Material (choose from dropdown]],MaterialData[[#Headers],[#Data]],9,FALSE),0)</f>
        <v>0</v>
      </c>
      <c r="AK142" s="4">
        <f>IFERROR(VLOOKUP(Calculations[[#This Row],[Material (choose from dropdown]],MaterialData[[#Headers],[#Data]],10,FALSE),0)</f>
        <v>0</v>
      </c>
      <c r="AL142" s="322">
        <f>IFERROR(Calculations[[#This Row],[Data Quality Score]]*Calculations[[#This Row],[Total Kg]],0)</f>
        <v>0</v>
      </c>
    </row>
    <row r="143" spans="1:38" x14ac:dyDescent="0.3">
      <c r="A143" s="6">
        <f>IFERROR(MaterialsBoQ[[#This Row],[Scope Element]],0)</f>
        <v>0</v>
      </c>
      <c r="B143">
        <f>IFERROR(MaterialsBoQ[[#This Row],[Material ]],"")</f>
        <v>0</v>
      </c>
      <c r="C143">
        <f>IFERROR(MaterialsBoQ[[#This Row],[Unit]],"")</f>
        <v>0</v>
      </c>
      <c r="D143" s="322">
        <f>IFERROR(MaterialsBoQ[[#This Row],[Number]],0)</f>
        <v>0</v>
      </c>
      <c r="E143" s="322">
        <f>IFERROR(MaterialsBoQ[[#This Row],[Kg per unit]],0)</f>
        <v>0</v>
      </c>
      <c r="F143" s="322">
        <f>IFERROR(Calculations[[#This Row],[Number]]*Calculations[[#This Row],[Conversion factor]],0)</f>
        <v>0</v>
      </c>
      <c r="G143" s="322">
        <f>IFERROR(VLOOKUP(Calculations[[#This Row],[Material (choose from dropdown]],MaterialData[#All],7,FALSE),0)</f>
        <v>0</v>
      </c>
      <c r="H143" s="322">
        <f>Calculations[[#This Row],[Total Kg]]*Calculations[[#This Row],[Carbon Factor]]</f>
        <v>0</v>
      </c>
      <c r="I143" t="str">
        <f>IFERROR(VLOOKUP(Calculations[[#This Row],[Material (choose from dropdown]],MaterialData[#All],2,FALSE),"")</f>
        <v/>
      </c>
      <c r="J143" s="322">
        <f>IFERROR(((VLOOKUP(Calculations[[#This Row],[TransportSource]],TransportDistance[],2,FALSE)*'Stage assumptions'!$C$11)+VLOOKUP(Calculations[[#This Row],[TransportSource]],TransportDistance[],3,FALSE)*'Stage assumptions'!$C$12)*Calculations[[#This Row],[Total Kg]],0)</f>
        <v>0</v>
      </c>
      <c r="K143">
        <f>IFERROR(VLOOKUP(Calculations[[#This Row],[Material (choose from dropdown]], MaterialData[#All],3, FALSE),0)</f>
        <v>0</v>
      </c>
      <c r="L143" s="322">
        <f>IFERROR(VLOOKUP(Calculations[[#This Row],[A5type]],A5WastageRate[#All],2,FALSE)*Calculations[[#This Row],[A1-3]],0)</f>
        <v>0</v>
      </c>
      <c r="N143">
        <f>IFERROR(ROUNDUP(50/VLOOKUP(Calculations[[#This Row],[Scope Element]],B4referenceServiceLife[[Tier 2 element]:[Default Service Life]],2, FALSE)-1,0),0)</f>
        <v>0</v>
      </c>
      <c r="O143" s="322">
        <f>IFERROR((Calculations[[#This Row],[A1-3]]+Calculations[[#This Row],[A4]]+Calculations[[#This Row],[A5]]+Calculations[[#This Row],[C2 total]]+Calculations[[#This Row],[C3 total]]+Calculations[[#This Row],[C4 total]])*Calculations[[#This Row],[Replacements]],0)</f>
        <v>0</v>
      </c>
      <c r="S143" t="str">
        <f>IFERROR(VLOOKUP(Calculations[[#This Row],[Material (choose from dropdown]],MaterialData[#All],4,FALSE),"")</f>
        <v/>
      </c>
      <c r="T143" s="322" cm="1">
        <f t="array" ref="T143">IFERROR(VLOOKUP(Calculations[[#This Row],[Waste 1]],WasteScenario[#All],2,FALSE)*'Stage assumptions'!$C$225*WasteTransportMethod[Emissions Factor
kgCO2e/kg.km]*Calculations[[#This Row],[Total Kg]],0)</f>
        <v>0</v>
      </c>
      <c r="U143" s="322" cm="1">
        <f t="array" ref="U143">IFERROR(VLOOKUP(Calculations[[#This Row],[Waste 1]],WasteScenario[#All],3,FALSE)*'Stage assumptions'!$C$224*WasteTransportMethod[Emissions Factor
kgCO2e/kg.km]*Calculations[[#This Row],[Total Kg]],0)</f>
        <v>0</v>
      </c>
      <c r="V143" s="322" cm="1">
        <f t="array" ref="V143">IFERROR(VLOOKUP(Calculations[[#This Row],[Waste 1]],WasteScenario[#All],4,FALSE)*'Stage assumptions'!$C$223*WasteTransportMethod[Emissions Factor
kgCO2e/kg.km]*Calculations[[#This Row],[Total Kg]],0)</f>
        <v>0</v>
      </c>
      <c r="W143" s="322" cm="1">
        <f t="array" ref="W143">IFERROR(VLOOKUP(Calculations[[#This Row],[Waste 1]],WasteScenario[#All],5,FALSE)*'Stage assumptions'!$C$226*WasteTransportMethod[Emissions Factor
kgCO2e/kg.km]*Calculations[[#This Row],[Total Kg]],0)</f>
        <v>0</v>
      </c>
      <c r="X143" s="322">
        <f>SUM(Calculations[[#This Row],[C2 Recycle]:[C2 Reuse]])</f>
        <v>0</v>
      </c>
      <c r="Y143" t="str">
        <f>IFERROR(VLOOKUP(Calculations[[#This Row],[Material (choose from dropdown]],MaterialData[#All],5,FALSE),"")</f>
        <v/>
      </c>
      <c r="Z143" s="322">
        <f>IFERROR(((VLOOKUP(Calculations[[#This Row],[Waste type 2]],WasteDisposalEmissions[#All],2,FALSE))*Calculations[[#This Row],[Total Kg]])*VLOOKUP(Calculations[[#This Row],[Waste 1]],WasteScenario[#All],2,FALSE),0)</f>
        <v>0</v>
      </c>
      <c r="AA143" s="322">
        <f>IFERROR((VLOOKUP(Calculations[[#This Row],[Waste type 2]],WasteDisposalEmissions[#All],3,FALSE))*Calculations[[#This Row],[Total Kg]]*VLOOKUP(Calculations[[#This Row],[Waste 1]],WasteScenario[#All],3,FALSE),0)</f>
        <v>0</v>
      </c>
      <c r="AB143" s="322">
        <f>SUM(Calculations[[#This Row],[C3 recyc]:[C3 incin]])</f>
        <v>0</v>
      </c>
      <c r="AC143" s="322">
        <f>IFERROR((VLOOKUP(Calculations[[#This Row],[Waste type 2]],WasteLandfillEmissions[#All],2,FALSE))*Calculations[[#This Row],[Total Kg]]*VLOOKUP(Calculations[[#This Row],[Waste 1]],WasteScenario[#All],4,FALSE),0)</f>
        <v>0</v>
      </c>
      <c r="AD143" s="322">
        <f>IFERROR((VLOOKUP(Calculations[[#This Row],[Waste type 2]],WasteLandfillEmissions[#All],3,FALSE))*Calculations[[#This Row],[Total Kg]]*VLOOKUP(Calculations[[#This Row],[Waste 1]],WasteScenario[#All],4,FALSE),0)</f>
        <v>0</v>
      </c>
      <c r="AE143" s="322">
        <f>SUM(Calculations[[#This Row],[C4 landfill]:[C4 re-use]])</f>
        <v>0</v>
      </c>
      <c r="AF143" s="322">
        <f>IFERROR(VLOOKUP(Calculations[[#This Row],[Material (choose from dropdown]],MaterialData[#All],8,FALSE),0)</f>
        <v>0</v>
      </c>
      <c r="AG143" s="322">
        <f>IFERROR(Calculations[[#This Row],[Total Kg]]*Calculations[[#This Row],[Seq factor]],0)</f>
        <v>0</v>
      </c>
      <c r="AI143" s="322">
        <f>Calculations[[#This Row],[A1-3]]+Calculations[[#This Row],[A4]]+Calculations[[#This Row],[A5]]+Calculations[[#This Row],[B4]]+Calculations[[#This Row],[C2 total]]+Calculations[[#This Row],[C3 total]]+Calculations[[#This Row],[C4 total]]</f>
        <v>0</v>
      </c>
      <c r="AJ143" s="2">
        <f>IFERROR(VLOOKUP(Calculations[[#This Row],[Material (choose from dropdown]],MaterialData[[#Headers],[#Data]],9,FALSE),0)</f>
        <v>0</v>
      </c>
      <c r="AK143" s="4">
        <f>IFERROR(VLOOKUP(Calculations[[#This Row],[Material (choose from dropdown]],MaterialData[[#Headers],[#Data]],10,FALSE),0)</f>
        <v>0</v>
      </c>
      <c r="AL143" s="322">
        <f>IFERROR(Calculations[[#This Row],[Data Quality Score]]*Calculations[[#This Row],[Total Kg]],0)</f>
        <v>0</v>
      </c>
    </row>
    <row r="144" spans="1:38" x14ac:dyDescent="0.3">
      <c r="A144" s="6">
        <f>IFERROR(MaterialsBoQ[[#This Row],[Scope Element]],0)</f>
        <v>0</v>
      </c>
      <c r="B144">
        <f>IFERROR(MaterialsBoQ[[#This Row],[Material ]],"")</f>
        <v>0</v>
      </c>
      <c r="C144">
        <f>IFERROR(MaterialsBoQ[[#This Row],[Unit]],"")</f>
        <v>0</v>
      </c>
      <c r="D144" s="322">
        <f>IFERROR(MaterialsBoQ[[#This Row],[Number]],0)</f>
        <v>0</v>
      </c>
      <c r="E144" s="322">
        <f>IFERROR(MaterialsBoQ[[#This Row],[Kg per unit]],0)</f>
        <v>0</v>
      </c>
      <c r="F144" s="322">
        <f>IFERROR(Calculations[[#This Row],[Number]]*Calculations[[#This Row],[Conversion factor]],0)</f>
        <v>0</v>
      </c>
      <c r="G144" s="322">
        <f>IFERROR(VLOOKUP(Calculations[[#This Row],[Material (choose from dropdown]],MaterialData[#All],7,FALSE),0)</f>
        <v>0</v>
      </c>
      <c r="H144" s="322">
        <f>Calculations[[#This Row],[Total Kg]]*Calculations[[#This Row],[Carbon Factor]]</f>
        <v>0</v>
      </c>
      <c r="I144" t="str">
        <f>IFERROR(VLOOKUP(Calculations[[#This Row],[Material (choose from dropdown]],MaterialData[#All],2,FALSE),"")</f>
        <v/>
      </c>
      <c r="J144" s="322">
        <f>IFERROR(((VLOOKUP(Calculations[[#This Row],[TransportSource]],TransportDistance[],2,FALSE)*'Stage assumptions'!$C$11)+VLOOKUP(Calculations[[#This Row],[TransportSource]],TransportDistance[],3,FALSE)*'Stage assumptions'!$C$12)*Calculations[[#This Row],[Total Kg]],0)</f>
        <v>0</v>
      </c>
      <c r="K144">
        <f>IFERROR(VLOOKUP(Calculations[[#This Row],[Material (choose from dropdown]], MaterialData[#All],3, FALSE),0)</f>
        <v>0</v>
      </c>
      <c r="L144" s="322">
        <f>IFERROR(VLOOKUP(Calculations[[#This Row],[A5type]],A5WastageRate[#All],2,FALSE)*Calculations[[#This Row],[A1-3]],0)</f>
        <v>0</v>
      </c>
      <c r="N144">
        <f>IFERROR(ROUNDUP(50/VLOOKUP(Calculations[[#This Row],[Scope Element]],B4referenceServiceLife[[Tier 2 element]:[Default Service Life]],2, FALSE)-1,0),0)</f>
        <v>0</v>
      </c>
      <c r="O144" s="322">
        <f>IFERROR((Calculations[[#This Row],[A1-3]]+Calculations[[#This Row],[A4]]+Calculations[[#This Row],[A5]]+Calculations[[#This Row],[C2 total]]+Calculations[[#This Row],[C3 total]]+Calculations[[#This Row],[C4 total]])*Calculations[[#This Row],[Replacements]],0)</f>
        <v>0</v>
      </c>
      <c r="S144" t="str">
        <f>IFERROR(VLOOKUP(Calculations[[#This Row],[Material (choose from dropdown]],MaterialData[#All],4,FALSE),"")</f>
        <v/>
      </c>
      <c r="T144" s="322" cm="1">
        <f t="array" ref="T144">IFERROR(VLOOKUP(Calculations[[#This Row],[Waste 1]],WasteScenario[#All],2,FALSE)*'Stage assumptions'!$C$225*WasteTransportMethod[Emissions Factor
kgCO2e/kg.km]*Calculations[[#This Row],[Total Kg]],0)</f>
        <v>0</v>
      </c>
      <c r="U144" s="322" cm="1">
        <f t="array" ref="U144">IFERROR(VLOOKUP(Calculations[[#This Row],[Waste 1]],WasteScenario[#All],3,FALSE)*'Stage assumptions'!$C$224*WasteTransportMethod[Emissions Factor
kgCO2e/kg.km]*Calculations[[#This Row],[Total Kg]],0)</f>
        <v>0</v>
      </c>
      <c r="V144" s="322" cm="1">
        <f t="array" ref="V144">IFERROR(VLOOKUP(Calculations[[#This Row],[Waste 1]],WasteScenario[#All],4,FALSE)*'Stage assumptions'!$C$223*WasteTransportMethod[Emissions Factor
kgCO2e/kg.km]*Calculations[[#This Row],[Total Kg]],0)</f>
        <v>0</v>
      </c>
      <c r="W144" s="322" cm="1">
        <f t="array" ref="W144">IFERROR(VLOOKUP(Calculations[[#This Row],[Waste 1]],WasteScenario[#All],5,FALSE)*'Stage assumptions'!$C$226*WasteTransportMethod[Emissions Factor
kgCO2e/kg.km]*Calculations[[#This Row],[Total Kg]],0)</f>
        <v>0</v>
      </c>
      <c r="X144" s="322">
        <f>SUM(Calculations[[#This Row],[C2 Recycle]:[C2 Reuse]])</f>
        <v>0</v>
      </c>
      <c r="Y144" t="str">
        <f>IFERROR(VLOOKUP(Calculations[[#This Row],[Material (choose from dropdown]],MaterialData[#All],5,FALSE),"")</f>
        <v/>
      </c>
      <c r="Z144" s="322">
        <f>IFERROR(((VLOOKUP(Calculations[[#This Row],[Waste type 2]],WasteDisposalEmissions[#All],2,FALSE))*Calculations[[#This Row],[Total Kg]])*VLOOKUP(Calculations[[#This Row],[Waste 1]],WasteScenario[#All],2,FALSE),0)</f>
        <v>0</v>
      </c>
      <c r="AA144" s="322">
        <f>IFERROR((VLOOKUP(Calculations[[#This Row],[Waste type 2]],WasteDisposalEmissions[#All],3,FALSE))*Calculations[[#This Row],[Total Kg]]*VLOOKUP(Calculations[[#This Row],[Waste 1]],WasteScenario[#All],3,FALSE),0)</f>
        <v>0</v>
      </c>
      <c r="AB144" s="322">
        <f>SUM(Calculations[[#This Row],[C3 recyc]:[C3 incin]])</f>
        <v>0</v>
      </c>
      <c r="AC144" s="322">
        <f>IFERROR((VLOOKUP(Calculations[[#This Row],[Waste type 2]],WasteLandfillEmissions[#All],2,FALSE))*Calculations[[#This Row],[Total Kg]]*VLOOKUP(Calculations[[#This Row],[Waste 1]],WasteScenario[#All],4,FALSE),0)</f>
        <v>0</v>
      </c>
      <c r="AD144" s="322">
        <f>IFERROR((VLOOKUP(Calculations[[#This Row],[Waste type 2]],WasteLandfillEmissions[#All],3,FALSE))*Calculations[[#This Row],[Total Kg]]*VLOOKUP(Calculations[[#This Row],[Waste 1]],WasteScenario[#All],4,FALSE),0)</f>
        <v>0</v>
      </c>
      <c r="AE144" s="322">
        <f>SUM(Calculations[[#This Row],[C4 landfill]:[C4 re-use]])</f>
        <v>0</v>
      </c>
      <c r="AF144" s="322">
        <f>IFERROR(VLOOKUP(Calculations[[#This Row],[Material (choose from dropdown]],MaterialData[#All],8,FALSE),0)</f>
        <v>0</v>
      </c>
      <c r="AG144" s="322">
        <f>IFERROR(Calculations[[#This Row],[Total Kg]]*Calculations[[#This Row],[Seq factor]],0)</f>
        <v>0</v>
      </c>
      <c r="AI144" s="322">
        <f>Calculations[[#This Row],[A1-3]]+Calculations[[#This Row],[A4]]+Calculations[[#This Row],[A5]]+Calculations[[#This Row],[B4]]+Calculations[[#This Row],[C2 total]]+Calculations[[#This Row],[C3 total]]+Calculations[[#This Row],[C4 total]]</f>
        <v>0</v>
      </c>
      <c r="AJ144" s="2">
        <f>IFERROR(VLOOKUP(Calculations[[#This Row],[Material (choose from dropdown]],MaterialData[[#Headers],[#Data]],9,FALSE),0)</f>
        <v>0</v>
      </c>
      <c r="AK144" s="4">
        <f>IFERROR(VLOOKUP(Calculations[[#This Row],[Material (choose from dropdown]],MaterialData[[#Headers],[#Data]],10,FALSE),0)</f>
        <v>0</v>
      </c>
      <c r="AL144" s="322">
        <f>IFERROR(Calculations[[#This Row],[Data Quality Score]]*Calculations[[#This Row],[Total Kg]],0)</f>
        <v>0</v>
      </c>
    </row>
    <row r="145" spans="1:38" x14ac:dyDescent="0.3">
      <c r="A145" s="6">
        <f>IFERROR(MaterialsBoQ[[#This Row],[Scope Element]],0)</f>
        <v>0</v>
      </c>
      <c r="B145">
        <f>IFERROR(MaterialsBoQ[[#This Row],[Material ]],"")</f>
        <v>0</v>
      </c>
      <c r="C145">
        <f>IFERROR(MaterialsBoQ[[#This Row],[Unit]],"")</f>
        <v>0</v>
      </c>
      <c r="D145" s="322">
        <f>IFERROR(MaterialsBoQ[[#This Row],[Number]],0)</f>
        <v>0</v>
      </c>
      <c r="E145" s="322">
        <f>IFERROR(MaterialsBoQ[[#This Row],[Kg per unit]],0)</f>
        <v>0</v>
      </c>
      <c r="F145" s="322">
        <f>IFERROR(Calculations[[#This Row],[Number]]*Calculations[[#This Row],[Conversion factor]],0)</f>
        <v>0</v>
      </c>
      <c r="G145" s="322">
        <f>IFERROR(VLOOKUP(Calculations[[#This Row],[Material (choose from dropdown]],MaterialData[#All],7,FALSE),0)</f>
        <v>0</v>
      </c>
      <c r="H145" s="322">
        <f>Calculations[[#This Row],[Total Kg]]*Calculations[[#This Row],[Carbon Factor]]</f>
        <v>0</v>
      </c>
      <c r="I145" t="str">
        <f>IFERROR(VLOOKUP(Calculations[[#This Row],[Material (choose from dropdown]],MaterialData[#All],2,FALSE),"")</f>
        <v/>
      </c>
      <c r="J145" s="322">
        <f>IFERROR(((VLOOKUP(Calculations[[#This Row],[TransportSource]],TransportDistance[],2,FALSE)*'Stage assumptions'!$C$11)+VLOOKUP(Calculations[[#This Row],[TransportSource]],TransportDistance[],3,FALSE)*'Stage assumptions'!$C$12)*Calculations[[#This Row],[Total Kg]],0)</f>
        <v>0</v>
      </c>
      <c r="K145">
        <f>IFERROR(VLOOKUP(Calculations[[#This Row],[Material (choose from dropdown]], MaterialData[#All],3, FALSE),0)</f>
        <v>0</v>
      </c>
      <c r="L145" s="322">
        <f>IFERROR(VLOOKUP(Calculations[[#This Row],[A5type]],A5WastageRate[#All],2,FALSE)*Calculations[[#This Row],[A1-3]],0)</f>
        <v>0</v>
      </c>
      <c r="N145">
        <f>IFERROR(ROUNDUP(50/VLOOKUP(Calculations[[#This Row],[Scope Element]],B4referenceServiceLife[[Tier 2 element]:[Default Service Life]],2, FALSE)-1,0),0)</f>
        <v>0</v>
      </c>
      <c r="O145" s="322">
        <f>IFERROR((Calculations[[#This Row],[A1-3]]+Calculations[[#This Row],[A4]]+Calculations[[#This Row],[A5]]+Calculations[[#This Row],[C2 total]]+Calculations[[#This Row],[C3 total]]+Calculations[[#This Row],[C4 total]])*Calculations[[#This Row],[Replacements]],0)</f>
        <v>0</v>
      </c>
      <c r="S145" t="str">
        <f>IFERROR(VLOOKUP(Calculations[[#This Row],[Material (choose from dropdown]],MaterialData[#All],4,FALSE),"")</f>
        <v/>
      </c>
      <c r="T145" s="322" cm="1">
        <f t="array" ref="T145">IFERROR(VLOOKUP(Calculations[[#This Row],[Waste 1]],WasteScenario[#All],2,FALSE)*'Stage assumptions'!$C$225*WasteTransportMethod[Emissions Factor
kgCO2e/kg.km]*Calculations[[#This Row],[Total Kg]],0)</f>
        <v>0</v>
      </c>
      <c r="U145" s="322" cm="1">
        <f t="array" ref="U145">IFERROR(VLOOKUP(Calculations[[#This Row],[Waste 1]],WasteScenario[#All],3,FALSE)*'Stage assumptions'!$C$224*WasteTransportMethod[Emissions Factor
kgCO2e/kg.km]*Calculations[[#This Row],[Total Kg]],0)</f>
        <v>0</v>
      </c>
      <c r="V145" s="322" cm="1">
        <f t="array" ref="V145">IFERROR(VLOOKUP(Calculations[[#This Row],[Waste 1]],WasteScenario[#All],4,FALSE)*'Stage assumptions'!$C$223*WasteTransportMethod[Emissions Factor
kgCO2e/kg.km]*Calculations[[#This Row],[Total Kg]],0)</f>
        <v>0</v>
      </c>
      <c r="W145" s="322" cm="1">
        <f t="array" ref="W145">IFERROR(VLOOKUP(Calculations[[#This Row],[Waste 1]],WasteScenario[#All],5,FALSE)*'Stage assumptions'!$C$226*WasteTransportMethod[Emissions Factor
kgCO2e/kg.km]*Calculations[[#This Row],[Total Kg]],0)</f>
        <v>0</v>
      </c>
      <c r="X145" s="322">
        <f>SUM(Calculations[[#This Row],[C2 Recycle]:[C2 Reuse]])</f>
        <v>0</v>
      </c>
      <c r="Y145" t="str">
        <f>IFERROR(VLOOKUP(Calculations[[#This Row],[Material (choose from dropdown]],MaterialData[#All],5,FALSE),"")</f>
        <v/>
      </c>
      <c r="Z145" s="322">
        <f>IFERROR(((VLOOKUP(Calculations[[#This Row],[Waste type 2]],WasteDisposalEmissions[#All],2,FALSE))*Calculations[[#This Row],[Total Kg]])*VLOOKUP(Calculations[[#This Row],[Waste 1]],WasteScenario[#All],2,FALSE),0)</f>
        <v>0</v>
      </c>
      <c r="AA145" s="322">
        <f>IFERROR((VLOOKUP(Calculations[[#This Row],[Waste type 2]],WasteDisposalEmissions[#All],3,FALSE))*Calculations[[#This Row],[Total Kg]]*VLOOKUP(Calculations[[#This Row],[Waste 1]],WasteScenario[#All],3,FALSE),0)</f>
        <v>0</v>
      </c>
      <c r="AB145" s="322">
        <f>SUM(Calculations[[#This Row],[C3 recyc]:[C3 incin]])</f>
        <v>0</v>
      </c>
      <c r="AC145" s="322">
        <f>IFERROR((VLOOKUP(Calculations[[#This Row],[Waste type 2]],WasteLandfillEmissions[#All],2,FALSE))*Calculations[[#This Row],[Total Kg]]*VLOOKUP(Calculations[[#This Row],[Waste 1]],WasteScenario[#All],4,FALSE),0)</f>
        <v>0</v>
      </c>
      <c r="AD145" s="322">
        <f>IFERROR((VLOOKUP(Calculations[[#This Row],[Waste type 2]],WasteLandfillEmissions[#All],3,FALSE))*Calculations[[#This Row],[Total Kg]]*VLOOKUP(Calculations[[#This Row],[Waste 1]],WasteScenario[#All],4,FALSE),0)</f>
        <v>0</v>
      </c>
      <c r="AE145" s="322">
        <f>SUM(Calculations[[#This Row],[C4 landfill]:[C4 re-use]])</f>
        <v>0</v>
      </c>
      <c r="AF145" s="322">
        <f>IFERROR(VLOOKUP(Calculations[[#This Row],[Material (choose from dropdown]],MaterialData[#All],8,FALSE),0)</f>
        <v>0</v>
      </c>
      <c r="AG145" s="322">
        <f>IFERROR(Calculations[[#This Row],[Total Kg]]*Calculations[[#This Row],[Seq factor]],0)</f>
        <v>0</v>
      </c>
      <c r="AI145" s="322">
        <f>Calculations[[#This Row],[A1-3]]+Calculations[[#This Row],[A4]]+Calculations[[#This Row],[A5]]+Calculations[[#This Row],[B4]]+Calculations[[#This Row],[C2 total]]+Calculations[[#This Row],[C3 total]]+Calculations[[#This Row],[C4 total]]</f>
        <v>0</v>
      </c>
      <c r="AJ145" s="2">
        <f>IFERROR(VLOOKUP(Calculations[[#This Row],[Material (choose from dropdown]],MaterialData[[#Headers],[#Data]],9,FALSE),0)</f>
        <v>0</v>
      </c>
      <c r="AK145" s="4">
        <f>IFERROR(VLOOKUP(Calculations[[#This Row],[Material (choose from dropdown]],MaterialData[[#Headers],[#Data]],10,FALSE),0)</f>
        <v>0</v>
      </c>
      <c r="AL145" s="322">
        <f>IFERROR(Calculations[[#This Row],[Data Quality Score]]*Calculations[[#This Row],[Total Kg]],0)</f>
        <v>0</v>
      </c>
    </row>
    <row r="146" spans="1:38" x14ac:dyDescent="0.3">
      <c r="A146" s="6">
        <f>IFERROR(MaterialsBoQ[[#This Row],[Scope Element]],0)</f>
        <v>0</v>
      </c>
      <c r="B146">
        <f>IFERROR(MaterialsBoQ[[#This Row],[Material ]],"")</f>
        <v>0</v>
      </c>
      <c r="C146">
        <f>IFERROR(MaterialsBoQ[[#This Row],[Unit]],"")</f>
        <v>0</v>
      </c>
      <c r="D146" s="322">
        <f>IFERROR(MaterialsBoQ[[#This Row],[Number]],0)</f>
        <v>0</v>
      </c>
      <c r="E146" s="322">
        <f>IFERROR(MaterialsBoQ[[#This Row],[Kg per unit]],0)</f>
        <v>0</v>
      </c>
      <c r="F146" s="322">
        <f>IFERROR(Calculations[[#This Row],[Number]]*Calculations[[#This Row],[Conversion factor]],0)</f>
        <v>0</v>
      </c>
      <c r="G146" s="322">
        <f>IFERROR(VLOOKUP(Calculations[[#This Row],[Material (choose from dropdown]],MaterialData[#All],7,FALSE),0)</f>
        <v>0</v>
      </c>
      <c r="H146" s="322">
        <f>Calculations[[#This Row],[Total Kg]]*Calculations[[#This Row],[Carbon Factor]]</f>
        <v>0</v>
      </c>
      <c r="I146" t="str">
        <f>IFERROR(VLOOKUP(Calculations[[#This Row],[Material (choose from dropdown]],MaterialData[#All],2,FALSE),"")</f>
        <v/>
      </c>
      <c r="J146" s="322">
        <f>IFERROR(((VLOOKUP(Calculations[[#This Row],[TransportSource]],TransportDistance[],2,FALSE)*'Stage assumptions'!$C$11)+VLOOKUP(Calculations[[#This Row],[TransportSource]],TransportDistance[],3,FALSE)*'Stage assumptions'!$C$12)*Calculations[[#This Row],[Total Kg]],0)</f>
        <v>0</v>
      </c>
      <c r="K146">
        <f>IFERROR(VLOOKUP(Calculations[[#This Row],[Material (choose from dropdown]], MaterialData[#All],3, FALSE),0)</f>
        <v>0</v>
      </c>
      <c r="L146" s="322">
        <f>IFERROR(VLOOKUP(Calculations[[#This Row],[A5type]],A5WastageRate[#All],2,FALSE)*Calculations[[#This Row],[A1-3]],0)</f>
        <v>0</v>
      </c>
      <c r="N146">
        <f>IFERROR(ROUNDUP(50/VLOOKUP(Calculations[[#This Row],[Scope Element]],B4referenceServiceLife[[Tier 2 element]:[Default Service Life]],2, FALSE)-1,0),0)</f>
        <v>0</v>
      </c>
      <c r="O146" s="322">
        <f>IFERROR((Calculations[[#This Row],[A1-3]]+Calculations[[#This Row],[A4]]+Calculations[[#This Row],[A5]]+Calculations[[#This Row],[C2 total]]+Calculations[[#This Row],[C3 total]]+Calculations[[#This Row],[C4 total]])*Calculations[[#This Row],[Replacements]],0)</f>
        <v>0</v>
      </c>
      <c r="S146" t="str">
        <f>IFERROR(VLOOKUP(Calculations[[#This Row],[Material (choose from dropdown]],MaterialData[#All],4,FALSE),"")</f>
        <v/>
      </c>
      <c r="T146" s="322" cm="1">
        <f t="array" ref="T146">IFERROR(VLOOKUP(Calculations[[#This Row],[Waste 1]],WasteScenario[#All],2,FALSE)*'Stage assumptions'!$C$225*WasteTransportMethod[Emissions Factor
kgCO2e/kg.km]*Calculations[[#This Row],[Total Kg]],0)</f>
        <v>0</v>
      </c>
      <c r="U146" s="322" cm="1">
        <f t="array" ref="U146">IFERROR(VLOOKUP(Calculations[[#This Row],[Waste 1]],WasteScenario[#All],3,FALSE)*'Stage assumptions'!$C$224*WasteTransportMethod[Emissions Factor
kgCO2e/kg.km]*Calculations[[#This Row],[Total Kg]],0)</f>
        <v>0</v>
      </c>
      <c r="V146" s="322" cm="1">
        <f t="array" ref="V146">IFERROR(VLOOKUP(Calculations[[#This Row],[Waste 1]],WasteScenario[#All],4,FALSE)*'Stage assumptions'!$C$223*WasteTransportMethod[Emissions Factor
kgCO2e/kg.km]*Calculations[[#This Row],[Total Kg]],0)</f>
        <v>0</v>
      </c>
      <c r="W146" s="322" cm="1">
        <f t="array" ref="W146">IFERROR(VLOOKUP(Calculations[[#This Row],[Waste 1]],WasteScenario[#All],5,FALSE)*'Stage assumptions'!$C$226*WasteTransportMethod[Emissions Factor
kgCO2e/kg.km]*Calculations[[#This Row],[Total Kg]],0)</f>
        <v>0</v>
      </c>
      <c r="X146" s="322">
        <f>SUM(Calculations[[#This Row],[C2 Recycle]:[C2 Reuse]])</f>
        <v>0</v>
      </c>
      <c r="Y146" t="str">
        <f>IFERROR(VLOOKUP(Calculations[[#This Row],[Material (choose from dropdown]],MaterialData[#All],5,FALSE),"")</f>
        <v/>
      </c>
      <c r="Z146" s="322">
        <f>IFERROR(((VLOOKUP(Calculations[[#This Row],[Waste type 2]],WasteDisposalEmissions[#All],2,FALSE))*Calculations[[#This Row],[Total Kg]])*VLOOKUP(Calculations[[#This Row],[Waste 1]],WasteScenario[#All],2,FALSE),0)</f>
        <v>0</v>
      </c>
      <c r="AA146" s="322">
        <f>IFERROR((VLOOKUP(Calculations[[#This Row],[Waste type 2]],WasteDisposalEmissions[#All],3,FALSE))*Calculations[[#This Row],[Total Kg]]*VLOOKUP(Calculations[[#This Row],[Waste 1]],WasteScenario[#All],3,FALSE),0)</f>
        <v>0</v>
      </c>
      <c r="AB146" s="322">
        <f>SUM(Calculations[[#This Row],[C3 recyc]:[C3 incin]])</f>
        <v>0</v>
      </c>
      <c r="AC146" s="322">
        <f>IFERROR((VLOOKUP(Calculations[[#This Row],[Waste type 2]],WasteLandfillEmissions[#All],2,FALSE))*Calculations[[#This Row],[Total Kg]]*VLOOKUP(Calculations[[#This Row],[Waste 1]],WasteScenario[#All],4,FALSE),0)</f>
        <v>0</v>
      </c>
      <c r="AD146" s="322">
        <f>IFERROR((VLOOKUP(Calculations[[#This Row],[Waste type 2]],WasteLandfillEmissions[#All],3,FALSE))*Calculations[[#This Row],[Total Kg]]*VLOOKUP(Calculations[[#This Row],[Waste 1]],WasteScenario[#All],4,FALSE),0)</f>
        <v>0</v>
      </c>
      <c r="AE146" s="322">
        <f>SUM(Calculations[[#This Row],[C4 landfill]:[C4 re-use]])</f>
        <v>0</v>
      </c>
      <c r="AF146" s="322">
        <f>IFERROR(VLOOKUP(Calculations[[#This Row],[Material (choose from dropdown]],MaterialData[#All],8,FALSE),0)</f>
        <v>0</v>
      </c>
      <c r="AG146" s="322">
        <f>IFERROR(Calculations[[#This Row],[Total Kg]]*Calculations[[#This Row],[Seq factor]],0)</f>
        <v>0</v>
      </c>
      <c r="AI146" s="322">
        <f>Calculations[[#This Row],[A1-3]]+Calculations[[#This Row],[A4]]+Calculations[[#This Row],[A5]]+Calculations[[#This Row],[B4]]+Calculations[[#This Row],[C2 total]]+Calculations[[#This Row],[C3 total]]+Calculations[[#This Row],[C4 total]]</f>
        <v>0</v>
      </c>
      <c r="AJ146" s="2">
        <f>IFERROR(VLOOKUP(Calculations[[#This Row],[Material (choose from dropdown]],MaterialData[[#Headers],[#Data]],9,FALSE),0)</f>
        <v>0</v>
      </c>
      <c r="AK146" s="4">
        <f>IFERROR(VLOOKUP(Calculations[[#This Row],[Material (choose from dropdown]],MaterialData[[#Headers],[#Data]],10,FALSE),0)</f>
        <v>0</v>
      </c>
      <c r="AL146" s="322">
        <f>IFERROR(Calculations[[#This Row],[Data Quality Score]]*Calculations[[#This Row],[Total Kg]],0)</f>
        <v>0</v>
      </c>
    </row>
    <row r="147" spans="1:38" x14ac:dyDescent="0.3">
      <c r="A147" s="6">
        <f>IFERROR(MaterialsBoQ[[#This Row],[Scope Element]],0)</f>
        <v>0</v>
      </c>
      <c r="B147">
        <f>IFERROR(MaterialsBoQ[[#This Row],[Material ]],"")</f>
        <v>0</v>
      </c>
      <c r="C147">
        <f>IFERROR(MaterialsBoQ[[#This Row],[Unit]],"")</f>
        <v>0</v>
      </c>
      <c r="D147" s="322">
        <f>IFERROR(MaterialsBoQ[[#This Row],[Number]],0)</f>
        <v>0</v>
      </c>
      <c r="E147" s="322">
        <f>IFERROR(MaterialsBoQ[[#This Row],[Kg per unit]],0)</f>
        <v>0</v>
      </c>
      <c r="F147" s="322">
        <f>IFERROR(Calculations[[#This Row],[Number]]*Calculations[[#This Row],[Conversion factor]],0)</f>
        <v>0</v>
      </c>
      <c r="G147" s="322">
        <f>IFERROR(VLOOKUP(Calculations[[#This Row],[Material (choose from dropdown]],MaterialData[#All],7,FALSE),0)</f>
        <v>0</v>
      </c>
      <c r="H147" s="322">
        <f>Calculations[[#This Row],[Total Kg]]*Calculations[[#This Row],[Carbon Factor]]</f>
        <v>0</v>
      </c>
      <c r="I147" t="str">
        <f>IFERROR(VLOOKUP(Calculations[[#This Row],[Material (choose from dropdown]],MaterialData[#All],2,FALSE),"")</f>
        <v/>
      </c>
      <c r="J147" s="322">
        <f>IFERROR(((VLOOKUP(Calculations[[#This Row],[TransportSource]],TransportDistance[],2,FALSE)*'Stage assumptions'!$C$11)+VLOOKUP(Calculations[[#This Row],[TransportSource]],TransportDistance[],3,FALSE)*'Stage assumptions'!$C$12)*Calculations[[#This Row],[Total Kg]],0)</f>
        <v>0</v>
      </c>
      <c r="K147">
        <f>IFERROR(VLOOKUP(Calculations[[#This Row],[Material (choose from dropdown]], MaterialData[#All],3, FALSE),0)</f>
        <v>0</v>
      </c>
      <c r="L147" s="322">
        <f>IFERROR(VLOOKUP(Calculations[[#This Row],[A5type]],A5WastageRate[#All],2,FALSE)*Calculations[[#This Row],[A1-3]],0)</f>
        <v>0</v>
      </c>
      <c r="N147">
        <f>IFERROR(ROUNDUP(50/VLOOKUP(Calculations[[#This Row],[Scope Element]],B4referenceServiceLife[[Tier 2 element]:[Default Service Life]],2, FALSE)-1,0),0)</f>
        <v>0</v>
      </c>
      <c r="O147" s="322">
        <f>IFERROR((Calculations[[#This Row],[A1-3]]+Calculations[[#This Row],[A4]]+Calculations[[#This Row],[A5]]+Calculations[[#This Row],[C2 total]]+Calculations[[#This Row],[C3 total]]+Calculations[[#This Row],[C4 total]])*Calculations[[#This Row],[Replacements]],0)</f>
        <v>0</v>
      </c>
      <c r="S147" t="str">
        <f>IFERROR(VLOOKUP(Calculations[[#This Row],[Material (choose from dropdown]],MaterialData[#All],4,FALSE),"")</f>
        <v/>
      </c>
      <c r="T147" s="322" cm="1">
        <f t="array" ref="T147">IFERROR(VLOOKUP(Calculations[[#This Row],[Waste 1]],WasteScenario[#All],2,FALSE)*'Stage assumptions'!$C$225*WasteTransportMethod[Emissions Factor
kgCO2e/kg.km]*Calculations[[#This Row],[Total Kg]],0)</f>
        <v>0</v>
      </c>
      <c r="U147" s="322" cm="1">
        <f t="array" ref="U147">IFERROR(VLOOKUP(Calculations[[#This Row],[Waste 1]],WasteScenario[#All],3,FALSE)*'Stage assumptions'!$C$224*WasteTransportMethod[Emissions Factor
kgCO2e/kg.km]*Calculations[[#This Row],[Total Kg]],0)</f>
        <v>0</v>
      </c>
      <c r="V147" s="322" cm="1">
        <f t="array" ref="V147">IFERROR(VLOOKUP(Calculations[[#This Row],[Waste 1]],WasteScenario[#All],4,FALSE)*'Stage assumptions'!$C$223*WasteTransportMethod[Emissions Factor
kgCO2e/kg.km]*Calculations[[#This Row],[Total Kg]],0)</f>
        <v>0</v>
      </c>
      <c r="W147" s="322" cm="1">
        <f t="array" ref="W147">IFERROR(VLOOKUP(Calculations[[#This Row],[Waste 1]],WasteScenario[#All],5,FALSE)*'Stage assumptions'!$C$226*WasteTransportMethod[Emissions Factor
kgCO2e/kg.km]*Calculations[[#This Row],[Total Kg]],0)</f>
        <v>0</v>
      </c>
      <c r="X147" s="322">
        <f>SUM(Calculations[[#This Row],[C2 Recycle]:[C2 Reuse]])</f>
        <v>0</v>
      </c>
      <c r="Y147" t="str">
        <f>IFERROR(VLOOKUP(Calculations[[#This Row],[Material (choose from dropdown]],MaterialData[#All],5,FALSE),"")</f>
        <v/>
      </c>
      <c r="Z147" s="322">
        <f>IFERROR(((VLOOKUP(Calculations[[#This Row],[Waste type 2]],WasteDisposalEmissions[#All],2,FALSE))*Calculations[[#This Row],[Total Kg]])*VLOOKUP(Calculations[[#This Row],[Waste 1]],WasteScenario[#All],2,FALSE),0)</f>
        <v>0</v>
      </c>
      <c r="AA147" s="322">
        <f>IFERROR((VLOOKUP(Calculations[[#This Row],[Waste type 2]],WasteDisposalEmissions[#All],3,FALSE))*Calculations[[#This Row],[Total Kg]]*VLOOKUP(Calculations[[#This Row],[Waste 1]],WasteScenario[#All],3,FALSE),0)</f>
        <v>0</v>
      </c>
      <c r="AB147" s="322">
        <f>SUM(Calculations[[#This Row],[C3 recyc]:[C3 incin]])</f>
        <v>0</v>
      </c>
      <c r="AC147" s="322">
        <f>IFERROR((VLOOKUP(Calculations[[#This Row],[Waste type 2]],WasteLandfillEmissions[#All],2,FALSE))*Calculations[[#This Row],[Total Kg]]*VLOOKUP(Calculations[[#This Row],[Waste 1]],WasteScenario[#All],4,FALSE),0)</f>
        <v>0</v>
      </c>
      <c r="AD147" s="322">
        <f>IFERROR((VLOOKUP(Calculations[[#This Row],[Waste type 2]],WasteLandfillEmissions[#All],3,FALSE))*Calculations[[#This Row],[Total Kg]]*VLOOKUP(Calculations[[#This Row],[Waste 1]],WasteScenario[#All],4,FALSE),0)</f>
        <v>0</v>
      </c>
      <c r="AE147" s="322">
        <f>SUM(Calculations[[#This Row],[C4 landfill]:[C4 re-use]])</f>
        <v>0</v>
      </c>
      <c r="AF147" s="322">
        <f>IFERROR(VLOOKUP(Calculations[[#This Row],[Material (choose from dropdown]],MaterialData[#All],8,FALSE),0)</f>
        <v>0</v>
      </c>
      <c r="AG147" s="322">
        <f>IFERROR(Calculations[[#This Row],[Total Kg]]*Calculations[[#This Row],[Seq factor]],0)</f>
        <v>0</v>
      </c>
      <c r="AI147" s="322">
        <f>Calculations[[#This Row],[A1-3]]+Calculations[[#This Row],[A4]]+Calculations[[#This Row],[A5]]+Calculations[[#This Row],[B4]]+Calculations[[#This Row],[C2 total]]+Calculations[[#This Row],[C3 total]]+Calculations[[#This Row],[C4 total]]</f>
        <v>0</v>
      </c>
      <c r="AJ147" s="2">
        <f>IFERROR(VLOOKUP(Calculations[[#This Row],[Material (choose from dropdown]],MaterialData[[#Headers],[#Data]],9,FALSE),0)</f>
        <v>0</v>
      </c>
      <c r="AK147" s="4">
        <f>IFERROR(VLOOKUP(Calculations[[#This Row],[Material (choose from dropdown]],MaterialData[[#Headers],[#Data]],10,FALSE),0)</f>
        <v>0</v>
      </c>
      <c r="AL147" s="322">
        <f>IFERROR(Calculations[[#This Row],[Data Quality Score]]*Calculations[[#This Row],[Total Kg]],0)</f>
        <v>0</v>
      </c>
    </row>
    <row r="148" spans="1:38" x14ac:dyDescent="0.3">
      <c r="A148" s="6">
        <f>IFERROR(MaterialsBoQ[[#This Row],[Scope Element]],0)</f>
        <v>0</v>
      </c>
      <c r="B148">
        <f>IFERROR(MaterialsBoQ[[#This Row],[Material ]],"")</f>
        <v>0</v>
      </c>
      <c r="C148">
        <f>IFERROR(MaterialsBoQ[[#This Row],[Unit]],"")</f>
        <v>0</v>
      </c>
      <c r="D148" s="322">
        <f>IFERROR(MaterialsBoQ[[#This Row],[Number]],0)</f>
        <v>0</v>
      </c>
      <c r="E148" s="322">
        <f>IFERROR(MaterialsBoQ[[#This Row],[Kg per unit]],0)</f>
        <v>0</v>
      </c>
      <c r="F148" s="322">
        <f>IFERROR(Calculations[[#This Row],[Number]]*Calculations[[#This Row],[Conversion factor]],0)</f>
        <v>0</v>
      </c>
      <c r="G148" s="322">
        <f>IFERROR(VLOOKUP(Calculations[[#This Row],[Material (choose from dropdown]],MaterialData[#All],7,FALSE),0)</f>
        <v>0</v>
      </c>
      <c r="H148" s="322">
        <f>Calculations[[#This Row],[Total Kg]]*Calculations[[#This Row],[Carbon Factor]]</f>
        <v>0</v>
      </c>
      <c r="I148" t="str">
        <f>IFERROR(VLOOKUP(Calculations[[#This Row],[Material (choose from dropdown]],MaterialData[#All],2,FALSE),"")</f>
        <v/>
      </c>
      <c r="J148" s="322">
        <f>IFERROR(((VLOOKUP(Calculations[[#This Row],[TransportSource]],TransportDistance[],2,FALSE)*'Stage assumptions'!$C$11)+VLOOKUP(Calculations[[#This Row],[TransportSource]],TransportDistance[],3,FALSE)*'Stage assumptions'!$C$12)*Calculations[[#This Row],[Total Kg]],0)</f>
        <v>0</v>
      </c>
      <c r="K148">
        <f>IFERROR(VLOOKUP(Calculations[[#This Row],[Material (choose from dropdown]], MaterialData[#All],3, FALSE),0)</f>
        <v>0</v>
      </c>
      <c r="L148" s="322">
        <f>IFERROR(VLOOKUP(Calculations[[#This Row],[A5type]],A5WastageRate[#All],2,FALSE)*Calculations[[#This Row],[A1-3]],0)</f>
        <v>0</v>
      </c>
      <c r="N148">
        <f>IFERROR(ROUNDUP(50/VLOOKUP(Calculations[[#This Row],[Scope Element]],B4referenceServiceLife[[Tier 2 element]:[Default Service Life]],2, FALSE)-1,0),0)</f>
        <v>0</v>
      </c>
      <c r="O148" s="322">
        <f>IFERROR((Calculations[[#This Row],[A1-3]]+Calculations[[#This Row],[A4]]+Calculations[[#This Row],[A5]]+Calculations[[#This Row],[C2 total]]+Calculations[[#This Row],[C3 total]]+Calculations[[#This Row],[C4 total]])*Calculations[[#This Row],[Replacements]],0)</f>
        <v>0</v>
      </c>
      <c r="S148" t="str">
        <f>IFERROR(VLOOKUP(Calculations[[#This Row],[Material (choose from dropdown]],MaterialData[#All],4,FALSE),"")</f>
        <v/>
      </c>
      <c r="T148" s="322" cm="1">
        <f t="array" ref="T148">IFERROR(VLOOKUP(Calculations[[#This Row],[Waste 1]],WasteScenario[#All],2,FALSE)*'Stage assumptions'!$C$225*WasteTransportMethod[Emissions Factor
kgCO2e/kg.km]*Calculations[[#This Row],[Total Kg]],0)</f>
        <v>0</v>
      </c>
      <c r="U148" s="322" cm="1">
        <f t="array" ref="U148">IFERROR(VLOOKUP(Calculations[[#This Row],[Waste 1]],WasteScenario[#All],3,FALSE)*'Stage assumptions'!$C$224*WasteTransportMethod[Emissions Factor
kgCO2e/kg.km]*Calculations[[#This Row],[Total Kg]],0)</f>
        <v>0</v>
      </c>
      <c r="V148" s="322" cm="1">
        <f t="array" ref="V148">IFERROR(VLOOKUP(Calculations[[#This Row],[Waste 1]],WasteScenario[#All],4,FALSE)*'Stage assumptions'!$C$223*WasteTransportMethod[Emissions Factor
kgCO2e/kg.km]*Calculations[[#This Row],[Total Kg]],0)</f>
        <v>0</v>
      </c>
      <c r="W148" s="322" cm="1">
        <f t="array" ref="W148">IFERROR(VLOOKUP(Calculations[[#This Row],[Waste 1]],WasteScenario[#All],5,FALSE)*'Stage assumptions'!$C$226*WasteTransportMethod[Emissions Factor
kgCO2e/kg.km]*Calculations[[#This Row],[Total Kg]],0)</f>
        <v>0</v>
      </c>
      <c r="X148" s="322">
        <f>SUM(Calculations[[#This Row],[C2 Recycle]:[C2 Reuse]])</f>
        <v>0</v>
      </c>
      <c r="Y148" t="str">
        <f>IFERROR(VLOOKUP(Calculations[[#This Row],[Material (choose from dropdown]],MaterialData[#All],5,FALSE),"")</f>
        <v/>
      </c>
      <c r="Z148" s="322">
        <f>IFERROR(((VLOOKUP(Calculations[[#This Row],[Waste type 2]],WasteDisposalEmissions[#All],2,FALSE))*Calculations[[#This Row],[Total Kg]])*VLOOKUP(Calculations[[#This Row],[Waste 1]],WasteScenario[#All],2,FALSE),0)</f>
        <v>0</v>
      </c>
      <c r="AA148" s="322">
        <f>IFERROR((VLOOKUP(Calculations[[#This Row],[Waste type 2]],WasteDisposalEmissions[#All],3,FALSE))*Calculations[[#This Row],[Total Kg]]*VLOOKUP(Calculations[[#This Row],[Waste 1]],WasteScenario[#All],3,FALSE),0)</f>
        <v>0</v>
      </c>
      <c r="AB148" s="322">
        <f>SUM(Calculations[[#This Row],[C3 recyc]:[C3 incin]])</f>
        <v>0</v>
      </c>
      <c r="AC148" s="322">
        <f>IFERROR((VLOOKUP(Calculations[[#This Row],[Waste type 2]],WasteLandfillEmissions[#All],2,FALSE))*Calculations[[#This Row],[Total Kg]]*VLOOKUP(Calculations[[#This Row],[Waste 1]],WasteScenario[#All],4,FALSE),0)</f>
        <v>0</v>
      </c>
      <c r="AD148" s="322">
        <f>IFERROR((VLOOKUP(Calculations[[#This Row],[Waste type 2]],WasteLandfillEmissions[#All],3,FALSE))*Calculations[[#This Row],[Total Kg]]*VLOOKUP(Calculations[[#This Row],[Waste 1]],WasteScenario[#All],4,FALSE),0)</f>
        <v>0</v>
      </c>
      <c r="AE148" s="322">
        <f>SUM(Calculations[[#This Row],[C4 landfill]:[C4 re-use]])</f>
        <v>0</v>
      </c>
      <c r="AF148" s="322">
        <f>IFERROR(VLOOKUP(Calculations[[#This Row],[Material (choose from dropdown]],MaterialData[#All],8,FALSE),0)</f>
        <v>0</v>
      </c>
      <c r="AG148" s="322">
        <f>IFERROR(Calculations[[#This Row],[Total Kg]]*Calculations[[#This Row],[Seq factor]],0)</f>
        <v>0</v>
      </c>
      <c r="AI148" s="322">
        <f>Calculations[[#This Row],[A1-3]]+Calculations[[#This Row],[A4]]+Calculations[[#This Row],[A5]]+Calculations[[#This Row],[B4]]+Calculations[[#This Row],[C2 total]]+Calculations[[#This Row],[C3 total]]+Calculations[[#This Row],[C4 total]]</f>
        <v>0</v>
      </c>
      <c r="AJ148" s="2">
        <f>IFERROR(VLOOKUP(Calculations[[#This Row],[Material (choose from dropdown]],MaterialData[[#Headers],[#Data]],9,FALSE),0)</f>
        <v>0</v>
      </c>
      <c r="AK148" s="4">
        <f>IFERROR(VLOOKUP(Calculations[[#This Row],[Material (choose from dropdown]],MaterialData[[#Headers],[#Data]],10,FALSE),0)</f>
        <v>0</v>
      </c>
      <c r="AL148" s="322">
        <f>IFERROR(Calculations[[#This Row],[Data Quality Score]]*Calculations[[#This Row],[Total Kg]],0)</f>
        <v>0</v>
      </c>
    </row>
    <row r="149" spans="1:38" x14ac:dyDescent="0.3">
      <c r="A149" s="6">
        <f>IFERROR(MaterialsBoQ[[#This Row],[Scope Element]],0)</f>
        <v>0</v>
      </c>
      <c r="B149">
        <f>IFERROR(MaterialsBoQ[[#This Row],[Material ]],"")</f>
        <v>0</v>
      </c>
      <c r="C149">
        <f>IFERROR(MaterialsBoQ[[#This Row],[Unit]],"")</f>
        <v>0</v>
      </c>
      <c r="D149" s="322">
        <f>IFERROR(MaterialsBoQ[[#This Row],[Number]],0)</f>
        <v>0</v>
      </c>
      <c r="E149" s="322">
        <f>IFERROR(MaterialsBoQ[[#This Row],[Kg per unit]],0)</f>
        <v>0</v>
      </c>
      <c r="F149" s="322">
        <f>IFERROR(Calculations[[#This Row],[Number]]*Calculations[[#This Row],[Conversion factor]],0)</f>
        <v>0</v>
      </c>
      <c r="G149" s="322">
        <f>IFERROR(VLOOKUP(Calculations[[#This Row],[Material (choose from dropdown]],MaterialData[#All],7,FALSE),0)</f>
        <v>0</v>
      </c>
      <c r="H149" s="322">
        <f>Calculations[[#This Row],[Total Kg]]*Calculations[[#This Row],[Carbon Factor]]</f>
        <v>0</v>
      </c>
      <c r="I149" t="str">
        <f>IFERROR(VLOOKUP(Calculations[[#This Row],[Material (choose from dropdown]],MaterialData[#All],2,FALSE),"")</f>
        <v/>
      </c>
      <c r="J149" s="322">
        <f>IFERROR(((VLOOKUP(Calculations[[#This Row],[TransportSource]],TransportDistance[],2,FALSE)*'Stage assumptions'!$C$11)+VLOOKUP(Calculations[[#This Row],[TransportSource]],TransportDistance[],3,FALSE)*'Stage assumptions'!$C$12)*Calculations[[#This Row],[Total Kg]],0)</f>
        <v>0</v>
      </c>
      <c r="K149">
        <f>IFERROR(VLOOKUP(Calculations[[#This Row],[Material (choose from dropdown]], MaterialData[#All],3, FALSE),0)</f>
        <v>0</v>
      </c>
      <c r="L149" s="322">
        <f>IFERROR(VLOOKUP(Calculations[[#This Row],[A5type]],A5WastageRate[#All],2,FALSE)*Calculations[[#This Row],[A1-3]],0)</f>
        <v>0</v>
      </c>
      <c r="N149">
        <f>IFERROR(ROUNDUP(50/VLOOKUP(Calculations[[#This Row],[Scope Element]],B4referenceServiceLife[[Tier 2 element]:[Default Service Life]],2, FALSE)-1,0),0)</f>
        <v>0</v>
      </c>
      <c r="O149" s="322">
        <f>IFERROR((Calculations[[#This Row],[A1-3]]+Calculations[[#This Row],[A4]]+Calculations[[#This Row],[A5]]+Calculations[[#This Row],[C2 total]]+Calculations[[#This Row],[C3 total]]+Calculations[[#This Row],[C4 total]])*Calculations[[#This Row],[Replacements]],0)</f>
        <v>0</v>
      </c>
      <c r="S149" t="str">
        <f>IFERROR(VLOOKUP(Calculations[[#This Row],[Material (choose from dropdown]],MaterialData[#All],4,FALSE),"")</f>
        <v/>
      </c>
      <c r="T149" s="322" cm="1">
        <f t="array" ref="T149">IFERROR(VLOOKUP(Calculations[[#This Row],[Waste 1]],WasteScenario[#All],2,FALSE)*'Stage assumptions'!$C$225*WasteTransportMethod[Emissions Factor
kgCO2e/kg.km]*Calculations[[#This Row],[Total Kg]],0)</f>
        <v>0</v>
      </c>
      <c r="U149" s="322" cm="1">
        <f t="array" ref="U149">IFERROR(VLOOKUP(Calculations[[#This Row],[Waste 1]],WasteScenario[#All],3,FALSE)*'Stage assumptions'!$C$224*WasteTransportMethod[Emissions Factor
kgCO2e/kg.km]*Calculations[[#This Row],[Total Kg]],0)</f>
        <v>0</v>
      </c>
      <c r="V149" s="322" cm="1">
        <f t="array" ref="V149">IFERROR(VLOOKUP(Calculations[[#This Row],[Waste 1]],WasteScenario[#All],4,FALSE)*'Stage assumptions'!$C$223*WasteTransportMethod[Emissions Factor
kgCO2e/kg.km]*Calculations[[#This Row],[Total Kg]],0)</f>
        <v>0</v>
      </c>
      <c r="W149" s="322" cm="1">
        <f t="array" ref="W149">IFERROR(VLOOKUP(Calculations[[#This Row],[Waste 1]],WasteScenario[#All],5,FALSE)*'Stage assumptions'!$C$226*WasteTransportMethod[Emissions Factor
kgCO2e/kg.km]*Calculations[[#This Row],[Total Kg]],0)</f>
        <v>0</v>
      </c>
      <c r="X149" s="322">
        <f>SUM(Calculations[[#This Row],[C2 Recycle]:[C2 Reuse]])</f>
        <v>0</v>
      </c>
      <c r="Y149" t="str">
        <f>IFERROR(VLOOKUP(Calculations[[#This Row],[Material (choose from dropdown]],MaterialData[#All],5,FALSE),"")</f>
        <v/>
      </c>
      <c r="Z149" s="322">
        <f>IFERROR(((VLOOKUP(Calculations[[#This Row],[Waste type 2]],WasteDisposalEmissions[#All],2,FALSE))*Calculations[[#This Row],[Total Kg]])*VLOOKUP(Calculations[[#This Row],[Waste 1]],WasteScenario[#All],2,FALSE),0)</f>
        <v>0</v>
      </c>
      <c r="AA149" s="322">
        <f>IFERROR((VLOOKUP(Calculations[[#This Row],[Waste type 2]],WasteDisposalEmissions[#All],3,FALSE))*Calculations[[#This Row],[Total Kg]]*VLOOKUP(Calculations[[#This Row],[Waste 1]],WasteScenario[#All],3,FALSE),0)</f>
        <v>0</v>
      </c>
      <c r="AB149" s="322">
        <f>SUM(Calculations[[#This Row],[C3 recyc]:[C3 incin]])</f>
        <v>0</v>
      </c>
      <c r="AC149" s="322">
        <f>IFERROR((VLOOKUP(Calculations[[#This Row],[Waste type 2]],WasteLandfillEmissions[#All],2,FALSE))*Calculations[[#This Row],[Total Kg]]*VLOOKUP(Calculations[[#This Row],[Waste 1]],WasteScenario[#All],4,FALSE),0)</f>
        <v>0</v>
      </c>
      <c r="AD149" s="322">
        <f>IFERROR((VLOOKUP(Calculations[[#This Row],[Waste type 2]],WasteLandfillEmissions[#All],3,FALSE))*Calculations[[#This Row],[Total Kg]]*VLOOKUP(Calculations[[#This Row],[Waste 1]],WasteScenario[#All],4,FALSE),0)</f>
        <v>0</v>
      </c>
      <c r="AE149" s="322">
        <f>SUM(Calculations[[#This Row],[C4 landfill]:[C4 re-use]])</f>
        <v>0</v>
      </c>
      <c r="AF149" s="322">
        <f>IFERROR(VLOOKUP(Calculations[[#This Row],[Material (choose from dropdown]],MaterialData[#All],8,FALSE),0)</f>
        <v>0</v>
      </c>
      <c r="AG149" s="322">
        <f>IFERROR(Calculations[[#This Row],[Total Kg]]*Calculations[[#This Row],[Seq factor]],0)</f>
        <v>0</v>
      </c>
      <c r="AI149" s="322">
        <f>Calculations[[#This Row],[A1-3]]+Calculations[[#This Row],[A4]]+Calculations[[#This Row],[A5]]+Calculations[[#This Row],[B4]]+Calculations[[#This Row],[C2 total]]+Calculations[[#This Row],[C3 total]]+Calculations[[#This Row],[C4 total]]</f>
        <v>0</v>
      </c>
      <c r="AJ149" s="2">
        <f>IFERROR(VLOOKUP(Calculations[[#This Row],[Material (choose from dropdown]],MaterialData[[#Headers],[#Data]],9,FALSE),0)</f>
        <v>0</v>
      </c>
      <c r="AK149" s="4">
        <f>IFERROR(VLOOKUP(Calculations[[#This Row],[Material (choose from dropdown]],MaterialData[[#Headers],[#Data]],10,FALSE),0)</f>
        <v>0</v>
      </c>
      <c r="AL149" s="322">
        <f>IFERROR(Calculations[[#This Row],[Data Quality Score]]*Calculations[[#This Row],[Total Kg]],0)</f>
        <v>0</v>
      </c>
    </row>
    <row r="150" spans="1:38" x14ac:dyDescent="0.3">
      <c r="A150" s="6">
        <f>IFERROR(MaterialsBoQ[[#This Row],[Scope Element]],0)</f>
        <v>0</v>
      </c>
      <c r="B150">
        <f>IFERROR(MaterialsBoQ[[#This Row],[Material ]],"")</f>
        <v>0</v>
      </c>
      <c r="C150">
        <f>IFERROR(MaterialsBoQ[[#This Row],[Unit]],"")</f>
        <v>0</v>
      </c>
      <c r="D150" s="322">
        <f>IFERROR(MaterialsBoQ[[#This Row],[Number]],0)</f>
        <v>0</v>
      </c>
      <c r="E150" s="322">
        <f>IFERROR(MaterialsBoQ[[#This Row],[Kg per unit]],0)</f>
        <v>0</v>
      </c>
      <c r="F150" s="322">
        <f>IFERROR(Calculations[[#This Row],[Number]]*Calculations[[#This Row],[Conversion factor]],0)</f>
        <v>0</v>
      </c>
      <c r="G150" s="322">
        <f>IFERROR(VLOOKUP(Calculations[[#This Row],[Material (choose from dropdown]],MaterialData[#All],7,FALSE),0)</f>
        <v>0</v>
      </c>
      <c r="H150" s="322">
        <f>Calculations[[#This Row],[Total Kg]]*Calculations[[#This Row],[Carbon Factor]]</f>
        <v>0</v>
      </c>
      <c r="I150" t="str">
        <f>IFERROR(VLOOKUP(Calculations[[#This Row],[Material (choose from dropdown]],MaterialData[#All],2,FALSE),"")</f>
        <v/>
      </c>
      <c r="J150" s="322">
        <f>IFERROR(((VLOOKUP(Calculations[[#This Row],[TransportSource]],TransportDistance[],2,FALSE)*'Stage assumptions'!$C$11)+VLOOKUP(Calculations[[#This Row],[TransportSource]],TransportDistance[],3,FALSE)*'Stage assumptions'!$C$12)*Calculations[[#This Row],[Total Kg]],0)</f>
        <v>0</v>
      </c>
      <c r="K150">
        <f>IFERROR(VLOOKUP(Calculations[[#This Row],[Material (choose from dropdown]], MaterialData[#All],3, FALSE),0)</f>
        <v>0</v>
      </c>
      <c r="L150" s="322">
        <f>IFERROR(VLOOKUP(Calculations[[#This Row],[A5type]],A5WastageRate[#All],2,FALSE)*Calculations[[#This Row],[A1-3]],0)</f>
        <v>0</v>
      </c>
      <c r="N150">
        <f>IFERROR(ROUNDUP(50/VLOOKUP(Calculations[[#This Row],[Scope Element]],B4referenceServiceLife[[Tier 2 element]:[Default Service Life]],2, FALSE)-1,0),0)</f>
        <v>0</v>
      </c>
      <c r="O150" s="322">
        <f>IFERROR((Calculations[[#This Row],[A1-3]]+Calculations[[#This Row],[A4]]+Calculations[[#This Row],[A5]]+Calculations[[#This Row],[C2 total]]+Calculations[[#This Row],[C3 total]]+Calculations[[#This Row],[C4 total]])*Calculations[[#This Row],[Replacements]],0)</f>
        <v>0</v>
      </c>
      <c r="S150" t="str">
        <f>IFERROR(VLOOKUP(Calculations[[#This Row],[Material (choose from dropdown]],MaterialData[#All],4,FALSE),"")</f>
        <v/>
      </c>
      <c r="T150" s="322" cm="1">
        <f t="array" ref="T150">IFERROR(VLOOKUP(Calculations[[#This Row],[Waste 1]],WasteScenario[#All],2,FALSE)*'Stage assumptions'!$C$225*WasteTransportMethod[Emissions Factor
kgCO2e/kg.km]*Calculations[[#This Row],[Total Kg]],0)</f>
        <v>0</v>
      </c>
      <c r="U150" s="322" cm="1">
        <f t="array" ref="U150">IFERROR(VLOOKUP(Calculations[[#This Row],[Waste 1]],WasteScenario[#All],3,FALSE)*'Stage assumptions'!$C$224*WasteTransportMethod[Emissions Factor
kgCO2e/kg.km]*Calculations[[#This Row],[Total Kg]],0)</f>
        <v>0</v>
      </c>
      <c r="V150" s="322" cm="1">
        <f t="array" ref="V150">IFERROR(VLOOKUP(Calculations[[#This Row],[Waste 1]],WasteScenario[#All],4,FALSE)*'Stage assumptions'!$C$223*WasteTransportMethod[Emissions Factor
kgCO2e/kg.km]*Calculations[[#This Row],[Total Kg]],0)</f>
        <v>0</v>
      </c>
      <c r="W150" s="322" cm="1">
        <f t="array" ref="W150">IFERROR(VLOOKUP(Calculations[[#This Row],[Waste 1]],WasteScenario[#All],5,FALSE)*'Stage assumptions'!$C$226*WasteTransportMethod[Emissions Factor
kgCO2e/kg.km]*Calculations[[#This Row],[Total Kg]],0)</f>
        <v>0</v>
      </c>
      <c r="X150" s="322">
        <f>SUM(Calculations[[#This Row],[C2 Recycle]:[C2 Reuse]])</f>
        <v>0</v>
      </c>
      <c r="Y150" t="str">
        <f>IFERROR(VLOOKUP(Calculations[[#This Row],[Material (choose from dropdown]],MaterialData[#All],5,FALSE),"")</f>
        <v/>
      </c>
      <c r="Z150" s="322">
        <f>IFERROR(((VLOOKUP(Calculations[[#This Row],[Waste type 2]],WasteDisposalEmissions[#All],2,FALSE))*Calculations[[#This Row],[Total Kg]])*VLOOKUP(Calculations[[#This Row],[Waste 1]],WasteScenario[#All],2,FALSE),0)</f>
        <v>0</v>
      </c>
      <c r="AA150" s="322">
        <f>IFERROR((VLOOKUP(Calculations[[#This Row],[Waste type 2]],WasteDisposalEmissions[#All],3,FALSE))*Calculations[[#This Row],[Total Kg]]*VLOOKUP(Calculations[[#This Row],[Waste 1]],WasteScenario[#All],3,FALSE),0)</f>
        <v>0</v>
      </c>
      <c r="AB150" s="322">
        <f>SUM(Calculations[[#This Row],[C3 recyc]:[C3 incin]])</f>
        <v>0</v>
      </c>
      <c r="AC150" s="322">
        <f>IFERROR((VLOOKUP(Calculations[[#This Row],[Waste type 2]],WasteLandfillEmissions[#All],2,FALSE))*Calculations[[#This Row],[Total Kg]]*VLOOKUP(Calculations[[#This Row],[Waste 1]],WasteScenario[#All],4,FALSE),0)</f>
        <v>0</v>
      </c>
      <c r="AD150" s="322">
        <f>IFERROR((VLOOKUP(Calculations[[#This Row],[Waste type 2]],WasteLandfillEmissions[#All],3,FALSE))*Calculations[[#This Row],[Total Kg]]*VLOOKUP(Calculations[[#This Row],[Waste 1]],WasteScenario[#All],4,FALSE),0)</f>
        <v>0</v>
      </c>
      <c r="AE150" s="322">
        <f>SUM(Calculations[[#This Row],[C4 landfill]:[C4 re-use]])</f>
        <v>0</v>
      </c>
      <c r="AF150" s="322">
        <f>IFERROR(VLOOKUP(Calculations[[#This Row],[Material (choose from dropdown]],MaterialData[#All],8,FALSE),0)</f>
        <v>0</v>
      </c>
      <c r="AG150" s="322">
        <f>IFERROR(Calculations[[#This Row],[Total Kg]]*Calculations[[#This Row],[Seq factor]],0)</f>
        <v>0</v>
      </c>
      <c r="AI150" s="322">
        <f>Calculations[[#This Row],[A1-3]]+Calculations[[#This Row],[A4]]+Calculations[[#This Row],[A5]]+Calculations[[#This Row],[B4]]+Calculations[[#This Row],[C2 total]]+Calculations[[#This Row],[C3 total]]+Calculations[[#This Row],[C4 total]]</f>
        <v>0</v>
      </c>
      <c r="AJ150" s="2">
        <f>IFERROR(VLOOKUP(Calculations[[#This Row],[Material (choose from dropdown]],MaterialData[[#Headers],[#Data]],9,FALSE),0)</f>
        <v>0</v>
      </c>
      <c r="AK150" s="4">
        <f>IFERROR(VLOOKUP(Calculations[[#This Row],[Material (choose from dropdown]],MaterialData[[#Headers],[#Data]],10,FALSE),0)</f>
        <v>0</v>
      </c>
      <c r="AL150" s="322">
        <f>IFERROR(Calculations[[#This Row],[Data Quality Score]]*Calculations[[#This Row],[Total Kg]],0)</f>
        <v>0</v>
      </c>
    </row>
    <row r="151" spans="1:38" x14ac:dyDescent="0.3">
      <c r="A151" s="6">
        <f>IFERROR(MaterialsBoQ[[#This Row],[Scope Element]],0)</f>
        <v>0</v>
      </c>
      <c r="B151">
        <f>IFERROR(MaterialsBoQ[[#This Row],[Material ]],"")</f>
        <v>0</v>
      </c>
      <c r="C151">
        <f>IFERROR(MaterialsBoQ[[#This Row],[Unit]],"")</f>
        <v>0</v>
      </c>
      <c r="D151" s="322">
        <f>IFERROR(MaterialsBoQ[[#This Row],[Number]],0)</f>
        <v>0</v>
      </c>
      <c r="E151" s="322">
        <f>IFERROR(MaterialsBoQ[[#This Row],[Kg per unit]],0)</f>
        <v>0</v>
      </c>
      <c r="F151" s="322">
        <f>IFERROR(Calculations[[#This Row],[Number]]*Calculations[[#This Row],[Conversion factor]],0)</f>
        <v>0</v>
      </c>
      <c r="G151" s="322">
        <f>IFERROR(VLOOKUP(Calculations[[#This Row],[Material (choose from dropdown]],MaterialData[#All],7,FALSE),0)</f>
        <v>0</v>
      </c>
      <c r="H151" s="322">
        <f>Calculations[[#This Row],[Total Kg]]*Calculations[[#This Row],[Carbon Factor]]</f>
        <v>0</v>
      </c>
      <c r="I151" t="str">
        <f>IFERROR(VLOOKUP(Calculations[[#This Row],[Material (choose from dropdown]],MaterialData[#All],2,FALSE),"")</f>
        <v/>
      </c>
      <c r="J151" s="322">
        <f>IFERROR(((VLOOKUP(Calculations[[#This Row],[TransportSource]],TransportDistance[],2,FALSE)*'Stage assumptions'!$C$11)+VLOOKUP(Calculations[[#This Row],[TransportSource]],TransportDistance[],3,FALSE)*'Stage assumptions'!$C$12)*Calculations[[#This Row],[Total Kg]],0)</f>
        <v>0</v>
      </c>
      <c r="K151">
        <f>IFERROR(VLOOKUP(Calculations[[#This Row],[Material (choose from dropdown]], MaterialData[#All],3, FALSE),0)</f>
        <v>0</v>
      </c>
      <c r="L151" s="322">
        <f>IFERROR(VLOOKUP(Calculations[[#This Row],[A5type]],A5WastageRate[#All],2,FALSE)*Calculations[[#This Row],[A1-3]],0)</f>
        <v>0</v>
      </c>
      <c r="N151">
        <f>IFERROR(ROUNDUP(50/VLOOKUP(Calculations[[#This Row],[Scope Element]],B4referenceServiceLife[[Tier 2 element]:[Default Service Life]],2, FALSE)-1,0),0)</f>
        <v>0</v>
      </c>
      <c r="O151" s="322">
        <f>IFERROR((Calculations[[#This Row],[A1-3]]+Calculations[[#This Row],[A4]]+Calculations[[#This Row],[A5]]+Calculations[[#This Row],[C2 total]]+Calculations[[#This Row],[C3 total]]+Calculations[[#This Row],[C4 total]])*Calculations[[#This Row],[Replacements]],0)</f>
        <v>0</v>
      </c>
      <c r="S151" t="str">
        <f>IFERROR(VLOOKUP(Calculations[[#This Row],[Material (choose from dropdown]],MaterialData[#All],4,FALSE),"")</f>
        <v/>
      </c>
      <c r="T151" s="322" cm="1">
        <f t="array" ref="T151">IFERROR(VLOOKUP(Calculations[[#This Row],[Waste 1]],WasteScenario[#All],2,FALSE)*'Stage assumptions'!$C$225*WasteTransportMethod[Emissions Factor
kgCO2e/kg.km]*Calculations[[#This Row],[Total Kg]],0)</f>
        <v>0</v>
      </c>
      <c r="U151" s="322" cm="1">
        <f t="array" ref="U151">IFERROR(VLOOKUP(Calculations[[#This Row],[Waste 1]],WasteScenario[#All],3,FALSE)*'Stage assumptions'!$C$224*WasteTransportMethod[Emissions Factor
kgCO2e/kg.km]*Calculations[[#This Row],[Total Kg]],0)</f>
        <v>0</v>
      </c>
      <c r="V151" s="322" cm="1">
        <f t="array" ref="V151">IFERROR(VLOOKUP(Calculations[[#This Row],[Waste 1]],WasteScenario[#All],4,FALSE)*'Stage assumptions'!$C$223*WasteTransportMethod[Emissions Factor
kgCO2e/kg.km]*Calculations[[#This Row],[Total Kg]],0)</f>
        <v>0</v>
      </c>
      <c r="W151" s="322" cm="1">
        <f t="array" ref="W151">IFERROR(VLOOKUP(Calculations[[#This Row],[Waste 1]],WasteScenario[#All],5,FALSE)*'Stage assumptions'!$C$226*WasteTransportMethod[Emissions Factor
kgCO2e/kg.km]*Calculations[[#This Row],[Total Kg]],0)</f>
        <v>0</v>
      </c>
      <c r="X151" s="322">
        <f>SUM(Calculations[[#This Row],[C2 Recycle]:[C2 Reuse]])</f>
        <v>0</v>
      </c>
      <c r="Y151" t="str">
        <f>IFERROR(VLOOKUP(Calculations[[#This Row],[Material (choose from dropdown]],MaterialData[#All],5,FALSE),"")</f>
        <v/>
      </c>
      <c r="Z151" s="322">
        <f>IFERROR(((VLOOKUP(Calculations[[#This Row],[Waste type 2]],WasteDisposalEmissions[#All],2,FALSE))*Calculations[[#This Row],[Total Kg]])*VLOOKUP(Calculations[[#This Row],[Waste 1]],WasteScenario[#All],2,FALSE),0)</f>
        <v>0</v>
      </c>
      <c r="AA151" s="322">
        <f>IFERROR((VLOOKUP(Calculations[[#This Row],[Waste type 2]],WasteDisposalEmissions[#All],3,FALSE))*Calculations[[#This Row],[Total Kg]]*VLOOKUP(Calculations[[#This Row],[Waste 1]],WasteScenario[#All],3,FALSE),0)</f>
        <v>0</v>
      </c>
      <c r="AB151" s="322">
        <f>SUM(Calculations[[#This Row],[C3 recyc]:[C3 incin]])</f>
        <v>0</v>
      </c>
      <c r="AC151" s="322">
        <f>IFERROR((VLOOKUP(Calculations[[#This Row],[Waste type 2]],WasteLandfillEmissions[#All],2,FALSE))*Calculations[[#This Row],[Total Kg]]*VLOOKUP(Calculations[[#This Row],[Waste 1]],WasteScenario[#All],4,FALSE),0)</f>
        <v>0</v>
      </c>
      <c r="AD151" s="322">
        <f>IFERROR((VLOOKUP(Calculations[[#This Row],[Waste type 2]],WasteLandfillEmissions[#All],3,FALSE))*Calculations[[#This Row],[Total Kg]]*VLOOKUP(Calculations[[#This Row],[Waste 1]],WasteScenario[#All],4,FALSE),0)</f>
        <v>0</v>
      </c>
      <c r="AE151" s="322">
        <f>SUM(Calculations[[#This Row],[C4 landfill]:[C4 re-use]])</f>
        <v>0</v>
      </c>
      <c r="AF151" s="322">
        <f>IFERROR(VLOOKUP(Calculations[[#This Row],[Material (choose from dropdown]],MaterialData[#All],8,FALSE),0)</f>
        <v>0</v>
      </c>
      <c r="AG151" s="322">
        <f>IFERROR(Calculations[[#This Row],[Total Kg]]*Calculations[[#This Row],[Seq factor]],0)</f>
        <v>0</v>
      </c>
      <c r="AI151" s="322">
        <f>Calculations[[#This Row],[A1-3]]+Calculations[[#This Row],[A4]]+Calculations[[#This Row],[A5]]+Calculations[[#This Row],[B4]]+Calculations[[#This Row],[C2 total]]+Calculations[[#This Row],[C3 total]]+Calculations[[#This Row],[C4 total]]</f>
        <v>0</v>
      </c>
      <c r="AJ151" s="2">
        <f>IFERROR(VLOOKUP(Calculations[[#This Row],[Material (choose from dropdown]],MaterialData[[#Headers],[#Data]],9,FALSE),0)</f>
        <v>0</v>
      </c>
      <c r="AK151" s="4">
        <f>IFERROR(VLOOKUP(Calculations[[#This Row],[Material (choose from dropdown]],MaterialData[[#Headers],[#Data]],10,FALSE),0)</f>
        <v>0</v>
      </c>
      <c r="AL151" s="322">
        <f>IFERROR(Calculations[[#This Row],[Data Quality Score]]*Calculations[[#This Row],[Total Kg]],0)</f>
        <v>0</v>
      </c>
    </row>
    <row r="152" spans="1:38" x14ac:dyDescent="0.3">
      <c r="A152" s="6">
        <f>IFERROR(MaterialsBoQ[[#This Row],[Scope Element]],0)</f>
        <v>0</v>
      </c>
      <c r="B152">
        <f>IFERROR(MaterialsBoQ[[#This Row],[Material ]],"")</f>
        <v>0</v>
      </c>
      <c r="C152">
        <f>IFERROR(MaterialsBoQ[[#This Row],[Unit]],"")</f>
        <v>0</v>
      </c>
      <c r="D152" s="322">
        <f>IFERROR(MaterialsBoQ[[#This Row],[Number]],0)</f>
        <v>0</v>
      </c>
      <c r="E152" s="322">
        <f>IFERROR(MaterialsBoQ[[#This Row],[Kg per unit]],0)</f>
        <v>0</v>
      </c>
      <c r="F152" s="322">
        <f>IFERROR(Calculations[[#This Row],[Number]]*Calculations[[#This Row],[Conversion factor]],0)</f>
        <v>0</v>
      </c>
      <c r="G152" s="322">
        <f>IFERROR(VLOOKUP(Calculations[[#This Row],[Material (choose from dropdown]],MaterialData[#All],7,FALSE),0)</f>
        <v>0</v>
      </c>
      <c r="H152" s="322">
        <f>Calculations[[#This Row],[Total Kg]]*Calculations[[#This Row],[Carbon Factor]]</f>
        <v>0</v>
      </c>
      <c r="I152" t="str">
        <f>IFERROR(VLOOKUP(Calculations[[#This Row],[Material (choose from dropdown]],MaterialData[#All],2,FALSE),"")</f>
        <v/>
      </c>
      <c r="J152" s="322">
        <f>IFERROR(((VLOOKUP(Calculations[[#This Row],[TransportSource]],TransportDistance[],2,FALSE)*'Stage assumptions'!$C$11)+VLOOKUP(Calculations[[#This Row],[TransportSource]],TransportDistance[],3,FALSE)*'Stage assumptions'!$C$12)*Calculations[[#This Row],[Total Kg]],0)</f>
        <v>0</v>
      </c>
      <c r="K152">
        <f>IFERROR(VLOOKUP(Calculations[[#This Row],[Material (choose from dropdown]], MaterialData[#All],3, FALSE),0)</f>
        <v>0</v>
      </c>
      <c r="L152" s="322">
        <f>IFERROR(VLOOKUP(Calculations[[#This Row],[A5type]],A5WastageRate[#All],2,FALSE)*Calculations[[#This Row],[A1-3]],0)</f>
        <v>0</v>
      </c>
      <c r="N152">
        <f>IFERROR(ROUNDUP(50/VLOOKUP(Calculations[[#This Row],[Scope Element]],B4referenceServiceLife[[Tier 2 element]:[Default Service Life]],2, FALSE)-1,0),0)</f>
        <v>0</v>
      </c>
      <c r="O152" s="322">
        <f>IFERROR((Calculations[[#This Row],[A1-3]]+Calculations[[#This Row],[A4]]+Calculations[[#This Row],[A5]]+Calculations[[#This Row],[C2 total]]+Calculations[[#This Row],[C3 total]]+Calculations[[#This Row],[C4 total]])*Calculations[[#This Row],[Replacements]],0)</f>
        <v>0</v>
      </c>
      <c r="S152" t="str">
        <f>IFERROR(VLOOKUP(Calculations[[#This Row],[Material (choose from dropdown]],MaterialData[#All],4,FALSE),"")</f>
        <v/>
      </c>
      <c r="T152" s="322" cm="1">
        <f t="array" ref="T152">IFERROR(VLOOKUP(Calculations[[#This Row],[Waste 1]],WasteScenario[#All],2,FALSE)*'Stage assumptions'!$C$225*WasteTransportMethod[Emissions Factor
kgCO2e/kg.km]*Calculations[[#This Row],[Total Kg]],0)</f>
        <v>0</v>
      </c>
      <c r="U152" s="322" cm="1">
        <f t="array" ref="U152">IFERROR(VLOOKUP(Calculations[[#This Row],[Waste 1]],WasteScenario[#All],3,FALSE)*'Stage assumptions'!$C$224*WasteTransportMethod[Emissions Factor
kgCO2e/kg.km]*Calculations[[#This Row],[Total Kg]],0)</f>
        <v>0</v>
      </c>
      <c r="V152" s="322" cm="1">
        <f t="array" ref="V152">IFERROR(VLOOKUP(Calculations[[#This Row],[Waste 1]],WasteScenario[#All],4,FALSE)*'Stage assumptions'!$C$223*WasteTransportMethod[Emissions Factor
kgCO2e/kg.km]*Calculations[[#This Row],[Total Kg]],0)</f>
        <v>0</v>
      </c>
      <c r="W152" s="322" cm="1">
        <f t="array" ref="W152">IFERROR(VLOOKUP(Calculations[[#This Row],[Waste 1]],WasteScenario[#All],5,FALSE)*'Stage assumptions'!$C$226*WasteTransportMethod[Emissions Factor
kgCO2e/kg.km]*Calculations[[#This Row],[Total Kg]],0)</f>
        <v>0</v>
      </c>
      <c r="X152" s="322">
        <f>SUM(Calculations[[#This Row],[C2 Recycle]:[C2 Reuse]])</f>
        <v>0</v>
      </c>
      <c r="Y152" t="str">
        <f>IFERROR(VLOOKUP(Calculations[[#This Row],[Material (choose from dropdown]],MaterialData[#All],5,FALSE),"")</f>
        <v/>
      </c>
      <c r="Z152" s="322">
        <f>IFERROR(((VLOOKUP(Calculations[[#This Row],[Waste type 2]],WasteDisposalEmissions[#All],2,FALSE))*Calculations[[#This Row],[Total Kg]])*VLOOKUP(Calculations[[#This Row],[Waste 1]],WasteScenario[#All],2,FALSE),0)</f>
        <v>0</v>
      </c>
      <c r="AA152" s="322">
        <f>IFERROR((VLOOKUP(Calculations[[#This Row],[Waste type 2]],WasteDisposalEmissions[#All],3,FALSE))*Calculations[[#This Row],[Total Kg]]*VLOOKUP(Calculations[[#This Row],[Waste 1]],WasteScenario[#All],3,FALSE),0)</f>
        <v>0</v>
      </c>
      <c r="AB152" s="322">
        <f>SUM(Calculations[[#This Row],[C3 recyc]:[C3 incin]])</f>
        <v>0</v>
      </c>
      <c r="AC152" s="322">
        <f>IFERROR((VLOOKUP(Calculations[[#This Row],[Waste type 2]],WasteLandfillEmissions[#All],2,FALSE))*Calculations[[#This Row],[Total Kg]]*VLOOKUP(Calculations[[#This Row],[Waste 1]],WasteScenario[#All],4,FALSE),0)</f>
        <v>0</v>
      </c>
      <c r="AD152" s="322">
        <f>IFERROR((VLOOKUP(Calculations[[#This Row],[Waste type 2]],WasteLandfillEmissions[#All],3,FALSE))*Calculations[[#This Row],[Total Kg]]*VLOOKUP(Calculations[[#This Row],[Waste 1]],WasteScenario[#All],4,FALSE),0)</f>
        <v>0</v>
      </c>
      <c r="AE152" s="322">
        <f>SUM(Calculations[[#This Row],[C4 landfill]:[C4 re-use]])</f>
        <v>0</v>
      </c>
      <c r="AF152" s="322">
        <f>IFERROR(VLOOKUP(Calculations[[#This Row],[Material (choose from dropdown]],MaterialData[#All],8,FALSE),0)</f>
        <v>0</v>
      </c>
      <c r="AG152" s="322">
        <f>IFERROR(Calculations[[#This Row],[Total Kg]]*Calculations[[#This Row],[Seq factor]],0)</f>
        <v>0</v>
      </c>
      <c r="AI152" s="322">
        <f>Calculations[[#This Row],[A1-3]]+Calculations[[#This Row],[A4]]+Calculations[[#This Row],[A5]]+Calculations[[#This Row],[B4]]+Calculations[[#This Row],[C2 total]]+Calculations[[#This Row],[C3 total]]+Calculations[[#This Row],[C4 total]]</f>
        <v>0</v>
      </c>
      <c r="AJ152" s="2">
        <f>IFERROR(VLOOKUP(Calculations[[#This Row],[Material (choose from dropdown]],MaterialData[[#Headers],[#Data]],9,FALSE),0)</f>
        <v>0</v>
      </c>
      <c r="AK152" s="4">
        <f>IFERROR(VLOOKUP(Calculations[[#This Row],[Material (choose from dropdown]],MaterialData[[#Headers],[#Data]],10,FALSE),0)</f>
        <v>0</v>
      </c>
      <c r="AL152" s="322">
        <f>IFERROR(Calculations[[#This Row],[Data Quality Score]]*Calculations[[#This Row],[Total Kg]],0)</f>
        <v>0</v>
      </c>
    </row>
    <row r="153" spans="1:38" x14ac:dyDescent="0.3">
      <c r="A153" s="6">
        <f>IFERROR(MaterialsBoQ[[#This Row],[Scope Element]],0)</f>
        <v>0</v>
      </c>
      <c r="B153">
        <f>IFERROR(MaterialsBoQ[[#This Row],[Material ]],"")</f>
        <v>0</v>
      </c>
      <c r="C153">
        <f>IFERROR(MaterialsBoQ[[#This Row],[Unit]],"")</f>
        <v>0</v>
      </c>
      <c r="D153" s="322">
        <f>IFERROR(MaterialsBoQ[[#This Row],[Number]],0)</f>
        <v>0</v>
      </c>
      <c r="E153" s="322">
        <f>IFERROR(MaterialsBoQ[[#This Row],[Kg per unit]],0)</f>
        <v>0</v>
      </c>
      <c r="F153" s="322">
        <f>IFERROR(Calculations[[#This Row],[Number]]*Calculations[[#This Row],[Conversion factor]],0)</f>
        <v>0</v>
      </c>
      <c r="G153" s="322">
        <f>IFERROR(VLOOKUP(Calculations[[#This Row],[Material (choose from dropdown]],MaterialData[#All],7,FALSE),0)</f>
        <v>0</v>
      </c>
      <c r="H153" s="322">
        <f>Calculations[[#This Row],[Total Kg]]*Calculations[[#This Row],[Carbon Factor]]</f>
        <v>0</v>
      </c>
      <c r="I153" t="str">
        <f>IFERROR(VLOOKUP(Calculations[[#This Row],[Material (choose from dropdown]],MaterialData[#All],2,FALSE),"")</f>
        <v/>
      </c>
      <c r="J153" s="322">
        <f>IFERROR(((VLOOKUP(Calculations[[#This Row],[TransportSource]],TransportDistance[],2,FALSE)*'Stage assumptions'!$C$11)+VLOOKUP(Calculations[[#This Row],[TransportSource]],TransportDistance[],3,FALSE)*'Stage assumptions'!$C$12)*Calculations[[#This Row],[Total Kg]],0)</f>
        <v>0</v>
      </c>
      <c r="K153">
        <f>IFERROR(VLOOKUP(Calculations[[#This Row],[Material (choose from dropdown]], MaterialData[#All],3, FALSE),0)</f>
        <v>0</v>
      </c>
      <c r="L153" s="322">
        <f>IFERROR(VLOOKUP(Calculations[[#This Row],[A5type]],A5WastageRate[#All],2,FALSE)*Calculations[[#This Row],[A1-3]],0)</f>
        <v>0</v>
      </c>
      <c r="N153">
        <f>IFERROR(ROUNDUP(50/VLOOKUP(Calculations[[#This Row],[Scope Element]],B4referenceServiceLife[[Tier 2 element]:[Default Service Life]],2, FALSE)-1,0),0)</f>
        <v>0</v>
      </c>
      <c r="O153" s="322">
        <f>IFERROR((Calculations[[#This Row],[A1-3]]+Calculations[[#This Row],[A4]]+Calculations[[#This Row],[A5]]+Calculations[[#This Row],[C2 total]]+Calculations[[#This Row],[C3 total]]+Calculations[[#This Row],[C4 total]])*Calculations[[#This Row],[Replacements]],0)</f>
        <v>0</v>
      </c>
      <c r="S153" t="str">
        <f>IFERROR(VLOOKUP(Calculations[[#This Row],[Material (choose from dropdown]],MaterialData[#All],4,FALSE),"")</f>
        <v/>
      </c>
      <c r="T153" s="322" cm="1">
        <f t="array" ref="T153">IFERROR(VLOOKUP(Calculations[[#This Row],[Waste 1]],WasteScenario[#All],2,FALSE)*'Stage assumptions'!$C$225*WasteTransportMethod[Emissions Factor
kgCO2e/kg.km]*Calculations[[#This Row],[Total Kg]],0)</f>
        <v>0</v>
      </c>
      <c r="U153" s="322" cm="1">
        <f t="array" ref="U153">IFERROR(VLOOKUP(Calculations[[#This Row],[Waste 1]],WasteScenario[#All],3,FALSE)*'Stage assumptions'!$C$224*WasteTransportMethod[Emissions Factor
kgCO2e/kg.km]*Calculations[[#This Row],[Total Kg]],0)</f>
        <v>0</v>
      </c>
      <c r="V153" s="322" cm="1">
        <f t="array" ref="V153">IFERROR(VLOOKUP(Calculations[[#This Row],[Waste 1]],WasteScenario[#All],4,FALSE)*'Stage assumptions'!$C$223*WasteTransportMethod[Emissions Factor
kgCO2e/kg.km]*Calculations[[#This Row],[Total Kg]],0)</f>
        <v>0</v>
      </c>
      <c r="W153" s="322" cm="1">
        <f t="array" ref="W153">IFERROR(VLOOKUP(Calculations[[#This Row],[Waste 1]],WasteScenario[#All],5,FALSE)*'Stage assumptions'!$C$226*WasteTransportMethod[Emissions Factor
kgCO2e/kg.km]*Calculations[[#This Row],[Total Kg]],0)</f>
        <v>0</v>
      </c>
      <c r="X153" s="322">
        <f>SUM(Calculations[[#This Row],[C2 Recycle]:[C2 Reuse]])</f>
        <v>0</v>
      </c>
      <c r="Y153" t="str">
        <f>IFERROR(VLOOKUP(Calculations[[#This Row],[Material (choose from dropdown]],MaterialData[#All],5,FALSE),"")</f>
        <v/>
      </c>
      <c r="Z153" s="322">
        <f>IFERROR(((VLOOKUP(Calculations[[#This Row],[Waste type 2]],WasteDisposalEmissions[#All],2,FALSE))*Calculations[[#This Row],[Total Kg]])*VLOOKUP(Calculations[[#This Row],[Waste 1]],WasteScenario[#All],2,FALSE),0)</f>
        <v>0</v>
      </c>
      <c r="AA153" s="322">
        <f>IFERROR((VLOOKUP(Calculations[[#This Row],[Waste type 2]],WasteDisposalEmissions[#All],3,FALSE))*Calculations[[#This Row],[Total Kg]]*VLOOKUP(Calculations[[#This Row],[Waste 1]],WasteScenario[#All],3,FALSE),0)</f>
        <v>0</v>
      </c>
      <c r="AB153" s="322">
        <f>SUM(Calculations[[#This Row],[C3 recyc]:[C3 incin]])</f>
        <v>0</v>
      </c>
      <c r="AC153" s="322">
        <f>IFERROR((VLOOKUP(Calculations[[#This Row],[Waste type 2]],WasteLandfillEmissions[#All],2,FALSE))*Calculations[[#This Row],[Total Kg]]*VLOOKUP(Calculations[[#This Row],[Waste 1]],WasteScenario[#All],4,FALSE),0)</f>
        <v>0</v>
      </c>
      <c r="AD153" s="322">
        <f>IFERROR((VLOOKUP(Calculations[[#This Row],[Waste type 2]],WasteLandfillEmissions[#All],3,FALSE))*Calculations[[#This Row],[Total Kg]]*VLOOKUP(Calculations[[#This Row],[Waste 1]],WasteScenario[#All],4,FALSE),0)</f>
        <v>0</v>
      </c>
      <c r="AE153" s="322">
        <f>SUM(Calculations[[#This Row],[C4 landfill]:[C4 re-use]])</f>
        <v>0</v>
      </c>
      <c r="AF153" s="322">
        <f>IFERROR(VLOOKUP(Calculations[[#This Row],[Material (choose from dropdown]],MaterialData[#All],8,FALSE),0)</f>
        <v>0</v>
      </c>
      <c r="AG153" s="322">
        <f>IFERROR(Calculations[[#This Row],[Total Kg]]*Calculations[[#This Row],[Seq factor]],0)</f>
        <v>0</v>
      </c>
      <c r="AI153" s="322">
        <f>Calculations[[#This Row],[A1-3]]+Calculations[[#This Row],[A4]]+Calculations[[#This Row],[A5]]+Calculations[[#This Row],[B4]]+Calculations[[#This Row],[C2 total]]+Calculations[[#This Row],[C3 total]]+Calculations[[#This Row],[C4 total]]</f>
        <v>0</v>
      </c>
      <c r="AJ153" s="2">
        <f>IFERROR(VLOOKUP(Calculations[[#This Row],[Material (choose from dropdown]],MaterialData[[#Headers],[#Data]],9,FALSE),0)</f>
        <v>0</v>
      </c>
      <c r="AK153" s="4">
        <f>IFERROR(VLOOKUP(Calculations[[#This Row],[Material (choose from dropdown]],MaterialData[[#Headers],[#Data]],10,FALSE),0)</f>
        <v>0</v>
      </c>
      <c r="AL153" s="322">
        <f>IFERROR(Calculations[[#This Row],[Data Quality Score]]*Calculations[[#This Row],[Total Kg]],0)</f>
        <v>0</v>
      </c>
    </row>
    <row r="154" spans="1:38" x14ac:dyDescent="0.3">
      <c r="A154" s="6">
        <f>IFERROR(MaterialsBoQ[[#This Row],[Scope Element]],0)</f>
        <v>0</v>
      </c>
      <c r="B154">
        <f>IFERROR(MaterialsBoQ[[#This Row],[Material ]],"")</f>
        <v>0</v>
      </c>
      <c r="C154">
        <f>IFERROR(MaterialsBoQ[[#This Row],[Unit]],"")</f>
        <v>0</v>
      </c>
      <c r="D154" s="322">
        <f>IFERROR(MaterialsBoQ[[#This Row],[Number]],0)</f>
        <v>0</v>
      </c>
      <c r="E154" s="322">
        <f>IFERROR(MaterialsBoQ[[#This Row],[Kg per unit]],0)</f>
        <v>0</v>
      </c>
      <c r="F154" s="322">
        <f>IFERROR(Calculations[[#This Row],[Number]]*Calculations[[#This Row],[Conversion factor]],0)</f>
        <v>0</v>
      </c>
      <c r="G154" s="322">
        <f>IFERROR(VLOOKUP(Calculations[[#This Row],[Material (choose from dropdown]],MaterialData[#All],7,FALSE),0)</f>
        <v>0</v>
      </c>
      <c r="H154" s="322">
        <f>Calculations[[#This Row],[Total Kg]]*Calculations[[#This Row],[Carbon Factor]]</f>
        <v>0</v>
      </c>
      <c r="I154" t="str">
        <f>IFERROR(VLOOKUP(Calculations[[#This Row],[Material (choose from dropdown]],MaterialData[#All],2,FALSE),"")</f>
        <v/>
      </c>
      <c r="J154" s="322">
        <f>IFERROR(((VLOOKUP(Calculations[[#This Row],[TransportSource]],TransportDistance[],2,FALSE)*'Stage assumptions'!$C$11)+VLOOKUP(Calculations[[#This Row],[TransportSource]],TransportDistance[],3,FALSE)*'Stage assumptions'!$C$12)*Calculations[[#This Row],[Total Kg]],0)</f>
        <v>0</v>
      </c>
      <c r="K154">
        <f>IFERROR(VLOOKUP(Calculations[[#This Row],[Material (choose from dropdown]], MaterialData[#All],3, FALSE),0)</f>
        <v>0</v>
      </c>
      <c r="L154" s="322">
        <f>IFERROR(VLOOKUP(Calculations[[#This Row],[A5type]],A5WastageRate[#All],2,FALSE)*Calculations[[#This Row],[A1-3]],0)</f>
        <v>0</v>
      </c>
      <c r="N154">
        <f>IFERROR(ROUNDUP(50/VLOOKUP(Calculations[[#This Row],[Scope Element]],B4referenceServiceLife[[Tier 2 element]:[Default Service Life]],2, FALSE)-1,0),0)</f>
        <v>0</v>
      </c>
      <c r="O154" s="322">
        <f>IFERROR((Calculations[[#This Row],[A1-3]]+Calculations[[#This Row],[A4]]+Calculations[[#This Row],[A5]]+Calculations[[#This Row],[C2 total]]+Calculations[[#This Row],[C3 total]]+Calculations[[#This Row],[C4 total]])*Calculations[[#This Row],[Replacements]],0)</f>
        <v>0</v>
      </c>
      <c r="S154" t="str">
        <f>IFERROR(VLOOKUP(Calculations[[#This Row],[Material (choose from dropdown]],MaterialData[#All],4,FALSE),"")</f>
        <v/>
      </c>
      <c r="T154" s="322" cm="1">
        <f t="array" ref="T154">IFERROR(VLOOKUP(Calculations[[#This Row],[Waste 1]],WasteScenario[#All],2,FALSE)*'Stage assumptions'!$C$225*WasteTransportMethod[Emissions Factor
kgCO2e/kg.km]*Calculations[[#This Row],[Total Kg]],0)</f>
        <v>0</v>
      </c>
      <c r="U154" s="322" cm="1">
        <f t="array" ref="U154">IFERROR(VLOOKUP(Calculations[[#This Row],[Waste 1]],WasteScenario[#All],3,FALSE)*'Stage assumptions'!$C$224*WasteTransportMethod[Emissions Factor
kgCO2e/kg.km]*Calculations[[#This Row],[Total Kg]],0)</f>
        <v>0</v>
      </c>
      <c r="V154" s="322" cm="1">
        <f t="array" ref="V154">IFERROR(VLOOKUP(Calculations[[#This Row],[Waste 1]],WasteScenario[#All],4,FALSE)*'Stage assumptions'!$C$223*WasteTransportMethod[Emissions Factor
kgCO2e/kg.km]*Calculations[[#This Row],[Total Kg]],0)</f>
        <v>0</v>
      </c>
      <c r="W154" s="322" cm="1">
        <f t="array" ref="W154">IFERROR(VLOOKUP(Calculations[[#This Row],[Waste 1]],WasteScenario[#All],5,FALSE)*'Stage assumptions'!$C$226*WasteTransportMethod[Emissions Factor
kgCO2e/kg.km]*Calculations[[#This Row],[Total Kg]],0)</f>
        <v>0</v>
      </c>
      <c r="X154" s="322">
        <f>SUM(Calculations[[#This Row],[C2 Recycle]:[C2 Reuse]])</f>
        <v>0</v>
      </c>
      <c r="Y154" t="str">
        <f>IFERROR(VLOOKUP(Calculations[[#This Row],[Material (choose from dropdown]],MaterialData[#All],5,FALSE),"")</f>
        <v/>
      </c>
      <c r="Z154" s="322">
        <f>IFERROR(((VLOOKUP(Calculations[[#This Row],[Waste type 2]],WasteDisposalEmissions[#All],2,FALSE))*Calculations[[#This Row],[Total Kg]])*VLOOKUP(Calculations[[#This Row],[Waste 1]],WasteScenario[#All],2,FALSE),0)</f>
        <v>0</v>
      </c>
      <c r="AA154" s="322">
        <f>IFERROR((VLOOKUP(Calculations[[#This Row],[Waste type 2]],WasteDisposalEmissions[#All],3,FALSE))*Calculations[[#This Row],[Total Kg]]*VLOOKUP(Calculations[[#This Row],[Waste 1]],WasteScenario[#All],3,FALSE),0)</f>
        <v>0</v>
      </c>
      <c r="AB154" s="322">
        <f>SUM(Calculations[[#This Row],[C3 recyc]:[C3 incin]])</f>
        <v>0</v>
      </c>
      <c r="AC154" s="322">
        <f>IFERROR((VLOOKUP(Calculations[[#This Row],[Waste type 2]],WasteLandfillEmissions[#All],2,FALSE))*Calculations[[#This Row],[Total Kg]]*VLOOKUP(Calculations[[#This Row],[Waste 1]],WasteScenario[#All],4,FALSE),0)</f>
        <v>0</v>
      </c>
      <c r="AD154" s="322">
        <f>IFERROR((VLOOKUP(Calculations[[#This Row],[Waste type 2]],WasteLandfillEmissions[#All],3,FALSE))*Calculations[[#This Row],[Total Kg]]*VLOOKUP(Calculations[[#This Row],[Waste 1]],WasteScenario[#All],4,FALSE),0)</f>
        <v>0</v>
      </c>
      <c r="AE154" s="322">
        <f>SUM(Calculations[[#This Row],[C4 landfill]:[C4 re-use]])</f>
        <v>0</v>
      </c>
      <c r="AF154" s="322">
        <f>IFERROR(VLOOKUP(Calculations[[#This Row],[Material (choose from dropdown]],MaterialData[#All],8,FALSE),0)</f>
        <v>0</v>
      </c>
      <c r="AG154" s="322">
        <f>IFERROR(Calculations[[#This Row],[Total Kg]]*Calculations[[#This Row],[Seq factor]],0)</f>
        <v>0</v>
      </c>
      <c r="AI154" s="322">
        <f>Calculations[[#This Row],[A1-3]]+Calculations[[#This Row],[A4]]+Calculations[[#This Row],[A5]]+Calculations[[#This Row],[B4]]+Calculations[[#This Row],[C2 total]]+Calculations[[#This Row],[C3 total]]+Calculations[[#This Row],[C4 total]]</f>
        <v>0</v>
      </c>
      <c r="AJ154" s="2">
        <f>IFERROR(VLOOKUP(Calculations[[#This Row],[Material (choose from dropdown]],MaterialData[[#Headers],[#Data]],9,FALSE),0)</f>
        <v>0</v>
      </c>
      <c r="AK154" s="4">
        <f>IFERROR(VLOOKUP(Calculations[[#This Row],[Material (choose from dropdown]],MaterialData[[#Headers],[#Data]],10,FALSE),0)</f>
        <v>0</v>
      </c>
      <c r="AL154" s="322">
        <f>IFERROR(Calculations[[#This Row],[Data Quality Score]]*Calculations[[#This Row],[Total Kg]],0)</f>
        <v>0</v>
      </c>
    </row>
    <row r="155" spans="1:38" x14ac:dyDescent="0.3">
      <c r="A155" s="6">
        <f>IFERROR(MaterialsBoQ[[#This Row],[Scope Element]],0)</f>
        <v>0</v>
      </c>
      <c r="B155">
        <f>IFERROR(MaterialsBoQ[[#This Row],[Material ]],"")</f>
        <v>0</v>
      </c>
      <c r="C155">
        <f>IFERROR(MaterialsBoQ[[#This Row],[Unit]],"")</f>
        <v>0</v>
      </c>
      <c r="D155" s="322">
        <f>IFERROR(MaterialsBoQ[[#This Row],[Number]],0)</f>
        <v>0</v>
      </c>
      <c r="E155" s="322">
        <f>IFERROR(MaterialsBoQ[[#This Row],[Kg per unit]],0)</f>
        <v>0</v>
      </c>
      <c r="F155" s="322">
        <f>IFERROR(Calculations[[#This Row],[Number]]*Calculations[[#This Row],[Conversion factor]],0)</f>
        <v>0</v>
      </c>
      <c r="G155" s="322">
        <f>IFERROR(VLOOKUP(Calculations[[#This Row],[Material (choose from dropdown]],MaterialData[#All],7,FALSE),0)</f>
        <v>0</v>
      </c>
      <c r="H155" s="322">
        <f>Calculations[[#This Row],[Total Kg]]*Calculations[[#This Row],[Carbon Factor]]</f>
        <v>0</v>
      </c>
      <c r="I155" t="str">
        <f>IFERROR(VLOOKUP(Calculations[[#This Row],[Material (choose from dropdown]],MaterialData[#All],2,FALSE),"")</f>
        <v/>
      </c>
      <c r="J155" s="322">
        <f>IFERROR(((VLOOKUP(Calculations[[#This Row],[TransportSource]],TransportDistance[],2,FALSE)*'Stage assumptions'!$C$11)+VLOOKUP(Calculations[[#This Row],[TransportSource]],TransportDistance[],3,FALSE)*'Stage assumptions'!$C$12)*Calculations[[#This Row],[Total Kg]],0)</f>
        <v>0</v>
      </c>
      <c r="K155">
        <f>IFERROR(VLOOKUP(Calculations[[#This Row],[Material (choose from dropdown]], MaterialData[#All],3, FALSE),0)</f>
        <v>0</v>
      </c>
      <c r="L155" s="322">
        <f>IFERROR(VLOOKUP(Calculations[[#This Row],[A5type]],A5WastageRate[#All],2,FALSE)*Calculations[[#This Row],[A1-3]],0)</f>
        <v>0</v>
      </c>
      <c r="N155">
        <f>IFERROR(ROUNDUP(50/VLOOKUP(Calculations[[#This Row],[Scope Element]],B4referenceServiceLife[[Tier 2 element]:[Default Service Life]],2, FALSE)-1,0),0)</f>
        <v>0</v>
      </c>
      <c r="O155" s="322">
        <f>IFERROR((Calculations[[#This Row],[A1-3]]+Calculations[[#This Row],[A4]]+Calculations[[#This Row],[A5]]+Calculations[[#This Row],[C2 total]]+Calculations[[#This Row],[C3 total]]+Calculations[[#This Row],[C4 total]])*Calculations[[#This Row],[Replacements]],0)</f>
        <v>0</v>
      </c>
      <c r="S155" t="str">
        <f>IFERROR(VLOOKUP(Calculations[[#This Row],[Material (choose from dropdown]],MaterialData[#All],4,FALSE),"")</f>
        <v/>
      </c>
      <c r="T155" s="322" cm="1">
        <f t="array" ref="T155">IFERROR(VLOOKUP(Calculations[[#This Row],[Waste 1]],WasteScenario[#All],2,FALSE)*'Stage assumptions'!$C$225*WasteTransportMethod[Emissions Factor
kgCO2e/kg.km]*Calculations[[#This Row],[Total Kg]],0)</f>
        <v>0</v>
      </c>
      <c r="U155" s="322" cm="1">
        <f t="array" ref="U155">IFERROR(VLOOKUP(Calculations[[#This Row],[Waste 1]],WasteScenario[#All],3,FALSE)*'Stage assumptions'!$C$224*WasteTransportMethod[Emissions Factor
kgCO2e/kg.km]*Calculations[[#This Row],[Total Kg]],0)</f>
        <v>0</v>
      </c>
      <c r="V155" s="322" cm="1">
        <f t="array" ref="V155">IFERROR(VLOOKUP(Calculations[[#This Row],[Waste 1]],WasteScenario[#All],4,FALSE)*'Stage assumptions'!$C$223*WasteTransportMethod[Emissions Factor
kgCO2e/kg.km]*Calculations[[#This Row],[Total Kg]],0)</f>
        <v>0</v>
      </c>
      <c r="W155" s="322" cm="1">
        <f t="array" ref="W155">IFERROR(VLOOKUP(Calculations[[#This Row],[Waste 1]],WasteScenario[#All],5,FALSE)*'Stage assumptions'!$C$226*WasteTransportMethod[Emissions Factor
kgCO2e/kg.km]*Calculations[[#This Row],[Total Kg]],0)</f>
        <v>0</v>
      </c>
      <c r="X155" s="322">
        <f>SUM(Calculations[[#This Row],[C2 Recycle]:[C2 Reuse]])</f>
        <v>0</v>
      </c>
      <c r="Y155" t="str">
        <f>IFERROR(VLOOKUP(Calculations[[#This Row],[Material (choose from dropdown]],MaterialData[#All],5,FALSE),"")</f>
        <v/>
      </c>
      <c r="Z155" s="322">
        <f>IFERROR(((VLOOKUP(Calculations[[#This Row],[Waste type 2]],WasteDisposalEmissions[#All],2,FALSE))*Calculations[[#This Row],[Total Kg]])*VLOOKUP(Calculations[[#This Row],[Waste 1]],WasteScenario[#All],2,FALSE),0)</f>
        <v>0</v>
      </c>
      <c r="AA155" s="322">
        <f>IFERROR((VLOOKUP(Calculations[[#This Row],[Waste type 2]],WasteDisposalEmissions[#All],3,FALSE))*Calculations[[#This Row],[Total Kg]]*VLOOKUP(Calculations[[#This Row],[Waste 1]],WasteScenario[#All],3,FALSE),0)</f>
        <v>0</v>
      </c>
      <c r="AB155" s="322">
        <f>SUM(Calculations[[#This Row],[C3 recyc]:[C3 incin]])</f>
        <v>0</v>
      </c>
      <c r="AC155" s="322">
        <f>IFERROR((VLOOKUP(Calculations[[#This Row],[Waste type 2]],WasteLandfillEmissions[#All],2,FALSE))*Calculations[[#This Row],[Total Kg]]*VLOOKUP(Calculations[[#This Row],[Waste 1]],WasteScenario[#All],4,FALSE),0)</f>
        <v>0</v>
      </c>
      <c r="AD155" s="322">
        <f>IFERROR((VLOOKUP(Calculations[[#This Row],[Waste type 2]],WasteLandfillEmissions[#All],3,FALSE))*Calculations[[#This Row],[Total Kg]]*VLOOKUP(Calculations[[#This Row],[Waste 1]],WasteScenario[#All],4,FALSE),0)</f>
        <v>0</v>
      </c>
      <c r="AE155" s="322">
        <f>SUM(Calculations[[#This Row],[C4 landfill]:[C4 re-use]])</f>
        <v>0</v>
      </c>
      <c r="AF155" s="322">
        <f>IFERROR(VLOOKUP(Calculations[[#This Row],[Material (choose from dropdown]],MaterialData[#All],8,FALSE),0)</f>
        <v>0</v>
      </c>
      <c r="AG155" s="322">
        <f>IFERROR(Calculations[[#This Row],[Total Kg]]*Calculations[[#This Row],[Seq factor]],0)</f>
        <v>0</v>
      </c>
      <c r="AI155" s="322">
        <f>Calculations[[#This Row],[A1-3]]+Calculations[[#This Row],[A4]]+Calculations[[#This Row],[A5]]+Calculations[[#This Row],[B4]]+Calculations[[#This Row],[C2 total]]+Calculations[[#This Row],[C3 total]]+Calculations[[#This Row],[C4 total]]</f>
        <v>0</v>
      </c>
      <c r="AJ155" s="2">
        <f>IFERROR(VLOOKUP(Calculations[[#This Row],[Material (choose from dropdown]],MaterialData[[#Headers],[#Data]],9,FALSE),0)</f>
        <v>0</v>
      </c>
      <c r="AK155" s="4">
        <f>IFERROR(VLOOKUP(Calculations[[#This Row],[Material (choose from dropdown]],MaterialData[[#Headers],[#Data]],10,FALSE),0)</f>
        <v>0</v>
      </c>
      <c r="AL155" s="322">
        <f>IFERROR(Calculations[[#This Row],[Data Quality Score]]*Calculations[[#This Row],[Total Kg]],0)</f>
        <v>0</v>
      </c>
    </row>
    <row r="156" spans="1:38" x14ac:dyDescent="0.3">
      <c r="A156" s="6">
        <f>IFERROR(MaterialsBoQ[[#This Row],[Scope Element]],0)</f>
        <v>0</v>
      </c>
      <c r="B156">
        <f>IFERROR(MaterialsBoQ[[#This Row],[Material ]],"")</f>
        <v>0</v>
      </c>
      <c r="C156">
        <f>IFERROR(MaterialsBoQ[[#This Row],[Unit]],"")</f>
        <v>0</v>
      </c>
      <c r="D156" s="322">
        <f>IFERROR(MaterialsBoQ[[#This Row],[Number]],0)</f>
        <v>0</v>
      </c>
      <c r="E156" s="322">
        <f>IFERROR(MaterialsBoQ[[#This Row],[Kg per unit]],0)</f>
        <v>0</v>
      </c>
      <c r="F156" s="322">
        <f>IFERROR(Calculations[[#This Row],[Number]]*Calculations[[#This Row],[Conversion factor]],0)</f>
        <v>0</v>
      </c>
      <c r="G156" s="322">
        <f>IFERROR(VLOOKUP(Calculations[[#This Row],[Material (choose from dropdown]],MaterialData[#All],7,FALSE),0)</f>
        <v>0</v>
      </c>
      <c r="H156" s="322">
        <f>Calculations[[#This Row],[Total Kg]]*Calculations[[#This Row],[Carbon Factor]]</f>
        <v>0</v>
      </c>
      <c r="I156" t="str">
        <f>IFERROR(VLOOKUP(Calculations[[#This Row],[Material (choose from dropdown]],MaterialData[#All],2,FALSE),"")</f>
        <v/>
      </c>
      <c r="J156" s="322">
        <f>IFERROR(((VLOOKUP(Calculations[[#This Row],[TransportSource]],TransportDistance[],2,FALSE)*'Stage assumptions'!$C$11)+VLOOKUP(Calculations[[#This Row],[TransportSource]],TransportDistance[],3,FALSE)*'Stage assumptions'!$C$12)*Calculations[[#This Row],[Total Kg]],0)</f>
        <v>0</v>
      </c>
      <c r="K156">
        <f>IFERROR(VLOOKUP(Calculations[[#This Row],[Material (choose from dropdown]], MaterialData[#All],3, FALSE),0)</f>
        <v>0</v>
      </c>
      <c r="L156" s="322">
        <f>IFERROR(VLOOKUP(Calculations[[#This Row],[A5type]],A5WastageRate[#All],2,FALSE)*Calculations[[#This Row],[A1-3]],0)</f>
        <v>0</v>
      </c>
      <c r="N156">
        <f>IFERROR(ROUNDUP(50/VLOOKUP(Calculations[[#This Row],[Scope Element]],B4referenceServiceLife[[Tier 2 element]:[Default Service Life]],2, FALSE)-1,0),0)</f>
        <v>0</v>
      </c>
      <c r="O156" s="322">
        <f>IFERROR((Calculations[[#This Row],[A1-3]]+Calculations[[#This Row],[A4]]+Calculations[[#This Row],[A5]]+Calculations[[#This Row],[C2 total]]+Calculations[[#This Row],[C3 total]]+Calculations[[#This Row],[C4 total]])*Calculations[[#This Row],[Replacements]],0)</f>
        <v>0</v>
      </c>
      <c r="S156" t="str">
        <f>IFERROR(VLOOKUP(Calculations[[#This Row],[Material (choose from dropdown]],MaterialData[#All],4,FALSE),"")</f>
        <v/>
      </c>
      <c r="T156" s="322" cm="1">
        <f t="array" ref="T156">IFERROR(VLOOKUP(Calculations[[#This Row],[Waste 1]],WasteScenario[#All],2,FALSE)*'Stage assumptions'!$C$225*WasteTransportMethod[Emissions Factor
kgCO2e/kg.km]*Calculations[[#This Row],[Total Kg]],0)</f>
        <v>0</v>
      </c>
      <c r="U156" s="322" cm="1">
        <f t="array" ref="U156">IFERROR(VLOOKUP(Calculations[[#This Row],[Waste 1]],WasteScenario[#All],3,FALSE)*'Stage assumptions'!$C$224*WasteTransportMethod[Emissions Factor
kgCO2e/kg.km]*Calculations[[#This Row],[Total Kg]],0)</f>
        <v>0</v>
      </c>
      <c r="V156" s="322" cm="1">
        <f t="array" ref="V156">IFERROR(VLOOKUP(Calculations[[#This Row],[Waste 1]],WasteScenario[#All],4,FALSE)*'Stage assumptions'!$C$223*WasteTransportMethod[Emissions Factor
kgCO2e/kg.km]*Calculations[[#This Row],[Total Kg]],0)</f>
        <v>0</v>
      </c>
      <c r="W156" s="322" cm="1">
        <f t="array" ref="W156">IFERROR(VLOOKUP(Calculations[[#This Row],[Waste 1]],WasteScenario[#All],5,FALSE)*'Stage assumptions'!$C$226*WasteTransportMethod[Emissions Factor
kgCO2e/kg.km]*Calculations[[#This Row],[Total Kg]],0)</f>
        <v>0</v>
      </c>
      <c r="X156" s="322">
        <f>SUM(Calculations[[#This Row],[C2 Recycle]:[C2 Reuse]])</f>
        <v>0</v>
      </c>
      <c r="Y156" t="str">
        <f>IFERROR(VLOOKUP(Calculations[[#This Row],[Material (choose from dropdown]],MaterialData[#All],5,FALSE),"")</f>
        <v/>
      </c>
      <c r="Z156" s="322">
        <f>IFERROR(((VLOOKUP(Calculations[[#This Row],[Waste type 2]],WasteDisposalEmissions[#All],2,FALSE))*Calculations[[#This Row],[Total Kg]])*VLOOKUP(Calculations[[#This Row],[Waste 1]],WasteScenario[#All],2,FALSE),0)</f>
        <v>0</v>
      </c>
      <c r="AA156" s="322">
        <f>IFERROR((VLOOKUP(Calculations[[#This Row],[Waste type 2]],WasteDisposalEmissions[#All],3,FALSE))*Calculations[[#This Row],[Total Kg]]*VLOOKUP(Calculations[[#This Row],[Waste 1]],WasteScenario[#All],3,FALSE),0)</f>
        <v>0</v>
      </c>
      <c r="AB156" s="322">
        <f>SUM(Calculations[[#This Row],[C3 recyc]:[C3 incin]])</f>
        <v>0</v>
      </c>
      <c r="AC156" s="322">
        <f>IFERROR((VLOOKUP(Calculations[[#This Row],[Waste type 2]],WasteLandfillEmissions[#All],2,FALSE))*Calculations[[#This Row],[Total Kg]]*VLOOKUP(Calculations[[#This Row],[Waste 1]],WasteScenario[#All],4,FALSE),0)</f>
        <v>0</v>
      </c>
      <c r="AD156" s="322">
        <f>IFERROR((VLOOKUP(Calculations[[#This Row],[Waste type 2]],WasteLandfillEmissions[#All],3,FALSE))*Calculations[[#This Row],[Total Kg]]*VLOOKUP(Calculations[[#This Row],[Waste 1]],WasteScenario[#All],4,FALSE),0)</f>
        <v>0</v>
      </c>
      <c r="AE156" s="322">
        <f>SUM(Calculations[[#This Row],[C4 landfill]:[C4 re-use]])</f>
        <v>0</v>
      </c>
      <c r="AF156" s="322">
        <f>IFERROR(VLOOKUP(Calculations[[#This Row],[Material (choose from dropdown]],MaterialData[#All],8,FALSE),0)</f>
        <v>0</v>
      </c>
      <c r="AG156" s="322">
        <f>IFERROR(Calculations[[#This Row],[Total Kg]]*Calculations[[#This Row],[Seq factor]],0)</f>
        <v>0</v>
      </c>
      <c r="AI156" s="322">
        <f>Calculations[[#This Row],[A1-3]]+Calculations[[#This Row],[A4]]+Calculations[[#This Row],[A5]]+Calculations[[#This Row],[B4]]+Calculations[[#This Row],[C2 total]]+Calculations[[#This Row],[C3 total]]+Calculations[[#This Row],[C4 total]]</f>
        <v>0</v>
      </c>
      <c r="AJ156" s="2">
        <f>IFERROR(VLOOKUP(Calculations[[#This Row],[Material (choose from dropdown]],MaterialData[[#Headers],[#Data]],9,FALSE),0)</f>
        <v>0</v>
      </c>
      <c r="AK156" s="4">
        <f>IFERROR(VLOOKUP(Calculations[[#This Row],[Material (choose from dropdown]],MaterialData[[#Headers],[#Data]],10,FALSE),0)</f>
        <v>0</v>
      </c>
      <c r="AL156" s="322">
        <f>IFERROR(Calculations[[#This Row],[Data Quality Score]]*Calculations[[#This Row],[Total Kg]],0)</f>
        <v>0</v>
      </c>
    </row>
    <row r="157" spans="1:38" x14ac:dyDescent="0.3">
      <c r="A157" s="6">
        <f>IFERROR(MaterialsBoQ[[#This Row],[Scope Element]],0)</f>
        <v>0</v>
      </c>
      <c r="B157">
        <f>IFERROR(MaterialsBoQ[[#This Row],[Material ]],"")</f>
        <v>0</v>
      </c>
      <c r="C157">
        <f>IFERROR(MaterialsBoQ[[#This Row],[Unit]],"")</f>
        <v>0</v>
      </c>
      <c r="D157" s="322">
        <f>IFERROR(MaterialsBoQ[[#This Row],[Number]],0)</f>
        <v>0</v>
      </c>
      <c r="E157" s="322">
        <f>IFERROR(MaterialsBoQ[[#This Row],[Kg per unit]],0)</f>
        <v>0</v>
      </c>
      <c r="F157" s="322">
        <f>IFERROR(Calculations[[#This Row],[Number]]*Calculations[[#This Row],[Conversion factor]],0)</f>
        <v>0</v>
      </c>
      <c r="G157" s="322">
        <f>IFERROR(VLOOKUP(Calculations[[#This Row],[Material (choose from dropdown]],MaterialData[#All],7,FALSE),0)</f>
        <v>0</v>
      </c>
      <c r="H157" s="322">
        <f>Calculations[[#This Row],[Total Kg]]*Calculations[[#This Row],[Carbon Factor]]</f>
        <v>0</v>
      </c>
      <c r="I157" t="str">
        <f>IFERROR(VLOOKUP(Calculations[[#This Row],[Material (choose from dropdown]],MaterialData[#All],2,FALSE),"")</f>
        <v/>
      </c>
      <c r="J157" s="322">
        <f>IFERROR(((VLOOKUP(Calculations[[#This Row],[TransportSource]],TransportDistance[],2,FALSE)*'Stage assumptions'!$C$11)+VLOOKUP(Calculations[[#This Row],[TransportSource]],TransportDistance[],3,FALSE)*'Stage assumptions'!$C$12)*Calculations[[#This Row],[Total Kg]],0)</f>
        <v>0</v>
      </c>
      <c r="K157">
        <f>IFERROR(VLOOKUP(Calculations[[#This Row],[Material (choose from dropdown]], MaterialData[#All],3, FALSE),0)</f>
        <v>0</v>
      </c>
      <c r="L157" s="322">
        <f>IFERROR(VLOOKUP(Calculations[[#This Row],[A5type]],A5WastageRate[#All],2,FALSE)*Calculations[[#This Row],[A1-3]],0)</f>
        <v>0</v>
      </c>
      <c r="N157">
        <f>IFERROR(ROUNDUP(50/VLOOKUP(Calculations[[#This Row],[Scope Element]],B4referenceServiceLife[[Tier 2 element]:[Default Service Life]],2, FALSE)-1,0),0)</f>
        <v>0</v>
      </c>
      <c r="O157" s="322">
        <f>IFERROR((Calculations[[#This Row],[A1-3]]+Calculations[[#This Row],[A4]]+Calculations[[#This Row],[A5]]+Calculations[[#This Row],[C2 total]]+Calculations[[#This Row],[C3 total]]+Calculations[[#This Row],[C4 total]])*Calculations[[#This Row],[Replacements]],0)</f>
        <v>0</v>
      </c>
      <c r="S157" t="str">
        <f>IFERROR(VLOOKUP(Calculations[[#This Row],[Material (choose from dropdown]],MaterialData[#All],4,FALSE),"")</f>
        <v/>
      </c>
      <c r="T157" s="322" cm="1">
        <f t="array" ref="T157">IFERROR(VLOOKUP(Calculations[[#This Row],[Waste 1]],WasteScenario[#All],2,FALSE)*'Stage assumptions'!$C$225*WasteTransportMethod[Emissions Factor
kgCO2e/kg.km]*Calculations[[#This Row],[Total Kg]],0)</f>
        <v>0</v>
      </c>
      <c r="U157" s="322" cm="1">
        <f t="array" ref="U157">IFERROR(VLOOKUP(Calculations[[#This Row],[Waste 1]],WasteScenario[#All],3,FALSE)*'Stage assumptions'!$C$224*WasteTransportMethod[Emissions Factor
kgCO2e/kg.km]*Calculations[[#This Row],[Total Kg]],0)</f>
        <v>0</v>
      </c>
      <c r="V157" s="322" cm="1">
        <f t="array" ref="V157">IFERROR(VLOOKUP(Calculations[[#This Row],[Waste 1]],WasteScenario[#All],4,FALSE)*'Stage assumptions'!$C$223*WasteTransportMethod[Emissions Factor
kgCO2e/kg.km]*Calculations[[#This Row],[Total Kg]],0)</f>
        <v>0</v>
      </c>
      <c r="W157" s="322" cm="1">
        <f t="array" ref="W157">IFERROR(VLOOKUP(Calculations[[#This Row],[Waste 1]],WasteScenario[#All],5,FALSE)*'Stage assumptions'!$C$226*WasteTransportMethod[Emissions Factor
kgCO2e/kg.km]*Calculations[[#This Row],[Total Kg]],0)</f>
        <v>0</v>
      </c>
      <c r="X157" s="322">
        <f>SUM(Calculations[[#This Row],[C2 Recycle]:[C2 Reuse]])</f>
        <v>0</v>
      </c>
      <c r="Y157" t="str">
        <f>IFERROR(VLOOKUP(Calculations[[#This Row],[Material (choose from dropdown]],MaterialData[#All],5,FALSE),"")</f>
        <v/>
      </c>
      <c r="Z157" s="322">
        <f>IFERROR(((VLOOKUP(Calculations[[#This Row],[Waste type 2]],WasteDisposalEmissions[#All],2,FALSE))*Calculations[[#This Row],[Total Kg]])*VLOOKUP(Calculations[[#This Row],[Waste 1]],WasteScenario[#All],2,FALSE),0)</f>
        <v>0</v>
      </c>
      <c r="AA157" s="322">
        <f>IFERROR((VLOOKUP(Calculations[[#This Row],[Waste type 2]],WasteDisposalEmissions[#All],3,FALSE))*Calculations[[#This Row],[Total Kg]]*VLOOKUP(Calculations[[#This Row],[Waste 1]],WasteScenario[#All],3,FALSE),0)</f>
        <v>0</v>
      </c>
      <c r="AB157" s="322">
        <f>SUM(Calculations[[#This Row],[C3 recyc]:[C3 incin]])</f>
        <v>0</v>
      </c>
      <c r="AC157" s="322">
        <f>IFERROR((VLOOKUP(Calculations[[#This Row],[Waste type 2]],WasteLandfillEmissions[#All],2,FALSE))*Calculations[[#This Row],[Total Kg]]*VLOOKUP(Calculations[[#This Row],[Waste 1]],WasteScenario[#All],4,FALSE),0)</f>
        <v>0</v>
      </c>
      <c r="AD157" s="322">
        <f>IFERROR((VLOOKUP(Calculations[[#This Row],[Waste type 2]],WasteLandfillEmissions[#All],3,FALSE))*Calculations[[#This Row],[Total Kg]]*VLOOKUP(Calculations[[#This Row],[Waste 1]],WasteScenario[#All],4,FALSE),0)</f>
        <v>0</v>
      </c>
      <c r="AE157" s="322">
        <f>SUM(Calculations[[#This Row],[C4 landfill]:[C4 re-use]])</f>
        <v>0</v>
      </c>
      <c r="AF157" s="322">
        <f>IFERROR(VLOOKUP(Calculations[[#This Row],[Material (choose from dropdown]],MaterialData[#All],8,FALSE),0)</f>
        <v>0</v>
      </c>
      <c r="AG157" s="322">
        <f>IFERROR(Calculations[[#This Row],[Total Kg]]*Calculations[[#This Row],[Seq factor]],0)</f>
        <v>0</v>
      </c>
      <c r="AI157" s="322">
        <f>Calculations[[#This Row],[A1-3]]+Calculations[[#This Row],[A4]]+Calculations[[#This Row],[A5]]+Calculations[[#This Row],[B4]]+Calculations[[#This Row],[C2 total]]+Calculations[[#This Row],[C3 total]]+Calculations[[#This Row],[C4 total]]</f>
        <v>0</v>
      </c>
      <c r="AJ157" s="2">
        <f>IFERROR(VLOOKUP(Calculations[[#This Row],[Material (choose from dropdown]],MaterialData[[#Headers],[#Data]],9,FALSE),0)</f>
        <v>0</v>
      </c>
      <c r="AK157" s="4">
        <f>IFERROR(VLOOKUP(Calculations[[#This Row],[Material (choose from dropdown]],MaterialData[[#Headers],[#Data]],10,FALSE),0)</f>
        <v>0</v>
      </c>
      <c r="AL157" s="322">
        <f>IFERROR(Calculations[[#This Row],[Data Quality Score]]*Calculations[[#This Row],[Total Kg]],0)</f>
        <v>0</v>
      </c>
    </row>
    <row r="158" spans="1:38" x14ac:dyDescent="0.3">
      <c r="A158" s="6">
        <f>IFERROR(MaterialsBoQ[[#This Row],[Scope Element]],0)</f>
        <v>0</v>
      </c>
      <c r="B158">
        <f>IFERROR(MaterialsBoQ[[#This Row],[Material ]],"")</f>
        <v>0</v>
      </c>
      <c r="C158">
        <f>IFERROR(MaterialsBoQ[[#This Row],[Unit]],"")</f>
        <v>0</v>
      </c>
      <c r="D158" s="322">
        <f>IFERROR(MaterialsBoQ[[#This Row],[Number]],0)</f>
        <v>0</v>
      </c>
      <c r="E158" s="322">
        <f>IFERROR(MaterialsBoQ[[#This Row],[Kg per unit]],0)</f>
        <v>0</v>
      </c>
      <c r="F158" s="322">
        <f>IFERROR(Calculations[[#This Row],[Number]]*Calculations[[#This Row],[Conversion factor]],0)</f>
        <v>0</v>
      </c>
      <c r="G158" s="322">
        <f>IFERROR(VLOOKUP(Calculations[[#This Row],[Material (choose from dropdown]],MaterialData[#All],7,FALSE),0)</f>
        <v>0</v>
      </c>
      <c r="H158" s="322">
        <f>Calculations[[#This Row],[Total Kg]]*Calculations[[#This Row],[Carbon Factor]]</f>
        <v>0</v>
      </c>
      <c r="I158" t="str">
        <f>IFERROR(VLOOKUP(Calculations[[#This Row],[Material (choose from dropdown]],MaterialData[#All],2,FALSE),"")</f>
        <v/>
      </c>
      <c r="J158" s="322">
        <f>IFERROR(((VLOOKUP(Calculations[[#This Row],[TransportSource]],TransportDistance[],2,FALSE)*'Stage assumptions'!$C$11)+VLOOKUP(Calculations[[#This Row],[TransportSource]],TransportDistance[],3,FALSE)*'Stage assumptions'!$C$12)*Calculations[[#This Row],[Total Kg]],0)</f>
        <v>0</v>
      </c>
      <c r="K158">
        <f>IFERROR(VLOOKUP(Calculations[[#This Row],[Material (choose from dropdown]], MaterialData[#All],3, FALSE),0)</f>
        <v>0</v>
      </c>
      <c r="L158" s="322">
        <f>IFERROR(VLOOKUP(Calculations[[#This Row],[A5type]],A5WastageRate[#All],2,FALSE)*Calculations[[#This Row],[A1-3]],0)</f>
        <v>0</v>
      </c>
      <c r="N158">
        <f>IFERROR(ROUNDUP(50/VLOOKUP(Calculations[[#This Row],[Scope Element]],B4referenceServiceLife[[Tier 2 element]:[Default Service Life]],2, FALSE)-1,0),0)</f>
        <v>0</v>
      </c>
      <c r="O158" s="322">
        <f>IFERROR((Calculations[[#This Row],[A1-3]]+Calculations[[#This Row],[A4]]+Calculations[[#This Row],[A5]]+Calculations[[#This Row],[C2 total]]+Calculations[[#This Row],[C3 total]]+Calculations[[#This Row],[C4 total]])*Calculations[[#This Row],[Replacements]],0)</f>
        <v>0</v>
      </c>
      <c r="S158" t="str">
        <f>IFERROR(VLOOKUP(Calculations[[#This Row],[Material (choose from dropdown]],MaterialData[#All],4,FALSE),"")</f>
        <v/>
      </c>
      <c r="T158" s="322" cm="1">
        <f t="array" ref="T158">IFERROR(VLOOKUP(Calculations[[#This Row],[Waste 1]],WasteScenario[#All],2,FALSE)*'Stage assumptions'!$C$225*WasteTransportMethod[Emissions Factor
kgCO2e/kg.km]*Calculations[[#This Row],[Total Kg]],0)</f>
        <v>0</v>
      </c>
      <c r="U158" s="322" cm="1">
        <f t="array" ref="U158">IFERROR(VLOOKUP(Calculations[[#This Row],[Waste 1]],WasteScenario[#All],3,FALSE)*'Stage assumptions'!$C$224*WasteTransportMethod[Emissions Factor
kgCO2e/kg.km]*Calculations[[#This Row],[Total Kg]],0)</f>
        <v>0</v>
      </c>
      <c r="V158" s="322" cm="1">
        <f t="array" ref="V158">IFERROR(VLOOKUP(Calculations[[#This Row],[Waste 1]],WasteScenario[#All],4,FALSE)*'Stage assumptions'!$C$223*WasteTransportMethod[Emissions Factor
kgCO2e/kg.km]*Calculations[[#This Row],[Total Kg]],0)</f>
        <v>0</v>
      </c>
      <c r="W158" s="322" cm="1">
        <f t="array" ref="W158">IFERROR(VLOOKUP(Calculations[[#This Row],[Waste 1]],WasteScenario[#All],5,FALSE)*'Stage assumptions'!$C$226*WasteTransportMethod[Emissions Factor
kgCO2e/kg.km]*Calculations[[#This Row],[Total Kg]],0)</f>
        <v>0</v>
      </c>
      <c r="X158" s="322">
        <f>SUM(Calculations[[#This Row],[C2 Recycle]:[C2 Reuse]])</f>
        <v>0</v>
      </c>
      <c r="Y158" t="str">
        <f>IFERROR(VLOOKUP(Calculations[[#This Row],[Material (choose from dropdown]],MaterialData[#All],5,FALSE),"")</f>
        <v/>
      </c>
      <c r="Z158" s="322">
        <f>IFERROR(((VLOOKUP(Calculations[[#This Row],[Waste type 2]],WasteDisposalEmissions[#All],2,FALSE))*Calculations[[#This Row],[Total Kg]])*VLOOKUP(Calculations[[#This Row],[Waste 1]],WasteScenario[#All],2,FALSE),0)</f>
        <v>0</v>
      </c>
      <c r="AA158" s="322">
        <f>IFERROR((VLOOKUP(Calculations[[#This Row],[Waste type 2]],WasteDisposalEmissions[#All],3,FALSE))*Calculations[[#This Row],[Total Kg]]*VLOOKUP(Calculations[[#This Row],[Waste 1]],WasteScenario[#All],3,FALSE),0)</f>
        <v>0</v>
      </c>
      <c r="AB158" s="322">
        <f>SUM(Calculations[[#This Row],[C3 recyc]:[C3 incin]])</f>
        <v>0</v>
      </c>
      <c r="AC158" s="322">
        <f>IFERROR((VLOOKUP(Calculations[[#This Row],[Waste type 2]],WasteLandfillEmissions[#All],2,FALSE))*Calculations[[#This Row],[Total Kg]]*VLOOKUP(Calculations[[#This Row],[Waste 1]],WasteScenario[#All],4,FALSE),0)</f>
        <v>0</v>
      </c>
      <c r="AD158" s="322">
        <f>IFERROR((VLOOKUP(Calculations[[#This Row],[Waste type 2]],WasteLandfillEmissions[#All],3,FALSE))*Calculations[[#This Row],[Total Kg]]*VLOOKUP(Calculations[[#This Row],[Waste 1]],WasteScenario[#All],4,FALSE),0)</f>
        <v>0</v>
      </c>
      <c r="AE158" s="322">
        <f>SUM(Calculations[[#This Row],[C4 landfill]:[C4 re-use]])</f>
        <v>0</v>
      </c>
      <c r="AF158" s="322">
        <f>IFERROR(VLOOKUP(Calculations[[#This Row],[Material (choose from dropdown]],MaterialData[#All],8,FALSE),0)</f>
        <v>0</v>
      </c>
      <c r="AG158" s="322">
        <f>IFERROR(Calculations[[#This Row],[Total Kg]]*Calculations[[#This Row],[Seq factor]],0)</f>
        <v>0</v>
      </c>
      <c r="AI158" s="322">
        <f>Calculations[[#This Row],[A1-3]]+Calculations[[#This Row],[A4]]+Calculations[[#This Row],[A5]]+Calculations[[#This Row],[B4]]+Calculations[[#This Row],[C2 total]]+Calculations[[#This Row],[C3 total]]+Calculations[[#This Row],[C4 total]]</f>
        <v>0</v>
      </c>
      <c r="AJ158" s="2">
        <f>IFERROR(VLOOKUP(Calculations[[#This Row],[Material (choose from dropdown]],MaterialData[[#Headers],[#Data]],9,FALSE),0)</f>
        <v>0</v>
      </c>
      <c r="AK158" s="4">
        <f>IFERROR(VLOOKUP(Calculations[[#This Row],[Material (choose from dropdown]],MaterialData[[#Headers],[#Data]],10,FALSE),0)</f>
        <v>0</v>
      </c>
      <c r="AL158" s="322">
        <f>IFERROR(Calculations[[#This Row],[Data Quality Score]]*Calculations[[#This Row],[Total Kg]],0)</f>
        <v>0</v>
      </c>
    </row>
    <row r="159" spans="1:38" x14ac:dyDescent="0.3">
      <c r="A159" s="6">
        <f>IFERROR(MaterialsBoQ[[#This Row],[Scope Element]],0)</f>
        <v>0</v>
      </c>
      <c r="B159">
        <f>IFERROR(MaterialsBoQ[[#This Row],[Material ]],"")</f>
        <v>0</v>
      </c>
      <c r="C159">
        <f>IFERROR(MaterialsBoQ[[#This Row],[Unit]],"")</f>
        <v>0</v>
      </c>
      <c r="D159" s="322">
        <f>IFERROR(MaterialsBoQ[[#This Row],[Number]],0)</f>
        <v>0</v>
      </c>
      <c r="E159" s="322">
        <f>IFERROR(MaterialsBoQ[[#This Row],[Kg per unit]],0)</f>
        <v>0</v>
      </c>
      <c r="F159" s="322">
        <f>IFERROR(Calculations[[#This Row],[Number]]*Calculations[[#This Row],[Conversion factor]],0)</f>
        <v>0</v>
      </c>
      <c r="G159" s="322">
        <f>IFERROR(VLOOKUP(Calculations[[#This Row],[Material (choose from dropdown]],MaterialData[#All],7,FALSE),0)</f>
        <v>0</v>
      </c>
      <c r="H159" s="322">
        <f>Calculations[[#This Row],[Total Kg]]*Calculations[[#This Row],[Carbon Factor]]</f>
        <v>0</v>
      </c>
      <c r="I159" t="str">
        <f>IFERROR(VLOOKUP(Calculations[[#This Row],[Material (choose from dropdown]],MaterialData[#All],2,FALSE),"")</f>
        <v/>
      </c>
      <c r="J159" s="322">
        <f>IFERROR(((VLOOKUP(Calculations[[#This Row],[TransportSource]],TransportDistance[],2,FALSE)*'Stage assumptions'!$C$11)+VLOOKUP(Calculations[[#This Row],[TransportSource]],TransportDistance[],3,FALSE)*'Stage assumptions'!$C$12)*Calculations[[#This Row],[Total Kg]],0)</f>
        <v>0</v>
      </c>
      <c r="K159">
        <f>IFERROR(VLOOKUP(Calculations[[#This Row],[Material (choose from dropdown]], MaterialData[#All],3, FALSE),0)</f>
        <v>0</v>
      </c>
      <c r="L159" s="322">
        <f>IFERROR(VLOOKUP(Calculations[[#This Row],[A5type]],A5WastageRate[#All],2,FALSE)*Calculations[[#This Row],[A1-3]],0)</f>
        <v>0</v>
      </c>
      <c r="N159">
        <f>IFERROR(ROUNDUP(50/VLOOKUP(Calculations[[#This Row],[Scope Element]],B4referenceServiceLife[[Tier 2 element]:[Default Service Life]],2, FALSE)-1,0),0)</f>
        <v>0</v>
      </c>
      <c r="O159" s="322">
        <f>IFERROR((Calculations[[#This Row],[A1-3]]+Calculations[[#This Row],[A4]]+Calculations[[#This Row],[A5]]+Calculations[[#This Row],[C2 total]]+Calculations[[#This Row],[C3 total]]+Calculations[[#This Row],[C4 total]])*Calculations[[#This Row],[Replacements]],0)</f>
        <v>0</v>
      </c>
      <c r="S159" t="str">
        <f>IFERROR(VLOOKUP(Calculations[[#This Row],[Material (choose from dropdown]],MaterialData[#All],4,FALSE),"")</f>
        <v/>
      </c>
      <c r="T159" s="322" cm="1">
        <f t="array" ref="T159">IFERROR(VLOOKUP(Calculations[[#This Row],[Waste 1]],WasteScenario[#All],2,FALSE)*'Stage assumptions'!$C$225*WasteTransportMethod[Emissions Factor
kgCO2e/kg.km]*Calculations[[#This Row],[Total Kg]],0)</f>
        <v>0</v>
      </c>
      <c r="U159" s="322" cm="1">
        <f t="array" ref="U159">IFERROR(VLOOKUP(Calculations[[#This Row],[Waste 1]],WasteScenario[#All],3,FALSE)*'Stage assumptions'!$C$224*WasteTransportMethod[Emissions Factor
kgCO2e/kg.km]*Calculations[[#This Row],[Total Kg]],0)</f>
        <v>0</v>
      </c>
      <c r="V159" s="322" cm="1">
        <f t="array" ref="V159">IFERROR(VLOOKUP(Calculations[[#This Row],[Waste 1]],WasteScenario[#All],4,FALSE)*'Stage assumptions'!$C$223*WasteTransportMethod[Emissions Factor
kgCO2e/kg.km]*Calculations[[#This Row],[Total Kg]],0)</f>
        <v>0</v>
      </c>
      <c r="W159" s="322" cm="1">
        <f t="array" ref="W159">IFERROR(VLOOKUP(Calculations[[#This Row],[Waste 1]],WasteScenario[#All],5,FALSE)*'Stage assumptions'!$C$226*WasteTransportMethod[Emissions Factor
kgCO2e/kg.km]*Calculations[[#This Row],[Total Kg]],0)</f>
        <v>0</v>
      </c>
      <c r="X159" s="322">
        <f>SUM(Calculations[[#This Row],[C2 Recycle]:[C2 Reuse]])</f>
        <v>0</v>
      </c>
      <c r="Y159" t="str">
        <f>IFERROR(VLOOKUP(Calculations[[#This Row],[Material (choose from dropdown]],MaterialData[#All],5,FALSE),"")</f>
        <v/>
      </c>
      <c r="Z159" s="322">
        <f>IFERROR(((VLOOKUP(Calculations[[#This Row],[Waste type 2]],WasteDisposalEmissions[#All],2,FALSE))*Calculations[[#This Row],[Total Kg]])*VLOOKUP(Calculations[[#This Row],[Waste 1]],WasteScenario[#All],2,FALSE),0)</f>
        <v>0</v>
      </c>
      <c r="AA159" s="322">
        <f>IFERROR((VLOOKUP(Calculations[[#This Row],[Waste type 2]],WasteDisposalEmissions[#All],3,FALSE))*Calculations[[#This Row],[Total Kg]]*VLOOKUP(Calculations[[#This Row],[Waste 1]],WasteScenario[#All],3,FALSE),0)</f>
        <v>0</v>
      </c>
      <c r="AB159" s="322">
        <f>SUM(Calculations[[#This Row],[C3 recyc]:[C3 incin]])</f>
        <v>0</v>
      </c>
      <c r="AC159" s="322">
        <f>IFERROR((VLOOKUP(Calculations[[#This Row],[Waste type 2]],WasteLandfillEmissions[#All],2,FALSE))*Calculations[[#This Row],[Total Kg]]*VLOOKUP(Calculations[[#This Row],[Waste 1]],WasteScenario[#All],4,FALSE),0)</f>
        <v>0</v>
      </c>
      <c r="AD159" s="322">
        <f>IFERROR((VLOOKUP(Calculations[[#This Row],[Waste type 2]],WasteLandfillEmissions[#All],3,FALSE))*Calculations[[#This Row],[Total Kg]]*VLOOKUP(Calculations[[#This Row],[Waste 1]],WasteScenario[#All],4,FALSE),0)</f>
        <v>0</v>
      </c>
      <c r="AE159" s="322">
        <f>SUM(Calculations[[#This Row],[C4 landfill]:[C4 re-use]])</f>
        <v>0</v>
      </c>
      <c r="AF159" s="322">
        <f>IFERROR(VLOOKUP(Calculations[[#This Row],[Material (choose from dropdown]],MaterialData[#All],8,FALSE),0)</f>
        <v>0</v>
      </c>
      <c r="AG159" s="322">
        <f>IFERROR(Calculations[[#This Row],[Total Kg]]*Calculations[[#This Row],[Seq factor]],0)</f>
        <v>0</v>
      </c>
      <c r="AI159" s="322">
        <f>Calculations[[#This Row],[A1-3]]+Calculations[[#This Row],[A4]]+Calculations[[#This Row],[A5]]+Calculations[[#This Row],[B4]]+Calculations[[#This Row],[C2 total]]+Calculations[[#This Row],[C3 total]]+Calculations[[#This Row],[C4 total]]</f>
        <v>0</v>
      </c>
      <c r="AJ159" s="2">
        <f>IFERROR(VLOOKUP(Calculations[[#This Row],[Material (choose from dropdown]],MaterialData[[#Headers],[#Data]],9,FALSE),0)</f>
        <v>0</v>
      </c>
      <c r="AK159" s="4">
        <f>IFERROR(VLOOKUP(Calculations[[#This Row],[Material (choose from dropdown]],MaterialData[[#Headers],[#Data]],10,FALSE),0)</f>
        <v>0</v>
      </c>
      <c r="AL159" s="322">
        <f>IFERROR(Calculations[[#This Row],[Data Quality Score]]*Calculations[[#This Row],[Total Kg]],0)</f>
        <v>0</v>
      </c>
    </row>
    <row r="160" spans="1:38" x14ac:dyDescent="0.3">
      <c r="A160" s="6">
        <f>IFERROR(MaterialsBoQ[[#This Row],[Scope Element]],0)</f>
        <v>0</v>
      </c>
      <c r="B160">
        <f>IFERROR(MaterialsBoQ[[#This Row],[Material ]],"")</f>
        <v>0</v>
      </c>
      <c r="C160">
        <f>IFERROR(MaterialsBoQ[[#This Row],[Unit]],"")</f>
        <v>0</v>
      </c>
      <c r="D160" s="322">
        <f>IFERROR(MaterialsBoQ[[#This Row],[Number]],0)</f>
        <v>0</v>
      </c>
      <c r="E160" s="322">
        <f>IFERROR(MaterialsBoQ[[#This Row],[Kg per unit]],0)</f>
        <v>0</v>
      </c>
      <c r="F160" s="322">
        <f>IFERROR(Calculations[[#This Row],[Number]]*Calculations[[#This Row],[Conversion factor]],0)</f>
        <v>0</v>
      </c>
      <c r="G160" s="322">
        <f>IFERROR(VLOOKUP(Calculations[[#This Row],[Material (choose from dropdown]],MaterialData[#All],7,FALSE),0)</f>
        <v>0</v>
      </c>
      <c r="H160" s="322">
        <f>Calculations[[#This Row],[Total Kg]]*Calculations[[#This Row],[Carbon Factor]]</f>
        <v>0</v>
      </c>
      <c r="I160" t="str">
        <f>IFERROR(VLOOKUP(Calculations[[#This Row],[Material (choose from dropdown]],MaterialData[#All],2,FALSE),"")</f>
        <v/>
      </c>
      <c r="J160" s="322">
        <f>IFERROR(((VLOOKUP(Calculations[[#This Row],[TransportSource]],TransportDistance[],2,FALSE)*'Stage assumptions'!$C$11)+VLOOKUP(Calculations[[#This Row],[TransportSource]],TransportDistance[],3,FALSE)*'Stage assumptions'!$C$12)*Calculations[[#This Row],[Total Kg]],0)</f>
        <v>0</v>
      </c>
      <c r="K160">
        <f>IFERROR(VLOOKUP(Calculations[[#This Row],[Material (choose from dropdown]], MaterialData[#All],3, FALSE),0)</f>
        <v>0</v>
      </c>
      <c r="L160" s="322">
        <f>IFERROR(VLOOKUP(Calculations[[#This Row],[A5type]],A5WastageRate[#All],2,FALSE)*Calculations[[#This Row],[A1-3]],0)</f>
        <v>0</v>
      </c>
      <c r="N160">
        <f>IFERROR(ROUNDUP(50/VLOOKUP(Calculations[[#This Row],[Scope Element]],B4referenceServiceLife[[Tier 2 element]:[Default Service Life]],2, FALSE)-1,0),0)</f>
        <v>0</v>
      </c>
      <c r="O160" s="322">
        <f>IFERROR((Calculations[[#This Row],[A1-3]]+Calculations[[#This Row],[A4]]+Calculations[[#This Row],[A5]]+Calculations[[#This Row],[C2 total]]+Calculations[[#This Row],[C3 total]]+Calculations[[#This Row],[C4 total]])*Calculations[[#This Row],[Replacements]],0)</f>
        <v>0</v>
      </c>
      <c r="S160" t="str">
        <f>IFERROR(VLOOKUP(Calculations[[#This Row],[Material (choose from dropdown]],MaterialData[#All],4,FALSE),"")</f>
        <v/>
      </c>
      <c r="T160" s="322" cm="1">
        <f t="array" ref="T160">IFERROR(VLOOKUP(Calculations[[#This Row],[Waste 1]],WasteScenario[#All],2,FALSE)*'Stage assumptions'!$C$225*WasteTransportMethod[Emissions Factor
kgCO2e/kg.km]*Calculations[[#This Row],[Total Kg]],0)</f>
        <v>0</v>
      </c>
      <c r="U160" s="322" cm="1">
        <f t="array" ref="U160">IFERROR(VLOOKUP(Calculations[[#This Row],[Waste 1]],WasteScenario[#All],3,FALSE)*'Stage assumptions'!$C$224*WasteTransportMethod[Emissions Factor
kgCO2e/kg.km]*Calculations[[#This Row],[Total Kg]],0)</f>
        <v>0</v>
      </c>
      <c r="V160" s="322" cm="1">
        <f t="array" ref="V160">IFERROR(VLOOKUP(Calculations[[#This Row],[Waste 1]],WasteScenario[#All],4,FALSE)*'Stage assumptions'!$C$223*WasteTransportMethod[Emissions Factor
kgCO2e/kg.km]*Calculations[[#This Row],[Total Kg]],0)</f>
        <v>0</v>
      </c>
      <c r="W160" s="322" cm="1">
        <f t="array" ref="W160">IFERROR(VLOOKUP(Calculations[[#This Row],[Waste 1]],WasteScenario[#All],5,FALSE)*'Stage assumptions'!$C$226*WasteTransportMethod[Emissions Factor
kgCO2e/kg.km]*Calculations[[#This Row],[Total Kg]],0)</f>
        <v>0</v>
      </c>
      <c r="X160" s="322">
        <f>SUM(Calculations[[#This Row],[C2 Recycle]:[C2 Reuse]])</f>
        <v>0</v>
      </c>
      <c r="Y160" t="str">
        <f>IFERROR(VLOOKUP(Calculations[[#This Row],[Material (choose from dropdown]],MaterialData[#All],5,FALSE),"")</f>
        <v/>
      </c>
      <c r="Z160" s="322">
        <f>IFERROR(((VLOOKUP(Calculations[[#This Row],[Waste type 2]],WasteDisposalEmissions[#All],2,FALSE))*Calculations[[#This Row],[Total Kg]])*VLOOKUP(Calculations[[#This Row],[Waste 1]],WasteScenario[#All],2,FALSE),0)</f>
        <v>0</v>
      </c>
      <c r="AA160" s="322">
        <f>IFERROR((VLOOKUP(Calculations[[#This Row],[Waste type 2]],WasteDisposalEmissions[#All],3,FALSE))*Calculations[[#This Row],[Total Kg]]*VLOOKUP(Calculations[[#This Row],[Waste 1]],WasteScenario[#All],3,FALSE),0)</f>
        <v>0</v>
      </c>
      <c r="AB160" s="322">
        <f>SUM(Calculations[[#This Row],[C3 recyc]:[C3 incin]])</f>
        <v>0</v>
      </c>
      <c r="AC160" s="322">
        <f>IFERROR((VLOOKUP(Calculations[[#This Row],[Waste type 2]],WasteLandfillEmissions[#All],2,FALSE))*Calculations[[#This Row],[Total Kg]]*VLOOKUP(Calculations[[#This Row],[Waste 1]],WasteScenario[#All],4,FALSE),0)</f>
        <v>0</v>
      </c>
      <c r="AD160" s="322">
        <f>IFERROR((VLOOKUP(Calculations[[#This Row],[Waste type 2]],WasteLandfillEmissions[#All],3,FALSE))*Calculations[[#This Row],[Total Kg]]*VLOOKUP(Calculations[[#This Row],[Waste 1]],WasteScenario[#All],4,FALSE),0)</f>
        <v>0</v>
      </c>
      <c r="AE160" s="322">
        <f>SUM(Calculations[[#This Row],[C4 landfill]:[C4 re-use]])</f>
        <v>0</v>
      </c>
      <c r="AF160" s="322">
        <f>IFERROR(VLOOKUP(Calculations[[#This Row],[Material (choose from dropdown]],MaterialData[#All],8,FALSE),0)</f>
        <v>0</v>
      </c>
      <c r="AG160" s="322">
        <f>IFERROR(Calculations[[#This Row],[Total Kg]]*Calculations[[#This Row],[Seq factor]],0)</f>
        <v>0</v>
      </c>
      <c r="AI160" s="322">
        <f>Calculations[[#This Row],[A1-3]]+Calculations[[#This Row],[A4]]+Calculations[[#This Row],[A5]]+Calculations[[#This Row],[B4]]+Calculations[[#This Row],[C2 total]]+Calculations[[#This Row],[C3 total]]+Calculations[[#This Row],[C4 total]]</f>
        <v>0</v>
      </c>
      <c r="AJ160" s="2">
        <f>IFERROR(VLOOKUP(Calculations[[#This Row],[Material (choose from dropdown]],MaterialData[[#Headers],[#Data]],9,FALSE),0)</f>
        <v>0</v>
      </c>
      <c r="AK160" s="4">
        <f>IFERROR(VLOOKUP(Calculations[[#This Row],[Material (choose from dropdown]],MaterialData[[#Headers],[#Data]],10,FALSE),0)</f>
        <v>0</v>
      </c>
      <c r="AL160" s="322">
        <f>IFERROR(Calculations[[#This Row],[Data Quality Score]]*Calculations[[#This Row],[Total Kg]],0)</f>
        <v>0</v>
      </c>
    </row>
    <row r="161" spans="1:38" x14ac:dyDescent="0.3">
      <c r="A161" s="6">
        <f>IFERROR(MaterialsBoQ[[#This Row],[Scope Element]],0)</f>
        <v>0</v>
      </c>
      <c r="B161">
        <f>IFERROR(MaterialsBoQ[[#This Row],[Material ]],"")</f>
        <v>0</v>
      </c>
      <c r="C161">
        <f>IFERROR(MaterialsBoQ[[#This Row],[Unit]],"")</f>
        <v>0</v>
      </c>
      <c r="D161" s="322">
        <f>IFERROR(MaterialsBoQ[[#This Row],[Number]],0)</f>
        <v>0</v>
      </c>
      <c r="E161" s="322">
        <f>IFERROR(MaterialsBoQ[[#This Row],[Kg per unit]],0)</f>
        <v>0</v>
      </c>
      <c r="F161" s="322">
        <f>IFERROR(Calculations[[#This Row],[Number]]*Calculations[[#This Row],[Conversion factor]],0)</f>
        <v>0</v>
      </c>
      <c r="G161" s="322">
        <f>IFERROR(VLOOKUP(Calculations[[#This Row],[Material (choose from dropdown]],MaterialData[#All],7,FALSE),0)</f>
        <v>0</v>
      </c>
      <c r="H161" s="322">
        <f>Calculations[[#This Row],[Total Kg]]*Calculations[[#This Row],[Carbon Factor]]</f>
        <v>0</v>
      </c>
      <c r="I161" t="str">
        <f>IFERROR(VLOOKUP(Calculations[[#This Row],[Material (choose from dropdown]],MaterialData[#All],2,FALSE),"")</f>
        <v/>
      </c>
      <c r="J161" s="322">
        <f>IFERROR(((VLOOKUP(Calculations[[#This Row],[TransportSource]],TransportDistance[],2,FALSE)*'Stage assumptions'!$C$11)+VLOOKUP(Calculations[[#This Row],[TransportSource]],TransportDistance[],3,FALSE)*'Stage assumptions'!$C$12)*Calculations[[#This Row],[Total Kg]],0)</f>
        <v>0</v>
      </c>
      <c r="K161">
        <f>IFERROR(VLOOKUP(Calculations[[#This Row],[Material (choose from dropdown]], MaterialData[#All],3, FALSE),0)</f>
        <v>0</v>
      </c>
      <c r="L161" s="322">
        <f>IFERROR(VLOOKUP(Calculations[[#This Row],[A5type]],A5WastageRate[#All],2,FALSE)*Calculations[[#This Row],[A1-3]],0)</f>
        <v>0</v>
      </c>
      <c r="N161">
        <f>IFERROR(ROUNDUP(50/VLOOKUP(Calculations[[#This Row],[Scope Element]],B4referenceServiceLife[[Tier 2 element]:[Default Service Life]],2, FALSE)-1,0),0)</f>
        <v>0</v>
      </c>
      <c r="O161" s="322">
        <f>IFERROR((Calculations[[#This Row],[A1-3]]+Calculations[[#This Row],[A4]]+Calculations[[#This Row],[A5]]+Calculations[[#This Row],[C2 total]]+Calculations[[#This Row],[C3 total]]+Calculations[[#This Row],[C4 total]])*Calculations[[#This Row],[Replacements]],0)</f>
        <v>0</v>
      </c>
      <c r="S161" t="str">
        <f>IFERROR(VLOOKUP(Calculations[[#This Row],[Material (choose from dropdown]],MaterialData[#All],4,FALSE),"")</f>
        <v/>
      </c>
      <c r="T161" s="322" cm="1">
        <f t="array" ref="T161">IFERROR(VLOOKUP(Calculations[[#This Row],[Waste 1]],WasteScenario[#All],2,FALSE)*'Stage assumptions'!$C$225*WasteTransportMethod[Emissions Factor
kgCO2e/kg.km]*Calculations[[#This Row],[Total Kg]],0)</f>
        <v>0</v>
      </c>
      <c r="U161" s="322" cm="1">
        <f t="array" ref="U161">IFERROR(VLOOKUP(Calculations[[#This Row],[Waste 1]],WasteScenario[#All],3,FALSE)*'Stage assumptions'!$C$224*WasteTransportMethod[Emissions Factor
kgCO2e/kg.km]*Calculations[[#This Row],[Total Kg]],0)</f>
        <v>0</v>
      </c>
      <c r="V161" s="322" cm="1">
        <f t="array" ref="V161">IFERROR(VLOOKUP(Calculations[[#This Row],[Waste 1]],WasteScenario[#All],4,FALSE)*'Stage assumptions'!$C$223*WasteTransportMethod[Emissions Factor
kgCO2e/kg.km]*Calculations[[#This Row],[Total Kg]],0)</f>
        <v>0</v>
      </c>
      <c r="W161" s="322" cm="1">
        <f t="array" ref="W161">IFERROR(VLOOKUP(Calculations[[#This Row],[Waste 1]],WasteScenario[#All],5,FALSE)*'Stage assumptions'!$C$226*WasteTransportMethod[Emissions Factor
kgCO2e/kg.km]*Calculations[[#This Row],[Total Kg]],0)</f>
        <v>0</v>
      </c>
      <c r="X161" s="322">
        <f>SUM(Calculations[[#This Row],[C2 Recycle]:[C2 Reuse]])</f>
        <v>0</v>
      </c>
      <c r="Y161" t="str">
        <f>IFERROR(VLOOKUP(Calculations[[#This Row],[Material (choose from dropdown]],MaterialData[#All],5,FALSE),"")</f>
        <v/>
      </c>
      <c r="Z161" s="322">
        <f>IFERROR(((VLOOKUP(Calculations[[#This Row],[Waste type 2]],WasteDisposalEmissions[#All],2,FALSE))*Calculations[[#This Row],[Total Kg]])*VLOOKUP(Calculations[[#This Row],[Waste 1]],WasteScenario[#All],2,FALSE),0)</f>
        <v>0</v>
      </c>
      <c r="AA161" s="322">
        <f>IFERROR((VLOOKUP(Calculations[[#This Row],[Waste type 2]],WasteDisposalEmissions[#All],3,FALSE))*Calculations[[#This Row],[Total Kg]]*VLOOKUP(Calculations[[#This Row],[Waste 1]],WasteScenario[#All],3,FALSE),0)</f>
        <v>0</v>
      </c>
      <c r="AB161" s="322">
        <f>SUM(Calculations[[#This Row],[C3 recyc]:[C3 incin]])</f>
        <v>0</v>
      </c>
      <c r="AC161" s="322">
        <f>IFERROR((VLOOKUP(Calculations[[#This Row],[Waste type 2]],WasteLandfillEmissions[#All],2,FALSE))*Calculations[[#This Row],[Total Kg]]*VLOOKUP(Calculations[[#This Row],[Waste 1]],WasteScenario[#All],4,FALSE),0)</f>
        <v>0</v>
      </c>
      <c r="AD161" s="322">
        <f>IFERROR((VLOOKUP(Calculations[[#This Row],[Waste type 2]],WasteLandfillEmissions[#All],3,FALSE))*Calculations[[#This Row],[Total Kg]]*VLOOKUP(Calculations[[#This Row],[Waste 1]],WasteScenario[#All],4,FALSE),0)</f>
        <v>0</v>
      </c>
      <c r="AE161" s="322">
        <f>SUM(Calculations[[#This Row],[C4 landfill]:[C4 re-use]])</f>
        <v>0</v>
      </c>
      <c r="AF161" s="322">
        <f>IFERROR(VLOOKUP(Calculations[[#This Row],[Material (choose from dropdown]],MaterialData[#All],8,FALSE),0)</f>
        <v>0</v>
      </c>
      <c r="AG161" s="322">
        <f>IFERROR(Calculations[[#This Row],[Total Kg]]*Calculations[[#This Row],[Seq factor]],0)</f>
        <v>0</v>
      </c>
      <c r="AI161" s="322">
        <f>Calculations[[#This Row],[A1-3]]+Calculations[[#This Row],[A4]]+Calculations[[#This Row],[A5]]+Calculations[[#This Row],[B4]]+Calculations[[#This Row],[C2 total]]+Calculations[[#This Row],[C3 total]]+Calculations[[#This Row],[C4 total]]</f>
        <v>0</v>
      </c>
      <c r="AJ161" s="2">
        <f>IFERROR(VLOOKUP(Calculations[[#This Row],[Material (choose from dropdown]],MaterialData[[#Headers],[#Data]],9,FALSE),0)</f>
        <v>0</v>
      </c>
      <c r="AK161" s="4">
        <f>IFERROR(VLOOKUP(Calculations[[#This Row],[Material (choose from dropdown]],MaterialData[[#Headers],[#Data]],10,FALSE),0)</f>
        <v>0</v>
      </c>
      <c r="AL161" s="322">
        <f>IFERROR(Calculations[[#This Row],[Data Quality Score]]*Calculations[[#This Row],[Total Kg]],0)</f>
        <v>0</v>
      </c>
    </row>
    <row r="162" spans="1:38" x14ac:dyDescent="0.3">
      <c r="A162" s="6">
        <f>IFERROR(MaterialsBoQ[[#This Row],[Scope Element]],0)</f>
        <v>0</v>
      </c>
      <c r="B162">
        <f>IFERROR(MaterialsBoQ[[#This Row],[Material ]],"")</f>
        <v>0</v>
      </c>
      <c r="C162">
        <f>IFERROR(MaterialsBoQ[[#This Row],[Unit]],"")</f>
        <v>0</v>
      </c>
      <c r="D162" s="322">
        <f>IFERROR(MaterialsBoQ[[#This Row],[Number]],0)</f>
        <v>0</v>
      </c>
      <c r="E162" s="322">
        <f>IFERROR(MaterialsBoQ[[#This Row],[Kg per unit]],0)</f>
        <v>0</v>
      </c>
      <c r="F162" s="322">
        <f>IFERROR(Calculations[[#This Row],[Number]]*Calculations[[#This Row],[Conversion factor]],0)</f>
        <v>0</v>
      </c>
      <c r="G162" s="322">
        <f>IFERROR(VLOOKUP(Calculations[[#This Row],[Material (choose from dropdown]],MaterialData[#All],7,FALSE),0)</f>
        <v>0</v>
      </c>
      <c r="H162" s="322">
        <f>Calculations[[#This Row],[Total Kg]]*Calculations[[#This Row],[Carbon Factor]]</f>
        <v>0</v>
      </c>
      <c r="I162" t="str">
        <f>IFERROR(VLOOKUP(Calculations[[#This Row],[Material (choose from dropdown]],MaterialData[#All],2,FALSE),"")</f>
        <v/>
      </c>
      <c r="J162" s="322">
        <f>IFERROR(((VLOOKUP(Calculations[[#This Row],[TransportSource]],TransportDistance[],2,FALSE)*'Stage assumptions'!$C$11)+VLOOKUP(Calculations[[#This Row],[TransportSource]],TransportDistance[],3,FALSE)*'Stage assumptions'!$C$12)*Calculations[[#This Row],[Total Kg]],0)</f>
        <v>0</v>
      </c>
      <c r="K162">
        <f>IFERROR(VLOOKUP(Calculations[[#This Row],[Material (choose from dropdown]], MaterialData[#All],3, FALSE),0)</f>
        <v>0</v>
      </c>
      <c r="L162" s="322">
        <f>IFERROR(VLOOKUP(Calculations[[#This Row],[A5type]],A5WastageRate[#All],2,FALSE)*Calculations[[#This Row],[A1-3]],0)</f>
        <v>0</v>
      </c>
      <c r="N162">
        <f>IFERROR(ROUNDUP(50/VLOOKUP(Calculations[[#This Row],[Scope Element]],B4referenceServiceLife[[Tier 2 element]:[Default Service Life]],2, FALSE)-1,0),0)</f>
        <v>0</v>
      </c>
      <c r="O162" s="322">
        <f>IFERROR((Calculations[[#This Row],[A1-3]]+Calculations[[#This Row],[A4]]+Calculations[[#This Row],[A5]]+Calculations[[#This Row],[C2 total]]+Calculations[[#This Row],[C3 total]]+Calculations[[#This Row],[C4 total]])*Calculations[[#This Row],[Replacements]],0)</f>
        <v>0</v>
      </c>
      <c r="S162" t="str">
        <f>IFERROR(VLOOKUP(Calculations[[#This Row],[Material (choose from dropdown]],MaterialData[#All],4,FALSE),"")</f>
        <v/>
      </c>
      <c r="T162" s="322" cm="1">
        <f t="array" ref="T162">IFERROR(VLOOKUP(Calculations[[#This Row],[Waste 1]],WasteScenario[#All],2,FALSE)*'Stage assumptions'!$C$225*WasteTransportMethod[Emissions Factor
kgCO2e/kg.km]*Calculations[[#This Row],[Total Kg]],0)</f>
        <v>0</v>
      </c>
      <c r="U162" s="322" cm="1">
        <f t="array" ref="U162">IFERROR(VLOOKUP(Calculations[[#This Row],[Waste 1]],WasteScenario[#All],3,FALSE)*'Stage assumptions'!$C$224*WasteTransportMethod[Emissions Factor
kgCO2e/kg.km]*Calculations[[#This Row],[Total Kg]],0)</f>
        <v>0</v>
      </c>
      <c r="V162" s="322" cm="1">
        <f t="array" ref="V162">IFERROR(VLOOKUP(Calculations[[#This Row],[Waste 1]],WasteScenario[#All],4,FALSE)*'Stage assumptions'!$C$223*WasteTransportMethod[Emissions Factor
kgCO2e/kg.km]*Calculations[[#This Row],[Total Kg]],0)</f>
        <v>0</v>
      </c>
      <c r="W162" s="322" cm="1">
        <f t="array" ref="W162">IFERROR(VLOOKUP(Calculations[[#This Row],[Waste 1]],WasteScenario[#All],5,FALSE)*'Stage assumptions'!$C$226*WasteTransportMethod[Emissions Factor
kgCO2e/kg.km]*Calculations[[#This Row],[Total Kg]],0)</f>
        <v>0</v>
      </c>
      <c r="X162" s="322">
        <f>SUM(Calculations[[#This Row],[C2 Recycle]:[C2 Reuse]])</f>
        <v>0</v>
      </c>
      <c r="Y162" t="str">
        <f>IFERROR(VLOOKUP(Calculations[[#This Row],[Material (choose from dropdown]],MaterialData[#All],5,FALSE),"")</f>
        <v/>
      </c>
      <c r="Z162" s="322">
        <f>IFERROR(((VLOOKUP(Calculations[[#This Row],[Waste type 2]],WasteDisposalEmissions[#All],2,FALSE))*Calculations[[#This Row],[Total Kg]])*VLOOKUP(Calculations[[#This Row],[Waste 1]],WasteScenario[#All],2,FALSE),0)</f>
        <v>0</v>
      </c>
      <c r="AA162" s="322">
        <f>IFERROR((VLOOKUP(Calculations[[#This Row],[Waste type 2]],WasteDisposalEmissions[#All],3,FALSE))*Calculations[[#This Row],[Total Kg]]*VLOOKUP(Calculations[[#This Row],[Waste 1]],WasteScenario[#All],3,FALSE),0)</f>
        <v>0</v>
      </c>
      <c r="AB162" s="322">
        <f>SUM(Calculations[[#This Row],[C3 recyc]:[C3 incin]])</f>
        <v>0</v>
      </c>
      <c r="AC162" s="322">
        <f>IFERROR((VLOOKUP(Calculations[[#This Row],[Waste type 2]],WasteLandfillEmissions[#All],2,FALSE))*Calculations[[#This Row],[Total Kg]]*VLOOKUP(Calculations[[#This Row],[Waste 1]],WasteScenario[#All],4,FALSE),0)</f>
        <v>0</v>
      </c>
      <c r="AD162" s="322">
        <f>IFERROR((VLOOKUP(Calculations[[#This Row],[Waste type 2]],WasteLandfillEmissions[#All],3,FALSE))*Calculations[[#This Row],[Total Kg]]*VLOOKUP(Calculations[[#This Row],[Waste 1]],WasteScenario[#All],4,FALSE),0)</f>
        <v>0</v>
      </c>
      <c r="AE162" s="322">
        <f>SUM(Calculations[[#This Row],[C4 landfill]:[C4 re-use]])</f>
        <v>0</v>
      </c>
      <c r="AF162" s="322">
        <f>IFERROR(VLOOKUP(Calculations[[#This Row],[Material (choose from dropdown]],MaterialData[#All],8,FALSE),0)</f>
        <v>0</v>
      </c>
      <c r="AG162" s="322">
        <f>IFERROR(Calculations[[#This Row],[Total Kg]]*Calculations[[#This Row],[Seq factor]],0)</f>
        <v>0</v>
      </c>
      <c r="AI162" s="322">
        <f>Calculations[[#This Row],[A1-3]]+Calculations[[#This Row],[A4]]+Calculations[[#This Row],[A5]]+Calculations[[#This Row],[B4]]+Calculations[[#This Row],[C2 total]]+Calculations[[#This Row],[C3 total]]+Calculations[[#This Row],[C4 total]]</f>
        <v>0</v>
      </c>
      <c r="AJ162" s="2">
        <f>IFERROR(VLOOKUP(Calculations[[#This Row],[Material (choose from dropdown]],MaterialData[[#Headers],[#Data]],9,FALSE),0)</f>
        <v>0</v>
      </c>
      <c r="AK162" s="4">
        <f>IFERROR(VLOOKUP(Calculations[[#This Row],[Material (choose from dropdown]],MaterialData[[#Headers],[#Data]],10,FALSE),0)</f>
        <v>0</v>
      </c>
      <c r="AL162" s="322">
        <f>IFERROR(Calculations[[#This Row],[Data Quality Score]]*Calculations[[#This Row],[Total Kg]],0)</f>
        <v>0</v>
      </c>
    </row>
    <row r="163" spans="1:38" x14ac:dyDescent="0.3">
      <c r="A163" s="6">
        <f>IFERROR(MaterialsBoQ[[#This Row],[Scope Element]],0)</f>
        <v>0</v>
      </c>
      <c r="B163">
        <f>IFERROR(MaterialsBoQ[[#This Row],[Material ]],"")</f>
        <v>0</v>
      </c>
      <c r="C163">
        <f>IFERROR(MaterialsBoQ[[#This Row],[Unit]],"")</f>
        <v>0</v>
      </c>
      <c r="D163" s="322">
        <f>IFERROR(MaterialsBoQ[[#This Row],[Number]],0)</f>
        <v>0</v>
      </c>
      <c r="E163" s="322">
        <f>IFERROR(MaterialsBoQ[[#This Row],[Kg per unit]],0)</f>
        <v>0</v>
      </c>
      <c r="F163" s="322">
        <f>IFERROR(Calculations[[#This Row],[Number]]*Calculations[[#This Row],[Conversion factor]],0)</f>
        <v>0</v>
      </c>
      <c r="G163" s="322">
        <f>IFERROR(VLOOKUP(Calculations[[#This Row],[Material (choose from dropdown]],MaterialData[#All],7,FALSE),0)</f>
        <v>0</v>
      </c>
      <c r="H163" s="322">
        <f>Calculations[[#This Row],[Total Kg]]*Calculations[[#This Row],[Carbon Factor]]</f>
        <v>0</v>
      </c>
      <c r="I163" t="str">
        <f>IFERROR(VLOOKUP(Calculations[[#This Row],[Material (choose from dropdown]],MaterialData[#All],2,FALSE),"")</f>
        <v/>
      </c>
      <c r="J163" s="322">
        <f>IFERROR(((VLOOKUP(Calculations[[#This Row],[TransportSource]],TransportDistance[],2,FALSE)*'Stage assumptions'!$C$11)+VLOOKUP(Calculations[[#This Row],[TransportSource]],TransportDistance[],3,FALSE)*'Stage assumptions'!$C$12)*Calculations[[#This Row],[Total Kg]],0)</f>
        <v>0</v>
      </c>
      <c r="K163">
        <f>IFERROR(VLOOKUP(Calculations[[#This Row],[Material (choose from dropdown]], MaterialData[#All],3, FALSE),0)</f>
        <v>0</v>
      </c>
      <c r="L163" s="322">
        <f>IFERROR(VLOOKUP(Calculations[[#This Row],[A5type]],A5WastageRate[#All],2,FALSE)*Calculations[[#This Row],[A1-3]],0)</f>
        <v>0</v>
      </c>
      <c r="N163">
        <f>IFERROR(ROUNDUP(50/VLOOKUP(Calculations[[#This Row],[Scope Element]],B4referenceServiceLife[[Tier 2 element]:[Default Service Life]],2, FALSE)-1,0),0)</f>
        <v>0</v>
      </c>
      <c r="O163" s="322">
        <f>IFERROR((Calculations[[#This Row],[A1-3]]+Calculations[[#This Row],[A4]]+Calculations[[#This Row],[A5]]+Calculations[[#This Row],[C2 total]]+Calculations[[#This Row],[C3 total]]+Calculations[[#This Row],[C4 total]])*Calculations[[#This Row],[Replacements]],0)</f>
        <v>0</v>
      </c>
      <c r="S163" t="str">
        <f>IFERROR(VLOOKUP(Calculations[[#This Row],[Material (choose from dropdown]],MaterialData[#All],4,FALSE),"")</f>
        <v/>
      </c>
      <c r="T163" s="322" cm="1">
        <f t="array" ref="T163">IFERROR(VLOOKUP(Calculations[[#This Row],[Waste 1]],WasteScenario[#All],2,FALSE)*'Stage assumptions'!$C$225*WasteTransportMethod[Emissions Factor
kgCO2e/kg.km]*Calculations[[#This Row],[Total Kg]],0)</f>
        <v>0</v>
      </c>
      <c r="U163" s="322" cm="1">
        <f t="array" ref="U163">IFERROR(VLOOKUP(Calculations[[#This Row],[Waste 1]],WasteScenario[#All],3,FALSE)*'Stage assumptions'!$C$224*WasteTransportMethod[Emissions Factor
kgCO2e/kg.km]*Calculations[[#This Row],[Total Kg]],0)</f>
        <v>0</v>
      </c>
      <c r="V163" s="322" cm="1">
        <f t="array" ref="V163">IFERROR(VLOOKUP(Calculations[[#This Row],[Waste 1]],WasteScenario[#All],4,FALSE)*'Stage assumptions'!$C$223*WasteTransportMethod[Emissions Factor
kgCO2e/kg.km]*Calculations[[#This Row],[Total Kg]],0)</f>
        <v>0</v>
      </c>
      <c r="W163" s="322" cm="1">
        <f t="array" ref="W163">IFERROR(VLOOKUP(Calculations[[#This Row],[Waste 1]],WasteScenario[#All],5,FALSE)*'Stage assumptions'!$C$226*WasteTransportMethod[Emissions Factor
kgCO2e/kg.km]*Calculations[[#This Row],[Total Kg]],0)</f>
        <v>0</v>
      </c>
      <c r="X163" s="322">
        <f>SUM(Calculations[[#This Row],[C2 Recycle]:[C2 Reuse]])</f>
        <v>0</v>
      </c>
      <c r="Y163" t="str">
        <f>IFERROR(VLOOKUP(Calculations[[#This Row],[Material (choose from dropdown]],MaterialData[#All],5,FALSE),"")</f>
        <v/>
      </c>
      <c r="Z163" s="322">
        <f>IFERROR(((VLOOKUP(Calculations[[#This Row],[Waste type 2]],WasteDisposalEmissions[#All],2,FALSE))*Calculations[[#This Row],[Total Kg]])*VLOOKUP(Calculations[[#This Row],[Waste 1]],WasteScenario[#All],2,FALSE),0)</f>
        <v>0</v>
      </c>
      <c r="AA163" s="322">
        <f>IFERROR((VLOOKUP(Calculations[[#This Row],[Waste type 2]],WasteDisposalEmissions[#All],3,FALSE))*Calculations[[#This Row],[Total Kg]]*VLOOKUP(Calculations[[#This Row],[Waste 1]],WasteScenario[#All],3,FALSE),0)</f>
        <v>0</v>
      </c>
      <c r="AB163" s="322">
        <f>SUM(Calculations[[#This Row],[C3 recyc]:[C3 incin]])</f>
        <v>0</v>
      </c>
      <c r="AC163" s="322">
        <f>IFERROR((VLOOKUP(Calculations[[#This Row],[Waste type 2]],WasteLandfillEmissions[#All],2,FALSE))*Calculations[[#This Row],[Total Kg]]*VLOOKUP(Calculations[[#This Row],[Waste 1]],WasteScenario[#All],4,FALSE),0)</f>
        <v>0</v>
      </c>
      <c r="AD163" s="322">
        <f>IFERROR((VLOOKUP(Calculations[[#This Row],[Waste type 2]],WasteLandfillEmissions[#All],3,FALSE))*Calculations[[#This Row],[Total Kg]]*VLOOKUP(Calculations[[#This Row],[Waste 1]],WasteScenario[#All],4,FALSE),0)</f>
        <v>0</v>
      </c>
      <c r="AE163" s="322">
        <f>SUM(Calculations[[#This Row],[C4 landfill]:[C4 re-use]])</f>
        <v>0</v>
      </c>
      <c r="AF163" s="322">
        <f>IFERROR(VLOOKUP(Calculations[[#This Row],[Material (choose from dropdown]],MaterialData[#All],8,FALSE),0)</f>
        <v>0</v>
      </c>
      <c r="AG163" s="322">
        <f>IFERROR(Calculations[[#This Row],[Total Kg]]*Calculations[[#This Row],[Seq factor]],0)</f>
        <v>0</v>
      </c>
      <c r="AI163" s="322">
        <f>Calculations[[#This Row],[A1-3]]+Calculations[[#This Row],[A4]]+Calculations[[#This Row],[A5]]+Calculations[[#This Row],[B4]]+Calculations[[#This Row],[C2 total]]+Calculations[[#This Row],[C3 total]]+Calculations[[#This Row],[C4 total]]</f>
        <v>0</v>
      </c>
      <c r="AJ163" s="2">
        <f>IFERROR(VLOOKUP(Calculations[[#This Row],[Material (choose from dropdown]],MaterialData[[#Headers],[#Data]],9,FALSE),0)</f>
        <v>0</v>
      </c>
      <c r="AK163" s="4">
        <f>IFERROR(VLOOKUP(Calculations[[#This Row],[Material (choose from dropdown]],MaterialData[[#Headers],[#Data]],10,FALSE),0)</f>
        <v>0</v>
      </c>
      <c r="AL163" s="322">
        <f>IFERROR(Calculations[[#This Row],[Data Quality Score]]*Calculations[[#This Row],[Total Kg]],0)</f>
        <v>0</v>
      </c>
    </row>
    <row r="164" spans="1:38" x14ac:dyDescent="0.3">
      <c r="A164" s="6">
        <f>IFERROR(MaterialsBoQ[[#This Row],[Scope Element]],0)</f>
        <v>0</v>
      </c>
      <c r="B164">
        <f>IFERROR(MaterialsBoQ[[#This Row],[Material ]],"")</f>
        <v>0</v>
      </c>
      <c r="C164">
        <f>IFERROR(MaterialsBoQ[[#This Row],[Unit]],"")</f>
        <v>0</v>
      </c>
      <c r="D164" s="322">
        <f>IFERROR(MaterialsBoQ[[#This Row],[Number]],0)</f>
        <v>0</v>
      </c>
      <c r="E164" s="322">
        <f>IFERROR(MaterialsBoQ[[#This Row],[Kg per unit]],0)</f>
        <v>0</v>
      </c>
      <c r="F164" s="322">
        <f>IFERROR(Calculations[[#This Row],[Number]]*Calculations[[#This Row],[Conversion factor]],0)</f>
        <v>0</v>
      </c>
      <c r="G164" s="322">
        <f>IFERROR(VLOOKUP(Calculations[[#This Row],[Material (choose from dropdown]],MaterialData[#All],7,FALSE),0)</f>
        <v>0</v>
      </c>
      <c r="H164" s="322">
        <f>Calculations[[#This Row],[Total Kg]]*Calculations[[#This Row],[Carbon Factor]]</f>
        <v>0</v>
      </c>
      <c r="I164" t="str">
        <f>IFERROR(VLOOKUP(Calculations[[#This Row],[Material (choose from dropdown]],MaterialData[#All],2,FALSE),"")</f>
        <v/>
      </c>
      <c r="J164" s="322">
        <f>IFERROR(((VLOOKUP(Calculations[[#This Row],[TransportSource]],TransportDistance[],2,FALSE)*'Stage assumptions'!$C$11)+VLOOKUP(Calculations[[#This Row],[TransportSource]],TransportDistance[],3,FALSE)*'Stage assumptions'!$C$12)*Calculations[[#This Row],[Total Kg]],0)</f>
        <v>0</v>
      </c>
      <c r="K164">
        <f>IFERROR(VLOOKUP(Calculations[[#This Row],[Material (choose from dropdown]], MaterialData[#All],3, FALSE),0)</f>
        <v>0</v>
      </c>
      <c r="L164" s="322">
        <f>IFERROR(VLOOKUP(Calculations[[#This Row],[A5type]],A5WastageRate[#All],2,FALSE)*Calculations[[#This Row],[A1-3]],0)</f>
        <v>0</v>
      </c>
      <c r="N164">
        <f>IFERROR(ROUNDUP(50/VLOOKUP(Calculations[[#This Row],[Scope Element]],B4referenceServiceLife[[Tier 2 element]:[Default Service Life]],2, FALSE)-1,0),0)</f>
        <v>0</v>
      </c>
      <c r="O164" s="322">
        <f>IFERROR((Calculations[[#This Row],[A1-3]]+Calculations[[#This Row],[A4]]+Calculations[[#This Row],[A5]]+Calculations[[#This Row],[C2 total]]+Calculations[[#This Row],[C3 total]]+Calculations[[#This Row],[C4 total]])*Calculations[[#This Row],[Replacements]],0)</f>
        <v>0</v>
      </c>
      <c r="S164" t="str">
        <f>IFERROR(VLOOKUP(Calculations[[#This Row],[Material (choose from dropdown]],MaterialData[#All],4,FALSE),"")</f>
        <v/>
      </c>
      <c r="T164" s="322" cm="1">
        <f t="array" ref="T164">IFERROR(VLOOKUP(Calculations[[#This Row],[Waste 1]],WasteScenario[#All],2,FALSE)*'Stage assumptions'!$C$225*WasteTransportMethod[Emissions Factor
kgCO2e/kg.km]*Calculations[[#This Row],[Total Kg]],0)</f>
        <v>0</v>
      </c>
      <c r="U164" s="322" cm="1">
        <f t="array" ref="U164">IFERROR(VLOOKUP(Calculations[[#This Row],[Waste 1]],WasteScenario[#All],3,FALSE)*'Stage assumptions'!$C$224*WasteTransportMethod[Emissions Factor
kgCO2e/kg.km]*Calculations[[#This Row],[Total Kg]],0)</f>
        <v>0</v>
      </c>
      <c r="V164" s="322" cm="1">
        <f t="array" ref="V164">IFERROR(VLOOKUP(Calculations[[#This Row],[Waste 1]],WasteScenario[#All],4,FALSE)*'Stage assumptions'!$C$223*WasteTransportMethod[Emissions Factor
kgCO2e/kg.km]*Calculations[[#This Row],[Total Kg]],0)</f>
        <v>0</v>
      </c>
      <c r="W164" s="322" cm="1">
        <f t="array" ref="W164">IFERROR(VLOOKUP(Calculations[[#This Row],[Waste 1]],WasteScenario[#All],5,FALSE)*'Stage assumptions'!$C$226*WasteTransportMethod[Emissions Factor
kgCO2e/kg.km]*Calculations[[#This Row],[Total Kg]],0)</f>
        <v>0</v>
      </c>
      <c r="X164" s="322">
        <f>SUM(Calculations[[#This Row],[C2 Recycle]:[C2 Reuse]])</f>
        <v>0</v>
      </c>
      <c r="Y164" t="str">
        <f>IFERROR(VLOOKUP(Calculations[[#This Row],[Material (choose from dropdown]],MaterialData[#All],5,FALSE),"")</f>
        <v/>
      </c>
      <c r="Z164" s="322">
        <f>IFERROR(((VLOOKUP(Calculations[[#This Row],[Waste type 2]],WasteDisposalEmissions[#All],2,FALSE))*Calculations[[#This Row],[Total Kg]])*VLOOKUP(Calculations[[#This Row],[Waste 1]],WasteScenario[#All],2,FALSE),0)</f>
        <v>0</v>
      </c>
      <c r="AA164" s="322">
        <f>IFERROR((VLOOKUP(Calculations[[#This Row],[Waste type 2]],WasteDisposalEmissions[#All],3,FALSE))*Calculations[[#This Row],[Total Kg]]*VLOOKUP(Calculations[[#This Row],[Waste 1]],WasteScenario[#All],3,FALSE),0)</f>
        <v>0</v>
      </c>
      <c r="AB164" s="322">
        <f>SUM(Calculations[[#This Row],[C3 recyc]:[C3 incin]])</f>
        <v>0</v>
      </c>
      <c r="AC164" s="322">
        <f>IFERROR((VLOOKUP(Calculations[[#This Row],[Waste type 2]],WasteLandfillEmissions[#All],2,FALSE))*Calculations[[#This Row],[Total Kg]]*VLOOKUP(Calculations[[#This Row],[Waste 1]],WasteScenario[#All],4,FALSE),0)</f>
        <v>0</v>
      </c>
      <c r="AD164" s="322">
        <f>IFERROR((VLOOKUP(Calculations[[#This Row],[Waste type 2]],WasteLandfillEmissions[#All],3,FALSE))*Calculations[[#This Row],[Total Kg]]*VLOOKUP(Calculations[[#This Row],[Waste 1]],WasteScenario[#All],4,FALSE),0)</f>
        <v>0</v>
      </c>
      <c r="AE164" s="322">
        <f>SUM(Calculations[[#This Row],[C4 landfill]:[C4 re-use]])</f>
        <v>0</v>
      </c>
      <c r="AF164" s="322">
        <f>IFERROR(VLOOKUP(Calculations[[#This Row],[Material (choose from dropdown]],MaterialData[#All],8,FALSE),0)</f>
        <v>0</v>
      </c>
      <c r="AG164" s="322">
        <f>IFERROR(Calculations[[#This Row],[Total Kg]]*Calculations[[#This Row],[Seq factor]],0)</f>
        <v>0</v>
      </c>
      <c r="AI164" s="322">
        <f>Calculations[[#This Row],[A1-3]]+Calculations[[#This Row],[A4]]+Calculations[[#This Row],[A5]]+Calculations[[#This Row],[B4]]+Calculations[[#This Row],[C2 total]]+Calculations[[#This Row],[C3 total]]+Calculations[[#This Row],[C4 total]]</f>
        <v>0</v>
      </c>
      <c r="AJ164" s="2">
        <f>IFERROR(VLOOKUP(Calculations[[#This Row],[Material (choose from dropdown]],MaterialData[[#Headers],[#Data]],9,FALSE),0)</f>
        <v>0</v>
      </c>
      <c r="AK164" s="4">
        <f>IFERROR(VLOOKUP(Calculations[[#This Row],[Material (choose from dropdown]],MaterialData[[#Headers],[#Data]],10,FALSE),0)</f>
        <v>0</v>
      </c>
      <c r="AL164" s="322">
        <f>IFERROR(Calculations[[#This Row],[Data Quality Score]]*Calculations[[#This Row],[Total Kg]],0)</f>
        <v>0</v>
      </c>
    </row>
    <row r="165" spans="1:38" x14ac:dyDescent="0.3">
      <c r="A165" s="6">
        <f>IFERROR(MaterialsBoQ[[#This Row],[Scope Element]],0)</f>
        <v>0</v>
      </c>
      <c r="B165">
        <f>IFERROR(MaterialsBoQ[[#This Row],[Material ]],"")</f>
        <v>0</v>
      </c>
      <c r="C165">
        <f>IFERROR(MaterialsBoQ[[#This Row],[Unit]],"")</f>
        <v>0</v>
      </c>
      <c r="D165" s="322">
        <f>IFERROR(MaterialsBoQ[[#This Row],[Number]],0)</f>
        <v>0</v>
      </c>
      <c r="E165" s="322">
        <f>IFERROR(MaterialsBoQ[[#This Row],[Kg per unit]],0)</f>
        <v>0</v>
      </c>
      <c r="F165" s="322">
        <f>IFERROR(Calculations[[#This Row],[Number]]*Calculations[[#This Row],[Conversion factor]],0)</f>
        <v>0</v>
      </c>
      <c r="G165" s="322">
        <f>IFERROR(VLOOKUP(Calculations[[#This Row],[Material (choose from dropdown]],MaterialData[#All],7,FALSE),0)</f>
        <v>0</v>
      </c>
      <c r="H165" s="322">
        <f>Calculations[[#This Row],[Total Kg]]*Calculations[[#This Row],[Carbon Factor]]</f>
        <v>0</v>
      </c>
      <c r="I165" t="str">
        <f>IFERROR(VLOOKUP(Calculations[[#This Row],[Material (choose from dropdown]],MaterialData[#All],2,FALSE),"")</f>
        <v/>
      </c>
      <c r="J165" s="322">
        <f>IFERROR(((VLOOKUP(Calculations[[#This Row],[TransportSource]],TransportDistance[],2,FALSE)*'Stage assumptions'!$C$11)+VLOOKUP(Calculations[[#This Row],[TransportSource]],TransportDistance[],3,FALSE)*'Stage assumptions'!$C$12)*Calculations[[#This Row],[Total Kg]],0)</f>
        <v>0</v>
      </c>
      <c r="K165">
        <f>IFERROR(VLOOKUP(Calculations[[#This Row],[Material (choose from dropdown]], MaterialData[#All],3, FALSE),0)</f>
        <v>0</v>
      </c>
      <c r="L165" s="322">
        <f>IFERROR(VLOOKUP(Calculations[[#This Row],[A5type]],A5WastageRate[#All],2,FALSE)*Calculations[[#This Row],[A1-3]],0)</f>
        <v>0</v>
      </c>
      <c r="N165">
        <f>IFERROR(ROUNDUP(50/VLOOKUP(Calculations[[#This Row],[Scope Element]],B4referenceServiceLife[[Tier 2 element]:[Default Service Life]],2, FALSE)-1,0),0)</f>
        <v>0</v>
      </c>
      <c r="O165" s="322">
        <f>IFERROR((Calculations[[#This Row],[A1-3]]+Calculations[[#This Row],[A4]]+Calculations[[#This Row],[A5]]+Calculations[[#This Row],[C2 total]]+Calculations[[#This Row],[C3 total]]+Calculations[[#This Row],[C4 total]])*Calculations[[#This Row],[Replacements]],0)</f>
        <v>0</v>
      </c>
      <c r="S165" t="str">
        <f>IFERROR(VLOOKUP(Calculations[[#This Row],[Material (choose from dropdown]],MaterialData[#All],4,FALSE),"")</f>
        <v/>
      </c>
      <c r="T165" s="322" cm="1">
        <f t="array" ref="T165">IFERROR(VLOOKUP(Calculations[[#This Row],[Waste 1]],WasteScenario[#All],2,FALSE)*'Stage assumptions'!$C$225*WasteTransportMethod[Emissions Factor
kgCO2e/kg.km]*Calculations[[#This Row],[Total Kg]],0)</f>
        <v>0</v>
      </c>
      <c r="U165" s="322" cm="1">
        <f t="array" ref="U165">IFERROR(VLOOKUP(Calculations[[#This Row],[Waste 1]],WasteScenario[#All],3,FALSE)*'Stage assumptions'!$C$224*WasteTransportMethod[Emissions Factor
kgCO2e/kg.km]*Calculations[[#This Row],[Total Kg]],0)</f>
        <v>0</v>
      </c>
      <c r="V165" s="322" cm="1">
        <f t="array" ref="V165">IFERROR(VLOOKUP(Calculations[[#This Row],[Waste 1]],WasteScenario[#All],4,FALSE)*'Stage assumptions'!$C$223*WasteTransportMethod[Emissions Factor
kgCO2e/kg.km]*Calculations[[#This Row],[Total Kg]],0)</f>
        <v>0</v>
      </c>
      <c r="W165" s="322" cm="1">
        <f t="array" ref="W165">IFERROR(VLOOKUP(Calculations[[#This Row],[Waste 1]],WasteScenario[#All],5,FALSE)*'Stage assumptions'!$C$226*WasteTransportMethod[Emissions Factor
kgCO2e/kg.km]*Calculations[[#This Row],[Total Kg]],0)</f>
        <v>0</v>
      </c>
      <c r="X165" s="322">
        <f>SUM(Calculations[[#This Row],[C2 Recycle]:[C2 Reuse]])</f>
        <v>0</v>
      </c>
      <c r="Y165" t="str">
        <f>IFERROR(VLOOKUP(Calculations[[#This Row],[Material (choose from dropdown]],MaterialData[#All],5,FALSE),"")</f>
        <v/>
      </c>
      <c r="Z165" s="322">
        <f>IFERROR(((VLOOKUP(Calculations[[#This Row],[Waste type 2]],WasteDisposalEmissions[#All],2,FALSE))*Calculations[[#This Row],[Total Kg]])*VLOOKUP(Calculations[[#This Row],[Waste 1]],WasteScenario[#All],2,FALSE),0)</f>
        <v>0</v>
      </c>
      <c r="AA165" s="322">
        <f>IFERROR((VLOOKUP(Calculations[[#This Row],[Waste type 2]],WasteDisposalEmissions[#All],3,FALSE))*Calculations[[#This Row],[Total Kg]]*VLOOKUP(Calculations[[#This Row],[Waste 1]],WasteScenario[#All],3,FALSE),0)</f>
        <v>0</v>
      </c>
      <c r="AB165" s="322">
        <f>SUM(Calculations[[#This Row],[C3 recyc]:[C3 incin]])</f>
        <v>0</v>
      </c>
      <c r="AC165" s="322">
        <f>IFERROR((VLOOKUP(Calculations[[#This Row],[Waste type 2]],WasteLandfillEmissions[#All],2,FALSE))*Calculations[[#This Row],[Total Kg]]*VLOOKUP(Calculations[[#This Row],[Waste 1]],WasteScenario[#All],4,FALSE),0)</f>
        <v>0</v>
      </c>
      <c r="AD165" s="322">
        <f>IFERROR((VLOOKUP(Calculations[[#This Row],[Waste type 2]],WasteLandfillEmissions[#All],3,FALSE))*Calculations[[#This Row],[Total Kg]]*VLOOKUP(Calculations[[#This Row],[Waste 1]],WasteScenario[#All],4,FALSE),0)</f>
        <v>0</v>
      </c>
      <c r="AE165" s="322">
        <f>SUM(Calculations[[#This Row],[C4 landfill]:[C4 re-use]])</f>
        <v>0</v>
      </c>
      <c r="AF165" s="322">
        <f>IFERROR(VLOOKUP(Calculations[[#This Row],[Material (choose from dropdown]],MaterialData[#All],8,FALSE),0)</f>
        <v>0</v>
      </c>
      <c r="AG165" s="322">
        <f>IFERROR(Calculations[[#This Row],[Total Kg]]*Calculations[[#This Row],[Seq factor]],0)</f>
        <v>0</v>
      </c>
      <c r="AI165" s="322">
        <f>Calculations[[#This Row],[A1-3]]+Calculations[[#This Row],[A4]]+Calculations[[#This Row],[A5]]+Calculations[[#This Row],[B4]]+Calculations[[#This Row],[C2 total]]+Calculations[[#This Row],[C3 total]]+Calculations[[#This Row],[C4 total]]</f>
        <v>0</v>
      </c>
      <c r="AJ165" s="2">
        <f>IFERROR(VLOOKUP(Calculations[[#This Row],[Material (choose from dropdown]],MaterialData[[#Headers],[#Data]],9,FALSE),0)</f>
        <v>0</v>
      </c>
      <c r="AK165" s="4">
        <f>IFERROR(VLOOKUP(Calculations[[#This Row],[Material (choose from dropdown]],MaterialData[[#Headers],[#Data]],10,FALSE),0)</f>
        <v>0</v>
      </c>
      <c r="AL165" s="322">
        <f>IFERROR(Calculations[[#This Row],[Data Quality Score]]*Calculations[[#This Row],[Total Kg]],0)</f>
        <v>0</v>
      </c>
    </row>
    <row r="166" spans="1:38" x14ac:dyDescent="0.3">
      <c r="A166" s="6">
        <f>IFERROR(MaterialsBoQ[[#This Row],[Scope Element]],0)</f>
        <v>0</v>
      </c>
      <c r="B166">
        <f>IFERROR(MaterialsBoQ[[#This Row],[Material ]],"")</f>
        <v>0</v>
      </c>
      <c r="C166">
        <f>IFERROR(MaterialsBoQ[[#This Row],[Unit]],"")</f>
        <v>0</v>
      </c>
      <c r="D166" s="322">
        <f>IFERROR(MaterialsBoQ[[#This Row],[Number]],0)</f>
        <v>0</v>
      </c>
      <c r="E166" s="322">
        <f>IFERROR(MaterialsBoQ[[#This Row],[Kg per unit]],0)</f>
        <v>0</v>
      </c>
      <c r="F166" s="322">
        <f>IFERROR(Calculations[[#This Row],[Number]]*Calculations[[#This Row],[Conversion factor]],0)</f>
        <v>0</v>
      </c>
      <c r="G166" s="322">
        <f>IFERROR(VLOOKUP(Calculations[[#This Row],[Material (choose from dropdown]],MaterialData[#All],7,FALSE),0)</f>
        <v>0</v>
      </c>
      <c r="H166" s="322">
        <f>Calculations[[#This Row],[Total Kg]]*Calculations[[#This Row],[Carbon Factor]]</f>
        <v>0</v>
      </c>
      <c r="I166" t="str">
        <f>IFERROR(VLOOKUP(Calculations[[#This Row],[Material (choose from dropdown]],MaterialData[#All],2,FALSE),"")</f>
        <v/>
      </c>
      <c r="J166" s="322">
        <f>IFERROR(((VLOOKUP(Calculations[[#This Row],[TransportSource]],TransportDistance[],2,FALSE)*'Stage assumptions'!$C$11)+VLOOKUP(Calculations[[#This Row],[TransportSource]],TransportDistance[],3,FALSE)*'Stage assumptions'!$C$12)*Calculations[[#This Row],[Total Kg]],0)</f>
        <v>0</v>
      </c>
      <c r="K166">
        <f>IFERROR(VLOOKUP(Calculations[[#This Row],[Material (choose from dropdown]], MaterialData[#All],3, FALSE),0)</f>
        <v>0</v>
      </c>
      <c r="L166" s="322">
        <f>IFERROR(VLOOKUP(Calculations[[#This Row],[A5type]],A5WastageRate[#All],2,FALSE)*Calculations[[#This Row],[A1-3]],0)</f>
        <v>0</v>
      </c>
      <c r="N166">
        <f>IFERROR(ROUNDUP(50/VLOOKUP(Calculations[[#This Row],[Scope Element]],B4referenceServiceLife[[Tier 2 element]:[Default Service Life]],2, FALSE)-1,0),0)</f>
        <v>0</v>
      </c>
      <c r="O166" s="322">
        <f>IFERROR((Calculations[[#This Row],[A1-3]]+Calculations[[#This Row],[A4]]+Calculations[[#This Row],[A5]]+Calculations[[#This Row],[C2 total]]+Calculations[[#This Row],[C3 total]]+Calculations[[#This Row],[C4 total]])*Calculations[[#This Row],[Replacements]],0)</f>
        <v>0</v>
      </c>
      <c r="S166" t="str">
        <f>IFERROR(VLOOKUP(Calculations[[#This Row],[Material (choose from dropdown]],MaterialData[#All],4,FALSE),"")</f>
        <v/>
      </c>
      <c r="T166" s="322" cm="1">
        <f t="array" ref="T166">IFERROR(VLOOKUP(Calculations[[#This Row],[Waste 1]],WasteScenario[#All],2,FALSE)*'Stage assumptions'!$C$225*WasteTransportMethod[Emissions Factor
kgCO2e/kg.km]*Calculations[[#This Row],[Total Kg]],0)</f>
        <v>0</v>
      </c>
      <c r="U166" s="322" cm="1">
        <f t="array" ref="U166">IFERROR(VLOOKUP(Calculations[[#This Row],[Waste 1]],WasteScenario[#All],3,FALSE)*'Stage assumptions'!$C$224*WasteTransportMethod[Emissions Factor
kgCO2e/kg.km]*Calculations[[#This Row],[Total Kg]],0)</f>
        <v>0</v>
      </c>
      <c r="V166" s="322" cm="1">
        <f t="array" ref="V166">IFERROR(VLOOKUP(Calculations[[#This Row],[Waste 1]],WasteScenario[#All],4,FALSE)*'Stage assumptions'!$C$223*WasteTransportMethod[Emissions Factor
kgCO2e/kg.km]*Calculations[[#This Row],[Total Kg]],0)</f>
        <v>0</v>
      </c>
      <c r="W166" s="322" cm="1">
        <f t="array" ref="W166">IFERROR(VLOOKUP(Calculations[[#This Row],[Waste 1]],WasteScenario[#All],5,FALSE)*'Stage assumptions'!$C$226*WasteTransportMethod[Emissions Factor
kgCO2e/kg.km]*Calculations[[#This Row],[Total Kg]],0)</f>
        <v>0</v>
      </c>
      <c r="X166" s="322">
        <f>SUM(Calculations[[#This Row],[C2 Recycle]:[C2 Reuse]])</f>
        <v>0</v>
      </c>
      <c r="Y166" t="str">
        <f>IFERROR(VLOOKUP(Calculations[[#This Row],[Material (choose from dropdown]],MaterialData[#All],5,FALSE),"")</f>
        <v/>
      </c>
      <c r="Z166" s="322">
        <f>IFERROR(((VLOOKUP(Calculations[[#This Row],[Waste type 2]],WasteDisposalEmissions[#All],2,FALSE))*Calculations[[#This Row],[Total Kg]])*VLOOKUP(Calculations[[#This Row],[Waste 1]],WasteScenario[#All],2,FALSE),0)</f>
        <v>0</v>
      </c>
      <c r="AA166" s="322">
        <f>IFERROR((VLOOKUP(Calculations[[#This Row],[Waste type 2]],WasteDisposalEmissions[#All],3,FALSE))*Calculations[[#This Row],[Total Kg]]*VLOOKUP(Calculations[[#This Row],[Waste 1]],WasteScenario[#All],3,FALSE),0)</f>
        <v>0</v>
      </c>
      <c r="AB166" s="322">
        <f>SUM(Calculations[[#This Row],[C3 recyc]:[C3 incin]])</f>
        <v>0</v>
      </c>
      <c r="AC166" s="322">
        <f>IFERROR((VLOOKUP(Calculations[[#This Row],[Waste type 2]],WasteLandfillEmissions[#All],2,FALSE))*Calculations[[#This Row],[Total Kg]]*VLOOKUP(Calculations[[#This Row],[Waste 1]],WasteScenario[#All],4,FALSE),0)</f>
        <v>0</v>
      </c>
      <c r="AD166" s="322">
        <f>IFERROR((VLOOKUP(Calculations[[#This Row],[Waste type 2]],WasteLandfillEmissions[#All],3,FALSE))*Calculations[[#This Row],[Total Kg]]*VLOOKUP(Calculations[[#This Row],[Waste 1]],WasteScenario[#All],4,FALSE),0)</f>
        <v>0</v>
      </c>
      <c r="AE166" s="322">
        <f>SUM(Calculations[[#This Row],[C4 landfill]:[C4 re-use]])</f>
        <v>0</v>
      </c>
      <c r="AF166" s="322">
        <f>IFERROR(VLOOKUP(Calculations[[#This Row],[Material (choose from dropdown]],MaterialData[#All],8,FALSE),0)</f>
        <v>0</v>
      </c>
      <c r="AG166" s="322">
        <f>IFERROR(Calculations[[#This Row],[Total Kg]]*Calculations[[#This Row],[Seq factor]],0)</f>
        <v>0</v>
      </c>
      <c r="AI166" s="322">
        <f>Calculations[[#This Row],[A1-3]]+Calculations[[#This Row],[A4]]+Calculations[[#This Row],[A5]]+Calculations[[#This Row],[B4]]+Calculations[[#This Row],[C2 total]]+Calculations[[#This Row],[C3 total]]+Calculations[[#This Row],[C4 total]]</f>
        <v>0</v>
      </c>
      <c r="AJ166" s="2">
        <f>IFERROR(VLOOKUP(Calculations[[#This Row],[Material (choose from dropdown]],MaterialData[[#Headers],[#Data]],9,FALSE),0)</f>
        <v>0</v>
      </c>
      <c r="AK166" s="4">
        <f>IFERROR(VLOOKUP(Calculations[[#This Row],[Material (choose from dropdown]],MaterialData[[#Headers],[#Data]],10,FALSE),0)</f>
        <v>0</v>
      </c>
      <c r="AL166" s="322">
        <f>IFERROR(Calculations[[#This Row],[Data Quality Score]]*Calculations[[#This Row],[Total Kg]],0)</f>
        <v>0</v>
      </c>
    </row>
    <row r="167" spans="1:38" x14ac:dyDescent="0.3">
      <c r="A167" s="6">
        <f>IFERROR(MaterialsBoQ[[#This Row],[Scope Element]],0)</f>
        <v>0</v>
      </c>
      <c r="B167">
        <f>IFERROR(MaterialsBoQ[[#This Row],[Material ]],"")</f>
        <v>0</v>
      </c>
      <c r="C167">
        <f>IFERROR(MaterialsBoQ[[#This Row],[Unit]],"")</f>
        <v>0</v>
      </c>
      <c r="D167" s="322">
        <f>IFERROR(MaterialsBoQ[[#This Row],[Number]],0)</f>
        <v>0</v>
      </c>
      <c r="E167" s="322">
        <f>IFERROR(MaterialsBoQ[[#This Row],[Kg per unit]],0)</f>
        <v>0</v>
      </c>
      <c r="F167" s="322">
        <f>IFERROR(Calculations[[#This Row],[Number]]*Calculations[[#This Row],[Conversion factor]],0)</f>
        <v>0</v>
      </c>
      <c r="G167" s="322">
        <f>IFERROR(VLOOKUP(Calculations[[#This Row],[Material (choose from dropdown]],MaterialData[#All],7,FALSE),0)</f>
        <v>0</v>
      </c>
      <c r="H167" s="322">
        <f>Calculations[[#This Row],[Total Kg]]*Calculations[[#This Row],[Carbon Factor]]</f>
        <v>0</v>
      </c>
      <c r="I167" t="str">
        <f>IFERROR(VLOOKUP(Calculations[[#This Row],[Material (choose from dropdown]],MaterialData[#All],2,FALSE),"")</f>
        <v/>
      </c>
      <c r="J167" s="322">
        <f>IFERROR(((VLOOKUP(Calculations[[#This Row],[TransportSource]],TransportDistance[],2,FALSE)*'Stage assumptions'!$C$11)+VLOOKUP(Calculations[[#This Row],[TransportSource]],TransportDistance[],3,FALSE)*'Stage assumptions'!$C$12)*Calculations[[#This Row],[Total Kg]],0)</f>
        <v>0</v>
      </c>
      <c r="K167">
        <f>IFERROR(VLOOKUP(Calculations[[#This Row],[Material (choose from dropdown]], MaterialData[#All],3, FALSE),0)</f>
        <v>0</v>
      </c>
      <c r="L167" s="322">
        <f>IFERROR(VLOOKUP(Calculations[[#This Row],[A5type]],A5WastageRate[#All],2,FALSE)*Calculations[[#This Row],[A1-3]],0)</f>
        <v>0</v>
      </c>
      <c r="N167">
        <f>IFERROR(ROUNDUP(50/VLOOKUP(Calculations[[#This Row],[Scope Element]],B4referenceServiceLife[[Tier 2 element]:[Default Service Life]],2, FALSE)-1,0),0)</f>
        <v>0</v>
      </c>
      <c r="O167" s="322">
        <f>IFERROR((Calculations[[#This Row],[A1-3]]+Calculations[[#This Row],[A4]]+Calculations[[#This Row],[A5]]+Calculations[[#This Row],[C2 total]]+Calculations[[#This Row],[C3 total]]+Calculations[[#This Row],[C4 total]])*Calculations[[#This Row],[Replacements]],0)</f>
        <v>0</v>
      </c>
      <c r="S167" t="str">
        <f>IFERROR(VLOOKUP(Calculations[[#This Row],[Material (choose from dropdown]],MaterialData[#All],4,FALSE),"")</f>
        <v/>
      </c>
      <c r="T167" s="322" cm="1">
        <f t="array" ref="T167">IFERROR(VLOOKUP(Calculations[[#This Row],[Waste 1]],WasteScenario[#All],2,FALSE)*'Stage assumptions'!$C$225*WasteTransportMethod[Emissions Factor
kgCO2e/kg.km]*Calculations[[#This Row],[Total Kg]],0)</f>
        <v>0</v>
      </c>
      <c r="U167" s="322" cm="1">
        <f t="array" ref="U167">IFERROR(VLOOKUP(Calculations[[#This Row],[Waste 1]],WasteScenario[#All],3,FALSE)*'Stage assumptions'!$C$224*WasteTransportMethod[Emissions Factor
kgCO2e/kg.km]*Calculations[[#This Row],[Total Kg]],0)</f>
        <v>0</v>
      </c>
      <c r="V167" s="322" cm="1">
        <f t="array" ref="V167">IFERROR(VLOOKUP(Calculations[[#This Row],[Waste 1]],WasteScenario[#All],4,FALSE)*'Stage assumptions'!$C$223*WasteTransportMethod[Emissions Factor
kgCO2e/kg.km]*Calculations[[#This Row],[Total Kg]],0)</f>
        <v>0</v>
      </c>
      <c r="W167" s="322" cm="1">
        <f t="array" ref="W167">IFERROR(VLOOKUP(Calculations[[#This Row],[Waste 1]],WasteScenario[#All],5,FALSE)*'Stage assumptions'!$C$226*WasteTransportMethod[Emissions Factor
kgCO2e/kg.km]*Calculations[[#This Row],[Total Kg]],0)</f>
        <v>0</v>
      </c>
      <c r="X167" s="322">
        <f>SUM(Calculations[[#This Row],[C2 Recycle]:[C2 Reuse]])</f>
        <v>0</v>
      </c>
      <c r="Y167" t="str">
        <f>IFERROR(VLOOKUP(Calculations[[#This Row],[Material (choose from dropdown]],MaterialData[#All],5,FALSE),"")</f>
        <v/>
      </c>
      <c r="Z167" s="322">
        <f>IFERROR(((VLOOKUP(Calculations[[#This Row],[Waste type 2]],WasteDisposalEmissions[#All],2,FALSE))*Calculations[[#This Row],[Total Kg]])*VLOOKUP(Calculations[[#This Row],[Waste 1]],WasteScenario[#All],2,FALSE),0)</f>
        <v>0</v>
      </c>
      <c r="AA167" s="322">
        <f>IFERROR((VLOOKUP(Calculations[[#This Row],[Waste type 2]],WasteDisposalEmissions[#All],3,FALSE))*Calculations[[#This Row],[Total Kg]]*VLOOKUP(Calculations[[#This Row],[Waste 1]],WasteScenario[#All],3,FALSE),0)</f>
        <v>0</v>
      </c>
      <c r="AB167" s="322">
        <f>SUM(Calculations[[#This Row],[C3 recyc]:[C3 incin]])</f>
        <v>0</v>
      </c>
      <c r="AC167" s="322">
        <f>IFERROR((VLOOKUP(Calculations[[#This Row],[Waste type 2]],WasteLandfillEmissions[#All],2,FALSE))*Calculations[[#This Row],[Total Kg]]*VLOOKUP(Calculations[[#This Row],[Waste 1]],WasteScenario[#All],4,FALSE),0)</f>
        <v>0</v>
      </c>
      <c r="AD167" s="322">
        <f>IFERROR((VLOOKUP(Calculations[[#This Row],[Waste type 2]],WasteLandfillEmissions[#All],3,FALSE))*Calculations[[#This Row],[Total Kg]]*VLOOKUP(Calculations[[#This Row],[Waste 1]],WasteScenario[#All],4,FALSE),0)</f>
        <v>0</v>
      </c>
      <c r="AE167" s="322">
        <f>SUM(Calculations[[#This Row],[C4 landfill]:[C4 re-use]])</f>
        <v>0</v>
      </c>
      <c r="AF167" s="322">
        <f>IFERROR(VLOOKUP(Calculations[[#This Row],[Material (choose from dropdown]],MaterialData[#All],8,FALSE),0)</f>
        <v>0</v>
      </c>
      <c r="AG167" s="322">
        <f>IFERROR(Calculations[[#This Row],[Total Kg]]*Calculations[[#This Row],[Seq factor]],0)</f>
        <v>0</v>
      </c>
      <c r="AI167" s="322">
        <f>Calculations[[#This Row],[A1-3]]+Calculations[[#This Row],[A4]]+Calculations[[#This Row],[A5]]+Calculations[[#This Row],[B4]]+Calculations[[#This Row],[C2 total]]+Calculations[[#This Row],[C3 total]]+Calculations[[#This Row],[C4 total]]</f>
        <v>0</v>
      </c>
      <c r="AJ167" s="2">
        <f>IFERROR(VLOOKUP(Calculations[[#This Row],[Material (choose from dropdown]],MaterialData[[#Headers],[#Data]],9,FALSE),0)</f>
        <v>0</v>
      </c>
      <c r="AK167" s="4">
        <f>IFERROR(VLOOKUP(Calculations[[#This Row],[Material (choose from dropdown]],MaterialData[[#Headers],[#Data]],10,FALSE),0)</f>
        <v>0</v>
      </c>
      <c r="AL167" s="322">
        <f>IFERROR(Calculations[[#This Row],[Data Quality Score]]*Calculations[[#This Row],[Total Kg]],0)</f>
        <v>0</v>
      </c>
    </row>
    <row r="168" spans="1:38" x14ac:dyDescent="0.3">
      <c r="A168" s="6">
        <f>IFERROR(MaterialsBoQ[[#This Row],[Scope Element]],0)</f>
        <v>0</v>
      </c>
      <c r="B168">
        <f>IFERROR(MaterialsBoQ[[#This Row],[Material ]],"")</f>
        <v>0</v>
      </c>
      <c r="C168">
        <f>IFERROR(MaterialsBoQ[[#This Row],[Unit]],"")</f>
        <v>0</v>
      </c>
      <c r="D168" s="322">
        <f>IFERROR(MaterialsBoQ[[#This Row],[Number]],0)</f>
        <v>0</v>
      </c>
      <c r="E168" s="322">
        <f>IFERROR(MaterialsBoQ[[#This Row],[Kg per unit]],0)</f>
        <v>0</v>
      </c>
      <c r="F168" s="322">
        <f>IFERROR(Calculations[[#This Row],[Number]]*Calculations[[#This Row],[Conversion factor]],0)</f>
        <v>0</v>
      </c>
      <c r="G168" s="322">
        <f>IFERROR(VLOOKUP(Calculations[[#This Row],[Material (choose from dropdown]],MaterialData[#All],7,FALSE),0)</f>
        <v>0</v>
      </c>
      <c r="H168" s="322">
        <f>Calculations[[#This Row],[Total Kg]]*Calculations[[#This Row],[Carbon Factor]]</f>
        <v>0</v>
      </c>
      <c r="I168" t="str">
        <f>IFERROR(VLOOKUP(Calculations[[#This Row],[Material (choose from dropdown]],MaterialData[#All],2,FALSE),"")</f>
        <v/>
      </c>
      <c r="J168" s="322">
        <f>IFERROR(((VLOOKUP(Calculations[[#This Row],[TransportSource]],TransportDistance[],2,FALSE)*'Stage assumptions'!$C$11)+VLOOKUP(Calculations[[#This Row],[TransportSource]],TransportDistance[],3,FALSE)*'Stage assumptions'!$C$12)*Calculations[[#This Row],[Total Kg]],0)</f>
        <v>0</v>
      </c>
      <c r="K168">
        <f>IFERROR(VLOOKUP(Calculations[[#This Row],[Material (choose from dropdown]], MaterialData[#All],3, FALSE),0)</f>
        <v>0</v>
      </c>
      <c r="L168" s="322">
        <f>IFERROR(VLOOKUP(Calculations[[#This Row],[A5type]],A5WastageRate[#All],2,FALSE)*Calculations[[#This Row],[A1-3]],0)</f>
        <v>0</v>
      </c>
      <c r="N168">
        <f>IFERROR(ROUNDUP(50/VLOOKUP(Calculations[[#This Row],[Scope Element]],B4referenceServiceLife[[Tier 2 element]:[Default Service Life]],2, FALSE)-1,0),0)</f>
        <v>0</v>
      </c>
      <c r="O168" s="322">
        <f>IFERROR((Calculations[[#This Row],[A1-3]]+Calculations[[#This Row],[A4]]+Calculations[[#This Row],[A5]]+Calculations[[#This Row],[C2 total]]+Calculations[[#This Row],[C3 total]]+Calculations[[#This Row],[C4 total]])*Calculations[[#This Row],[Replacements]],0)</f>
        <v>0</v>
      </c>
      <c r="S168" t="str">
        <f>IFERROR(VLOOKUP(Calculations[[#This Row],[Material (choose from dropdown]],MaterialData[#All],4,FALSE),"")</f>
        <v/>
      </c>
      <c r="T168" s="322" cm="1">
        <f t="array" ref="T168">IFERROR(VLOOKUP(Calculations[[#This Row],[Waste 1]],WasteScenario[#All],2,FALSE)*'Stage assumptions'!$C$225*WasteTransportMethod[Emissions Factor
kgCO2e/kg.km]*Calculations[[#This Row],[Total Kg]],0)</f>
        <v>0</v>
      </c>
      <c r="U168" s="322" cm="1">
        <f t="array" ref="U168">IFERROR(VLOOKUP(Calculations[[#This Row],[Waste 1]],WasteScenario[#All],3,FALSE)*'Stage assumptions'!$C$224*WasteTransportMethod[Emissions Factor
kgCO2e/kg.km]*Calculations[[#This Row],[Total Kg]],0)</f>
        <v>0</v>
      </c>
      <c r="V168" s="322" cm="1">
        <f t="array" ref="V168">IFERROR(VLOOKUP(Calculations[[#This Row],[Waste 1]],WasteScenario[#All],4,FALSE)*'Stage assumptions'!$C$223*WasteTransportMethod[Emissions Factor
kgCO2e/kg.km]*Calculations[[#This Row],[Total Kg]],0)</f>
        <v>0</v>
      </c>
      <c r="W168" s="322" cm="1">
        <f t="array" ref="W168">IFERROR(VLOOKUP(Calculations[[#This Row],[Waste 1]],WasteScenario[#All],5,FALSE)*'Stage assumptions'!$C$226*WasteTransportMethod[Emissions Factor
kgCO2e/kg.km]*Calculations[[#This Row],[Total Kg]],0)</f>
        <v>0</v>
      </c>
      <c r="X168" s="322">
        <f>SUM(Calculations[[#This Row],[C2 Recycle]:[C2 Reuse]])</f>
        <v>0</v>
      </c>
      <c r="Y168" t="str">
        <f>IFERROR(VLOOKUP(Calculations[[#This Row],[Material (choose from dropdown]],MaterialData[#All],5,FALSE),"")</f>
        <v/>
      </c>
      <c r="Z168" s="322">
        <f>IFERROR(((VLOOKUP(Calculations[[#This Row],[Waste type 2]],WasteDisposalEmissions[#All],2,FALSE))*Calculations[[#This Row],[Total Kg]])*VLOOKUP(Calculations[[#This Row],[Waste 1]],WasteScenario[#All],2,FALSE),0)</f>
        <v>0</v>
      </c>
      <c r="AA168" s="322">
        <f>IFERROR((VLOOKUP(Calculations[[#This Row],[Waste type 2]],WasteDisposalEmissions[#All],3,FALSE))*Calculations[[#This Row],[Total Kg]]*VLOOKUP(Calculations[[#This Row],[Waste 1]],WasteScenario[#All],3,FALSE),0)</f>
        <v>0</v>
      </c>
      <c r="AB168" s="322">
        <f>SUM(Calculations[[#This Row],[C3 recyc]:[C3 incin]])</f>
        <v>0</v>
      </c>
      <c r="AC168" s="322">
        <f>IFERROR((VLOOKUP(Calculations[[#This Row],[Waste type 2]],WasteLandfillEmissions[#All],2,FALSE))*Calculations[[#This Row],[Total Kg]]*VLOOKUP(Calculations[[#This Row],[Waste 1]],WasteScenario[#All],4,FALSE),0)</f>
        <v>0</v>
      </c>
      <c r="AD168" s="322">
        <f>IFERROR((VLOOKUP(Calculations[[#This Row],[Waste type 2]],WasteLandfillEmissions[#All],3,FALSE))*Calculations[[#This Row],[Total Kg]]*VLOOKUP(Calculations[[#This Row],[Waste 1]],WasteScenario[#All],4,FALSE),0)</f>
        <v>0</v>
      </c>
      <c r="AE168" s="322">
        <f>SUM(Calculations[[#This Row],[C4 landfill]:[C4 re-use]])</f>
        <v>0</v>
      </c>
      <c r="AF168" s="322">
        <f>IFERROR(VLOOKUP(Calculations[[#This Row],[Material (choose from dropdown]],MaterialData[#All],8,FALSE),0)</f>
        <v>0</v>
      </c>
      <c r="AG168" s="322">
        <f>IFERROR(Calculations[[#This Row],[Total Kg]]*Calculations[[#This Row],[Seq factor]],0)</f>
        <v>0</v>
      </c>
      <c r="AI168" s="322">
        <f>Calculations[[#This Row],[A1-3]]+Calculations[[#This Row],[A4]]+Calculations[[#This Row],[A5]]+Calculations[[#This Row],[B4]]+Calculations[[#This Row],[C2 total]]+Calculations[[#This Row],[C3 total]]+Calculations[[#This Row],[C4 total]]</f>
        <v>0</v>
      </c>
      <c r="AJ168" s="2">
        <f>IFERROR(VLOOKUP(Calculations[[#This Row],[Material (choose from dropdown]],MaterialData[[#Headers],[#Data]],9,FALSE),0)</f>
        <v>0</v>
      </c>
      <c r="AK168" s="4">
        <f>IFERROR(VLOOKUP(Calculations[[#This Row],[Material (choose from dropdown]],MaterialData[[#Headers],[#Data]],10,FALSE),0)</f>
        <v>0</v>
      </c>
      <c r="AL168" s="322">
        <f>IFERROR(Calculations[[#This Row],[Data Quality Score]]*Calculations[[#This Row],[Total Kg]],0)</f>
        <v>0</v>
      </c>
    </row>
    <row r="169" spans="1:38" x14ac:dyDescent="0.3">
      <c r="A169" s="6">
        <f>IFERROR(MaterialsBoQ[[#This Row],[Scope Element]],0)</f>
        <v>0</v>
      </c>
      <c r="B169">
        <f>IFERROR(MaterialsBoQ[[#This Row],[Material ]],"")</f>
        <v>0</v>
      </c>
      <c r="C169">
        <f>IFERROR(MaterialsBoQ[[#This Row],[Unit]],"")</f>
        <v>0</v>
      </c>
      <c r="D169" s="322">
        <f>IFERROR(MaterialsBoQ[[#This Row],[Number]],0)</f>
        <v>0</v>
      </c>
      <c r="E169" s="322">
        <f>IFERROR(MaterialsBoQ[[#This Row],[Kg per unit]],0)</f>
        <v>0</v>
      </c>
      <c r="F169" s="322">
        <f>IFERROR(Calculations[[#This Row],[Number]]*Calculations[[#This Row],[Conversion factor]],0)</f>
        <v>0</v>
      </c>
      <c r="G169" s="322">
        <f>IFERROR(VLOOKUP(Calculations[[#This Row],[Material (choose from dropdown]],MaterialData[#All],7,FALSE),0)</f>
        <v>0</v>
      </c>
      <c r="H169" s="322">
        <f>Calculations[[#This Row],[Total Kg]]*Calculations[[#This Row],[Carbon Factor]]</f>
        <v>0</v>
      </c>
      <c r="I169" t="str">
        <f>IFERROR(VLOOKUP(Calculations[[#This Row],[Material (choose from dropdown]],MaterialData[#All],2,FALSE),"")</f>
        <v/>
      </c>
      <c r="J169" s="322">
        <f>IFERROR(((VLOOKUP(Calculations[[#This Row],[TransportSource]],TransportDistance[],2,FALSE)*'Stage assumptions'!$C$11)+VLOOKUP(Calculations[[#This Row],[TransportSource]],TransportDistance[],3,FALSE)*'Stage assumptions'!$C$12)*Calculations[[#This Row],[Total Kg]],0)</f>
        <v>0</v>
      </c>
      <c r="K169">
        <f>IFERROR(VLOOKUP(Calculations[[#This Row],[Material (choose from dropdown]], MaterialData[#All],3, FALSE),0)</f>
        <v>0</v>
      </c>
      <c r="L169" s="322">
        <f>IFERROR(VLOOKUP(Calculations[[#This Row],[A5type]],A5WastageRate[#All],2,FALSE)*Calculations[[#This Row],[A1-3]],0)</f>
        <v>0</v>
      </c>
      <c r="N169">
        <f>IFERROR(ROUNDUP(50/VLOOKUP(Calculations[[#This Row],[Scope Element]],B4referenceServiceLife[[Tier 2 element]:[Default Service Life]],2, FALSE)-1,0),0)</f>
        <v>0</v>
      </c>
      <c r="O169" s="322">
        <f>IFERROR((Calculations[[#This Row],[A1-3]]+Calculations[[#This Row],[A4]]+Calculations[[#This Row],[A5]]+Calculations[[#This Row],[C2 total]]+Calculations[[#This Row],[C3 total]]+Calculations[[#This Row],[C4 total]])*Calculations[[#This Row],[Replacements]],0)</f>
        <v>0</v>
      </c>
      <c r="S169" t="str">
        <f>IFERROR(VLOOKUP(Calculations[[#This Row],[Material (choose from dropdown]],MaterialData[#All],4,FALSE),"")</f>
        <v/>
      </c>
      <c r="T169" s="322" cm="1">
        <f t="array" ref="T169">IFERROR(VLOOKUP(Calculations[[#This Row],[Waste 1]],WasteScenario[#All],2,FALSE)*'Stage assumptions'!$C$225*WasteTransportMethod[Emissions Factor
kgCO2e/kg.km]*Calculations[[#This Row],[Total Kg]],0)</f>
        <v>0</v>
      </c>
      <c r="U169" s="322" cm="1">
        <f t="array" ref="U169">IFERROR(VLOOKUP(Calculations[[#This Row],[Waste 1]],WasteScenario[#All],3,FALSE)*'Stage assumptions'!$C$224*WasteTransportMethod[Emissions Factor
kgCO2e/kg.km]*Calculations[[#This Row],[Total Kg]],0)</f>
        <v>0</v>
      </c>
      <c r="V169" s="322" cm="1">
        <f t="array" ref="V169">IFERROR(VLOOKUP(Calculations[[#This Row],[Waste 1]],WasteScenario[#All],4,FALSE)*'Stage assumptions'!$C$223*WasteTransportMethod[Emissions Factor
kgCO2e/kg.km]*Calculations[[#This Row],[Total Kg]],0)</f>
        <v>0</v>
      </c>
      <c r="W169" s="322" cm="1">
        <f t="array" ref="W169">IFERROR(VLOOKUP(Calculations[[#This Row],[Waste 1]],WasteScenario[#All],5,FALSE)*'Stage assumptions'!$C$226*WasteTransportMethod[Emissions Factor
kgCO2e/kg.km]*Calculations[[#This Row],[Total Kg]],0)</f>
        <v>0</v>
      </c>
      <c r="X169" s="322">
        <f>SUM(Calculations[[#This Row],[C2 Recycle]:[C2 Reuse]])</f>
        <v>0</v>
      </c>
      <c r="Y169" t="str">
        <f>IFERROR(VLOOKUP(Calculations[[#This Row],[Material (choose from dropdown]],MaterialData[#All],5,FALSE),"")</f>
        <v/>
      </c>
      <c r="Z169" s="322">
        <f>IFERROR(((VLOOKUP(Calculations[[#This Row],[Waste type 2]],WasteDisposalEmissions[#All],2,FALSE))*Calculations[[#This Row],[Total Kg]])*VLOOKUP(Calculations[[#This Row],[Waste 1]],WasteScenario[#All],2,FALSE),0)</f>
        <v>0</v>
      </c>
      <c r="AA169" s="322">
        <f>IFERROR((VLOOKUP(Calculations[[#This Row],[Waste type 2]],WasteDisposalEmissions[#All],3,FALSE))*Calculations[[#This Row],[Total Kg]]*VLOOKUP(Calculations[[#This Row],[Waste 1]],WasteScenario[#All],3,FALSE),0)</f>
        <v>0</v>
      </c>
      <c r="AB169" s="322">
        <f>SUM(Calculations[[#This Row],[C3 recyc]:[C3 incin]])</f>
        <v>0</v>
      </c>
      <c r="AC169" s="322">
        <f>IFERROR((VLOOKUP(Calculations[[#This Row],[Waste type 2]],WasteLandfillEmissions[#All],2,FALSE))*Calculations[[#This Row],[Total Kg]]*VLOOKUP(Calculations[[#This Row],[Waste 1]],WasteScenario[#All],4,FALSE),0)</f>
        <v>0</v>
      </c>
      <c r="AD169" s="322">
        <f>IFERROR((VLOOKUP(Calculations[[#This Row],[Waste type 2]],WasteLandfillEmissions[#All],3,FALSE))*Calculations[[#This Row],[Total Kg]]*VLOOKUP(Calculations[[#This Row],[Waste 1]],WasteScenario[#All],4,FALSE),0)</f>
        <v>0</v>
      </c>
      <c r="AE169" s="322">
        <f>SUM(Calculations[[#This Row],[C4 landfill]:[C4 re-use]])</f>
        <v>0</v>
      </c>
      <c r="AF169" s="322">
        <f>IFERROR(VLOOKUP(Calculations[[#This Row],[Material (choose from dropdown]],MaterialData[#All],8,FALSE),0)</f>
        <v>0</v>
      </c>
      <c r="AG169" s="322">
        <f>IFERROR(Calculations[[#This Row],[Total Kg]]*Calculations[[#This Row],[Seq factor]],0)</f>
        <v>0</v>
      </c>
      <c r="AI169" s="322">
        <f>Calculations[[#This Row],[A1-3]]+Calculations[[#This Row],[A4]]+Calculations[[#This Row],[A5]]+Calculations[[#This Row],[B4]]+Calculations[[#This Row],[C2 total]]+Calculations[[#This Row],[C3 total]]+Calculations[[#This Row],[C4 total]]</f>
        <v>0</v>
      </c>
      <c r="AJ169" s="2">
        <f>IFERROR(VLOOKUP(Calculations[[#This Row],[Material (choose from dropdown]],MaterialData[[#Headers],[#Data]],9,FALSE),0)</f>
        <v>0</v>
      </c>
      <c r="AK169" s="4">
        <f>IFERROR(VLOOKUP(Calculations[[#This Row],[Material (choose from dropdown]],MaterialData[[#Headers],[#Data]],10,FALSE),0)</f>
        <v>0</v>
      </c>
      <c r="AL169" s="322">
        <f>IFERROR(Calculations[[#This Row],[Data Quality Score]]*Calculations[[#This Row],[Total Kg]],0)</f>
        <v>0</v>
      </c>
    </row>
    <row r="170" spans="1:38" x14ac:dyDescent="0.3">
      <c r="A170" s="6">
        <f>IFERROR(MaterialsBoQ[[#This Row],[Scope Element]],0)</f>
        <v>0</v>
      </c>
      <c r="B170">
        <f>IFERROR(MaterialsBoQ[[#This Row],[Material ]],"")</f>
        <v>0</v>
      </c>
      <c r="C170">
        <f>IFERROR(MaterialsBoQ[[#This Row],[Unit]],"")</f>
        <v>0</v>
      </c>
      <c r="D170" s="322">
        <f>IFERROR(MaterialsBoQ[[#This Row],[Number]],0)</f>
        <v>0</v>
      </c>
      <c r="E170" s="322">
        <f>IFERROR(MaterialsBoQ[[#This Row],[Kg per unit]],0)</f>
        <v>0</v>
      </c>
      <c r="F170" s="322">
        <f>IFERROR(Calculations[[#This Row],[Number]]*Calculations[[#This Row],[Conversion factor]],0)</f>
        <v>0</v>
      </c>
      <c r="G170" s="322">
        <f>IFERROR(VLOOKUP(Calculations[[#This Row],[Material (choose from dropdown]],MaterialData[#All],7,FALSE),0)</f>
        <v>0</v>
      </c>
      <c r="H170" s="322">
        <f>Calculations[[#This Row],[Total Kg]]*Calculations[[#This Row],[Carbon Factor]]</f>
        <v>0</v>
      </c>
      <c r="I170" t="str">
        <f>IFERROR(VLOOKUP(Calculations[[#This Row],[Material (choose from dropdown]],MaterialData[#All],2,FALSE),"")</f>
        <v/>
      </c>
      <c r="J170" s="322">
        <f>IFERROR(((VLOOKUP(Calculations[[#This Row],[TransportSource]],TransportDistance[],2,FALSE)*'Stage assumptions'!$C$11)+VLOOKUP(Calculations[[#This Row],[TransportSource]],TransportDistance[],3,FALSE)*'Stage assumptions'!$C$12)*Calculations[[#This Row],[Total Kg]],0)</f>
        <v>0</v>
      </c>
      <c r="K170">
        <f>IFERROR(VLOOKUP(Calculations[[#This Row],[Material (choose from dropdown]], MaterialData[#All],3, FALSE),0)</f>
        <v>0</v>
      </c>
      <c r="L170" s="322">
        <f>IFERROR(VLOOKUP(Calculations[[#This Row],[A5type]],A5WastageRate[#All],2,FALSE)*Calculations[[#This Row],[A1-3]],0)</f>
        <v>0</v>
      </c>
      <c r="N170">
        <f>IFERROR(ROUNDUP(50/VLOOKUP(Calculations[[#This Row],[Scope Element]],B4referenceServiceLife[[Tier 2 element]:[Default Service Life]],2, FALSE)-1,0),0)</f>
        <v>0</v>
      </c>
      <c r="O170" s="322">
        <f>IFERROR((Calculations[[#This Row],[A1-3]]+Calculations[[#This Row],[A4]]+Calculations[[#This Row],[A5]]+Calculations[[#This Row],[C2 total]]+Calculations[[#This Row],[C3 total]]+Calculations[[#This Row],[C4 total]])*Calculations[[#This Row],[Replacements]],0)</f>
        <v>0</v>
      </c>
      <c r="S170" t="str">
        <f>IFERROR(VLOOKUP(Calculations[[#This Row],[Material (choose from dropdown]],MaterialData[#All],4,FALSE),"")</f>
        <v/>
      </c>
      <c r="T170" s="322" cm="1">
        <f t="array" ref="T170">IFERROR(VLOOKUP(Calculations[[#This Row],[Waste 1]],WasteScenario[#All],2,FALSE)*'Stage assumptions'!$C$225*WasteTransportMethod[Emissions Factor
kgCO2e/kg.km]*Calculations[[#This Row],[Total Kg]],0)</f>
        <v>0</v>
      </c>
      <c r="U170" s="322" cm="1">
        <f t="array" ref="U170">IFERROR(VLOOKUP(Calculations[[#This Row],[Waste 1]],WasteScenario[#All],3,FALSE)*'Stage assumptions'!$C$224*WasteTransportMethod[Emissions Factor
kgCO2e/kg.km]*Calculations[[#This Row],[Total Kg]],0)</f>
        <v>0</v>
      </c>
      <c r="V170" s="322" cm="1">
        <f t="array" ref="V170">IFERROR(VLOOKUP(Calculations[[#This Row],[Waste 1]],WasteScenario[#All],4,FALSE)*'Stage assumptions'!$C$223*WasteTransportMethod[Emissions Factor
kgCO2e/kg.km]*Calculations[[#This Row],[Total Kg]],0)</f>
        <v>0</v>
      </c>
      <c r="W170" s="322" cm="1">
        <f t="array" ref="W170">IFERROR(VLOOKUP(Calculations[[#This Row],[Waste 1]],WasteScenario[#All],5,FALSE)*'Stage assumptions'!$C$226*WasteTransportMethod[Emissions Factor
kgCO2e/kg.km]*Calculations[[#This Row],[Total Kg]],0)</f>
        <v>0</v>
      </c>
      <c r="X170" s="322">
        <f>SUM(Calculations[[#This Row],[C2 Recycle]:[C2 Reuse]])</f>
        <v>0</v>
      </c>
      <c r="Y170" t="str">
        <f>IFERROR(VLOOKUP(Calculations[[#This Row],[Material (choose from dropdown]],MaterialData[#All],5,FALSE),"")</f>
        <v/>
      </c>
      <c r="Z170" s="322">
        <f>IFERROR(((VLOOKUP(Calculations[[#This Row],[Waste type 2]],WasteDisposalEmissions[#All],2,FALSE))*Calculations[[#This Row],[Total Kg]])*VLOOKUP(Calculations[[#This Row],[Waste 1]],WasteScenario[#All],2,FALSE),0)</f>
        <v>0</v>
      </c>
      <c r="AA170" s="322">
        <f>IFERROR((VLOOKUP(Calculations[[#This Row],[Waste type 2]],WasteDisposalEmissions[#All],3,FALSE))*Calculations[[#This Row],[Total Kg]]*VLOOKUP(Calculations[[#This Row],[Waste 1]],WasteScenario[#All],3,FALSE),0)</f>
        <v>0</v>
      </c>
      <c r="AB170" s="322">
        <f>SUM(Calculations[[#This Row],[C3 recyc]:[C3 incin]])</f>
        <v>0</v>
      </c>
      <c r="AC170" s="322">
        <f>IFERROR((VLOOKUP(Calculations[[#This Row],[Waste type 2]],WasteLandfillEmissions[#All],2,FALSE))*Calculations[[#This Row],[Total Kg]]*VLOOKUP(Calculations[[#This Row],[Waste 1]],WasteScenario[#All],4,FALSE),0)</f>
        <v>0</v>
      </c>
      <c r="AD170" s="322">
        <f>IFERROR((VLOOKUP(Calculations[[#This Row],[Waste type 2]],WasteLandfillEmissions[#All],3,FALSE))*Calculations[[#This Row],[Total Kg]]*VLOOKUP(Calculations[[#This Row],[Waste 1]],WasteScenario[#All],4,FALSE),0)</f>
        <v>0</v>
      </c>
      <c r="AE170" s="322">
        <f>SUM(Calculations[[#This Row],[C4 landfill]:[C4 re-use]])</f>
        <v>0</v>
      </c>
      <c r="AF170" s="322">
        <f>IFERROR(VLOOKUP(Calculations[[#This Row],[Material (choose from dropdown]],MaterialData[#All],8,FALSE),0)</f>
        <v>0</v>
      </c>
      <c r="AG170" s="322">
        <f>IFERROR(Calculations[[#This Row],[Total Kg]]*Calculations[[#This Row],[Seq factor]],0)</f>
        <v>0</v>
      </c>
      <c r="AI170" s="322">
        <f>Calculations[[#This Row],[A1-3]]+Calculations[[#This Row],[A4]]+Calculations[[#This Row],[A5]]+Calculations[[#This Row],[B4]]+Calculations[[#This Row],[C2 total]]+Calculations[[#This Row],[C3 total]]+Calculations[[#This Row],[C4 total]]</f>
        <v>0</v>
      </c>
      <c r="AJ170" s="2">
        <f>IFERROR(VLOOKUP(Calculations[[#This Row],[Material (choose from dropdown]],MaterialData[[#Headers],[#Data]],9,FALSE),0)</f>
        <v>0</v>
      </c>
      <c r="AK170" s="4">
        <f>IFERROR(VLOOKUP(Calculations[[#This Row],[Material (choose from dropdown]],MaterialData[[#Headers],[#Data]],10,FALSE),0)</f>
        <v>0</v>
      </c>
      <c r="AL170" s="322">
        <f>IFERROR(Calculations[[#This Row],[Data Quality Score]]*Calculations[[#This Row],[Total Kg]],0)</f>
        <v>0</v>
      </c>
    </row>
    <row r="171" spans="1:38" x14ac:dyDescent="0.3">
      <c r="A171" s="6">
        <f>IFERROR(MaterialsBoQ[[#This Row],[Scope Element]],0)</f>
        <v>0</v>
      </c>
      <c r="B171">
        <f>IFERROR(MaterialsBoQ[[#This Row],[Material ]],"")</f>
        <v>0</v>
      </c>
      <c r="C171">
        <f>IFERROR(MaterialsBoQ[[#This Row],[Unit]],"")</f>
        <v>0</v>
      </c>
      <c r="D171" s="322">
        <f>IFERROR(MaterialsBoQ[[#This Row],[Number]],0)</f>
        <v>0</v>
      </c>
      <c r="E171" s="322">
        <f>IFERROR(MaterialsBoQ[[#This Row],[Kg per unit]],0)</f>
        <v>0</v>
      </c>
      <c r="F171" s="322">
        <f>IFERROR(Calculations[[#This Row],[Number]]*Calculations[[#This Row],[Conversion factor]],0)</f>
        <v>0</v>
      </c>
      <c r="G171" s="322">
        <f>IFERROR(VLOOKUP(Calculations[[#This Row],[Material (choose from dropdown]],MaterialData[#All],7,FALSE),0)</f>
        <v>0</v>
      </c>
      <c r="H171" s="322">
        <f>Calculations[[#This Row],[Total Kg]]*Calculations[[#This Row],[Carbon Factor]]</f>
        <v>0</v>
      </c>
      <c r="I171" t="str">
        <f>IFERROR(VLOOKUP(Calculations[[#This Row],[Material (choose from dropdown]],MaterialData[#All],2,FALSE),"")</f>
        <v/>
      </c>
      <c r="J171" s="322">
        <f>IFERROR(((VLOOKUP(Calculations[[#This Row],[TransportSource]],TransportDistance[],2,FALSE)*'Stage assumptions'!$C$11)+VLOOKUP(Calculations[[#This Row],[TransportSource]],TransportDistance[],3,FALSE)*'Stage assumptions'!$C$12)*Calculations[[#This Row],[Total Kg]],0)</f>
        <v>0</v>
      </c>
      <c r="K171">
        <f>IFERROR(VLOOKUP(Calculations[[#This Row],[Material (choose from dropdown]], MaterialData[#All],3, FALSE),0)</f>
        <v>0</v>
      </c>
      <c r="L171" s="322">
        <f>IFERROR(VLOOKUP(Calculations[[#This Row],[A5type]],A5WastageRate[#All],2,FALSE)*Calculations[[#This Row],[A1-3]],0)</f>
        <v>0</v>
      </c>
      <c r="N171">
        <f>IFERROR(ROUNDUP(50/VLOOKUP(Calculations[[#This Row],[Scope Element]],B4referenceServiceLife[[Tier 2 element]:[Default Service Life]],2, FALSE)-1,0),0)</f>
        <v>0</v>
      </c>
      <c r="O171" s="322">
        <f>IFERROR((Calculations[[#This Row],[A1-3]]+Calculations[[#This Row],[A4]]+Calculations[[#This Row],[A5]]+Calculations[[#This Row],[C2 total]]+Calculations[[#This Row],[C3 total]]+Calculations[[#This Row],[C4 total]])*Calculations[[#This Row],[Replacements]],0)</f>
        <v>0</v>
      </c>
      <c r="S171" t="str">
        <f>IFERROR(VLOOKUP(Calculations[[#This Row],[Material (choose from dropdown]],MaterialData[#All],4,FALSE),"")</f>
        <v/>
      </c>
      <c r="T171" s="322" cm="1">
        <f t="array" ref="T171">IFERROR(VLOOKUP(Calculations[[#This Row],[Waste 1]],WasteScenario[#All],2,FALSE)*'Stage assumptions'!$C$225*WasteTransportMethod[Emissions Factor
kgCO2e/kg.km]*Calculations[[#This Row],[Total Kg]],0)</f>
        <v>0</v>
      </c>
      <c r="U171" s="322" cm="1">
        <f t="array" ref="U171">IFERROR(VLOOKUP(Calculations[[#This Row],[Waste 1]],WasteScenario[#All],3,FALSE)*'Stage assumptions'!$C$224*WasteTransportMethod[Emissions Factor
kgCO2e/kg.km]*Calculations[[#This Row],[Total Kg]],0)</f>
        <v>0</v>
      </c>
      <c r="V171" s="322" cm="1">
        <f t="array" ref="V171">IFERROR(VLOOKUP(Calculations[[#This Row],[Waste 1]],WasteScenario[#All],4,FALSE)*'Stage assumptions'!$C$223*WasteTransportMethod[Emissions Factor
kgCO2e/kg.km]*Calculations[[#This Row],[Total Kg]],0)</f>
        <v>0</v>
      </c>
      <c r="W171" s="322" cm="1">
        <f t="array" ref="W171">IFERROR(VLOOKUP(Calculations[[#This Row],[Waste 1]],WasteScenario[#All],5,FALSE)*'Stage assumptions'!$C$226*WasteTransportMethod[Emissions Factor
kgCO2e/kg.km]*Calculations[[#This Row],[Total Kg]],0)</f>
        <v>0</v>
      </c>
      <c r="X171" s="322">
        <f>SUM(Calculations[[#This Row],[C2 Recycle]:[C2 Reuse]])</f>
        <v>0</v>
      </c>
      <c r="Y171" t="str">
        <f>IFERROR(VLOOKUP(Calculations[[#This Row],[Material (choose from dropdown]],MaterialData[#All],5,FALSE),"")</f>
        <v/>
      </c>
      <c r="Z171" s="322">
        <f>IFERROR(((VLOOKUP(Calculations[[#This Row],[Waste type 2]],WasteDisposalEmissions[#All],2,FALSE))*Calculations[[#This Row],[Total Kg]])*VLOOKUP(Calculations[[#This Row],[Waste 1]],WasteScenario[#All],2,FALSE),0)</f>
        <v>0</v>
      </c>
      <c r="AA171" s="322">
        <f>IFERROR((VLOOKUP(Calculations[[#This Row],[Waste type 2]],WasteDisposalEmissions[#All],3,FALSE))*Calculations[[#This Row],[Total Kg]]*VLOOKUP(Calculations[[#This Row],[Waste 1]],WasteScenario[#All],3,FALSE),0)</f>
        <v>0</v>
      </c>
      <c r="AB171" s="322">
        <f>SUM(Calculations[[#This Row],[C3 recyc]:[C3 incin]])</f>
        <v>0</v>
      </c>
      <c r="AC171" s="322">
        <f>IFERROR((VLOOKUP(Calculations[[#This Row],[Waste type 2]],WasteLandfillEmissions[#All],2,FALSE))*Calculations[[#This Row],[Total Kg]]*VLOOKUP(Calculations[[#This Row],[Waste 1]],WasteScenario[#All],4,FALSE),0)</f>
        <v>0</v>
      </c>
      <c r="AD171" s="322">
        <f>IFERROR((VLOOKUP(Calculations[[#This Row],[Waste type 2]],WasteLandfillEmissions[#All],3,FALSE))*Calculations[[#This Row],[Total Kg]]*VLOOKUP(Calculations[[#This Row],[Waste 1]],WasteScenario[#All],4,FALSE),0)</f>
        <v>0</v>
      </c>
      <c r="AE171" s="322">
        <f>SUM(Calculations[[#This Row],[C4 landfill]:[C4 re-use]])</f>
        <v>0</v>
      </c>
      <c r="AF171" s="322">
        <f>IFERROR(VLOOKUP(Calculations[[#This Row],[Material (choose from dropdown]],MaterialData[#All],8,FALSE),0)</f>
        <v>0</v>
      </c>
      <c r="AG171" s="322">
        <f>IFERROR(Calculations[[#This Row],[Total Kg]]*Calculations[[#This Row],[Seq factor]],0)</f>
        <v>0</v>
      </c>
      <c r="AI171" s="322">
        <f>Calculations[[#This Row],[A1-3]]+Calculations[[#This Row],[A4]]+Calculations[[#This Row],[A5]]+Calculations[[#This Row],[B4]]+Calculations[[#This Row],[C2 total]]+Calculations[[#This Row],[C3 total]]+Calculations[[#This Row],[C4 total]]</f>
        <v>0</v>
      </c>
      <c r="AJ171" s="2">
        <f>IFERROR(VLOOKUP(Calculations[[#This Row],[Material (choose from dropdown]],MaterialData[[#Headers],[#Data]],9,FALSE),0)</f>
        <v>0</v>
      </c>
      <c r="AK171" s="4">
        <f>IFERROR(VLOOKUP(Calculations[[#This Row],[Material (choose from dropdown]],MaterialData[[#Headers],[#Data]],10,FALSE),0)</f>
        <v>0</v>
      </c>
      <c r="AL171" s="322">
        <f>IFERROR(Calculations[[#This Row],[Data Quality Score]]*Calculations[[#This Row],[Total Kg]],0)</f>
        <v>0</v>
      </c>
    </row>
    <row r="172" spans="1:38" x14ac:dyDescent="0.3">
      <c r="A172" s="6">
        <f>IFERROR(MaterialsBoQ[[#This Row],[Scope Element]],0)</f>
        <v>0</v>
      </c>
      <c r="B172">
        <f>IFERROR(MaterialsBoQ[[#This Row],[Material ]],"")</f>
        <v>0</v>
      </c>
      <c r="C172">
        <f>IFERROR(MaterialsBoQ[[#This Row],[Unit]],"")</f>
        <v>0</v>
      </c>
      <c r="D172" s="322">
        <f>IFERROR(MaterialsBoQ[[#This Row],[Number]],0)</f>
        <v>0</v>
      </c>
      <c r="E172" s="322">
        <f>IFERROR(MaterialsBoQ[[#This Row],[Kg per unit]],0)</f>
        <v>0</v>
      </c>
      <c r="F172" s="322">
        <f>IFERROR(Calculations[[#This Row],[Number]]*Calculations[[#This Row],[Conversion factor]],0)</f>
        <v>0</v>
      </c>
      <c r="G172" s="322">
        <f>IFERROR(VLOOKUP(Calculations[[#This Row],[Material (choose from dropdown]],MaterialData[#All],7,FALSE),0)</f>
        <v>0</v>
      </c>
      <c r="H172" s="322">
        <f>Calculations[[#This Row],[Total Kg]]*Calculations[[#This Row],[Carbon Factor]]</f>
        <v>0</v>
      </c>
      <c r="I172" t="str">
        <f>IFERROR(VLOOKUP(Calculations[[#This Row],[Material (choose from dropdown]],MaterialData[#All],2,FALSE),"")</f>
        <v/>
      </c>
      <c r="J172" s="322">
        <f>IFERROR(((VLOOKUP(Calculations[[#This Row],[TransportSource]],TransportDistance[],2,FALSE)*'Stage assumptions'!$C$11)+VLOOKUP(Calculations[[#This Row],[TransportSource]],TransportDistance[],3,FALSE)*'Stage assumptions'!$C$12)*Calculations[[#This Row],[Total Kg]],0)</f>
        <v>0</v>
      </c>
      <c r="K172">
        <f>IFERROR(VLOOKUP(Calculations[[#This Row],[Material (choose from dropdown]], MaterialData[#All],3, FALSE),0)</f>
        <v>0</v>
      </c>
      <c r="L172" s="322">
        <f>IFERROR(VLOOKUP(Calculations[[#This Row],[A5type]],A5WastageRate[#All],2,FALSE)*Calculations[[#This Row],[A1-3]],0)</f>
        <v>0</v>
      </c>
      <c r="N172">
        <f>IFERROR(ROUNDUP(50/VLOOKUP(Calculations[[#This Row],[Scope Element]],B4referenceServiceLife[[Tier 2 element]:[Default Service Life]],2, FALSE)-1,0),0)</f>
        <v>0</v>
      </c>
      <c r="O172" s="322">
        <f>IFERROR((Calculations[[#This Row],[A1-3]]+Calculations[[#This Row],[A4]]+Calculations[[#This Row],[A5]]+Calculations[[#This Row],[C2 total]]+Calculations[[#This Row],[C3 total]]+Calculations[[#This Row],[C4 total]])*Calculations[[#This Row],[Replacements]],0)</f>
        <v>0</v>
      </c>
      <c r="S172" t="str">
        <f>IFERROR(VLOOKUP(Calculations[[#This Row],[Material (choose from dropdown]],MaterialData[#All],4,FALSE),"")</f>
        <v/>
      </c>
      <c r="T172" s="322" cm="1">
        <f t="array" ref="T172">IFERROR(VLOOKUP(Calculations[[#This Row],[Waste 1]],WasteScenario[#All],2,FALSE)*'Stage assumptions'!$C$225*WasteTransportMethod[Emissions Factor
kgCO2e/kg.km]*Calculations[[#This Row],[Total Kg]],0)</f>
        <v>0</v>
      </c>
      <c r="U172" s="322" cm="1">
        <f t="array" ref="U172">IFERROR(VLOOKUP(Calculations[[#This Row],[Waste 1]],WasteScenario[#All],3,FALSE)*'Stage assumptions'!$C$224*WasteTransportMethod[Emissions Factor
kgCO2e/kg.km]*Calculations[[#This Row],[Total Kg]],0)</f>
        <v>0</v>
      </c>
      <c r="V172" s="322" cm="1">
        <f t="array" ref="V172">IFERROR(VLOOKUP(Calculations[[#This Row],[Waste 1]],WasteScenario[#All],4,FALSE)*'Stage assumptions'!$C$223*WasteTransportMethod[Emissions Factor
kgCO2e/kg.km]*Calculations[[#This Row],[Total Kg]],0)</f>
        <v>0</v>
      </c>
      <c r="W172" s="322" cm="1">
        <f t="array" ref="W172">IFERROR(VLOOKUP(Calculations[[#This Row],[Waste 1]],WasteScenario[#All],5,FALSE)*'Stage assumptions'!$C$226*WasteTransportMethod[Emissions Factor
kgCO2e/kg.km]*Calculations[[#This Row],[Total Kg]],0)</f>
        <v>0</v>
      </c>
      <c r="X172" s="322">
        <f>SUM(Calculations[[#This Row],[C2 Recycle]:[C2 Reuse]])</f>
        <v>0</v>
      </c>
      <c r="Y172" t="str">
        <f>IFERROR(VLOOKUP(Calculations[[#This Row],[Material (choose from dropdown]],MaterialData[#All],5,FALSE),"")</f>
        <v/>
      </c>
      <c r="Z172" s="322">
        <f>IFERROR(((VLOOKUP(Calculations[[#This Row],[Waste type 2]],WasteDisposalEmissions[#All],2,FALSE))*Calculations[[#This Row],[Total Kg]])*VLOOKUP(Calculations[[#This Row],[Waste 1]],WasteScenario[#All],2,FALSE),0)</f>
        <v>0</v>
      </c>
      <c r="AA172" s="322">
        <f>IFERROR((VLOOKUP(Calculations[[#This Row],[Waste type 2]],WasteDisposalEmissions[#All],3,FALSE))*Calculations[[#This Row],[Total Kg]]*VLOOKUP(Calculations[[#This Row],[Waste 1]],WasteScenario[#All],3,FALSE),0)</f>
        <v>0</v>
      </c>
      <c r="AB172" s="322">
        <f>SUM(Calculations[[#This Row],[C3 recyc]:[C3 incin]])</f>
        <v>0</v>
      </c>
      <c r="AC172" s="322">
        <f>IFERROR((VLOOKUP(Calculations[[#This Row],[Waste type 2]],WasteLandfillEmissions[#All],2,FALSE))*Calculations[[#This Row],[Total Kg]]*VLOOKUP(Calculations[[#This Row],[Waste 1]],WasteScenario[#All],4,FALSE),0)</f>
        <v>0</v>
      </c>
      <c r="AD172" s="322">
        <f>IFERROR((VLOOKUP(Calculations[[#This Row],[Waste type 2]],WasteLandfillEmissions[#All],3,FALSE))*Calculations[[#This Row],[Total Kg]]*VLOOKUP(Calculations[[#This Row],[Waste 1]],WasteScenario[#All],4,FALSE),0)</f>
        <v>0</v>
      </c>
      <c r="AE172" s="322">
        <f>SUM(Calculations[[#This Row],[C4 landfill]:[C4 re-use]])</f>
        <v>0</v>
      </c>
      <c r="AF172" s="322">
        <f>IFERROR(VLOOKUP(Calculations[[#This Row],[Material (choose from dropdown]],MaterialData[#All],8,FALSE),0)</f>
        <v>0</v>
      </c>
      <c r="AG172" s="322">
        <f>IFERROR(Calculations[[#This Row],[Total Kg]]*Calculations[[#This Row],[Seq factor]],0)</f>
        <v>0</v>
      </c>
      <c r="AI172" s="322">
        <f>Calculations[[#This Row],[A1-3]]+Calculations[[#This Row],[A4]]+Calculations[[#This Row],[A5]]+Calculations[[#This Row],[B4]]+Calculations[[#This Row],[C2 total]]+Calculations[[#This Row],[C3 total]]+Calculations[[#This Row],[C4 total]]</f>
        <v>0</v>
      </c>
      <c r="AJ172" s="2">
        <f>IFERROR(VLOOKUP(Calculations[[#This Row],[Material (choose from dropdown]],MaterialData[[#Headers],[#Data]],9,FALSE),0)</f>
        <v>0</v>
      </c>
      <c r="AK172" s="4">
        <f>IFERROR(VLOOKUP(Calculations[[#This Row],[Material (choose from dropdown]],MaterialData[[#Headers],[#Data]],10,FALSE),0)</f>
        <v>0</v>
      </c>
      <c r="AL172" s="322">
        <f>IFERROR(Calculations[[#This Row],[Data Quality Score]]*Calculations[[#This Row],[Total Kg]],0)</f>
        <v>0</v>
      </c>
    </row>
    <row r="173" spans="1:38" x14ac:dyDescent="0.3">
      <c r="A173" s="6">
        <f>IFERROR(MaterialsBoQ[[#This Row],[Scope Element]],0)</f>
        <v>0</v>
      </c>
      <c r="B173">
        <f>IFERROR(MaterialsBoQ[[#This Row],[Material ]],"")</f>
        <v>0</v>
      </c>
      <c r="C173">
        <f>IFERROR(MaterialsBoQ[[#This Row],[Unit]],"")</f>
        <v>0</v>
      </c>
      <c r="D173" s="322">
        <f>IFERROR(MaterialsBoQ[[#This Row],[Number]],0)</f>
        <v>0</v>
      </c>
      <c r="E173" s="322">
        <f>IFERROR(MaterialsBoQ[[#This Row],[Kg per unit]],0)</f>
        <v>0</v>
      </c>
      <c r="F173" s="322">
        <f>IFERROR(Calculations[[#This Row],[Number]]*Calculations[[#This Row],[Conversion factor]],0)</f>
        <v>0</v>
      </c>
      <c r="G173" s="322">
        <f>IFERROR(VLOOKUP(Calculations[[#This Row],[Material (choose from dropdown]],MaterialData[#All],7,FALSE),0)</f>
        <v>0</v>
      </c>
      <c r="H173" s="322">
        <f>Calculations[[#This Row],[Total Kg]]*Calculations[[#This Row],[Carbon Factor]]</f>
        <v>0</v>
      </c>
      <c r="I173" t="str">
        <f>IFERROR(VLOOKUP(Calculations[[#This Row],[Material (choose from dropdown]],MaterialData[#All],2,FALSE),"")</f>
        <v/>
      </c>
      <c r="J173" s="322">
        <f>IFERROR(((VLOOKUP(Calculations[[#This Row],[TransportSource]],TransportDistance[],2,FALSE)*'Stage assumptions'!$C$11)+VLOOKUP(Calculations[[#This Row],[TransportSource]],TransportDistance[],3,FALSE)*'Stage assumptions'!$C$12)*Calculations[[#This Row],[Total Kg]],0)</f>
        <v>0</v>
      </c>
      <c r="K173">
        <f>IFERROR(VLOOKUP(Calculations[[#This Row],[Material (choose from dropdown]], MaterialData[#All],3, FALSE),0)</f>
        <v>0</v>
      </c>
      <c r="L173" s="322">
        <f>IFERROR(VLOOKUP(Calculations[[#This Row],[A5type]],A5WastageRate[#All],2,FALSE)*Calculations[[#This Row],[A1-3]],0)</f>
        <v>0</v>
      </c>
      <c r="N173">
        <f>IFERROR(ROUNDUP(50/VLOOKUP(Calculations[[#This Row],[Scope Element]],B4referenceServiceLife[[Tier 2 element]:[Default Service Life]],2, FALSE)-1,0),0)</f>
        <v>0</v>
      </c>
      <c r="O173" s="322">
        <f>IFERROR((Calculations[[#This Row],[A1-3]]+Calculations[[#This Row],[A4]]+Calculations[[#This Row],[A5]]+Calculations[[#This Row],[C2 total]]+Calculations[[#This Row],[C3 total]]+Calculations[[#This Row],[C4 total]])*Calculations[[#This Row],[Replacements]],0)</f>
        <v>0</v>
      </c>
      <c r="S173" t="str">
        <f>IFERROR(VLOOKUP(Calculations[[#This Row],[Material (choose from dropdown]],MaterialData[#All],4,FALSE),"")</f>
        <v/>
      </c>
      <c r="T173" s="322" cm="1">
        <f t="array" ref="T173">IFERROR(VLOOKUP(Calculations[[#This Row],[Waste 1]],WasteScenario[#All],2,FALSE)*'Stage assumptions'!$C$225*WasteTransportMethod[Emissions Factor
kgCO2e/kg.km]*Calculations[[#This Row],[Total Kg]],0)</f>
        <v>0</v>
      </c>
      <c r="U173" s="322" cm="1">
        <f t="array" ref="U173">IFERROR(VLOOKUP(Calculations[[#This Row],[Waste 1]],WasteScenario[#All],3,FALSE)*'Stage assumptions'!$C$224*WasteTransportMethod[Emissions Factor
kgCO2e/kg.km]*Calculations[[#This Row],[Total Kg]],0)</f>
        <v>0</v>
      </c>
      <c r="V173" s="322" cm="1">
        <f t="array" ref="V173">IFERROR(VLOOKUP(Calculations[[#This Row],[Waste 1]],WasteScenario[#All],4,FALSE)*'Stage assumptions'!$C$223*WasteTransportMethod[Emissions Factor
kgCO2e/kg.km]*Calculations[[#This Row],[Total Kg]],0)</f>
        <v>0</v>
      </c>
      <c r="W173" s="322" cm="1">
        <f t="array" ref="W173">IFERROR(VLOOKUP(Calculations[[#This Row],[Waste 1]],WasteScenario[#All],5,FALSE)*'Stage assumptions'!$C$226*WasteTransportMethod[Emissions Factor
kgCO2e/kg.km]*Calculations[[#This Row],[Total Kg]],0)</f>
        <v>0</v>
      </c>
      <c r="X173" s="322">
        <f>SUM(Calculations[[#This Row],[C2 Recycle]:[C2 Reuse]])</f>
        <v>0</v>
      </c>
      <c r="Y173" t="str">
        <f>IFERROR(VLOOKUP(Calculations[[#This Row],[Material (choose from dropdown]],MaterialData[#All],5,FALSE),"")</f>
        <v/>
      </c>
      <c r="Z173" s="322">
        <f>IFERROR(((VLOOKUP(Calculations[[#This Row],[Waste type 2]],WasteDisposalEmissions[#All],2,FALSE))*Calculations[[#This Row],[Total Kg]])*VLOOKUP(Calculations[[#This Row],[Waste 1]],WasteScenario[#All],2,FALSE),0)</f>
        <v>0</v>
      </c>
      <c r="AA173" s="322">
        <f>IFERROR((VLOOKUP(Calculations[[#This Row],[Waste type 2]],WasteDisposalEmissions[#All],3,FALSE))*Calculations[[#This Row],[Total Kg]]*VLOOKUP(Calculations[[#This Row],[Waste 1]],WasteScenario[#All],3,FALSE),0)</f>
        <v>0</v>
      </c>
      <c r="AB173" s="322">
        <f>SUM(Calculations[[#This Row],[C3 recyc]:[C3 incin]])</f>
        <v>0</v>
      </c>
      <c r="AC173" s="322">
        <f>IFERROR((VLOOKUP(Calculations[[#This Row],[Waste type 2]],WasteLandfillEmissions[#All],2,FALSE))*Calculations[[#This Row],[Total Kg]]*VLOOKUP(Calculations[[#This Row],[Waste 1]],WasteScenario[#All],4,FALSE),0)</f>
        <v>0</v>
      </c>
      <c r="AD173" s="322">
        <f>IFERROR((VLOOKUP(Calculations[[#This Row],[Waste type 2]],WasteLandfillEmissions[#All],3,FALSE))*Calculations[[#This Row],[Total Kg]]*VLOOKUP(Calculations[[#This Row],[Waste 1]],WasteScenario[#All],4,FALSE),0)</f>
        <v>0</v>
      </c>
      <c r="AE173" s="322">
        <f>SUM(Calculations[[#This Row],[C4 landfill]:[C4 re-use]])</f>
        <v>0</v>
      </c>
      <c r="AF173" s="322">
        <f>IFERROR(VLOOKUP(Calculations[[#This Row],[Material (choose from dropdown]],MaterialData[#All],8,FALSE),0)</f>
        <v>0</v>
      </c>
      <c r="AG173" s="322">
        <f>IFERROR(Calculations[[#This Row],[Total Kg]]*Calculations[[#This Row],[Seq factor]],0)</f>
        <v>0</v>
      </c>
      <c r="AI173" s="322">
        <f>Calculations[[#This Row],[A1-3]]+Calculations[[#This Row],[A4]]+Calculations[[#This Row],[A5]]+Calculations[[#This Row],[B4]]+Calculations[[#This Row],[C2 total]]+Calculations[[#This Row],[C3 total]]+Calculations[[#This Row],[C4 total]]</f>
        <v>0</v>
      </c>
      <c r="AJ173" s="2">
        <f>IFERROR(VLOOKUP(Calculations[[#This Row],[Material (choose from dropdown]],MaterialData[[#Headers],[#Data]],9,FALSE),0)</f>
        <v>0</v>
      </c>
      <c r="AK173" s="4">
        <f>IFERROR(VLOOKUP(Calculations[[#This Row],[Material (choose from dropdown]],MaterialData[[#Headers],[#Data]],10,FALSE),0)</f>
        <v>0</v>
      </c>
      <c r="AL173" s="322">
        <f>IFERROR(Calculations[[#This Row],[Data Quality Score]]*Calculations[[#This Row],[Total Kg]],0)</f>
        <v>0</v>
      </c>
    </row>
    <row r="174" spans="1:38" x14ac:dyDescent="0.3">
      <c r="A174" s="6">
        <f>IFERROR(MaterialsBoQ[[#This Row],[Scope Element]],0)</f>
        <v>0</v>
      </c>
      <c r="B174">
        <f>IFERROR(MaterialsBoQ[[#This Row],[Material ]],"")</f>
        <v>0</v>
      </c>
      <c r="C174">
        <f>IFERROR(MaterialsBoQ[[#This Row],[Unit]],"")</f>
        <v>0</v>
      </c>
      <c r="D174" s="322">
        <f>IFERROR(MaterialsBoQ[[#This Row],[Number]],0)</f>
        <v>0</v>
      </c>
      <c r="E174" s="322">
        <f>IFERROR(MaterialsBoQ[[#This Row],[Kg per unit]],0)</f>
        <v>0</v>
      </c>
      <c r="F174" s="322">
        <f>IFERROR(Calculations[[#This Row],[Number]]*Calculations[[#This Row],[Conversion factor]],0)</f>
        <v>0</v>
      </c>
      <c r="G174" s="322">
        <f>IFERROR(VLOOKUP(Calculations[[#This Row],[Material (choose from dropdown]],MaterialData[#All],7,FALSE),0)</f>
        <v>0</v>
      </c>
      <c r="H174" s="322">
        <f>Calculations[[#This Row],[Total Kg]]*Calculations[[#This Row],[Carbon Factor]]</f>
        <v>0</v>
      </c>
      <c r="I174" t="str">
        <f>IFERROR(VLOOKUP(Calculations[[#This Row],[Material (choose from dropdown]],MaterialData[#All],2,FALSE),"")</f>
        <v/>
      </c>
      <c r="J174" s="322">
        <f>IFERROR(((VLOOKUP(Calculations[[#This Row],[TransportSource]],TransportDistance[],2,FALSE)*'Stage assumptions'!$C$11)+VLOOKUP(Calculations[[#This Row],[TransportSource]],TransportDistance[],3,FALSE)*'Stage assumptions'!$C$12)*Calculations[[#This Row],[Total Kg]],0)</f>
        <v>0</v>
      </c>
      <c r="K174">
        <f>IFERROR(VLOOKUP(Calculations[[#This Row],[Material (choose from dropdown]], MaterialData[#All],3, FALSE),0)</f>
        <v>0</v>
      </c>
      <c r="L174" s="322">
        <f>IFERROR(VLOOKUP(Calculations[[#This Row],[A5type]],A5WastageRate[#All],2,FALSE)*Calculations[[#This Row],[A1-3]],0)</f>
        <v>0</v>
      </c>
      <c r="N174">
        <f>IFERROR(ROUNDUP(50/VLOOKUP(Calculations[[#This Row],[Scope Element]],B4referenceServiceLife[[Tier 2 element]:[Default Service Life]],2, FALSE)-1,0),0)</f>
        <v>0</v>
      </c>
      <c r="O174" s="322">
        <f>IFERROR((Calculations[[#This Row],[A1-3]]+Calculations[[#This Row],[A4]]+Calculations[[#This Row],[A5]]+Calculations[[#This Row],[C2 total]]+Calculations[[#This Row],[C3 total]]+Calculations[[#This Row],[C4 total]])*Calculations[[#This Row],[Replacements]],0)</f>
        <v>0</v>
      </c>
      <c r="S174" t="str">
        <f>IFERROR(VLOOKUP(Calculations[[#This Row],[Material (choose from dropdown]],MaterialData[#All],4,FALSE),"")</f>
        <v/>
      </c>
      <c r="T174" s="322" cm="1">
        <f t="array" ref="T174">IFERROR(VLOOKUP(Calculations[[#This Row],[Waste 1]],WasteScenario[#All],2,FALSE)*'Stage assumptions'!$C$225*WasteTransportMethod[Emissions Factor
kgCO2e/kg.km]*Calculations[[#This Row],[Total Kg]],0)</f>
        <v>0</v>
      </c>
      <c r="U174" s="322" cm="1">
        <f t="array" ref="U174">IFERROR(VLOOKUP(Calculations[[#This Row],[Waste 1]],WasteScenario[#All],3,FALSE)*'Stage assumptions'!$C$224*WasteTransportMethod[Emissions Factor
kgCO2e/kg.km]*Calculations[[#This Row],[Total Kg]],0)</f>
        <v>0</v>
      </c>
      <c r="V174" s="322" cm="1">
        <f t="array" ref="V174">IFERROR(VLOOKUP(Calculations[[#This Row],[Waste 1]],WasteScenario[#All],4,FALSE)*'Stage assumptions'!$C$223*WasteTransportMethod[Emissions Factor
kgCO2e/kg.km]*Calculations[[#This Row],[Total Kg]],0)</f>
        <v>0</v>
      </c>
      <c r="W174" s="322" cm="1">
        <f t="array" ref="W174">IFERROR(VLOOKUP(Calculations[[#This Row],[Waste 1]],WasteScenario[#All],5,FALSE)*'Stage assumptions'!$C$226*WasteTransportMethod[Emissions Factor
kgCO2e/kg.km]*Calculations[[#This Row],[Total Kg]],0)</f>
        <v>0</v>
      </c>
      <c r="X174" s="322">
        <f>SUM(Calculations[[#This Row],[C2 Recycle]:[C2 Reuse]])</f>
        <v>0</v>
      </c>
      <c r="Y174" t="str">
        <f>IFERROR(VLOOKUP(Calculations[[#This Row],[Material (choose from dropdown]],MaterialData[#All],5,FALSE),"")</f>
        <v/>
      </c>
      <c r="Z174" s="322">
        <f>IFERROR(((VLOOKUP(Calculations[[#This Row],[Waste type 2]],WasteDisposalEmissions[#All],2,FALSE))*Calculations[[#This Row],[Total Kg]])*VLOOKUP(Calculations[[#This Row],[Waste 1]],WasteScenario[#All],2,FALSE),0)</f>
        <v>0</v>
      </c>
      <c r="AA174" s="322">
        <f>IFERROR((VLOOKUP(Calculations[[#This Row],[Waste type 2]],WasteDisposalEmissions[#All],3,FALSE))*Calculations[[#This Row],[Total Kg]]*VLOOKUP(Calculations[[#This Row],[Waste 1]],WasteScenario[#All],3,FALSE),0)</f>
        <v>0</v>
      </c>
      <c r="AB174" s="322">
        <f>SUM(Calculations[[#This Row],[C3 recyc]:[C3 incin]])</f>
        <v>0</v>
      </c>
      <c r="AC174" s="322">
        <f>IFERROR((VLOOKUP(Calculations[[#This Row],[Waste type 2]],WasteLandfillEmissions[#All],2,FALSE))*Calculations[[#This Row],[Total Kg]]*VLOOKUP(Calculations[[#This Row],[Waste 1]],WasteScenario[#All],4,FALSE),0)</f>
        <v>0</v>
      </c>
      <c r="AD174" s="322">
        <f>IFERROR((VLOOKUP(Calculations[[#This Row],[Waste type 2]],WasteLandfillEmissions[#All],3,FALSE))*Calculations[[#This Row],[Total Kg]]*VLOOKUP(Calculations[[#This Row],[Waste 1]],WasteScenario[#All],4,FALSE),0)</f>
        <v>0</v>
      </c>
      <c r="AE174" s="322">
        <f>SUM(Calculations[[#This Row],[C4 landfill]:[C4 re-use]])</f>
        <v>0</v>
      </c>
      <c r="AF174" s="322">
        <f>IFERROR(VLOOKUP(Calculations[[#This Row],[Material (choose from dropdown]],MaterialData[#All],8,FALSE),0)</f>
        <v>0</v>
      </c>
      <c r="AG174" s="322">
        <f>IFERROR(Calculations[[#This Row],[Total Kg]]*Calculations[[#This Row],[Seq factor]],0)</f>
        <v>0</v>
      </c>
      <c r="AI174" s="322">
        <f>Calculations[[#This Row],[A1-3]]+Calculations[[#This Row],[A4]]+Calculations[[#This Row],[A5]]+Calculations[[#This Row],[B4]]+Calculations[[#This Row],[C2 total]]+Calculations[[#This Row],[C3 total]]+Calculations[[#This Row],[C4 total]]</f>
        <v>0</v>
      </c>
      <c r="AJ174" s="2">
        <f>IFERROR(VLOOKUP(Calculations[[#This Row],[Material (choose from dropdown]],MaterialData[[#Headers],[#Data]],9,FALSE),0)</f>
        <v>0</v>
      </c>
      <c r="AK174" s="4">
        <f>IFERROR(VLOOKUP(Calculations[[#This Row],[Material (choose from dropdown]],MaterialData[[#Headers],[#Data]],10,FALSE),0)</f>
        <v>0</v>
      </c>
      <c r="AL174" s="322">
        <f>IFERROR(Calculations[[#This Row],[Data Quality Score]]*Calculations[[#This Row],[Total Kg]],0)</f>
        <v>0</v>
      </c>
    </row>
    <row r="175" spans="1:38" x14ac:dyDescent="0.3">
      <c r="A175" s="6">
        <f>IFERROR(MaterialsBoQ[[#This Row],[Scope Element]],0)</f>
        <v>0</v>
      </c>
      <c r="B175">
        <f>IFERROR(MaterialsBoQ[[#This Row],[Material ]],"")</f>
        <v>0</v>
      </c>
      <c r="C175">
        <f>IFERROR(MaterialsBoQ[[#This Row],[Unit]],"")</f>
        <v>0</v>
      </c>
      <c r="D175" s="322">
        <f>IFERROR(MaterialsBoQ[[#This Row],[Number]],0)</f>
        <v>0</v>
      </c>
      <c r="E175" s="322">
        <f>IFERROR(MaterialsBoQ[[#This Row],[Kg per unit]],0)</f>
        <v>0</v>
      </c>
      <c r="F175" s="322">
        <f>IFERROR(Calculations[[#This Row],[Number]]*Calculations[[#This Row],[Conversion factor]],0)</f>
        <v>0</v>
      </c>
      <c r="G175" s="322">
        <f>IFERROR(VLOOKUP(Calculations[[#This Row],[Material (choose from dropdown]],MaterialData[#All],7,FALSE),0)</f>
        <v>0</v>
      </c>
      <c r="H175" s="322">
        <f>Calculations[[#This Row],[Total Kg]]*Calculations[[#This Row],[Carbon Factor]]</f>
        <v>0</v>
      </c>
      <c r="I175" t="str">
        <f>IFERROR(VLOOKUP(Calculations[[#This Row],[Material (choose from dropdown]],MaterialData[#All],2,FALSE),"")</f>
        <v/>
      </c>
      <c r="J175" s="322">
        <f>IFERROR(((VLOOKUP(Calculations[[#This Row],[TransportSource]],TransportDistance[],2,FALSE)*'Stage assumptions'!$C$11)+VLOOKUP(Calculations[[#This Row],[TransportSource]],TransportDistance[],3,FALSE)*'Stage assumptions'!$C$12)*Calculations[[#This Row],[Total Kg]],0)</f>
        <v>0</v>
      </c>
      <c r="K175">
        <f>IFERROR(VLOOKUP(Calculations[[#This Row],[Material (choose from dropdown]], MaterialData[#All],3, FALSE),0)</f>
        <v>0</v>
      </c>
      <c r="L175" s="322">
        <f>IFERROR(VLOOKUP(Calculations[[#This Row],[A5type]],A5WastageRate[#All],2,FALSE)*Calculations[[#This Row],[A1-3]],0)</f>
        <v>0</v>
      </c>
      <c r="N175">
        <f>IFERROR(ROUNDUP(50/VLOOKUP(Calculations[[#This Row],[Scope Element]],B4referenceServiceLife[[Tier 2 element]:[Default Service Life]],2, FALSE)-1,0),0)</f>
        <v>0</v>
      </c>
      <c r="O175" s="322">
        <f>IFERROR((Calculations[[#This Row],[A1-3]]+Calculations[[#This Row],[A4]]+Calculations[[#This Row],[A5]]+Calculations[[#This Row],[C2 total]]+Calculations[[#This Row],[C3 total]]+Calculations[[#This Row],[C4 total]])*Calculations[[#This Row],[Replacements]],0)</f>
        <v>0</v>
      </c>
      <c r="S175" t="str">
        <f>IFERROR(VLOOKUP(Calculations[[#This Row],[Material (choose from dropdown]],MaterialData[#All],4,FALSE),"")</f>
        <v/>
      </c>
      <c r="T175" s="322" cm="1">
        <f t="array" ref="T175">IFERROR(VLOOKUP(Calculations[[#This Row],[Waste 1]],WasteScenario[#All],2,FALSE)*'Stage assumptions'!$C$225*WasteTransportMethod[Emissions Factor
kgCO2e/kg.km]*Calculations[[#This Row],[Total Kg]],0)</f>
        <v>0</v>
      </c>
      <c r="U175" s="322" cm="1">
        <f t="array" ref="U175">IFERROR(VLOOKUP(Calculations[[#This Row],[Waste 1]],WasteScenario[#All],3,FALSE)*'Stage assumptions'!$C$224*WasteTransportMethod[Emissions Factor
kgCO2e/kg.km]*Calculations[[#This Row],[Total Kg]],0)</f>
        <v>0</v>
      </c>
      <c r="V175" s="322" cm="1">
        <f t="array" ref="V175">IFERROR(VLOOKUP(Calculations[[#This Row],[Waste 1]],WasteScenario[#All],4,FALSE)*'Stage assumptions'!$C$223*WasteTransportMethod[Emissions Factor
kgCO2e/kg.km]*Calculations[[#This Row],[Total Kg]],0)</f>
        <v>0</v>
      </c>
      <c r="W175" s="322" cm="1">
        <f t="array" ref="W175">IFERROR(VLOOKUP(Calculations[[#This Row],[Waste 1]],WasteScenario[#All],5,FALSE)*'Stage assumptions'!$C$226*WasteTransportMethod[Emissions Factor
kgCO2e/kg.km]*Calculations[[#This Row],[Total Kg]],0)</f>
        <v>0</v>
      </c>
      <c r="X175" s="322">
        <f>SUM(Calculations[[#This Row],[C2 Recycle]:[C2 Reuse]])</f>
        <v>0</v>
      </c>
      <c r="Y175" t="str">
        <f>IFERROR(VLOOKUP(Calculations[[#This Row],[Material (choose from dropdown]],MaterialData[#All],5,FALSE),"")</f>
        <v/>
      </c>
      <c r="Z175" s="322">
        <f>IFERROR(((VLOOKUP(Calculations[[#This Row],[Waste type 2]],WasteDisposalEmissions[#All],2,FALSE))*Calculations[[#This Row],[Total Kg]])*VLOOKUP(Calculations[[#This Row],[Waste 1]],WasteScenario[#All],2,FALSE),0)</f>
        <v>0</v>
      </c>
      <c r="AA175" s="322">
        <f>IFERROR((VLOOKUP(Calculations[[#This Row],[Waste type 2]],WasteDisposalEmissions[#All],3,FALSE))*Calculations[[#This Row],[Total Kg]]*VLOOKUP(Calculations[[#This Row],[Waste 1]],WasteScenario[#All],3,FALSE),0)</f>
        <v>0</v>
      </c>
      <c r="AB175" s="322">
        <f>SUM(Calculations[[#This Row],[C3 recyc]:[C3 incin]])</f>
        <v>0</v>
      </c>
      <c r="AC175" s="322">
        <f>IFERROR((VLOOKUP(Calculations[[#This Row],[Waste type 2]],WasteLandfillEmissions[#All],2,FALSE))*Calculations[[#This Row],[Total Kg]]*VLOOKUP(Calculations[[#This Row],[Waste 1]],WasteScenario[#All],4,FALSE),0)</f>
        <v>0</v>
      </c>
      <c r="AD175" s="322">
        <f>IFERROR((VLOOKUP(Calculations[[#This Row],[Waste type 2]],WasteLandfillEmissions[#All],3,FALSE))*Calculations[[#This Row],[Total Kg]]*VLOOKUP(Calculations[[#This Row],[Waste 1]],WasteScenario[#All],4,FALSE),0)</f>
        <v>0</v>
      </c>
      <c r="AE175" s="322">
        <f>SUM(Calculations[[#This Row],[C4 landfill]:[C4 re-use]])</f>
        <v>0</v>
      </c>
      <c r="AF175" s="322">
        <f>IFERROR(VLOOKUP(Calculations[[#This Row],[Material (choose from dropdown]],MaterialData[#All],8,FALSE),0)</f>
        <v>0</v>
      </c>
      <c r="AG175" s="322">
        <f>IFERROR(Calculations[[#This Row],[Total Kg]]*Calculations[[#This Row],[Seq factor]],0)</f>
        <v>0</v>
      </c>
      <c r="AI175" s="322">
        <f>Calculations[[#This Row],[A1-3]]+Calculations[[#This Row],[A4]]+Calculations[[#This Row],[A5]]+Calculations[[#This Row],[B4]]+Calculations[[#This Row],[C2 total]]+Calculations[[#This Row],[C3 total]]+Calculations[[#This Row],[C4 total]]</f>
        <v>0</v>
      </c>
      <c r="AJ175" s="2">
        <f>IFERROR(VLOOKUP(Calculations[[#This Row],[Material (choose from dropdown]],MaterialData[[#Headers],[#Data]],9,FALSE),0)</f>
        <v>0</v>
      </c>
      <c r="AK175" s="4">
        <f>IFERROR(VLOOKUP(Calculations[[#This Row],[Material (choose from dropdown]],MaterialData[[#Headers],[#Data]],10,FALSE),0)</f>
        <v>0</v>
      </c>
      <c r="AL175" s="322">
        <f>IFERROR(Calculations[[#This Row],[Data Quality Score]]*Calculations[[#This Row],[Total Kg]],0)</f>
        <v>0</v>
      </c>
    </row>
    <row r="176" spans="1:38" x14ac:dyDescent="0.3">
      <c r="A176" s="6">
        <f>IFERROR(MaterialsBoQ[[#This Row],[Scope Element]],0)</f>
        <v>0</v>
      </c>
      <c r="B176">
        <f>IFERROR(MaterialsBoQ[[#This Row],[Material ]],"")</f>
        <v>0</v>
      </c>
      <c r="C176">
        <f>IFERROR(MaterialsBoQ[[#This Row],[Unit]],"")</f>
        <v>0</v>
      </c>
      <c r="D176" s="322">
        <f>IFERROR(MaterialsBoQ[[#This Row],[Number]],0)</f>
        <v>0</v>
      </c>
      <c r="E176" s="322">
        <f>IFERROR(MaterialsBoQ[[#This Row],[Kg per unit]],0)</f>
        <v>0</v>
      </c>
      <c r="F176" s="322">
        <f>IFERROR(Calculations[[#This Row],[Number]]*Calculations[[#This Row],[Conversion factor]],0)</f>
        <v>0</v>
      </c>
      <c r="G176" s="322">
        <f>IFERROR(VLOOKUP(Calculations[[#This Row],[Material (choose from dropdown]],MaterialData[#All],7,FALSE),0)</f>
        <v>0</v>
      </c>
      <c r="H176" s="322">
        <f>Calculations[[#This Row],[Total Kg]]*Calculations[[#This Row],[Carbon Factor]]</f>
        <v>0</v>
      </c>
      <c r="I176" t="str">
        <f>IFERROR(VLOOKUP(Calculations[[#This Row],[Material (choose from dropdown]],MaterialData[#All],2,FALSE),"")</f>
        <v/>
      </c>
      <c r="J176" s="322">
        <f>IFERROR(((VLOOKUP(Calculations[[#This Row],[TransportSource]],TransportDistance[],2,FALSE)*'Stage assumptions'!$C$11)+VLOOKUP(Calculations[[#This Row],[TransportSource]],TransportDistance[],3,FALSE)*'Stage assumptions'!$C$12)*Calculations[[#This Row],[Total Kg]],0)</f>
        <v>0</v>
      </c>
      <c r="K176">
        <f>IFERROR(VLOOKUP(Calculations[[#This Row],[Material (choose from dropdown]], MaterialData[#All],3, FALSE),0)</f>
        <v>0</v>
      </c>
      <c r="L176" s="322">
        <f>IFERROR(VLOOKUP(Calculations[[#This Row],[A5type]],A5WastageRate[#All],2,FALSE)*Calculations[[#This Row],[A1-3]],0)</f>
        <v>0</v>
      </c>
      <c r="N176">
        <f>IFERROR(ROUNDUP(50/VLOOKUP(Calculations[[#This Row],[Scope Element]],B4referenceServiceLife[[Tier 2 element]:[Default Service Life]],2, FALSE)-1,0),0)</f>
        <v>0</v>
      </c>
      <c r="O176" s="322">
        <f>IFERROR((Calculations[[#This Row],[A1-3]]+Calculations[[#This Row],[A4]]+Calculations[[#This Row],[A5]]+Calculations[[#This Row],[C2 total]]+Calculations[[#This Row],[C3 total]]+Calculations[[#This Row],[C4 total]])*Calculations[[#This Row],[Replacements]],0)</f>
        <v>0</v>
      </c>
      <c r="S176" t="str">
        <f>IFERROR(VLOOKUP(Calculations[[#This Row],[Material (choose from dropdown]],MaterialData[#All],4,FALSE),"")</f>
        <v/>
      </c>
      <c r="T176" s="322" cm="1">
        <f t="array" ref="T176">IFERROR(VLOOKUP(Calculations[[#This Row],[Waste 1]],WasteScenario[#All],2,FALSE)*'Stage assumptions'!$C$225*WasteTransportMethod[Emissions Factor
kgCO2e/kg.km]*Calculations[[#This Row],[Total Kg]],0)</f>
        <v>0</v>
      </c>
      <c r="U176" s="322" cm="1">
        <f t="array" ref="U176">IFERROR(VLOOKUP(Calculations[[#This Row],[Waste 1]],WasteScenario[#All],3,FALSE)*'Stage assumptions'!$C$224*WasteTransportMethod[Emissions Factor
kgCO2e/kg.km]*Calculations[[#This Row],[Total Kg]],0)</f>
        <v>0</v>
      </c>
      <c r="V176" s="322" cm="1">
        <f t="array" ref="V176">IFERROR(VLOOKUP(Calculations[[#This Row],[Waste 1]],WasteScenario[#All],4,FALSE)*'Stage assumptions'!$C$223*WasteTransportMethod[Emissions Factor
kgCO2e/kg.km]*Calculations[[#This Row],[Total Kg]],0)</f>
        <v>0</v>
      </c>
      <c r="W176" s="322" cm="1">
        <f t="array" ref="W176">IFERROR(VLOOKUP(Calculations[[#This Row],[Waste 1]],WasteScenario[#All],5,FALSE)*'Stage assumptions'!$C$226*WasteTransportMethod[Emissions Factor
kgCO2e/kg.km]*Calculations[[#This Row],[Total Kg]],0)</f>
        <v>0</v>
      </c>
      <c r="X176" s="322">
        <f>SUM(Calculations[[#This Row],[C2 Recycle]:[C2 Reuse]])</f>
        <v>0</v>
      </c>
      <c r="Y176" t="str">
        <f>IFERROR(VLOOKUP(Calculations[[#This Row],[Material (choose from dropdown]],MaterialData[#All],5,FALSE),"")</f>
        <v/>
      </c>
      <c r="Z176" s="322">
        <f>IFERROR(((VLOOKUP(Calculations[[#This Row],[Waste type 2]],WasteDisposalEmissions[#All],2,FALSE))*Calculations[[#This Row],[Total Kg]])*VLOOKUP(Calculations[[#This Row],[Waste 1]],WasteScenario[#All],2,FALSE),0)</f>
        <v>0</v>
      </c>
      <c r="AA176" s="322">
        <f>IFERROR((VLOOKUP(Calculations[[#This Row],[Waste type 2]],WasteDisposalEmissions[#All],3,FALSE))*Calculations[[#This Row],[Total Kg]]*VLOOKUP(Calculations[[#This Row],[Waste 1]],WasteScenario[#All],3,FALSE),0)</f>
        <v>0</v>
      </c>
      <c r="AB176" s="322">
        <f>SUM(Calculations[[#This Row],[C3 recyc]:[C3 incin]])</f>
        <v>0</v>
      </c>
      <c r="AC176" s="322">
        <f>IFERROR((VLOOKUP(Calculations[[#This Row],[Waste type 2]],WasteLandfillEmissions[#All],2,FALSE))*Calculations[[#This Row],[Total Kg]]*VLOOKUP(Calculations[[#This Row],[Waste 1]],WasteScenario[#All],4,FALSE),0)</f>
        <v>0</v>
      </c>
      <c r="AD176" s="322">
        <f>IFERROR((VLOOKUP(Calculations[[#This Row],[Waste type 2]],WasteLandfillEmissions[#All],3,FALSE))*Calculations[[#This Row],[Total Kg]]*VLOOKUP(Calculations[[#This Row],[Waste 1]],WasteScenario[#All],4,FALSE),0)</f>
        <v>0</v>
      </c>
      <c r="AE176" s="322">
        <f>SUM(Calculations[[#This Row],[C4 landfill]:[C4 re-use]])</f>
        <v>0</v>
      </c>
      <c r="AF176" s="322">
        <f>IFERROR(VLOOKUP(Calculations[[#This Row],[Material (choose from dropdown]],MaterialData[#All],8,FALSE),0)</f>
        <v>0</v>
      </c>
      <c r="AG176" s="322">
        <f>IFERROR(Calculations[[#This Row],[Total Kg]]*Calculations[[#This Row],[Seq factor]],0)</f>
        <v>0</v>
      </c>
      <c r="AI176" s="322">
        <f>Calculations[[#This Row],[A1-3]]+Calculations[[#This Row],[A4]]+Calculations[[#This Row],[A5]]+Calculations[[#This Row],[B4]]+Calculations[[#This Row],[C2 total]]+Calculations[[#This Row],[C3 total]]+Calculations[[#This Row],[C4 total]]</f>
        <v>0</v>
      </c>
      <c r="AJ176" s="2">
        <f>IFERROR(VLOOKUP(Calculations[[#This Row],[Material (choose from dropdown]],MaterialData[[#Headers],[#Data]],9,FALSE),0)</f>
        <v>0</v>
      </c>
      <c r="AK176" s="4">
        <f>IFERROR(VLOOKUP(Calculations[[#This Row],[Material (choose from dropdown]],MaterialData[[#Headers],[#Data]],10,FALSE),0)</f>
        <v>0</v>
      </c>
      <c r="AL176" s="322">
        <f>IFERROR(Calculations[[#This Row],[Data Quality Score]]*Calculations[[#This Row],[Total Kg]],0)</f>
        <v>0</v>
      </c>
    </row>
    <row r="177" spans="1:38" x14ac:dyDescent="0.3">
      <c r="A177" s="6">
        <f>IFERROR(MaterialsBoQ[[#This Row],[Scope Element]],0)</f>
        <v>0</v>
      </c>
      <c r="B177">
        <f>IFERROR(MaterialsBoQ[[#This Row],[Material ]],"")</f>
        <v>0</v>
      </c>
      <c r="C177">
        <f>IFERROR(MaterialsBoQ[[#This Row],[Unit]],"")</f>
        <v>0</v>
      </c>
      <c r="D177" s="322">
        <f>IFERROR(MaterialsBoQ[[#This Row],[Number]],0)</f>
        <v>0</v>
      </c>
      <c r="E177" s="322">
        <f>IFERROR(MaterialsBoQ[[#This Row],[Kg per unit]],0)</f>
        <v>0</v>
      </c>
      <c r="F177" s="322">
        <f>IFERROR(Calculations[[#This Row],[Number]]*Calculations[[#This Row],[Conversion factor]],0)</f>
        <v>0</v>
      </c>
      <c r="G177" s="322">
        <f>IFERROR(VLOOKUP(Calculations[[#This Row],[Material (choose from dropdown]],MaterialData[#All],7,FALSE),0)</f>
        <v>0</v>
      </c>
      <c r="H177" s="322">
        <f>Calculations[[#This Row],[Total Kg]]*Calculations[[#This Row],[Carbon Factor]]</f>
        <v>0</v>
      </c>
      <c r="I177" t="str">
        <f>IFERROR(VLOOKUP(Calculations[[#This Row],[Material (choose from dropdown]],MaterialData[#All],2,FALSE),"")</f>
        <v/>
      </c>
      <c r="J177" s="322">
        <f>IFERROR(((VLOOKUP(Calculations[[#This Row],[TransportSource]],TransportDistance[],2,FALSE)*'Stage assumptions'!$C$11)+VLOOKUP(Calculations[[#This Row],[TransportSource]],TransportDistance[],3,FALSE)*'Stage assumptions'!$C$12)*Calculations[[#This Row],[Total Kg]],0)</f>
        <v>0</v>
      </c>
      <c r="K177">
        <f>IFERROR(VLOOKUP(Calculations[[#This Row],[Material (choose from dropdown]], MaterialData[#All],3, FALSE),0)</f>
        <v>0</v>
      </c>
      <c r="L177" s="322">
        <f>IFERROR(VLOOKUP(Calculations[[#This Row],[A5type]],A5WastageRate[#All],2,FALSE)*Calculations[[#This Row],[A1-3]],0)</f>
        <v>0</v>
      </c>
      <c r="N177">
        <f>IFERROR(ROUNDUP(50/VLOOKUP(Calculations[[#This Row],[Scope Element]],B4referenceServiceLife[[Tier 2 element]:[Default Service Life]],2, FALSE)-1,0),0)</f>
        <v>0</v>
      </c>
      <c r="O177" s="322">
        <f>IFERROR((Calculations[[#This Row],[A1-3]]+Calculations[[#This Row],[A4]]+Calculations[[#This Row],[A5]]+Calculations[[#This Row],[C2 total]]+Calculations[[#This Row],[C3 total]]+Calculations[[#This Row],[C4 total]])*Calculations[[#This Row],[Replacements]],0)</f>
        <v>0</v>
      </c>
      <c r="S177" t="str">
        <f>IFERROR(VLOOKUP(Calculations[[#This Row],[Material (choose from dropdown]],MaterialData[#All],4,FALSE),"")</f>
        <v/>
      </c>
      <c r="T177" s="322" cm="1">
        <f t="array" ref="T177">IFERROR(VLOOKUP(Calculations[[#This Row],[Waste 1]],WasteScenario[#All],2,FALSE)*'Stage assumptions'!$C$225*WasteTransportMethod[Emissions Factor
kgCO2e/kg.km]*Calculations[[#This Row],[Total Kg]],0)</f>
        <v>0</v>
      </c>
      <c r="U177" s="322" cm="1">
        <f t="array" ref="U177">IFERROR(VLOOKUP(Calculations[[#This Row],[Waste 1]],WasteScenario[#All],3,FALSE)*'Stage assumptions'!$C$224*WasteTransportMethod[Emissions Factor
kgCO2e/kg.km]*Calculations[[#This Row],[Total Kg]],0)</f>
        <v>0</v>
      </c>
      <c r="V177" s="322" cm="1">
        <f t="array" ref="V177">IFERROR(VLOOKUP(Calculations[[#This Row],[Waste 1]],WasteScenario[#All],4,FALSE)*'Stage assumptions'!$C$223*WasteTransportMethod[Emissions Factor
kgCO2e/kg.km]*Calculations[[#This Row],[Total Kg]],0)</f>
        <v>0</v>
      </c>
      <c r="W177" s="322" cm="1">
        <f t="array" ref="W177">IFERROR(VLOOKUP(Calculations[[#This Row],[Waste 1]],WasteScenario[#All],5,FALSE)*'Stage assumptions'!$C$226*WasteTransportMethod[Emissions Factor
kgCO2e/kg.km]*Calculations[[#This Row],[Total Kg]],0)</f>
        <v>0</v>
      </c>
      <c r="X177" s="322">
        <f>SUM(Calculations[[#This Row],[C2 Recycle]:[C2 Reuse]])</f>
        <v>0</v>
      </c>
      <c r="Y177" t="str">
        <f>IFERROR(VLOOKUP(Calculations[[#This Row],[Material (choose from dropdown]],MaterialData[#All],5,FALSE),"")</f>
        <v/>
      </c>
      <c r="Z177" s="322">
        <f>IFERROR(((VLOOKUP(Calculations[[#This Row],[Waste type 2]],WasteDisposalEmissions[#All],2,FALSE))*Calculations[[#This Row],[Total Kg]])*VLOOKUP(Calculations[[#This Row],[Waste 1]],WasteScenario[#All],2,FALSE),0)</f>
        <v>0</v>
      </c>
      <c r="AA177" s="322">
        <f>IFERROR((VLOOKUP(Calculations[[#This Row],[Waste type 2]],WasteDisposalEmissions[#All],3,FALSE))*Calculations[[#This Row],[Total Kg]]*VLOOKUP(Calculations[[#This Row],[Waste 1]],WasteScenario[#All],3,FALSE),0)</f>
        <v>0</v>
      </c>
      <c r="AB177" s="322">
        <f>SUM(Calculations[[#This Row],[C3 recyc]:[C3 incin]])</f>
        <v>0</v>
      </c>
      <c r="AC177" s="322">
        <f>IFERROR((VLOOKUP(Calculations[[#This Row],[Waste type 2]],WasteLandfillEmissions[#All],2,FALSE))*Calculations[[#This Row],[Total Kg]]*VLOOKUP(Calculations[[#This Row],[Waste 1]],WasteScenario[#All],4,FALSE),0)</f>
        <v>0</v>
      </c>
      <c r="AD177" s="322">
        <f>IFERROR((VLOOKUP(Calculations[[#This Row],[Waste type 2]],WasteLandfillEmissions[#All],3,FALSE))*Calculations[[#This Row],[Total Kg]]*VLOOKUP(Calculations[[#This Row],[Waste 1]],WasteScenario[#All],4,FALSE),0)</f>
        <v>0</v>
      </c>
      <c r="AE177" s="322">
        <f>SUM(Calculations[[#This Row],[C4 landfill]:[C4 re-use]])</f>
        <v>0</v>
      </c>
      <c r="AF177" s="322">
        <f>IFERROR(VLOOKUP(Calculations[[#This Row],[Material (choose from dropdown]],MaterialData[#All],8,FALSE),0)</f>
        <v>0</v>
      </c>
      <c r="AG177" s="322">
        <f>IFERROR(Calculations[[#This Row],[Total Kg]]*Calculations[[#This Row],[Seq factor]],0)</f>
        <v>0</v>
      </c>
      <c r="AI177" s="322">
        <f>Calculations[[#This Row],[A1-3]]+Calculations[[#This Row],[A4]]+Calculations[[#This Row],[A5]]+Calculations[[#This Row],[B4]]+Calculations[[#This Row],[C2 total]]+Calculations[[#This Row],[C3 total]]+Calculations[[#This Row],[C4 total]]</f>
        <v>0</v>
      </c>
      <c r="AJ177" s="2">
        <f>IFERROR(VLOOKUP(Calculations[[#This Row],[Material (choose from dropdown]],MaterialData[[#Headers],[#Data]],9,FALSE),0)</f>
        <v>0</v>
      </c>
      <c r="AK177" s="4">
        <f>IFERROR(VLOOKUP(Calculations[[#This Row],[Material (choose from dropdown]],MaterialData[[#Headers],[#Data]],10,FALSE),0)</f>
        <v>0</v>
      </c>
      <c r="AL177" s="322">
        <f>IFERROR(Calculations[[#This Row],[Data Quality Score]]*Calculations[[#This Row],[Total Kg]],0)</f>
        <v>0</v>
      </c>
    </row>
    <row r="178" spans="1:38" x14ac:dyDescent="0.3">
      <c r="A178" s="6">
        <f>IFERROR(MaterialsBoQ[[#This Row],[Scope Element]],0)</f>
        <v>0</v>
      </c>
      <c r="B178">
        <f>IFERROR(MaterialsBoQ[[#This Row],[Material ]],"")</f>
        <v>0</v>
      </c>
      <c r="C178">
        <f>IFERROR(MaterialsBoQ[[#This Row],[Unit]],"")</f>
        <v>0</v>
      </c>
      <c r="D178" s="322">
        <f>IFERROR(MaterialsBoQ[[#This Row],[Number]],0)</f>
        <v>0</v>
      </c>
      <c r="E178" s="322">
        <f>IFERROR(MaterialsBoQ[[#This Row],[Kg per unit]],0)</f>
        <v>0</v>
      </c>
      <c r="F178" s="322">
        <f>IFERROR(Calculations[[#This Row],[Number]]*Calculations[[#This Row],[Conversion factor]],0)</f>
        <v>0</v>
      </c>
      <c r="G178" s="322">
        <f>IFERROR(VLOOKUP(Calculations[[#This Row],[Material (choose from dropdown]],MaterialData[#All],7,FALSE),0)</f>
        <v>0</v>
      </c>
      <c r="H178" s="322">
        <f>Calculations[[#This Row],[Total Kg]]*Calculations[[#This Row],[Carbon Factor]]</f>
        <v>0</v>
      </c>
      <c r="I178" t="str">
        <f>IFERROR(VLOOKUP(Calculations[[#This Row],[Material (choose from dropdown]],MaterialData[#All],2,FALSE),"")</f>
        <v/>
      </c>
      <c r="J178" s="322">
        <f>IFERROR(((VLOOKUP(Calculations[[#This Row],[TransportSource]],TransportDistance[],2,FALSE)*'Stage assumptions'!$C$11)+VLOOKUP(Calculations[[#This Row],[TransportSource]],TransportDistance[],3,FALSE)*'Stage assumptions'!$C$12)*Calculations[[#This Row],[Total Kg]],0)</f>
        <v>0</v>
      </c>
      <c r="K178">
        <f>IFERROR(VLOOKUP(Calculations[[#This Row],[Material (choose from dropdown]], MaterialData[#All],3, FALSE),0)</f>
        <v>0</v>
      </c>
      <c r="L178" s="322">
        <f>IFERROR(VLOOKUP(Calculations[[#This Row],[A5type]],A5WastageRate[#All],2,FALSE)*Calculations[[#This Row],[A1-3]],0)</f>
        <v>0</v>
      </c>
      <c r="N178">
        <f>IFERROR(ROUNDUP(50/VLOOKUP(Calculations[[#This Row],[Scope Element]],B4referenceServiceLife[[Tier 2 element]:[Default Service Life]],2, FALSE)-1,0),0)</f>
        <v>0</v>
      </c>
      <c r="O178" s="322">
        <f>IFERROR((Calculations[[#This Row],[A1-3]]+Calculations[[#This Row],[A4]]+Calculations[[#This Row],[A5]]+Calculations[[#This Row],[C2 total]]+Calculations[[#This Row],[C3 total]]+Calculations[[#This Row],[C4 total]])*Calculations[[#This Row],[Replacements]],0)</f>
        <v>0</v>
      </c>
      <c r="S178" t="str">
        <f>IFERROR(VLOOKUP(Calculations[[#This Row],[Material (choose from dropdown]],MaterialData[#All],4,FALSE),"")</f>
        <v/>
      </c>
      <c r="T178" s="322" cm="1">
        <f t="array" ref="T178">IFERROR(VLOOKUP(Calculations[[#This Row],[Waste 1]],WasteScenario[#All],2,FALSE)*'Stage assumptions'!$C$225*WasteTransportMethod[Emissions Factor
kgCO2e/kg.km]*Calculations[[#This Row],[Total Kg]],0)</f>
        <v>0</v>
      </c>
      <c r="U178" s="322" cm="1">
        <f t="array" ref="U178">IFERROR(VLOOKUP(Calculations[[#This Row],[Waste 1]],WasteScenario[#All],3,FALSE)*'Stage assumptions'!$C$224*WasteTransportMethod[Emissions Factor
kgCO2e/kg.km]*Calculations[[#This Row],[Total Kg]],0)</f>
        <v>0</v>
      </c>
      <c r="V178" s="322" cm="1">
        <f t="array" ref="V178">IFERROR(VLOOKUP(Calculations[[#This Row],[Waste 1]],WasteScenario[#All],4,FALSE)*'Stage assumptions'!$C$223*WasteTransportMethod[Emissions Factor
kgCO2e/kg.km]*Calculations[[#This Row],[Total Kg]],0)</f>
        <v>0</v>
      </c>
      <c r="W178" s="322" cm="1">
        <f t="array" ref="W178">IFERROR(VLOOKUP(Calculations[[#This Row],[Waste 1]],WasteScenario[#All],5,FALSE)*'Stage assumptions'!$C$226*WasteTransportMethod[Emissions Factor
kgCO2e/kg.km]*Calculations[[#This Row],[Total Kg]],0)</f>
        <v>0</v>
      </c>
      <c r="X178" s="322">
        <f>SUM(Calculations[[#This Row],[C2 Recycle]:[C2 Reuse]])</f>
        <v>0</v>
      </c>
      <c r="Y178" t="str">
        <f>IFERROR(VLOOKUP(Calculations[[#This Row],[Material (choose from dropdown]],MaterialData[#All],5,FALSE),"")</f>
        <v/>
      </c>
      <c r="Z178" s="322">
        <f>IFERROR(((VLOOKUP(Calculations[[#This Row],[Waste type 2]],WasteDisposalEmissions[#All],2,FALSE))*Calculations[[#This Row],[Total Kg]])*VLOOKUP(Calculations[[#This Row],[Waste 1]],WasteScenario[#All],2,FALSE),0)</f>
        <v>0</v>
      </c>
      <c r="AA178" s="322">
        <f>IFERROR((VLOOKUP(Calculations[[#This Row],[Waste type 2]],WasteDisposalEmissions[#All],3,FALSE))*Calculations[[#This Row],[Total Kg]]*VLOOKUP(Calculations[[#This Row],[Waste 1]],WasteScenario[#All],3,FALSE),0)</f>
        <v>0</v>
      </c>
      <c r="AB178" s="322">
        <f>SUM(Calculations[[#This Row],[C3 recyc]:[C3 incin]])</f>
        <v>0</v>
      </c>
      <c r="AC178" s="322">
        <f>IFERROR((VLOOKUP(Calculations[[#This Row],[Waste type 2]],WasteLandfillEmissions[#All],2,FALSE))*Calculations[[#This Row],[Total Kg]]*VLOOKUP(Calculations[[#This Row],[Waste 1]],WasteScenario[#All],4,FALSE),0)</f>
        <v>0</v>
      </c>
      <c r="AD178" s="322">
        <f>IFERROR((VLOOKUP(Calculations[[#This Row],[Waste type 2]],WasteLandfillEmissions[#All],3,FALSE))*Calculations[[#This Row],[Total Kg]]*VLOOKUP(Calculations[[#This Row],[Waste 1]],WasteScenario[#All],4,FALSE),0)</f>
        <v>0</v>
      </c>
      <c r="AE178" s="322">
        <f>SUM(Calculations[[#This Row],[C4 landfill]:[C4 re-use]])</f>
        <v>0</v>
      </c>
      <c r="AF178" s="322">
        <f>IFERROR(VLOOKUP(Calculations[[#This Row],[Material (choose from dropdown]],MaterialData[#All],8,FALSE),0)</f>
        <v>0</v>
      </c>
      <c r="AG178" s="322">
        <f>IFERROR(Calculations[[#This Row],[Total Kg]]*Calculations[[#This Row],[Seq factor]],0)</f>
        <v>0</v>
      </c>
      <c r="AI178" s="322">
        <f>Calculations[[#This Row],[A1-3]]+Calculations[[#This Row],[A4]]+Calculations[[#This Row],[A5]]+Calculations[[#This Row],[B4]]+Calculations[[#This Row],[C2 total]]+Calculations[[#This Row],[C3 total]]+Calculations[[#This Row],[C4 total]]</f>
        <v>0</v>
      </c>
      <c r="AJ178" s="2">
        <f>IFERROR(VLOOKUP(Calculations[[#This Row],[Material (choose from dropdown]],MaterialData[[#Headers],[#Data]],9,FALSE),0)</f>
        <v>0</v>
      </c>
      <c r="AK178" s="4">
        <f>IFERROR(VLOOKUP(Calculations[[#This Row],[Material (choose from dropdown]],MaterialData[[#Headers],[#Data]],10,FALSE),0)</f>
        <v>0</v>
      </c>
      <c r="AL178" s="322">
        <f>IFERROR(Calculations[[#This Row],[Data Quality Score]]*Calculations[[#This Row],[Total Kg]],0)</f>
        <v>0</v>
      </c>
    </row>
    <row r="179" spans="1:38" x14ac:dyDescent="0.3">
      <c r="A179" s="6">
        <f>IFERROR(MaterialsBoQ[[#This Row],[Scope Element]],0)</f>
        <v>0</v>
      </c>
      <c r="B179">
        <f>IFERROR(MaterialsBoQ[[#This Row],[Material ]],"")</f>
        <v>0</v>
      </c>
      <c r="C179">
        <f>IFERROR(MaterialsBoQ[[#This Row],[Unit]],"")</f>
        <v>0</v>
      </c>
      <c r="D179" s="322">
        <f>IFERROR(MaterialsBoQ[[#This Row],[Number]],0)</f>
        <v>0</v>
      </c>
      <c r="E179" s="322">
        <f>IFERROR(MaterialsBoQ[[#This Row],[Kg per unit]],0)</f>
        <v>0</v>
      </c>
      <c r="F179" s="322">
        <f>IFERROR(Calculations[[#This Row],[Number]]*Calculations[[#This Row],[Conversion factor]],0)</f>
        <v>0</v>
      </c>
      <c r="G179" s="322">
        <f>IFERROR(VLOOKUP(Calculations[[#This Row],[Material (choose from dropdown]],MaterialData[#All],7,FALSE),0)</f>
        <v>0</v>
      </c>
      <c r="H179" s="322">
        <f>Calculations[[#This Row],[Total Kg]]*Calculations[[#This Row],[Carbon Factor]]</f>
        <v>0</v>
      </c>
      <c r="I179" t="str">
        <f>IFERROR(VLOOKUP(Calculations[[#This Row],[Material (choose from dropdown]],MaterialData[#All],2,FALSE),"")</f>
        <v/>
      </c>
      <c r="J179" s="322">
        <f>IFERROR(((VLOOKUP(Calculations[[#This Row],[TransportSource]],TransportDistance[],2,FALSE)*'Stage assumptions'!$C$11)+VLOOKUP(Calculations[[#This Row],[TransportSource]],TransportDistance[],3,FALSE)*'Stage assumptions'!$C$12)*Calculations[[#This Row],[Total Kg]],0)</f>
        <v>0</v>
      </c>
      <c r="K179">
        <f>IFERROR(VLOOKUP(Calculations[[#This Row],[Material (choose from dropdown]], MaterialData[#All],3, FALSE),0)</f>
        <v>0</v>
      </c>
      <c r="L179" s="322">
        <f>IFERROR(VLOOKUP(Calculations[[#This Row],[A5type]],A5WastageRate[#All],2,FALSE)*Calculations[[#This Row],[A1-3]],0)</f>
        <v>0</v>
      </c>
      <c r="N179">
        <f>IFERROR(ROUNDUP(50/VLOOKUP(Calculations[[#This Row],[Scope Element]],B4referenceServiceLife[[Tier 2 element]:[Default Service Life]],2, FALSE)-1,0),0)</f>
        <v>0</v>
      </c>
      <c r="O179" s="322">
        <f>IFERROR((Calculations[[#This Row],[A1-3]]+Calculations[[#This Row],[A4]]+Calculations[[#This Row],[A5]]+Calculations[[#This Row],[C2 total]]+Calculations[[#This Row],[C3 total]]+Calculations[[#This Row],[C4 total]])*Calculations[[#This Row],[Replacements]],0)</f>
        <v>0</v>
      </c>
      <c r="S179" t="str">
        <f>IFERROR(VLOOKUP(Calculations[[#This Row],[Material (choose from dropdown]],MaterialData[#All],4,FALSE),"")</f>
        <v/>
      </c>
      <c r="T179" s="322" cm="1">
        <f t="array" ref="T179">IFERROR(VLOOKUP(Calculations[[#This Row],[Waste 1]],WasteScenario[#All],2,FALSE)*'Stage assumptions'!$C$225*WasteTransportMethod[Emissions Factor
kgCO2e/kg.km]*Calculations[[#This Row],[Total Kg]],0)</f>
        <v>0</v>
      </c>
      <c r="U179" s="322" cm="1">
        <f t="array" ref="U179">IFERROR(VLOOKUP(Calculations[[#This Row],[Waste 1]],WasteScenario[#All],3,FALSE)*'Stage assumptions'!$C$224*WasteTransportMethod[Emissions Factor
kgCO2e/kg.km]*Calculations[[#This Row],[Total Kg]],0)</f>
        <v>0</v>
      </c>
      <c r="V179" s="322" cm="1">
        <f t="array" ref="V179">IFERROR(VLOOKUP(Calculations[[#This Row],[Waste 1]],WasteScenario[#All],4,FALSE)*'Stage assumptions'!$C$223*WasteTransportMethod[Emissions Factor
kgCO2e/kg.km]*Calculations[[#This Row],[Total Kg]],0)</f>
        <v>0</v>
      </c>
      <c r="W179" s="322" cm="1">
        <f t="array" ref="W179">IFERROR(VLOOKUP(Calculations[[#This Row],[Waste 1]],WasteScenario[#All],5,FALSE)*'Stage assumptions'!$C$226*WasteTransportMethod[Emissions Factor
kgCO2e/kg.km]*Calculations[[#This Row],[Total Kg]],0)</f>
        <v>0</v>
      </c>
      <c r="X179" s="322">
        <f>SUM(Calculations[[#This Row],[C2 Recycle]:[C2 Reuse]])</f>
        <v>0</v>
      </c>
      <c r="Y179" t="str">
        <f>IFERROR(VLOOKUP(Calculations[[#This Row],[Material (choose from dropdown]],MaterialData[#All],5,FALSE),"")</f>
        <v/>
      </c>
      <c r="Z179" s="322">
        <f>IFERROR(((VLOOKUP(Calculations[[#This Row],[Waste type 2]],WasteDisposalEmissions[#All],2,FALSE))*Calculations[[#This Row],[Total Kg]])*VLOOKUP(Calculations[[#This Row],[Waste 1]],WasteScenario[#All],2,FALSE),0)</f>
        <v>0</v>
      </c>
      <c r="AA179" s="322">
        <f>IFERROR((VLOOKUP(Calculations[[#This Row],[Waste type 2]],WasteDisposalEmissions[#All],3,FALSE))*Calculations[[#This Row],[Total Kg]]*VLOOKUP(Calculations[[#This Row],[Waste 1]],WasteScenario[#All],3,FALSE),0)</f>
        <v>0</v>
      </c>
      <c r="AB179" s="322">
        <f>SUM(Calculations[[#This Row],[C3 recyc]:[C3 incin]])</f>
        <v>0</v>
      </c>
      <c r="AC179" s="322">
        <f>IFERROR((VLOOKUP(Calculations[[#This Row],[Waste type 2]],WasteLandfillEmissions[#All],2,FALSE))*Calculations[[#This Row],[Total Kg]]*VLOOKUP(Calculations[[#This Row],[Waste 1]],WasteScenario[#All],4,FALSE),0)</f>
        <v>0</v>
      </c>
      <c r="AD179" s="322">
        <f>IFERROR((VLOOKUP(Calculations[[#This Row],[Waste type 2]],WasteLandfillEmissions[#All],3,FALSE))*Calculations[[#This Row],[Total Kg]]*VLOOKUP(Calculations[[#This Row],[Waste 1]],WasteScenario[#All],4,FALSE),0)</f>
        <v>0</v>
      </c>
      <c r="AE179" s="322">
        <f>SUM(Calculations[[#This Row],[C4 landfill]:[C4 re-use]])</f>
        <v>0</v>
      </c>
      <c r="AF179" s="322">
        <f>IFERROR(VLOOKUP(Calculations[[#This Row],[Material (choose from dropdown]],MaterialData[#All],8,FALSE),0)</f>
        <v>0</v>
      </c>
      <c r="AG179" s="322">
        <f>IFERROR(Calculations[[#This Row],[Total Kg]]*Calculations[[#This Row],[Seq factor]],0)</f>
        <v>0</v>
      </c>
      <c r="AI179" s="322">
        <f>Calculations[[#This Row],[A1-3]]+Calculations[[#This Row],[A4]]+Calculations[[#This Row],[A5]]+Calculations[[#This Row],[B4]]+Calculations[[#This Row],[C2 total]]+Calculations[[#This Row],[C3 total]]+Calculations[[#This Row],[C4 total]]</f>
        <v>0</v>
      </c>
      <c r="AJ179" s="2">
        <f>IFERROR(VLOOKUP(Calculations[[#This Row],[Material (choose from dropdown]],MaterialData[[#Headers],[#Data]],9,FALSE),0)</f>
        <v>0</v>
      </c>
      <c r="AK179" s="4">
        <f>IFERROR(VLOOKUP(Calculations[[#This Row],[Material (choose from dropdown]],MaterialData[[#Headers],[#Data]],10,FALSE),0)</f>
        <v>0</v>
      </c>
      <c r="AL179" s="322">
        <f>IFERROR(Calculations[[#This Row],[Data Quality Score]]*Calculations[[#This Row],[Total Kg]],0)</f>
        <v>0</v>
      </c>
    </row>
    <row r="180" spans="1:38" x14ac:dyDescent="0.3">
      <c r="A180" s="6">
        <f>IFERROR(MaterialsBoQ[[#This Row],[Scope Element]],0)</f>
        <v>0</v>
      </c>
      <c r="B180">
        <f>IFERROR(MaterialsBoQ[[#This Row],[Material ]],"")</f>
        <v>0</v>
      </c>
      <c r="C180">
        <f>IFERROR(MaterialsBoQ[[#This Row],[Unit]],"")</f>
        <v>0</v>
      </c>
      <c r="D180" s="322">
        <f>IFERROR(MaterialsBoQ[[#This Row],[Number]],0)</f>
        <v>0</v>
      </c>
      <c r="E180" s="322">
        <f>IFERROR(MaterialsBoQ[[#This Row],[Kg per unit]],0)</f>
        <v>0</v>
      </c>
      <c r="F180" s="322">
        <f>IFERROR(Calculations[[#This Row],[Number]]*Calculations[[#This Row],[Conversion factor]],0)</f>
        <v>0</v>
      </c>
      <c r="G180" s="322">
        <f>IFERROR(VLOOKUP(Calculations[[#This Row],[Material (choose from dropdown]],MaterialData[#All],7,FALSE),0)</f>
        <v>0</v>
      </c>
      <c r="H180" s="322">
        <f>Calculations[[#This Row],[Total Kg]]*Calculations[[#This Row],[Carbon Factor]]</f>
        <v>0</v>
      </c>
      <c r="I180" t="str">
        <f>IFERROR(VLOOKUP(Calculations[[#This Row],[Material (choose from dropdown]],MaterialData[#All],2,FALSE),"")</f>
        <v/>
      </c>
      <c r="J180" s="322">
        <f>IFERROR(((VLOOKUP(Calculations[[#This Row],[TransportSource]],TransportDistance[],2,FALSE)*'Stage assumptions'!$C$11)+VLOOKUP(Calculations[[#This Row],[TransportSource]],TransportDistance[],3,FALSE)*'Stage assumptions'!$C$12)*Calculations[[#This Row],[Total Kg]],0)</f>
        <v>0</v>
      </c>
      <c r="K180">
        <f>IFERROR(VLOOKUP(Calculations[[#This Row],[Material (choose from dropdown]], MaterialData[#All],3, FALSE),0)</f>
        <v>0</v>
      </c>
      <c r="L180" s="322">
        <f>IFERROR(VLOOKUP(Calculations[[#This Row],[A5type]],A5WastageRate[#All],2,FALSE)*Calculations[[#This Row],[A1-3]],0)</f>
        <v>0</v>
      </c>
      <c r="N180">
        <f>IFERROR(ROUNDUP(50/VLOOKUP(Calculations[[#This Row],[Scope Element]],B4referenceServiceLife[[Tier 2 element]:[Default Service Life]],2, FALSE)-1,0),0)</f>
        <v>0</v>
      </c>
      <c r="O180" s="322">
        <f>IFERROR((Calculations[[#This Row],[A1-3]]+Calculations[[#This Row],[A4]]+Calculations[[#This Row],[A5]]+Calculations[[#This Row],[C2 total]]+Calculations[[#This Row],[C3 total]]+Calculations[[#This Row],[C4 total]])*Calculations[[#This Row],[Replacements]],0)</f>
        <v>0</v>
      </c>
      <c r="S180" t="str">
        <f>IFERROR(VLOOKUP(Calculations[[#This Row],[Material (choose from dropdown]],MaterialData[#All],4,FALSE),"")</f>
        <v/>
      </c>
      <c r="T180" s="322" cm="1">
        <f t="array" ref="T180">IFERROR(VLOOKUP(Calculations[[#This Row],[Waste 1]],WasteScenario[#All],2,FALSE)*'Stage assumptions'!$C$225*WasteTransportMethod[Emissions Factor
kgCO2e/kg.km]*Calculations[[#This Row],[Total Kg]],0)</f>
        <v>0</v>
      </c>
      <c r="U180" s="322" cm="1">
        <f t="array" ref="U180">IFERROR(VLOOKUP(Calculations[[#This Row],[Waste 1]],WasteScenario[#All],3,FALSE)*'Stage assumptions'!$C$224*WasteTransportMethod[Emissions Factor
kgCO2e/kg.km]*Calculations[[#This Row],[Total Kg]],0)</f>
        <v>0</v>
      </c>
      <c r="V180" s="322" cm="1">
        <f t="array" ref="V180">IFERROR(VLOOKUP(Calculations[[#This Row],[Waste 1]],WasteScenario[#All],4,FALSE)*'Stage assumptions'!$C$223*WasteTransportMethod[Emissions Factor
kgCO2e/kg.km]*Calculations[[#This Row],[Total Kg]],0)</f>
        <v>0</v>
      </c>
      <c r="W180" s="322" cm="1">
        <f t="array" ref="W180">IFERROR(VLOOKUP(Calculations[[#This Row],[Waste 1]],WasteScenario[#All],5,FALSE)*'Stage assumptions'!$C$226*WasteTransportMethod[Emissions Factor
kgCO2e/kg.km]*Calculations[[#This Row],[Total Kg]],0)</f>
        <v>0</v>
      </c>
      <c r="X180" s="322">
        <f>SUM(Calculations[[#This Row],[C2 Recycle]:[C2 Reuse]])</f>
        <v>0</v>
      </c>
      <c r="Y180" t="str">
        <f>IFERROR(VLOOKUP(Calculations[[#This Row],[Material (choose from dropdown]],MaterialData[#All],5,FALSE),"")</f>
        <v/>
      </c>
      <c r="Z180" s="322">
        <f>IFERROR(((VLOOKUP(Calculations[[#This Row],[Waste type 2]],WasteDisposalEmissions[#All],2,FALSE))*Calculations[[#This Row],[Total Kg]])*VLOOKUP(Calculations[[#This Row],[Waste 1]],WasteScenario[#All],2,FALSE),0)</f>
        <v>0</v>
      </c>
      <c r="AA180" s="322">
        <f>IFERROR((VLOOKUP(Calculations[[#This Row],[Waste type 2]],WasteDisposalEmissions[#All],3,FALSE))*Calculations[[#This Row],[Total Kg]]*VLOOKUP(Calculations[[#This Row],[Waste 1]],WasteScenario[#All],3,FALSE),0)</f>
        <v>0</v>
      </c>
      <c r="AB180" s="322">
        <f>SUM(Calculations[[#This Row],[C3 recyc]:[C3 incin]])</f>
        <v>0</v>
      </c>
      <c r="AC180" s="322">
        <f>IFERROR((VLOOKUP(Calculations[[#This Row],[Waste type 2]],WasteLandfillEmissions[#All],2,FALSE))*Calculations[[#This Row],[Total Kg]]*VLOOKUP(Calculations[[#This Row],[Waste 1]],WasteScenario[#All],4,FALSE),0)</f>
        <v>0</v>
      </c>
      <c r="AD180" s="322">
        <f>IFERROR((VLOOKUP(Calculations[[#This Row],[Waste type 2]],WasteLandfillEmissions[#All],3,FALSE))*Calculations[[#This Row],[Total Kg]]*VLOOKUP(Calculations[[#This Row],[Waste 1]],WasteScenario[#All],4,FALSE),0)</f>
        <v>0</v>
      </c>
      <c r="AE180" s="322">
        <f>SUM(Calculations[[#This Row],[C4 landfill]:[C4 re-use]])</f>
        <v>0</v>
      </c>
      <c r="AF180" s="322">
        <f>IFERROR(VLOOKUP(Calculations[[#This Row],[Material (choose from dropdown]],MaterialData[#All],8,FALSE),0)</f>
        <v>0</v>
      </c>
      <c r="AG180" s="322">
        <f>IFERROR(Calculations[[#This Row],[Total Kg]]*Calculations[[#This Row],[Seq factor]],0)</f>
        <v>0</v>
      </c>
      <c r="AI180" s="322">
        <f>Calculations[[#This Row],[A1-3]]+Calculations[[#This Row],[A4]]+Calculations[[#This Row],[A5]]+Calculations[[#This Row],[B4]]+Calculations[[#This Row],[C2 total]]+Calculations[[#This Row],[C3 total]]+Calculations[[#This Row],[C4 total]]</f>
        <v>0</v>
      </c>
      <c r="AJ180" s="2">
        <f>IFERROR(VLOOKUP(Calculations[[#This Row],[Material (choose from dropdown]],MaterialData[[#Headers],[#Data]],9,FALSE),0)</f>
        <v>0</v>
      </c>
      <c r="AK180" s="4">
        <f>IFERROR(VLOOKUP(Calculations[[#This Row],[Material (choose from dropdown]],MaterialData[[#Headers],[#Data]],10,FALSE),0)</f>
        <v>0</v>
      </c>
      <c r="AL180" s="322">
        <f>IFERROR(Calculations[[#This Row],[Data Quality Score]]*Calculations[[#This Row],[Total Kg]],0)</f>
        <v>0</v>
      </c>
    </row>
    <row r="181" spans="1:38" x14ac:dyDescent="0.3">
      <c r="A181" s="6">
        <f>IFERROR(MaterialsBoQ[[#This Row],[Scope Element]],0)</f>
        <v>0</v>
      </c>
      <c r="B181">
        <f>IFERROR(MaterialsBoQ[[#This Row],[Material ]],"")</f>
        <v>0</v>
      </c>
      <c r="C181">
        <f>IFERROR(MaterialsBoQ[[#This Row],[Unit]],"")</f>
        <v>0</v>
      </c>
      <c r="D181" s="322">
        <f>IFERROR(MaterialsBoQ[[#This Row],[Number]],0)</f>
        <v>0</v>
      </c>
      <c r="E181" s="322">
        <f>IFERROR(MaterialsBoQ[[#This Row],[Kg per unit]],0)</f>
        <v>0</v>
      </c>
      <c r="F181" s="322">
        <f>IFERROR(Calculations[[#This Row],[Number]]*Calculations[[#This Row],[Conversion factor]],0)</f>
        <v>0</v>
      </c>
      <c r="G181" s="322">
        <f>IFERROR(VLOOKUP(Calculations[[#This Row],[Material (choose from dropdown]],MaterialData[#All],7,FALSE),0)</f>
        <v>0</v>
      </c>
      <c r="H181" s="322">
        <f>Calculations[[#This Row],[Total Kg]]*Calculations[[#This Row],[Carbon Factor]]</f>
        <v>0</v>
      </c>
      <c r="I181" t="str">
        <f>IFERROR(VLOOKUP(Calculations[[#This Row],[Material (choose from dropdown]],MaterialData[#All],2,FALSE),"")</f>
        <v/>
      </c>
      <c r="J181" s="322">
        <f>IFERROR(((VLOOKUP(Calculations[[#This Row],[TransportSource]],TransportDistance[],2,FALSE)*'Stage assumptions'!$C$11)+VLOOKUP(Calculations[[#This Row],[TransportSource]],TransportDistance[],3,FALSE)*'Stage assumptions'!$C$12)*Calculations[[#This Row],[Total Kg]],0)</f>
        <v>0</v>
      </c>
      <c r="K181">
        <f>IFERROR(VLOOKUP(Calculations[[#This Row],[Material (choose from dropdown]], MaterialData[#All],3, FALSE),0)</f>
        <v>0</v>
      </c>
      <c r="L181" s="322">
        <f>IFERROR(VLOOKUP(Calculations[[#This Row],[A5type]],A5WastageRate[#All],2,FALSE)*Calculations[[#This Row],[A1-3]],0)</f>
        <v>0</v>
      </c>
      <c r="N181">
        <f>IFERROR(ROUNDUP(50/VLOOKUP(Calculations[[#This Row],[Scope Element]],B4referenceServiceLife[[Tier 2 element]:[Default Service Life]],2, FALSE)-1,0),0)</f>
        <v>0</v>
      </c>
      <c r="O181" s="322">
        <f>IFERROR((Calculations[[#This Row],[A1-3]]+Calculations[[#This Row],[A4]]+Calculations[[#This Row],[A5]]+Calculations[[#This Row],[C2 total]]+Calculations[[#This Row],[C3 total]]+Calculations[[#This Row],[C4 total]])*Calculations[[#This Row],[Replacements]],0)</f>
        <v>0</v>
      </c>
      <c r="S181" t="str">
        <f>IFERROR(VLOOKUP(Calculations[[#This Row],[Material (choose from dropdown]],MaterialData[#All],4,FALSE),"")</f>
        <v/>
      </c>
      <c r="T181" s="322" cm="1">
        <f t="array" ref="T181">IFERROR(VLOOKUP(Calculations[[#This Row],[Waste 1]],WasteScenario[#All],2,FALSE)*'Stage assumptions'!$C$225*WasteTransportMethod[Emissions Factor
kgCO2e/kg.km]*Calculations[[#This Row],[Total Kg]],0)</f>
        <v>0</v>
      </c>
      <c r="U181" s="322" cm="1">
        <f t="array" ref="U181">IFERROR(VLOOKUP(Calculations[[#This Row],[Waste 1]],WasteScenario[#All],3,FALSE)*'Stage assumptions'!$C$224*WasteTransportMethod[Emissions Factor
kgCO2e/kg.km]*Calculations[[#This Row],[Total Kg]],0)</f>
        <v>0</v>
      </c>
      <c r="V181" s="322" cm="1">
        <f t="array" ref="V181">IFERROR(VLOOKUP(Calculations[[#This Row],[Waste 1]],WasteScenario[#All],4,FALSE)*'Stage assumptions'!$C$223*WasteTransportMethod[Emissions Factor
kgCO2e/kg.km]*Calculations[[#This Row],[Total Kg]],0)</f>
        <v>0</v>
      </c>
      <c r="W181" s="322" cm="1">
        <f t="array" ref="W181">IFERROR(VLOOKUP(Calculations[[#This Row],[Waste 1]],WasteScenario[#All],5,FALSE)*'Stage assumptions'!$C$226*WasteTransportMethod[Emissions Factor
kgCO2e/kg.km]*Calculations[[#This Row],[Total Kg]],0)</f>
        <v>0</v>
      </c>
      <c r="X181" s="322">
        <f>SUM(Calculations[[#This Row],[C2 Recycle]:[C2 Reuse]])</f>
        <v>0</v>
      </c>
      <c r="Y181" t="str">
        <f>IFERROR(VLOOKUP(Calculations[[#This Row],[Material (choose from dropdown]],MaterialData[#All],5,FALSE),"")</f>
        <v/>
      </c>
      <c r="Z181" s="322">
        <f>IFERROR(((VLOOKUP(Calculations[[#This Row],[Waste type 2]],WasteDisposalEmissions[#All],2,FALSE))*Calculations[[#This Row],[Total Kg]])*VLOOKUP(Calculations[[#This Row],[Waste 1]],WasteScenario[#All],2,FALSE),0)</f>
        <v>0</v>
      </c>
      <c r="AA181" s="322">
        <f>IFERROR((VLOOKUP(Calculations[[#This Row],[Waste type 2]],WasteDisposalEmissions[#All],3,FALSE))*Calculations[[#This Row],[Total Kg]]*VLOOKUP(Calculations[[#This Row],[Waste 1]],WasteScenario[#All],3,FALSE),0)</f>
        <v>0</v>
      </c>
      <c r="AB181" s="322">
        <f>SUM(Calculations[[#This Row],[C3 recyc]:[C3 incin]])</f>
        <v>0</v>
      </c>
      <c r="AC181" s="322">
        <f>IFERROR((VLOOKUP(Calculations[[#This Row],[Waste type 2]],WasteLandfillEmissions[#All],2,FALSE))*Calculations[[#This Row],[Total Kg]]*VLOOKUP(Calculations[[#This Row],[Waste 1]],WasteScenario[#All],4,FALSE),0)</f>
        <v>0</v>
      </c>
      <c r="AD181" s="322">
        <f>IFERROR((VLOOKUP(Calculations[[#This Row],[Waste type 2]],WasteLandfillEmissions[#All],3,FALSE))*Calculations[[#This Row],[Total Kg]]*VLOOKUP(Calculations[[#This Row],[Waste 1]],WasteScenario[#All],4,FALSE),0)</f>
        <v>0</v>
      </c>
      <c r="AE181" s="322">
        <f>SUM(Calculations[[#This Row],[C4 landfill]:[C4 re-use]])</f>
        <v>0</v>
      </c>
      <c r="AF181" s="322">
        <f>IFERROR(VLOOKUP(Calculations[[#This Row],[Material (choose from dropdown]],MaterialData[#All],8,FALSE),0)</f>
        <v>0</v>
      </c>
      <c r="AG181" s="322">
        <f>IFERROR(Calculations[[#This Row],[Total Kg]]*Calculations[[#This Row],[Seq factor]],0)</f>
        <v>0</v>
      </c>
      <c r="AI181" s="322">
        <f>Calculations[[#This Row],[A1-3]]+Calculations[[#This Row],[A4]]+Calculations[[#This Row],[A5]]+Calculations[[#This Row],[B4]]+Calculations[[#This Row],[C2 total]]+Calculations[[#This Row],[C3 total]]+Calculations[[#This Row],[C4 total]]</f>
        <v>0</v>
      </c>
      <c r="AJ181" s="2">
        <f>IFERROR(VLOOKUP(Calculations[[#This Row],[Material (choose from dropdown]],MaterialData[[#Headers],[#Data]],9,FALSE),0)</f>
        <v>0</v>
      </c>
      <c r="AK181" s="4">
        <f>IFERROR(VLOOKUP(Calculations[[#This Row],[Material (choose from dropdown]],MaterialData[[#Headers],[#Data]],10,FALSE),0)</f>
        <v>0</v>
      </c>
      <c r="AL181" s="322">
        <f>IFERROR(Calculations[[#This Row],[Data Quality Score]]*Calculations[[#This Row],[Total Kg]],0)</f>
        <v>0</v>
      </c>
    </row>
    <row r="182" spans="1:38" x14ac:dyDescent="0.3">
      <c r="A182" s="6">
        <f>IFERROR(MaterialsBoQ[[#This Row],[Scope Element]],0)</f>
        <v>0</v>
      </c>
      <c r="B182">
        <f>IFERROR(MaterialsBoQ[[#This Row],[Material ]],"")</f>
        <v>0</v>
      </c>
      <c r="C182">
        <f>IFERROR(MaterialsBoQ[[#This Row],[Unit]],"")</f>
        <v>0</v>
      </c>
      <c r="D182" s="322">
        <f>IFERROR(MaterialsBoQ[[#This Row],[Number]],0)</f>
        <v>0</v>
      </c>
      <c r="E182" s="322">
        <f>IFERROR(MaterialsBoQ[[#This Row],[Kg per unit]],0)</f>
        <v>0</v>
      </c>
      <c r="F182" s="322">
        <f>IFERROR(Calculations[[#This Row],[Number]]*Calculations[[#This Row],[Conversion factor]],0)</f>
        <v>0</v>
      </c>
      <c r="G182" s="322">
        <f>IFERROR(VLOOKUP(Calculations[[#This Row],[Material (choose from dropdown]],MaterialData[#All],7,FALSE),0)</f>
        <v>0</v>
      </c>
      <c r="H182" s="322">
        <f>Calculations[[#This Row],[Total Kg]]*Calculations[[#This Row],[Carbon Factor]]</f>
        <v>0</v>
      </c>
      <c r="I182" t="str">
        <f>IFERROR(VLOOKUP(Calculations[[#This Row],[Material (choose from dropdown]],MaterialData[#All],2,FALSE),"")</f>
        <v/>
      </c>
      <c r="J182" s="322">
        <f>IFERROR(((VLOOKUP(Calculations[[#This Row],[TransportSource]],TransportDistance[],2,FALSE)*'Stage assumptions'!$C$11)+VLOOKUP(Calculations[[#This Row],[TransportSource]],TransportDistance[],3,FALSE)*'Stage assumptions'!$C$12)*Calculations[[#This Row],[Total Kg]],0)</f>
        <v>0</v>
      </c>
      <c r="K182">
        <f>IFERROR(VLOOKUP(Calculations[[#This Row],[Material (choose from dropdown]], MaterialData[#All],3, FALSE),0)</f>
        <v>0</v>
      </c>
      <c r="L182" s="322">
        <f>IFERROR(VLOOKUP(Calculations[[#This Row],[A5type]],A5WastageRate[#All],2,FALSE)*Calculations[[#This Row],[A1-3]],0)</f>
        <v>0</v>
      </c>
      <c r="N182">
        <f>IFERROR(ROUNDUP(50/VLOOKUP(Calculations[[#This Row],[Scope Element]],B4referenceServiceLife[[Tier 2 element]:[Default Service Life]],2, FALSE)-1,0),0)</f>
        <v>0</v>
      </c>
      <c r="O182" s="322">
        <f>IFERROR((Calculations[[#This Row],[A1-3]]+Calculations[[#This Row],[A4]]+Calculations[[#This Row],[A5]]+Calculations[[#This Row],[C2 total]]+Calculations[[#This Row],[C3 total]]+Calculations[[#This Row],[C4 total]])*Calculations[[#This Row],[Replacements]],0)</f>
        <v>0</v>
      </c>
      <c r="S182" t="str">
        <f>IFERROR(VLOOKUP(Calculations[[#This Row],[Material (choose from dropdown]],MaterialData[#All],4,FALSE),"")</f>
        <v/>
      </c>
      <c r="T182" s="322" cm="1">
        <f t="array" ref="T182">IFERROR(VLOOKUP(Calculations[[#This Row],[Waste 1]],WasteScenario[#All],2,FALSE)*'Stage assumptions'!$C$225*WasteTransportMethod[Emissions Factor
kgCO2e/kg.km]*Calculations[[#This Row],[Total Kg]],0)</f>
        <v>0</v>
      </c>
      <c r="U182" s="322" cm="1">
        <f t="array" ref="U182">IFERROR(VLOOKUP(Calculations[[#This Row],[Waste 1]],WasteScenario[#All],3,FALSE)*'Stage assumptions'!$C$224*WasteTransportMethod[Emissions Factor
kgCO2e/kg.km]*Calculations[[#This Row],[Total Kg]],0)</f>
        <v>0</v>
      </c>
      <c r="V182" s="322" cm="1">
        <f t="array" ref="V182">IFERROR(VLOOKUP(Calculations[[#This Row],[Waste 1]],WasteScenario[#All],4,FALSE)*'Stage assumptions'!$C$223*WasteTransportMethod[Emissions Factor
kgCO2e/kg.km]*Calculations[[#This Row],[Total Kg]],0)</f>
        <v>0</v>
      </c>
      <c r="W182" s="322" cm="1">
        <f t="array" ref="W182">IFERROR(VLOOKUP(Calculations[[#This Row],[Waste 1]],WasteScenario[#All],5,FALSE)*'Stage assumptions'!$C$226*WasteTransportMethod[Emissions Factor
kgCO2e/kg.km]*Calculations[[#This Row],[Total Kg]],0)</f>
        <v>0</v>
      </c>
      <c r="X182" s="322">
        <f>SUM(Calculations[[#This Row],[C2 Recycle]:[C2 Reuse]])</f>
        <v>0</v>
      </c>
      <c r="Y182" t="str">
        <f>IFERROR(VLOOKUP(Calculations[[#This Row],[Material (choose from dropdown]],MaterialData[#All],5,FALSE),"")</f>
        <v/>
      </c>
      <c r="Z182" s="322">
        <f>IFERROR(((VLOOKUP(Calculations[[#This Row],[Waste type 2]],WasteDisposalEmissions[#All],2,FALSE))*Calculations[[#This Row],[Total Kg]])*VLOOKUP(Calculations[[#This Row],[Waste 1]],WasteScenario[#All],2,FALSE),0)</f>
        <v>0</v>
      </c>
      <c r="AA182" s="322">
        <f>IFERROR((VLOOKUP(Calculations[[#This Row],[Waste type 2]],WasteDisposalEmissions[#All],3,FALSE))*Calculations[[#This Row],[Total Kg]]*VLOOKUP(Calculations[[#This Row],[Waste 1]],WasteScenario[#All],3,FALSE),0)</f>
        <v>0</v>
      </c>
      <c r="AB182" s="322">
        <f>SUM(Calculations[[#This Row],[C3 recyc]:[C3 incin]])</f>
        <v>0</v>
      </c>
      <c r="AC182" s="322">
        <f>IFERROR((VLOOKUP(Calculations[[#This Row],[Waste type 2]],WasteLandfillEmissions[#All],2,FALSE))*Calculations[[#This Row],[Total Kg]]*VLOOKUP(Calculations[[#This Row],[Waste 1]],WasteScenario[#All],4,FALSE),0)</f>
        <v>0</v>
      </c>
      <c r="AD182" s="322">
        <f>IFERROR((VLOOKUP(Calculations[[#This Row],[Waste type 2]],WasteLandfillEmissions[#All],3,FALSE))*Calculations[[#This Row],[Total Kg]]*VLOOKUP(Calculations[[#This Row],[Waste 1]],WasteScenario[#All],4,FALSE),0)</f>
        <v>0</v>
      </c>
      <c r="AE182" s="322">
        <f>SUM(Calculations[[#This Row],[C4 landfill]:[C4 re-use]])</f>
        <v>0</v>
      </c>
      <c r="AF182" s="322">
        <f>IFERROR(VLOOKUP(Calculations[[#This Row],[Material (choose from dropdown]],MaterialData[#All],8,FALSE),0)</f>
        <v>0</v>
      </c>
      <c r="AG182" s="322">
        <f>IFERROR(Calculations[[#This Row],[Total Kg]]*Calculations[[#This Row],[Seq factor]],0)</f>
        <v>0</v>
      </c>
      <c r="AI182" s="322">
        <f>Calculations[[#This Row],[A1-3]]+Calculations[[#This Row],[A4]]+Calculations[[#This Row],[A5]]+Calculations[[#This Row],[B4]]+Calculations[[#This Row],[C2 total]]+Calculations[[#This Row],[C3 total]]+Calculations[[#This Row],[C4 total]]</f>
        <v>0</v>
      </c>
      <c r="AJ182" s="2">
        <f>IFERROR(VLOOKUP(Calculations[[#This Row],[Material (choose from dropdown]],MaterialData[[#Headers],[#Data]],9,FALSE),0)</f>
        <v>0</v>
      </c>
      <c r="AK182" s="4">
        <f>IFERROR(VLOOKUP(Calculations[[#This Row],[Material (choose from dropdown]],MaterialData[[#Headers],[#Data]],10,FALSE),0)</f>
        <v>0</v>
      </c>
      <c r="AL182" s="322">
        <f>IFERROR(Calculations[[#This Row],[Data Quality Score]]*Calculations[[#This Row],[Total Kg]],0)</f>
        <v>0</v>
      </c>
    </row>
    <row r="183" spans="1:38" x14ac:dyDescent="0.3">
      <c r="A183" s="6">
        <f>IFERROR(MaterialsBoQ[[#This Row],[Scope Element]],0)</f>
        <v>0</v>
      </c>
      <c r="B183">
        <f>IFERROR(MaterialsBoQ[[#This Row],[Material ]],"")</f>
        <v>0</v>
      </c>
      <c r="C183">
        <f>IFERROR(MaterialsBoQ[[#This Row],[Unit]],"")</f>
        <v>0</v>
      </c>
      <c r="D183" s="322">
        <f>IFERROR(MaterialsBoQ[[#This Row],[Number]],0)</f>
        <v>0</v>
      </c>
      <c r="E183" s="322">
        <f>IFERROR(MaterialsBoQ[[#This Row],[Kg per unit]],0)</f>
        <v>0</v>
      </c>
      <c r="F183" s="322">
        <f>IFERROR(Calculations[[#This Row],[Number]]*Calculations[[#This Row],[Conversion factor]],0)</f>
        <v>0</v>
      </c>
      <c r="G183" s="322">
        <f>IFERROR(VLOOKUP(Calculations[[#This Row],[Material (choose from dropdown]],MaterialData[#All],7,FALSE),0)</f>
        <v>0</v>
      </c>
      <c r="H183" s="322">
        <f>Calculations[[#This Row],[Total Kg]]*Calculations[[#This Row],[Carbon Factor]]</f>
        <v>0</v>
      </c>
      <c r="I183" t="str">
        <f>IFERROR(VLOOKUP(Calculations[[#This Row],[Material (choose from dropdown]],MaterialData[#All],2,FALSE),"")</f>
        <v/>
      </c>
      <c r="J183" s="322">
        <f>IFERROR(((VLOOKUP(Calculations[[#This Row],[TransportSource]],TransportDistance[],2,FALSE)*'Stage assumptions'!$C$11)+VLOOKUP(Calculations[[#This Row],[TransportSource]],TransportDistance[],3,FALSE)*'Stage assumptions'!$C$12)*Calculations[[#This Row],[Total Kg]],0)</f>
        <v>0</v>
      </c>
      <c r="K183">
        <f>IFERROR(VLOOKUP(Calculations[[#This Row],[Material (choose from dropdown]], MaterialData[#All],3, FALSE),0)</f>
        <v>0</v>
      </c>
      <c r="L183" s="322">
        <f>IFERROR(VLOOKUP(Calculations[[#This Row],[A5type]],A5WastageRate[#All],2,FALSE)*Calculations[[#This Row],[A1-3]],0)</f>
        <v>0</v>
      </c>
      <c r="N183">
        <f>IFERROR(ROUNDUP(50/VLOOKUP(Calculations[[#This Row],[Scope Element]],B4referenceServiceLife[[Tier 2 element]:[Default Service Life]],2, FALSE)-1,0),0)</f>
        <v>0</v>
      </c>
      <c r="O183" s="322">
        <f>IFERROR((Calculations[[#This Row],[A1-3]]+Calculations[[#This Row],[A4]]+Calculations[[#This Row],[A5]]+Calculations[[#This Row],[C2 total]]+Calculations[[#This Row],[C3 total]]+Calculations[[#This Row],[C4 total]])*Calculations[[#This Row],[Replacements]],0)</f>
        <v>0</v>
      </c>
      <c r="S183" t="str">
        <f>IFERROR(VLOOKUP(Calculations[[#This Row],[Material (choose from dropdown]],MaterialData[#All],4,FALSE),"")</f>
        <v/>
      </c>
      <c r="T183" s="322" cm="1">
        <f t="array" ref="T183">IFERROR(VLOOKUP(Calculations[[#This Row],[Waste 1]],WasteScenario[#All],2,FALSE)*'Stage assumptions'!$C$225*WasteTransportMethod[Emissions Factor
kgCO2e/kg.km]*Calculations[[#This Row],[Total Kg]],0)</f>
        <v>0</v>
      </c>
      <c r="U183" s="322" cm="1">
        <f t="array" ref="U183">IFERROR(VLOOKUP(Calculations[[#This Row],[Waste 1]],WasteScenario[#All],3,FALSE)*'Stage assumptions'!$C$224*WasteTransportMethod[Emissions Factor
kgCO2e/kg.km]*Calculations[[#This Row],[Total Kg]],0)</f>
        <v>0</v>
      </c>
      <c r="V183" s="322" cm="1">
        <f t="array" ref="V183">IFERROR(VLOOKUP(Calculations[[#This Row],[Waste 1]],WasteScenario[#All],4,FALSE)*'Stage assumptions'!$C$223*WasteTransportMethod[Emissions Factor
kgCO2e/kg.km]*Calculations[[#This Row],[Total Kg]],0)</f>
        <v>0</v>
      </c>
      <c r="W183" s="322" cm="1">
        <f t="array" ref="W183">IFERROR(VLOOKUP(Calculations[[#This Row],[Waste 1]],WasteScenario[#All],5,FALSE)*'Stage assumptions'!$C$226*WasteTransportMethod[Emissions Factor
kgCO2e/kg.km]*Calculations[[#This Row],[Total Kg]],0)</f>
        <v>0</v>
      </c>
      <c r="X183" s="322">
        <f>SUM(Calculations[[#This Row],[C2 Recycle]:[C2 Reuse]])</f>
        <v>0</v>
      </c>
      <c r="Y183" t="str">
        <f>IFERROR(VLOOKUP(Calculations[[#This Row],[Material (choose from dropdown]],MaterialData[#All],5,FALSE),"")</f>
        <v/>
      </c>
      <c r="Z183" s="322">
        <f>IFERROR(((VLOOKUP(Calculations[[#This Row],[Waste type 2]],WasteDisposalEmissions[#All],2,FALSE))*Calculations[[#This Row],[Total Kg]])*VLOOKUP(Calculations[[#This Row],[Waste 1]],WasteScenario[#All],2,FALSE),0)</f>
        <v>0</v>
      </c>
      <c r="AA183" s="322">
        <f>IFERROR((VLOOKUP(Calculations[[#This Row],[Waste type 2]],WasteDisposalEmissions[#All],3,FALSE))*Calculations[[#This Row],[Total Kg]]*VLOOKUP(Calculations[[#This Row],[Waste 1]],WasteScenario[#All],3,FALSE),0)</f>
        <v>0</v>
      </c>
      <c r="AB183" s="322">
        <f>SUM(Calculations[[#This Row],[C3 recyc]:[C3 incin]])</f>
        <v>0</v>
      </c>
      <c r="AC183" s="322">
        <f>IFERROR((VLOOKUP(Calculations[[#This Row],[Waste type 2]],WasteLandfillEmissions[#All],2,FALSE))*Calculations[[#This Row],[Total Kg]]*VLOOKUP(Calculations[[#This Row],[Waste 1]],WasteScenario[#All],4,FALSE),0)</f>
        <v>0</v>
      </c>
      <c r="AD183" s="322">
        <f>IFERROR((VLOOKUP(Calculations[[#This Row],[Waste type 2]],WasteLandfillEmissions[#All],3,FALSE))*Calculations[[#This Row],[Total Kg]]*VLOOKUP(Calculations[[#This Row],[Waste 1]],WasteScenario[#All],4,FALSE),0)</f>
        <v>0</v>
      </c>
      <c r="AE183" s="322">
        <f>SUM(Calculations[[#This Row],[C4 landfill]:[C4 re-use]])</f>
        <v>0</v>
      </c>
      <c r="AF183" s="322">
        <f>IFERROR(VLOOKUP(Calculations[[#This Row],[Material (choose from dropdown]],MaterialData[#All],8,FALSE),0)</f>
        <v>0</v>
      </c>
      <c r="AG183" s="322">
        <f>IFERROR(Calculations[[#This Row],[Total Kg]]*Calculations[[#This Row],[Seq factor]],0)</f>
        <v>0</v>
      </c>
      <c r="AI183" s="322">
        <f>Calculations[[#This Row],[A1-3]]+Calculations[[#This Row],[A4]]+Calculations[[#This Row],[A5]]+Calculations[[#This Row],[B4]]+Calculations[[#This Row],[C2 total]]+Calculations[[#This Row],[C3 total]]+Calculations[[#This Row],[C4 total]]</f>
        <v>0</v>
      </c>
      <c r="AJ183" s="2">
        <f>IFERROR(VLOOKUP(Calculations[[#This Row],[Material (choose from dropdown]],MaterialData[[#Headers],[#Data]],9,FALSE),0)</f>
        <v>0</v>
      </c>
      <c r="AK183" s="4">
        <f>IFERROR(VLOOKUP(Calculations[[#This Row],[Material (choose from dropdown]],MaterialData[[#Headers],[#Data]],10,FALSE),0)</f>
        <v>0</v>
      </c>
      <c r="AL183" s="322">
        <f>IFERROR(Calculations[[#This Row],[Data Quality Score]]*Calculations[[#This Row],[Total Kg]],0)</f>
        <v>0</v>
      </c>
    </row>
    <row r="184" spans="1:38" x14ac:dyDescent="0.3">
      <c r="A184" s="6">
        <f>IFERROR(MaterialsBoQ[[#This Row],[Scope Element]],0)</f>
        <v>0</v>
      </c>
      <c r="B184">
        <f>IFERROR(MaterialsBoQ[[#This Row],[Material ]],"")</f>
        <v>0</v>
      </c>
      <c r="C184">
        <f>IFERROR(MaterialsBoQ[[#This Row],[Unit]],"")</f>
        <v>0</v>
      </c>
      <c r="D184" s="322">
        <f>IFERROR(MaterialsBoQ[[#This Row],[Number]],0)</f>
        <v>0</v>
      </c>
      <c r="E184" s="322">
        <f>IFERROR(MaterialsBoQ[[#This Row],[Kg per unit]],0)</f>
        <v>0</v>
      </c>
      <c r="F184" s="322">
        <f>IFERROR(Calculations[[#This Row],[Number]]*Calculations[[#This Row],[Conversion factor]],0)</f>
        <v>0</v>
      </c>
      <c r="G184" s="322">
        <f>IFERROR(VLOOKUP(Calculations[[#This Row],[Material (choose from dropdown]],MaterialData[#All],7,FALSE),0)</f>
        <v>0</v>
      </c>
      <c r="H184" s="322">
        <f>Calculations[[#This Row],[Total Kg]]*Calculations[[#This Row],[Carbon Factor]]</f>
        <v>0</v>
      </c>
      <c r="I184" t="str">
        <f>IFERROR(VLOOKUP(Calculations[[#This Row],[Material (choose from dropdown]],MaterialData[#All],2,FALSE),"")</f>
        <v/>
      </c>
      <c r="J184" s="322">
        <f>IFERROR(((VLOOKUP(Calculations[[#This Row],[TransportSource]],TransportDistance[],2,FALSE)*'Stage assumptions'!$C$11)+VLOOKUP(Calculations[[#This Row],[TransportSource]],TransportDistance[],3,FALSE)*'Stage assumptions'!$C$12)*Calculations[[#This Row],[Total Kg]],0)</f>
        <v>0</v>
      </c>
      <c r="K184">
        <f>IFERROR(VLOOKUP(Calculations[[#This Row],[Material (choose from dropdown]], MaterialData[#All],3, FALSE),0)</f>
        <v>0</v>
      </c>
      <c r="L184" s="322">
        <f>IFERROR(VLOOKUP(Calculations[[#This Row],[A5type]],A5WastageRate[#All],2,FALSE)*Calculations[[#This Row],[A1-3]],0)</f>
        <v>0</v>
      </c>
      <c r="N184">
        <f>IFERROR(ROUNDUP(50/VLOOKUP(Calculations[[#This Row],[Scope Element]],B4referenceServiceLife[[Tier 2 element]:[Default Service Life]],2, FALSE)-1,0),0)</f>
        <v>0</v>
      </c>
      <c r="O184" s="322">
        <f>IFERROR((Calculations[[#This Row],[A1-3]]+Calculations[[#This Row],[A4]]+Calculations[[#This Row],[A5]]+Calculations[[#This Row],[C2 total]]+Calculations[[#This Row],[C3 total]]+Calculations[[#This Row],[C4 total]])*Calculations[[#This Row],[Replacements]],0)</f>
        <v>0</v>
      </c>
      <c r="S184" t="str">
        <f>IFERROR(VLOOKUP(Calculations[[#This Row],[Material (choose from dropdown]],MaterialData[#All],4,FALSE),"")</f>
        <v/>
      </c>
      <c r="T184" s="322" cm="1">
        <f t="array" ref="T184">IFERROR(VLOOKUP(Calculations[[#This Row],[Waste 1]],WasteScenario[#All],2,FALSE)*'Stage assumptions'!$C$225*WasteTransportMethod[Emissions Factor
kgCO2e/kg.km]*Calculations[[#This Row],[Total Kg]],0)</f>
        <v>0</v>
      </c>
      <c r="U184" s="322" cm="1">
        <f t="array" ref="U184">IFERROR(VLOOKUP(Calculations[[#This Row],[Waste 1]],WasteScenario[#All],3,FALSE)*'Stage assumptions'!$C$224*WasteTransportMethod[Emissions Factor
kgCO2e/kg.km]*Calculations[[#This Row],[Total Kg]],0)</f>
        <v>0</v>
      </c>
      <c r="V184" s="322" cm="1">
        <f t="array" ref="V184">IFERROR(VLOOKUP(Calculations[[#This Row],[Waste 1]],WasteScenario[#All],4,FALSE)*'Stage assumptions'!$C$223*WasteTransportMethod[Emissions Factor
kgCO2e/kg.km]*Calculations[[#This Row],[Total Kg]],0)</f>
        <v>0</v>
      </c>
      <c r="W184" s="322" cm="1">
        <f t="array" ref="W184">IFERROR(VLOOKUP(Calculations[[#This Row],[Waste 1]],WasteScenario[#All],5,FALSE)*'Stage assumptions'!$C$226*WasteTransportMethod[Emissions Factor
kgCO2e/kg.km]*Calculations[[#This Row],[Total Kg]],0)</f>
        <v>0</v>
      </c>
      <c r="X184" s="322">
        <f>SUM(Calculations[[#This Row],[C2 Recycle]:[C2 Reuse]])</f>
        <v>0</v>
      </c>
      <c r="Y184" t="str">
        <f>IFERROR(VLOOKUP(Calculations[[#This Row],[Material (choose from dropdown]],MaterialData[#All],5,FALSE),"")</f>
        <v/>
      </c>
      <c r="Z184" s="322">
        <f>IFERROR(((VLOOKUP(Calculations[[#This Row],[Waste type 2]],WasteDisposalEmissions[#All],2,FALSE))*Calculations[[#This Row],[Total Kg]])*VLOOKUP(Calculations[[#This Row],[Waste 1]],WasteScenario[#All],2,FALSE),0)</f>
        <v>0</v>
      </c>
      <c r="AA184" s="322">
        <f>IFERROR((VLOOKUP(Calculations[[#This Row],[Waste type 2]],WasteDisposalEmissions[#All],3,FALSE))*Calculations[[#This Row],[Total Kg]]*VLOOKUP(Calculations[[#This Row],[Waste 1]],WasteScenario[#All],3,FALSE),0)</f>
        <v>0</v>
      </c>
      <c r="AB184" s="322">
        <f>SUM(Calculations[[#This Row],[C3 recyc]:[C3 incin]])</f>
        <v>0</v>
      </c>
      <c r="AC184" s="322">
        <f>IFERROR((VLOOKUP(Calculations[[#This Row],[Waste type 2]],WasteLandfillEmissions[#All],2,FALSE))*Calculations[[#This Row],[Total Kg]]*VLOOKUP(Calculations[[#This Row],[Waste 1]],WasteScenario[#All],4,FALSE),0)</f>
        <v>0</v>
      </c>
      <c r="AD184" s="322">
        <f>IFERROR((VLOOKUP(Calculations[[#This Row],[Waste type 2]],WasteLandfillEmissions[#All],3,FALSE))*Calculations[[#This Row],[Total Kg]]*VLOOKUP(Calculations[[#This Row],[Waste 1]],WasteScenario[#All],4,FALSE),0)</f>
        <v>0</v>
      </c>
      <c r="AE184" s="322">
        <f>SUM(Calculations[[#This Row],[C4 landfill]:[C4 re-use]])</f>
        <v>0</v>
      </c>
      <c r="AF184" s="322">
        <f>IFERROR(VLOOKUP(Calculations[[#This Row],[Material (choose from dropdown]],MaterialData[#All],8,FALSE),0)</f>
        <v>0</v>
      </c>
      <c r="AG184" s="322">
        <f>IFERROR(Calculations[[#This Row],[Total Kg]]*Calculations[[#This Row],[Seq factor]],0)</f>
        <v>0</v>
      </c>
      <c r="AI184" s="322">
        <f>Calculations[[#This Row],[A1-3]]+Calculations[[#This Row],[A4]]+Calculations[[#This Row],[A5]]+Calculations[[#This Row],[B4]]+Calculations[[#This Row],[C2 total]]+Calculations[[#This Row],[C3 total]]+Calculations[[#This Row],[C4 total]]</f>
        <v>0</v>
      </c>
      <c r="AJ184" s="2">
        <f>IFERROR(VLOOKUP(Calculations[[#This Row],[Material (choose from dropdown]],MaterialData[[#Headers],[#Data]],9,FALSE),0)</f>
        <v>0</v>
      </c>
      <c r="AK184" s="4">
        <f>IFERROR(VLOOKUP(Calculations[[#This Row],[Material (choose from dropdown]],MaterialData[[#Headers],[#Data]],10,FALSE),0)</f>
        <v>0</v>
      </c>
      <c r="AL184" s="322">
        <f>IFERROR(Calculations[[#This Row],[Data Quality Score]]*Calculations[[#This Row],[Total Kg]],0)</f>
        <v>0</v>
      </c>
    </row>
    <row r="185" spans="1:38" x14ac:dyDescent="0.3">
      <c r="A185" s="6">
        <f>IFERROR(MaterialsBoQ[[#This Row],[Scope Element]],0)</f>
        <v>0</v>
      </c>
      <c r="B185">
        <f>IFERROR(MaterialsBoQ[[#This Row],[Material ]],"")</f>
        <v>0</v>
      </c>
      <c r="C185">
        <f>IFERROR(MaterialsBoQ[[#This Row],[Unit]],"")</f>
        <v>0</v>
      </c>
      <c r="D185" s="322">
        <f>IFERROR(MaterialsBoQ[[#This Row],[Number]],0)</f>
        <v>0</v>
      </c>
      <c r="E185" s="322">
        <f>IFERROR(MaterialsBoQ[[#This Row],[Kg per unit]],0)</f>
        <v>0</v>
      </c>
      <c r="F185" s="322">
        <f>IFERROR(Calculations[[#This Row],[Number]]*Calculations[[#This Row],[Conversion factor]],0)</f>
        <v>0</v>
      </c>
      <c r="G185" s="322">
        <f>IFERROR(VLOOKUP(Calculations[[#This Row],[Material (choose from dropdown]],MaterialData[#All],7,FALSE),0)</f>
        <v>0</v>
      </c>
      <c r="H185" s="322">
        <f>Calculations[[#This Row],[Total Kg]]*Calculations[[#This Row],[Carbon Factor]]</f>
        <v>0</v>
      </c>
      <c r="I185" t="str">
        <f>IFERROR(VLOOKUP(Calculations[[#This Row],[Material (choose from dropdown]],MaterialData[#All],2,FALSE),"")</f>
        <v/>
      </c>
      <c r="J185" s="322">
        <f>IFERROR(((VLOOKUP(Calculations[[#This Row],[TransportSource]],TransportDistance[],2,FALSE)*'Stage assumptions'!$C$11)+VLOOKUP(Calculations[[#This Row],[TransportSource]],TransportDistance[],3,FALSE)*'Stage assumptions'!$C$12)*Calculations[[#This Row],[Total Kg]],0)</f>
        <v>0</v>
      </c>
      <c r="K185">
        <f>IFERROR(VLOOKUP(Calculations[[#This Row],[Material (choose from dropdown]], MaterialData[#All],3, FALSE),0)</f>
        <v>0</v>
      </c>
      <c r="L185" s="322">
        <f>IFERROR(VLOOKUP(Calculations[[#This Row],[A5type]],A5WastageRate[#All],2,FALSE)*Calculations[[#This Row],[A1-3]],0)</f>
        <v>0</v>
      </c>
      <c r="N185">
        <f>IFERROR(ROUNDUP(50/VLOOKUP(Calculations[[#This Row],[Scope Element]],B4referenceServiceLife[[Tier 2 element]:[Default Service Life]],2, FALSE)-1,0),0)</f>
        <v>0</v>
      </c>
      <c r="O185" s="322">
        <f>IFERROR((Calculations[[#This Row],[A1-3]]+Calculations[[#This Row],[A4]]+Calculations[[#This Row],[A5]]+Calculations[[#This Row],[C2 total]]+Calculations[[#This Row],[C3 total]]+Calculations[[#This Row],[C4 total]])*Calculations[[#This Row],[Replacements]],0)</f>
        <v>0</v>
      </c>
      <c r="S185" t="str">
        <f>IFERROR(VLOOKUP(Calculations[[#This Row],[Material (choose from dropdown]],MaterialData[#All],4,FALSE),"")</f>
        <v/>
      </c>
      <c r="T185" s="322" cm="1">
        <f t="array" ref="T185">IFERROR(VLOOKUP(Calculations[[#This Row],[Waste 1]],WasteScenario[#All],2,FALSE)*'Stage assumptions'!$C$225*WasteTransportMethod[Emissions Factor
kgCO2e/kg.km]*Calculations[[#This Row],[Total Kg]],0)</f>
        <v>0</v>
      </c>
      <c r="U185" s="322" cm="1">
        <f t="array" ref="U185">IFERROR(VLOOKUP(Calculations[[#This Row],[Waste 1]],WasteScenario[#All],3,FALSE)*'Stage assumptions'!$C$224*WasteTransportMethod[Emissions Factor
kgCO2e/kg.km]*Calculations[[#This Row],[Total Kg]],0)</f>
        <v>0</v>
      </c>
      <c r="V185" s="322" cm="1">
        <f t="array" ref="V185">IFERROR(VLOOKUP(Calculations[[#This Row],[Waste 1]],WasteScenario[#All],4,FALSE)*'Stage assumptions'!$C$223*WasteTransportMethod[Emissions Factor
kgCO2e/kg.km]*Calculations[[#This Row],[Total Kg]],0)</f>
        <v>0</v>
      </c>
      <c r="W185" s="322" cm="1">
        <f t="array" ref="W185">IFERROR(VLOOKUP(Calculations[[#This Row],[Waste 1]],WasteScenario[#All],5,FALSE)*'Stage assumptions'!$C$226*WasteTransportMethod[Emissions Factor
kgCO2e/kg.km]*Calculations[[#This Row],[Total Kg]],0)</f>
        <v>0</v>
      </c>
      <c r="X185" s="322">
        <f>SUM(Calculations[[#This Row],[C2 Recycle]:[C2 Reuse]])</f>
        <v>0</v>
      </c>
      <c r="Y185" t="str">
        <f>IFERROR(VLOOKUP(Calculations[[#This Row],[Material (choose from dropdown]],MaterialData[#All],5,FALSE),"")</f>
        <v/>
      </c>
      <c r="Z185" s="322">
        <f>IFERROR(((VLOOKUP(Calculations[[#This Row],[Waste type 2]],WasteDisposalEmissions[#All],2,FALSE))*Calculations[[#This Row],[Total Kg]])*VLOOKUP(Calculations[[#This Row],[Waste 1]],WasteScenario[#All],2,FALSE),0)</f>
        <v>0</v>
      </c>
      <c r="AA185" s="322">
        <f>IFERROR((VLOOKUP(Calculations[[#This Row],[Waste type 2]],WasteDisposalEmissions[#All],3,FALSE))*Calculations[[#This Row],[Total Kg]]*VLOOKUP(Calculations[[#This Row],[Waste 1]],WasteScenario[#All],3,FALSE),0)</f>
        <v>0</v>
      </c>
      <c r="AB185" s="322">
        <f>SUM(Calculations[[#This Row],[C3 recyc]:[C3 incin]])</f>
        <v>0</v>
      </c>
      <c r="AC185" s="322">
        <f>IFERROR((VLOOKUP(Calculations[[#This Row],[Waste type 2]],WasteLandfillEmissions[#All],2,FALSE))*Calculations[[#This Row],[Total Kg]]*VLOOKUP(Calculations[[#This Row],[Waste 1]],WasteScenario[#All],4,FALSE),0)</f>
        <v>0</v>
      </c>
      <c r="AD185" s="322">
        <f>IFERROR((VLOOKUP(Calculations[[#This Row],[Waste type 2]],WasteLandfillEmissions[#All],3,FALSE))*Calculations[[#This Row],[Total Kg]]*VLOOKUP(Calculations[[#This Row],[Waste 1]],WasteScenario[#All],4,FALSE),0)</f>
        <v>0</v>
      </c>
      <c r="AE185" s="322">
        <f>SUM(Calculations[[#This Row],[C4 landfill]:[C4 re-use]])</f>
        <v>0</v>
      </c>
      <c r="AF185" s="322">
        <f>IFERROR(VLOOKUP(Calculations[[#This Row],[Material (choose from dropdown]],MaterialData[#All],8,FALSE),0)</f>
        <v>0</v>
      </c>
      <c r="AG185" s="322">
        <f>IFERROR(Calculations[[#This Row],[Total Kg]]*Calculations[[#This Row],[Seq factor]],0)</f>
        <v>0</v>
      </c>
      <c r="AI185" s="322">
        <f>Calculations[[#This Row],[A1-3]]+Calculations[[#This Row],[A4]]+Calculations[[#This Row],[A5]]+Calculations[[#This Row],[B4]]+Calculations[[#This Row],[C2 total]]+Calculations[[#This Row],[C3 total]]+Calculations[[#This Row],[C4 total]]</f>
        <v>0</v>
      </c>
      <c r="AJ185" s="2">
        <f>IFERROR(VLOOKUP(Calculations[[#This Row],[Material (choose from dropdown]],MaterialData[[#Headers],[#Data]],9,FALSE),0)</f>
        <v>0</v>
      </c>
      <c r="AK185" s="4">
        <f>IFERROR(VLOOKUP(Calculations[[#This Row],[Material (choose from dropdown]],MaterialData[[#Headers],[#Data]],10,FALSE),0)</f>
        <v>0</v>
      </c>
      <c r="AL185" s="322">
        <f>IFERROR(Calculations[[#This Row],[Data Quality Score]]*Calculations[[#This Row],[Total Kg]],0)</f>
        <v>0</v>
      </c>
    </row>
    <row r="186" spans="1:38" x14ac:dyDescent="0.3">
      <c r="A186" s="6">
        <f>IFERROR(MaterialsBoQ[[#This Row],[Scope Element]],0)</f>
        <v>0</v>
      </c>
      <c r="B186">
        <f>IFERROR(MaterialsBoQ[[#This Row],[Material ]],"")</f>
        <v>0</v>
      </c>
      <c r="C186">
        <f>IFERROR(MaterialsBoQ[[#This Row],[Unit]],"")</f>
        <v>0</v>
      </c>
      <c r="D186" s="322">
        <f>IFERROR(MaterialsBoQ[[#This Row],[Number]],0)</f>
        <v>0</v>
      </c>
      <c r="E186" s="322">
        <f>IFERROR(MaterialsBoQ[[#This Row],[Kg per unit]],0)</f>
        <v>0</v>
      </c>
      <c r="F186" s="322">
        <f>IFERROR(Calculations[[#This Row],[Number]]*Calculations[[#This Row],[Conversion factor]],0)</f>
        <v>0</v>
      </c>
      <c r="G186" s="322">
        <f>IFERROR(VLOOKUP(Calculations[[#This Row],[Material (choose from dropdown]],MaterialData[#All],7,FALSE),0)</f>
        <v>0</v>
      </c>
      <c r="H186" s="322">
        <f>Calculations[[#This Row],[Total Kg]]*Calculations[[#This Row],[Carbon Factor]]</f>
        <v>0</v>
      </c>
      <c r="I186" t="str">
        <f>IFERROR(VLOOKUP(Calculations[[#This Row],[Material (choose from dropdown]],MaterialData[#All],2,FALSE),"")</f>
        <v/>
      </c>
      <c r="J186" s="322">
        <f>IFERROR(((VLOOKUP(Calculations[[#This Row],[TransportSource]],TransportDistance[],2,FALSE)*'Stage assumptions'!$C$11)+VLOOKUP(Calculations[[#This Row],[TransportSource]],TransportDistance[],3,FALSE)*'Stage assumptions'!$C$12)*Calculations[[#This Row],[Total Kg]],0)</f>
        <v>0</v>
      </c>
      <c r="K186">
        <f>IFERROR(VLOOKUP(Calculations[[#This Row],[Material (choose from dropdown]], MaterialData[#All],3, FALSE),0)</f>
        <v>0</v>
      </c>
      <c r="L186" s="322">
        <f>IFERROR(VLOOKUP(Calculations[[#This Row],[A5type]],A5WastageRate[#All],2,FALSE)*Calculations[[#This Row],[A1-3]],0)</f>
        <v>0</v>
      </c>
      <c r="N186">
        <f>IFERROR(ROUNDUP(50/VLOOKUP(Calculations[[#This Row],[Scope Element]],B4referenceServiceLife[[Tier 2 element]:[Default Service Life]],2, FALSE)-1,0),0)</f>
        <v>0</v>
      </c>
      <c r="O186" s="322">
        <f>IFERROR((Calculations[[#This Row],[A1-3]]+Calculations[[#This Row],[A4]]+Calculations[[#This Row],[A5]]+Calculations[[#This Row],[C2 total]]+Calculations[[#This Row],[C3 total]]+Calculations[[#This Row],[C4 total]])*Calculations[[#This Row],[Replacements]],0)</f>
        <v>0</v>
      </c>
      <c r="S186" t="str">
        <f>IFERROR(VLOOKUP(Calculations[[#This Row],[Material (choose from dropdown]],MaterialData[#All],4,FALSE),"")</f>
        <v/>
      </c>
      <c r="T186" s="322" cm="1">
        <f t="array" ref="T186">IFERROR(VLOOKUP(Calculations[[#This Row],[Waste 1]],WasteScenario[#All],2,FALSE)*'Stage assumptions'!$C$225*WasteTransportMethod[Emissions Factor
kgCO2e/kg.km]*Calculations[[#This Row],[Total Kg]],0)</f>
        <v>0</v>
      </c>
      <c r="U186" s="322" cm="1">
        <f t="array" ref="U186">IFERROR(VLOOKUP(Calculations[[#This Row],[Waste 1]],WasteScenario[#All],3,FALSE)*'Stage assumptions'!$C$224*WasteTransportMethod[Emissions Factor
kgCO2e/kg.km]*Calculations[[#This Row],[Total Kg]],0)</f>
        <v>0</v>
      </c>
      <c r="V186" s="322" cm="1">
        <f t="array" ref="V186">IFERROR(VLOOKUP(Calculations[[#This Row],[Waste 1]],WasteScenario[#All],4,FALSE)*'Stage assumptions'!$C$223*WasteTransportMethod[Emissions Factor
kgCO2e/kg.km]*Calculations[[#This Row],[Total Kg]],0)</f>
        <v>0</v>
      </c>
      <c r="W186" s="322" cm="1">
        <f t="array" ref="W186">IFERROR(VLOOKUP(Calculations[[#This Row],[Waste 1]],WasteScenario[#All],5,FALSE)*'Stage assumptions'!$C$226*WasteTransportMethod[Emissions Factor
kgCO2e/kg.km]*Calculations[[#This Row],[Total Kg]],0)</f>
        <v>0</v>
      </c>
      <c r="X186" s="322">
        <f>SUM(Calculations[[#This Row],[C2 Recycle]:[C2 Reuse]])</f>
        <v>0</v>
      </c>
      <c r="Y186" t="str">
        <f>IFERROR(VLOOKUP(Calculations[[#This Row],[Material (choose from dropdown]],MaterialData[#All],5,FALSE),"")</f>
        <v/>
      </c>
      <c r="Z186" s="322">
        <f>IFERROR(((VLOOKUP(Calculations[[#This Row],[Waste type 2]],WasteDisposalEmissions[#All],2,FALSE))*Calculations[[#This Row],[Total Kg]])*VLOOKUP(Calculations[[#This Row],[Waste 1]],WasteScenario[#All],2,FALSE),0)</f>
        <v>0</v>
      </c>
      <c r="AA186" s="322">
        <f>IFERROR((VLOOKUP(Calculations[[#This Row],[Waste type 2]],WasteDisposalEmissions[#All],3,FALSE))*Calculations[[#This Row],[Total Kg]]*VLOOKUP(Calculations[[#This Row],[Waste 1]],WasteScenario[#All],3,FALSE),0)</f>
        <v>0</v>
      </c>
      <c r="AB186" s="322">
        <f>SUM(Calculations[[#This Row],[C3 recyc]:[C3 incin]])</f>
        <v>0</v>
      </c>
      <c r="AC186" s="322">
        <f>IFERROR((VLOOKUP(Calculations[[#This Row],[Waste type 2]],WasteLandfillEmissions[#All],2,FALSE))*Calculations[[#This Row],[Total Kg]]*VLOOKUP(Calculations[[#This Row],[Waste 1]],WasteScenario[#All],4,FALSE),0)</f>
        <v>0</v>
      </c>
      <c r="AD186" s="322">
        <f>IFERROR((VLOOKUP(Calculations[[#This Row],[Waste type 2]],WasteLandfillEmissions[#All],3,FALSE))*Calculations[[#This Row],[Total Kg]]*VLOOKUP(Calculations[[#This Row],[Waste 1]],WasteScenario[#All],4,FALSE),0)</f>
        <v>0</v>
      </c>
      <c r="AE186" s="322">
        <f>SUM(Calculations[[#This Row],[C4 landfill]:[C4 re-use]])</f>
        <v>0</v>
      </c>
      <c r="AF186" s="322">
        <f>IFERROR(VLOOKUP(Calculations[[#This Row],[Material (choose from dropdown]],MaterialData[#All],8,FALSE),0)</f>
        <v>0</v>
      </c>
      <c r="AG186" s="322">
        <f>IFERROR(Calculations[[#This Row],[Total Kg]]*Calculations[[#This Row],[Seq factor]],0)</f>
        <v>0</v>
      </c>
      <c r="AI186" s="322">
        <f>Calculations[[#This Row],[A1-3]]+Calculations[[#This Row],[A4]]+Calculations[[#This Row],[A5]]+Calculations[[#This Row],[B4]]+Calculations[[#This Row],[C2 total]]+Calculations[[#This Row],[C3 total]]+Calculations[[#This Row],[C4 total]]</f>
        <v>0</v>
      </c>
      <c r="AJ186" s="2">
        <f>IFERROR(VLOOKUP(Calculations[[#This Row],[Material (choose from dropdown]],MaterialData[[#Headers],[#Data]],9,FALSE),0)</f>
        <v>0</v>
      </c>
      <c r="AK186" s="4">
        <f>IFERROR(VLOOKUP(Calculations[[#This Row],[Material (choose from dropdown]],MaterialData[[#Headers],[#Data]],10,FALSE),0)</f>
        <v>0</v>
      </c>
      <c r="AL186" s="322">
        <f>IFERROR(Calculations[[#This Row],[Data Quality Score]]*Calculations[[#This Row],[Total Kg]],0)</f>
        <v>0</v>
      </c>
    </row>
    <row r="187" spans="1:38" x14ac:dyDescent="0.3">
      <c r="A187" s="6">
        <f>IFERROR(MaterialsBoQ[[#This Row],[Scope Element]],0)</f>
        <v>0</v>
      </c>
      <c r="B187">
        <f>IFERROR(MaterialsBoQ[[#This Row],[Material ]],"")</f>
        <v>0</v>
      </c>
      <c r="C187">
        <f>IFERROR(MaterialsBoQ[[#This Row],[Unit]],"")</f>
        <v>0</v>
      </c>
      <c r="D187" s="322">
        <f>IFERROR(MaterialsBoQ[[#This Row],[Number]],0)</f>
        <v>0</v>
      </c>
      <c r="E187" s="322">
        <f>IFERROR(MaterialsBoQ[[#This Row],[Kg per unit]],0)</f>
        <v>0</v>
      </c>
      <c r="F187" s="322">
        <f>IFERROR(Calculations[[#This Row],[Number]]*Calculations[[#This Row],[Conversion factor]],0)</f>
        <v>0</v>
      </c>
      <c r="G187" s="322">
        <f>IFERROR(VLOOKUP(Calculations[[#This Row],[Material (choose from dropdown]],MaterialData[#All],7,FALSE),0)</f>
        <v>0</v>
      </c>
      <c r="H187" s="322">
        <f>Calculations[[#This Row],[Total Kg]]*Calculations[[#This Row],[Carbon Factor]]</f>
        <v>0</v>
      </c>
      <c r="I187" t="str">
        <f>IFERROR(VLOOKUP(Calculations[[#This Row],[Material (choose from dropdown]],MaterialData[#All],2,FALSE),"")</f>
        <v/>
      </c>
      <c r="J187" s="322">
        <f>IFERROR(((VLOOKUP(Calculations[[#This Row],[TransportSource]],TransportDistance[],2,FALSE)*'Stage assumptions'!$C$11)+VLOOKUP(Calculations[[#This Row],[TransportSource]],TransportDistance[],3,FALSE)*'Stage assumptions'!$C$12)*Calculations[[#This Row],[Total Kg]],0)</f>
        <v>0</v>
      </c>
      <c r="K187">
        <f>IFERROR(VLOOKUP(Calculations[[#This Row],[Material (choose from dropdown]], MaterialData[#All],3, FALSE),0)</f>
        <v>0</v>
      </c>
      <c r="L187" s="322">
        <f>IFERROR(VLOOKUP(Calculations[[#This Row],[A5type]],A5WastageRate[#All],2,FALSE)*Calculations[[#This Row],[A1-3]],0)</f>
        <v>0</v>
      </c>
      <c r="N187">
        <f>IFERROR(ROUNDUP(50/VLOOKUP(Calculations[[#This Row],[Scope Element]],B4referenceServiceLife[[Tier 2 element]:[Default Service Life]],2, FALSE)-1,0),0)</f>
        <v>0</v>
      </c>
      <c r="O187" s="322">
        <f>IFERROR((Calculations[[#This Row],[A1-3]]+Calculations[[#This Row],[A4]]+Calculations[[#This Row],[A5]]+Calculations[[#This Row],[C2 total]]+Calculations[[#This Row],[C3 total]]+Calculations[[#This Row],[C4 total]])*Calculations[[#This Row],[Replacements]],0)</f>
        <v>0</v>
      </c>
      <c r="S187" t="str">
        <f>IFERROR(VLOOKUP(Calculations[[#This Row],[Material (choose from dropdown]],MaterialData[#All],4,FALSE),"")</f>
        <v/>
      </c>
      <c r="T187" s="322" cm="1">
        <f t="array" ref="T187">IFERROR(VLOOKUP(Calculations[[#This Row],[Waste 1]],WasteScenario[#All],2,FALSE)*'Stage assumptions'!$C$225*WasteTransportMethod[Emissions Factor
kgCO2e/kg.km]*Calculations[[#This Row],[Total Kg]],0)</f>
        <v>0</v>
      </c>
      <c r="U187" s="322" cm="1">
        <f t="array" ref="U187">IFERROR(VLOOKUP(Calculations[[#This Row],[Waste 1]],WasteScenario[#All],3,FALSE)*'Stage assumptions'!$C$224*WasteTransportMethod[Emissions Factor
kgCO2e/kg.km]*Calculations[[#This Row],[Total Kg]],0)</f>
        <v>0</v>
      </c>
      <c r="V187" s="322" cm="1">
        <f t="array" ref="V187">IFERROR(VLOOKUP(Calculations[[#This Row],[Waste 1]],WasteScenario[#All],4,FALSE)*'Stage assumptions'!$C$223*WasteTransportMethod[Emissions Factor
kgCO2e/kg.km]*Calculations[[#This Row],[Total Kg]],0)</f>
        <v>0</v>
      </c>
      <c r="W187" s="322" cm="1">
        <f t="array" ref="W187">IFERROR(VLOOKUP(Calculations[[#This Row],[Waste 1]],WasteScenario[#All],5,FALSE)*'Stage assumptions'!$C$226*WasteTransportMethod[Emissions Factor
kgCO2e/kg.km]*Calculations[[#This Row],[Total Kg]],0)</f>
        <v>0</v>
      </c>
      <c r="X187" s="322">
        <f>SUM(Calculations[[#This Row],[C2 Recycle]:[C2 Reuse]])</f>
        <v>0</v>
      </c>
      <c r="Y187" t="str">
        <f>IFERROR(VLOOKUP(Calculations[[#This Row],[Material (choose from dropdown]],MaterialData[#All],5,FALSE),"")</f>
        <v/>
      </c>
      <c r="Z187" s="322">
        <f>IFERROR(((VLOOKUP(Calculations[[#This Row],[Waste type 2]],WasteDisposalEmissions[#All],2,FALSE))*Calculations[[#This Row],[Total Kg]])*VLOOKUP(Calculations[[#This Row],[Waste 1]],WasteScenario[#All],2,FALSE),0)</f>
        <v>0</v>
      </c>
      <c r="AA187" s="322">
        <f>IFERROR((VLOOKUP(Calculations[[#This Row],[Waste type 2]],WasteDisposalEmissions[#All],3,FALSE))*Calculations[[#This Row],[Total Kg]]*VLOOKUP(Calculations[[#This Row],[Waste 1]],WasteScenario[#All],3,FALSE),0)</f>
        <v>0</v>
      </c>
      <c r="AB187" s="322">
        <f>SUM(Calculations[[#This Row],[C3 recyc]:[C3 incin]])</f>
        <v>0</v>
      </c>
      <c r="AC187" s="322">
        <f>IFERROR((VLOOKUP(Calculations[[#This Row],[Waste type 2]],WasteLandfillEmissions[#All],2,FALSE))*Calculations[[#This Row],[Total Kg]]*VLOOKUP(Calculations[[#This Row],[Waste 1]],WasteScenario[#All],4,FALSE),0)</f>
        <v>0</v>
      </c>
      <c r="AD187" s="322">
        <f>IFERROR((VLOOKUP(Calculations[[#This Row],[Waste type 2]],WasteLandfillEmissions[#All],3,FALSE))*Calculations[[#This Row],[Total Kg]]*VLOOKUP(Calculations[[#This Row],[Waste 1]],WasteScenario[#All],4,FALSE),0)</f>
        <v>0</v>
      </c>
      <c r="AE187" s="322">
        <f>SUM(Calculations[[#This Row],[C4 landfill]:[C4 re-use]])</f>
        <v>0</v>
      </c>
      <c r="AF187" s="322">
        <f>IFERROR(VLOOKUP(Calculations[[#This Row],[Material (choose from dropdown]],MaterialData[#All],8,FALSE),0)</f>
        <v>0</v>
      </c>
      <c r="AG187" s="322">
        <f>IFERROR(Calculations[[#This Row],[Total Kg]]*Calculations[[#This Row],[Seq factor]],0)</f>
        <v>0</v>
      </c>
      <c r="AI187" s="322">
        <f>Calculations[[#This Row],[A1-3]]+Calculations[[#This Row],[A4]]+Calculations[[#This Row],[A5]]+Calculations[[#This Row],[B4]]+Calculations[[#This Row],[C2 total]]+Calculations[[#This Row],[C3 total]]+Calculations[[#This Row],[C4 total]]</f>
        <v>0</v>
      </c>
      <c r="AJ187" s="2">
        <f>IFERROR(VLOOKUP(Calculations[[#This Row],[Material (choose from dropdown]],MaterialData[[#Headers],[#Data]],9,FALSE),0)</f>
        <v>0</v>
      </c>
      <c r="AK187" s="4">
        <f>IFERROR(VLOOKUP(Calculations[[#This Row],[Material (choose from dropdown]],MaterialData[[#Headers],[#Data]],10,FALSE),0)</f>
        <v>0</v>
      </c>
      <c r="AL187" s="322">
        <f>IFERROR(Calculations[[#This Row],[Data Quality Score]]*Calculations[[#This Row],[Total Kg]],0)</f>
        <v>0</v>
      </c>
    </row>
    <row r="188" spans="1:38" x14ac:dyDescent="0.3">
      <c r="A188" s="6">
        <f>IFERROR(MaterialsBoQ[[#This Row],[Scope Element]],0)</f>
        <v>0</v>
      </c>
      <c r="B188">
        <f>IFERROR(MaterialsBoQ[[#This Row],[Material ]],"")</f>
        <v>0</v>
      </c>
      <c r="C188">
        <f>IFERROR(MaterialsBoQ[[#This Row],[Unit]],"")</f>
        <v>0</v>
      </c>
      <c r="D188" s="322">
        <f>IFERROR(MaterialsBoQ[[#This Row],[Number]],0)</f>
        <v>0</v>
      </c>
      <c r="E188" s="322">
        <f>IFERROR(MaterialsBoQ[[#This Row],[Kg per unit]],0)</f>
        <v>0</v>
      </c>
      <c r="F188" s="322">
        <f>IFERROR(Calculations[[#This Row],[Number]]*Calculations[[#This Row],[Conversion factor]],0)</f>
        <v>0</v>
      </c>
      <c r="G188" s="322">
        <f>IFERROR(VLOOKUP(Calculations[[#This Row],[Material (choose from dropdown]],MaterialData[#All],7,FALSE),0)</f>
        <v>0</v>
      </c>
      <c r="H188" s="322">
        <f>Calculations[[#This Row],[Total Kg]]*Calculations[[#This Row],[Carbon Factor]]</f>
        <v>0</v>
      </c>
      <c r="I188" t="str">
        <f>IFERROR(VLOOKUP(Calculations[[#This Row],[Material (choose from dropdown]],MaterialData[#All],2,FALSE),"")</f>
        <v/>
      </c>
      <c r="J188" s="322">
        <f>IFERROR(((VLOOKUP(Calculations[[#This Row],[TransportSource]],TransportDistance[],2,FALSE)*'Stage assumptions'!$C$11)+VLOOKUP(Calculations[[#This Row],[TransportSource]],TransportDistance[],3,FALSE)*'Stage assumptions'!$C$12)*Calculations[[#This Row],[Total Kg]],0)</f>
        <v>0</v>
      </c>
      <c r="K188">
        <f>IFERROR(VLOOKUP(Calculations[[#This Row],[Material (choose from dropdown]], MaterialData[#All],3, FALSE),0)</f>
        <v>0</v>
      </c>
      <c r="L188" s="322">
        <f>IFERROR(VLOOKUP(Calculations[[#This Row],[A5type]],A5WastageRate[#All],2,FALSE)*Calculations[[#This Row],[A1-3]],0)</f>
        <v>0</v>
      </c>
      <c r="N188">
        <f>IFERROR(ROUNDUP(50/VLOOKUP(Calculations[[#This Row],[Scope Element]],B4referenceServiceLife[[Tier 2 element]:[Default Service Life]],2, FALSE)-1,0),0)</f>
        <v>0</v>
      </c>
      <c r="O188" s="322">
        <f>IFERROR((Calculations[[#This Row],[A1-3]]+Calculations[[#This Row],[A4]]+Calculations[[#This Row],[A5]]+Calculations[[#This Row],[C2 total]]+Calculations[[#This Row],[C3 total]]+Calculations[[#This Row],[C4 total]])*Calculations[[#This Row],[Replacements]],0)</f>
        <v>0</v>
      </c>
      <c r="S188" t="str">
        <f>IFERROR(VLOOKUP(Calculations[[#This Row],[Material (choose from dropdown]],MaterialData[#All],4,FALSE),"")</f>
        <v/>
      </c>
      <c r="T188" s="322" cm="1">
        <f t="array" ref="T188">IFERROR(VLOOKUP(Calculations[[#This Row],[Waste 1]],WasteScenario[#All],2,FALSE)*'Stage assumptions'!$C$225*WasteTransportMethod[Emissions Factor
kgCO2e/kg.km]*Calculations[[#This Row],[Total Kg]],0)</f>
        <v>0</v>
      </c>
      <c r="U188" s="322" cm="1">
        <f t="array" ref="U188">IFERROR(VLOOKUP(Calculations[[#This Row],[Waste 1]],WasteScenario[#All],3,FALSE)*'Stage assumptions'!$C$224*WasteTransportMethod[Emissions Factor
kgCO2e/kg.km]*Calculations[[#This Row],[Total Kg]],0)</f>
        <v>0</v>
      </c>
      <c r="V188" s="322" cm="1">
        <f t="array" ref="V188">IFERROR(VLOOKUP(Calculations[[#This Row],[Waste 1]],WasteScenario[#All],4,FALSE)*'Stage assumptions'!$C$223*WasteTransportMethod[Emissions Factor
kgCO2e/kg.km]*Calculations[[#This Row],[Total Kg]],0)</f>
        <v>0</v>
      </c>
      <c r="W188" s="322" cm="1">
        <f t="array" ref="W188">IFERROR(VLOOKUP(Calculations[[#This Row],[Waste 1]],WasteScenario[#All],5,FALSE)*'Stage assumptions'!$C$226*WasteTransportMethod[Emissions Factor
kgCO2e/kg.km]*Calculations[[#This Row],[Total Kg]],0)</f>
        <v>0</v>
      </c>
      <c r="X188" s="322">
        <f>SUM(Calculations[[#This Row],[C2 Recycle]:[C2 Reuse]])</f>
        <v>0</v>
      </c>
      <c r="Y188" t="str">
        <f>IFERROR(VLOOKUP(Calculations[[#This Row],[Material (choose from dropdown]],MaterialData[#All],5,FALSE),"")</f>
        <v/>
      </c>
      <c r="Z188" s="322">
        <f>IFERROR(((VLOOKUP(Calculations[[#This Row],[Waste type 2]],WasteDisposalEmissions[#All],2,FALSE))*Calculations[[#This Row],[Total Kg]])*VLOOKUP(Calculations[[#This Row],[Waste 1]],WasteScenario[#All],2,FALSE),0)</f>
        <v>0</v>
      </c>
      <c r="AA188" s="322">
        <f>IFERROR((VLOOKUP(Calculations[[#This Row],[Waste type 2]],WasteDisposalEmissions[#All],3,FALSE))*Calculations[[#This Row],[Total Kg]]*VLOOKUP(Calculations[[#This Row],[Waste 1]],WasteScenario[#All],3,FALSE),0)</f>
        <v>0</v>
      </c>
      <c r="AB188" s="322">
        <f>SUM(Calculations[[#This Row],[C3 recyc]:[C3 incin]])</f>
        <v>0</v>
      </c>
      <c r="AC188" s="322">
        <f>IFERROR((VLOOKUP(Calculations[[#This Row],[Waste type 2]],WasteLandfillEmissions[#All],2,FALSE))*Calculations[[#This Row],[Total Kg]]*VLOOKUP(Calculations[[#This Row],[Waste 1]],WasteScenario[#All],4,FALSE),0)</f>
        <v>0</v>
      </c>
      <c r="AD188" s="322">
        <f>IFERROR((VLOOKUP(Calculations[[#This Row],[Waste type 2]],WasteLandfillEmissions[#All],3,FALSE))*Calculations[[#This Row],[Total Kg]]*VLOOKUP(Calculations[[#This Row],[Waste 1]],WasteScenario[#All],4,FALSE),0)</f>
        <v>0</v>
      </c>
      <c r="AE188" s="322">
        <f>SUM(Calculations[[#This Row],[C4 landfill]:[C4 re-use]])</f>
        <v>0</v>
      </c>
      <c r="AF188" s="322">
        <f>IFERROR(VLOOKUP(Calculations[[#This Row],[Material (choose from dropdown]],MaterialData[#All],8,FALSE),0)</f>
        <v>0</v>
      </c>
      <c r="AG188" s="322">
        <f>IFERROR(Calculations[[#This Row],[Total Kg]]*Calculations[[#This Row],[Seq factor]],0)</f>
        <v>0</v>
      </c>
      <c r="AI188" s="322">
        <f>Calculations[[#This Row],[A1-3]]+Calculations[[#This Row],[A4]]+Calculations[[#This Row],[A5]]+Calculations[[#This Row],[B4]]+Calculations[[#This Row],[C2 total]]+Calculations[[#This Row],[C3 total]]+Calculations[[#This Row],[C4 total]]</f>
        <v>0</v>
      </c>
      <c r="AJ188" s="2">
        <f>IFERROR(VLOOKUP(Calculations[[#This Row],[Material (choose from dropdown]],MaterialData[[#Headers],[#Data]],9,FALSE),0)</f>
        <v>0</v>
      </c>
      <c r="AK188" s="4">
        <f>IFERROR(VLOOKUP(Calculations[[#This Row],[Material (choose from dropdown]],MaterialData[[#Headers],[#Data]],10,FALSE),0)</f>
        <v>0</v>
      </c>
      <c r="AL188" s="322">
        <f>IFERROR(Calculations[[#This Row],[Data Quality Score]]*Calculations[[#This Row],[Total Kg]],0)</f>
        <v>0</v>
      </c>
    </row>
    <row r="189" spans="1:38" x14ac:dyDescent="0.3">
      <c r="A189" s="6">
        <f>IFERROR(MaterialsBoQ[[#This Row],[Scope Element]],0)</f>
        <v>0</v>
      </c>
      <c r="B189">
        <f>IFERROR(MaterialsBoQ[[#This Row],[Material ]],"")</f>
        <v>0</v>
      </c>
      <c r="C189">
        <f>IFERROR(MaterialsBoQ[[#This Row],[Unit]],"")</f>
        <v>0</v>
      </c>
      <c r="D189" s="322">
        <f>IFERROR(MaterialsBoQ[[#This Row],[Number]],0)</f>
        <v>0</v>
      </c>
      <c r="E189" s="322">
        <f>IFERROR(MaterialsBoQ[[#This Row],[Kg per unit]],0)</f>
        <v>0</v>
      </c>
      <c r="F189" s="322">
        <f>IFERROR(Calculations[[#This Row],[Number]]*Calculations[[#This Row],[Conversion factor]],0)</f>
        <v>0</v>
      </c>
      <c r="G189" s="322">
        <f>IFERROR(VLOOKUP(Calculations[[#This Row],[Material (choose from dropdown]],MaterialData[#All],7,FALSE),0)</f>
        <v>0</v>
      </c>
      <c r="H189" s="322">
        <f>Calculations[[#This Row],[Total Kg]]*Calculations[[#This Row],[Carbon Factor]]</f>
        <v>0</v>
      </c>
      <c r="I189" t="str">
        <f>IFERROR(VLOOKUP(Calculations[[#This Row],[Material (choose from dropdown]],MaterialData[#All],2,FALSE),"")</f>
        <v/>
      </c>
      <c r="J189" s="322">
        <f>IFERROR(((VLOOKUP(Calculations[[#This Row],[TransportSource]],TransportDistance[],2,FALSE)*'Stage assumptions'!$C$11)+VLOOKUP(Calculations[[#This Row],[TransportSource]],TransportDistance[],3,FALSE)*'Stage assumptions'!$C$12)*Calculations[[#This Row],[Total Kg]],0)</f>
        <v>0</v>
      </c>
      <c r="K189">
        <f>IFERROR(VLOOKUP(Calculations[[#This Row],[Material (choose from dropdown]], MaterialData[#All],3, FALSE),0)</f>
        <v>0</v>
      </c>
      <c r="L189" s="322">
        <f>IFERROR(VLOOKUP(Calculations[[#This Row],[A5type]],A5WastageRate[#All],2,FALSE)*Calculations[[#This Row],[A1-3]],0)</f>
        <v>0</v>
      </c>
      <c r="N189">
        <f>IFERROR(ROUNDUP(50/VLOOKUP(Calculations[[#This Row],[Scope Element]],B4referenceServiceLife[[Tier 2 element]:[Default Service Life]],2, FALSE)-1,0),0)</f>
        <v>0</v>
      </c>
      <c r="O189" s="322">
        <f>IFERROR((Calculations[[#This Row],[A1-3]]+Calculations[[#This Row],[A4]]+Calculations[[#This Row],[A5]]+Calculations[[#This Row],[C2 total]]+Calculations[[#This Row],[C3 total]]+Calculations[[#This Row],[C4 total]])*Calculations[[#This Row],[Replacements]],0)</f>
        <v>0</v>
      </c>
      <c r="S189" t="str">
        <f>IFERROR(VLOOKUP(Calculations[[#This Row],[Material (choose from dropdown]],MaterialData[#All],4,FALSE),"")</f>
        <v/>
      </c>
      <c r="T189" s="322" cm="1">
        <f t="array" ref="T189">IFERROR(VLOOKUP(Calculations[[#This Row],[Waste 1]],WasteScenario[#All],2,FALSE)*'Stage assumptions'!$C$225*WasteTransportMethod[Emissions Factor
kgCO2e/kg.km]*Calculations[[#This Row],[Total Kg]],0)</f>
        <v>0</v>
      </c>
      <c r="U189" s="322" cm="1">
        <f t="array" ref="U189">IFERROR(VLOOKUP(Calculations[[#This Row],[Waste 1]],WasteScenario[#All],3,FALSE)*'Stage assumptions'!$C$224*WasteTransportMethod[Emissions Factor
kgCO2e/kg.km]*Calculations[[#This Row],[Total Kg]],0)</f>
        <v>0</v>
      </c>
      <c r="V189" s="322" cm="1">
        <f t="array" ref="V189">IFERROR(VLOOKUP(Calculations[[#This Row],[Waste 1]],WasteScenario[#All],4,FALSE)*'Stage assumptions'!$C$223*WasteTransportMethod[Emissions Factor
kgCO2e/kg.km]*Calculations[[#This Row],[Total Kg]],0)</f>
        <v>0</v>
      </c>
      <c r="W189" s="322" cm="1">
        <f t="array" ref="W189">IFERROR(VLOOKUP(Calculations[[#This Row],[Waste 1]],WasteScenario[#All],5,FALSE)*'Stage assumptions'!$C$226*WasteTransportMethod[Emissions Factor
kgCO2e/kg.km]*Calculations[[#This Row],[Total Kg]],0)</f>
        <v>0</v>
      </c>
      <c r="X189" s="322">
        <f>SUM(Calculations[[#This Row],[C2 Recycle]:[C2 Reuse]])</f>
        <v>0</v>
      </c>
      <c r="Y189" t="str">
        <f>IFERROR(VLOOKUP(Calculations[[#This Row],[Material (choose from dropdown]],MaterialData[#All],5,FALSE),"")</f>
        <v/>
      </c>
      <c r="Z189" s="322">
        <f>IFERROR(((VLOOKUP(Calculations[[#This Row],[Waste type 2]],WasteDisposalEmissions[#All],2,FALSE))*Calculations[[#This Row],[Total Kg]])*VLOOKUP(Calculations[[#This Row],[Waste 1]],WasteScenario[#All],2,FALSE),0)</f>
        <v>0</v>
      </c>
      <c r="AA189" s="322">
        <f>IFERROR((VLOOKUP(Calculations[[#This Row],[Waste type 2]],WasteDisposalEmissions[#All],3,FALSE))*Calculations[[#This Row],[Total Kg]]*VLOOKUP(Calculations[[#This Row],[Waste 1]],WasteScenario[#All],3,FALSE),0)</f>
        <v>0</v>
      </c>
      <c r="AB189" s="322">
        <f>SUM(Calculations[[#This Row],[C3 recyc]:[C3 incin]])</f>
        <v>0</v>
      </c>
      <c r="AC189" s="322">
        <f>IFERROR((VLOOKUP(Calculations[[#This Row],[Waste type 2]],WasteLandfillEmissions[#All],2,FALSE))*Calculations[[#This Row],[Total Kg]]*VLOOKUP(Calculations[[#This Row],[Waste 1]],WasteScenario[#All],4,FALSE),0)</f>
        <v>0</v>
      </c>
      <c r="AD189" s="322">
        <f>IFERROR((VLOOKUP(Calculations[[#This Row],[Waste type 2]],WasteLandfillEmissions[#All],3,FALSE))*Calculations[[#This Row],[Total Kg]]*VLOOKUP(Calculations[[#This Row],[Waste 1]],WasteScenario[#All],4,FALSE),0)</f>
        <v>0</v>
      </c>
      <c r="AE189" s="322">
        <f>SUM(Calculations[[#This Row],[C4 landfill]:[C4 re-use]])</f>
        <v>0</v>
      </c>
      <c r="AF189" s="322">
        <f>IFERROR(VLOOKUP(Calculations[[#This Row],[Material (choose from dropdown]],MaterialData[#All],8,FALSE),0)</f>
        <v>0</v>
      </c>
      <c r="AG189" s="322">
        <f>IFERROR(Calculations[[#This Row],[Total Kg]]*Calculations[[#This Row],[Seq factor]],0)</f>
        <v>0</v>
      </c>
      <c r="AI189" s="322">
        <f>Calculations[[#This Row],[A1-3]]+Calculations[[#This Row],[A4]]+Calculations[[#This Row],[A5]]+Calculations[[#This Row],[B4]]+Calculations[[#This Row],[C2 total]]+Calculations[[#This Row],[C3 total]]+Calculations[[#This Row],[C4 total]]</f>
        <v>0</v>
      </c>
      <c r="AJ189" s="2">
        <f>IFERROR(VLOOKUP(Calculations[[#This Row],[Material (choose from dropdown]],MaterialData[[#Headers],[#Data]],9,FALSE),0)</f>
        <v>0</v>
      </c>
      <c r="AK189" s="4">
        <f>IFERROR(VLOOKUP(Calculations[[#This Row],[Material (choose from dropdown]],MaterialData[[#Headers],[#Data]],10,FALSE),0)</f>
        <v>0</v>
      </c>
      <c r="AL189" s="322">
        <f>IFERROR(Calculations[[#This Row],[Data Quality Score]]*Calculations[[#This Row],[Total Kg]],0)</f>
        <v>0</v>
      </c>
    </row>
    <row r="190" spans="1:38" x14ac:dyDescent="0.3">
      <c r="A190" s="6">
        <f>IFERROR(MaterialsBoQ[[#This Row],[Scope Element]],0)</f>
        <v>0</v>
      </c>
      <c r="B190">
        <f>IFERROR(MaterialsBoQ[[#This Row],[Material ]],"")</f>
        <v>0</v>
      </c>
      <c r="C190">
        <f>IFERROR(MaterialsBoQ[[#This Row],[Unit]],"")</f>
        <v>0</v>
      </c>
      <c r="D190" s="322">
        <f>IFERROR(MaterialsBoQ[[#This Row],[Number]],0)</f>
        <v>0</v>
      </c>
      <c r="E190" s="322">
        <f>IFERROR(MaterialsBoQ[[#This Row],[Kg per unit]],0)</f>
        <v>0</v>
      </c>
      <c r="F190" s="322">
        <f>IFERROR(Calculations[[#This Row],[Number]]*Calculations[[#This Row],[Conversion factor]],0)</f>
        <v>0</v>
      </c>
      <c r="G190" s="322">
        <f>IFERROR(VLOOKUP(Calculations[[#This Row],[Material (choose from dropdown]],MaterialData[#All],7,FALSE),0)</f>
        <v>0</v>
      </c>
      <c r="H190" s="322">
        <f>Calculations[[#This Row],[Total Kg]]*Calculations[[#This Row],[Carbon Factor]]</f>
        <v>0</v>
      </c>
      <c r="I190" t="str">
        <f>IFERROR(VLOOKUP(Calculations[[#This Row],[Material (choose from dropdown]],MaterialData[#All],2,FALSE),"")</f>
        <v/>
      </c>
      <c r="J190" s="322">
        <f>IFERROR(((VLOOKUP(Calculations[[#This Row],[TransportSource]],TransportDistance[],2,FALSE)*'Stage assumptions'!$C$11)+VLOOKUP(Calculations[[#This Row],[TransportSource]],TransportDistance[],3,FALSE)*'Stage assumptions'!$C$12)*Calculations[[#This Row],[Total Kg]],0)</f>
        <v>0</v>
      </c>
      <c r="K190">
        <f>IFERROR(VLOOKUP(Calculations[[#This Row],[Material (choose from dropdown]], MaterialData[#All],3, FALSE),0)</f>
        <v>0</v>
      </c>
      <c r="L190" s="322">
        <f>IFERROR(VLOOKUP(Calculations[[#This Row],[A5type]],A5WastageRate[#All],2,FALSE)*Calculations[[#This Row],[A1-3]],0)</f>
        <v>0</v>
      </c>
      <c r="N190">
        <f>IFERROR(ROUNDUP(50/VLOOKUP(Calculations[[#This Row],[Scope Element]],B4referenceServiceLife[[Tier 2 element]:[Default Service Life]],2, FALSE)-1,0),0)</f>
        <v>0</v>
      </c>
      <c r="O190" s="322">
        <f>IFERROR((Calculations[[#This Row],[A1-3]]+Calculations[[#This Row],[A4]]+Calculations[[#This Row],[A5]]+Calculations[[#This Row],[C2 total]]+Calculations[[#This Row],[C3 total]]+Calculations[[#This Row],[C4 total]])*Calculations[[#This Row],[Replacements]],0)</f>
        <v>0</v>
      </c>
      <c r="S190" t="str">
        <f>IFERROR(VLOOKUP(Calculations[[#This Row],[Material (choose from dropdown]],MaterialData[#All],4,FALSE),"")</f>
        <v/>
      </c>
      <c r="T190" s="322" cm="1">
        <f t="array" ref="T190">IFERROR(VLOOKUP(Calculations[[#This Row],[Waste 1]],WasteScenario[#All],2,FALSE)*'Stage assumptions'!$C$225*WasteTransportMethod[Emissions Factor
kgCO2e/kg.km]*Calculations[[#This Row],[Total Kg]],0)</f>
        <v>0</v>
      </c>
      <c r="U190" s="322" cm="1">
        <f t="array" ref="U190">IFERROR(VLOOKUP(Calculations[[#This Row],[Waste 1]],WasteScenario[#All],3,FALSE)*'Stage assumptions'!$C$224*WasteTransportMethod[Emissions Factor
kgCO2e/kg.km]*Calculations[[#This Row],[Total Kg]],0)</f>
        <v>0</v>
      </c>
      <c r="V190" s="322" cm="1">
        <f t="array" ref="V190">IFERROR(VLOOKUP(Calculations[[#This Row],[Waste 1]],WasteScenario[#All],4,FALSE)*'Stage assumptions'!$C$223*WasteTransportMethod[Emissions Factor
kgCO2e/kg.km]*Calculations[[#This Row],[Total Kg]],0)</f>
        <v>0</v>
      </c>
      <c r="W190" s="322" cm="1">
        <f t="array" ref="W190">IFERROR(VLOOKUP(Calculations[[#This Row],[Waste 1]],WasteScenario[#All],5,FALSE)*'Stage assumptions'!$C$226*WasteTransportMethod[Emissions Factor
kgCO2e/kg.km]*Calculations[[#This Row],[Total Kg]],0)</f>
        <v>0</v>
      </c>
      <c r="X190" s="322">
        <f>SUM(Calculations[[#This Row],[C2 Recycle]:[C2 Reuse]])</f>
        <v>0</v>
      </c>
      <c r="Y190" t="str">
        <f>IFERROR(VLOOKUP(Calculations[[#This Row],[Material (choose from dropdown]],MaterialData[#All],5,FALSE),"")</f>
        <v/>
      </c>
      <c r="Z190" s="322">
        <f>IFERROR(((VLOOKUP(Calculations[[#This Row],[Waste type 2]],WasteDisposalEmissions[#All],2,FALSE))*Calculations[[#This Row],[Total Kg]])*VLOOKUP(Calculations[[#This Row],[Waste 1]],WasteScenario[#All],2,FALSE),0)</f>
        <v>0</v>
      </c>
      <c r="AA190" s="322">
        <f>IFERROR((VLOOKUP(Calculations[[#This Row],[Waste type 2]],WasteDisposalEmissions[#All],3,FALSE))*Calculations[[#This Row],[Total Kg]]*VLOOKUP(Calculations[[#This Row],[Waste 1]],WasteScenario[#All],3,FALSE),0)</f>
        <v>0</v>
      </c>
      <c r="AB190" s="322">
        <f>SUM(Calculations[[#This Row],[C3 recyc]:[C3 incin]])</f>
        <v>0</v>
      </c>
      <c r="AC190" s="322">
        <f>IFERROR((VLOOKUP(Calculations[[#This Row],[Waste type 2]],WasteLandfillEmissions[#All],2,FALSE))*Calculations[[#This Row],[Total Kg]]*VLOOKUP(Calculations[[#This Row],[Waste 1]],WasteScenario[#All],4,FALSE),0)</f>
        <v>0</v>
      </c>
      <c r="AD190" s="322">
        <f>IFERROR((VLOOKUP(Calculations[[#This Row],[Waste type 2]],WasteLandfillEmissions[#All],3,FALSE))*Calculations[[#This Row],[Total Kg]]*VLOOKUP(Calculations[[#This Row],[Waste 1]],WasteScenario[#All],4,FALSE),0)</f>
        <v>0</v>
      </c>
      <c r="AE190" s="322">
        <f>SUM(Calculations[[#This Row],[C4 landfill]:[C4 re-use]])</f>
        <v>0</v>
      </c>
      <c r="AF190" s="322">
        <f>IFERROR(VLOOKUP(Calculations[[#This Row],[Material (choose from dropdown]],MaterialData[#All],8,FALSE),0)</f>
        <v>0</v>
      </c>
      <c r="AG190" s="322">
        <f>IFERROR(Calculations[[#This Row],[Total Kg]]*Calculations[[#This Row],[Seq factor]],0)</f>
        <v>0</v>
      </c>
      <c r="AI190" s="322">
        <f>Calculations[[#This Row],[A1-3]]+Calculations[[#This Row],[A4]]+Calculations[[#This Row],[A5]]+Calculations[[#This Row],[B4]]+Calculations[[#This Row],[C2 total]]+Calculations[[#This Row],[C3 total]]+Calculations[[#This Row],[C4 total]]</f>
        <v>0</v>
      </c>
      <c r="AJ190" s="2">
        <f>IFERROR(VLOOKUP(Calculations[[#This Row],[Material (choose from dropdown]],MaterialData[[#Headers],[#Data]],9,FALSE),0)</f>
        <v>0</v>
      </c>
      <c r="AK190" s="4">
        <f>IFERROR(VLOOKUP(Calculations[[#This Row],[Material (choose from dropdown]],MaterialData[[#Headers],[#Data]],10,FALSE),0)</f>
        <v>0</v>
      </c>
      <c r="AL190" s="322">
        <f>IFERROR(Calculations[[#This Row],[Data Quality Score]]*Calculations[[#This Row],[Total Kg]],0)</f>
        <v>0</v>
      </c>
    </row>
    <row r="191" spans="1:38" x14ac:dyDescent="0.3">
      <c r="A191" s="6">
        <f>IFERROR(MaterialsBoQ[[#This Row],[Scope Element]],0)</f>
        <v>0</v>
      </c>
      <c r="B191">
        <f>IFERROR(MaterialsBoQ[[#This Row],[Material ]],"")</f>
        <v>0</v>
      </c>
      <c r="C191">
        <f>IFERROR(MaterialsBoQ[[#This Row],[Unit]],"")</f>
        <v>0</v>
      </c>
      <c r="D191" s="322">
        <f>IFERROR(MaterialsBoQ[[#This Row],[Number]],0)</f>
        <v>0</v>
      </c>
      <c r="E191" s="322">
        <f>IFERROR(MaterialsBoQ[[#This Row],[Kg per unit]],0)</f>
        <v>0</v>
      </c>
      <c r="F191" s="322">
        <f>IFERROR(Calculations[[#This Row],[Number]]*Calculations[[#This Row],[Conversion factor]],0)</f>
        <v>0</v>
      </c>
      <c r="G191" s="322">
        <f>IFERROR(VLOOKUP(Calculations[[#This Row],[Material (choose from dropdown]],MaterialData[#All],7,FALSE),0)</f>
        <v>0</v>
      </c>
      <c r="H191" s="322">
        <f>Calculations[[#This Row],[Total Kg]]*Calculations[[#This Row],[Carbon Factor]]</f>
        <v>0</v>
      </c>
      <c r="I191" t="str">
        <f>IFERROR(VLOOKUP(Calculations[[#This Row],[Material (choose from dropdown]],MaterialData[#All],2,FALSE),"")</f>
        <v/>
      </c>
      <c r="J191" s="322">
        <f>IFERROR(((VLOOKUP(Calculations[[#This Row],[TransportSource]],TransportDistance[],2,FALSE)*'Stage assumptions'!$C$11)+VLOOKUP(Calculations[[#This Row],[TransportSource]],TransportDistance[],3,FALSE)*'Stage assumptions'!$C$12)*Calculations[[#This Row],[Total Kg]],0)</f>
        <v>0</v>
      </c>
      <c r="K191">
        <f>IFERROR(VLOOKUP(Calculations[[#This Row],[Material (choose from dropdown]], MaterialData[#All],3, FALSE),0)</f>
        <v>0</v>
      </c>
      <c r="L191" s="322">
        <f>IFERROR(VLOOKUP(Calculations[[#This Row],[A5type]],A5WastageRate[#All],2,FALSE)*Calculations[[#This Row],[A1-3]],0)</f>
        <v>0</v>
      </c>
      <c r="N191">
        <f>IFERROR(ROUNDUP(50/VLOOKUP(Calculations[[#This Row],[Scope Element]],B4referenceServiceLife[[Tier 2 element]:[Default Service Life]],2, FALSE)-1,0),0)</f>
        <v>0</v>
      </c>
      <c r="O191" s="322">
        <f>IFERROR((Calculations[[#This Row],[A1-3]]+Calculations[[#This Row],[A4]]+Calculations[[#This Row],[A5]]+Calculations[[#This Row],[C2 total]]+Calculations[[#This Row],[C3 total]]+Calculations[[#This Row],[C4 total]])*Calculations[[#This Row],[Replacements]],0)</f>
        <v>0</v>
      </c>
      <c r="S191" t="str">
        <f>IFERROR(VLOOKUP(Calculations[[#This Row],[Material (choose from dropdown]],MaterialData[#All],4,FALSE),"")</f>
        <v/>
      </c>
      <c r="T191" s="322" cm="1">
        <f t="array" ref="T191">IFERROR(VLOOKUP(Calculations[[#This Row],[Waste 1]],WasteScenario[#All],2,FALSE)*'Stage assumptions'!$C$225*WasteTransportMethod[Emissions Factor
kgCO2e/kg.km]*Calculations[[#This Row],[Total Kg]],0)</f>
        <v>0</v>
      </c>
      <c r="U191" s="322" cm="1">
        <f t="array" ref="U191">IFERROR(VLOOKUP(Calculations[[#This Row],[Waste 1]],WasteScenario[#All],3,FALSE)*'Stage assumptions'!$C$224*WasteTransportMethod[Emissions Factor
kgCO2e/kg.km]*Calculations[[#This Row],[Total Kg]],0)</f>
        <v>0</v>
      </c>
      <c r="V191" s="322" cm="1">
        <f t="array" ref="V191">IFERROR(VLOOKUP(Calculations[[#This Row],[Waste 1]],WasteScenario[#All],4,FALSE)*'Stage assumptions'!$C$223*WasteTransportMethod[Emissions Factor
kgCO2e/kg.km]*Calculations[[#This Row],[Total Kg]],0)</f>
        <v>0</v>
      </c>
      <c r="W191" s="322" cm="1">
        <f t="array" ref="W191">IFERROR(VLOOKUP(Calculations[[#This Row],[Waste 1]],WasteScenario[#All],5,FALSE)*'Stage assumptions'!$C$226*WasteTransportMethod[Emissions Factor
kgCO2e/kg.km]*Calculations[[#This Row],[Total Kg]],0)</f>
        <v>0</v>
      </c>
      <c r="X191" s="322">
        <f>SUM(Calculations[[#This Row],[C2 Recycle]:[C2 Reuse]])</f>
        <v>0</v>
      </c>
      <c r="Y191" t="str">
        <f>IFERROR(VLOOKUP(Calculations[[#This Row],[Material (choose from dropdown]],MaterialData[#All],5,FALSE),"")</f>
        <v/>
      </c>
      <c r="Z191" s="322">
        <f>IFERROR(((VLOOKUP(Calculations[[#This Row],[Waste type 2]],WasteDisposalEmissions[#All],2,FALSE))*Calculations[[#This Row],[Total Kg]])*VLOOKUP(Calculations[[#This Row],[Waste 1]],WasteScenario[#All],2,FALSE),0)</f>
        <v>0</v>
      </c>
      <c r="AA191" s="322">
        <f>IFERROR((VLOOKUP(Calculations[[#This Row],[Waste type 2]],WasteDisposalEmissions[#All],3,FALSE))*Calculations[[#This Row],[Total Kg]]*VLOOKUP(Calculations[[#This Row],[Waste 1]],WasteScenario[#All],3,FALSE),0)</f>
        <v>0</v>
      </c>
      <c r="AB191" s="322">
        <f>SUM(Calculations[[#This Row],[C3 recyc]:[C3 incin]])</f>
        <v>0</v>
      </c>
      <c r="AC191" s="322">
        <f>IFERROR((VLOOKUP(Calculations[[#This Row],[Waste type 2]],WasteLandfillEmissions[#All],2,FALSE))*Calculations[[#This Row],[Total Kg]]*VLOOKUP(Calculations[[#This Row],[Waste 1]],WasteScenario[#All],4,FALSE),0)</f>
        <v>0</v>
      </c>
      <c r="AD191" s="322">
        <f>IFERROR((VLOOKUP(Calculations[[#This Row],[Waste type 2]],WasteLandfillEmissions[#All],3,FALSE))*Calculations[[#This Row],[Total Kg]]*VLOOKUP(Calculations[[#This Row],[Waste 1]],WasteScenario[#All],4,FALSE),0)</f>
        <v>0</v>
      </c>
      <c r="AE191" s="322">
        <f>SUM(Calculations[[#This Row],[C4 landfill]:[C4 re-use]])</f>
        <v>0</v>
      </c>
      <c r="AF191" s="322">
        <f>IFERROR(VLOOKUP(Calculations[[#This Row],[Material (choose from dropdown]],MaterialData[#All],8,FALSE),0)</f>
        <v>0</v>
      </c>
      <c r="AG191" s="322">
        <f>IFERROR(Calculations[[#This Row],[Total Kg]]*Calculations[[#This Row],[Seq factor]],0)</f>
        <v>0</v>
      </c>
      <c r="AI191" s="322">
        <f>Calculations[[#This Row],[A1-3]]+Calculations[[#This Row],[A4]]+Calculations[[#This Row],[A5]]+Calculations[[#This Row],[B4]]+Calculations[[#This Row],[C2 total]]+Calculations[[#This Row],[C3 total]]+Calculations[[#This Row],[C4 total]]</f>
        <v>0</v>
      </c>
      <c r="AJ191" s="2">
        <f>IFERROR(VLOOKUP(Calculations[[#This Row],[Material (choose from dropdown]],MaterialData[[#Headers],[#Data]],9,FALSE),0)</f>
        <v>0</v>
      </c>
      <c r="AK191" s="4">
        <f>IFERROR(VLOOKUP(Calculations[[#This Row],[Material (choose from dropdown]],MaterialData[[#Headers],[#Data]],10,FALSE),0)</f>
        <v>0</v>
      </c>
      <c r="AL191" s="322">
        <f>IFERROR(Calculations[[#This Row],[Data Quality Score]]*Calculations[[#This Row],[Total Kg]],0)</f>
        <v>0</v>
      </c>
    </row>
    <row r="192" spans="1:38" x14ac:dyDescent="0.3">
      <c r="A192" s="6">
        <f>IFERROR(MaterialsBoQ[[#This Row],[Scope Element]],0)</f>
        <v>0</v>
      </c>
      <c r="B192">
        <f>IFERROR(MaterialsBoQ[[#This Row],[Material ]],"")</f>
        <v>0</v>
      </c>
      <c r="C192">
        <f>IFERROR(MaterialsBoQ[[#This Row],[Unit]],"")</f>
        <v>0</v>
      </c>
      <c r="D192" s="322">
        <f>IFERROR(MaterialsBoQ[[#This Row],[Number]],0)</f>
        <v>0</v>
      </c>
      <c r="E192" s="322">
        <f>IFERROR(MaterialsBoQ[[#This Row],[Kg per unit]],0)</f>
        <v>0</v>
      </c>
      <c r="F192" s="322">
        <f>IFERROR(Calculations[[#This Row],[Number]]*Calculations[[#This Row],[Conversion factor]],0)</f>
        <v>0</v>
      </c>
      <c r="G192" s="322">
        <f>IFERROR(VLOOKUP(Calculations[[#This Row],[Material (choose from dropdown]],MaterialData[#All],7,FALSE),0)</f>
        <v>0</v>
      </c>
      <c r="H192" s="322">
        <f>Calculations[[#This Row],[Total Kg]]*Calculations[[#This Row],[Carbon Factor]]</f>
        <v>0</v>
      </c>
      <c r="I192" t="str">
        <f>IFERROR(VLOOKUP(Calculations[[#This Row],[Material (choose from dropdown]],MaterialData[#All],2,FALSE),"")</f>
        <v/>
      </c>
      <c r="J192" s="322">
        <f>IFERROR(((VLOOKUP(Calculations[[#This Row],[TransportSource]],TransportDistance[],2,FALSE)*'Stage assumptions'!$C$11)+VLOOKUP(Calculations[[#This Row],[TransportSource]],TransportDistance[],3,FALSE)*'Stage assumptions'!$C$12)*Calculations[[#This Row],[Total Kg]],0)</f>
        <v>0</v>
      </c>
      <c r="K192">
        <f>IFERROR(VLOOKUP(Calculations[[#This Row],[Material (choose from dropdown]], MaterialData[#All],3, FALSE),0)</f>
        <v>0</v>
      </c>
      <c r="L192" s="322">
        <f>IFERROR(VLOOKUP(Calculations[[#This Row],[A5type]],A5WastageRate[#All],2,FALSE)*Calculations[[#This Row],[A1-3]],0)</f>
        <v>0</v>
      </c>
      <c r="N192">
        <f>IFERROR(ROUNDUP(50/VLOOKUP(Calculations[[#This Row],[Scope Element]],B4referenceServiceLife[[Tier 2 element]:[Default Service Life]],2, FALSE)-1,0),0)</f>
        <v>0</v>
      </c>
      <c r="O192" s="322">
        <f>IFERROR((Calculations[[#This Row],[A1-3]]+Calculations[[#This Row],[A4]]+Calculations[[#This Row],[A5]]+Calculations[[#This Row],[C2 total]]+Calculations[[#This Row],[C3 total]]+Calculations[[#This Row],[C4 total]])*Calculations[[#This Row],[Replacements]],0)</f>
        <v>0</v>
      </c>
      <c r="S192" t="str">
        <f>IFERROR(VLOOKUP(Calculations[[#This Row],[Material (choose from dropdown]],MaterialData[#All],4,FALSE),"")</f>
        <v/>
      </c>
      <c r="T192" s="322" cm="1">
        <f t="array" ref="T192">IFERROR(VLOOKUP(Calculations[[#This Row],[Waste 1]],WasteScenario[#All],2,FALSE)*'Stage assumptions'!$C$225*WasteTransportMethod[Emissions Factor
kgCO2e/kg.km]*Calculations[[#This Row],[Total Kg]],0)</f>
        <v>0</v>
      </c>
      <c r="U192" s="322" cm="1">
        <f t="array" ref="U192">IFERROR(VLOOKUP(Calculations[[#This Row],[Waste 1]],WasteScenario[#All],3,FALSE)*'Stage assumptions'!$C$224*WasteTransportMethod[Emissions Factor
kgCO2e/kg.km]*Calculations[[#This Row],[Total Kg]],0)</f>
        <v>0</v>
      </c>
      <c r="V192" s="322" cm="1">
        <f t="array" ref="V192">IFERROR(VLOOKUP(Calculations[[#This Row],[Waste 1]],WasteScenario[#All],4,FALSE)*'Stage assumptions'!$C$223*WasteTransportMethod[Emissions Factor
kgCO2e/kg.km]*Calculations[[#This Row],[Total Kg]],0)</f>
        <v>0</v>
      </c>
      <c r="W192" s="322" cm="1">
        <f t="array" ref="W192">IFERROR(VLOOKUP(Calculations[[#This Row],[Waste 1]],WasteScenario[#All],5,FALSE)*'Stage assumptions'!$C$226*WasteTransportMethod[Emissions Factor
kgCO2e/kg.km]*Calculations[[#This Row],[Total Kg]],0)</f>
        <v>0</v>
      </c>
      <c r="X192" s="322">
        <f>SUM(Calculations[[#This Row],[C2 Recycle]:[C2 Reuse]])</f>
        <v>0</v>
      </c>
      <c r="Y192" t="str">
        <f>IFERROR(VLOOKUP(Calculations[[#This Row],[Material (choose from dropdown]],MaterialData[#All],5,FALSE),"")</f>
        <v/>
      </c>
      <c r="Z192" s="322">
        <f>IFERROR(((VLOOKUP(Calculations[[#This Row],[Waste type 2]],WasteDisposalEmissions[#All],2,FALSE))*Calculations[[#This Row],[Total Kg]])*VLOOKUP(Calculations[[#This Row],[Waste 1]],WasteScenario[#All],2,FALSE),0)</f>
        <v>0</v>
      </c>
      <c r="AA192" s="322">
        <f>IFERROR((VLOOKUP(Calculations[[#This Row],[Waste type 2]],WasteDisposalEmissions[#All],3,FALSE))*Calculations[[#This Row],[Total Kg]]*VLOOKUP(Calculations[[#This Row],[Waste 1]],WasteScenario[#All],3,FALSE),0)</f>
        <v>0</v>
      </c>
      <c r="AB192" s="322">
        <f>SUM(Calculations[[#This Row],[C3 recyc]:[C3 incin]])</f>
        <v>0</v>
      </c>
      <c r="AC192" s="322">
        <f>IFERROR((VLOOKUP(Calculations[[#This Row],[Waste type 2]],WasteLandfillEmissions[#All],2,FALSE))*Calculations[[#This Row],[Total Kg]]*VLOOKUP(Calculations[[#This Row],[Waste 1]],WasteScenario[#All],4,FALSE),0)</f>
        <v>0</v>
      </c>
      <c r="AD192" s="322">
        <f>IFERROR((VLOOKUP(Calculations[[#This Row],[Waste type 2]],WasteLandfillEmissions[#All],3,FALSE))*Calculations[[#This Row],[Total Kg]]*VLOOKUP(Calculations[[#This Row],[Waste 1]],WasteScenario[#All],4,FALSE),0)</f>
        <v>0</v>
      </c>
      <c r="AE192" s="322">
        <f>SUM(Calculations[[#This Row],[C4 landfill]:[C4 re-use]])</f>
        <v>0</v>
      </c>
      <c r="AF192" s="322">
        <f>IFERROR(VLOOKUP(Calculations[[#This Row],[Material (choose from dropdown]],MaterialData[#All],8,FALSE),0)</f>
        <v>0</v>
      </c>
      <c r="AG192" s="322">
        <f>IFERROR(Calculations[[#This Row],[Total Kg]]*Calculations[[#This Row],[Seq factor]],0)</f>
        <v>0</v>
      </c>
      <c r="AI192" s="322">
        <f>Calculations[[#This Row],[A1-3]]+Calculations[[#This Row],[A4]]+Calculations[[#This Row],[A5]]+Calculations[[#This Row],[B4]]+Calculations[[#This Row],[C2 total]]+Calculations[[#This Row],[C3 total]]+Calculations[[#This Row],[C4 total]]</f>
        <v>0</v>
      </c>
      <c r="AJ192" s="2">
        <f>IFERROR(VLOOKUP(Calculations[[#This Row],[Material (choose from dropdown]],MaterialData[[#Headers],[#Data]],9,FALSE),0)</f>
        <v>0</v>
      </c>
      <c r="AK192" s="4">
        <f>IFERROR(VLOOKUP(Calculations[[#This Row],[Material (choose from dropdown]],MaterialData[[#Headers],[#Data]],10,FALSE),0)</f>
        <v>0</v>
      </c>
      <c r="AL192" s="322">
        <f>IFERROR(Calculations[[#This Row],[Data Quality Score]]*Calculations[[#This Row],[Total Kg]],0)</f>
        <v>0</v>
      </c>
    </row>
    <row r="193" spans="1:38" x14ac:dyDescent="0.3">
      <c r="A193" s="6">
        <f>IFERROR(MaterialsBoQ[[#This Row],[Scope Element]],0)</f>
        <v>0</v>
      </c>
      <c r="B193">
        <f>IFERROR(MaterialsBoQ[[#This Row],[Material ]],"")</f>
        <v>0</v>
      </c>
      <c r="C193">
        <f>IFERROR(MaterialsBoQ[[#This Row],[Unit]],"")</f>
        <v>0</v>
      </c>
      <c r="D193" s="322">
        <f>IFERROR(MaterialsBoQ[[#This Row],[Number]],0)</f>
        <v>0</v>
      </c>
      <c r="E193" s="322">
        <f>IFERROR(MaterialsBoQ[[#This Row],[Kg per unit]],0)</f>
        <v>0</v>
      </c>
      <c r="F193" s="322">
        <f>IFERROR(Calculations[[#This Row],[Number]]*Calculations[[#This Row],[Conversion factor]],0)</f>
        <v>0</v>
      </c>
      <c r="G193" s="322">
        <f>IFERROR(VLOOKUP(Calculations[[#This Row],[Material (choose from dropdown]],MaterialData[#All],7,FALSE),0)</f>
        <v>0</v>
      </c>
      <c r="H193" s="322">
        <f>Calculations[[#This Row],[Total Kg]]*Calculations[[#This Row],[Carbon Factor]]</f>
        <v>0</v>
      </c>
      <c r="I193" t="str">
        <f>IFERROR(VLOOKUP(Calculations[[#This Row],[Material (choose from dropdown]],MaterialData[#All],2,FALSE),"")</f>
        <v/>
      </c>
      <c r="J193" s="322">
        <f>IFERROR(((VLOOKUP(Calculations[[#This Row],[TransportSource]],TransportDistance[],2,FALSE)*'Stage assumptions'!$C$11)+VLOOKUP(Calculations[[#This Row],[TransportSource]],TransportDistance[],3,FALSE)*'Stage assumptions'!$C$12)*Calculations[[#This Row],[Total Kg]],0)</f>
        <v>0</v>
      </c>
      <c r="K193">
        <f>IFERROR(VLOOKUP(Calculations[[#This Row],[Material (choose from dropdown]], MaterialData[#All],3, FALSE),0)</f>
        <v>0</v>
      </c>
      <c r="L193" s="322">
        <f>IFERROR(VLOOKUP(Calculations[[#This Row],[A5type]],A5WastageRate[#All],2,FALSE)*Calculations[[#This Row],[A1-3]],0)</f>
        <v>0</v>
      </c>
      <c r="N193">
        <f>IFERROR(ROUNDUP(50/VLOOKUP(Calculations[[#This Row],[Scope Element]],B4referenceServiceLife[[Tier 2 element]:[Default Service Life]],2, FALSE)-1,0),0)</f>
        <v>0</v>
      </c>
      <c r="O193" s="322">
        <f>IFERROR((Calculations[[#This Row],[A1-3]]+Calculations[[#This Row],[A4]]+Calculations[[#This Row],[A5]]+Calculations[[#This Row],[C2 total]]+Calculations[[#This Row],[C3 total]]+Calculations[[#This Row],[C4 total]])*Calculations[[#This Row],[Replacements]],0)</f>
        <v>0</v>
      </c>
      <c r="S193" t="str">
        <f>IFERROR(VLOOKUP(Calculations[[#This Row],[Material (choose from dropdown]],MaterialData[#All],4,FALSE),"")</f>
        <v/>
      </c>
      <c r="T193" s="322" cm="1">
        <f t="array" ref="T193">IFERROR(VLOOKUP(Calculations[[#This Row],[Waste 1]],WasteScenario[#All],2,FALSE)*'Stage assumptions'!$C$225*WasteTransportMethod[Emissions Factor
kgCO2e/kg.km]*Calculations[[#This Row],[Total Kg]],0)</f>
        <v>0</v>
      </c>
      <c r="U193" s="322" cm="1">
        <f t="array" ref="U193">IFERROR(VLOOKUP(Calculations[[#This Row],[Waste 1]],WasteScenario[#All],3,FALSE)*'Stage assumptions'!$C$224*WasteTransportMethod[Emissions Factor
kgCO2e/kg.km]*Calculations[[#This Row],[Total Kg]],0)</f>
        <v>0</v>
      </c>
      <c r="V193" s="322" cm="1">
        <f t="array" ref="V193">IFERROR(VLOOKUP(Calculations[[#This Row],[Waste 1]],WasteScenario[#All],4,FALSE)*'Stage assumptions'!$C$223*WasteTransportMethod[Emissions Factor
kgCO2e/kg.km]*Calculations[[#This Row],[Total Kg]],0)</f>
        <v>0</v>
      </c>
      <c r="W193" s="322" cm="1">
        <f t="array" ref="W193">IFERROR(VLOOKUP(Calculations[[#This Row],[Waste 1]],WasteScenario[#All],5,FALSE)*'Stage assumptions'!$C$226*WasteTransportMethod[Emissions Factor
kgCO2e/kg.km]*Calculations[[#This Row],[Total Kg]],0)</f>
        <v>0</v>
      </c>
      <c r="X193" s="322">
        <f>SUM(Calculations[[#This Row],[C2 Recycle]:[C2 Reuse]])</f>
        <v>0</v>
      </c>
      <c r="Y193" t="str">
        <f>IFERROR(VLOOKUP(Calculations[[#This Row],[Material (choose from dropdown]],MaterialData[#All],5,FALSE),"")</f>
        <v/>
      </c>
      <c r="Z193" s="322">
        <f>IFERROR(((VLOOKUP(Calculations[[#This Row],[Waste type 2]],WasteDisposalEmissions[#All],2,FALSE))*Calculations[[#This Row],[Total Kg]])*VLOOKUP(Calculations[[#This Row],[Waste 1]],WasteScenario[#All],2,FALSE),0)</f>
        <v>0</v>
      </c>
      <c r="AA193" s="322">
        <f>IFERROR((VLOOKUP(Calculations[[#This Row],[Waste type 2]],WasteDisposalEmissions[#All],3,FALSE))*Calculations[[#This Row],[Total Kg]]*VLOOKUP(Calculations[[#This Row],[Waste 1]],WasteScenario[#All],3,FALSE),0)</f>
        <v>0</v>
      </c>
      <c r="AB193" s="322">
        <f>SUM(Calculations[[#This Row],[C3 recyc]:[C3 incin]])</f>
        <v>0</v>
      </c>
      <c r="AC193" s="322">
        <f>IFERROR((VLOOKUP(Calculations[[#This Row],[Waste type 2]],WasteLandfillEmissions[#All],2,FALSE))*Calculations[[#This Row],[Total Kg]]*VLOOKUP(Calculations[[#This Row],[Waste 1]],WasteScenario[#All],4,FALSE),0)</f>
        <v>0</v>
      </c>
      <c r="AD193" s="322">
        <f>IFERROR((VLOOKUP(Calculations[[#This Row],[Waste type 2]],WasteLandfillEmissions[#All],3,FALSE))*Calculations[[#This Row],[Total Kg]]*VLOOKUP(Calculations[[#This Row],[Waste 1]],WasteScenario[#All],4,FALSE),0)</f>
        <v>0</v>
      </c>
      <c r="AE193" s="322">
        <f>SUM(Calculations[[#This Row],[C4 landfill]:[C4 re-use]])</f>
        <v>0</v>
      </c>
      <c r="AF193" s="322">
        <f>IFERROR(VLOOKUP(Calculations[[#This Row],[Material (choose from dropdown]],MaterialData[#All],8,FALSE),0)</f>
        <v>0</v>
      </c>
      <c r="AG193" s="322">
        <f>IFERROR(Calculations[[#This Row],[Total Kg]]*Calculations[[#This Row],[Seq factor]],0)</f>
        <v>0</v>
      </c>
      <c r="AI193" s="322">
        <f>Calculations[[#This Row],[A1-3]]+Calculations[[#This Row],[A4]]+Calculations[[#This Row],[A5]]+Calculations[[#This Row],[B4]]+Calculations[[#This Row],[C2 total]]+Calculations[[#This Row],[C3 total]]+Calculations[[#This Row],[C4 total]]</f>
        <v>0</v>
      </c>
      <c r="AJ193" s="2">
        <f>IFERROR(VLOOKUP(Calculations[[#This Row],[Material (choose from dropdown]],MaterialData[[#Headers],[#Data]],9,FALSE),0)</f>
        <v>0</v>
      </c>
      <c r="AK193" s="4">
        <f>IFERROR(VLOOKUP(Calculations[[#This Row],[Material (choose from dropdown]],MaterialData[[#Headers],[#Data]],10,FALSE),0)</f>
        <v>0</v>
      </c>
      <c r="AL193" s="322">
        <f>IFERROR(Calculations[[#This Row],[Data Quality Score]]*Calculations[[#This Row],[Total Kg]],0)</f>
        <v>0</v>
      </c>
    </row>
    <row r="194" spans="1:38" x14ac:dyDescent="0.3">
      <c r="A194" s="6">
        <f>IFERROR(MaterialsBoQ[[#This Row],[Scope Element]],0)</f>
        <v>0</v>
      </c>
      <c r="B194">
        <f>IFERROR(MaterialsBoQ[[#This Row],[Material ]],"")</f>
        <v>0</v>
      </c>
      <c r="C194">
        <f>IFERROR(MaterialsBoQ[[#This Row],[Unit]],"")</f>
        <v>0</v>
      </c>
      <c r="D194" s="322">
        <f>IFERROR(MaterialsBoQ[[#This Row],[Number]],0)</f>
        <v>0</v>
      </c>
      <c r="E194" s="322">
        <f>IFERROR(MaterialsBoQ[[#This Row],[Kg per unit]],0)</f>
        <v>0</v>
      </c>
      <c r="F194" s="322">
        <f>IFERROR(Calculations[[#This Row],[Number]]*Calculations[[#This Row],[Conversion factor]],0)</f>
        <v>0</v>
      </c>
      <c r="G194" s="322">
        <f>IFERROR(VLOOKUP(Calculations[[#This Row],[Material (choose from dropdown]],MaterialData[#All],7,FALSE),0)</f>
        <v>0</v>
      </c>
      <c r="H194" s="322">
        <f>Calculations[[#This Row],[Total Kg]]*Calculations[[#This Row],[Carbon Factor]]</f>
        <v>0</v>
      </c>
      <c r="I194" t="str">
        <f>IFERROR(VLOOKUP(Calculations[[#This Row],[Material (choose from dropdown]],MaterialData[#All],2,FALSE),"")</f>
        <v/>
      </c>
      <c r="J194" s="322">
        <f>IFERROR(((VLOOKUP(Calculations[[#This Row],[TransportSource]],TransportDistance[],2,FALSE)*'Stage assumptions'!$C$11)+VLOOKUP(Calculations[[#This Row],[TransportSource]],TransportDistance[],3,FALSE)*'Stage assumptions'!$C$12)*Calculations[[#This Row],[Total Kg]],0)</f>
        <v>0</v>
      </c>
      <c r="K194">
        <f>IFERROR(VLOOKUP(Calculations[[#This Row],[Material (choose from dropdown]], MaterialData[#All],3, FALSE),0)</f>
        <v>0</v>
      </c>
      <c r="L194" s="322">
        <f>IFERROR(VLOOKUP(Calculations[[#This Row],[A5type]],A5WastageRate[#All],2,FALSE)*Calculations[[#This Row],[A1-3]],0)</f>
        <v>0</v>
      </c>
      <c r="N194">
        <f>IFERROR(ROUNDUP(50/VLOOKUP(Calculations[[#This Row],[Scope Element]],B4referenceServiceLife[[Tier 2 element]:[Default Service Life]],2, FALSE)-1,0),0)</f>
        <v>0</v>
      </c>
      <c r="O194" s="322">
        <f>IFERROR((Calculations[[#This Row],[A1-3]]+Calculations[[#This Row],[A4]]+Calculations[[#This Row],[A5]]+Calculations[[#This Row],[C2 total]]+Calculations[[#This Row],[C3 total]]+Calculations[[#This Row],[C4 total]])*Calculations[[#This Row],[Replacements]],0)</f>
        <v>0</v>
      </c>
      <c r="S194" t="str">
        <f>IFERROR(VLOOKUP(Calculations[[#This Row],[Material (choose from dropdown]],MaterialData[#All],4,FALSE),"")</f>
        <v/>
      </c>
      <c r="T194" s="322" cm="1">
        <f t="array" ref="T194">IFERROR(VLOOKUP(Calculations[[#This Row],[Waste 1]],WasteScenario[#All],2,FALSE)*'Stage assumptions'!$C$225*WasteTransportMethod[Emissions Factor
kgCO2e/kg.km]*Calculations[[#This Row],[Total Kg]],0)</f>
        <v>0</v>
      </c>
      <c r="U194" s="322" cm="1">
        <f t="array" ref="U194">IFERROR(VLOOKUP(Calculations[[#This Row],[Waste 1]],WasteScenario[#All],3,FALSE)*'Stage assumptions'!$C$224*WasteTransportMethod[Emissions Factor
kgCO2e/kg.km]*Calculations[[#This Row],[Total Kg]],0)</f>
        <v>0</v>
      </c>
      <c r="V194" s="322" cm="1">
        <f t="array" ref="V194">IFERROR(VLOOKUP(Calculations[[#This Row],[Waste 1]],WasteScenario[#All],4,FALSE)*'Stage assumptions'!$C$223*WasteTransportMethod[Emissions Factor
kgCO2e/kg.km]*Calculations[[#This Row],[Total Kg]],0)</f>
        <v>0</v>
      </c>
      <c r="W194" s="322" cm="1">
        <f t="array" ref="W194">IFERROR(VLOOKUP(Calculations[[#This Row],[Waste 1]],WasteScenario[#All],5,FALSE)*'Stage assumptions'!$C$226*WasteTransportMethod[Emissions Factor
kgCO2e/kg.km]*Calculations[[#This Row],[Total Kg]],0)</f>
        <v>0</v>
      </c>
      <c r="X194" s="322">
        <f>SUM(Calculations[[#This Row],[C2 Recycle]:[C2 Reuse]])</f>
        <v>0</v>
      </c>
      <c r="Y194" t="str">
        <f>IFERROR(VLOOKUP(Calculations[[#This Row],[Material (choose from dropdown]],MaterialData[#All],5,FALSE),"")</f>
        <v/>
      </c>
      <c r="Z194" s="322">
        <f>IFERROR(((VLOOKUP(Calculations[[#This Row],[Waste type 2]],WasteDisposalEmissions[#All],2,FALSE))*Calculations[[#This Row],[Total Kg]])*VLOOKUP(Calculations[[#This Row],[Waste 1]],WasteScenario[#All],2,FALSE),0)</f>
        <v>0</v>
      </c>
      <c r="AA194" s="322">
        <f>IFERROR((VLOOKUP(Calculations[[#This Row],[Waste type 2]],WasteDisposalEmissions[#All],3,FALSE))*Calculations[[#This Row],[Total Kg]]*VLOOKUP(Calculations[[#This Row],[Waste 1]],WasteScenario[#All],3,FALSE),0)</f>
        <v>0</v>
      </c>
      <c r="AB194" s="322">
        <f>SUM(Calculations[[#This Row],[C3 recyc]:[C3 incin]])</f>
        <v>0</v>
      </c>
      <c r="AC194" s="322">
        <f>IFERROR((VLOOKUP(Calculations[[#This Row],[Waste type 2]],WasteLandfillEmissions[#All],2,FALSE))*Calculations[[#This Row],[Total Kg]]*VLOOKUP(Calculations[[#This Row],[Waste 1]],WasteScenario[#All],4,FALSE),0)</f>
        <v>0</v>
      </c>
      <c r="AD194" s="322">
        <f>IFERROR((VLOOKUP(Calculations[[#This Row],[Waste type 2]],WasteLandfillEmissions[#All],3,FALSE))*Calculations[[#This Row],[Total Kg]]*VLOOKUP(Calculations[[#This Row],[Waste 1]],WasteScenario[#All],4,FALSE),0)</f>
        <v>0</v>
      </c>
      <c r="AE194" s="322">
        <f>SUM(Calculations[[#This Row],[C4 landfill]:[C4 re-use]])</f>
        <v>0</v>
      </c>
      <c r="AF194" s="322">
        <f>IFERROR(VLOOKUP(Calculations[[#This Row],[Material (choose from dropdown]],MaterialData[#All],8,FALSE),0)</f>
        <v>0</v>
      </c>
      <c r="AG194" s="322">
        <f>IFERROR(Calculations[[#This Row],[Total Kg]]*Calculations[[#This Row],[Seq factor]],0)</f>
        <v>0</v>
      </c>
      <c r="AI194" s="322">
        <f>Calculations[[#This Row],[A1-3]]+Calculations[[#This Row],[A4]]+Calculations[[#This Row],[A5]]+Calculations[[#This Row],[B4]]+Calculations[[#This Row],[C2 total]]+Calculations[[#This Row],[C3 total]]+Calculations[[#This Row],[C4 total]]</f>
        <v>0</v>
      </c>
      <c r="AJ194" s="2">
        <f>IFERROR(VLOOKUP(Calculations[[#This Row],[Material (choose from dropdown]],MaterialData[[#Headers],[#Data]],9,FALSE),0)</f>
        <v>0</v>
      </c>
      <c r="AK194" s="4">
        <f>IFERROR(VLOOKUP(Calculations[[#This Row],[Material (choose from dropdown]],MaterialData[[#Headers],[#Data]],10,FALSE),0)</f>
        <v>0</v>
      </c>
      <c r="AL194" s="322">
        <f>IFERROR(Calculations[[#This Row],[Data Quality Score]]*Calculations[[#This Row],[Total Kg]],0)</f>
        <v>0</v>
      </c>
    </row>
    <row r="195" spans="1:38" x14ac:dyDescent="0.3">
      <c r="A195" s="6">
        <f>IFERROR(MaterialsBoQ[[#This Row],[Scope Element]],0)</f>
        <v>0</v>
      </c>
      <c r="B195">
        <f>IFERROR(MaterialsBoQ[[#This Row],[Material ]],"")</f>
        <v>0</v>
      </c>
      <c r="C195">
        <f>IFERROR(MaterialsBoQ[[#This Row],[Unit]],"")</f>
        <v>0</v>
      </c>
      <c r="D195" s="322">
        <f>IFERROR(MaterialsBoQ[[#This Row],[Number]],0)</f>
        <v>0</v>
      </c>
      <c r="E195" s="322">
        <f>IFERROR(MaterialsBoQ[[#This Row],[Kg per unit]],0)</f>
        <v>0</v>
      </c>
      <c r="F195" s="322">
        <f>IFERROR(Calculations[[#This Row],[Number]]*Calculations[[#This Row],[Conversion factor]],0)</f>
        <v>0</v>
      </c>
      <c r="G195" s="322">
        <f>IFERROR(VLOOKUP(Calculations[[#This Row],[Material (choose from dropdown]],MaterialData[#All],7,FALSE),0)</f>
        <v>0</v>
      </c>
      <c r="H195" s="322">
        <f>Calculations[[#This Row],[Total Kg]]*Calculations[[#This Row],[Carbon Factor]]</f>
        <v>0</v>
      </c>
      <c r="I195" t="str">
        <f>IFERROR(VLOOKUP(Calculations[[#This Row],[Material (choose from dropdown]],MaterialData[#All],2,FALSE),"")</f>
        <v/>
      </c>
      <c r="J195" s="322">
        <f>IFERROR(((VLOOKUP(Calculations[[#This Row],[TransportSource]],TransportDistance[],2,FALSE)*'Stage assumptions'!$C$11)+VLOOKUP(Calculations[[#This Row],[TransportSource]],TransportDistance[],3,FALSE)*'Stage assumptions'!$C$12)*Calculations[[#This Row],[Total Kg]],0)</f>
        <v>0</v>
      </c>
      <c r="K195">
        <f>IFERROR(VLOOKUP(Calculations[[#This Row],[Material (choose from dropdown]], MaterialData[#All],3, FALSE),0)</f>
        <v>0</v>
      </c>
      <c r="L195" s="322">
        <f>IFERROR(VLOOKUP(Calculations[[#This Row],[A5type]],A5WastageRate[#All],2,FALSE)*Calculations[[#This Row],[A1-3]],0)</f>
        <v>0</v>
      </c>
      <c r="N195">
        <f>IFERROR(ROUNDUP(50/VLOOKUP(Calculations[[#This Row],[Scope Element]],B4referenceServiceLife[[Tier 2 element]:[Default Service Life]],2, FALSE)-1,0),0)</f>
        <v>0</v>
      </c>
      <c r="O195" s="322">
        <f>IFERROR((Calculations[[#This Row],[A1-3]]+Calculations[[#This Row],[A4]]+Calculations[[#This Row],[A5]]+Calculations[[#This Row],[C2 total]]+Calculations[[#This Row],[C3 total]]+Calculations[[#This Row],[C4 total]])*Calculations[[#This Row],[Replacements]],0)</f>
        <v>0</v>
      </c>
      <c r="S195" t="str">
        <f>IFERROR(VLOOKUP(Calculations[[#This Row],[Material (choose from dropdown]],MaterialData[#All],4,FALSE),"")</f>
        <v/>
      </c>
      <c r="T195" s="322" cm="1">
        <f t="array" ref="T195">IFERROR(VLOOKUP(Calculations[[#This Row],[Waste 1]],WasteScenario[#All],2,FALSE)*'Stage assumptions'!$C$225*WasteTransportMethod[Emissions Factor
kgCO2e/kg.km]*Calculations[[#This Row],[Total Kg]],0)</f>
        <v>0</v>
      </c>
      <c r="U195" s="322" cm="1">
        <f t="array" ref="U195">IFERROR(VLOOKUP(Calculations[[#This Row],[Waste 1]],WasteScenario[#All],3,FALSE)*'Stage assumptions'!$C$224*WasteTransportMethod[Emissions Factor
kgCO2e/kg.km]*Calculations[[#This Row],[Total Kg]],0)</f>
        <v>0</v>
      </c>
      <c r="V195" s="322" cm="1">
        <f t="array" ref="V195">IFERROR(VLOOKUP(Calculations[[#This Row],[Waste 1]],WasteScenario[#All],4,FALSE)*'Stage assumptions'!$C$223*WasteTransportMethod[Emissions Factor
kgCO2e/kg.km]*Calculations[[#This Row],[Total Kg]],0)</f>
        <v>0</v>
      </c>
      <c r="W195" s="322" cm="1">
        <f t="array" ref="W195">IFERROR(VLOOKUP(Calculations[[#This Row],[Waste 1]],WasteScenario[#All],5,FALSE)*'Stage assumptions'!$C$226*WasteTransportMethod[Emissions Factor
kgCO2e/kg.km]*Calculations[[#This Row],[Total Kg]],0)</f>
        <v>0</v>
      </c>
      <c r="X195" s="322">
        <f>SUM(Calculations[[#This Row],[C2 Recycle]:[C2 Reuse]])</f>
        <v>0</v>
      </c>
      <c r="Y195" t="str">
        <f>IFERROR(VLOOKUP(Calculations[[#This Row],[Material (choose from dropdown]],MaterialData[#All],5,FALSE),"")</f>
        <v/>
      </c>
      <c r="Z195" s="322">
        <f>IFERROR(((VLOOKUP(Calculations[[#This Row],[Waste type 2]],WasteDisposalEmissions[#All],2,FALSE))*Calculations[[#This Row],[Total Kg]])*VLOOKUP(Calculations[[#This Row],[Waste 1]],WasteScenario[#All],2,FALSE),0)</f>
        <v>0</v>
      </c>
      <c r="AA195" s="322">
        <f>IFERROR((VLOOKUP(Calculations[[#This Row],[Waste type 2]],WasteDisposalEmissions[#All],3,FALSE))*Calculations[[#This Row],[Total Kg]]*VLOOKUP(Calculations[[#This Row],[Waste 1]],WasteScenario[#All],3,FALSE),0)</f>
        <v>0</v>
      </c>
      <c r="AB195" s="322">
        <f>SUM(Calculations[[#This Row],[C3 recyc]:[C3 incin]])</f>
        <v>0</v>
      </c>
      <c r="AC195" s="322">
        <f>IFERROR((VLOOKUP(Calculations[[#This Row],[Waste type 2]],WasteLandfillEmissions[#All],2,FALSE))*Calculations[[#This Row],[Total Kg]]*VLOOKUP(Calculations[[#This Row],[Waste 1]],WasteScenario[#All],4,FALSE),0)</f>
        <v>0</v>
      </c>
      <c r="AD195" s="322">
        <f>IFERROR((VLOOKUP(Calculations[[#This Row],[Waste type 2]],WasteLandfillEmissions[#All],3,FALSE))*Calculations[[#This Row],[Total Kg]]*VLOOKUP(Calculations[[#This Row],[Waste 1]],WasteScenario[#All],4,FALSE),0)</f>
        <v>0</v>
      </c>
      <c r="AE195" s="322">
        <f>SUM(Calculations[[#This Row],[C4 landfill]:[C4 re-use]])</f>
        <v>0</v>
      </c>
      <c r="AF195" s="322">
        <f>IFERROR(VLOOKUP(Calculations[[#This Row],[Material (choose from dropdown]],MaterialData[#All],8,FALSE),0)</f>
        <v>0</v>
      </c>
      <c r="AG195" s="322">
        <f>IFERROR(Calculations[[#This Row],[Total Kg]]*Calculations[[#This Row],[Seq factor]],0)</f>
        <v>0</v>
      </c>
      <c r="AI195" s="322">
        <f>Calculations[[#This Row],[A1-3]]+Calculations[[#This Row],[A4]]+Calculations[[#This Row],[A5]]+Calculations[[#This Row],[B4]]+Calculations[[#This Row],[C2 total]]+Calculations[[#This Row],[C3 total]]+Calculations[[#This Row],[C4 total]]</f>
        <v>0</v>
      </c>
      <c r="AJ195" s="2">
        <f>IFERROR(VLOOKUP(Calculations[[#This Row],[Material (choose from dropdown]],MaterialData[[#Headers],[#Data]],9,FALSE),0)</f>
        <v>0</v>
      </c>
      <c r="AK195" s="4">
        <f>IFERROR(VLOOKUP(Calculations[[#This Row],[Material (choose from dropdown]],MaterialData[[#Headers],[#Data]],10,FALSE),0)</f>
        <v>0</v>
      </c>
      <c r="AL195" s="322">
        <f>IFERROR(Calculations[[#This Row],[Data Quality Score]]*Calculations[[#This Row],[Total Kg]],0)</f>
        <v>0</v>
      </c>
    </row>
    <row r="196" spans="1:38" x14ac:dyDescent="0.3">
      <c r="A196" s="6">
        <f>IFERROR(MaterialsBoQ[[#This Row],[Scope Element]],0)</f>
        <v>0</v>
      </c>
      <c r="B196">
        <f>IFERROR(MaterialsBoQ[[#This Row],[Material ]],"")</f>
        <v>0</v>
      </c>
      <c r="C196">
        <f>IFERROR(MaterialsBoQ[[#This Row],[Unit]],"")</f>
        <v>0</v>
      </c>
      <c r="D196" s="322">
        <f>IFERROR(MaterialsBoQ[[#This Row],[Number]],0)</f>
        <v>0</v>
      </c>
      <c r="E196" s="322">
        <f>IFERROR(MaterialsBoQ[[#This Row],[Kg per unit]],0)</f>
        <v>0</v>
      </c>
      <c r="F196" s="322">
        <f>IFERROR(Calculations[[#This Row],[Number]]*Calculations[[#This Row],[Conversion factor]],0)</f>
        <v>0</v>
      </c>
      <c r="G196" s="322">
        <f>IFERROR(VLOOKUP(Calculations[[#This Row],[Material (choose from dropdown]],MaterialData[#All],7,FALSE),0)</f>
        <v>0</v>
      </c>
      <c r="H196" s="322">
        <f>Calculations[[#This Row],[Total Kg]]*Calculations[[#This Row],[Carbon Factor]]</f>
        <v>0</v>
      </c>
      <c r="I196" t="str">
        <f>IFERROR(VLOOKUP(Calculations[[#This Row],[Material (choose from dropdown]],MaterialData[#All],2,FALSE),"")</f>
        <v/>
      </c>
      <c r="J196" s="322">
        <f>IFERROR(((VLOOKUP(Calculations[[#This Row],[TransportSource]],TransportDistance[],2,FALSE)*'Stage assumptions'!$C$11)+VLOOKUP(Calculations[[#This Row],[TransportSource]],TransportDistance[],3,FALSE)*'Stage assumptions'!$C$12)*Calculations[[#This Row],[Total Kg]],0)</f>
        <v>0</v>
      </c>
      <c r="K196">
        <f>IFERROR(VLOOKUP(Calculations[[#This Row],[Material (choose from dropdown]], MaterialData[#All],3, FALSE),0)</f>
        <v>0</v>
      </c>
      <c r="L196" s="322">
        <f>IFERROR(VLOOKUP(Calculations[[#This Row],[A5type]],A5WastageRate[#All],2,FALSE)*Calculations[[#This Row],[A1-3]],0)</f>
        <v>0</v>
      </c>
      <c r="N196">
        <f>IFERROR(ROUNDUP(50/VLOOKUP(Calculations[[#This Row],[Scope Element]],B4referenceServiceLife[[Tier 2 element]:[Default Service Life]],2, FALSE)-1,0),0)</f>
        <v>0</v>
      </c>
      <c r="O196" s="322">
        <f>IFERROR((Calculations[[#This Row],[A1-3]]+Calculations[[#This Row],[A4]]+Calculations[[#This Row],[A5]]+Calculations[[#This Row],[C2 total]]+Calculations[[#This Row],[C3 total]]+Calculations[[#This Row],[C4 total]])*Calculations[[#This Row],[Replacements]],0)</f>
        <v>0</v>
      </c>
      <c r="S196" t="str">
        <f>IFERROR(VLOOKUP(Calculations[[#This Row],[Material (choose from dropdown]],MaterialData[#All],4,FALSE),"")</f>
        <v/>
      </c>
      <c r="T196" s="322" cm="1">
        <f t="array" ref="T196">IFERROR(VLOOKUP(Calculations[[#This Row],[Waste 1]],WasteScenario[#All],2,FALSE)*'Stage assumptions'!$C$225*WasteTransportMethod[Emissions Factor
kgCO2e/kg.km]*Calculations[[#This Row],[Total Kg]],0)</f>
        <v>0</v>
      </c>
      <c r="U196" s="322" cm="1">
        <f t="array" ref="U196">IFERROR(VLOOKUP(Calculations[[#This Row],[Waste 1]],WasteScenario[#All],3,FALSE)*'Stage assumptions'!$C$224*WasteTransportMethod[Emissions Factor
kgCO2e/kg.km]*Calculations[[#This Row],[Total Kg]],0)</f>
        <v>0</v>
      </c>
      <c r="V196" s="322" cm="1">
        <f t="array" ref="V196">IFERROR(VLOOKUP(Calculations[[#This Row],[Waste 1]],WasteScenario[#All],4,FALSE)*'Stage assumptions'!$C$223*WasteTransportMethod[Emissions Factor
kgCO2e/kg.km]*Calculations[[#This Row],[Total Kg]],0)</f>
        <v>0</v>
      </c>
      <c r="W196" s="322" cm="1">
        <f t="array" ref="W196">IFERROR(VLOOKUP(Calculations[[#This Row],[Waste 1]],WasteScenario[#All],5,FALSE)*'Stage assumptions'!$C$226*WasteTransportMethod[Emissions Factor
kgCO2e/kg.km]*Calculations[[#This Row],[Total Kg]],0)</f>
        <v>0</v>
      </c>
      <c r="X196" s="322">
        <f>SUM(Calculations[[#This Row],[C2 Recycle]:[C2 Reuse]])</f>
        <v>0</v>
      </c>
      <c r="Y196" t="str">
        <f>IFERROR(VLOOKUP(Calculations[[#This Row],[Material (choose from dropdown]],MaterialData[#All],5,FALSE),"")</f>
        <v/>
      </c>
      <c r="Z196" s="322">
        <f>IFERROR(((VLOOKUP(Calculations[[#This Row],[Waste type 2]],WasteDisposalEmissions[#All],2,FALSE))*Calculations[[#This Row],[Total Kg]])*VLOOKUP(Calculations[[#This Row],[Waste 1]],WasteScenario[#All],2,FALSE),0)</f>
        <v>0</v>
      </c>
      <c r="AA196" s="322">
        <f>IFERROR((VLOOKUP(Calculations[[#This Row],[Waste type 2]],WasteDisposalEmissions[#All],3,FALSE))*Calculations[[#This Row],[Total Kg]]*VLOOKUP(Calculations[[#This Row],[Waste 1]],WasteScenario[#All],3,FALSE),0)</f>
        <v>0</v>
      </c>
      <c r="AB196" s="322">
        <f>SUM(Calculations[[#This Row],[C3 recyc]:[C3 incin]])</f>
        <v>0</v>
      </c>
      <c r="AC196" s="322">
        <f>IFERROR((VLOOKUP(Calculations[[#This Row],[Waste type 2]],WasteLandfillEmissions[#All],2,FALSE))*Calculations[[#This Row],[Total Kg]]*VLOOKUP(Calculations[[#This Row],[Waste 1]],WasteScenario[#All],4,FALSE),0)</f>
        <v>0</v>
      </c>
      <c r="AD196" s="322">
        <f>IFERROR((VLOOKUP(Calculations[[#This Row],[Waste type 2]],WasteLandfillEmissions[#All],3,FALSE))*Calculations[[#This Row],[Total Kg]]*VLOOKUP(Calculations[[#This Row],[Waste 1]],WasteScenario[#All],4,FALSE),0)</f>
        <v>0</v>
      </c>
      <c r="AE196" s="322">
        <f>SUM(Calculations[[#This Row],[C4 landfill]:[C4 re-use]])</f>
        <v>0</v>
      </c>
      <c r="AF196" s="322">
        <f>IFERROR(VLOOKUP(Calculations[[#This Row],[Material (choose from dropdown]],MaterialData[#All],8,FALSE),0)</f>
        <v>0</v>
      </c>
      <c r="AG196" s="322">
        <f>IFERROR(Calculations[[#This Row],[Total Kg]]*Calculations[[#This Row],[Seq factor]],0)</f>
        <v>0</v>
      </c>
      <c r="AI196" s="322">
        <f>Calculations[[#This Row],[A1-3]]+Calculations[[#This Row],[A4]]+Calculations[[#This Row],[A5]]+Calculations[[#This Row],[B4]]+Calculations[[#This Row],[C2 total]]+Calculations[[#This Row],[C3 total]]+Calculations[[#This Row],[C4 total]]</f>
        <v>0</v>
      </c>
      <c r="AJ196" s="2">
        <f>IFERROR(VLOOKUP(Calculations[[#This Row],[Material (choose from dropdown]],MaterialData[[#Headers],[#Data]],9,FALSE),0)</f>
        <v>0</v>
      </c>
      <c r="AK196" s="4">
        <f>IFERROR(VLOOKUP(Calculations[[#This Row],[Material (choose from dropdown]],MaterialData[[#Headers],[#Data]],10,FALSE),0)</f>
        <v>0</v>
      </c>
      <c r="AL196" s="322">
        <f>IFERROR(Calculations[[#This Row],[Data Quality Score]]*Calculations[[#This Row],[Total Kg]],0)</f>
        <v>0</v>
      </c>
    </row>
    <row r="197" spans="1:38" x14ac:dyDescent="0.3">
      <c r="A197" s="6">
        <f>IFERROR(MaterialsBoQ[[#This Row],[Scope Element]],0)</f>
        <v>0</v>
      </c>
      <c r="B197">
        <f>IFERROR(MaterialsBoQ[[#This Row],[Material ]],"")</f>
        <v>0</v>
      </c>
      <c r="C197">
        <f>IFERROR(MaterialsBoQ[[#This Row],[Unit]],"")</f>
        <v>0</v>
      </c>
      <c r="D197" s="322">
        <f>IFERROR(MaterialsBoQ[[#This Row],[Number]],0)</f>
        <v>0</v>
      </c>
      <c r="E197" s="322">
        <f>IFERROR(MaterialsBoQ[[#This Row],[Kg per unit]],0)</f>
        <v>0</v>
      </c>
      <c r="F197" s="322">
        <f>IFERROR(Calculations[[#This Row],[Number]]*Calculations[[#This Row],[Conversion factor]],0)</f>
        <v>0</v>
      </c>
      <c r="G197" s="322">
        <f>IFERROR(VLOOKUP(Calculations[[#This Row],[Material (choose from dropdown]],MaterialData[#All],7,FALSE),0)</f>
        <v>0</v>
      </c>
      <c r="H197" s="322">
        <f>Calculations[[#This Row],[Total Kg]]*Calculations[[#This Row],[Carbon Factor]]</f>
        <v>0</v>
      </c>
      <c r="I197" t="str">
        <f>IFERROR(VLOOKUP(Calculations[[#This Row],[Material (choose from dropdown]],MaterialData[#All],2,FALSE),"")</f>
        <v/>
      </c>
      <c r="J197" s="322">
        <f>IFERROR(((VLOOKUP(Calculations[[#This Row],[TransportSource]],TransportDistance[],2,FALSE)*'Stage assumptions'!$C$11)+VLOOKUP(Calculations[[#This Row],[TransportSource]],TransportDistance[],3,FALSE)*'Stage assumptions'!$C$12)*Calculations[[#This Row],[Total Kg]],0)</f>
        <v>0</v>
      </c>
      <c r="K197">
        <f>IFERROR(VLOOKUP(Calculations[[#This Row],[Material (choose from dropdown]], MaterialData[#All],3, FALSE),0)</f>
        <v>0</v>
      </c>
      <c r="L197" s="322">
        <f>IFERROR(VLOOKUP(Calculations[[#This Row],[A5type]],A5WastageRate[#All],2,FALSE)*Calculations[[#This Row],[A1-3]],0)</f>
        <v>0</v>
      </c>
      <c r="N197">
        <f>IFERROR(ROUNDUP(50/VLOOKUP(Calculations[[#This Row],[Scope Element]],B4referenceServiceLife[[Tier 2 element]:[Default Service Life]],2, FALSE)-1,0),0)</f>
        <v>0</v>
      </c>
      <c r="O197" s="322">
        <f>IFERROR((Calculations[[#This Row],[A1-3]]+Calculations[[#This Row],[A4]]+Calculations[[#This Row],[A5]]+Calculations[[#This Row],[C2 total]]+Calculations[[#This Row],[C3 total]]+Calculations[[#This Row],[C4 total]])*Calculations[[#This Row],[Replacements]],0)</f>
        <v>0</v>
      </c>
      <c r="S197" t="str">
        <f>IFERROR(VLOOKUP(Calculations[[#This Row],[Material (choose from dropdown]],MaterialData[#All],4,FALSE),"")</f>
        <v/>
      </c>
      <c r="T197" s="322" cm="1">
        <f t="array" ref="T197">IFERROR(VLOOKUP(Calculations[[#This Row],[Waste 1]],WasteScenario[#All],2,FALSE)*'Stage assumptions'!$C$225*WasteTransportMethod[Emissions Factor
kgCO2e/kg.km]*Calculations[[#This Row],[Total Kg]],0)</f>
        <v>0</v>
      </c>
      <c r="U197" s="322" cm="1">
        <f t="array" ref="U197">IFERROR(VLOOKUP(Calculations[[#This Row],[Waste 1]],WasteScenario[#All],3,FALSE)*'Stage assumptions'!$C$224*WasteTransportMethod[Emissions Factor
kgCO2e/kg.km]*Calculations[[#This Row],[Total Kg]],0)</f>
        <v>0</v>
      </c>
      <c r="V197" s="322" cm="1">
        <f t="array" ref="V197">IFERROR(VLOOKUP(Calculations[[#This Row],[Waste 1]],WasteScenario[#All],4,FALSE)*'Stage assumptions'!$C$223*WasteTransportMethod[Emissions Factor
kgCO2e/kg.km]*Calculations[[#This Row],[Total Kg]],0)</f>
        <v>0</v>
      </c>
      <c r="W197" s="322" cm="1">
        <f t="array" ref="W197">IFERROR(VLOOKUP(Calculations[[#This Row],[Waste 1]],WasteScenario[#All],5,FALSE)*'Stage assumptions'!$C$226*WasteTransportMethod[Emissions Factor
kgCO2e/kg.km]*Calculations[[#This Row],[Total Kg]],0)</f>
        <v>0</v>
      </c>
      <c r="X197" s="322">
        <f>SUM(Calculations[[#This Row],[C2 Recycle]:[C2 Reuse]])</f>
        <v>0</v>
      </c>
      <c r="Y197" t="str">
        <f>IFERROR(VLOOKUP(Calculations[[#This Row],[Material (choose from dropdown]],MaterialData[#All],5,FALSE),"")</f>
        <v/>
      </c>
      <c r="Z197" s="322">
        <f>IFERROR(((VLOOKUP(Calculations[[#This Row],[Waste type 2]],WasteDisposalEmissions[#All],2,FALSE))*Calculations[[#This Row],[Total Kg]])*VLOOKUP(Calculations[[#This Row],[Waste 1]],WasteScenario[#All],2,FALSE),0)</f>
        <v>0</v>
      </c>
      <c r="AA197" s="322">
        <f>IFERROR((VLOOKUP(Calculations[[#This Row],[Waste type 2]],WasteDisposalEmissions[#All],3,FALSE))*Calculations[[#This Row],[Total Kg]]*VLOOKUP(Calculations[[#This Row],[Waste 1]],WasteScenario[#All],3,FALSE),0)</f>
        <v>0</v>
      </c>
      <c r="AB197" s="322">
        <f>SUM(Calculations[[#This Row],[C3 recyc]:[C3 incin]])</f>
        <v>0</v>
      </c>
      <c r="AC197" s="322">
        <f>IFERROR((VLOOKUP(Calculations[[#This Row],[Waste type 2]],WasteLandfillEmissions[#All],2,FALSE))*Calculations[[#This Row],[Total Kg]]*VLOOKUP(Calculations[[#This Row],[Waste 1]],WasteScenario[#All],4,FALSE),0)</f>
        <v>0</v>
      </c>
      <c r="AD197" s="322">
        <f>IFERROR((VLOOKUP(Calculations[[#This Row],[Waste type 2]],WasteLandfillEmissions[#All],3,FALSE))*Calculations[[#This Row],[Total Kg]]*VLOOKUP(Calculations[[#This Row],[Waste 1]],WasteScenario[#All],4,FALSE),0)</f>
        <v>0</v>
      </c>
      <c r="AE197" s="322">
        <f>SUM(Calculations[[#This Row],[C4 landfill]:[C4 re-use]])</f>
        <v>0</v>
      </c>
      <c r="AF197" s="322">
        <f>IFERROR(VLOOKUP(Calculations[[#This Row],[Material (choose from dropdown]],MaterialData[#All],8,FALSE),0)</f>
        <v>0</v>
      </c>
      <c r="AG197" s="322">
        <f>IFERROR(Calculations[[#This Row],[Total Kg]]*Calculations[[#This Row],[Seq factor]],0)</f>
        <v>0</v>
      </c>
      <c r="AI197" s="322">
        <f>Calculations[[#This Row],[A1-3]]+Calculations[[#This Row],[A4]]+Calculations[[#This Row],[A5]]+Calculations[[#This Row],[B4]]+Calculations[[#This Row],[C2 total]]+Calculations[[#This Row],[C3 total]]+Calculations[[#This Row],[C4 total]]</f>
        <v>0</v>
      </c>
      <c r="AJ197" s="2">
        <f>IFERROR(VLOOKUP(Calculations[[#This Row],[Material (choose from dropdown]],MaterialData[[#Headers],[#Data]],9,FALSE),0)</f>
        <v>0</v>
      </c>
      <c r="AK197" s="4">
        <f>IFERROR(VLOOKUP(Calculations[[#This Row],[Material (choose from dropdown]],MaterialData[[#Headers],[#Data]],10,FALSE),0)</f>
        <v>0</v>
      </c>
      <c r="AL197" s="322">
        <f>IFERROR(Calculations[[#This Row],[Data Quality Score]]*Calculations[[#This Row],[Total Kg]],0)</f>
        <v>0</v>
      </c>
    </row>
    <row r="198" spans="1:38" x14ac:dyDescent="0.3">
      <c r="A198" s="6">
        <f>IFERROR(MaterialsBoQ[[#This Row],[Scope Element]],0)</f>
        <v>0</v>
      </c>
      <c r="B198">
        <f>IFERROR(MaterialsBoQ[[#This Row],[Material ]],"")</f>
        <v>0</v>
      </c>
      <c r="C198">
        <f>IFERROR(MaterialsBoQ[[#This Row],[Unit]],"")</f>
        <v>0</v>
      </c>
      <c r="D198" s="322">
        <f>IFERROR(MaterialsBoQ[[#This Row],[Number]],0)</f>
        <v>0</v>
      </c>
      <c r="E198" s="322">
        <f>IFERROR(MaterialsBoQ[[#This Row],[Kg per unit]],0)</f>
        <v>0</v>
      </c>
      <c r="F198" s="322">
        <f>IFERROR(Calculations[[#This Row],[Number]]*Calculations[[#This Row],[Conversion factor]],0)</f>
        <v>0</v>
      </c>
      <c r="G198" s="322">
        <f>IFERROR(VLOOKUP(Calculations[[#This Row],[Material (choose from dropdown]],MaterialData[#All],7,FALSE),0)</f>
        <v>0</v>
      </c>
      <c r="H198" s="322">
        <f>Calculations[[#This Row],[Total Kg]]*Calculations[[#This Row],[Carbon Factor]]</f>
        <v>0</v>
      </c>
      <c r="I198" t="str">
        <f>IFERROR(VLOOKUP(Calculations[[#This Row],[Material (choose from dropdown]],MaterialData[#All],2,FALSE),"")</f>
        <v/>
      </c>
      <c r="J198" s="322">
        <f>IFERROR(((VLOOKUP(Calculations[[#This Row],[TransportSource]],TransportDistance[],2,FALSE)*'Stage assumptions'!$C$11)+VLOOKUP(Calculations[[#This Row],[TransportSource]],TransportDistance[],3,FALSE)*'Stage assumptions'!$C$12)*Calculations[[#This Row],[Total Kg]],0)</f>
        <v>0</v>
      </c>
      <c r="K198">
        <f>IFERROR(VLOOKUP(Calculations[[#This Row],[Material (choose from dropdown]], MaterialData[#All],3, FALSE),0)</f>
        <v>0</v>
      </c>
      <c r="L198" s="322">
        <f>IFERROR(VLOOKUP(Calculations[[#This Row],[A5type]],A5WastageRate[#All],2,FALSE)*Calculations[[#This Row],[A1-3]],0)</f>
        <v>0</v>
      </c>
      <c r="N198">
        <f>IFERROR(ROUNDUP(50/VLOOKUP(Calculations[[#This Row],[Scope Element]],B4referenceServiceLife[[Tier 2 element]:[Default Service Life]],2, FALSE)-1,0),0)</f>
        <v>0</v>
      </c>
      <c r="O198" s="322">
        <f>IFERROR((Calculations[[#This Row],[A1-3]]+Calculations[[#This Row],[A4]]+Calculations[[#This Row],[A5]]+Calculations[[#This Row],[C2 total]]+Calculations[[#This Row],[C3 total]]+Calculations[[#This Row],[C4 total]])*Calculations[[#This Row],[Replacements]],0)</f>
        <v>0</v>
      </c>
      <c r="S198" t="str">
        <f>IFERROR(VLOOKUP(Calculations[[#This Row],[Material (choose from dropdown]],MaterialData[#All],4,FALSE),"")</f>
        <v/>
      </c>
      <c r="T198" s="322" cm="1">
        <f t="array" ref="T198">IFERROR(VLOOKUP(Calculations[[#This Row],[Waste 1]],WasteScenario[#All],2,FALSE)*'Stage assumptions'!$C$225*WasteTransportMethod[Emissions Factor
kgCO2e/kg.km]*Calculations[[#This Row],[Total Kg]],0)</f>
        <v>0</v>
      </c>
      <c r="U198" s="322" cm="1">
        <f t="array" ref="U198">IFERROR(VLOOKUP(Calculations[[#This Row],[Waste 1]],WasteScenario[#All],3,FALSE)*'Stage assumptions'!$C$224*WasteTransportMethod[Emissions Factor
kgCO2e/kg.km]*Calculations[[#This Row],[Total Kg]],0)</f>
        <v>0</v>
      </c>
      <c r="V198" s="322" cm="1">
        <f t="array" ref="V198">IFERROR(VLOOKUP(Calculations[[#This Row],[Waste 1]],WasteScenario[#All],4,FALSE)*'Stage assumptions'!$C$223*WasteTransportMethod[Emissions Factor
kgCO2e/kg.km]*Calculations[[#This Row],[Total Kg]],0)</f>
        <v>0</v>
      </c>
      <c r="W198" s="322" cm="1">
        <f t="array" ref="W198">IFERROR(VLOOKUP(Calculations[[#This Row],[Waste 1]],WasteScenario[#All],5,FALSE)*'Stage assumptions'!$C$226*WasteTransportMethod[Emissions Factor
kgCO2e/kg.km]*Calculations[[#This Row],[Total Kg]],0)</f>
        <v>0</v>
      </c>
      <c r="X198" s="322">
        <f>SUM(Calculations[[#This Row],[C2 Recycle]:[C2 Reuse]])</f>
        <v>0</v>
      </c>
      <c r="Y198" t="str">
        <f>IFERROR(VLOOKUP(Calculations[[#This Row],[Material (choose from dropdown]],MaterialData[#All],5,FALSE),"")</f>
        <v/>
      </c>
      <c r="Z198" s="322">
        <f>IFERROR(((VLOOKUP(Calculations[[#This Row],[Waste type 2]],WasteDisposalEmissions[#All],2,FALSE))*Calculations[[#This Row],[Total Kg]])*VLOOKUP(Calculations[[#This Row],[Waste 1]],WasteScenario[#All],2,FALSE),0)</f>
        <v>0</v>
      </c>
      <c r="AA198" s="322">
        <f>IFERROR((VLOOKUP(Calculations[[#This Row],[Waste type 2]],WasteDisposalEmissions[#All],3,FALSE))*Calculations[[#This Row],[Total Kg]]*VLOOKUP(Calculations[[#This Row],[Waste 1]],WasteScenario[#All],3,FALSE),0)</f>
        <v>0</v>
      </c>
      <c r="AB198" s="322">
        <f>SUM(Calculations[[#This Row],[C3 recyc]:[C3 incin]])</f>
        <v>0</v>
      </c>
      <c r="AC198" s="322">
        <f>IFERROR((VLOOKUP(Calculations[[#This Row],[Waste type 2]],WasteLandfillEmissions[#All],2,FALSE))*Calculations[[#This Row],[Total Kg]]*VLOOKUP(Calculations[[#This Row],[Waste 1]],WasteScenario[#All],4,FALSE),0)</f>
        <v>0</v>
      </c>
      <c r="AD198" s="322">
        <f>IFERROR((VLOOKUP(Calculations[[#This Row],[Waste type 2]],WasteLandfillEmissions[#All],3,FALSE))*Calculations[[#This Row],[Total Kg]]*VLOOKUP(Calculations[[#This Row],[Waste 1]],WasteScenario[#All],4,FALSE),0)</f>
        <v>0</v>
      </c>
      <c r="AE198" s="322">
        <f>SUM(Calculations[[#This Row],[C4 landfill]:[C4 re-use]])</f>
        <v>0</v>
      </c>
      <c r="AF198" s="322">
        <f>IFERROR(VLOOKUP(Calculations[[#This Row],[Material (choose from dropdown]],MaterialData[#All],8,FALSE),0)</f>
        <v>0</v>
      </c>
      <c r="AG198" s="322">
        <f>IFERROR(Calculations[[#This Row],[Total Kg]]*Calculations[[#This Row],[Seq factor]],0)</f>
        <v>0</v>
      </c>
      <c r="AI198" s="322">
        <f>Calculations[[#This Row],[A1-3]]+Calculations[[#This Row],[A4]]+Calculations[[#This Row],[A5]]+Calculations[[#This Row],[B4]]+Calculations[[#This Row],[C2 total]]+Calculations[[#This Row],[C3 total]]+Calculations[[#This Row],[C4 total]]</f>
        <v>0</v>
      </c>
      <c r="AJ198" s="2">
        <f>IFERROR(VLOOKUP(Calculations[[#This Row],[Material (choose from dropdown]],MaterialData[[#Headers],[#Data]],9,FALSE),0)</f>
        <v>0</v>
      </c>
      <c r="AK198" s="4">
        <f>IFERROR(VLOOKUP(Calculations[[#This Row],[Material (choose from dropdown]],MaterialData[[#Headers],[#Data]],10,FALSE),0)</f>
        <v>0</v>
      </c>
      <c r="AL198" s="322">
        <f>IFERROR(Calculations[[#This Row],[Data Quality Score]]*Calculations[[#This Row],[Total Kg]],0)</f>
        <v>0</v>
      </c>
    </row>
    <row r="199" spans="1:38" x14ac:dyDescent="0.3">
      <c r="A199" s="6">
        <f>IFERROR(MaterialsBoQ[[#This Row],[Scope Element]],0)</f>
        <v>0</v>
      </c>
      <c r="B199">
        <f>IFERROR(MaterialsBoQ[[#This Row],[Material ]],"")</f>
        <v>0</v>
      </c>
      <c r="C199">
        <f>IFERROR(MaterialsBoQ[[#This Row],[Unit]],"")</f>
        <v>0</v>
      </c>
      <c r="D199" s="322">
        <f>IFERROR(MaterialsBoQ[[#This Row],[Number]],0)</f>
        <v>0</v>
      </c>
      <c r="E199" s="322">
        <f>IFERROR(MaterialsBoQ[[#This Row],[Kg per unit]],0)</f>
        <v>0</v>
      </c>
      <c r="F199" s="322">
        <f>IFERROR(Calculations[[#This Row],[Number]]*Calculations[[#This Row],[Conversion factor]],0)</f>
        <v>0</v>
      </c>
      <c r="G199" s="322">
        <f>IFERROR(VLOOKUP(Calculations[[#This Row],[Material (choose from dropdown]],MaterialData[#All],7,FALSE),0)</f>
        <v>0</v>
      </c>
      <c r="H199" s="322">
        <f>Calculations[[#This Row],[Total Kg]]*Calculations[[#This Row],[Carbon Factor]]</f>
        <v>0</v>
      </c>
      <c r="I199" t="str">
        <f>IFERROR(VLOOKUP(Calculations[[#This Row],[Material (choose from dropdown]],MaterialData[#All],2,FALSE),"")</f>
        <v/>
      </c>
      <c r="J199" s="322">
        <f>IFERROR(((VLOOKUP(Calculations[[#This Row],[TransportSource]],TransportDistance[],2,FALSE)*'Stage assumptions'!$C$11)+VLOOKUP(Calculations[[#This Row],[TransportSource]],TransportDistance[],3,FALSE)*'Stage assumptions'!$C$12)*Calculations[[#This Row],[Total Kg]],0)</f>
        <v>0</v>
      </c>
      <c r="K199">
        <f>IFERROR(VLOOKUP(Calculations[[#This Row],[Material (choose from dropdown]], MaterialData[#All],3, FALSE),0)</f>
        <v>0</v>
      </c>
      <c r="L199" s="322">
        <f>IFERROR(VLOOKUP(Calculations[[#This Row],[A5type]],A5WastageRate[#All],2,FALSE)*Calculations[[#This Row],[A1-3]],0)</f>
        <v>0</v>
      </c>
      <c r="N199">
        <f>IFERROR(ROUNDUP(50/VLOOKUP(Calculations[[#This Row],[Scope Element]],B4referenceServiceLife[[Tier 2 element]:[Default Service Life]],2, FALSE)-1,0),0)</f>
        <v>0</v>
      </c>
      <c r="O199" s="322">
        <f>IFERROR((Calculations[[#This Row],[A1-3]]+Calculations[[#This Row],[A4]]+Calculations[[#This Row],[A5]]+Calculations[[#This Row],[C2 total]]+Calculations[[#This Row],[C3 total]]+Calculations[[#This Row],[C4 total]])*Calculations[[#This Row],[Replacements]],0)</f>
        <v>0</v>
      </c>
      <c r="S199" t="str">
        <f>IFERROR(VLOOKUP(Calculations[[#This Row],[Material (choose from dropdown]],MaterialData[#All],4,FALSE),"")</f>
        <v/>
      </c>
      <c r="T199" s="322" cm="1">
        <f t="array" ref="T199">IFERROR(VLOOKUP(Calculations[[#This Row],[Waste 1]],WasteScenario[#All],2,FALSE)*'Stage assumptions'!$C$225*WasteTransportMethod[Emissions Factor
kgCO2e/kg.km]*Calculations[[#This Row],[Total Kg]],0)</f>
        <v>0</v>
      </c>
      <c r="U199" s="322" cm="1">
        <f t="array" ref="U199">IFERROR(VLOOKUP(Calculations[[#This Row],[Waste 1]],WasteScenario[#All],3,FALSE)*'Stage assumptions'!$C$224*WasteTransportMethod[Emissions Factor
kgCO2e/kg.km]*Calculations[[#This Row],[Total Kg]],0)</f>
        <v>0</v>
      </c>
      <c r="V199" s="322" cm="1">
        <f t="array" ref="V199">IFERROR(VLOOKUP(Calculations[[#This Row],[Waste 1]],WasteScenario[#All],4,FALSE)*'Stage assumptions'!$C$223*WasteTransportMethod[Emissions Factor
kgCO2e/kg.km]*Calculations[[#This Row],[Total Kg]],0)</f>
        <v>0</v>
      </c>
      <c r="W199" s="322" cm="1">
        <f t="array" ref="W199">IFERROR(VLOOKUP(Calculations[[#This Row],[Waste 1]],WasteScenario[#All],5,FALSE)*'Stage assumptions'!$C$226*WasteTransportMethod[Emissions Factor
kgCO2e/kg.km]*Calculations[[#This Row],[Total Kg]],0)</f>
        <v>0</v>
      </c>
      <c r="X199" s="322">
        <f>SUM(Calculations[[#This Row],[C2 Recycle]:[C2 Reuse]])</f>
        <v>0</v>
      </c>
      <c r="Y199" t="str">
        <f>IFERROR(VLOOKUP(Calculations[[#This Row],[Material (choose from dropdown]],MaterialData[#All],5,FALSE),"")</f>
        <v/>
      </c>
      <c r="Z199" s="322">
        <f>IFERROR(((VLOOKUP(Calculations[[#This Row],[Waste type 2]],WasteDisposalEmissions[#All],2,FALSE))*Calculations[[#This Row],[Total Kg]])*VLOOKUP(Calculations[[#This Row],[Waste 1]],WasteScenario[#All],2,FALSE),0)</f>
        <v>0</v>
      </c>
      <c r="AA199" s="322">
        <f>IFERROR((VLOOKUP(Calculations[[#This Row],[Waste type 2]],WasteDisposalEmissions[#All],3,FALSE))*Calculations[[#This Row],[Total Kg]]*VLOOKUP(Calculations[[#This Row],[Waste 1]],WasteScenario[#All],3,FALSE),0)</f>
        <v>0</v>
      </c>
      <c r="AB199" s="322">
        <f>SUM(Calculations[[#This Row],[C3 recyc]:[C3 incin]])</f>
        <v>0</v>
      </c>
      <c r="AC199" s="322">
        <f>IFERROR((VLOOKUP(Calculations[[#This Row],[Waste type 2]],WasteLandfillEmissions[#All],2,FALSE))*Calculations[[#This Row],[Total Kg]]*VLOOKUP(Calculations[[#This Row],[Waste 1]],WasteScenario[#All],4,FALSE),0)</f>
        <v>0</v>
      </c>
      <c r="AD199" s="322">
        <f>IFERROR((VLOOKUP(Calculations[[#This Row],[Waste type 2]],WasteLandfillEmissions[#All],3,FALSE))*Calculations[[#This Row],[Total Kg]]*VLOOKUP(Calculations[[#This Row],[Waste 1]],WasteScenario[#All],4,FALSE),0)</f>
        <v>0</v>
      </c>
      <c r="AE199" s="322">
        <f>SUM(Calculations[[#This Row],[C4 landfill]:[C4 re-use]])</f>
        <v>0</v>
      </c>
      <c r="AF199" s="322">
        <f>IFERROR(VLOOKUP(Calculations[[#This Row],[Material (choose from dropdown]],MaterialData[#All],8,FALSE),0)</f>
        <v>0</v>
      </c>
      <c r="AG199" s="322">
        <f>IFERROR(Calculations[[#This Row],[Total Kg]]*Calculations[[#This Row],[Seq factor]],0)</f>
        <v>0</v>
      </c>
      <c r="AI199" s="322">
        <f>Calculations[[#This Row],[A1-3]]+Calculations[[#This Row],[A4]]+Calculations[[#This Row],[A5]]+Calculations[[#This Row],[B4]]+Calculations[[#This Row],[C2 total]]+Calculations[[#This Row],[C3 total]]+Calculations[[#This Row],[C4 total]]</f>
        <v>0</v>
      </c>
      <c r="AJ199" s="2">
        <f>IFERROR(VLOOKUP(Calculations[[#This Row],[Material (choose from dropdown]],MaterialData[[#Headers],[#Data]],9,FALSE),0)</f>
        <v>0</v>
      </c>
      <c r="AK199" s="4">
        <f>IFERROR(VLOOKUP(Calculations[[#This Row],[Material (choose from dropdown]],MaterialData[[#Headers],[#Data]],10,FALSE),0)</f>
        <v>0</v>
      </c>
      <c r="AL199" s="322">
        <f>IFERROR(Calculations[[#This Row],[Data Quality Score]]*Calculations[[#This Row],[Total Kg]],0)</f>
        <v>0</v>
      </c>
    </row>
    <row r="200" spans="1:38" x14ac:dyDescent="0.3">
      <c r="A200" s="6">
        <f>IFERROR(MaterialsBoQ[[#This Row],[Scope Element]],0)</f>
        <v>0</v>
      </c>
      <c r="B200">
        <f>IFERROR(MaterialsBoQ[[#This Row],[Material ]],"")</f>
        <v>0</v>
      </c>
      <c r="C200">
        <f>IFERROR(MaterialsBoQ[[#This Row],[Unit]],"")</f>
        <v>0</v>
      </c>
      <c r="D200" s="322">
        <f>IFERROR(MaterialsBoQ[[#This Row],[Number]],0)</f>
        <v>0</v>
      </c>
      <c r="E200" s="322">
        <f>IFERROR(MaterialsBoQ[[#This Row],[Kg per unit]],0)</f>
        <v>0</v>
      </c>
      <c r="F200" s="322">
        <f>IFERROR(Calculations[[#This Row],[Number]]*Calculations[[#This Row],[Conversion factor]],0)</f>
        <v>0</v>
      </c>
      <c r="G200" s="322">
        <f>IFERROR(VLOOKUP(Calculations[[#This Row],[Material (choose from dropdown]],MaterialData[#All],7,FALSE),0)</f>
        <v>0</v>
      </c>
      <c r="H200" s="322">
        <f>Calculations[[#This Row],[Total Kg]]*Calculations[[#This Row],[Carbon Factor]]</f>
        <v>0</v>
      </c>
      <c r="I200" t="str">
        <f>IFERROR(VLOOKUP(Calculations[[#This Row],[Material (choose from dropdown]],MaterialData[#All],2,FALSE),"")</f>
        <v/>
      </c>
      <c r="J200" s="322">
        <f>IFERROR(((VLOOKUP(Calculations[[#This Row],[TransportSource]],TransportDistance[],2,FALSE)*'Stage assumptions'!$C$11)+VLOOKUP(Calculations[[#This Row],[TransportSource]],TransportDistance[],3,FALSE)*'Stage assumptions'!$C$12)*Calculations[[#This Row],[Total Kg]],0)</f>
        <v>0</v>
      </c>
      <c r="K200">
        <f>IFERROR(VLOOKUP(Calculations[[#This Row],[Material (choose from dropdown]], MaterialData[#All],3, FALSE),0)</f>
        <v>0</v>
      </c>
      <c r="L200" s="322">
        <f>IFERROR(VLOOKUP(Calculations[[#This Row],[A5type]],A5WastageRate[#All],2,FALSE)*Calculations[[#This Row],[A1-3]],0)</f>
        <v>0</v>
      </c>
      <c r="N200">
        <f>IFERROR(ROUNDUP(50/VLOOKUP(Calculations[[#This Row],[Scope Element]],B4referenceServiceLife[[Tier 2 element]:[Default Service Life]],2, FALSE)-1,0),0)</f>
        <v>0</v>
      </c>
      <c r="O200" s="322">
        <f>IFERROR((Calculations[[#This Row],[A1-3]]+Calculations[[#This Row],[A4]]+Calculations[[#This Row],[A5]]+Calculations[[#This Row],[C2 total]]+Calculations[[#This Row],[C3 total]]+Calculations[[#This Row],[C4 total]])*Calculations[[#This Row],[Replacements]],0)</f>
        <v>0</v>
      </c>
      <c r="S200" t="str">
        <f>IFERROR(VLOOKUP(Calculations[[#This Row],[Material (choose from dropdown]],MaterialData[#All],4,FALSE),"")</f>
        <v/>
      </c>
      <c r="T200" s="322" cm="1">
        <f t="array" ref="T200">IFERROR(VLOOKUP(Calculations[[#This Row],[Waste 1]],WasteScenario[#All],2,FALSE)*'Stage assumptions'!$C$225*WasteTransportMethod[Emissions Factor
kgCO2e/kg.km]*Calculations[[#This Row],[Total Kg]],0)</f>
        <v>0</v>
      </c>
      <c r="U200" s="322" cm="1">
        <f t="array" ref="U200">IFERROR(VLOOKUP(Calculations[[#This Row],[Waste 1]],WasteScenario[#All],3,FALSE)*'Stage assumptions'!$C$224*WasteTransportMethod[Emissions Factor
kgCO2e/kg.km]*Calculations[[#This Row],[Total Kg]],0)</f>
        <v>0</v>
      </c>
      <c r="V200" s="322" cm="1">
        <f t="array" ref="V200">IFERROR(VLOOKUP(Calculations[[#This Row],[Waste 1]],WasteScenario[#All],4,FALSE)*'Stage assumptions'!$C$223*WasteTransportMethod[Emissions Factor
kgCO2e/kg.km]*Calculations[[#This Row],[Total Kg]],0)</f>
        <v>0</v>
      </c>
      <c r="W200" s="322" cm="1">
        <f t="array" ref="W200">IFERROR(VLOOKUP(Calculations[[#This Row],[Waste 1]],WasteScenario[#All],5,FALSE)*'Stage assumptions'!$C$226*WasteTransportMethod[Emissions Factor
kgCO2e/kg.km]*Calculations[[#This Row],[Total Kg]],0)</f>
        <v>0</v>
      </c>
      <c r="X200" s="322">
        <f>SUM(Calculations[[#This Row],[C2 Recycle]:[C2 Reuse]])</f>
        <v>0</v>
      </c>
      <c r="Y200" t="str">
        <f>IFERROR(VLOOKUP(Calculations[[#This Row],[Material (choose from dropdown]],MaterialData[#All],5,FALSE),"")</f>
        <v/>
      </c>
      <c r="Z200" s="322">
        <f>IFERROR(((VLOOKUP(Calculations[[#This Row],[Waste type 2]],WasteDisposalEmissions[#All],2,FALSE))*Calculations[[#This Row],[Total Kg]])*VLOOKUP(Calculations[[#This Row],[Waste 1]],WasteScenario[#All],2,FALSE),0)</f>
        <v>0</v>
      </c>
      <c r="AA200" s="322">
        <f>IFERROR((VLOOKUP(Calculations[[#This Row],[Waste type 2]],WasteDisposalEmissions[#All],3,FALSE))*Calculations[[#This Row],[Total Kg]]*VLOOKUP(Calculations[[#This Row],[Waste 1]],WasteScenario[#All],3,FALSE),0)</f>
        <v>0</v>
      </c>
      <c r="AB200" s="322">
        <f>SUM(Calculations[[#This Row],[C3 recyc]:[C3 incin]])</f>
        <v>0</v>
      </c>
      <c r="AC200" s="322">
        <f>IFERROR((VLOOKUP(Calculations[[#This Row],[Waste type 2]],WasteLandfillEmissions[#All],2,FALSE))*Calculations[[#This Row],[Total Kg]]*VLOOKUP(Calculations[[#This Row],[Waste 1]],WasteScenario[#All],4,FALSE),0)</f>
        <v>0</v>
      </c>
      <c r="AD200" s="322">
        <f>IFERROR((VLOOKUP(Calculations[[#This Row],[Waste type 2]],WasteLandfillEmissions[#All],3,FALSE))*Calculations[[#This Row],[Total Kg]]*VLOOKUP(Calculations[[#This Row],[Waste 1]],WasteScenario[#All],4,FALSE),0)</f>
        <v>0</v>
      </c>
      <c r="AE200" s="322">
        <f>SUM(Calculations[[#This Row],[C4 landfill]:[C4 re-use]])</f>
        <v>0</v>
      </c>
      <c r="AF200" s="322">
        <f>IFERROR(VLOOKUP(Calculations[[#This Row],[Material (choose from dropdown]],MaterialData[#All],8,FALSE),0)</f>
        <v>0</v>
      </c>
      <c r="AG200" s="322">
        <f>IFERROR(Calculations[[#This Row],[Total Kg]]*Calculations[[#This Row],[Seq factor]],0)</f>
        <v>0</v>
      </c>
      <c r="AI200" s="322">
        <f>Calculations[[#This Row],[A1-3]]+Calculations[[#This Row],[A4]]+Calculations[[#This Row],[A5]]+Calculations[[#This Row],[B4]]+Calculations[[#This Row],[C2 total]]+Calculations[[#This Row],[C3 total]]+Calculations[[#This Row],[C4 total]]</f>
        <v>0</v>
      </c>
      <c r="AJ200" s="2">
        <f>IFERROR(VLOOKUP(Calculations[[#This Row],[Material (choose from dropdown]],MaterialData[[#Headers],[#Data]],9,FALSE),0)</f>
        <v>0</v>
      </c>
      <c r="AK200" s="4">
        <f>IFERROR(VLOOKUP(Calculations[[#This Row],[Material (choose from dropdown]],MaterialData[[#Headers],[#Data]],10,FALSE),0)</f>
        <v>0</v>
      </c>
      <c r="AL200" s="322">
        <f>IFERROR(Calculations[[#This Row],[Data Quality Score]]*Calculations[[#This Row],[Total Kg]],0)</f>
        <v>0</v>
      </c>
    </row>
    <row r="201" spans="1:38" x14ac:dyDescent="0.3">
      <c r="A201" s="6">
        <f>IFERROR(MaterialsBoQ[[#This Row],[Scope Element]],0)</f>
        <v>0</v>
      </c>
      <c r="B201">
        <f>IFERROR(MaterialsBoQ[[#This Row],[Material ]],"")</f>
        <v>0</v>
      </c>
      <c r="C201">
        <f>IFERROR(MaterialsBoQ[[#This Row],[Unit]],"")</f>
        <v>0</v>
      </c>
      <c r="D201" s="322">
        <f>IFERROR(MaterialsBoQ[[#This Row],[Number]],0)</f>
        <v>0</v>
      </c>
      <c r="E201" s="322">
        <f>IFERROR(MaterialsBoQ[[#This Row],[Kg per unit]],0)</f>
        <v>0</v>
      </c>
      <c r="F201" s="322">
        <f>IFERROR(Calculations[[#This Row],[Number]]*Calculations[[#This Row],[Conversion factor]],0)</f>
        <v>0</v>
      </c>
      <c r="G201" s="322">
        <f>IFERROR(VLOOKUP(Calculations[[#This Row],[Material (choose from dropdown]],MaterialData[#All],7,FALSE),0)</f>
        <v>0</v>
      </c>
      <c r="H201" s="322">
        <f>Calculations[[#This Row],[Total Kg]]*Calculations[[#This Row],[Carbon Factor]]</f>
        <v>0</v>
      </c>
      <c r="I201" t="str">
        <f>IFERROR(VLOOKUP(Calculations[[#This Row],[Material (choose from dropdown]],MaterialData[#All],2,FALSE),"")</f>
        <v/>
      </c>
      <c r="J201" s="322">
        <f>IFERROR(((VLOOKUP(Calculations[[#This Row],[TransportSource]],TransportDistance[],2,FALSE)*'Stage assumptions'!$C$11)+VLOOKUP(Calculations[[#This Row],[TransportSource]],TransportDistance[],3,FALSE)*'Stage assumptions'!$C$12)*Calculations[[#This Row],[Total Kg]],0)</f>
        <v>0</v>
      </c>
      <c r="K201">
        <f>IFERROR(VLOOKUP(Calculations[[#This Row],[Material (choose from dropdown]], MaterialData[#All],3, FALSE),0)</f>
        <v>0</v>
      </c>
      <c r="L201" s="322">
        <f>IFERROR(VLOOKUP(Calculations[[#This Row],[A5type]],A5WastageRate[#All],2,FALSE)*Calculations[[#This Row],[A1-3]],0)</f>
        <v>0</v>
      </c>
      <c r="N201">
        <f>IFERROR(ROUNDUP(50/VLOOKUP(Calculations[[#This Row],[Scope Element]],B4referenceServiceLife[[Tier 2 element]:[Default Service Life]],2, FALSE)-1,0),0)</f>
        <v>0</v>
      </c>
      <c r="O201" s="322">
        <f>IFERROR((Calculations[[#This Row],[A1-3]]+Calculations[[#This Row],[A4]]+Calculations[[#This Row],[A5]]+Calculations[[#This Row],[C2 total]]+Calculations[[#This Row],[C3 total]]+Calculations[[#This Row],[C4 total]])*Calculations[[#This Row],[Replacements]],0)</f>
        <v>0</v>
      </c>
      <c r="S201" t="str">
        <f>IFERROR(VLOOKUP(Calculations[[#This Row],[Material (choose from dropdown]],MaterialData[#All],4,FALSE),"")</f>
        <v/>
      </c>
      <c r="T201" s="322" cm="1">
        <f t="array" ref="T201">IFERROR(VLOOKUP(Calculations[[#This Row],[Waste 1]],WasteScenario[#All],2,FALSE)*'Stage assumptions'!$C$225*WasteTransportMethod[Emissions Factor
kgCO2e/kg.km]*Calculations[[#This Row],[Total Kg]],0)</f>
        <v>0</v>
      </c>
      <c r="U201" s="322" cm="1">
        <f t="array" ref="U201">IFERROR(VLOOKUP(Calculations[[#This Row],[Waste 1]],WasteScenario[#All],3,FALSE)*'Stage assumptions'!$C$224*WasteTransportMethod[Emissions Factor
kgCO2e/kg.km]*Calculations[[#This Row],[Total Kg]],0)</f>
        <v>0</v>
      </c>
      <c r="V201" s="322" cm="1">
        <f t="array" ref="V201">IFERROR(VLOOKUP(Calculations[[#This Row],[Waste 1]],WasteScenario[#All],4,FALSE)*'Stage assumptions'!$C$223*WasteTransportMethod[Emissions Factor
kgCO2e/kg.km]*Calculations[[#This Row],[Total Kg]],0)</f>
        <v>0</v>
      </c>
      <c r="W201" s="322" cm="1">
        <f t="array" ref="W201">IFERROR(VLOOKUP(Calculations[[#This Row],[Waste 1]],WasteScenario[#All],5,FALSE)*'Stage assumptions'!$C$226*WasteTransportMethod[Emissions Factor
kgCO2e/kg.km]*Calculations[[#This Row],[Total Kg]],0)</f>
        <v>0</v>
      </c>
      <c r="X201" s="322">
        <f>SUM(Calculations[[#This Row],[C2 Recycle]:[C2 Reuse]])</f>
        <v>0</v>
      </c>
      <c r="Y201" t="str">
        <f>IFERROR(VLOOKUP(Calculations[[#This Row],[Material (choose from dropdown]],MaterialData[#All],5,FALSE),"")</f>
        <v/>
      </c>
      <c r="Z201" s="322">
        <f>IFERROR(((VLOOKUP(Calculations[[#This Row],[Waste type 2]],WasteDisposalEmissions[#All],2,FALSE))*Calculations[[#This Row],[Total Kg]])*VLOOKUP(Calculations[[#This Row],[Waste 1]],WasteScenario[#All],2,FALSE),0)</f>
        <v>0</v>
      </c>
      <c r="AA201" s="322">
        <f>IFERROR((VLOOKUP(Calculations[[#This Row],[Waste type 2]],WasteDisposalEmissions[#All],3,FALSE))*Calculations[[#This Row],[Total Kg]]*VLOOKUP(Calculations[[#This Row],[Waste 1]],WasteScenario[#All],3,FALSE),0)</f>
        <v>0</v>
      </c>
      <c r="AB201" s="322">
        <f>SUM(Calculations[[#This Row],[C3 recyc]:[C3 incin]])</f>
        <v>0</v>
      </c>
      <c r="AC201" s="322">
        <f>IFERROR((VLOOKUP(Calculations[[#This Row],[Waste type 2]],WasteLandfillEmissions[#All],2,FALSE))*Calculations[[#This Row],[Total Kg]]*VLOOKUP(Calculations[[#This Row],[Waste 1]],WasteScenario[#All],4,FALSE),0)</f>
        <v>0</v>
      </c>
      <c r="AD201" s="322">
        <f>IFERROR((VLOOKUP(Calculations[[#This Row],[Waste type 2]],WasteLandfillEmissions[#All],3,FALSE))*Calculations[[#This Row],[Total Kg]]*VLOOKUP(Calculations[[#This Row],[Waste 1]],WasteScenario[#All],4,FALSE),0)</f>
        <v>0</v>
      </c>
      <c r="AE201" s="322">
        <f>SUM(Calculations[[#This Row],[C4 landfill]:[C4 re-use]])</f>
        <v>0</v>
      </c>
      <c r="AF201" s="322">
        <f>IFERROR(VLOOKUP(Calculations[[#This Row],[Material (choose from dropdown]],MaterialData[#All],8,FALSE),0)</f>
        <v>0</v>
      </c>
      <c r="AG201" s="322">
        <f>IFERROR(Calculations[[#This Row],[Total Kg]]*Calculations[[#This Row],[Seq factor]],0)</f>
        <v>0</v>
      </c>
      <c r="AI201" s="322">
        <f>Calculations[[#This Row],[A1-3]]+Calculations[[#This Row],[A4]]+Calculations[[#This Row],[A5]]+Calculations[[#This Row],[B4]]+Calculations[[#This Row],[C2 total]]+Calculations[[#This Row],[C3 total]]+Calculations[[#This Row],[C4 total]]</f>
        <v>0</v>
      </c>
      <c r="AJ201" s="2">
        <f>IFERROR(VLOOKUP(Calculations[[#This Row],[Material (choose from dropdown]],MaterialData[[#Headers],[#Data]],9,FALSE),0)</f>
        <v>0</v>
      </c>
      <c r="AK201" s="4">
        <f>IFERROR(VLOOKUP(Calculations[[#This Row],[Material (choose from dropdown]],MaterialData[[#Headers],[#Data]],10,FALSE),0)</f>
        <v>0</v>
      </c>
      <c r="AL201" s="322">
        <f>IFERROR(Calculations[[#This Row],[Data Quality Score]]*Calculations[[#This Row],[Total Kg]],0)</f>
        <v>0</v>
      </c>
    </row>
    <row r="202" spans="1:38" x14ac:dyDescent="0.3">
      <c r="A202" s="6">
        <f>IFERROR(MaterialsBoQ[[#This Row],[Scope Element]],0)</f>
        <v>0</v>
      </c>
      <c r="B202">
        <f>IFERROR(MaterialsBoQ[[#This Row],[Material ]],"")</f>
        <v>0</v>
      </c>
      <c r="C202">
        <f>IFERROR(MaterialsBoQ[[#This Row],[Unit]],"")</f>
        <v>0</v>
      </c>
      <c r="D202" s="322">
        <f>IFERROR(MaterialsBoQ[[#This Row],[Number]],0)</f>
        <v>0</v>
      </c>
      <c r="E202" s="322">
        <f>IFERROR(MaterialsBoQ[[#This Row],[Kg per unit]],0)</f>
        <v>0</v>
      </c>
      <c r="F202" s="322">
        <f>IFERROR(Calculations[[#This Row],[Number]]*Calculations[[#This Row],[Conversion factor]],0)</f>
        <v>0</v>
      </c>
      <c r="G202" s="322">
        <f>IFERROR(VLOOKUP(Calculations[[#This Row],[Material (choose from dropdown]],MaterialData[#All],7,FALSE),0)</f>
        <v>0</v>
      </c>
      <c r="H202" s="322">
        <f>Calculations[[#This Row],[Total Kg]]*Calculations[[#This Row],[Carbon Factor]]</f>
        <v>0</v>
      </c>
      <c r="I202" t="str">
        <f>IFERROR(VLOOKUP(Calculations[[#This Row],[Material (choose from dropdown]],MaterialData[#All],2,FALSE),"")</f>
        <v/>
      </c>
      <c r="J202" s="322">
        <f>IFERROR(((VLOOKUP(Calculations[[#This Row],[TransportSource]],TransportDistance[],2,FALSE)*'Stage assumptions'!$C$11)+VLOOKUP(Calculations[[#This Row],[TransportSource]],TransportDistance[],3,FALSE)*'Stage assumptions'!$C$12)*Calculations[[#This Row],[Total Kg]],0)</f>
        <v>0</v>
      </c>
      <c r="K202">
        <f>IFERROR(VLOOKUP(Calculations[[#This Row],[Material (choose from dropdown]], MaterialData[#All],3, FALSE),0)</f>
        <v>0</v>
      </c>
      <c r="L202" s="322">
        <f>IFERROR(VLOOKUP(Calculations[[#This Row],[A5type]],A5WastageRate[#All],2,FALSE)*Calculations[[#This Row],[A1-3]],0)</f>
        <v>0</v>
      </c>
      <c r="N202">
        <f>IFERROR(ROUNDUP(50/VLOOKUP(Calculations[[#This Row],[Scope Element]],B4referenceServiceLife[[Tier 2 element]:[Default Service Life]],2, FALSE)-1,0),0)</f>
        <v>0</v>
      </c>
      <c r="O202" s="322">
        <f>IFERROR((Calculations[[#This Row],[A1-3]]+Calculations[[#This Row],[A4]]+Calculations[[#This Row],[A5]]+Calculations[[#This Row],[C2 total]]+Calculations[[#This Row],[C3 total]]+Calculations[[#This Row],[C4 total]])*Calculations[[#This Row],[Replacements]],0)</f>
        <v>0</v>
      </c>
      <c r="S202" t="str">
        <f>IFERROR(VLOOKUP(Calculations[[#This Row],[Material (choose from dropdown]],MaterialData[#All],4,FALSE),"")</f>
        <v/>
      </c>
      <c r="T202" s="322" cm="1">
        <f t="array" ref="T202">IFERROR(VLOOKUP(Calculations[[#This Row],[Waste 1]],WasteScenario[#All],2,FALSE)*'Stage assumptions'!$C$225*WasteTransportMethod[Emissions Factor
kgCO2e/kg.km]*Calculations[[#This Row],[Total Kg]],0)</f>
        <v>0</v>
      </c>
      <c r="U202" s="322" cm="1">
        <f t="array" ref="U202">IFERROR(VLOOKUP(Calculations[[#This Row],[Waste 1]],WasteScenario[#All],3,FALSE)*'Stage assumptions'!$C$224*WasteTransportMethod[Emissions Factor
kgCO2e/kg.km]*Calculations[[#This Row],[Total Kg]],0)</f>
        <v>0</v>
      </c>
      <c r="V202" s="322" cm="1">
        <f t="array" ref="V202">IFERROR(VLOOKUP(Calculations[[#This Row],[Waste 1]],WasteScenario[#All],4,FALSE)*'Stage assumptions'!$C$223*WasteTransportMethod[Emissions Factor
kgCO2e/kg.km]*Calculations[[#This Row],[Total Kg]],0)</f>
        <v>0</v>
      </c>
      <c r="W202" s="322" cm="1">
        <f t="array" ref="W202">IFERROR(VLOOKUP(Calculations[[#This Row],[Waste 1]],WasteScenario[#All],5,FALSE)*'Stage assumptions'!$C$226*WasteTransportMethod[Emissions Factor
kgCO2e/kg.km]*Calculations[[#This Row],[Total Kg]],0)</f>
        <v>0</v>
      </c>
      <c r="X202" s="322">
        <f>SUM(Calculations[[#This Row],[C2 Recycle]:[C2 Reuse]])</f>
        <v>0</v>
      </c>
      <c r="Y202" t="str">
        <f>IFERROR(VLOOKUP(Calculations[[#This Row],[Material (choose from dropdown]],MaterialData[#All],5,FALSE),"")</f>
        <v/>
      </c>
      <c r="Z202" s="322">
        <f>IFERROR(((VLOOKUP(Calculations[[#This Row],[Waste type 2]],WasteDisposalEmissions[#All],2,FALSE))*Calculations[[#This Row],[Total Kg]])*VLOOKUP(Calculations[[#This Row],[Waste 1]],WasteScenario[#All],2,FALSE),0)</f>
        <v>0</v>
      </c>
      <c r="AA202" s="322">
        <f>IFERROR((VLOOKUP(Calculations[[#This Row],[Waste type 2]],WasteDisposalEmissions[#All],3,FALSE))*Calculations[[#This Row],[Total Kg]]*VLOOKUP(Calculations[[#This Row],[Waste 1]],WasteScenario[#All],3,FALSE),0)</f>
        <v>0</v>
      </c>
      <c r="AB202" s="322">
        <f>SUM(Calculations[[#This Row],[C3 recyc]:[C3 incin]])</f>
        <v>0</v>
      </c>
      <c r="AC202" s="322">
        <f>IFERROR((VLOOKUP(Calculations[[#This Row],[Waste type 2]],WasteLandfillEmissions[#All],2,FALSE))*Calculations[[#This Row],[Total Kg]]*VLOOKUP(Calculations[[#This Row],[Waste 1]],WasteScenario[#All],4,FALSE),0)</f>
        <v>0</v>
      </c>
      <c r="AD202" s="322">
        <f>IFERROR((VLOOKUP(Calculations[[#This Row],[Waste type 2]],WasteLandfillEmissions[#All],3,FALSE))*Calculations[[#This Row],[Total Kg]]*VLOOKUP(Calculations[[#This Row],[Waste 1]],WasteScenario[#All],4,FALSE),0)</f>
        <v>0</v>
      </c>
      <c r="AE202" s="322">
        <f>SUM(Calculations[[#This Row],[C4 landfill]:[C4 re-use]])</f>
        <v>0</v>
      </c>
      <c r="AF202" s="322">
        <f>IFERROR(VLOOKUP(Calculations[[#This Row],[Material (choose from dropdown]],MaterialData[#All],8,FALSE),0)</f>
        <v>0</v>
      </c>
      <c r="AG202" s="322">
        <f>IFERROR(Calculations[[#This Row],[Total Kg]]*Calculations[[#This Row],[Seq factor]],0)</f>
        <v>0</v>
      </c>
      <c r="AI202" s="322">
        <f>Calculations[[#This Row],[A1-3]]+Calculations[[#This Row],[A4]]+Calculations[[#This Row],[A5]]+Calculations[[#This Row],[B4]]+Calculations[[#This Row],[C2 total]]+Calculations[[#This Row],[C3 total]]+Calculations[[#This Row],[C4 total]]</f>
        <v>0</v>
      </c>
      <c r="AJ202" s="2">
        <f>IFERROR(VLOOKUP(Calculations[[#This Row],[Material (choose from dropdown]],MaterialData[[#Headers],[#Data]],9,FALSE),0)</f>
        <v>0</v>
      </c>
      <c r="AK202" s="4">
        <f>IFERROR(VLOOKUP(Calculations[[#This Row],[Material (choose from dropdown]],MaterialData[[#Headers],[#Data]],10,FALSE),0)</f>
        <v>0</v>
      </c>
      <c r="AL202" s="322">
        <f>IFERROR(Calculations[[#This Row],[Data Quality Score]]*Calculations[[#This Row],[Total Kg]],0)</f>
        <v>0</v>
      </c>
    </row>
    <row r="203" spans="1:38" x14ac:dyDescent="0.3">
      <c r="A203" s="6">
        <f>IFERROR(MaterialsBoQ[[#This Row],[Scope Element]],0)</f>
        <v>0</v>
      </c>
      <c r="B203">
        <f>IFERROR(MaterialsBoQ[[#This Row],[Material ]],"")</f>
        <v>0</v>
      </c>
      <c r="C203">
        <f>IFERROR(MaterialsBoQ[[#This Row],[Unit]],"")</f>
        <v>0</v>
      </c>
      <c r="D203" s="322">
        <f>IFERROR(MaterialsBoQ[[#This Row],[Number]],0)</f>
        <v>0</v>
      </c>
      <c r="E203" s="322">
        <f>IFERROR(MaterialsBoQ[[#This Row],[Kg per unit]],0)</f>
        <v>0</v>
      </c>
      <c r="F203" s="322">
        <f>IFERROR(Calculations[[#This Row],[Number]]*Calculations[[#This Row],[Conversion factor]],0)</f>
        <v>0</v>
      </c>
      <c r="G203" s="322">
        <f>IFERROR(VLOOKUP(Calculations[[#This Row],[Material (choose from dropdown]],MaterialData[#All],7,FALSE),0)</f>
        <v>0</v>
      </c>
      <c r="H203" s="322">
        <f>Calculations[[#This Row],[Total Kg]]*Calculations[[#This Row],[Carbon Factor]]</f>
        <v>0</v>
      </c>
      <c r="I203" t="str">
        <f>IFERROR(VLOOKUP(Calculations[[#This Row],[Material (choose from dropdown]],MaterialData[#All],2,FALSE),"")</f>
        <v/>
      </c>
      <c r="J203" s="322">
        <f>IFERROR(((VLOOKUP(Calculations[[#This Row],[TransportSource]],TransportDistance[],2,FALSE)*'Stage assumptions'!$C$11)+VLOOKUP(Calculations[[#This Row],[TransportSource]],TransportDistance[],3,FALSE)*'Stage assumptions'!$C$12)*Calculations[[#This Row],[Total Kg]],0)</f>
        <v>0</v>
      </c>
      <c r="K203">
        <f>IFERROR(VLOOKUP(Calculations[[#This Row],[Material (choose from dropdown]], MaterialData[#All],3, FALSE),0)</f>
        <v>0</v>
      </c>
      <c r="L203" s="322">
        <f>IFERROR(VLOOKUP(Calculations[[#This Row],[A5type]],A5WastageRate[#All],2,FALSE)*Calculations[[#This Row],[A1-3]],0)</f>
        <v>0</v>
      </c>
      <c r="N203">
        <f>IFERROR(ROUNDUP(50/VLOOKUP(Calculations[[#This Row],[Scope Element]],B4referenceServiceLife[[Tier 2 element]:[Default Service Life]],2, FALSE)-1,0),0)</f>
        <v>0</v>
      </c>
      <c r="O203" s="322">
        <f>IFERROR((Calculations[[#This Row],[A1-3]]+Calculations[[#This Row],[A4]]+Calculations[[#This Row],[A5]]+Calculations[[#This Row],[C2 total]]+Calculations[[#This Row],[C3 total]]+Calculations[[#This Row],[C4 total]])*Calculations[[#This Row],[Replacements]],0)</f>
        <v>0</v>
      </c>
      <c r="S203" t="str">
        <f>IFERROR(VLOOKUP(Calculations[[#This Row],[Material (choose from dropdown]],MaterialData[#All],4,FALSE),"")</f>
        <v/>
      </c>
      <c r="T203" s="322" cm="1">
        <f t="array" ref="T203">IFERROR(VLOOKUP(Calculations[[#This Row],[Waste 1]],WasteScenario[#All],2,FALSE)*'Stage assumptions'!$C$225*WasteTransportMethod[Emissions Factor
kgCO2e/kg.km]*Calculations[[#This Row],[Total Kg]],0)</f>
        <v>0</v>
      </c>
      <c r="U203" s="322" cm="1">
        <f t="array" ref="U203">IFERROR(VLOOKUP(Calculations[[#This Row],[Waste 1]],WasteScenario[#All],3,FALSE)*'Stage assumptions'!$C$224*WasteTransportMethod[Emissions Factor
kgCO2e/kg.km]*Calculations[[#This Row],[Total Kg]],0)</f>
        <v>0</v>
      </c>
      <c r="V203" s="322" cm="1">
        <f t="array" ref="V203">IFERROR(VLOOKUP(Calculations[[#This Row],[Waste 1]],WasteScenario[#All],4,FALSE)*'Stage assumptions'!$C$223*WasteTransportMethod[Emissions Factor
kgCO2e/kg.km]*Calculations[[#This Row],[Total Kg]],0)</f>
        <v>0</v>
      </c>
      <c r="W203" s="322" cm="1">
        <f t="array" ref="W203">IFERROR(VLOOKUP(Calculations[[#This Row],[Waste 1]],WasteScenario[#All],5,FALSE)*'Stage assumptions'!$C$226*WasteTransportMethod[Emissions Factor
kgCO2e/kg.km]*Calculations[[#This Row],[Total Kg]],0)</f>
        <v>0</v>
      </c>
      <c r="X203" s="322">
        <f>SUM(Calculations[[#This Row],[C2 Recycle]:[C2 Reuse]])</f>
        <v>0</v>
      </c>
      <c r="Y203" t="str">
        <f>IFERROR(VLOOKUP(Calculations[[#This Row],[Material (choose from dropdown]],MaterialData[#All],5,FALSE),"")</f>
        <v/>
      </c>
      <c r="Z203" s="322">
        <f>IFERROR(((VLOOKUP(Calculations[[#This Row],[Waste type 2]],WasteDisposalEmissions[#All],2,FALSE))*Calculations[[#This Row],[Total Kg]])*VLOOKUP(Calculations[[#This Row],[Waste 1]],WasteScenario[#All],2,FALSE),0)</f>
        <v>0</v>
      </c>
      <c r="AA203" s="322">
        <f>IFERROR((VLOOKUP(Calculations[[#This Row],[Waste type 2]],WasteDisposalEmissions[#All],3,FALSE))*Calculations[[#This Row],[Total Kg]]*VLOOKUP(Calculations[[#This Row],[Waste 1]],WasteScenario[#All],3,FALSE),0)</f>
        <v>0</v>
      </c>
      <c r="AB203" s="322">
        <f>SUM(Calculations[[#This Row],[C3 recyc]:[C3 incin]])</f>
        <v>0</v>
      </c>
      <c r="AC203" s="322">
        <f>IFERROR((VLOOKUP(Calculations[[#This Row],[Waste type 2]],WasteLandfillEmissions[#All],2,FALSE))*Calculations[[#This Row],[Total Kg]]*VLOOKUP(Calculations[[#This Row],[Waste 1]],WasteScenario[#All],4,FALSE),0)</f>
        <v>0</v>
      </c>
      <c r="AD203" s="322">
        <f>IFERROR((VLOOKUP(Calculations[[#This Row],[Waste type 2]],WasteLandfillEmissions[#All],3,FALSE))*Calculations[[#This Row],[Total Kg]]*VLOOKUP(Calculations[[#This Row],[Waste 1]],WasteScenario[#All],4,FALSE),0)</f>
        <v>0</v>
      </c>
      <c r="AE203" s="322">
        <f>SUM(Calculations[[#This Row],[C4 landfill]:[C4 re-use]])</f>
        <v>0</v>
      </c>
      <c r="AF203" s="322">
        <f>IFERROR(VLOOKUP(Calculations[[#This Row],[Material (choose from dropdown]],MaterialData[#All],8,FALSE),0)</f>
        <v>0</v>
      </c>
      <c r="AG203" s="322">
        <f>IFERROR(Calculations[[#This Row],[Total Kg]]*Calculations[[#This Row],[Seq factor]],0)</f>
        <v>0</v>
      </c>
      <c r="AI203" s="322">
        <f>Calculations[[#This Row],[A1-3]]+Calculations[[#This Row],[A4]]+Calculations[[#This Row],[A5]]+Calculations[[#This Row],[B4]]+Calculations[[#This Row],[C2 total]]+Calculations[[#This Row],[C3 total]]+Calculations[[#This Row],[C4 total]]</f>
        <v>0</v>
      </c>
      <c r="AJ203" s="2">
        <f>IFERROR(VLOOKUP(Calculations[[#This Row],[Material (choose from dropdown]],MaterialData[[#Headers],[#Data]],9,FALSE),0)</f>
        <v>0</v>
      </c>
      <c r="AK203" s="4">
        <f>IFERROR(VLOOKUP(Calculations[[#This Row],[Material (choose from dropdown]],MaterialData[[#Headers],[#Data]],10,FALSE),0)</f>
        <v>0</v>
      </c>
      <c r="AL203" s="322">
        <f>IFERROR(Calculations[[#This Row],[Data Quality Score]]*Calculations[[#This Row],[Total Kg]],0)</f>
        <v>0</v>
      </c>
    </row>
    <row r="204" spans="1:38" x14ac:dyDescent="0.3">
      <c r="A204" s="6">
        <f>IFERROR(MaterialsBoQ[[#This Row],[Scope Element]],0)</f>
        <v>0</v>
      </c>
      <c r="B204">
        <f>IFERROR(MaterialsBoQ[[#This Row],[Material ]],"")</f>
        <v>0</v>
      </c>
      <c r="C204">
        <f>IFERROR(MaterialsBoQ[[#This Row],[Unit]],"")</f>
        <v>0</v>
      </c>
      <c r="D204" s="322">
        <f>IFERROR(MaterialsBoQ[[#This Row],[Number]],0)</f>
        <v>0</v>
      </c>
      <c r="E204" s="322">
        <f>IFERROR(MaterialsBoQ[[#This Row],[Kg per unit]],0)</f>
        <v>0</v>
      </c>
      <c r="F204" s="322">
        <f>IFERROR(Calculations[[#This Row],[Number]]*Calculations[[#This Row],[Conversion factor]],0)</f>
        <v>0</v>
      </c>
      <c r="G204" s="322">
        <f>IFERROR(VLOOKUP(Calculations[[#This Row],[Material (choose from dropdown]],MaterialData[#All],7,FALSE),0)</f>
        <v>0</v>
      </c>
      <c r="H204" s="322">
        <f>Calculations[[#This Row],[Total Kg]]*Calculations[[#This Row],[Carbon Factor]]</f>
        <v>0</v>
      </c>
      <c r="I204" t="str">
        <f>IFERROR(VLOOKUP(Calculations[[#This Row],[Material (choose from dropdown]],MaterialData[#All],2,FALSE),"")</f>
        <v/>
      </c>
      <c r="J204" s="322">
        <f>IFERROR(((VLOOKUP(Calculations[[#This Row],[TransportSource]],TransportDistance[],2,FALSE)*'Stage assumptions'!$C$11)+VLOOKUP(Calculations[[#This Row],[TransportSource]],TransportDistance[],3,FALSE)*'Stage assumptions'!$C$12)*Calculations[[#This Row],[Total Kg]],0)</f>
        <v>0</v>
      </c>
      <c r="K204">
        <f>IFERROR(VLOOKUP(Calculations[[#This Row],[Material (choose from dropdown]], MaterialData[#All],3, FALSE),0)</f>
        <v>0</v>
      </c>
      <c r="L204" s="322">
        <f>IFERROR(VLOOKUP(Calculations[[#This Row],[A5type]],A5WastageRate[#All],2,FALSE)*Calculations[[#This Row],[A1-3]],0)</f>
        <v>0</v>
      </c>
      <c r="N204">
        <f>IFERROR(ROUNDUP(50/VLOOKUP(Calculations[[#This Row],[Scope Element]],B4referenceServiceLife[[Tier 2 element]:[Default Service Life]],2, FALSE)-1,0),0)</f>
        <v>0</v>
      </c>
      <c r="O204" s="322">
        <f>IFERROR((Calculations[[#This Row],[A1-3]]+Calculations[[#This Row],[A4]]+Calculations[[#This Row],[A5]]+Calculations[[#This Row],[C2 total]]+Calculations[[#This Row],[C3 total]]+Calculations[[#This Row],[C4 total]])*Calculations[[#This Row],[Replacements]],0)</f>
        <v>0</v>
      </c>
      <c r="S204" t="str">
        <f>IFERROR(VLOOKUP(Calculations[[#This Row],[Material (choose from dropdown]],MaterialData[#All],4,FALSE),"")</f>
        <v/>
      </c>
      <c r="T204" s="322" cm="1">
        <f t="array" ref="T204">IFERROR(VLOOKUP(Calculations[[#This Row],[Waste 1]],WasteScenario[#All],2,FALSE)*'Stage assumptions'!$C$225*WasteTransportMethod[Emissions Factor
kgCO2e/kg.km]*Calculations[[#This Row],[Total Kg]],0)</f>
        <v>0</v>
      </c>
      <c r="U204" s="322" cm="1">
        <f t="array" ref="U204">IFERROR(VLOOKUP(Calculations[[#This Row],[Waste 1]],WasteScenario[#All],3,FALSE)*'Stage assumptions'!$C$224*WasteTransportMethod[Emissions Factor
kgCO2e/kg.km]*Calculations[[#This Row],[Total Kg]],0)</f>
        <v>0</v>
      </c>
      <c r="V204" s="322" cm="1">
        <f t="array" ref="V204">IFERROR(VLOOKUP(Calculations[[#This Row],[Waste 1]],WasteScenario[#All],4,FALSE)*'Stage assumptions'!$C$223*WasteTransportMethod[Emissions Factor
kgCO2e/kg.km]*Calculations[[#This Row],[Total Kg]],0)</f>
        <v>0</v>
      </c>
      <c r="W204" s="322" cm="1">
        <f t="array" ref="W204">IFERROR(VLOOKUP(Calculations[[#This Row],[Waste 1]],WasteScenario[#All],5,FALSE)*'Stage assumptions'!$C$226*WasteTransportMethod[Emissions Factor
kgCO2e/kg.km]*Calculations[[#This Row],[Total Kg]],0)</f>
        <v>0</v>
      </c>
      <c r="X204" s="322">
        <f>SUM(Calculations[[#This Row],[C2 Recycle]:[C2 Reuse]])</f>
        <v>0</v>
      </c>
      <c r="Y204" t="str">
        <f>IFERROR(VLOOKUP(Calculations[[#This Row],[Material (choose from dropdown]],MaterialData[#All],5,FALSE),"")</f>
        <v/>
      </c>
      <c r="Z204" s="322">
        <f>IFERROR(((VLOOKUP(Calculations[[#This Row],[Waste type 2]],WasteDisposalEmissions[#All],2,FALSE))*Calculations[[#This Row],[Total Kg]])*VLOOKUP(Calculations[[#This Row],[Waste 1]],WasteScenario[#All],2,FALSE),0)</f>
        <v>0</v>
      </c>
      <c r="AA204" s="322">
        <f>IFERROR((VLOOKUP(Calculations[[#This Row],[Waste type 2]],WasteDisposalEmissions[#All],3,FALSE))*Calculations[[#This Row],[Total Kg]]*VLOOKUP(Calculations[[#This Row],[Waste 1]],WasteScenario[#All],3,FALSE),0)</f>
        <v>0</v>
      </c>
      <c r="AB204" s="322">
        <f>SUM(Calculations[[#This Row],[C3 recyc]:[C3 incin]])</f>
        <v>0</v>
      </c>
      <c r="AC204" s="322">
        <f>IFERROR((VLOOKUP(Calculations[[#This Row],[Waste type 2]],WasteLandfillEmissions[#All],2,FALSE))*Calculations[[#This Row],[Total Kg]]*VLOOKUP(Calculations[[#This Row],[Waste 1]],WasteScenario[#All],4,FALSE),0)</f>
        <v>0</v>
      </c>
      <c r="AD204" s="322">
        <f>IFERROR((VLOOKUP(Calculations[[#This Row],[Waste type 2]],WasteLandfillEmissions[#All],3,FALSE))*Calculations[[#This Row],[Total Kg]]*VLOOKUP(Calculations[[#This Row],[Waste 1]],WasteScenario[#All],4,FALSE),0)</f>
        <v>0</v>
      </c>
      <c r="AE204" s="322">
        <f>SUM(Calculations[[#This Row],[C4 landfill]:[C4 re-use]])</f>
        <v>0</v>
      </c>
      <c r="AF204" s="322">
        <f>IFERROR(VLOOKUP(Calculations[[#This Row],[Material (choose from dropdown]],MaterialData[#All],8,FALSE),0)</f>
        <v>0</v>
      </c>
      <c r="AG204" s="322">
        <f>IFERROR(Calculations[[#This Row],[Total Kg]]*Calculations[[#This Row],[Seq factor]],0)</f>
        <v>0</v>
      </c>
      <c r="AI204" s="322">
        <f>Calculations[[#This Row],[A1-3]]+Calculations[[#This Row],[A4]]+Calculations[[#This Row],[A5]]+Calculations[[#This Row],[B4]]+Calculations[[#This Row],[C2 total]]+Calculations[[#This Row],[C3 total]]+Calculations[[#This Row],[C4 total]]</f>
        <v>0</v>
      </c>
      <c r="AJ204" s="2">
        <f>IFERROR(VLOOKUP(Calculations[[#This Row],[Material (choose from dropdown]],MaterialData[[#Headers],[#Data]],9,FALSE),0)</f>
        <v>0</v>
      </c>
      <c r="AK204" s="4">
        <f>IFERROR(VLOOKUP(Calculations[[#This Row],[Material (choose from dropdown]],MaterialData[[#Headers],[#Data]],10,FALSE),0)</f>
        <v>0</v>
      </c>
      <c r="AL204" s="322">
        <f>IFERROR(Calculations[[#This Row],[Data Quality Score]]*Calculations[[#This Row],[Total Kg]],0)</f>
        <v>0</v>
      </c>
    </row>
    <row r="205" spans="1:38" x14ac:dyDescent="0.3">
      <c r="A205" s="6">
        <f>IFERROR(MaterialsBoQ[[#This Row],[Scope Element]],0)</f>
        <v>0</v>
      </c>
      <c r="B205">
        <f>IFERROR(MaterialsBoQ[[#This Row],[Material ]],"")</f>
        <v>0</v>
      </c>
      <c r="C205">
        <f>IFERROR(MaterialsBoQ[[#This Row],[Unit]],"")</f>
        <v>0</v>
      </c>
      <c r="D205" s="322">
        <f>IFERROR(MaterialsBoQ[[#This Row],[Number]],0)</f>
        <v>0</v>
      </c>
      <c r="E205" s="322">
        <f>IFERROR(MaterialsBoQ[[#This Row],[Kg per unit]],0)</f>
        <v>0</v>
      </c>
      <c r="F205" s="322">
        <f>IFERROR(Calculations[[#This Row],[Number]]*Calculations[[#This Row],[Conversion factor]],0)</f>
        <v>0</v>
      </c>
      <c r="G205" s="322">
        <f>IFERROR(VLOOKUP(Calculations[[#This Row],[Material (choose from dropdown]],MaterialData[#All],7,FALSE),0)</f>
        <v>0</v>
      </c>
      <c r="H205" s="322">
        <f>Calculations[[#This Row],[Total Kg]]*Calculations[[#This Row],[Carbon Factor]]</f>
        <v>0</v>
      </c>
      <c r="I205" t="str">
        <f>IFERROR(VLOOKUP(Calculations[[#This Row],[Material (choose from dropdown]],MaterialData[#All],2,FALSE),"")</f>
        <v/>
      </c>
      <c r="J205" s="322">
        <f>IFERROR(((VLOOKUP(Calculations[[#This Row],[TransportSource]],TransportDistance[],2,FALSE)*'Stage assumptions'!$C$11)+VLOOKUP(Calculations[[#This Row],[TransportSource]],TransportDistance[],3,FALSE)*'Stage assumptions'!$C$12)*Calculations[[#This Row],[Total Kg]],0)</f>
        <v>0</v>
      </c>
      <c r="K205">
        <f>IFERROR(VLOOKUP(Calculations[[#This Row],[Material (choose from dropdown]], MaterialData[#All],3, FALSE),0)</f>
        <v>0</v>
      </c>
      <c r="L205" s="322">
        <f>IFERROR(VLOOKUP(Calculations[[#This Row],[A5type]],A5WastageRate[#All],2,FALSE)*Calculations[[#This Row],[A1-3]],0)</f>
        <v>0</v>
      </c>
      <c r="N205">
        <f>IFERROR(ROUNDUP(50/VLOOKUP(Calculations[[#This Row],[Scope Element]],B4referenceServiceLife[[Tier 2 element]:[Default Service Life]],2, FALSE)-1,0),0)</f>
        <v>0</v>
      </c>
      <c r="O205" s="322">
        <f>IFERROR((Calculations[[#This Row],[A1-3]]+Calculations[[#This Row],[A4]]+Calculations[[#This Row],[A5]]+Calculations[[#This Row],[C2 total]]+Calculations[[#This Row],[C3 total]]+Calculations[[#This Row],[C4 total]])*Calculations[[#This Row],[Replacements]],0)</f>
        <v>0</v>
      </c>
      <c r="S205" t="str">
        <f>IFERROR(VLOOKUP(Calculations[[#This Row],[Material (choose from dropdown]],MaterialData[#All],4,FALSE),"")</f>
        <v/>
      </c>
      <c r="T205" s="322" cm="1">
        <f t="array" ref="T205">IFERROR(VLOOKUP(Calculations[[#This Row],[Waste 1]],WasteScenario[#All],2,FALSE)*'Stage assumptions'!$C$225*WasteTransportMethod[Emissions Factor
kgCO2e/kg.km]*Calculations[[#This Row],[Total Kg]],0)</f>
        <v>0</v>
      </c>
      <c r="U205" s="322" cm="1">
        <f t="array" ref="U205">IFERROR(VLOOKUP(Calculations[[#This Row],[Waste 1]],WasteScenario[#All],3,FALSE)*'Stage assumptions'!$C$224*WasteTransportMethod[Emissions Factor
kgCO2e/kg.km]*Calculations[[#This Row],[Total Kg]],0)</f>
        <v>0</v>
      </c>
      <c r="V205" s="322" cm="1">
        <f t="array" ref="V205">IFERROR(VLOOKUP(Calculations[[#This Row],[Waste 1]],WasteScenario[#All],4,FALSE)*'Stage assumptions'!$C$223*WasteTransportMethod[Emissions Factor
kgCO2e/kg.km]*Calculations[[#This Row],[Total Kg]],0)</f>
        <v>0</v>
      </c>
      <c r="W205" s="322" cm="1">
        <f t="array" ref="W205">IFERROR(VLOOKUP(Calculations[[#This Row],[Waste 1]],WasteScenario[#All],5,FALSE)*'Stage assumptions'!$C$226*WasteTransportMethod[Emissions Factor
kgCO2e/kg.km]*Calculations[[#This Row],[Total Kg]],0)</f>
        <v>0</v>
      </c>
      <c r="X205" s="322">
        <f>SUM(Calculations[[#This Row],[C2 Recycle]:[C2 Reuse]])</f>
        <v>0</v>
      </c>
      <c r="Y205" t="str">
        <f>IFERROR(VLOOKUP(Calculations[[#This Row],[Material (choose from dropdown]],MaterialData[#All],5,FALSE),"")</f>
        <v/>
      </c>
      <c r="Z205" s="322">
        <f>IFERROR(((VLOOKUP(Calculations[[#This Row],[Waste type 2]],WasteDisposalEmissions[#All],2,FALSE))*Calculations[[#This Row],[Total Kg]])*VLOOKUP(Calculations[[#This Row],[Waste 1]],WasteScenario[#All],2,FALSE),0)</f>
        <v>0</v>
      </c>
      <c r="AA205" s="322">
        <f>IFERROR((VLOOKUP(Calculations[[#This Row],[Waste type 2]],WasteDisposalEmissions[#All],3,FALSE))*Calculations[[#This Row],[Total Kg]]*VLOOKUP(Calculations[[#This Row],[Waste 1]],WasteScenario[#All],3,FALSE),0)</f>
        <v>0</v>
      </c>
      <c r="AB205" s="322">
        <f>SUM(Calculations[[#This Row],[C3 recyc]:[C3 incin]])</f>
        <v>0</v>
      </c>
      <c r="AC205" s="322">
        <f>IFERROR((VLOOKUP(Calculations[[#This Row],[Waste type 2]],WasteLandfillEmissions[#All],2,FALSE))*Calculations[[#This Row],[Total Kg]]*VLOOKUP(Calculations[[#This Row],[Waste 1]],WasteScenario[#All],4,FALSE),0)</f>
        <v>0</v>
      </c>
      <c r="AD205" s="322">
        <f>IFERROR((VLOOKUP(Calculations[[#This Row],[Waste type 2]],WasteLandfillEmissions[#All],3,FALSE))*Calculations[[#This Row],[Total Kg]]*VLOOKUP(Calculations[[#This Row],[Waste 1]],WasteScenario[#All],4,FALSE),0)</f>
        <v>0</v>
      </c>
      <c r="AE205" s="322">
        <f>SUM(Calculations[[#This Row],[C4 landfill]:[C4 re-use]])</f>
        <v>0</v>
      </c>
      <c r="AF205" s="322">
        <f>IFERROR(VLOOKUP(Calculations[[#This Row],[Material (choose from dropdown]],MaterialData[#All],8,FALSE),0)</f>
        <v>0</v>
      </c>
      <c r="AG205" s="322">
        <f>IFERROR(Calculations[[#This Row],[Total Kg]]*Calculations[[#This Row],[Seq factor]],0)</f>
        <v>0</v>
      </c>
      <c r="AI205" s="322">
        <f>Calculations[[#This Row],[A1-3]]+Calculations[[#This Row],[A4]]+Calculations[[#This Row],[A5]]+Calculations[[#This Row],[B4]]+Calculations[[#This Row],[C2 total]]+Calculations[[#This Row],[C3 total]]+Calculations[[#This Row],[C4 total]]</f>
        <v>0</v>
      </c>
      <c r="AJ205" s="2">
        <f>IFERROR(VLOOKUP(Calculations[[#This Row],[Material (choose from dropdown]],MaterialData[[#Headers],[#Data]],9,FALSE),0)</f>
        <v>0</v>
      </c>
      <c r="AK205" s="4">
        <f>IFERROR(VLOOKUP(Calculations[[#This Row],[Material (choose from dropdown]],MaterialData[[#Headers],[#Data]],10,FALSE),0)</f>
        <v>0</v>
      </c>
      <c r="AL205" s="322">
        <f>IFERROR(Calculations[[#This Row],[Data Quality Score]]*Calculations[[#This Row],[Total Kg]],0)</f>
        <v>0</v>
      </c>
    </row>
    <row r="206" spans="1:38" x14ac:dyDescent="0.3">
      <c r="A206" s="6">
        <f>IFERROR(MaterialsBoQ[[#This Row],[Scope Element]],0)</f>
        <v>0</v>
      </c>
      <c r="B206">
        <f>IFERROR(MaterialsBoQ[[#This Row],[Material ]],"")</f>
        <v>0</v>
      </c>
      <c r="C206">
        <f>IFERROR(MaterialsBoQ[[#This Row],[Unit]],"")</f>
        <v>0</v>
      </c>
      <c r="D206" s="322">
        <f>IFERROR(MaterialsBoQ[[#This Row],[Number]],0)</f>
        <v>0</v>
      </c>
      <c r="E206" s="322">
        <f>IFERROR(MaterialsBoQ[[#This Row],[Kg per unit]],0)</f>
        <v>0</v>
      </c>
      <c r="F206" s="322">
        <f>IFERROR(Calculations[[#This Row],[Number]]*Calculations[[#This Row],[Conversion factor]],0)</f>
        <v>0</v>
      </c>
      <c r="G206" s="322">
        <f>IFERROR(VLOOKUP(Calculations[[#This Row],[Material (choose from dropdown]],MaterialData[#All],7,FALSE),0)</f>
        <v>0</v>
      </c>
      <c r="H206" s="322">
        <f>Calculations[[#This Row],[Total Kg]]*Calculations[[#This Row],[Carbon Factor]]</f>
        <v>0</v>
      </c>
      <c r="I206" t="str">
        <f>IFERROR(VLOOKUP(Calculations[[#This Row],[Material (choose from dropdown]],MaterialData[#All],2,FALSE),"")</f>
        <v/>
      </c>
      <c r="J206" s="322">
        <f>IFERROR(((VLOOKUP(Calculations[[#This Row],[TransportSource]],TransportDistance[],2,FALSE)*'Stage assumptions'!$C$11)+VLOOKUP(Calculations[[#This Row],[TransportSource]],TransportDistance[],3,FALSE)*'Stage assumptions'!$C$12)*Calculations[[#This Row],[Total Kg]],0)</f>
        <v>0</v>
      </c>
      <c r="K206">
        <f>IFERROR(VLOOKUP(Calculations[[#This Row],[Material (choose from dropdown]], MaterialData[#All],3, FALSE),0)</f>
        <v>0</v>
      </c>
      <c r="L206" s="322">
        <f>IFERROR(VLOOKUP(Calculations[[#This Row],[A5type]],A5WastageRate[#All],2,FALSE)*Calculations[[#This Row],[A1-3]],0)</f>
        <v>0</v>
      </c>
      <c r="N206">
        <f>IFERROR(ROUNDUP(50/VLOOKUP(Calculations[[#This Row],[Scope Element]],B4referenceServiceLife[[Tier 2 element]:[Default Service Life]],2, FALSE)-1,0),0)</f>
        <v>0</v>
      </c>
      <c r="O206" s="322">
        <f>IFERROR((Calculations[[#This Row],[A1-3]]+Calculations[[#This Row],[A4]]+Calculations[[#This Row],[A5]]+Calculations[[#This Row],[C2 total]]+Calculations[[#This Row],[C3 total]]+Calculations[[#This Row],[C4 total]])*Calculations[[#This Row],[Replacements]],0)</f>
        <v>0</v>
      </c>
      <c r="S206" t="str">
        <f>IFERROR(VLOOKUP(Calculations[[#This Row],[Material (choose from dropdown]],MaterialData[#All],4,FALSE),"")</f>
        <v/>
      </c>
      <c r="T206" s="322" cm="1">
        <f t="array" ref="T206">IFERROR(VLOOKUP(Calculations[[#This Row],[Waste 1]],WasteScenario[#All],2,FALSE)*'Stage assumptions'!$C$225*WasteTransportMethod[Emissions Factor
kgCO2e/kg.km]*Calculations[[#This Row],[Total Kg]],0)</f>
        <v>0</v>
      </c>
      <c r="U206" s="322" cm="1">
        <f t="array" ref="U206">IFERROR(VLOOKUP(Calculations[[#This Row],[Waste 1]],WasteScenario[#All],3,FALSE)*'Stage assumptions'!$C$224*WasteTransportMethod[Emissions Factor
kgCO2e/kg.km]*Calculations[[#This Row],[Total Kg]],0)</f>
        <v>0</v>
      </c>
      <c r="V206" s="322" cm="1">
        <f t="array" ref="V206">IFERROR(VLOOKUP(Calculations[[#This Row],[Waste 1]],WasteScenario[#All],4,FALSE)*'Stage assumptions'!$C$223*WasteTransportMethod[Emissions Factor
kgCO2e/kg.km]*Calculations[[#This Row],[Total Kg]],0)</f>
        <v>0</v>
      </c>
      <c r="W206" s="322" cm="1">
        <f t="array" ref="W206">IFERROR(VLOOKUP(Calculations[[#This Row],[Waste 1]],WasteScenario[#All],5,FALSE)*'Stage assumptions'!$C$226*WasteTransportMethod[Emissions Factor
kgCO2e/kg.km]*Calculations[[#This Row],[Total Kg]],0)</f>
        <v>0</v>
      </c>
      <c r="X206" s="322">
        <f>SUM(Calculations[[#This Row],[C2 Recycle]:[C2 Reuse]])</f>
        <v>0</v>
      </c>
      <c r="Y206" t="str">
        <f>IFERROR(VLOOKUP(Calculations[[#This Row],[Material (choose from dropdown]],MaterialData[#All],5,FALSE),"")</f>
        <v/>
      </c>
      <c r="Z206" s="322">
        <f>IFERROR(((VLOOKUP(Calculations[[#This Row],[Waste type 2]],WasteDisposalEmissions[#All],2,FALSE))*Calculations[[#This Row],[Total Kg]])*VLOOKUP(Calculations[[#This Row],[Waste 1]],WasteScenario[#All],2,FALSE),0)</f>
        <v>0</v>
      </c>
      <c r="AA206" s="322">
        <f>IFERROR((VLOOKUP(Calculations[[#This Row],[Waste type 2]],WasteDisposalEmissions[#All],3,FALSE))*Calculations[[#This Row],[Total Kg]]*VLOOKUP(Calculations[[#This Row],[Waste 1]],WasteScenario[#All],3,FALSE),0)</f>
        <v>0</v>
      </c>
      <c r="AB206" s="322">
        <f>SUM(Calculations[[#This Row],[C3 recyc]:[C3 incin]])</f>
        <v>0</v>
      </c>
      <c r="AC206" s="322">
        <f>IFERROR((VLOOKUP(Calculations[[#This Row],[Waste type 2]],WasteLandfillEmissions[#All],2,FALSE))*Calculations[[#This Row],[Total Kg]]*VLOOKUP(Calculations[[#This Row],[Waste 1]],WasteScenario[#All],4,FALSE),0)</f>
        <v>0</v>
      </c>
      <c r="AD206" s="322">
        <f>IFERROR((VLOOKUP(Calculations[[#This Row],[Waste type 2]],WasteLandfillEmissions[#All],3,FALSE))*Calculations[[#This Row],[Total Kg]]*VLOOKUP(Calculations[[#This Row],[Waste 1]],WasteScenario[#All],4,FALSE),0)</f>
        <v>0</v>
      </c>
      <c r="AE206" s="322">
        <f>SUM(Calculations[[#This Row],[C4 landfill]:[C4 re-use]])</f>
        <v>0</v>
      </c>
      <c r="AF206" s="322">
        <f>IFERROR(VLOOKUP(Calculations[[#This Row],[Material (choose from dropdown]],MaterialData[#All],8,FALSE),0)</f>
        <v>0</v>
      </c>
      <c r="AG206" s="322">
        <f>IFERROR(Calculations[[#This Row],[Total Kg]]*Calculations[[#This Row],[Seq factor]],0)</f>
        <v>0</v>
      </c>
      <c r="AI206" s="322">
        <f>Calculations[[#This Row],[A1-3]]+Calculations[[#This Row],[A4]]+Calculations[[#This Row],[A5]]+Calculations[[#This Row],[B4]]+Calculations[[#This Row],[C2 total]]+Calculations[[#This Row],[C3 total]]+Calculations[[#This Row],[C4 total]]</f>
        <v>0</v>
      </c>
      <c r="AJ206" s="2">
        <f>IFERROR(VLOOKUP(Calculations[[#This Row],[Material (choose from dropdown]],MaterialData[[#Headers],[#Data]],9,FALSE),0)</f>
        <v>0</v>
      </c>
      <c r="AK206" s="4">
        <f>IFERROR(VLOOKUP(Calculations[[#This Row],[Material (choose from dropdown]],MaterialData[[#Headers],[#Data]],10,FALSE),0)</f>
        <v>0</v>
      </c>
      <c r="AL206" s="322">
        <f>IFERROR(Calculations[[#This Row],[Data Quality Score]]*Calculations[[#This Row],[Total Kg]],0)</f>
        <v>0</v>
      </c>
    </row>
    <row r="207" spans="1:38" x14ac:dyDescent="0.3">
      <c r="A207" s="6">
        <f>IFERROR(MaterialsBoQ[[#This Row],[Scope Element]],0)</f>
        <v>0</v>
      </c>
      <c r="B207">
        <f>IFERROR(MaterialsBoQ[[#This Row],[Material ]],"")</f>
        <v>0</v>
      </c>
      <c r="C207">
        <f>IFERROR(MaterialsBoQ[[#This Row],[Unit]],"")</f>
        <v>0</v>
      </c>
      <c r="D207" s="322">
        <f>IFERROR(MaterialsBoQ[[#This Row],[Number]],0)</f>
        <v>0</v>
      </c>
      <c r="E207" s="322">
        <f>IFERROR(MaterialsBoQ[[#This Row],[Kg per unit]],0)</f>
        <v>0</v>
      </c>
      <c r="F207" s="322">
        <f>IFERROR(Calculations[[#This Row],[Number]]*Calculations[[#This Row],[Conversion factor]],0)</f>
        <v>0</v>
      </c>
      <c r="G207" s="322">
        <f>IFERROR(VLOOKUP(Calculations[[#This Row],[Material (choose from dropdown]],MaterialData[#All],7,FALSE),0)</f>
        <v>0</v>
      </c>
      <c r="H207" s="322">
        <f>Calculations[[#This Row],[Total Kg]]*Calculations[[#This Row],[Carbon Factor]]</f>
        <v>0</v>
      </c>
      <c r="I207" t="str">
        <f>IFERROR(VLOOKUP(Calculations[[#This Row],[Material (choose from dropdown]],MaterialData[#All],2,FALSE),"")</f>
        <v/>
      </c>
      <c r="J207" s="322">
        <f>IFERROR(((VLOOKUP(Calculations[[#This Row],[TransportSource]],TransportDistance[],2,FALSE)*'Stage assumptions'!$C$11)+VLOOKUP(Calculations[[#This Row],[TransportSource]],TransportDistance[],3,FALSE)*'Stage assumptions'!$C$12)*Calculations[[#This Row],[Total Kg]],0)</f>
        <v>0</v>
      </c>
      <c r="K207">
        <f>IFERROR(VLOOKUP(Calculations[[#This Row],[Material (choose from dropdown]], MaterialData[#All],3, FALSE),0)</f>
        <v>0</v>
      </c>
      <c r="L207" s="322">
        <f>IFERROR(VLOOKUP(Calculations[[#This Row],[A5type]],A5WastageRate[#All],2,FALSE)*Calculations[[#This Row],[A1-3]],0)</f>
        <v>0</v>
      </c>
      <c r="N207">
        <f>IFERROR(ROUNDUP(50/VLOOKUP(Calculations[[#This Row],[Scope Element]],B4referenceServiceLife[[Tier 2 element]:[Default Service Life]],2, FALSE)-1,0),0)</f>
        <v>0</v>
      </c>
      <c r="O207" s="322">
        <f>IFERROR((Calculations[[#This Row],[A1-3]]+Calculations[[#This Row],[A4]]+Calculations[[#This Row],[A5]]+Calculations[[#This Row],[C2 total]]+Calculations[[#This Row],[C3 total]]+Calculations[[#This Row],[C4 total]])*Calculations[[#This Row],[Replacements]],0)</f>
        <v>0</v>
      </c>
      <c r="S207" t="str">
        <f>IFERROR(VLOOKUP(Calculations[[#This Row],[Material (choose from dropdown]],MaterialData[#All],4,FALSE),"")</f>
        <v/>
      </c>
      <c r="T207" s="322" cm="1">
        <f t="array" ref="T207">IFERROR(VLOOKUP(Calculations[[#This Row],[Waste 1]],WasteScenario[#All],2,FALSE)*'Stage assumptions'!$C$225*WasteTransportMethod[Emissions Factor
kgCO2e/kg.km]*Calculations[[#This Row],[Total Kg]],0)</f>
        <v>0</v>
      </c>
      <c r="U207" s="322" cm="1">
        <f t="array" ref="U207">IFERROR(VLOOKUP(Calculations[[#This Row],[Waste 1]],WasteScenario[#All],3,FALSE)*'Stage assumptions'!$C$224*WasteTransportMethod[Emissions Factor
kgCO2e/kg.km]*Calculations[[#This Row],[Total Kg]],0)</f>
        <v>0</v>
      </c>
      <c r="V207" s="322" cm="1">
        <f t="array" ref="V207">IFERROR(VLOOKUP(Calculations[[#This Row],[Waste 1]],WasteScenario[#All],4,FALSE)*'Stage assumptions'!$C$223*WasteTransportMethod[Emissions Factor
kgCO2e/kg.km]*Calculations[[#This Row],[Total Kg]],0)</f>
        <v>0</v>
      </c>
      <c r="W207" s="322" cm="1">
        <f t="array" ref="W207">IFERROR(VLOOKUP(Calculations[[#This Row],[Waste 1]],WasteScenario[#All],5,FALSE)*'Stage assumptions'!$C$226*WasteTransportMethod[Emissions Factor
kgCO2e/kg.km]*Calculations[[#This Row],[Total Kg]],0)</f>
        <v>0</v>
      </c>
      <c r="X207" s="322">
        <f>SUM(Calculations[[#This Row],[C2 Recycle]:[C2 Reuse]])</f>
        <v>0</v>
      </c>
      <c r="Y207" t="str">
        <f>IFERROR(VLOOKUP(Calculations[[#This Row],[Material (choose from dropdown]],MaterialData[#All],5,FALSE),"")</f>
        <v/>
      </c>
      <c r="Z207" s="322">
        <f>IFERROR(((VLOOKUP(Calculations[[#This Row],[Waste type 2]],WasteDisposalEmissions[#All],2,FALSE))*Calculations[[#This Row],[Total Kg]])*VLOOKUP(Calculations[[#This Row],[Waste 1]],WasteScenario[#All],2,FALSE),0)</f>
        <v>0</v>
      </c>
      <c r="AA207" s="322">
        <f>IFERROR((VLOOKUP(Calculations[[#This Row],[Waste type 2]],WasteDisposalEmissions[#All],3,FALSE))*Calculations[[#This Row],[Total Kg]]*VLOOKUP(Calculations[[#This Row],[Waste 1]],WasteScenario[#All],3,FALSE),0)</f>
        <v>0</v>
      </c>
      <c r="AB207" s="322">
        <f>SUM(Calculations[[#This Row],[C3 recyc]:[C3 incin]])</f>
        <v>0</v>
      </c>
      <c r="AC207" s="322">
        <f>IFERROR((VLOOKUP(Calculations[[#This Row],[Waste type 2]],WasteLandfillEmissions[#All],2,FALSE))*Calculations[[#This Row],[Total Kg]]*VLOOKUP(Calculations[[#This Row],[Waste 1]],WasteScenario[#All],4,FALSE),0)</f>
        <v>0</v>
      </c>
      <c r="AD207" s="322">
        <f>IFERROR((VLOOKUP(Calculations[[#This Row],[Waste type 2]],WasteLandfillEmissions[#All],3,FALSE))*Calculations[[#This Row],[Total Kg]]*VLOOKUP(Calculations[[#This Row],[Waste 1]],WasteScenario[#All],4,FALSE),0)</f>
        <v>0</v>
      </c>
      <c r="AE207" s="322">
        <f>SUM(Calculations[[#This Row],[C4 landfill]:[C4 re-use]])</f>
        <v>0</v>
      </c>
      <c r="AF207" s="322">
        <f>IFERROR(VLOOKUP(Calculations[[#This Row],[Material (choose from dropdown]],MaterialData[#All],8,FALSE),0)</f>
        <v>0</v>
      </c>
      <c r="AG207" s="322">
        <f>IFERROR(Calculations[[#This Row],[Total Kg]]*Calculations[[#This Row],[Seq factor]],0)</f>
        <v>0</v>
      </c>
      <c r="AI207" s="322">
        <f>Calculations[[#This Row],[A1-3]]+Calculations[[#This Row],[A4]]+Calculations[[#This Row],[A5]]+Calculations[[#This Row],[B4]]+Calculations[[#This Row],[C2 total]]+Calculations[[#This Row],[C3 total]]+Calculations[[#This Row],[C4 total]]</f>
        <v>0</v>
      </c>
      <c r="AJ207" s="2">
        <f>IFERROR(VLOOKUP(Calculations[[#This Row],[Material (choose from dropdown]],MaterialData[[#Headers],[#Data]],9,FALSE),0)</f>
        <v>0</v>
      </c>
      <c r="AK207" s="4">
        <f>IFERROR(VLOOKUP(Calculations[[#This Row],[Material (choose from dropdown]],MaterialData[[#Headers],[#Data]],10,FALSE),0)</f>
        <v>0</v>
      </c>
      <c r="AL207" s="322">
        <f>IFERROR(Calculations[[#This Row],[Data Quality Score]]*Calculations[[#This Row],[Total Kg]],0)</f>
        <v>0</v>
      </c>
    </row>
    <row r="208" spans="1:38" x14ac:dyDescent="0.3">
      <c r="A208" s="6">
        <f>IFERROR(MaterialsBoQ[[#This Row],[Scope Element]],0)</f>
        <v>0</v>
      </c>
      <c r="B208">
        <f>IFERROR(MaterialsBoQ[[#This Row],[Material ]],"")</f>
        <v>0</v>
      </c>
      <c r="C208">
        <f>IFERROR(MaterialsBoQ[[#This Row],[Unit]],"")</f>
        <v>0</v>
      </c>
      <c r="D208" s="322">
        <f>IFERROR(MaterialsBoQ[[#This Row],[Number]],0)</f>
        <v>0</v>
      </c>
      <c r="E208" s="322">
        <f>IFERROR(MaterialsBoQ[[#This Row],[Kg per unit]],0)</f>
        <v>0</v>
      </c>
      <c r="F208" s="322">
        <f>IFERROR(Calculations[[#This Row],[Number]]*Calculations[[#This Row],[Conversion factor]],0)</f>
        <v>0</v>
      </c>
      <c r="G208" s="322">
        <f>IFERROR(VLOOKUP(Calculations[[#This Row],[Material (choose from dropdown]],MaterialData[#All],7,FALSE),0)</f>
        <v>0</v>
      </c>
      <c r="H208" s="322">
        <f>Calculations[[#This Row],[Total Kg]]*Calculations[[#This Row],[Carbon Factor]]</f>
        <v>0</v>
      </c>
      <c r="I208" t="str">
        <f>IFERROR(VLOOKUP(Calculations[[#This Row],[Material (choose from dropdown]],MaterialData[#All],2,FALSE),"")</f>
        <v/>
      </c>
      <c r="J208" s="322">
        <f>IFERROR(((VLOOKUP(Calculations[[#This Row],[TransportSource]],TransportDistance[],2,FALSE)*'Stage assumptions'!$C$11)+VLOOKUP(Calculations[[#This Row],[TransportSource]],TransportDistance[],3,FALSE)*'Stage assumptions'!$C$12)*Calculations[[#This Row],[Total Kg]],0)</f>
        <v>0</v>
      </c>
      <c r="K208">
        <f>IFERROR(VLOOKUP(Calculations[[#This Row],[Material (choose from dropdown]], MaterialData[#All],3, FALSE),0)</f>
        <v>0</v>
      </c>
      <c r="L208" s="322">
        <f>IFERROR(VLOOKUP(Calculations[[#This Row],[A5type]],A5WastageRate[#All],2,FALSE)*Calculations[[#This Row],[A1-3]],0)</f>
        <v>0</v>
      </c>
      <c r="N208">
        <f>IFERROR(ROUNDUP(50/VLOOKUP(Calculations[[#This Row],[Scope Element]],B4referenceServiceLife[[Tier 2 element]:[Default Service Life]],2, FALSE)-1,0),0)</f>
        <v>0</v>
      </c>
      <c r="O208" s="322">
        <f>IFERROR((Calculations[[#This Row],[A1-3]]+Calculations[[#This Row],[A4]]+Calculations[[#This Row],[A5]]+Calculations[[#This Row],[C2 total]]+Calculations[[#This Row],[C3 total]]+Calculations[[#This Row],[C4 total]])*Calculations[[#This Row],[Replacements]],0)</f>
        <v>0</v>
      </c>
      <c r="S208" t="str">
        <f>IFERROR(VLOOKUP(Calculations[[#This Row],[Material (choose from dropdown]],MaterialData[#All],4,FALSE),"")</f>
        <v/>
      </c>
      <c r="T208" s="322" cm="1">
        <f t="array" ref="T208">IFERROR(VLOOKUP(Calculations[[#This Row],[Waste 1]],WasteScenario[#All],2,FALSE)*'Stage assumptions'!$C$225*WasteTransportMethod[Emissions Factor
kgCO2e/kg.km]*Calculations[[#This Row],[Total Kg]],0)</f>
        <v>0</v>
      </c>
      <c r="U208" s="322" cm="1">
        <f t="array" ref="U208">IFERROR(VLOOKUP(Calculations[[#This Row],[Waste 1]],WasteScenario[#All],3,FALSE)*'Stage assumptions'!$C$224*WasteTransportMethod[Emissions Factor
kgCO2e/kg.km]*Calculations[[#This Row],[Total Kg]],0)</f>
        <v>0</v>
      </c>
      <c r="V208" s="322" cm="1">
        <f t="array" ref="V208">IFERROR(VLOOKUP(Calculations[[#This Row],[Waste 1]],WasteScenario[#All],4,FALSE)*'Stage assumptions'!$C$223*WasteTransportMethod[Emissions Factor
kgCO2e/kg.km]*Calculations[[#This Row],[Total Kg]],0)</f>
        <v>0</v>
      </c>
      <c r="W208" s="322" cm="1">
        <f t="array" ref="W208">IFERROR(VLOOKUP(Calculations[[#This Row],[Waste 1]],WasteScenario[#All],5,FALSE)*'Stage assumptions'!$C$226*WasteTransportMethod[Emissions Factor
kgCO2e/kg.km]*Calculations[[#This Row],[Total Kg]],0)</f>
        <v>0</v>
      </c>
      <c r="X208" s="322">
        <f>SUM(Calculations[[#This Row],[C2 Recycle]:[C2 Reuse]])</f>
        <v>0</v>
      </c>
      <c r="Y208" t="str">
        <f>IFERROR(VLOOKUP(Calculations[[#This Row],[Material (choose from dropdown]],MaterialData[#All],5,FALSE),"")</f>
        <v/>
      </c>
      <c r="Z208" s="322">
        <f>IFERROR(((VLOOKUP(Calculations[[#This Row],[Waste type 2]],WasteDisposalEmissions[#All],2,FALSE))*Calculations[[#This Row],[Total Kg]])*VLOOKUP(Calculations[[#This Row],[Waste 1]],WasteScenario[#All],2,FALSE),0)</f>
        <v>0</v>
      </c>
      <c r="AA208" s="322">
        <f>IFERROR((VLOOKUP(Calculations[[#This Row],[Waste type 2]],WasteDisposalEmissions[#All],3,FALSE))*Calculations[[#This Row],[Total Kg]]*VLOOKUP(Calculations[[#This Row],[Waste 1]],WasteScenario[#All],3,FALSE),0)</f>
        <v>0</v>
      </c>
      <c r="AB208" s="322">
        <f>SUM(Calculations[[#This Row],[C3 recyc]:[C3 incin]])</f>
        <v>0</v>
      </c>
      <c r="AC208" s="322">
        <f>IFERROR((VLOOKUP(Calculations[[#This Row],[Waste type 2]],WasteLandfillEmissions[#All],2,FALSE))*Calculations[[#This Row],[Total Kg]]*VLOOKUP(Calculations[[#This Row],[Waste 1]],WasteScenario[#All],4,FALSE),0)</f>
        <v>0</v>
      </c>
      <c r="AD208" s="322">
        <f>IFERROR((VLOOKUP(Calculations[[#This Row],[Waste type 2]],WasteLandfillEmissions[#All],3,FALSE))*Calculations[[#This Row],[Total Kg]]*VLOOKUP(Calculations[[#This Row],[Waste 1]],WasteScenario[#All],4,FALSE),0)</f>
        <v>0</v>
      </c>
      <c r="AE208" s="322">
        <f>SUM(Calculations[[#This Row],[C4 landfill]:[C4 re-use]])</f>
        <v>0</v>
      </c>
      <c r="AF208" s="322">
        <f>IFERROR(VLOOKUP(Calculations[[#This Row],[Material (choose from dropdown]],MaterialData[#All],8,FALSE),0)</f>
        <v>0</v>
      </c>
      <c r="AG208" s="322">
        <f>IFERROR(Calculations[[#This Row],[Total Kg]]*Calculations[[#This Row],[Seq factor]],0)</f>
        <v>0</v>
      </c>
      <c r="AI208" s="322">
        <f>Calculations[[#This Row],[A1-3]]+Calculations[[#This Row],[A4]]+Calculations[[#This Row],[A5]]+Calculations[[#This Row],[B4]]+Calculations[[#This Row],[C2 total]]+Calculations[[#This Row],[C3 total]]+Calculations[[#This Row],[C4 total]]</f>
        <v>0</v>
      </c>
      <c r="AJ208" s="2">
        <f>IFERROR(VLOOKUP(Calculations[[#This Row],[Material (choose from dropdown]],MaterialData[[#Headers],[#Data]],9,FALSE),0)</f>
        <v>0</v>
      </c>
      <c r="AK208" s="4">
        <f>IFERROR(VLOOKUP(Calculations[[#This Row],[Material (choose from dropdown]],MaterialData[[#Headers],[#Data]],10,FALSE),0)</f>
        <v>0</v>
      </c>
      <c r="AL208" s="322">
        <f>IFERROR(Calculations[[#This Row],[Data Quality Score]]*Calculations[[#This Row],[Total Kg]],0)</f>
        <v>0</v>
      </c>
    </row>
    <row r="209" spans="1:38" x14ac:dyDescent="0.3">
      <c r="A209" s="6">
        <f>IFERROR(MaterialsBoQ[[#This Row],[Scope Element]],0)</f>
        <v>0</v>
      </c>
      <c r="B209">
        <f>IFERROR(MaterialsBoQ[[#This Row],[Material ]],"")</f>
        <v>0</v>
      </c>
      <c r="C209">
        <f>IFERROR(MaterialsBoQ[[#This Row],[Unit]],"")</f>
        <v>0</v>
      </c>
      <c r="D209" s="322">
        <f>IFERROR(MaterialsBoQ[[#This Row],[Number]],0)</f>
        <v>0</v>
      </c>
      <c r="E209" s="322">
        <f>IFERROR(MaterialsBoQ[[#This Row],[Kg per unit]],0)</f>
        <v>0</v>
      </c>
      <c r="F209" s="322">
        <f>IFERROR(Calculations[[#This Row],[Number]]*Calculations[[#This Row],[Conversion factor]],0)</f>
        <v>0</v>
      </c>
      <c r="G209" s="322">
        <f>IFERROR(VLOOKUP(Calculations[[#This Row],[Material (choose from dropdown]],MaterialData[#All],7,FALSE),0)</f>
        <v>0</v>
      </c>
      <c r="H209" s="322">
        <f>Calculations[[#This Row],[Total Kg]]*Calculations[[#This Row],[Carbon Factor]]</f>
        <v>0</v>
      </c>
      <c r="I209" t="str">
        <f>IFERROR(VLOOKUP(Calculations[[#This Row],[Material (choose from dropdown]],MaterialData[#All],2,FALSE),"")</f>
        <v/>
      </c>
      <c r="J209" s="322">
        <f>IFERROR(((VLOOKUP(Calculations[[#This Row],[TransportSource]],TransportDistance[],2,FALSE)*'Stage assumptions'!$C$11)+VLOOKUP(Calculations[[#This Row],[TransportSource]],TransportDistance[],3,FALSE)*'Stage assumptions'!$C$12)*Calculations[[#This Row],[Total Kg]],0)</f>
        <v>0</v>
      </c>
      <c r="K209">
        <f>IFERROR(VLOOKUP(Calculations[[#This Row],[Material (choose from dropdown]], MaterialData[#All],3, FALSE),0)</f>
        <v>0</v>
      </c>
      <c r="L209" s="322">
        <f>IFERROR(VLOOKUP(Calculations[[#This Row],[A5type]],A5WastageRate[#All],2,FALSE)*Calculations[[#This Row],[A1-3]],0)</f>
        <v>0</v>
      </c>
      <c r="N209">
        <f>IFERROR(ROUNDUP(50/VLOOKUP(Calculations[[#This Row],[Scope Element]],B4referenceServiceLife[[Tier 2 element]:[Default Service Life]],2, FALSE)-1,0),0)</f>
        <v>0</v>
      </c>
      <c r="O209" s="322">
        <f>IFERROR((Calculations[[#This Row],[A1-3]]+Calculations[[#This Row],[A4]]+Calculations[[#This Row],[A5]]+Calculations[[#This Row],[C2 total]]+Calculations[[#This Row],[C3 total]]+Calculations[[#This Row],[C4 total]])*Calculations[[#This Row],[Replacements]],0)</f>
        <v>0</v>
      </c>
      <c r="S209" t="str">
        <f>IFERROR(VLOOKUP(Calculations[[#This Row],[Material (choose from dropdown]],MaterialData[#All],4,FALSE),"")</f>
        <v/>
      </c>
      <c r="T209" s="322" cm="1">
        <f t="array" ref="T209">IFERROR(VLOOKUP(Calculations[[#This Row],[Waste 1]],WasteScenario[#All],2,FALSE)*'Stage assumptions'!$C$225*WasteTransportMethod[Emissions Factor
kgCO2e/kg.km]*Calculations[[#This Row],[Total Kg]],0)</f>
        <v>0</v>
      </c>
      <c r="U209" s="322" cm="1">
        <f t="array" ref="U209">IFERROR(VLOOKUP(Calculations[[#This Row],[Waste 1]],WasteScenario[#All],3,FALSE)*'Stage assumptions'!$C$224*WasteTransportMethod[Emissions Factor
kgCO2e/kg.km]*Calculations[[#This Row],[Total Kg]],0)</f>
        <v>0</v>
      </c>
      <c r="V209" s="322" cm="1">
        <f t="array" ref="V209">IFERROR(VLOOKUP(Calculations[[#This Row],[Waste 1]],WasteScenario[#All],4,FALSE)*'Stage assumptions'!$C$223*WasteTransportMethod[Emissions Factor
kgCO2e/kg.km]*Calculations[[#This Row],[Total Kg]],0)</f>
        <v>0</v>
      </c>
      <c r="W209" s="322" cm="1">
        <f t="array" ref="W209">IFERROR(VLOOKUP(Calculations[[#This Row],[Waste 1]],WasteScenario[#All],5,FALSE)*'Stage assumptions'!$C$226*WasteTransportMethod[Emissions Factor
kgCO2e/kg.km]*Calculations[[#This Row],[Total Kg]],0)</f>
        <v>0</v>
      </c>
      <c r="X209" s="322">
        <f>SUM(Calculations[[#This Row],[C2 Recycle]:[C2 Reuse]])</f>
        <v>0</v>
      </c>
      <c r="Y209" t="str">
        <f>IFERROR(VLOOKUP(Calculations[[#This Row],[Material (choose from dropdown]],MaterialData[#All],5,FALSE),"")</f>
        <v/>
      </c>
      <c r="Z209" s="322">
        <f>IFERROR(((VLOOKUP(Calculations[[#This Row],[Waste type 2]],WasteDisposalEmissions[#All],2,FALSE))*Calculations[[#This Row],[Total Kg]])*VLOOKUP(Calculations[[#This Row],[Waste 1]],WasteScenario[#All],2,FALSE),0)</f>
        <v>0</v>
      </c>
      <c r="AA209" s="322">
        <f>IFERROR((VLOOKUP(Calculations[[#This Row],[Waste type 2]],WasteDisposalEmissions[#All],3,FALSE))*Calculations[[#This Row],[Total Kg]]*VLOOKUP(Calculations[[#This Row],[Waste 1]],WasteScenario[#All],3,FALSE),0)</f>
        <v>0</v>
      </c>
      <c r="AB209" s="322">
        <f>SUM(Calculations[[#This Row],[C3 recyc]:[C3 incin]])</f>
        <v>0</v>
      </c>
      <c r="AC209" s="322">
        <f>IFERROR((VLOOKUP(Calculations[[#This Row],[Waste type 2]],WasteLandfillEmissions[#All],2,FALSE))*Calculations[[#This Row],[Total Kg]]*VLOOKUP(Calculations[[#This Row],[Waste 1]],WasteScenario[#All],4,FALSE),0)</f>
        <v>0</v>
      </c>
      <c r="AD209" s="322">
        <f>IFERROR((VLOOKUP(Calculations[[#This Row],[Waste type 2]],WasteLandfillEmissions[#All],3,FALSE))*Calculations[[#This Row],[Total Kg]]*VLOOKUP(Calculations[[#This Row],[Waste 1]],WasteScenario[#All],4,FALSE),0)</f>
        <v>0</v>
      </c>
      <c r="AE209" s="322">
        <f>SUM(Calculations[[#This Row],[C4 landfill]:[C4 re-use]])</f>
        <v>0</v>
      </c>
      <c r="AF209" s="322">
        <f>IFERROR(VLOOKUP(Calculations[[#This Row],[Material (choose from dropdown]],MaterialData[#All],8,FALSE),0)</f>
        <v>0</v>
      </c>
      <c r="AG209" s="322">
        <f>IFERROR(Calculations[[#This Row],[Total Kg]]*Calculations[[#This Row],[Seq factor]],0)</f>
        <v>0</v>
      </c>
      <c r="AI209" s="322">
        <f>Calculations[[#This Row],[A1-3]]+Calculations[[#This Row],[A4]]+Calculations[[#This Row],[A5]]+Calculations[[#This Row],[B4]]+Calculations[[#This Row],[C2 total]]+Calculations[[#This Row],[C3 total]]+Calculations[[#This Row],[C4 total]]</f>
        <v>0</v>
      </c>
      <c r="AJ209" s="2">
        <f>IFERROR(VLOOKUP(Calculations[[#This Row],[Material (choose from dropdown]],MaterialData[[#Headers],[#Data]],9,FALSE),0)</f>
        <v>0</v>
      </c>
      <c r="AK209" s="4">
        <f>IFERROR(VLOOKUP(Calculations[[#This Row],[Material (choose from dropdown]],MaterialData[[#Headers],[#Data]],10,FALSE),0)</f>
        <v>0</v>
      </c>
      <c r="AL209" s="322">
        <f>IFERROR(Calculations[[#This Row],[Data Quality Score]]*Calculations[[#This Row],[Total Kg]],0)</f>
        <v>0</v>
      </c>
    </row>
    <row r="210" spans="1:38" x14ac:dyDescent="0.3">
      <c r="A210" s="6">
        <f>IFERROR(MaterialsBoQ[[#This Row],[Scope Element]],0)</f>
        <v>0</v>
      </c>
      <c r="B210">
        <f>IFERROR(MaterialsBoQ[[#This Row],[Material ]],"")</f>
        <v>0</v>
      </c>
      <c r="C210">
        <f>IFERROR(MaterialsBoQ[[#This Row],[Unit]],"")</f>
        <v>0</v>
      </c>
      <c r="D210" s="322">
        <f>IFERROR(MaterialsBoQ[[#This Row],[Number]],0)</f>
        <v>0</v>
      </c>
      <c r="E210" s="322">
        <f>IFERROR(MaterialsBoQ[[#This Row],[Kg per unit]],0)</f>
        <v>0</v>
      </c>
      <c r="F210" s="322">
        <f>IFERROR(Calculations[[#This Row],[Number]]*Calculations[[#This Row],[Conversion factor]],0)</f>
        <v>0</v>
      </c>
      <c r="G210" s="322">
        <f>IFERROR(VLOOKUP(Calculations[[#This Row],[Material (choose from dropdown]],MaterialData[#All],7,FALSE),0)</f>
        <v>0</v>
      </c>
      <c r="H210" s="322">
        <f>Calculations[[#This Row],[Total Kg]]*Calculations[[#This Row],[Carbon Factor]]</f>
        <v>0</v>
      </c>
      <c r="I210" t="str">
        <f>IFERROR(VLOOKUP(Calculations[[#This Row],[Material (choose from dropdown]],MaterialData[#All],2,FALSE),"")</f>
        <v/>
      </c>
      <c r="J210" s="322">
        <f>IFERROR(((VLOOKUP(Calculations[[#This Row],[TransportSource]],TransportDistance[],2,FALSE)*'Stage assumptions'!$C$11)+VLOOKUP(Calculations[[#This Row],[TransportSource]],TransportDistance[],3,FALSE)*'Stage assumptions'!$C$12)*Calculations[[#This Row],[Total Kg]],0)</f>
        <v>0</v>
      </c>
      <c r="K210">
        <f>IFERROR(VLOOKUP(Calculations[[#This Row],[Material (choose from dropdown]], MaterialData[#All],3, FALSE),0)</f>
        <v>0</v>
      </c>
      <c r="L210" s="322">
        <f>IFERROR(VLOOKUP(Calculations[[#This Row],[A5type]],A5WastageRate[#All],2,FALSE)*Calculations[[#This Row],[A1-3]],0)</f>
        <v>0</v>
      </c>
      <c r="N210">
        <f>IFERROR(ROUNDUP(50/VLOOKUP(Calculations[[#This Row],[Scope Element]],B4referenceServiceLife[[Tier 2 element]:[Default Service Life]],2, FALSE)-1,0),0)</f>
        <v>0</v>
      </c>
      <c r="O210" s="322">
        <f>IFERROR((Calculations[[#This Row],[A1-3]]+Calculations[[#This Row],[A4]]+Calculations[[#This Row],[A5]]+Calculations[[#This Row],[C2 total]]+Calculations[[#This Row],[C3 total]]+Calculations[[#This Row],[C4 total]])*Calculations[[#This Row],[Replacements]],0)</f>
        <v>0</v>
      </c>
      <c r="S210" t="str">
        <f>IFERROR(VLOOKUP(Calculations[[#This Row],[Material (choose from dropdown]],MaterialData[#All],4,FALSE),"")</f>
        <v/>
      </c>
      <c r="T210" s="322" cm="1">
        <f t="array" ref="T210">IFERROR(VLOOKUP(Calculations[[#This Row],[Waste 1]],WasteScenario[#All],2,FALSE)*'Stage assumptions'!$C$225*WasteTransportMethod[Emissions Factor
kgCO2e/kg.km]*Calculations[[#This Row],[Total Kg]],0)</f>
        <v>0</v>
      </c>
      <c r="U210" s="322" cm="1">
        <f t="array" ref="U210">IFERROR(VLOOKUP(Calculations[[#This Row],[Waste 1]],WasteScenario[#All],3,FALSE)*'Stage assumptions'!$C$224*WasteTransportMethod[Emissions Factor
kgCO2e/kg.km]*Calculations[[#This Row],[Total Kg]],0)</f>
        <v>0</v>
      </c>
      <c r="V210" s="322" cm="1">
        <f t="array" ref="V210">IFERROR(VLOOKUP(Calculations[[#This Row],[Waste 1]],WasteScenario[#All],4,FALSE)*'Stage assumptions'!$C$223*WasteTransportMethod[Emissions Factor
kgCO2e/kg.km]*Calculations[[#This Row],[Total Kg]],0)</f>
        <v>0</v>
      </c>
      <c r="W210" s="322" cm="1">
        <f t="array" ref="W210">IFERROR(VLOOKUP(Calculations[[#This Row],[Waste 1]],WasteScenario[#All],5,FALSE)*'Stage assumptions'!$C$226*WasteTransportMethod[Emissions Factor
kgCO2e/kg.km]*Calculations[[#This Row],[Total Kg]],0)</f>
        <v>0</v>
      </c>
      <c r="X210" s="322">
        <f>SUM(Calculations[[#This Row],[C2 Recycle]:[C2 Reuse]])</f>
        <v>0</v>
      </c>
      <c r="Y210" t="str">
        <f>IFERROR(VLOOKUP(Calculations[[#This Row],[Material (choose from dropdown]],MaterialData[#All],5,FALSE),"")</f>
        <v/>
      </c>
      <c r="Z210" s="322">
        <f>IFERROR(((VLOOKUP(Calculations[[#This Row],[Waste type 2]],WasteDisposalEmissions[#All],2,FALSE))*Calculations[[#This Row],[Total Kg]])*VLOOKUP(Calculations[[#This Row],[Waste 1]],WasteScenario[#All],2,FALSE),0)</f>
        <v>0</v>
      </c>
      <c r="AA210" s="322">
        <f>IFERROR((VLOOKUP(Calculations[[#This Row],[Waste type 2]],WasteDisposalEmissions[#All],3,FALSE))*Calculations[[#This Row],[Total Kg]]*VLOOKUP(Calculations[[#This Row],[Waste 1]],WasteScenario[#All],3,FALSE),0)</f>
        <v>0</v>
      </c>
      <c r="AB210" s="322">
        <f>SUM(Calculations[[#This Row],[C3 recyc]:[C3 incin]])</f>
        <v>0</v>
      </c>
      <c r="AC210" s="322">
        <f>IFERROR((VLOOKUP(Calculations[[#This Row],[Waste type 2]],WasteLandfillEmissions[#All],2,FALSE))*Calculations[[#This Row],[Total Kg]]*VLOOKUP(Calculations[[#This Row],[Waste 1]],WasteScenario[#All],4,FALSE),0)</f>
        <v>0</v>
      </c>
      <c r="AD210" s="322">
        <f>IFERROR((VLOOKUP(Calculations[[#This Row],[Waste type 2]],WasteLandfillEmissions[#All],3,FALSE))*Calculations[[#This Row],[Total Kg]]*VLOOKUP(Calculations[[#This Row],[Waste 1]],WasteScenario[#All],4,FALSE),0)</f>
        <v>0</v>
      </c>
      <c r="AE210" s="322">
        <f>SUM(Calculations[[#This Row],[C4 landfill]:[C4 re-use]])</f>
        <v>0</v>
      </c>
      <c r="AF210" s="322">
        <f>IFERROR(VLOOKUP(Calculations[[#This Row],[Material (choose from dropdown]],MaterialData[#All],8,FALSE),0)</f>
        <v>0</v>
      </c>
      <c r="AG210" s="322">
        <f>IFERROR(Calculations[[#This Row],[Total Kg]]*Calculations[[#This Row],[Seq factor]],0)</f>
        <v>0</v>
      </c>
      <c r="AI210" s="322">
        <f>Calculations[[#This Row],[A1-3]]+Calculations[[#This Row],[A4]]+Calculations[[#This Row],[A5]]+Calculations[[#This Row],[B4]]+Calculations[[#This Row],[C2 total]]+Calculations[[#This Row],[C3 total]]+Calculations[[#This Row],[C4 total]]</f>
        <v>0</v>
      </c>
      <c r="AJ210" s="2">
        <f>IFERROR(VLOOKUP(Calculations[[#This Row],[Material (choose from dropdown]],MaterialData[[#Headers],[#Data]],9,FALSE),0)</f>
        <v>0</v>
      </c>
      <c r="AK210" s="4">
        <f>IFERROR(VLOOKUP(Calculations[[#This Row],[Material (choose from dropdown]],MaterialData[[#Headers],[#Data]],10,FALSE),0)</f>
        <v>0</v>
      </c>
      <c r="AL210" s="322">
        <f>IFERROR(Calculations[[#This Row],[Data Quality Score]]*Calculations[[#This Row],[Total Kg]],0)</f>
        <v>0</v>
      </c>
    </row>
    <row r="211" spans="1:38" x14ac:dyDescent="0.3">
      <c r="A211" s="6">
        <f>IFERROR(MaterialsBoQ[[#This Row],[Scope Element]],0)</f>
        <v>0</v>
      </c>
      <c r="B211">
        <f>IFERROR(MaterialsBoQ[[#This Row],[Material ]],"")</f>
        <v>0</v>
      </c>
      <c r="C211">
        <f>IFERROR(MaterialsBoQ[[#This Row],[Unit]],"")</f>
        <v>0</v>
      </c>
      <c r="D211" s="322">
        <f>IFERROR(MaterialsBoQ[[#This Row],[Number]],0)</f>
        <v>0</v>
      </c>
      <c r="E211" s="322">
        <f>IFERROR(MaterialsBoQ[[#This Row],[Kg per unit]],0)</f>
        <v>0</v>
      </c>
      <c r="F211" s="322">
        <f>IFERROR(Calculations[[#This Row],[Number]]*Calculations[[#This Row],[Conversion factor]],0)</f>
        <v>0</v>
      </c>
      <c r="G211" s="322">
        <f>IFERROR(VLOOKUP(Calculations[[#This Row],[Material (choose from dropdown]],MaterialData[#All],7,FALSE),0)</f>
        <v>0</v>
      </c>
      <c r="H211" s="322">
        <f>Calculations[[#This Row],[Total Kg]]*Calculations[[#This Row],[Carbon Factor]]</f>
        <v>0</v>
      </c>
      <c r="I211" t="str">
        <f>IFERROR(VLOOKUP(Calculations[[#This Row],[Material (choose from dropdown]],MaterialData[#All],2,FALSE),"")</f>
        <v/>
      </c>
      <c r="J211" s="322">
        <f>IFERROR(((VLOOKUP(Calculations[[#This Row],[TransportSource]],TransportDistance[],2,FALSE)*'Stage assumptions'!$C$11)+VLOOKUP(Calculations[[#This Row],[TransportSource]],TransportDistance[],3,FALSE)*'Stage assumptions'!$C$12)*Calculations[[#This Row],[Total Kg]],0)</f>
        <v>0</v>
      </c>
      <c r="K211">
        <f>IFERROR(VLOOKUP(Calculations[[#This Row],[Material (choose from dropdown]], MaterialData[#All],3, FALSE),0)</f>
        <v>0</v>
      </c>
      <c r="L211" s="322">
        <f>IFERROR(VLOOKUP(Calculations[[#This Row],[A5type]],A5WastageRate[#All],2,FALSE)*Calculations[[#This Row],[A1-3]],0)</f>
        <v>0</v>
      </c>
      <c r="N211">
        <f>IFERROR(ROUNDUP(50/VLOOKUP(Calculations[[#This Row],[Scope Element]],B4referenceServiceLife[[Tier 2 element]:[Default Service Life]],2, FALSE)-1,0),0)</f>
        <v>0</v>
      </c>
      <c r="O211" s="322">
        <f>IFERROR((Calculations[[#This Row],[A1-3]]+Calculations[[#This Row],[A4]]+Calculations[[#This Row],[A5]]+Calculations[[#This Row],[C2 total]]+Calculations[[#This Row],[C3 total]]+Calculations[[#This Row],[C4 total]])*Calculations[[#This Row],[Replacements]],0)</f>
        <v>0</v>
      </c>
      <c r="S211" t="str">
        <f>IFERROR(VLOOKUP(Calculations[[#This Row],[Material (choose from dropdown]],MaterialData[#All],4,FALSE),"")</f>
        <v/>
      </c>
      <c r="T211" s="322" cm="1">
        <f t="array" ref="T211">IFERROR(VLOOKUP(Calculations[[#This Row],[Waste 1]],WasteScenario[#All],2,FALSE)*'Stage assumptions'!$C$225*WasteTransportMethod[Emissions Factor
kgCO2e/kg.km]*Calculations[[#This Row],[Total Kg]],0)</f>
        <v>0</v>
      </c>
      <c r="U211" s="322" cm="1">
        <f t="array" ref="U211">IFERROR(VLOOKUP(Calculations[[#This Row],[Waste 1]],WasteScenario[#All],3,FALSE)*'Stage assumptions'!$C$224*WasteTransportMethod[Emissions Factor
kgCO2e/kg.km]*Calculations[[#This Row],[Total Kg]],0)</f>
        <v>0</v>
      </c>
      <c r="V211" s="322" cm="1">
        <f t="array" ref="V211">IFERROR(VLOOKUP(Calculations[[#This Row],[Waste 1]],WasteScenario[#All],4,FALSE)*'Stage assumptions'!$C$223*WasteTransportMethod[Emissions Factor
kgCO2e/kg.km]*Calculations[[#This Row],[Total Kg]],0)</f>
        <v>0</v>
      </c>
      <c r="W211" s="322" cm="1">
        <f t="array" ref="W211">IFERROR(VLOOKUP(Calculations[[#This Row],[Waste 1]],WasteScenario[#All],5,FALSE)*'Stage assumptions'!$C$226*WasteTransportMethod[Emissions Factor
kgCO2e/kg.km]*Calculations[[#This Row],[Total Kg]],0)</f>
        <v>0</v>
      </c>
      <c r="X211" s="322">
        <f>SUM(Calculations[[#This Row],[C2 Recycle]:[C2 Reuse]])</f>
        <v>0</v>
      </c>
      <c r="Y211" t="str">
        <f>IFERROR(VLOOKUP(Calculations[[#This Row],[Material (choose from dropdown]],MaterialData[#All],5,FALSE),"")</f>
        <v/>
      </c>
      <c r="Z211" s="322">
        <f>IFERROR(((VLOOKUP(Calculations[[#This Row],[Waste type 2]],WasteDisposalEmissions[#All],2,FALSE))*Calculations[[#This Row],[Total Kg]])*VLOOKUP(Calculations[[#This Row],[Waste 1]],WasteScenario[#All],2,FALSE),0)</f>
        <v>0</v>
      </c>
      <c r="AA211" s="322">
        <f>IFERROR((VLOOKUP(Calculations[[#This Row],[Waste type 2]],WasteDisposalEmissions[#All],3,FALSE))*Calculations[[#This Row],[Total Kg]]*VLOOKUP(Calculations[[#This Row],[Waste 1]],WasteScenario[#All],3,FALSE),0)</f>
        <v>0</v>
      </c>
      <c r="AB211" s="322">
        <f>SUM(Calculations[[#This Row],[C3 recyc]:[C3 incin]])</f>
        <v>0</v>
      </c>
      <c r="AC211" s="322">
        <f>IFERROR((VLOOKUP(Calculations[[#This Row],[Waste type 2]],WasteLandfillEmissions[#All],2,FALSE))*Calculations[[#This Row],[Total Kg]]*VLOOKUP(Calculations[[#This Row],[Waste 1]],WasteScenario[#All],4,FALSE),0)</f>
        <v>0</v>
      </c>
      <c r="AD211" s="322">
        <f>IFERROR((VLOOKUP(Calculations[[#This Row],[Waste type 2]],WasteLandfillEmissions[#All],3,FALSE))*Calculations[[#This Row],[Total Kg]]*VLOOKUP(Calculations[[#This Row],[Waste 1]],WasteScenario[#All],4,FALSE),0)</f>
        <v>0</v>
      </c>
      <c r="AE211" s="322">
        <f>SUM(Calculations[[#This Row],[C4 landfill]:[C4 re-use]])</f>
        <v>0</v>
      </c>
      <c r="AF211" s="322">
        <f>IFERROR(VLOOKUP(Calculations[[#This Row],[Material (choose from dropdown]],MaterialData[#All],8,FALSE),0)</f>
        <v>0</v>
      </c>
      <c r="AG211" s="322">
        <f>IFERROR(Calculations[[#This Row],[Total Kg]]*Calculations[[#This Row],[Seq factor]],0)</f>
        <v>0</v>
      </c>
      <c r="AI211" s="322">
        <f>Calculations[[#This Row],[A1-3]]+Calculations[[#This Row],[A4]]+Calculations[[#This Row],[A5]]+Calculations[[#This Row],[B4]]+Calculations[[#This Row],[C2 total]]+Calculations[[#This Row],[C3 total]]+Calculations[[#This Row],[C4 total]]</f>
        <v>0</v>
      </c>
      <c r="AJ211" s="2">
        <f>IFERROR(VLOOKUP(Calculations[[#This Row],[Material (choose from dropdown]],MaterialData[[#Headers],[#Data]],9,FALSE),0)</f>
        <v>0</v>
      </c>
      <c r="AK211" s="4">
        <f>IFERROR(VLOOKUP(Calculations[[#This Row],[Material (choose from dropdown]],MaterialData[[#Headers],[#Data]],10,FALSE),0)</f>
        <v>0</v>
      </c>
      <c r="AL211" s="322">
        <f>IFERROR(Calculations[[#This Row],[Data Quality Score]]*Calculations[[#This Row],[Total Kg]],0)</f>
        <v>0</v>
      </c>
    </row>
    <row r="212" spans="1:38" x14ac:dyDescent="0.3">
      <c r="A212" s="6">
        <f>IFERROR(MaterialsBoQ[[#This Row],[Scope Element]],0)</f>
        <v>0</v>
      </c>
      <c r="B212">
        <f>IFERROR(MaterialsBoQ[[#This Row],[Material ]],"")</f>
        <v>0</v>
      </c>
      <c r="C212">
        <f>IFERROR(MaterialsBoQ[[#This Row],[Unit]],"")</f>
        <v>0</v>
      </c>
      <c r="D212" s="322">
        <f>IFERROR(MaterialsBoQ[[#This Row],[Number]],0)</f>
        <v>0</v>
      </c>
      <c r="E212" s="322">
        <f>IFERROR(MaterialsBoQ[[#This Row],[Kg per unit]],0)</f>
        <v>0</v>
      </c>
      <c r="F212" s="322">
        <f>IFERROR(Calculations[[#This Row],[Number]]*Calculations[[#This Row],[Conversion factor]],0)</f>
        <v>0</v>
      </c>
      <c r="G212" s="322">
        <f>IFERROR(VLOOKUP(Calculations[[#This Row],[Material (choose from dropdown]],MaterialData[#All],7,FALSE),0)</f>
        <v>0</v>
      </c>
      <c r="H212" s="322">
        <f>Calculations[[#This Row],[Total Kg]]*Calculations[[#This Row],[Carbon Factor]]</f>
        <v>0</v>
      </c>
      <c r="I212" t="str">
        <f>IFERROR(VLOOKUP(Calculations[[#This Row],[Material (choose from dropdown]],MaterialData[#All],2,FALSE),"")</f>
        <v/>
      </c>
      <c r="J212" s="322">
        <f>IFERROR(((VLOOKUP(Calculations[[#This Row],[TransportSource]],TransportDistance[],2,FALSE)*'Stage assumptions'!$C$11)+VLOOKUP(Calculations[[#This Row],[TransportSource]],TransportDistance[],3,FALSE)*'Stage assumptions'!$C$12)*Calculations[[#This Row],[Total Kg]],0)</f>
        <v>0</v>
      </c>
      <c r="K212">
        <f>IFERROR(VLOOKUP(Calculations[[#This Row],[Material (choose from dropdown]], MaterialData[#All],3, FALSE),0)</f>
        <v>0</v>
      </c>
      <c r="L212" s="322">
        <f>IFERROR(VLOOKUP(Calculations[[#This Row],[A5type]],A5WastageRate[#All],2,FALSE)*Calculations[[#This Row],[A1-3]],0)</f>
        <v>0</v>
      </c>
      <c r="N212">
        <f>IFERROR(ROUNDUP(50/VLOOKUP(Calculations[[#This Row],[Scope Element]],B4referenceServiceLife[[Tier 2 element]:[Default Service Life]],2, FALSE)-1,0),0)</f>
        <v>0</v>
      </c>
      <c r="O212" s="322">
        <f>IFERROR((Calculations[[#This Row],[A1-3]]+Calculations[[#This Row],[A4]]+Calculations[[#This Row],[A5]]+Calculations[[#This Row],[C2 total]]+Calculations[[#This Row],[C3 total]]+Calculations[[#This Row],[C4 total]])*Calculations[[#This Row],[Replacements]],0)</f>
        <v>0</v>
      </c>
      <c r="S212" t="str">
        <f>IFERROR(VLOOKUP(Calculations[[#This Row],[Material (choose from dropdown]],MaterialData[#All],4,FALSE),"")</f>
        <v/>
      </c>
      <c r="T212" s="322" cm="1">
        <f t="array" ref="T212">IFERROR(VLOOKUP(Calculations[[#This Row],[Waste 1]],WasteScenario[#All],2,FALSE)*'Stage assumptions'!$C$225*WasteTransportMethod[Emissions Factor
kgCO2e/kg.km]*Calculations[[#This Row],[Total Kg]],0)</f>
        <v>0</v>
      </c>
      <c r="U212" s="322" cm="1">
        <f t="array" ref="U212">IFERROR(VLOOKUP(Calculations[[#This Row],[Waste 1]],WasteScenario[#All],3,FALSE)*'Stage assumptions'!$C$224*WasteTransportMethod[Emissions Factor
kgCO2e/kg.km]*Calculations[[#This Row],[Total Kg]],0)</f>
        <v>0</v>
      </c>
      <c r="V212" s="322" cm="1">
        <f t="array" ref="V212">IFERROR(VLOOKUP(Calculations[[#This Row],[Waste 1]],WasteScenario[#All],4,FALSE)*'Stage assumptions'!$C$223*WasteTransportMethod[Emissions Factor
kgCO2e/kg.km]*Calculations[[#This Row],[Total Kg]],0)</f>
        <v>0</v>
      </c>
      <c r="W212" s="322" cm="1">
        <f t="array" ref="W212">IFERROR(VLOOKUP(Calculations[[#This Row],[Waste 1]],WasteScenario[#All],5,FALSE)*'Stage assumptions'!$C$226*WasteTransportMethod[Emissions Factor
kgCO2e/kg.km]*Calculations[[#This Row],[Total Kg]],0)</f>
        <v>0</v>
      </c>
      <c r="X212" s="322">
        <f>SUM(Calculations[[#This Row],[C2 Recycle]:[C2 Reuse]])</f>
        <v>0</v>
      </c>
      <c r="Y212" t="str">
        <f>IFERROR(VLOOKUP(Calculations[[#This Row],[Material (choose from dropdown]],MaterialData[#All],5,FALSE),"")</f>
        <v/>
      </c>
      <c r="Z212" s="322">
        <f>IFERROR(((VLOOKUP(Calculations[[#This Row],[Waste type 2]],WasteDisposalEmissions[#All],2,FALSE))*Calculations[[#This Row],[Total Kg]])*VLOOKUP(Calculations[[#This Row],[Waste 1]],WasteScenario[#All],2,FALSE),0)</f>
        <v>0</v>
      </c>
      <c r="AA212" s="322">
        <f>IFERROR((VLOOKUP(Calculations[[#This Row],[Waste type 2]],WasteDisposalEmissions[#All],3,FALSE))*Calculations[[#This Row],[Total Kg]]*VLOOKUP(Calculations[[#This Row],[Waste 1]],WasteScenario[#All],3,FALSE),0)</f>
        <v>0</v>
      </c>
      <c r="AB212" s="322">
        <f>SUM(Calculations[[#This Row],[C3 recyc]:[C3 incin]])</f>
        <v>0</v>
      </c>
      <c r="AC212" s="322">
        <f>IFERROR((VLOOKUP(Calculations[[#This Row],[Waste type 2]],WasteLandfillEmissions[#All],2,FALSE))*Calculations[[#This Row],[Total Kg]]*VLOOKUP(Calculations[[#This Row],[Waste 1]],WasteScenario[#All],4,FALSE),0)</f>
        <v>0</v>
      </c>
      <c r="AD212" s="322">
        <f>IFERROR((VLOOKUP(Calculations[[#This Row],[Waste type 2]],WasteLandfillEmissions[#All],3,FALSE))*Calculations[[#This Row],[Total Kg]]*VLOOKUP(Calculations[[#This Row],[Waste 1]],WasteScenario[#All],4,FALSE),0)</f>
        <v>0</v>
      </c>
      <c r="AE212" s="322">
        <f>SUM(Calculations[[#This Row],[C4 landfill]:[C4 re-use]])</f>
        <v>0</v>
      </c>
      <c r="AF212" s="322">
        <f>IFERROR(VLOOKUP(Calculations[[#This Row],[Material (choose from dropdown]],MaterialData[#All],8,FALSE),0)</f>
        <v>0</v>
      </c>
      <c r="AG212" s="322">
        <f>IFERROR(Calculations[[#This Row],[Total Kg]]*Calculations[[#This Row],[Seq factor]],0)</f>
        <v>0</v>
      </c>
      <c r="AI212" s="322">
        <f>Calculations[[#This Row],[A1-3]]+Calculations[[#This Row],[A4]]+Calculations[[#This Row],[A5]]+Calculations[[#This Row],[B4]]+Calculations[[#This Row],[C2 total]]+Calculations[[#This Row],[C3 total]]+Calculations[[#This Row],[C4 total]]</f>
        <v>0</v>
      </c>
      <c r="AJ212" s="2">
        <f>IFERROR(VLOOKUP(Calculations[[#This Row],[Material (choose from dropdown]],MaterialData[[#Headers],[#Data]],9,FALSE),0)</f>
        <v>0</v>
      </c>
      <c r="AK212" s="4">
        <f>IFERROR(VLOOKUP(Calculations[[#This Row],[Material (choose from dropdown]],MaterialData[[#Headers],[#Data]],10,FALSE),0)</f>
        <v>0</v>
      </c>
      <c r="AL212" s="322">
        <f>IFERROR(Calculations[[#This Row],[Data Quality Score]]*Calculations[[#This Row],[Total Kg]],0)</f>
        <v>0</v>
      </c>
    </row>
    <row r="213" spans="1:38" x14ac:dyDescent="0.3">
      <c r="A213" s="6">
        <f>IFERROR(MaterialsBoQ[[#This Row],[Scope Element]],0)</f>
        <v>0</v>
      </c>
      <c r="B213">
        <f>IFERROR(MaterialsBoQ[[#This Row],[Material ]],"")</f>
        <v>0</v>
      </c>
      <c r="C213">
        <f>IFERROR(MaterialsBoQ[[#This Row],[Unit]],"")</f>
        <v>0</v>
      </c>
      <c r="D213" s="322">
        <f>IFERROR(MaterialsBoQ[[#This Row],[Number]],0)</f>
        <v>0</v>
      </c>
      <c r="E213" s="322">
        <f>IFERROR(MaterialsBoQ[[#This Row],[Kg per unit]],0)</f>
        <v>0</v>
      </c>
      <c r="F213" s="322">
        <f>IFERROR(Calculations[[#This Row],[Number]]*Calculations[[#This Row],[Conversion factor]],0)</f>
        <v>0</v>
      </c>
      <c r="G213" s="322">
        <f>IFERROR(VLOOKUP(Calculations[[#This Row],[Material (choose from dropdown]],MaterialData[#All],7,FALSE),0)</f>
        <v>0</v>
      </c>
      <c r="H213" s="322">
        <f>Calculations[[#This Row],[Total Kg]]*Calculations[[#This Row],[Carbon Factor]]</f>
        <v>0</v>
      </c>
      <c r="I213" t="str">
        <f>IFERROR(VLOOKUP(Calculations[[#This Row],[Material (choose from dropdown]],MaterialData[#All],2,FALSE),"")</f>
        <v/>
      </c>
      <c r="J213" s="322">
        <f>IFERROR(((VLOOKUP(Calculations[[#This Row],[TransportSource]],TransportDistance[],2,FALSE)*'Stage assumptions'!$C$11)+VLOOKUP(Calculations[[#This Row],[TransportSource]],TransportDistance[],3,FALSE)*'Stage assumptions'!$C$12)*Calculations[[#This Row],[Total Kg]],0)</f>
        <v>0</v>
      </c>
      <c r="K213">
        <f>IFERROR(VLOOKUP(Calculations[[#This Row],[Material (choose from dropdown]], MaterialData[#All],3, FALSE),0)</f>
        <v>0</v>
      </c>
      <c r="L213" s="322">
        <f>IFERROR(VLOOKUP(Calculations[[#This Row],[A5type]],A5WastageRate[#All],2,FALSE)*Calculations[[#This Row],[A1-3]],0)</f>
        <v>0</v>
      </c>
      <c r="N213">
        <f>IFERROR(ROUNDUP(50/VLOOKUP(Calculations[[#This Row],[Scope Element]],B4referenceServiceLife[[Tier 2 element]:[Default Service Life]],2, FALSE)-1,0),0)</f>
        <v>0</v>
      </c>
      <c r="O213" s="322">
        <f>IFERROR((Calculations[[#This Row],[A1-3]]+Calculations[[#This Row],[A4]]+Calculations[[#This Row],[A5]]+Calculations[[#This Row],[C2 total]]+Calculations[[#This Row],[C3 total]]+Calculations[[#This Row],[C4 total]])*Calculations[[#This Row],[Replacements]],0)</f>
        <v>0</v>
      </c>
      <c r="S213" t="str">
        <f>IFERROR(VLOOKUP(Calculations[[#This Row],[Material (choose from dropdown]],MaterialData[#All],4,FALSE),"")</f>
        <v/>
      </c>
      <c r="T213" s="322" cm="1">
        <f t="array" ref="T213">IFERROR(VLOOKUP(Calculations[[#This Row],[Waste 1]],WasteScenario[#All],2,FALSE)*'Stage assumptions'!$C$225*WasteTransportMethod[Emissions Factor
kgCO2e/kg.km]*Calculations[[#This Row],[Total Kg]],0)</f>
        <v>0</v>
      </c>
      <c r="U213" s="322" cm="1">
        <f t="array" ref="U213">IFERROR(VLOOKUP(Calculations[[#This Row],[Waste 1]],WasteScenario[#All],3,FALSE)*'Stage assumptions'!$C$224*WasteTransportMethod[Emissions Factor
kgCO2e/kg.km]*Calculations[[#This Row],[Total Kg]],0)</f>
        <v>0</v>
      </c>
      <c r="V213" s="322" cm="1">
        <f t="array" ref="V213">IFERROR(VLOOKUP(Calculations[[#This Row],[Waste 1]],WasteScenario[#All],4,FALSE)*'Stage assumptions'!$C$223*WasteTransportMethod[Emissions Factor
kgCO2e/kg.km]*Calculations[[#This Row],[Total Kg]],0)</f>
        <v>0</v>
      </c>
      <c r="W213" s="322" cm="1">
        <f t="array" ref="W213">IFERROR(VLOOKUP(Calculations[[#This Row],[Waste 1]],WasteScenario[#All],5,FALSE)*'Stage assumptions'!$C$226*WasteTransportMethod[Emissions Factor
kgCO2e/kg.km]*Calculations[[#This Row],[Total Kg]],0)</f>
        <v>0</v>
      </c>
      <c r="X213" s="322">
        <f>SUM(Calculations[[#This Row],[C2 Recycle]:[C2 Reuse]])</f>
        <v>0</v>
      </c>
      <c r="Y213" t="str">
        <f>IFERROR(VLOOKUP(Calculations[[#This Row],[Material (choose from dropdown]],MaterialData[#All],5,FALSE),"")</f>
        <v/>
      </c>
      <c r="Z213" s="322">
        <f>IFERROR(((VLOOKUP(Calculations[[#This Row],[Waste type 2]],WasteDisposalEmissions[#All],2,FALSE))*Calculations[[#This Row],[Total Kg]])*VLOOKUP(Calculations[[#This Row],[Waste 1]],WasteScenario[#All],2,FALSE),0)</f>
        <v>0</v>
      </c>
      <c r="AA213" s="322">
        <f>IFERROR((VLOOKUP(Calculations[[#This Row],[Waste type 2]],WasteDisposalEmissions[#All],3,FALSE))*Calculations[[#This Row],[Total Kg]]*VLOOKUP(Calculations[[#This Row],[Waste 1]],WasteScenario[#All],3,FALSE),0)</f>
        <v>0</v>
      </c>
      <c r="AB213" s="322">
        <f>SUM(Calculations[[#This Row],[C3 recyc]:[C3 incin]])</f>
        <v>0</v>
      </c>
      <c r="AC213" s="322">
        <f>IFERROR((VLOOKUP(Calculations[[#This Row],[Waste type 2]],WasteLandfillEmissions[#All],2,FALSE))*Calculations[[#This Row],[Total Kg]]*VLOOKUP(Calculations[[#This Row],[Waste 1]],WasteScenario[#All],4,FALSE),0)</f>
        <v>0</v>
      </c>
      <c r="AD213" s="322">
        <f>IFERROR((VLOOKUP(Calculations[[#This Row],[Waste type 2]],WasteLandfillEmissions[#All],3,FALSE))*Calculations[[#This Row],[Total Kg]]*VLOOKUP(Calculations[[#This Row],[Waste 1]],WasteScenario[#All],4,FALSE),0)</f>
        <v>0</v>
      </c>
      <c r="AE213" s="322">
        <f>SUM(Calculations[[#This Row],[C4 landfill]:[C4 re-use]])</f>
        <v>0</v>
      </c>
      <c r="AF213" s="322">
        <f>IFERROR(VLOOKUP(Calculations[[#This Row],[Material (choose from dropdown]],MaterialData[#All],8,FALSE),0)</f>
        <v>0</v>
      </c>
      <c r="AG213" s="322">
        <f>IFERROR(Calculations[[#This Row],[Total Kg]]*Calculations[[#This Row],[Seq factor]],0)</f>
        <v>0</v>
      </c>
      <c r="AI213" s="322">
        <f>Calculations[[#This Row],[A1-3]]+Calculations[[#This Row],[A4]]+Calculations[[#This Row],[A5]]+Calculations[[#This Row],[B4]]+Calculations[[#This Row],[C2 total]]+Calculations[[#This Row],[C3 total]]+Calculations[[#This Row],[C4 total]]</f>
        <v>0</v>
      </c>
      <c r="AJ213" s="2">
        <f>IFERROR(VLOOKUP(Calculations[[#This Row],[Material (choose from dropdown]],MaterialData[[#Headers],[#Data]],9,FALSE),0)</f>
        <v>0</v>
      </c>
      <c r="AK213" s="4">
        <f>IFERROR(VLOOKUP(Calculations[[#This Row],[Material (choose from dropdown]],MaterialData[[#Headers],[#Data]],10,FALSE),0)</f>
        <v>0</v>
      </c>
      <c r="AL213" s="322">
        <f>IFERROR(Calculations[[#This Row],[Data Quality Score]]*Calculations[[#This Row],[Total Kg]],0)</f>
        <v>0</v>
      </c>
    </row>
    <row r="214" spans="1:38" x14ac:dyDescent="0.3">
      <c r="A214" s="6">
        <f>IFERROR(MaterialsBoQ[[#This Row],[Scope Element]],0)</f>
        <v>0</v>
      </c>
      <c r="B214">
        <f>IFERROR(MaterialsBoQ[[#This Row],[Material ]],"")</f>
        <v>0</v>
      </c>
      <c r="C214">
        <f>IFERROR(MaterialsBoQ[[#This Row],[Unit]],"")</f>
        <v>0</v>
      </c>
      <c r="D214" s="322">
        <f>IFERROR(MaterialsBoQ[[#This Row],[Number]],0)</f>
        <v>0</v>
      </c>
      <c r="E214" s="322">
        <f>IFERROR(MaterialsBoQ[[#This Row],[Kg per unit]],0)</f>
        <v>0</v>
      </c>
      <c r="F214" s="322">
        <f>IFERROR(Calculations[[#This Row],[Number]]*Calculations[[#This Row],[Conversion factor]],0)</f>
        <v>0</v>
      </c>
      <c r="G214" s="322">
        <f>IFERROR(VLOOKUP(Calculations[[#This Row],[Material (choose from dropdown]],MaterialData[#All],7,FALSE),0)</f>
        <v>0</v>
      </c>
      <c r="H214" s="322">
        <f>Calculations[[#This Row],[Total Kg]]*Calculations[[#This Row],[Carbon Factor]]</f>
        <v>0</v>
      </c>
      <c r="I214" t="str">
        <f>IFERROR(VLOOKUP(Calculations[[#This Row],[Material (choose from dropdown]],MaterialData[#All],2,FALSE),"")</f>
        <v/>
      </c>
      <c r="J214" s="322">
        <f>IFERROR(((VLOOKUP(Calculations[[#This Row],[TransportSource]],TransportDistance[],2,FALSE)*'Stage assumptions'!$C$11)+VLOOKUP(Calculations[[#This Row],[TransportSource]],TransportDistance[],3,FALSE)*'Stage assumptions'!$C$12)*Calculations[[#This Row],[Total Kg]],0)</f>
        <v>0</v>
      </c>
      <c r="K214">
        <f>IFERROR(VLOOKUP(Calculations[[#This Row],[Material (choose from dropdown]], MaterialData[#All],3, FALSE),0)</f>
        <v>0</v>
      </c>
      <c r="L214" s="322">
        <f>IFERROR(VLOOKUP(Calculations[[#This Row],[A5type]],A5WastageRate[#All],2,FALSE)*Calculations[[#This Row],[A1-3]],0)</f>
        <v>0</v>
      </c>
      <c r="N214">
        <f>IFERROR(ROUNDUP(50/VLOOKUP(Calculations[[#This Row],[Scope Element]],B4referenceServiceLife[[Tier 2 element]:[Default Service Life]],2, FALSE)-1,0),0)</f>
        <v>0</v>
      </c>
      <c r="O214" s="322">
        <f>IFERROR((Calculations[[#This Row],[A1-3]]+Calculations[[#This Row],[A4]]+Calculations[[#This Row],[A5]]+Calculations[[#This Row],[C2 total]]+Calculations[[#This Row],[C3 total]]+Calculations[[#This Row],[C4 total]])*Calculations[[#This Row],[Replacements]],0)</f>
        <v>0</v>
      </c>
      <c r="S214" t="str">
        <f>IFERROR(VLOOKUP(Calculations[[#This Row],[Material (choose from dropdown]],MaterialData[#All],4,FALSE),"")</f>
        <v/>
      </c>
      <c r="T214" s="322" cm="1">
        <f t="array" ref="T214">IFERROR(VLOOKUP(Calculations[[#This Row],[Waste 1]],WasteScenario[#All],2,FALSE)*'Stage assumptions'!$C$225*WasteTransportMethod[Emissions Factor
kgCO2e/kg.km]*Calculations[[#This Row],[Total Kg]],0)</f>
        <v>0</v>
      </c>
      <c r="U214" s="322" cm="1">
        <f t="array" ref="U214">IFERROR(VLOOKUP(Calculations[[#This Row],[Waste 1]],WasteScenario[#All],3,FALSE)*'Stage assumptions'!$C$224*WasteTransportMethod[Emissions Factor
kgCO2e/kg.km]*Calculations[[#This Row],[Total Kg]],0)</f>
        <v>0</v>
      </c>
      <c r="V214" s="322" cm="1">
        <f t="array" ref="V214">IFERROR(VLOOKUP(Calculations[[#This Row],[Waste 1]],WasteScenario[#All],4,FALSE)*'Stage assumptions'!$C$223*WasteTransportMethod[Emissions Factor
kgCO2e/kg.km]*Calculations[[#This Row],[Total Kg]],0)</f>
        <v>0</v>
      </c>
      <c r="W214" s="322" cm="1">
        <f t="array" ref="W214">IFERROR(VLOOKUP(Calculations[[#This Row],[Waste 1]],WasteScenario[#All],5,FALSE)*'Stage assumptions'!$C$226*WasteTransportMethod[Emissions Factor
kgCO2e/kg.km]*Calculations[[#This Row],[Total Kg]],0)</f>
        <v>0</v>
      </c>
      <c r="X214" s="322">
        <f>SUM(Calculations[[#This Row],[C2 Recycle]:[C2 Reuse]])</f>
        <v>0</v>
      </c>
      <c r="Y214" t="str">
        <f>IFERROR(VLOOKUP(Calculations[[#This Row],[Material (choose from dropdown]],MaterialData[#All],5,FALSE),"")</f>
        <v/>
      </c>
      <c r="Z214" s="322">
        <f>IFERROR(((VLOOKUP(Calculations[[#This Row],[Waste type 2]],WasteDisposalEmissions[#All],2,FALSE))*Calculations[[#This Row],[Total Kg]])*VLOOKUP(Calculations[[#This Row],[Waste 1]],WasteScenario[#All],2,FALSE),0)</f>
        <v>0</v>
      </c>
      <c r="AA214" s="322">
        <f>IFERROR((VLOOKUP(Calculations[[#This Row],[Waste type 2]],WasteDisposalEmissions[#All],3,FALSE))*Calculations[[#This Row],[Total Kg]]*VLOOKUP(Calculations[[#This Row],[Waste 1]],WasteScenario[#All],3,FALSE),0)</f>
        <v>0</v>
      </c>
      <c r="AB214" s="322">
        <f>SUM(Calculations[[#This Row],[C3 recyc]:[C3 incin]])</f>
        <v>0</v>
      </c>
      <c r="AC214" s="322">
        <f>IFERROR((VLOOKUP(Calculations[[#This Row],[Waste type 2]],WasteLandfillEmissions[#All],2,FALSE))*Calculations[[#This Row],[Total Kg]]*VLOOKUP(Calculations[[#This Row],[Waste 1]],WasteScenario[#All],4,FALSE),0)</f>
        <v>0</v>
      </c>
      <c r="AD214" s="322">
        <f>IFERROR((VLOOKUP(Calculations[[#This Row],[Waste type 2]],WasteLandfillEmissions[#All],3,FALSE))*Calculations[[#This Row],[Total Kg]]*VLOOKUP(Calculations[[#This Row],[Waste 1]],WasteScenario[#All],4,FALSE),0)</f>
        <v>0</v>
      </c>
      <c r="AE214" s="322">
        <f>SUM(Calculations[[#This Row],[C4 landfill]:[C4 re-use]])</f>
        <v>0</v>
      </c>
      <c r="AF214" s="322">
        <f>IFERROR(VLOOKUP(Calculations[[#This Row],[Material (choose from dropdown]],MaterialData[#All],8,FALSE),0)</f>
        <v>0</v>
      </c>
      <c r="AG214" s="322">
        <f>IFERROR(Calculations[[#This Row],[Total Kg]]*Calculations[[#This Row],[Seq factor]],0)</f>
        <v>0</v>
      </c>
      <c r="AI214" s="322">
        <f>Calculations[[#This Row],[A1-3]]+Calculations[[#This Row],[A4]]+Calculations[[#This Row],[A5]]+Calculations[[#This Row],[B4]]+Calculations[[#This Row],[C2 total]]+Calculations[[#This Row],[C3 total]]+Calculations[[#This Row],[C4 total]]</f>
        <v>0</v>
      </c>
      <c r="AJ214" s="2">
        <f>IFERROR(VLOOKUP(Calculations[[#This Row],[Material (choose from dropdown]],MaterialData[[#Headers],[#Data]],9,FALSE),0)</f>
        <v>0</v>
      </c>
      <c r="AK214" s="4">
        <f>IFERROR(VLOOKUP(Calculations[[#This Row],[Material (choose from dropdown]],MaterialData[[#Headers],[#Data]],10,FALSE),0)</f>
        <v>0</v>
      </c>
      <c r="AL214" s="322">
        <f>IFERROR(Calculations[[#This Row],[Data Quality Score]]*Calculations[[#This Row],[Total Kg]],0)</f>
        <v>0</v>
      </c>
    </row>
    <row r="215" spans="1:38" x14ac:dyDescent="0.3">
      <c r="A215" s="6">
        <f>IFERROR(MaterialsBoQ[[#This Row],[Scope Element]],0)</f>
        <v>0</v>
      </c>
      <c r="B215">
        <f>IFERROR(MaterialsBoQ[[#This Row],[Material ]],"")</f>
        <v>0</v>
      </c>
      <c r="C215">
        <f>IFERROR(MaterialsBoQ[[#This Row],[Unit]],"")</f>
        <v>0</v>
      </c>
      <c r="D215" s="322">
        <f>IFERROR(MaterialsBoQ[[#This Row],[Number]],0)</f>
        <v>0</v>
      </c>
      <c r="E215" s="322">
        <f>IFERROR(MaterialsBoQ[[#This Row],[Kg per unit]],0)</f>
        <v>0</v>
      </c>
      <c r="F215" s="322">
        <f>IFERROR(Calculations[[#This Row],[Number]]*Calculations[[#This Row],[Conversion factor]],0)</f>
        <v>0</v>
      </c>
      <c r="G215" s="322">
        <f>IFERROR(VLOOKUP(Calculations[[#This Row],[Material (choose from dropdown]],MaterialData[#All],7,FALSE),0)</f>
        <v>0</v>
      </c>
      <c r="H215" s="322">
        <f>Calculations[[#This Row],[Total Kg]]*Calculations[[#This Row],[Carbon Factor]]</f>
        <v>0</v>
      </c>
      <c r="I215" t="str">
        <f>IFERROR(VLOOKUP(Calculations[[#This Row],[Material (choose from dropdown]],MaterialData[#All],2,FALSE),"")</f>
        <v/>
      </c>
      <c r="J215" s="322">
        <f>IFERROR(((VLOOKUP(Calculations[[#This Row],[TransportSource]],TransportDistance[],2,FALSE)*'Stage assumptions'!$C$11)+VLOOKUP(Calculations[[#This Row],[TransportSource]],TransportDistance[],3,FALSE)*'Stage assumptions'!$C$12)*Calculations[[#This Row],[Total Kg]],0)</f>
        <v>0</v>
      </c>
      <c r="K215">
        <f>IFERROR(VLOOKUP(Calculations[[#This Row],[Material (choose from dropdown]], MaterialData[#All],3, FALSE),0)</f>
        <v>0</v>
      </c>
      <c r="L215" s="322">
        <f>IFERROR(VLOOKUP(Calculations[[#This Row],[A5type]],A5WastageRate[#All],2,FALSE)*Calculations[[#This Row],[A1-3]],0)</f>
        <v>0</v>
      </c>
      <c r="N215">
        <f>IFERROR(ROUNDUP(50/VLOOKUP(Calculations[[#This Row],[Scope Element]],B4referenceServiceLife[[Tier 2 element]:[Default Service Life]],2, FALSE)-1,0),0)</f>
        <v>0</v>
      </c>
      <c r="O215" s="322">
        <f>IFERROR((Calculations[[#This Row],[A1-3]]+Calculations[[#This Row],[A4]]+Calculations[[#This Row],[A5]]+Calculations[[#This Row],[C2 total]]+Calculations[[#This Row],[C3 total]]+Calculations[[#This Row],[C4 total]])*Calculations[[#This Row],[Replacements]],0)</f>
        <v>0</v>
      </c>
      <c r="S215" t="str">
        <f>IFERROR(VLOOKUP(Calculations[[#This Row],[Material (choose from dropdown]],MaterialData[#All],4,FALSE),"")</f>
        <v/>
      </c>
      <c r="T215" s="322" cm="1">
        <f t="array" ref="T215">IFERROR(VLOOKUP(Calculations[[#This Row],[Waste 1]],WasteScenario[#All],2,FALSE)*'Stage assumptions'!$C$225*WasteTransportMethod[Emissions Factor
kgCO2e/kg.km]*Calculations[[#This Row],[Total Kg]],0)</f>
        <v>0</v>
      </c>
      <c r="U215" s="322" cm="1">
        <f t="array" ref="U215">IFERROR(VLOOKUP(Calculations[[#This Row],[Waste 1]],WasteScenario[#All],3,FALSE)*'Stage assumptions'!$C$224*WasteTransportMethod[Emissions Factor
kgCO2e/kg.km]*Calculations[[#This Row],[Total Kg]],0)</f>
        <v>0</v>
      </c>
      <c r="V215" s="322" cm="1">
        <f t="array" ref="V215">IFERROR(VLOOKUP(Calculations[[#This Row],[Waste 1]],WasteScenario[#All],4,FALSE)*'Stage assumptions'!$C$223*WasteTransportMethod[Emissions Factor
kgCO2e/kg.km]*Calculations[[#This Row],[Total Kg]],0)</f>
        <v>0</v>
      </c>
      <c r="W215" s="322" cm="1">
        <f t="array" ref="W215">IFERROR(VLOOKUP(Calculations[[#This Row],[Waste 1]],WasteScenario[#All],5,FALSE)*'Stage assumptions'!$C$226*WasteTransportMethod[Emissions Factor
kgCO2e/kg.km]*Calculations[[#This Row],[Total Kg]],0)</f>
        <v>0</v>
      </c>
      <c r="X215" s="322">
        <f>SUM(Calculations[[#This Row],[C2 Recycle]:[C2 Reuse]])</f>
        <v>0</v>
      </c>
      <c r="Y215" t="str">
        <f>IFERROR(VLOOKUP(Calculations[[#This Row],[Material (choose from dropdown]],MaterialData[#All],5,FALSE),"")</f>
        <v/>
      </c>
      <c r="Z215" s="322">
        <f>IFERROR(((VLOOKUP(Calculations[[#This Row],[Waste type 2]],WasteDisposalEmissions[#All],2,FALSE))*Calculations[[#This Row],[Total Kg]])*VLOOKUP(Calculations[[#This Row],[Waste 1]],WasteScenario[#All],2,FALSE),0)</f>
        <v>0</v>
      </c>
      <c r="AA215" s="322">
        <f>IFERROR((VLOOKUP(Calculations[[#This Row],[Waste type 2]],WasteDisposalEmissions[#All],3,FALSE))*Calculations[[#This Row],[Total Kg]]*VLOOKUP(Calculations[[#This Row],[Waste 1]],WasteScenario[#All],3,FALSE),0)</f>
        <v>0</v>
      </c>
      <c r="AB215" s="322">
        <f>SUM(Calculations[[#This Row],[C3 recyc]:[C3 incin]])</f>
        <v>0</v>
      </c>
      <c r="AC215" s="322">
        <f>IFERROR((VLOOKUP(Calculations[[#This Row],[Waste type 2]],WasteLandfillEmissions[#All],2,FALSE))*Calculations[[#This Row],[Total Kg]]*VLOOKUP(Calculations[[#This Row],[Waste 1]],WasteScenario[#All],4,FALSE),0)</f>
        <v>0</v>
      </c>
      <c r="AD215" s="322">
        <f>IFERROR((VLOOKUP(Calculations[[#This Row],[Waste type 2]],WasteLandfillEmissions[#All],3,FALSE))*Calculations[[#This Row],[Total Kg]]*VLOOKUP(Calculations[[#This Row],[Waste 1]],WasteScenario[#All],4,FALSE),0)</f>
        <v>0</v>
      </c>
      <c r="AE215" s="322">
        <f>SUM(Calculations[[#This Row],[C4 landfill]:[C4 re-use]])</f>
        <v>0</v>
      </c>
      <c r="AF215" s="322">
        <f>IFERROR(VLOOKUP(Calculations[[#This Row],[Material (choose from dropdown]],MaterialData[#All],8,FALSE),0)</f>
        <v>0</v>
      </c>
      <c r="AG215" s="322">
        <f>IFERROR(Calculations[[#This Row],[Total Kg]]*Calculations[[#This Row],[Seq factor]],0)</f>
        <v>0</v>
      </c>
      <c r="AI215" s="322">
        <f>Calculations[[#This Row],[A1-3]]+Calculations[[#This Row],[A4]]+Calculations[[#This Row],[A5]]+Calculations[[#This Row],[B4]]+Calculations[[#This Row],[C2 total]]+Calculations[[#This Row],[C3 total]]+Calculations[[#This Row],[C4 total]]</f>
        <v>0</v>
      </c>
      <c r="AJ215" s="2">
        <f>IFERROR(VLOOKUP(Calculations[[#This Row],[Material (choose from dropdown]],MaterialData[[#Headers],[#Data]],9,FALSE),0)</f>
        <v>0</v>
      </c>
      <c r="AK215" s="4">
        <f>IFERROR(VLOOKUP(Calculations[[#This Row],[Material (choose from dropdown]],MaterialData[[#Headers],[#Data]],10,FALSE),0)</f>
        <v>0</v>
      </c>
      <c r="AL215" s="322">
        <f>IFERROR(Calculations[[#This Row],[Data Quality Score]]*Calculations[[#This Row],[Total Kg]],0)</f>
        <v>0</v>
      </c>
    </row>
    <row r="216" spans="1:38" x14ac:dyDescent="0.3">
      <c r="A216" s="6">
        <f>IFERROR(MaterialsBoQ[[#This Row],[Scope Element]],0)</f>
        <v>0</v>
      </c>
      <c r="B216">
        <f>IFERROR(MaterialsBoQ[[#This Row],[Material ]],"")</f>
        <v>0</v>
      </c>
      <c r="C216">
        <f>IFERROR(MaterialsBoQ[[#This Row],[Unit]],"")</f>
        <v>0</v>
      </c>
      <c r="D216" s="322">
        <f>IFERROR(MaterialsBoQ[[#This Row],[Number]],0)</f>
        <v>0</v>
      </c>
      <c r="E216" s="322">
        <f>IFERROR(MaterialsBoQ[[#This Row],[Kg per unit]],0)</f>
        <v>0</v>
      </c>
      <c r="F216" s="322">
        <f>IFERROR(Calculations[[#This Row],[Number]]*Calculations[[#This Row],[Conversion factor]],0)</f>
        <v>0</v>
      </c>
      <c r="G216" s="322">
        <f>IFERROR(VLOOKUP(Calculations[[#This Row],[Material (choose from dropdown]],MaterialData[#All],7,FALSE),0)</f>
        <v>0</v>
      </c>
      <c r="H216" s="322">
        <f>Calculations[[#This Row],[Total Kg]]*Calculations[[#This Row],[Carbon Factor]]</f>
        <v>0</v>
      </c>
      <c r="I216" t="str">
        <f>IFERROR(VLOOKUP(Calculations[[#This Row],[Material (choose from dropdown]],MaterialData[#All],2,FALSE),"")</f>
        <v/>
      </c>
      <c r="J216" s="322">
        <f>IFERROR(((VLOOKUP(Calculations[[#This Row],[TransportSource]],TransportDistance[],2,FALSE)*'Stage assumptions'!$C$11)+VLOOKUP(Calculations[[#This Row],[TransportSource]],TransportDistance[],3,FALSE)*'Stage assumptions'!$C$12)*Calculations[[#This Row],[Total Kg]],0)</f>
        <v>0</v>
      </c>
      <c r="K216">
        <f>IFERROR(VLOOKUP(Calculations[[#This Row],[Material (choose from dropdown]], MaterialData[#All],3, FALSE),0)</f>
        <v>0</v>
      </c>
      <c r="L216" s="322">
        <f>IFERROR(VLOOKUP(Calculations[[#This Row],[A5type]],A5WastageRate[#All],2,FALSE)*Calculations[[#This Row],[A1-3]],0)</f>
        <v>0</v>
      </c>
      <c r="N216">
        <f>IFERROR(ROUNDUP(50/VLOOKUP(Calculations[[#This Row],[Scope Element]],B4referenceServiceLife[[Tier 2 element]:[Default Service Life]],2, FALSE)-1,0),0)</f>
        <v>0</v>
      </c>
      <c r="O216" s="322">
        <f>IFERROR((Calculations[[#This Row],[A1-3]]+Calculations[[#This Row],[A4]]+Calculations[[#This Row],[A5]]+Calculations[[#This Row],[C2 total]]+Calculations[[#This Row],[C3 total]]+Calculations[[#This Row],[C4 total]])*Calculations[[#This Row],[Replacements]],0)</f>
        <v>0</v>
      </c>
      <c r="S216" t="str">
        <f>IFERROR(VLOOKUP(Calculations[[#This Row],[Material (choose from dropdown]],MaterialData[#All],4,FALSE),"")</f>
        <v/>
      </c>
      <c r="T216" s="322" cm="1">
        <f t="array" ref="T216">IFERROR(VLOOKUP(Calculations[[#This Row],[Waste 1]],WasteScenario[#All],2,FALSE)*'Stage assumptions'!$C$225*WasteTransportMethod[Emissions Factor
kgCO2e/kg.km]*Calculations[[#This Row],[Total Kg]],0)</f>
        <v>0</v>
      </c>
      <c r="U216" s="322" cm="1">
        <f t="array" ref="U216">IFERROR(VLOOKUP(Calculations[[#This Row],[Waste 1]],WasteScenario[#All],3,FALSE)*'Stage assumptions'!$C$224*WasteTransportMethod[Emissions Factor
kgCO2e/kg.km]*Calculations[[#This Row],[Total Kg]],0)</f>
        <v>0</v>
      </c>
      <c r="V216" s="322" cm="1">
        <f t="array" ref="V216">IFERROR(VLOOKUP(Calculations[[#This Row],[Waste 1]],WasteScenario[#All],4,FALSE)*'Stage assumptions'!$C$223*WasteTransportMethod[Emissions Factor
kgCO2e/kg.km]*Calculations[[#This Row],[Total Kg]],0)</f>
        <v>0</v>
      </c>
      <c r="W216" s="322" cm="1">
        <f t="array" ref="W216">IFERROR(VLOOKUP(Calculations[[#This Row],[Waste 1]],WasteScenario[#All],5,FALSE)*'Stage assumptions'!$C$226*WasteTransportMethod[Emissions Factor
kgCO2e/kg.km]*Calculations[[#This Row],[Total Kg]],0)</f>
        <v>0</v>
      </c>
      <c r="X216" s="322">
        <f>SUM(Calculations[[#This Row],[C2 Recycle]:[C2 Reuse]])</f>
        <v>0</v>
      </c>
      <c r="Y216" t="str">
        <f>IFERROR(VLOOKUP(Calculations[[#This Row],[Material (choose from dropdown]],MaterialData[#All],5,FALSE),"")</f>
        <v/>
      </c>
      <c r="Z216" s="322">
        <f>IFERROR(((VLOOKUP(Calculations[[#This Row],[Waste type 2]],WasteDisposalEmissions[#All],2,FALSE))*Calculations[[#This Row],[Total Kg]])*VLOOKUP(Calculations[[#This Row],[Waste 1]],WasteScenario[#All],2,FALSE),0)</f>
        <v>0</v>
      </c>
      <c r="AA216" s="322">
        <f>IFERROR((VLOOKUP(Calculations[[#This Row],[Waste type 2]],WasteDisposalEmissions[#All],3,FALSE))*Calculations[[#This Row],[Total Kg]]*VLOOKUP(Calculations[[#This Row],[Waste 1]],WasteScenario[#All],3,FALSE),0)</f>
        <v>0</v>
      </c>
      <c r="AB216" s="322">
        <f>SUM(Calculations[[#This Row],[C3 recyc]:[C3 incin]])</f>
        <v>0</v>
      </c>
      <c r="AC216" s="322">
        <f>IFERROR((VLOOKUP(Calculations[[#This Row],[Waste type 2]],WasteLandfillEmissions[#All],2,FALSE))*Calculations[[#This Row],[Total Kg]]*VLOOKUP(Calculations[[#This Row],[Waste 1]],WasteScenario[#All],4,FALSE),0)</f>
        <v>0</v>
      </c>
      <c r="AD216" s="322">
        <f>IFERROR((VLOOKUP(Calculations[[#This Row],[Waste type 2]],WasteLandfillEmissions[#All],3,FALSE))*Calculations[[#This Row],[Total Kg]]*VLOOKUP(Calculations[[#This Row],[Waste 1]],WasteScenario[#All],4,FALSE),0)</f>
        <v>0</v>
      </c>
      <c r="AE216" s="322">
        <f>SUM(Calculations[[#This Row],[C4 landfill]:[C4 re-use]])</f>
        <v>0</v>
      </c>
      <c r="AF216" s="322">
        <f>IFERROR(VLOOKUP(Calculations[[#This Row],[Material (choose from dropdown]],MaterialData[#All],8,FALSE),0)</f>
        <v>0</v>
      </c>
      <c r="AG216" s="322">
        <f>IFERROR(Calculations[[#This Row],[Total Kg]]*Calculations[[#This Row],[Seq factor]],0)</f>
        <v>0</v>
      </c>
      <c r="AI216" s="322">
        <f>Calculations[[#This Row],[A1-3]]+Calculations[[#This Row],[A4]]+Calculations[[#This Row],[A5]]+Calculations[[#This Row],[B4]]+Calculations[[#This Row],[C2 total]]+Calculations[[#This Row],[C3 total]]+Calculations[[#This Row],[C4 total]]</f>
        <v>0</v>
      </c>
      <c r="AJ216" s="2">
        <f>IFERROR(VLOOKUP(Calculations[[#This Row],[Material (choose from dropdown]],MaterialData[[#Headers],[#Data]],9,FALSE),0)</f>
        <v>0</v>
      </c>
      <c r="AK216" s="4">
        <f>IFERROR(VLOOKUP(Calculations[[#This Row],[Material (choose from dropdown]],MaterialData[[#Headers],[#Data]],10,FALSE),0)</f>
        <v>0</v>
      </c>
      <c r="AL216" s="322">
        <f>IFERROR(Calculations[[#This Row],[Data Quality Score]]*Calculations[[#This Row],[Total Kg]],0)</f>
        <v>0</v>
      </c>
    </row>
    <row r="217" spans="1:38" x14ac:dyDescent="0.3">
      <c r="A217" s="6">
        <f>IFERROR(MaterialsBoQ[[#This Row],[Scope Element]],0)</f>
        <v>0</v>
      </c>
      <c r="B217">
        <f>IFERROR(MaterialsBoQ[[#This Row],[Material ]],"")</f>
        <v>0</v>
      </c>
      <c r="C217">
        <f>IFERROR(MaterialsBoQ[[#This Row],[Unit]],"")</f>
        <v>0</v>
      </c>
      <c r="D217" s="322">
        <f>IFERROR(MaterialsBoQ[[#This Row],[Number]],0)</f>
        <v>0</v>
      </c>
      <c r="E217" s="322">
        <f>IFERROR(MaterialsBoQ[[#This Row],[Kg per unit]],0)</f>
        <v>0</v>
      </c>
      <c r="F217" s="322">
        <f>IFERROR(Calculations[[#This Row],[Number]]*Calculations[[#This Row],[Conversion factor]],0)</f>
        <v>0</v>
      </c>
      <c r="G217" s="322">
        <f>IFERROR(VLOOKUP(Calculations[[#This Row],[Material (choose from dropdown]],MaterialData[#All],7,FALSE),0)</f>
        <v>0</v>
      </c>
      <c r="H217" s="322">
        <f>Calculations[[#This Row],[Total Kg]]*Calculations[[#This Row],[Carbon Factor]]</f>
        <v>0</v>
      </c>
      <c r="I217" t="str">
        <f>IFERROR(VLOOKUP(Calculations[[#This Row],[Material (choose from dropdown]],MaterialData[#All],2,FALSE),"")</f>
        <v/>
      </c>
      <c r="J217" s="322">
        <f>IFERROR(((VLOOKUP(Calculations[[#This Row],[TransportSource]],TransportDistance[],2,FALSE)*'Stage assumptions'!$C$11)+VLOOKUP(Calculations[[#This Row],[TransportSource]],TransportDistance[],3,FALSE)*'Stage assumptions'!$C$12)*Calculations[[#This Row],[Total Kg]],0)</f>
        <v>0</v>
      </c>
      <c r="K217">
        <f>IFERROR(VLOOKUP(Calculations[[#This Row],[Material (choose from dropdown]], MaterialData[#All],3, FALSE),0)</f>
        <v>0</v>
      </c>
      <c r="L217" s="322">
        <f>IFERROR(VLOOKUP(Calculations[[#This Row],[A5type]],A5WastageRate[#All],2,FALSE)*Calculations[[#This Row],[A1-3]],0)</f>
        <v>0</v>
      </c>
      <c r="N217">
        <f>IFERROR(ROUNDUP(50/VLOOKUP(Calculations[[#This Row],[Scope Element]],B4referenceServiceLife[[Tier 2 element]:[Default Service Life]],2, FALSE)-1,0),0)</f>
        <v>0</v>
      </c>
      <c r="O217" s="322">
        <f>IFERROR((Calculations[[#This Row],[A1-3]]+Calculations[[#This Row],[A4]]+Calculations[[#This Row],[A5]]+Calculations[[#This Row],[C2 total]]+Calculations[[#This Row],[C3 total]]+Calculations[[#This Row],[C4 total]])*Calculations[[#This Row],[Replacements]],0)</f>
        <v>0</v>
      </c>
      <c r="S217" t="str">
        <f>IFERROR(VLOOKUP(Calculations[[#This Row],[Material (choose from dropdown]],MaterialData[#All],4,FALSE),"")</f>
        <v/>
      </c>
      <c r="T217" s="322" cm="1">
        <f t="array" ref="T217">IFERROR(VLOOKUP(Calculations[[#This Row],[Waste 1]],WasteScenario[#All],2,FALSE)*'Stage assumptions'!$C$225*WasteTransportMethod[Emissions Factor
kgCO2e/kg.km]*Calculations[[#This Row],[Total Kg]],0)</f>
        <v>0</v>
      </c>
      <c r="U217" s="322" cm="1">
        <f t="array" ref="U217">IFERROR(VLOOKUP(Calculations[[#This Row],[Waste 1]],WasteScenario[#All],3,FALSE)*'Stage assumptions'!$C$224*WasteTransportMethod[Emissions Factor
kgCO2e/kg.km]*Calculations[[#This Row],[Total Kg]],0)</f>
        <v>0</v>
      </c>
      <c r="V217" s="322" cm="1">
        <f t="array" ref="V217">IFERROR(VLOOKUP(Calculations[[#This Row],[Waste 1]],WasteScenario[#All],4,FALSE)*'Stage assumptions'!$C$223*WasteTransportMethod[Emissions Factor
kgCO2e/kg.km]*Calculations[[#This Row],[Total Kg]],0)</f>
        <v>0</v>
      </c>
      <c r="W217" s="322" cm="1">
        <f t="array" ref="W217">IFERROR(VLOOKUP(Calculations[[#This Row],[Waste 1]],WasteScenario[#All],5,FALSE)*'Stage assumptions'!$C$226*WasteTransportMethod[Emissions Factor
kgCO2e/kg.km]*Calculations[[#This Row],[Total Kg]],0)</f>
        <v>0</v>
      </c>
      <c r="X217" s="322">
        <f>SUM(Calculations[[#This Row],[C2 Recycle]:[C2 Reuse]])</f>
        <v>0</v>
      </c>
      <c r="Y217" t="str">
        <f>IFERROR(VLOOKUP(Calculations[[#This Row],[Material (choose from dropdown]],MaterialData[#All],5,FALSE),"")</f>
        <v/>
      </c>
      <c r="Z217" s="322">
        <f>IFERROR(((VLOOKUP(Calculations[[#This Row],[Waste type 2]],WasteDisposalEmissions[#All],2,FALSE))*Calculations[[#This Row],[Total Kg]])*VLOOKUP(Calculations[[#This Row],[Waste 1]],WasteScenario[#All],2,FALSE),0)</f>
        <v>0</v>
      </c>
      <c r="AA217" s="322">
        <f>IFERROR((VLOOKUP(Calculations[[#This Row],[Waste type 2]],WasteDisposalEmissions[#All],3,FALSE))*Calculations[[#This Row],[Total Kg]]*VLOOKUP(Calculations[[#This Row],[Waste 1]],WasteScenario[#All],3,FALSE),0)</f>
        <v>0</v>
      </c>
      <c r="AB217" s="322">
        <f>SUM(Calculations[[#This Row],[C3 recyc]:[C3 incin]])</f>
        <v>0</v>
      </c>
      <c r="AC217" s="322">
        <f>IFERROR((VLOOKUP(Calculations[[#This Row],[Waste type 2]],WasteLandfillEmissions[#All],2,FALSE))*Calculations[[#This Row],[Total Kg]]*VLOOKUP(Calculations[[#This Row],[Waste 1]],WasteScenario[#All],4,FALSE),0)</f>
        <v>0</v>
      </c>
      <c r="AD217" s="322">
        <f>IFERROR((VLOOKUP(Calculations[[#This Row],[Waste type 2]],WasteLandfillEmissions[#All],3,FALSE))*Calculations[[#This Row],[Total Kg]]*VLOOKUP(Calculations[[#This Row],[Waste 1]],WasteScenario[#All],4,FALSE),0)</f>
        <v>0</v>
      </c>
      <c r="AE217" s="322">
        <f>SUM(Calculations[[#This Row],[C4 landfill]:[C4 re-use]])</f>
        <v>0</v>
      </c>
      <c r="AF217" s="322">
        <f>IFERROR(VLOOKUP(Calculations[[#This Row],[Material (choose from dropdown]],MaterialData[#All],8,FALSE),0)</f>
        <v>0</v>
      </c>
      <c r="AG217" s="322">
        <f>IFERROR(Calculations[[#This Row],[Total Kg]]*Calculations[[#This Row],[Seq factor]],0)</f>
        <v>0</v>
      </c>
      <c r="AI217" s="322">
        <f>Calculations[[#This Row],[A1-3]]+Calculations[[#This Row],[A4]]+Calculations[[#This Row],[A5]]+Calculations[[#This Row],[B4]]+Calculations[[#This Row],[C2 total]]+Calculations[[#This Row],[C3 total]]+Calculations[[#This Row],[C4 total]]</f>
        <v>0</v>
      </c>
      <c r="AJ217" s="2">
        <f>IFERROR(VLOOKUP(Calculations[[#This Row],[Material (choose from dropdown]],MaterialData[[#Headers],[#Data]],9,FALSE),0)</f>
        <v>0</v>
      </c>
      <c r="AK217" s="4">
        <f>IFERROR(VLOOKUP(Calculations[[#This Row],[Material (choose from dropdown]],MaterialData[[#Headers],[#Data]],10,FALSE),0)</f>
        <v>0</v>
      </c>
      <c r="AL217" s="322">
        <f>IFERROR(Calculations[[#This Row],[Data Quality Score]]*Calculations[[#This Row],[Total Kg]],0)</f>
        <v>0</v>
      </c>
    </row>
    <row r="218" spans="1:38" x14ac:dyDescent="0.3">
      <c r="A218" s="6">
        <f>IFERROR(MaterialsBoQ[[#This Row],[Scope Element]],0)</f>
        <v>0</v>
      </c>
      <c r="B218">
        <f>IFERROR(MaterialsBoQ[[#This Row],[Material ]],"")</f>
        <v>0</v>
      </c>
      <c r="C218">
        <f>IFERROR(MaterialsBoQ[[#This Row],[Unit]],"")</f>
        <v>0</v>
      </c>
      <c r="D218" s="322">
        <f>IFERROR(MaterialsBoQ[[#This Row],[Number]],0)</f>
        <v>0</v>
      </c>
      <c r="E218" s="322">
        <f>IFERROR(MaterialsBoQ[[#This Row],[Kg per unit]],0)</f>
        <v>0</v>
      </c>
      <c r="F218" s="322">
        <f>IFERROR(Calculations[[#This Row],[Number]]*Calculations[[#This Row],[Conversion factor]],0)</f>
        <v>0</v>
      </c>
      <c r="G218" s="322">
        <f>IFERROR(VLOOKUP(Calculations[[#This Row],[Material (choose from dropdown]],MaterialData[#All],7,FALSE),0)</f>
        <v>0</v>
      </c>
      <c r="H218" s="322">
        <f>Calculations[[#This Row],[Total Kg]]*Calculations[[#This Row],[Carbon Factor]]</f>
        <v>0</v>
      </c>
      <c r="I218" t="str">
        <f>IFERROR(VLOOKUP(Calculations[[#This Row],[Material (choose from dropdown]],MaterialData[#All],2,FALSE),"")</f>
        <v/>
      </c>
      <c r="J218" s="322">
        <f>IFERROR(((VLOOKUP(Calculations[[#This Row],[TransportSource]],TransportDistance[],2,FALSE)*'Stage assumptions'!$C$11)+VLOOKUP(Calculations[[#This Row],[TransportSource]],TransportDistance[],3,FALSE)*'Stage assumptions'!$C$12)*Calculations[[#This Row],[Total Kg]],0)</f>
        <v>0</v>
      </c>
      <c r="K218">
        <f>IFERROR(VLOOKUP(Calculations[[#This Row],[Material (choose from dropdown]], MaterialData[#All],3, FALSE),0)</f>
        <v>0</v>
      </c>
      <c r="L218" s="322">
        <f>IFERROR(VLOOKUP(Calculations[[#This Row],[A5type]],A5WastageRate[#All],2,FALSE)*Calculations[[#This Row],[A1-3]],0)</f>
        <v>0</v>
      </c>
      <c r="N218">
        <f>IFERROR(ROUNDUP(50/VLOOKUP(Calculations[[#This Row],[Scope Element]],B4referenceServiceLife[[Tier 2 element]:[Default Service Life]],2, FALSE)-1,0),0)</f>
        <v>0</v>
      </c>
      <c r="O218" s="322">
        <f>IFERROR((Calculations[[#This Row],[A1-3]]+Calculations[[#This Row],[A4]]+Calculations[[#This Row],[A5]]+Calculations[[#This Row],[C2 total]]+Calculations[[#This Row],[C3 total]]+Calculations[[#This Row],[C4 total]])*Calculations[[#This Row],[Replacements]],0)</f>
        <v>0</v>
      </c>
      <c r="S218" t="str">
        <f>IFERROR(VLOOKUP(Calculations[[#This Row],[Material (choose from dropdown]],MaterialData[#All],4,FALSE),"")</f>
        <v/>
      </c>
      <c r="T218" s="322" cm="1">
        <f t="array" ref="T218">IFERROR(VLOOKUP(Calculations[[#This Row],[Waste 1]],WasteScenario[#All],2,FALSE)*'Stage assumptions'!$C$225*WasteTransportMethod[Emissions Factor
kgCO2e/kg.km]*Calculations[[#This Row],[Total Kg]],0)</f>
        <v>0</v>
      </c>
      <c r="U218" s="322" cm="1">
        <f t="array" ref="U218">IFERROR(VLOOKUP(Calculations[[#This Row],[Waste 1]],WasteScenario[#All],3,FALSE)*'Stage assumptions'!$C$224*WasteTransportMethod[Emissions Factor
kgCO2e/kg.km]*Calculations[[#This Row],[Total Kg]],0)</f>
        <v>0</v>
      </c>
      <c r="V218" s="322" cm="1">
        <f t="array" ref="V218">IFERROR(VLOOKUP(Calculations[[#This Row],[Waste 1]],WasteScenario[#All],4,FALSE)*'Stage assumptions'!$C$223*WasteTransportMethod[Emissions Factor
kgCO2e/kg.km]*Calculations[[#This Row],[Total Kg]],0)</f>
        <v>0</v>
      </c>
      <c r="W218" s="322" cm="1">
        <f t="array" ref="W218">IFERROR(VLOOKUP(Calculations[[#This Row],[Waste 1]],WasteScenario[#All],5,FALSE)*'Stage assumptions'!$C$226*WasteTransportMethod[Emissions Factor
kgCO2e/kg.km]*Calculations[[#This Row],[Total Kg]],0)</f>
        <v>0</v>
      </c>
      <c r="X218" s="322">
        <f>SUM(Calculations[[#This Row],[C2 Recycle]:[C2 Reuse]])</f>
        <v>0</v>
      </c>
      <c r="Y218" t="str">
        <f>IFERROR(VLOOKUP(Calculations[[#This Row],[Material (choose from dropdown]],MaterialData[#All],5,FALSE),"")</f>
        <v/>
      </c>
      <c r="Z218" s="322">
        <f>IFERROR(((VLOOKUP(Calculations[[#This Row],[Waste type 2]],WasteDisposalEmissions[#All],2,FALSE))*Calculations[[#This Row],[Total Kg]])*VLOOKUP(Calculations[[#This Row],[Waste 1]],WasteScenario[#All],2,FALSE),0)</f>
        <v>0</v>
      </c>
      <c r="AA218" s="322">
        <f>IFERROR((VLOOKUP(Calculations[[#This Row],[Waste type 2]],WasteDisposalEmissions[#All],3,FALSE))*Calculations[[#This Row],[Total Kg]]*VLOOKUP(Calculations[[#This Row],[Waste 1]],WasteScenario[#All],3,FALSE),0)</f>
        <v>0</v>
      </c>
      <c r="AB218" s="322">
        <f>SUM(Calculations[[#This Row],[C3 recyc]:[C3 incin]])</f>
        <v>0</v>
      </c>
      <c r="AC218" s="322">
        <f>IFERROR((VLOOKUP(Calculations[[#This Row],[Waste type 2]],WasteLandfillEmissions[#All],2,FALSE))*Calculations[[#This Row],[Total Kg]]*VLOOKUP(Calculations[[#This Row],[Waste 1]],WasteScenario[#All],4,FALSE),0)</f>
        <v>0</v>
      </c>
      <c r="AD218" s="322">
        <f>IFERROR((VLOOKUP(Calculations[[#This Row],[Waste type 2]],WasteLandfillEmissions[#All],3,FALSE))*Calculations[[#This Row],[Total Kg]]*VLOOKUP(Calculations[[#This Row],[Waste 1]],WasteScenario[#All],4,FALSE),0)</f>
        <v>0</v>
      </c>
      <c r="AE218" s="322">
        <f>SUM(Calculations[[#This Row],[C4 landfill]:[C4 re-use]])</f>
        <v>0</v>
      </c>
      <c r="AF218" s="322">
        <f>IFERROR(VLOOKUP(Calculations[[#This Row],[Material (choose from dropdown]],MaterialData[#All],8,FALSE),0)</f>
        <v>0</v>
      </c>
      <c r="AG218" s="322">
        <f>IFERROR(Calculations[[#This Row],[Total Kg]]*Calculations[[#This Row],[Seq factor]],0)</f>
        <v>0</v>
      </c>
      <c r="AI218" s="322">
        <f>Calculations[[#This Row],[A1-3]]+Calculations[[#This Row],[A4]]+Calculations[[#This Row],[A5]]+Calculations[[#This Row],[B4]]+Calculations[[#This Row],[C2 total]]+Calculations[[#This Row],[C3 total]]+Calculations[[#This Row],[C4 total]]</f>
        <v>0</v>
      </c>
      <c r="AJ218" s="2">
        <f>IFERROR(VLOOKUP(Calculations[[#This Row],[Material (choose from dropdown]],MaterialData[[#Headers],[#Data]],9,FALSE),0)</f>
        <v>0</v>
      </c>
      <c r="AK218" s="4">
        <f>IFERROR(VLOOKUP(Calculations[[#This Row],[Material (choose from dropdown]],MaterialData[[#Headers],[#Data]],10,FALSE),0)</f>
        <v>0</v>
      </c>
      <c r="AL218" s="322">
        <f>IFERROR(Calculations[[#This Row],[Data Quality Score]]*Calculations[[#This Row],[Total Kg]],0)</f>
        <v>0</v>
      </c>
    </row>
    <row r="219" spans="1:38" x14ac:dyDescent="0.3">
      <c r="A219" s="6">
        <f>IFERROR(MaterialsBoQ[[#This Row],[Scope Element]],0)</f>
        <v>0</v>
      </c>
      <c r="B219">
        <f>IFERROR(MaterialsBoQ[[#This Row],[Material ]],"")</f>
        <v>0</v>
      </c>
      <c r="C219">
        <f>IFERROR(MaterialsBoQ[[#This Row],[Unit]],"")</f>
        <v>0</v>
      </c>
      <c r="D219" s="322">
        <f>IFERROR(MaterialsBoQ[[#This Row],[Number]],0)</f>
        <v>0</v>
      </c>
      <c r="E219" s="322">
        <f>IFERROR(MaterialsBoQ[[#This Row],[Kg per unit]],0)</f>
        <v>0</v>
      </c>
      <c r="F219" s="322">
        <f>IFERROR(Calculations[[#This Row],[Number]]*Calculations[[#This Row],[Conversion factor]],0)</f>
        <v>0</v>
      </c>
      <c r="G219" s="322">
        <f>IFERROR(VLOOKUP(Calculations[[#This Row],[Material (choose from dropdown]],MaterialData[#All],7,FALSE),0)</f>
        <v>0</v>
      </c>
      <c r="H219" s="322">
        <f>Calculations[[#This Row],[Total Kg]]*Calculations[[#This Row],[Carbon Factor]]</f>
        <v>0</v>
      </c>
      <c r="I219" t="str">
        <f>IFERROR(VLOOKUP(Calculations[[#This Row],[Material (choose from dropdown]],MaterialData[#All],2,FALSE),"")</f>
        <v/>
      </c>
      <c r="J219" s="322">
        <f>IFERROR(((VLOOKUP(Calculations[[#This Row],[TransportSource]],TransportDistance[],2,FALSE)*'Stage assumptions'!$C$11)+VLOOKUP(Calculations[[#This Row],[TransportSource]],TransportDistance[],3,FALSE)*'Stage assumptions'!$C$12)*Calculations[[#This Row],[Total Kg]],0)</f>
        <v>0</v>
      </c>
      <c r="K219">
        <f>IFERROR(VLOOKUP(Calculations[[#This Row],[Material (choose from dropdown]], MaterialData[#All],3, FALSE),0)</f>
        <v>0</v>
      </c>
      <c r="L219" s="322">
        <f>IFERROR(VLOOKUP(Calculations[[#This Row],[A5type]],A5WastageRate[#All],2,FALSE)*Calculations[[#This Row],[A1-3]],0)</f>
        <v>0</v>
      </c>
      <c r="N219">
        <f>IFERROR(ROUNDUP(50/VLOOKUP(Calculations[[#This Row],[Scope Element]],B4referenceServiceLife[[Tier 2 element]:[Default Service Life]],2, FALSE)-1,0),0)</f>
        <v>0</v>
      </c>
      <c r="O219" s="322">
        <f>IFERROR((Calculations[[#This Row],[A1-3]]+Calculations[[#This Row],[A4]]+Calculations[[#This Row],[A5]]+Calculations[[#This Row],[C2 total]]+Calculations[[#This Row],[C3 total]]+Calculations[[#This Row],[C4 total]])*Calculations[[#This Row],[Replacements]],0)</f>
        <v>0</v>
      </c>
      <c r="S219" t="str">
        <f>IFERROR(VLOOKUP(Calculations[[#This Row],[Material (choose from dropdown]],MaterialData[#All],4,FALSE),"")</f>
        <v/>
      </c>
      <c r="T219" s="322" cm="1">
        <f t="array" ref="T219">IFERROR(VLOOKUP(Calculations[[#This Row],[Waste 1]],WasteScenario[#All],2,FALSE)*'Stage assumptions'!$C$225*WasteTransportMethod[Emissions Factor
kgCO2e/kg.km]*Calculations[[#This Row],[Total Kg]],0)</f>
        <v>0</v>
      </c>
      <c r="U219" s="322" cm="1">
        <f t="array" ref="U219">IFERROR(VLOOKUP(Calculations[[#This Row],[Waste 1]],WasteScenario[#All],3,FALSE)*'Stage assumptions'!$C$224*WasteTransportMethod[Emissions Factor
kgCO2e/kg.km]*Calculations[[#This Row],[Total Kg]],0)</f>
        <v>0</v>
      </c>
      <c r="V219" s="322" cm="1">
        <f t="array" ref="V219">IFERROR(VLOOKUP(Calculations[[#This Row],[Waste 1]],WasteScenario[#All],4,FALSE)*'Stage assumptions'!$C$223*WasteTransportMethod[Emissions Factor
kgCO2e/kg.km]*Calculations[[#This Row],[Total Kg]],0)</f>
        <v>0</v>
      </c>
      <c r="W219" s="322" cm="1">
        <f t="array" ref="W219">IFERROR(VLOOKUP(Calculations[[#This Row],[Waste 1]],WasteScenario[#All],5,FALSE)*'Stage assumptions'!$C$226*WasteTransportMethod[Emissions Factor
kgCO2e/kg.km]*Calculations[[#This Row],[Total Kg]],0)</f>
        <v>0</v>
      </c>
      <c r="X219" s="322">
        <f>SUM(Calculations[[#This Row],[C2 Recycle]:[C2 Reuse]])</f>
        <v>0</v>
      </c>
      <c r="Y219" t="str">
        <f>IFERROR(VLOOKUP(Calculations[[#This Row],[Material (choose from dropdown]],MaterialData[#All],5,FALSE),"")</f>
        <v/>
      </c>
      <c r="Z219" s="322">
        <f>IFERROR(((VLOOKUP(Calculations[[#This Row],[Waste type 2]],WasteDisposalEmissions[#All],2,FALSE))*Calculations[[#This Row],[Total Kg]])*VLOOKUP(Calculations[[#This Row],[Waste 1]],WasteScenario[#All],2,FALSE),0)</f>
        <v>0</v>
      </c>
      <c r="AA219" s="322">
        <f>IFERROR((VLOOKUP(Calculations[[#This Row],[Waste type 2]],WasteDisposalEmissions[#All],3,FALSE))*Calculations[[#This Row],[Total Kg]]*VLOOKUP(Calculations[[#This Row],[Waste 1]],WasteScenario[#All],3,FALSE),0)</f>
        <v>0</v>
      </c>
      <c r="AB219" s="322">
        <f>SUM(Calculations[[#This Row],[C3 recyc]:[C3 incin]])</f>
        <v>0</v>
      </c>
      <c r="AC219" s="334">
        <f>IFERROR((VLOOKUP(Calculations[[#This Row],[Waste type 2]],WasteLandfillEmissions[#All],2,FALSE))*Calculations[[#This Row],[Total Kg]]*VLOOKUP(Calculations[[#This Row],[Waste 1]],WasteScenario[#All],4,FALSE),0)</f>
        <v>0</v>
      </c>
      <c r="AD219" s="322">
        <f>IFERROR((VLOOKUP(Calculations[[#This Row],[Waste type 2]],WasteLandfillEmissions[#All],3,FALSE))*Calculations[[#This Row],[Total Kg]]*VLOOKUP(Calculations[[#This Row],[Waste 1]],WasteScenario[#All],4,FALSE),0)</f>
        <v>0</v>
      </c>
      <c r="AE219" s="322">
        <f>SUM(Calculations[[#This Row],[C4 landfill]:[C4 re-use]])</f>
        <v>0</v>
      </c>
      <c r="AF219" s="322">
        <f>IFERROR(VLOOKUP(Calculations[[#This Row],[Material (choose from dropdown]],MaterialData[#All],8,FALSE),0)</f>
        <v>0</v>
      </c>
      <c r="AG219" s="322">
        <f>IFERROR(Calculations[[#This Row],[Total Kg]]*Calculations[[#This Row],[Seq factor]],0)</f>
        <v>0</v>
      </c>
      <c r="AI219" s="322">
        <f>Calculations[[#This Row],[A1-3]]+Calculations[[#This Row],[A4]]+Calculations[[#This Row],[A5]]+Calculations[[#This Row],[B4]]+Calculations[[#This Row],[C2 total]]+Calculations[[#This Row],[C3 total]]+Calculations[[#This Row],[C4 total]]</f>
        <v>0</v>
      </c>
      <c r="AJ219" s="2">
        <f>IFERROR(VLOOKUP(Calculations[[#This Row],[Material (choose from dropdown]],MaterialData[[#Headers],[#Data]],9,FALSE),0)</f>
        <v>0</v>
      </c>
      <c r="AK219" s="4">
        <f>IFERROR(VLOOKUP(Calculations[[#This Row],[Material (choose from dropdown]],MaterialData[[#Headers],[#Data]],10,FALSE),0)</f>
        <v>0</v>
      </c>
      <c r="AL219" s="322">
        <f>IFERROR(Calculations[[#This Row],[Data Quality Score]]*Calculations[[#This Row],[Total Kg]],0)</f>
        <v>0</v>
      </c>
    </row>
    <row r="220" spans="1:38" x14ac:dyDescent="0.3">
      <c r="A220" s="6">
        <f>IFERROR(MaterialsBoQ[[#This Row],[Scope Element]],0)</f>
        <v>0</v>
      </c>
      <c r="B220">
        <f>IFERROR(MaterialsBoQ[[#This Row],[Material ]],"")</f>
        <v>0</v>
      </c>
      <c r="C220">
        <f>IFERROR(MaterialsBoQ[[#This Row],[Unit]],"")</f>
        <v>0</v>
      </c>
      <c r="D220" s="322">
        <f>IFERROR(MaterialsBoQ[[#This Row],[Number]],0)</f>
        <v>0</v>
      </c>
      <c r="E220" s="322">
        <f>IFERROR(MaterialsBoQ[[#This Row],[Kg per unit]],0)</f>
        <v>0</v>
      </c>
      <c r="F220" s="322">
        <f>IFERROR(Calculations[[#This Row],[Number]]*Calculations[[#This Row],[Conversion factor]],0)</f>
        <v>0</v>
      </c>
      <c r="G220" s="322">
        <f>IFERROR(VLOOKUP(Calculations[[#This Row],[Material (choose from dropdown]],MaterialData[#All],7,FALSE),0)</f>
        <v>0</v>
      </c>
      <c r="H220" s="322">
        <f>Calculations[[#This Row],[Total Kg]]*Calculations[[#This Row],[Carbon Factor]]</f>
        <v>0</v>
      </c>
      <c r="I220" t="str">
        <f>IFERROR(VLOOKUP(Calculations[[#This Row],[Material (choose from dropdown]],MaterialData[#All],2,FALSE),"")</f>
        <v/>
      </c>
      <c r="J220" s="322">
        <f>IFERROR(((VLOOKUP(Calculations[[#This Row],[TransportSource]],TransportDistance[],2,FALSE)*'Stage assumptions'!$C$11)+VLOOKUP(Calculations[[#This Row],[TransportSource]],TransportDistance[],3,FALSE)*'Stage assumptions'!$C$12)*Calculations[[#This Row],[Total Kg]],0)</f>
        <v>0</v>
      </c>
      <c r="K220">
        <f>IFERROR(VLOOKUP(Calculations[[#This Row],[Material (choose from dropdown]], MaterialData[#All],3, FALSE),0)</f>
        <v>0</v>
      </c>
      <c r="L220" s="322">
        <f>IFERROR(VLOOKUP(Calculations[[#This Row],[A5type]],A5WastageRate[#All],2,FALSE)*Calculations[[#This Row],[A1-3]],0)</f>
        <v>0</v>
      </c>
      <c r="N220">
        <f>IFERROR(ROUNDUP(50/VLOOKUP(Calculations[[#This Row],[Scope Element]],B4referenceServiceLife[[Tier 2 element]:[Default Service Life]],2, FALSE)-1,0),0)</f>
        <v>0</v>
      </c>
      <c r="O220" s="322">
        <f>IFERROR((Calculations[[#This Row],[A1-3]]+Calculations[[#This Row],[A4]]+Calculations[[#This Row],[A5]]+Calculations[[#This Row],[C2 total]]+Calculations[[#This Row],[C3 total]]+Calculations[[#This Row],[C4 total]])*Calculations[[#This Row],[Replacements]],0)</f>
        <v>0</v>
      </c>
      <c r="S220" t="str">
        <f>IFERROR(VLOOKUP(Calculations[[#This Row],[Material (choose from dropdown]],MaterialData[#All],4,FALSE),"")</f>
        <v/>
      </c>
      <c r="T220" s="322" cm="1">
        <f t="array" ref="T220">IFERROR(VLOOKUP(Calculations[[#This Row],[Waste 1]],WasteScenario[#All],2,FALSE)*'Stage assumptions'!$C$225*WasteTransportMethod[Emissions Factor
kgCO2e/kg.km]*Calculations[[#This Row],[Total Kg]],0)</f>
        <v>0</v>
      </c>
      <c r="U220" s="322" cm="1">
        <f t="array" ref="U220">IFERROR(VLOOKUP(Calculations[[#This Row],[Waste 1]],WasteScenario[#All],3,FALSE)*'Stage assumptions'!$C$224*WasteTransportMethod[Emissions Factor
kgCO2e/kg.km]*Calculations[[#This Row],[Total Kg]],0)</f>
        <v>0</v>
      </c>
      <c r="V220" s="322" cm="1">
        <f t="array" ref="V220">IFERROR(VLOOKUP(Calculations[[#This Row],[Waste 1]],WasteScenario[#All],4,FALSE)*'Stage assumptions'!$C$223*WasteTransportMethod[Emissions Factor
kgCO2e/kg.km]*Calculations[[#This Row],[Total Kg]],0)</f>
        <v>0</v>
      </c>
      <c r="W220" s="322" cm="1">
        <f t="array" ref="W220">IFERROR(VLOOKUP(Calculations[[#This Row],[Waste 1]],WasteScenario[#All],5,FALSE)*'Stage assumptions'!$C$226*WasteTransportMethod[Emissions Factor
kgCO2e/kg.km]*Calculations[[#This Row],[Total Kg]],0)</f>
        <v>0</v>
      </c>
      <c r="X220" s="322">
        <f>SUM(Calculations[[#This Row],[C2 Recycle]:[C2 Reuse]])</f>
        <v>0</v>
      </c>
      <c r="Y220" t="str">
        <f>IFERROR(VLOOKUP(Calculations[[#This Row],[Material (choose from dropdown]],MaterialData[#All],5,FALSE),"")</f>
        <v/>
      </c>
      <c r="Z220" s="322">
        <f>IFERROR(((VLOOKUP(Calculations[[#This Row],[Waste type 2]],WasteDisposalEmissions[#All],2,FALSE))*Calculations[[#This Row],[Total Kg]])*VLOOKUP(Calculations[[#This Row],[Waste 1]],WasteScenario[#All],2,FALSE),0)</f>
        <v>0</v>
      </c>
      <c r="AA220" s="322">
        <f>IFERROR((VLOOKUP(Calculations[[#This Row],[Waste type 2]],WasteDisposalEmissions[#All],3,FALSE))*Calculations[[#This Row],[Total Kg]]*VLOOKUP(Calculations[[#This Row],[Waste 1]],WasteScenario[#All],3,FALSE),0)</f>
        <v>0</v>
      </c>
      <c r="AB220" s="322">
        <f>SUM(Calculations[[#This Row],[C3 recyc]:[C3 incin]])</f>
        <v>0</v>
      </c>
      <c r="AC220" s="334">
        <f>IFERROR((VLOOKUP(Calculations[[#This Row],[Waste type 2]],WasteLandfillEmissions[#All],2,FALSE))*Calculations[[#This Row],[Total Kg]]*VLOOKUP(Calculations[[#This Row],[Waste 1]],WasteScenario[#All],4,FALSE),0)</f>
        <v>0</v>
      </c>
      <c r="AD220" s="322">
        <f>IFERROR((VLOOKUP(Calculations[[#This Row],[Waste type 2]],WasteLandfillEmissions[#All],3,FALSE))*Calculations[[#This Row],[Total Kg]]*VLOOKUP(Calculations[[#This Row],[Waste 1]],WasteScenario[#All],4,FALSE),0)</f>
        <v>0</v>
      </c>
      <c r="AE220" s="322">
        <f>SUM(Calculations[[#This Row],[C4 landfill]:[C4 re-use]])</f>
        <v>0</v>
      </c>
      <c r="AF220" s="322">
        <f>IFERROR(VLOOKUP(Calculations[[#This Row],[Material (choose from dropdown]],MaterialData[#All],8,FALSE),0)</f>
        <v>0</v>
      </c>
      <c r="AG220" s="322">
        <f>IFERROR(Calculations[[#This Row],[Total Kg]]*Calculations[[#This Row],[Seq factor]],0)</f>
        <v>0</v>
      </c>
      <c r="AI220" s="322">
        <f>Calculations[[#This Row],[A1-3]]+Calculations[[#This Row],[A4]]+Calculations[[#This Row],[A5]]+Calculations[[#This Row],[B4]]+Calculations[[#This Row],[C2 total]]+Calculations[[#This Row],[C3 total]]+Calculations[[#This Row],[C4 total]]</f>
        <v>0</v>
      </c>
      <c r="AJ220" s="2">
        <f>IFERROR(VLOOKUP(Calculations[[#This Row],[Material (choose from dropdown]],MaterialData[[#Headers],[#Data]],9,FALSE),0)</f>
        <v>0</v>
      </c>
      <c r="AK220" s="4">
        <f>IFERROR(VLOOKUP(Calculations[[#This Row],[Material (choose from dropdown]],MaterialData[[#Headers],[#Data]],10,FALSE),0)</f>
        <v>0</v>
      </c>
      <c r="AL220" s="322">
        <f>IFERROR(Calculations[[#This Row],[Data Quality Score]]*Calculations[[#This Row],[Total Kg]],0)</f>
        <v>0</v>
      </c>
    </row>
    <row r="221" spans="1:38" x14ac:dyDescent="0.3">
      <c r="A221" s="6">
        <f>IFERROR(MaterialsBoQ[[#This Row],[Scope Element]],0)</f>
        <v>0</v>
      </c>
      <c r="B221">
        <f>IFERROR(MaterialsBoQ[[#This Row],[Material ]],"")</f>
        <v>0</v>
      </c>
      <c r="C221">
        <f>IFERROR(MaterialsBoQ[[#This Row],[Unit]],"")</f>
        <v>0</v>
      </c>
      <c r="D221" s="322">
        <f>IFERROR(MaterialsBoQ[[#This Row],[Number]],0)</f>
        <v>0</v>
      </c>
      <c r="E221" s="322">
        <f>IFERROR(MaterialsBoQ[[#This Row],[Kg per unit]],0)</f>
        <v>0</v>
      </c>
      <c r="F221" s="322">
        <f>IFERROR(Calculations[[#This Row],[Number]]*Calculations[[#This Row],[Conversion factor]],0)</f>
        <v>0</v>
      </c>
      <c r="G221" s="322">
        <f>IFERROR(VLOOKUP(Calculations[[#This Row],[Material (choose from dropdown]],MaterialData[#All],7,FALSE),0)</f>
        <v>0</v>
      </c>
      <c r="H221" s="322">
        <f>Calculations[[#This Row],[Total Kg]]*Calculations[[#This Row],[Carbon Factor]]</f>
        <v>0</v>
      </c>
      <c r="I221" t="str">
        <f>IFERROR(VLOOKUP(Calculations[[#This Row],[Material (choose from dropdown]],MaterialData[#All],2,FALSE),"")</f>
        <v/>
      </c>
      <c r="J221" s="322">
        <f>IFERROR(((VLOOKUP(Calculations[[#This Row],[TransportSource]],TransportDistance[],2,FALSE)*'Stage assumptions'!$C$11)+VLOOKUP(Calculations[[#This Row],[TransportSource]],TransportDistance[],3,FALSE)*'Stage assumptions'!$C$12)*Calculations[[#This Row],[Total Kg]],0)</f>
        <v>0</v>
      </c>
      <c r="K221">
        <f>IFERROR(VLOOKUP(Calculations[[#This Row],[Material (choose from dropdown]], MaterialData[#All],3, FALSE),0)</f>
        <v>0</v>
      </c>
      <c r="L221" s="322">
        <f>IFERROR(VLOOKUP(Calculations[[#This Row],[A5type]],A5WastageRate[#All],2,FALSE)*Calculations[[#This Row],[A1-3]],0)</f>
        <v>0</v>
      </c>
      <c r="N221">
        <f>IFERROR(ROUNDUP(50/VLOOKUP(Calculations[[#This Row],[Scope Element]],B4referenceServiceLife[[Tier 2 element]:[Default Service Life]],2, FALSE)-1,0),0)</f>
        <v>0</v>
      </c>
      <c r="O221" s="322">
        <f>IFERROR((Calculations[[#This Row],[A1-3]]+Calculations[[#This Row],[A4]]+Calculations[[#This Row],[A5]]+Calculations[[#This Row],[C2 total]]+Calculations[[#This Row],[C3 total]]+Calculations[[#This Row],[C4 total]])*Calculations[[#This Row],[Replacements]],0)</f>
        <v>0</v>
      </c>
      <c r="S221" t="str">
        <f>IFERROR(VLOOKUP(Calculations[[#This Row],[Material (choose from dropdown]],MaterialData[#All],4,FALSE),"")</f>
        <v/>
      </c>
      <c r="T221" s="322" cm="1">
        <f t="array" ref="T221">IFERROR(VLOOKUP(Calculations[[#This Row],[Waste 1]],WasteScenario[#All],2,FALSE)*'Stage assumptions'!$C$225*WasteTransportMethod[Emissions Factor
kgCO2e/kg.km]*Calculations[[#This Row],[Total Kg]],0)</f>
        <v>0</v>
      </c>
      <c r="U221" s="322" cm="1">
        <f t="array" ref="U221">IFERROR(VLOOKUP(Calculations[[#This Row],[Waste 1]],WasteScenario[#All],3,FALSE)*'Stage assumptions'!$C$224*WasteTransportMethod[Emissions Factor
kgCO2e/kg.km]*Calculations[[#This Row],[Total Kg]],0)</f>
        <v>0</v>
      </c>
      <c r="V221" s="322" cm="1">
        <f t="array" ref="V221">IFERROR(VLOOKUP(Calculations[[#This Row],[Waste 1]],WasteScenario[#All],4,FALSE)*'Stage assumptions'!$C$223*WasteTransportMethod[Emissions Factor
kgCO2e/kg.km]*Calculations[[#This Row],[Total Kg]],0)</f>
        <v>0</v>
      </c>
      <c r="W221" s="322" cm="1">
        <f t="array" ref="W221">IFERROR(VLOOKUP(Calculations[[#This Row],[Waste 1]],WasteScenario[#All],5,FALSE)*'Stage assumptions'!$C$226*WasteTransportMethod[Emissions Factor
kgCO2e/kg.km]*Calculations[[#This Row],[Total Kg]],0)</f>
        <v>0</v>
      </c>
      <c r="X221" s="322">
        <f>SUM(Calculations[[#This Row],[C2 Recycle]:[C2 Reuse]])</f>
        <v>0</v>
      </c>
      <c r="Y221" t="str">
        <f>IFERROR(VLOOKUP(Calculations[[#This Row],[Material (choose from dropdown]],MaterialData[#All],5,FALSE),"")</f>
        <v/>
      </c>
      <c r="Z221" s="322">
        <f>IFERROR(((VLOOKUP(Calculations[[#This Row],[Waste type 2]],WasteDisposalEmissions[#All],2,FALSE))*Calculations[[#This Row],[Total Kg]])*VLOOKUP(Calculations[[#This Row],[Waste 1]],WasteScenario[#All],2,FALSE),0)</f>
        <v>0</v>
      </c>
      <c r="AA221" s="322">
        <f>IFERROR((VLOOKUP(Calculations[[#This Row],[Waste type 2]],WasteDisposalEmissions[#All],3,FALSE))*Calculations[[#This Row],[Total Kg]]*VLOOKUP(Calculations[[#This Row],[Waste 1]],WasteScenario[#All],3,FALSE),0)</f>
        <v>0</v>
      </c>
      <c r="AB221" s="322">
        <f>SUM(Calculations[[#This Row],[C3 recyc]:[C3 incin]])</f>
        <v>0</v>
      </c>
      <c r="AC221" s="334">
        <f>IFERROR((VLOOKUP(Calculations[[#This Row],[Waste type 2]],WasteLandfillEmissions[#All],2,FALSE))*Calculations[[#This Row],[Total Kg]]*VLOOKUP(Calculations[[#This Row],[Waste 1]],WasteScenario[#All],4,FALSE),0)</f>
        <v>0</v>
      </c>
      <c r="AD221" s="322">
        <f>IFERROR((VLOOKUP(Calculations[[#This Row],[Waste type 2]],WasteLandfillEmissions[#All],3,FALSE))*Calculations[[#This Row],[Total Kg]]*VLOOKUP(Calculations[[#This Row],[Waste 1]],WasteScenario[#All],4,FALSE),0)</f>
        <v>0</v>
      </c>
      <c r="AE221" s="322">
        <f>SUM(Calculations[[#This Row],[C4 landfill]:[C4 re-use]])</f>
        <v>0</v>
      </c>
      <c r="AF221" s="322">
        <f>IFERROR(VLOOKUP(Calculations[[#This Row],[Material (choose from dropdown]],MaterialData[#All],8,FALSE),0)</f>
        <v>0</v>
      </c>
      <c r="AG221" s="322">
        <f>IFERROR(Calculations[[#This Row],[Total Kg]]*Calculations[[#This Row],[Seq factor]],0)</f>
        <v>0</v>
      </c>
      <c r="AI221" s="322">
        <f>Calculations[[#This Row],[A1-3]]+Calculations[[#This Row],[A4]]+Calculations[[#This Row],[A5]]+Calculations[[#This Row],[B4]]+Calculations[[#This Row],[C2 total]]+Calculations[[#This Row],[C3 total]]+Calculations[[#This Row],[C4 total]]</f>
        <v>0</v>
      </c>
      <c r="AJ221" s="2">
        <f>IFERROR(VLOOKUP(Calculations[[#This Row],[Material (choose from dropdown]],MaterialData[[#Headers],[#Data]],9,FALSE),0)</f>
        <v>0</v>
      </c>
      <c r="AK221" s="4">
        <f>IFERROR(VLOOKUP(Calculations[[#This Row],[Material (choose from dropdown]],MaterialData[[#Headers],[#Data]],10,FALSE),0)</f>
        <v>0</v>
      </c>
      <c r="AL221" s="322">
        <f>IFERROR(Calculations[[#This Row],[Data Quality Score]]*Calculations[[#This Row],[Total Kg]],0)</f>
        <v>0</v>
      </c>
    </row>
    <row r="222" spans="1:38" x14ac:dyDescent="0.3">
      <c r="A222" s="6">
        <f>IFERROR(MaterialsBoQ[[#This Row],[Scope Element]],0)</f>
        <v>0</v>
      </c>
      <c r="B222">
        <f>IFERROR(MaterialsBoQ[[#This Row],[Material ]],"")</f>
        <v>0</v>
      </c>
      <c r="C222">
        <f>IFERROR(MaterialsBoQ[[#This Row],[Unit]],"")</f>
        <v>0</v>
      </c>
      <c r="D222" s="322">
        <f>IFERROR(MaterialsBoQ[[#This Row],[Number]],0)</f>
        <v>0</v>
      </c>
      <c r="E222" s="322">
        <f>IFERROR(MaterialsBoQ[[#This Row],[Kg per unit]],0)</f>
        <v>0</v>
      </c>
      <c r="F222" s="322">
        <f>IFERROR(Calculations[[#This Row],[Number]]*Calculations[[#This Row],[Conversion factor]],0)</f>
        <v>0</v>
      </c>
      <c r="G222" s="322">
        <f>IFERROR(VLOOKUP(Calculations[[#This Row],[Material (choose from dropdown]],MaterialData[#All],7,FALSE),0)</f>
        <v>0</v>
      </c>
      <c r="H222" s="322">
        <f>Calculations[[#This Row],[Total Kg]]*Calculations[[#This Row],[Carbon Factor]]</f>
        <v>0</v>
      </c>
      <c r="I222" t="str">
        <f>IFERROR(VLOOKUP(Calculations[[#This Row],[Material (choose from dropdown]],MaterialData[#All],2,FALSE),"")</f>
        <v/>
      </c>
      <c r="J222" s="322">
        <f>IFERROR(((VLOOKUP(Calculations[[#This Row],[TransportSource]],TransportDistance[],2,FALSE)*'Stage assumptions'!$C$11)+VLOOKUP(Calculations[[#This Row],[TransportSource]],TransportDistance[],3,FALSE)*'Stage assumptions'!$C$12)*Calculations[[#This Row],[Total Kg]],0)</f>
        <v>0</v>
      </c>
      <c r="K222">
        <f>IFERROR(VLOOKUP(Calculations[[#This Row],[Material (choose from dropdown]], MaterialData[#All],3, FALSE),0)</f>
        <v>0</v>
      </c>
      <c r="L222" s="322">
        <f>IFERROR(VLOOKUP(Calculations[[#This Row],[A5type]],A5WastageRate[#All],2,FALSE)*Calculations[[#This Row],[A1-3]],0)</f>
        <v>0</v>
      </c>
      <c r="N222">
        <f>IFERROR(ROUNDUP(50/VLOOKUP(Calculations[[#This Row],[Scope Element]],B4referenceServiceLife[[Tier 2 element]:[Default Service Life]],2, FALSE)-1,0),0)</f>
        <v>0</v>
      </c>
      <c r="O222" s="322">
        <f>IFERROR((Calculations[[#This Row],[A1-3]]+Calculations[[#This Row],[A4]]+Calculations[[#This Row],[A5]]+Calculations[[#This Row],[C2 total]]+Calculations[[#This Row],[C3 total]]+Calculations[[#This Row],[C4 total]])*Calculations[[#This Row],[Replacements]],0)</f>
        <v>0</v>
      </c>
      <c r="S222" t="str">
        <f>IFERROR(VLOOKUP(Calculations[[#This Row],[Material (choose from dropdown]],MaterialData[#All],4,FALSE),"")</f>
        <v/>
      </c>
      <c r="T222" s="322" cm="1">
        <f t="array" ref="T222">IFERROR(VLOOKUP(Calculations[[#This Row],[Waste 1]],WasteScenario[#All],2,FALSE)*'Stage assumptions'!$C$225*WasteTransportMethod[Emissions Factor
kgCO2e/kg.km]*Calculations[[#This Row],[Total Kg]],0)</f>
        <v>0</v>
      </c>
      <c r="U222" s="322" cm="1">
        <f t="array" ref="U222">IFERROR(VLOOKUP(Calculations[[#This Row],[Waste 1]],WasteScenario[#All],3,FALSE)*'Stage assumptions'!$C$224*WasteTransportMethod[Emissions Factor
kgCO2e/kg.km]*Calculations[[#This Row],[Total Kg]],0)</f>
        <v>0</v>
      </c>
      <c r="V222" s="322" cm="1">
        <f t="array" ref="V222">IFERROR(VLOOKUP(Calculations[[#This Row],[Waste 1]],WasteScenario[#All],4,FALSE)*'Stage assumptions'!$C$223*WasteTransportMethod[Emissions Factor
kgCO2e/kg.km]*Calculations[[#This Row],[Total Kg]],0)</f>
        <v>0</v>
      </c>
      <c r="W222" s="322" cm="1">
        <f t="array" ref="W222">IFERROR(VLOOKUP(Calculations[[#This Row],[Waste 1]],WasteScenario[#All],5,FALSE)*'Stage assumptions'!$C$226*WasteTransportMethod[Emissions Factor
kgCO2e/kg.km]*Calculations[[#This Row],[Total Kg]],0)</f>
        <v>0</v>
      </c>
      <c r="X222" s="322">
        <f>SUM(Calculations[[#This Row],[C2 Recycle]:[C2 Reuse]])</f>
        <v>0</v>
      </c>
      <c r="Y222" t="str">
        <f>IFERROR(VLOOKUP(Calculations[[#This Row],[Material (choose from dropdown]],MaterialData[#All],5,FALSE),"")</f>
        <v/>
      </c>
      <c r="Z222" s="322">
        <f>IFERROR(((VLOOKUP(Calculations[[#This Row],[Waste type 2]],WasteDisposalEmissions[#All],2,FALSE))*Calculations[[#This Row],[Total Kg]])*VLOOKUP(Calculations[[#This Row],[Waste 1]],WasteScenario[#All],2,FALSE),0)</f>
        <v>0</v>
      </c>
      <c r="AA222" s="322">
        <f>IFERROR((VLOOKUP(Calculations[[#This Row],[Waste type 2]],WasteDisposalEmissions[#All],3,FALSE))*Calculations[[#This Row],[Total Kg]]*VLOOKUP(Calculations[[#This Row],[Waste 1]],WasteScenario[#All],3,FALSE),0)</f>
        <v>0</v>
      </c>
      <c r="AB222" s="322">
        <f>SUM(Calculations[[#This Row],[C3 recyc]:[C3 incin]])</f>
        <v>0</v>
      </c>
      <c r="AC222" s="334">
        <f>IFERROR((VLOOKUP(Calculations[[#This Row],[Waste type 2]],WasteLandfillEmissions[#All],2,FALSE))*Calculations[[#This Row],[Total Kg]]*VLOOKUP(Calculations[[#This Row],[Waste 1]],WasteScenario[#All],4,FALSE),0)</f>
        <v>0</v>
      </c>
      <c r="AD222" s="322">
        <f>IFERROR((VLOOKUP(Calculations[[#This Row],[Waste type 2]],WasteLandfillEmissions[#All],3,FALSE))*Calculations[[#This Row],[Total Kg]]*VLOOKUP(Calculations[[#This Row],[Waste 1]],WasteScenario[#All],4,FALSE),0)</f>
        <v>0</v>
      </c>
      <c r="AE222" s="322">
        <f>SUM(Calculations[[#This Row],[C4 landfill]:[C4 re-use]])</f>
        <v>0</v>
      </c>
      <c r="AF222" s="322">
        <f>IFERROR(VLOOKUP(Calculations[[#This Row],[Material (choose from dropdown]],MaterialData[#All],8,FALSE),0)</f>
        <v>0</v>
      </c>
      <c r="AG222" s="322">
        <f>IFERROR(Calculations[[#This Row],[Total Kg]]*Calculations[[#This Row],[Seq factor]],0)</f>
        <v>0</v>
      </c>
      <c r="AI222" s="322">
        <f>Calculations[[#This Row],[A1-3]]+Calculations[[#This Row],[A4]]+Calculations[[#This Row],[A5]]+Calculations[[#This Row],[B4]]+Calculations[[#This Row],[C2 total]]+Calculations[[#This Row],[C3 total]]+Calculations[[#This Row],[C4 total]]</f>
        <v>0</v>
      </c>
      <c r="AJ222" s="2">
        <f>IFERROR(VLOOKUP(Calculations[[#This Row],[Material (choose from dropdown]],MaterialData[[#Headers],[#Data]],9,FALSE),0)</f>
        <v>0</v>
      </c>
      <c r="AK222" s="4">
        <f>IFERROR(VLOOKUP(Calculations[[#This Row],[Material (choose from dropdown]],MaterialData[[#Headers],[#Data]],10,FALSE),0)</f>
        <v>0</v>
      </c>
      <c r="AL222" s="322">
        <f>IFERROR(Calculations[[#This Row],[Data Quality Score]]*Calculations[[#This Row],[Total Kg]],0)</f>
        <v>0</v>
      </c>
    </row>
    <row r="223" spans="1:38" x14ac:dyDescent="0.3">
      <c r="A223" s="6">
        <f>IFERROR(MaterialsBoQ[[#This Row],[Scope Element]],0)</f>
        <v>0</v>
      </c>
      <c r="B223">
        <f>IFERROR(MaterialsBoQ[[#This Row],[Material ]],"")</f>
        <v>0</v>
      </c>
      <c r="C223">
        <f>IFERROR(MaterialsBoQ[[#This Row],[Unit]],"")</f>
        <v>0</v>
      </c>
      <c r="D223" s="322">
        <f>IFERROR(MaterialsBoQ[[#This Row],[Number]],0)</f>
        <v>0</v>
      </c>
      <c r="E223" s="322">
        <f>IFERROR(MaterialsBoQ[[#This Row],[Kg per unit]],0)</f>
        <v>0</v>
      </c>
      <c r="F223" s="322">
        <f>IFERROR(Calculations[[#This Row],[Number]]*Calculations[[#This Row],[Conversion factor]],0)</f>
        <v>0</v>
      </c>
      <c r="G223" s="322">
        <f>IFERROR(VLOOKUP(Calculations[[#This Row],[Material (choose from dropdown]],MaterialData[#All],7,FALSE),0)</f>
        <v>0</v>
      </c>
      <c r="H223" s="322">
        <f>Calculations[[#This Row],[Total Kg]]*Calculations[[#This Row],[Carbon Factor]]</f>
        <v>0</v>
      </c>
      <c r="I223" t="str">
        <f>IFERROR(VLOOKUP(Calculations[[#This Row],[Material (choose from dropdown]],MaterialData[#All],2,FALSE),"")</f>
        <v/>
      </c>
      <c r="J223" s="322">
        <f>IFERROR(((VLOOKUP(Calculations[[#This Row],[TransportSource]],TransportDistance[],2,FALSE)*'Stage assumptions'!$C$11)+VLOOKUP(Calculations[[#This Row],[TransportSource]],TransportDistance[],3,FALSE)*'Stage assumptions'!$C$12)*Calculations[[#This Row],[Total Kg]],0)</f>
        <v>0</v>
      </c>
      <c r="K223">
        <f>IFERROR(VLOOKUP(Calculations[[#This Row],[Material (choose from dropdown]], MaterialData[#All],3, FALSE),0)</f>
        <v>0</v>
      </c>
      <c r="L223" s="322">
        <f>IFERROR(VLOOKUP(Calculations[[#This Row],[A5type]],A5WastageRate[#All],2,FALSE)*Calculations[[#This Row],[A1-3]],0)</f>
        <v>0</v>
      </c>
      <c r="N223">
        <f>IFERROR(ROUNDUP(50/VLOOKUP(Calculations[[#This Row],[Scope Element]],B4referenceServiceLife[[Tier 2 element]:[Default Service Life]],2, FALSE)-1,0),0)</f>
        <v>0</v>
      </c>
      <c r="O223" s="322">
        <f>IFERROR((Calculations[[#This Row],[A1-3]]+Calculations[[#This Row],[A4]]+Calculations[[#This Row],[A5]]+Calculations[[#This Row],[C2 total]]+Calculations[[#This Row],[C3 total]]+Calculations[[#This Row],[C4 total]])*Calculations[[#This Row],[Replacements]],0)</f>
        <v>0</v>
      </c>
      <c r="S223" t="str">
        <f>IFERROR(VLOOKUP(Calculations[[#This Row],[Material (choose from dropdown]],MaterialData[#All],4,FALSE),"")</f>
        <v/>
      </c>
      <c r="T223" s="322" cm="1">
        <f t="array" ref="T223">IFERROR(VLOOKUP(Calculations[[#This Row],[Waste 1]],WasteScenario[#All],2,FALSE)*'Stage assumptions'!$C$225*WasteTransportMethod[Emissions Factor
kgCO2e/kg.km]*Calculations[[#This Row],[Total Kg]],0)</f>
        <v>0</v>
      </c>
      <c r="U223" s="322" cm="1">
        <f t="array" ref="U223">IFERROR(VLOOKUP(Calculations[[#This Row],[Waste 1]],WasteScenario[#All],3,FALSE)*'Stage assumptions'!$C$224*WasteTransportMethod[Emissions Factor
kgCO2e/kg.km]*Calculations[[#This Row],[Total Kg]],0)</f>
        <v>0</v>
      </c>
      <c r="V223" s="322" cm="1">
        <f t="array" ref="V223">IFERROR(VLOOKUP(Calculations[[#This Row],[Waste 1]],WasteScenario[#All],4,FALSE)*'Stage assumptions'!$C$223*WasteTransportMethod[Emissions Factor
kgCO2e/kg.km]*Calculations[[#This Row],[Total Kg]],0)</f>
        <v>0</v>
      </c>
      <c r="W223" s="322" cm="1">
        <f t="array" ref="W223">IFERROR(VLOOKUP(Calculations[[#This Row],[Waste 1]],WasteScenario[#All],5,FALSE)*'Stage assumptions'!$C$226*WasteTransportMethod[Emissions Factor
kgCO2e/kg.km]*Calculations[[#This Row],[Total Kg]],0)</f>
        <v>0</v>
      </c>
      <c r="X223" s="322">
        <f>SUM(Calculations[[#This Row],[C2 Recycle]:[C2 Reuse]])</f>
        <v>0</v>
      </c>
      <c r="Y223" t="str">
        <f>IFERROR(VLOOKUP(Calculations[[#This Row],[Material (choose from dropdown]],MaterialData[#All],5,FALSE),"")</f>
        <v/>
      </c>
      <c r="Z223" s="322">
        <f>IFERROR(((VLOOKUP(Calculations[[#This Row],[Waste type 2]],WasteDisposalEmissions[#All],2,FALSE))*Calculations[[#This Row],[Total Kg]])*VLOOKUP(Calculations[[#This Row],[Waste 1]],WasteScenario[#All],2,FALSE),0)</f>
        <v>0</v>
      </c>
      <c r="AA223" s="322">
        <f>IFERROR((VLOOKUP(Calculations[[#This Row],[Waste type 2]],WasteDisposalEmissions[#All],3,FALSE))*Calculations[[#This Row],[Total Kg]]*VLOOKUP(Calculations[[#This Row],[Waste 1]],WasteScenario[#All],3,FALSE),0)</f>
        <v>0</v>
      </c>
      <c r="AB223" s="322">
        <f>SUM(Calculations[[#This Row],[C3 recyc]:[C3 incin]])</f>
        <v>0</v>
      </c>
      <c r="AC223" s="334">
        <f>IFERROR((VLOOKUP(Calculations[[#This Row],[Waste type 2]],WasteLandfillEmissions[#All],2,FALSE))*Calculations[[#This Row],[Total Kg]]*VLOOKUP(Calculations[[#This Row],[Waste 1]],WasteScenario[#All],4,FALSE),0)</f>
        <v>0</v>
      </c>
      <c r="AD223" s="322">
        <f>IFERROR((VLOOKUP(Calculations[[#This Row],[Waste type 2]],WasteLandfillEmissions[#All],3,FALSE))*Calculations[[#This Row],[Total Kg]]*VLOOKUP(Calculations[[#This Row],[Waste 1]],WasteScenario[#All],4,FALSE),0)</f>
        <v>0</v>
      </c>
      <c r="AE223" s="322">
        <f>SUM(Calculations[[#This Row],[C4 landfill]:[C4 re-use]])</f>
        <v>0</v>
      </c>
      <c r="AF223" s="322">
        <f>IFERROR(VLOOKUP(Calculations[[#This Row],[Material (choose from dropdown]],MaterialData[#All],8,FALSE),0)</f>
        <v>0</v>
      </c>
      <c r="AG223" s="322">
        <f>IFERROR(Calculations[[#This Row],[Total Kg]]*Calculations[[#This Row],[Seq factor]],0)</f>
        <v>0</v>
      </c>
      <c r="AI223" s="322">
        <f>Calculations[[#This Row],[A1-3]]+Calculations[[#This Row],[A4]]+Calculations[[#This Row],[A5]]+Calculations[[#This Row],[B4]]+Calculations[[#This Row],[C2 total]]+Calculations[[#This Row],[C3 total]]+Calculations[[#This Row],[C4 total]]</f>
        <v>0</v>
      </c>
      <c r="AJ223" s="2">
        <f>IFERROR(VLOOKUP(Calculations[[#This Row],[Material (choose from dropdown]],MaterialData[[#Headers],[#Data]],9,FALSE),0)</f>
        <v>0</v>
      </c>
      <c r="AK223" s="4">
        <f>IFERROR(VLOOKUP(Calculations[[#This Row],[Material (choose from dropdown]],MaterialData[[#Headers],[#Data]],10,FALSE),0)</f>
        <v>0</v>
      </c>
      <c r="AL223" s="322">
        <f>IFERROR(Calculations[[#This Row],[Data Quality Score]]*Calculations[[#This Row],[Total Kg]],0)</f>
        <v>0</v>
      </c>
    </row>
    <row r="224" spans="1:38" x14ac:dyDescent="0.3">
      <c r="A224" s="6">
        <f>IFERROR(MaterialsBoQ[[#This Row],[Scope Element]],0)</f>
        <v>0</v>
      </c>
      <c r="B224">
        <f>IFERROR(MaterialsBoQ[[#This Row],[Material ]],"")</f>
        <v>0</v>
      </c>
      <c r="C224">
        <f>IFERROR(MaterialsBoQ[[#This Row],[Unit]],"")</f>
        <v>0</v>
      </c>
      <c r="D224" s="322">
        <f>IFERROR(MaterialsBoQ[[#This Row],[Number]],0)</f>
        <v>0</v>
      </c>
      <c r="E224" s="322">
        <f>IFERROR(MaterialsBoQ[[#This Row],[Kg per unit]],0)</f>
        <v>0</v>
      </c>
      <c r="F224" s="322">
        <f>IFERROR(Calculations[[#This Row],[Number]]*Calculations[[#This Row],[Conversion factor]],0)</f>
        <v>0</v>
      </c>
      <c r="G224" s="322">
        <f>IFERROR(VLOOKUP(Calculations[[#This Row],[Material (choose from dropdown]],MaterialData[#All],7,FALSE),0)</f>
        <v>0</v>
      </c>
      <c r="H224" s="322">
        <f>Calculations[[#This Row],[Total Kg]]*Calculations[[#This Row],[Carbon Factor]]</f>
        <v>0</v>
      </c>
      <c r="I224" t="str">
        <f>IFERROR(VLOOKUP(Calculations[[#This Row],[Material (choose from dropdown]],MaterialData[#All],2,FALSE),"")</f>
        <v/>
      </c>
      <c r="J224" s="322">
        <f>IFERROR(((VLOOKUP(Calculations[[#This Row],[TransportSource]],TransportDistance[],2,FALSE)*'Stage assumptions'!$C$11)+VLOOKUP(Calculations[[#This Row],[TransportSource]],TransportDistance[],3,FALSE)*'Stage assumptions'!$C$12)*Calculations[[#This Row],[Total Kg]],0)</f>
        <v>0</v>
      </c>
      <c r="K224">
        <f>IFERROR(VLOOKUP(Calculations[[#This Row],[Material (choose from dropdown]], MaterialData[#All],3, FALSE),0)</f>
        <v>0</v>
      </c>
      <c r="L224" s="322">
        <f>IFERROR(VLOOKUP(Calculations[[#This Row],[A5type]],A5WastageRate[#All],2,FALSE)*Calculations[[#This Row],[A1-3]],0)</f>
        <v>0</v>
      </c>
      <c r="N224">
        <f>IFERROR(ROUNDUP(50/VLOOKUP(Calculations[[#This Row],[Scope Element]],B4referenceServiceLife[[Tier 2 element]:[Default Service Life]],2, FALSE)-1,0),0)</f>
        <v>0</v>
      </c>
      <c r="O224" s="322">
        <f>IFERROR((Calculations[[#This Row],[A1-3]]+Calculations[[#This Row],[A4]]+Calculations[[#This Row],[A5]]+Calculations[[#This Row],[C2 total]]+Calculations[[#This Row],[C3 total]]+Calculations[[#This Row],[C4 total]])*Calculations[[#This Row],[Replacements]],0)</f>
        <v>0</v>
      </c>
      <c r="S224" t="str">
        <f>IFERROR(VLOOKUP(Calculations[[#This Row],[Material (choose from dropdown]],MaterialData[#All],4,FALSE),"")</f>
        <v/>
      </c>
      <c r="T224" s="322" cm="1">
        <f t="array" ref="T224">IFERROR(VLOOKUP(Calculations[[#This Row],[Waste 1]],WasteScenario[#All],2,FALSE)*'Stage assumptions'!$C$225*WasteTransportMethod[Emissions Factor
kgCO2e/kg.km]*Calculations[[#This Row],[Total Kg]],0)</f>
        <v>0</v>
      </c>
      <c r="U224" s="322" cm="1">
        <f t="array" ref="U224">IFERROR(VLOOKUP(Calculations[[#This Row],[Waste 1]],WasteScenario[#All],3,FALSE)*'Stage assumptions'!$C$224*WasteTransportMethod[Emissions Factor
kgCO2e/kg.km]*Calculations[[#This Row],[Total Kg]],0)</f>
        <v>0</v>
      </c>
      <c r="V224" s="322" cm="1">
        <f t="array" ref="V224">IFERROR(VLOOKUP(Calculations[[#This Row],[Waste 1]],WasteScenario[#All],4,FALSE)*'Stage assumptions'!$C$223*WasteTransportMethod[Emissions Factor
kgCO2e/kg.km]*Calculations[[#This Row],[Total Kg]],0)</f>
        <v>0</v>
      </c>
      <c r="W224" s="322" cm="1">
        <f t="array" ref="W224">IFERROR(VLOOKUP(Calculations[[#This Row],[Waste 1]],WasteScenario[#All],5,FALSE)*'Stage assumptions'!$C$226*WasteTransportMethod[Emissions Factor
kgCO2e/kg.km]*Calculations[[#This Row],[Total Kg]],0)</f>
        <v>0</v>
      </c>
      <c r="X224" s="322">
        <f>SUM(Calculations[[#This Row],[C2 Recycle]:[C2 Reuse]])</f>
        <v>0</v>
      </c>
      <c r="Y224" t="str">
        <f>IFERROR(VLOOKUP(Calculations[[#This Row],[Material (choose from dropdown]],MaterialData[#All],5,FALSE),"")</f>
        <v/>
      </c>
      <c r="Z224" s="322">
        <f>IFERROR(((VLOOKUP(Calculations[[#This Row],[Waste type 2]],WasteDisposalEmissions[#All],2,FALSE))*Calculations[[#This Row],[Total Kg]])*VLOOKUP(Calculations[[#This Row],[Waste 1]],WasteScenario[#All],2,FALSE),0)</f>
        <v>0</v>
      </c>
      <c r="AA224" s="322">
        <f>IFERROR((VLOOKUP(Calculations[[#This Row],[Waste type 2]],WasteDisposalEmissions[#All],3,FALSE))*Calculations[[#This Row],[Total Kg]]*VLOOKUP(Calculations[[#This Row],[Waste 1]],WasteScenario[#All],3,FALSE),0)</f>
        <v>0</v>
      </c>
      <c r="AB224" s="322">
        <f>SUM(Calculations[[#This Row],[C3 recyc]:[C3 incin]])</f>
        <v>0</v>
      </c>
      <c r="AC224" s="334">
        <f>IFERROR((VLOOKUP(Calculations[[#This Row],[Waste type 2]],WasteLandfillEmissions[#All],2,FALSE))*Calculations[[#This Row],[Total Kg]]*VLOOKUP(Calculations[[#This Row],[Waste 1]],WasteScenario[#All],4,FALSE),0)</f>
        <v>0</v>
      </c>
      <c r="AD224" s="322">
        <f>IFERROR((VLOOKUP(Calculations[[#This Row],[Waste type 2]],WasteLandfillEmissions[#All],3,FALSE))*Calculations[[#This Row],[Total Kg]]*VLOOKUP(Calculations[[#This Row],[Waste 1]],WasteScenario[#All],4,FALSE),0)</f>
        <v>0</v>
      </c>
      <c r="AE224" s="322">
        <f>SUM(Calculations[[#This Row],[C4 landfill]:[C4 re-use]])</f>
        <v>0</v>
      </c>
      <c r="AF224" s="322">
        <f>IFERROR(VLOOKUP(Calculations[[#This Row],[Material (choose from dropdown]],MaterialData[#All],8,FALSE),0)</f>
        <v>0</v>
      </c>
      <c r="AG224" s="322">
        <f>IFERROR(Calculations[[#This Row],[Total Kg]]*Calculations[[#This Row],[Seq factor]],0)</f>
        <v>0</v>
      </c>
      <c r="AI224" s="322">
        <f>Calculations[[#This Row],[A1-3]]+Calculations[[#This Row],[A4]]+Calculations[[#This Row],[A5]]+Calculations[[#This Row],[B4]]+Calculations[[#This Row],[C2 total]]+Calculations[[#This Row],[C3 total]]+Calculations[[#This Row],[C4 total]]</f>
        <v>0</v>
      </c>
      <c r="AJ224" s="2">
        <f>IFERROR(VLOOKUP(Calculations[[#This Row],[Material (choose from dropdown]],MaterialData[[#Headers],[#Data]],9,FALSE),0)</f>
        <v>0</v>
      </c>
      <c r="AK224" s="4">
        <f>IFERROR(VLOOKUP(Calculations[[#This Row],[Material (choose from dropdown]],MaterialData[[#Headers],[#Data]],10,FALSE),0)</f>
        <v>0</v>
      </c>
      <c r="AL224" s="322">
        <f>IFERROR(Calculations[[#This Row],[Data Quality Score]]*Calculations[[#This Row],[Total Kg]],0)</f>
        <v>0</v>
      </c>
    </row>
    <row r="225" spans="1:38" x14ac:dyDescent="0.3">
      <c r="A225" s="6">
        <f>IFERROR(MaterialsBoQ[[#This Row],[Scope Element]],0)</f>
        <v>0</v>
      </c>
      <c r="B225">
        <f>IFERROR(MaterialsBoQ[[#This Row],[Material ]],"")</f>
        <v>0</v>
      </c>
      <c r="C225">
        <f>IFERROR(MaterialsBoQ[[#This Row],[Unit]],"")</f>
        <v>0</v>
      </c>
      <c r="D225" s="322">
        <f>IFERROR(MaterialsBoQ[[#This Row],[Number]],0)</f>
        <v>0</v>
      </c>
      <c r="E225" s="322">
        <f>IFERROR(MaterialsBoQ[[#This Row],[Kg per unit]],0)</f>
        <v>0</v>
      </c>
      <c r="F225" s="322">
        <f>IFERROR(Calculations[[#This Row],[Number]]*Calculations[[#This Row],[Conversion factor]],0)</f>
        <v>0</v>
      </c>
      <c r="G225" s="322">
        <f>IFERROR(VLOOKUP(Calculations[[#This Row],[Material (choose from dropdown]],MaterialData[#All],7,FALSE),0)</f>
        <v>0</v>
      </c>
      <c r="H225" s="322">
        <f>Calculations[[#This Row],[Total Kg]]*Calculations[[#This Row],[Carbon Factor]]</f>
        <v>0</v>
      </c>
      <c r="I225" t="str">
        <f>IFERROR(VLOOKUP(Calculations[[#This Row],[Material (choose from dropdown]],MaterialData[#All],2,FALSE),"")</f>
        <v/>
      </c>
      <c r="J225" s="322">
        <f>IFERROR(((VLOOKUP(Calculations[[#This Row],[TransportSource]],TransportDistance[],2,FALSE)*'Stage assumptions'!$C$11)+VLOOKUP(Calculations[[#This Row],[TransportSource]],TransportDistance[],3,FALSE)*'Stage assumptions'!$C$12)*Calculations[[#This Row],[Total Kg]],0)</f>
        <v>0</v>
      </c>
      <c r="K225">
        <f>IFERROR(VLOOKUP(Calculations[[#This Row],[Material (choose from dropdown]], MaterialData[#All],3, FALSE),0)</f>
        <v>0</v>
      </c>
      <c r="L225" s="322">
        <f>IFERROR(VLOOKUP(Calculations[[#This Row],[A5type]],A5WastageRate[#All],2,FALSE)*Calculations[[#This Row],[A1-3]],0)</f>
        <v>0</v>
      </c>
      <c r="N225">
        <f>IFERROR(ROUNDUP(50/VLOOKUP(Calculations[[#This Row],[Scope Element]],B4referenceServiceLife[[Tier 2 element]:[Default Service Life]],2, FALSE)-1,0),0)</f>
        <v>0</v>
      </c>
      <c r="O225" s="322">
        <f>IFERROR((Calculations[[#This Row],[A1-3]]+Calculations[[#This Row],[A4]]+Calculations[[#This Row],[A5]]+Calculations[[#This Row],[C2 total]]+Calculations[[#This Row],[C3 total]]+Calculations[[#This Row],[C4 total]])*Calculations[[#This Row],[Replacements]],0)</f>
        <v>0</v>
      </c>
      <c r="S225" t="str">
        <f>IFERROR(VLOOKUP(Calculations[[#This Row],[Material (choose from dropdown]],MaterialData[#All],4,FALSE),"")</f>
        <v/>
      </c>
      <c r="T225" s="322" cm="1">
        <f t="array" ref="T225">IFERROR(VLOOKUP(Calculations[[#This Row],[Waste 1]],WasteScenario[#All],2,FALSE)*'Stage assumptions'!$C$225*WasteTransportMethod[Emissions Factor
kgCO2e/kg.km]*Calculations[[#This Row],[Total Kg]],0)</f>
        <v>0</v>
      </c>
      <c r="U225" s="322" cm="1">
        <f t="array" ref="U225">IFERROR(VLOOKUP(Calculations[[#This Row],[Waste 1]],WasteScenario[#All],3,FALSE)*'Stage assumptions'!$C$224*WasteTransportMethod[Emissions Factor
kgCO2e/kg.km]*Calculations[[#This Row],[Total Kg]],0)</f>
        <v>0</v>
      </c>
      <c r="V225" s="322" cm="1">
        <f t="array" ref="V225">IFERROR(VLOOKUP(Calculations[[#This Row],[Waste 1]],WasteScenario[#All],4,FALSE)*'Stage assumptions'!$C$223*WasteTransportMethod[Emissions Factor
kgCO2e/kg.km]*Calculations[[#This Row],[Total Kg]],0)</f>
        <v>0</v>
      </c>
      <c r="W225" s="322" cm="1">
        <f t="array" ref="W225">IFERROR(VLOOKUP(Calculations[[#This Row],[Waste 1]],WasteScenario[#All],5,FALSE)*'Stage assumptions'!$C$226*WasteTransportMethod[Emissions Factor
kgCO2e/kg.km]*Calculations[[#This Row],[Total Kg]],0)</f>
        <v>0</v>
      </c>
      <c r="X225" s="322">
        <f>SUM(Calculations[[#This Row],[C2 Recycle]:[C2 Reuse]])</f>
        <v>0</v>
      </c>
      <c r="Y225" t="str">
        <f>IFERROR(VLOOKUP(Calculations[[#This Row],[Material (choose from dropdown]],MaterialData[#All],5,FALSE),"")</f>
        <v/>
      </c>
      <c r="Z225" s="322">
        <f>IFERROR(((VLOOKUP(Calculations[[#This Row],[Waste type 2]],WasteDisposalEmissions[#All],2,FALSE))*Calculations[[#This Row],[Total Kg]])*VLOOKUP(Calculations[[#This Row],[Waste 1]],WasteScenario[#All],2,FALSE),0)</f>
        <v>0</v>
      </c>
      <c r="AA225" s="322">
        <f>IFERROR((VLOOKUP(Calculations[[#This Row],[Waste type 2]],WasteDisposalEmissions[#All],3,FALSE))*Calculations[[#This Row],[Total Kg]]*VLOOKUP(Calculations[[#This Row],[Waste 1]],WasteScenario[#All],3,FALSE),0)</f>
        <v>0</v>
      </c>
      <c r="AB225" s="322">
        <f>SUM(Calculations[[#This Row],[C3 recyc]:[C3 incin]])</f>
        <v>0</v>
      </c>
      <c r="AC225" s="334">
        <f>IFERROR((VLOOKUP(Calculations[[#This Row],[Waste type 2]],WasteLandfillEmissions[#All],2,FALSE))*Calculations[[#This Row],[Total Kg]]*VLOOKUP(Calculations[[#This Row],[Waste 1]],WasteScenario[#All],4,FALSE),0)</f>
        <v>0</v>
      </c>
      <c r="AD225" s="322">
        <f>IFERROR((VLOOKUP(Calculations[[#This Row],[Waste type 2]],WasteLandfillEmissions[#All],3,FALSE))*Calculations[[#This Row],[Total Kg]]*VLOOKUP(Calculations[[#This Row],[Waste 1]],WasteScenario[#All],4,FALSE),0)</f>
        <v>0</v>
      </c>
      <c r="AE225" s="322">
        <f>SUM(Calculations[[#This Row],[C4 landfill]:[C4 re-use]])</f>
        <v>0</v>
      </c>
      <c r="AF225" s="322">
        <f>IFERROR(VLOOKUP(Calculations[[#This Row],[Material (choose from dropdown]],MaterialData[#All],8,FALSE),0)</f>
        <v>0</v>
      </c>
      <c r="AG225" s="322">
        <f>IFERROR(Calculations[[#This Row],[Total Kg]]*Calculations[[#This Row],[Seq factor]],0)</f>
        <v>0</v>
      </c>
      <c r="AI225" s="322">
        <f>Calculations[[#This Row],[A1-3]]+Calculations[[#This Row],[A4]]+Calculations[[#This Row],[A5]]+Calculations[[#This Row],[B4]]+Calculations[[#This Row],[C2 total]]+Calculations[[#This Row],[C3 total]]+Calculations[[#This Row],[C4 total]]</f>
        <v>0</v>
      </c>
      <c r="AJ225" s="2">
        <f>IFERROR(VLOOKUP(Calculations[[#This Row],[Material (choose from dropdown]],MaterialData[[#Headers],[#Data]],9,FALSE),0)</f>
        <v>0</v>
      </c>
      <c r="AK225" s="4">
        <f>IFERROR(VLOOKUP(Calculations[[#This Row],[Material (choose from dropdown]],MaterialData[[#Headers],[#Data]],10,FALSE),0)</f>
        <v>0</v>
      </c>
      <c r="AL225" s="322">
        <f>IFERROR(Calculations[[#This Row],[Data Quality Score]]*Calculations[[#This Row],[Total Kg]],0)</f>
        <v>0</v>
      </c>
    </row>
    <row r="226" spans="1:38" x14ac:dyDescent="0.3">
      <c r="A226" s="6">
        <f>IFERROR(MaterialsBoQ[[#This Row],[Scope Element]],0)</f>
        <v>0</v>
      </c>
      <c r="B226">
        <f>IFERROR(MaterialsBoQ[[#This Row],[Material ]],"")</f>
        <v>0</v>
      </c>
      <c r="C226">
        <f>IFERROR(MaterialsBoQ[[#This Row],[Unit]],"")</f>
        <v>0</v>
      </c>
      <c r="D226" s="322">
        <f>IFERROR(MaterialsBoQ[[#This Row],[Number]],0)</f>
        <v>0</v>
      </c>
      <c r="E226" s="322">
        <f>IFERROR(MaterialsBoQ[[#This Row],[Kg per unit]],0)</f>
        <v>0</v>
      </c>
      <c r="F226" s="322">
        <f>IFERROR(Calculations[[#This Row],[Number]]*Calculations[[#This Row],[Conversion factor]],0)</f>
        <v>0</v>
      </c>
      <c r="G226" s="322">
        <f>IFERROR(VLOOKUP(Calculations[[#This Row],[Material (choose from dropdown]],MaterialData[#All],7,FALSE),0)</f>
        <v>0</v>
      </c>
      <c r="H226" s="322">
        <f>Calculations[[#This Row],[Total Kg]]*Calculations[[#This Row],[Carbon Factor]]</f>
        <v>0</v>
      </c>
      <c r="I226" t="str">
        <f>IFERROR(VLOOKUP(Calculations[[#This Row],[Material (choose from dropdown]],MaterialData[#All],2,FALSE),"")</f>
        <v/>
      </c>
      <c r="J226" s="322">
        <f>IFERROR(((VLOOKUP(Calculations[[#This Row],[TransportSource]],TransportDistance[],2,FALSE)*'Stage assumptions'!$C$11)+VLOOKUP(Calculations[[#This Row],[TransportSource]],TransportDistance[],3,FALSE)*'Stage assumptions'!$C$12)*Calculations[[#This Row],[Total Kg]],0)</f>
        <v>0</v>
      </c>
      <c r="K226">
        <f>IFERROR(VLOOKUP(Calculations[[#This Row],[Material (choose from dropdown]], MaterialData[#All],3, FALSE),0)</f>
        <v>0</v>
      </c>
      <c r="L226" s="322">
        <f>IFERROR(VLOOKUP(Calculations[[#This Row],[A5type]],A5WastageRate[#All],2,FALSE)*Calculations[[#This Row],[A1-3]],0)</f>
        <v>0</v>
      </c>
      <c r="N226">
        <f>IFERROR(ROUNDUP(50/VLOOKUP(Calculations[[#This Row],[Scope Element]],B4referenceServiceLife[[Tier 2 element]:[Default Service Life]],2, FALSE)-1,0),0)</f>
        <v>0</v>
      </c>
      <c r="O226" s="322">
        <f>IFERROR((Calculations[[#This Row],[A1-3]]+Calculations[[#This Row],[A4]]+Calculations[[#This Row],[A5]]+Calculations[[#This Row],[C2 total]]+Calculations[[#This Row],[C3 total]]+Calculations[[#This Row],[C4 total]])*Calculations[[#This Row],[Replacements]],0)</f>
        <v>0</v>
      </c>
      <c r="S226" t="str">
        <f>IFERROR(VLOOKUP(Calculations[[#This Row],[Material (choose from dropdown]],MaterialData[#All],4,FALSE),"")</f>
        <v/>
      </c>
      <c r="T226" s="322" cm="1">
        <f t="array" ref="T226">IFERROR(VLOOKUP(Calculations[[#This Row],[Waste 1]],WasteScenario[#All],2,FALSE)*'Stage assumptions'!$C$225*WasteTransportMethod[Emissions Factor
kgCO2e/kg.km]*Calculations[[#This Row],[Total Kg]],0)</f>
        <v>0</v>
      </c>
      <c r="U226" s="322" cm="1">
        <f t="array" ref="U226">IFERROR(VLOOKUP(Calculations[[#This Row],[Waste 1]],WasteScenario[#All],3,FALSE)*'Stage assumptions'!$C$224*WasteTransportMethod[Emissions Factor
kgCO2e/kg.km]*Calculations[[#This Row],[Total Kg]],0)</f>
        <v>0</v>
      </c>
      <c r="V226" s="322" cm="1">
        <f t="array" ref="V226">IFERROR(VLOOKUP(Calculations[[#This Row],[Waste 1]],WasteScenario[#All],4,FALSE)*'Stage assumptions'!$C$223*WasteTransportMethod[Emissions Factor
kgCO2e/kg.km]*Calculations[[#This Row],[Total Kg]],0)</f>
        <v>0</v>
      </c>
      <c r="W226" s="322" cm="1">
        <f t="array" ref="W226">IFERROR(VLOOKUP(Calculations[[#This Row],[Waste 1]],WasteScenario[#All],5,FALSE)*'Stage assumptions'!$C$226*WasteTransportMethod[Emissions Factor
kgCO2e/kg.km]*Calculations[[#This Row],[Total Kg]],0)</f>
        <v>0</v>
      </c>
      <c r="X226" s="322">
        <f>SUM(Calculations[[#This Row],[C2 Recycle]:[C2 Reuse]])</f>
        <v>0</v>
      </c>
      <c r="Y226" t="str">
        <f>IFERROR(VLOOKUP(Calculations[[#This Row],[Material (choose from dropdown]],MaterialData[#All],5,FALSE),"")</f>
        <v/>
      </c>
      <c r="Z226" s="322">
        <f>IFERROR(((VLOOKUP(Calculations[[#This Row],[Waste type 2]],WasteDisposalEmissions[#All],2,FALSE))*Calculations[[#This Row],[Total Kg]])*VLOOKUP(Calculations[[#This Row],[Waste 1]],WasteScenario[#All],2,FALSE),0)</f>
        <v>0</v>
      </c>
      <c r="AA226" s="322">
        <f>IFERROR((VLOOKUP(Calculations[[#This Row],[Waste type 2]],WasteDisposalEmissions[#All],3,FALSE))*Calculations[[#This Row],[Total Kg]]*VLOOKUP(Calculations[[#This Row],[Waste 1]],WasteScenario[#All],3,FALSE),0)</f>
        <v>0</v>
      </c>
      <c r="AB226" s="322">
        <f>SUM(Calculations[[#This Row],[C3 recyc]:[C3 incin]])</f>
        <v>0</v>
      </c>
      <c r="AC226" s="334">
        <f>IFERROR((VLOOKUP(Calculations[[#This Row],[Waste type 2]],WasteLandfillEmissions[#All],2,FALSE))*Calculations[[#This Row],[Total Kg]]*VLOOKUP(Calculations[[#This Row],[Waste 1]],WasteScenario[#All],4,FALSE),0)</f>
        <v>0</v>
      </c>
      <c r="AD226" s="322">
        <f>IFERROR((VLOOKUP(Calculations[[#This Row],[Waste type 2]],WasteLandfillEmissions[#All],3,FALSE))*Calculations[[#This Row],[Total Kg]]*VLOOKUP(Calculations[[#This Row],[Waste 1]],WasteScenario[#All],4,FALSE),0)</f>
        <v>0</v>
      </c>
      <c r="AE226" s="322">
        <f>SUM(Calculations[[#This Row],[C4 landfill]:[C4 re-use]])</f>
        <v>0</v>
      </c>
      <c r="AF226" s="322">
        <f>IFERROR(VLOOKUP(Calculations[[#This Row],[Material (choose from dropdown]],MaterialData[#All],8,FALSE),0)</f>
        <v>0</v>
      </c>
      <c r="AG226" s="322">
        <f>IFERROR(Calculations[[#This Row],[Total Kg]]*Calculations[[#This Row],[Seq factor]],0)</f>
        <v>0</v>
      </c>
      <c r="AI226" s="322">
        <f>Calculations[[#This Row],[A1-3]]+Calculations[[#This Row],[A4]]+Calculations[[#This Row],[A5]]+Calculations[[#This Row],[B4]]+Calculations[[#This Row],[C2 total]]+Calculations[[#This Row],[C3 total]]+Calculations[[#This Row],[C4 total]]</f>
        <v>0</v>
      </c>
      <c r="AJ226" s="2">
        <f>IFERROR(VLOOKUP(Calculations[[#This Row],[Material (choose from dropdown]],MaterialData[[#Headers],[#Data]],9,FALSE),0)</f>
        <v>0</v>
      </c>
      <c r="AK226" s="4">
        <f>IFERROR(VLOOKUP(Calculations[[#This Row],[Material (choose from dropdown]],MaterialData[[#Headers],[#Data]],10,FALSE),0)</f>
        <v>0</v>
      </c>
      <c r="AL226" s="322">
        <f>IFERROR(Calculations[[#This Row],[Data Quality Score]]*Calculations[[#This Row],[Total Kg]],0)</f>
        <v>0</v>
      </c>
    </row>
    <row r="227" spans="1:38" x14ac:dyDescent="0.3">
      <c r="A227" s="6">
        <f>IFERROR(MaterialsBoQ[[#This Row],[Scope Element]],0)</f>
        <v>0</v>
      </c>
      <c r="B227">
        <f>IFERROR(MaterialsBoQ[[#This Row],[Material ]],"")</f>
        <v>0</v>
      </c>
      <c r="C227">
        <f>IFERROR(MaterialsBoQ[[#This Row],[Unit]],"")</f>
        <v>0</v>
      </c>
      <c r="D227" s="322">
        <f>IFERROR(MaterialsBoQ[[#This Row],[Number]],0)</f>
        <v>0</v>
      </c>
      <c r="E227" s="322">
        <f>IFERROR(MaterialsBoQ[[#This Row],[Kg per unit]],0)</f>
        <v>0</v>
      </c>
      <c r="F227" s="322">
        <f>IFERROR(Calculations[[#This Row],[Number]]*Calculations[[#This Row],[Conversion factor]],0)</f>
        <v>0</v>
      </c>
      <c r="G227" s="322">
        <f>IFERROR(VLOOKUP(Calculations[[#This Row],[Material (choose from dropdown]],MaterialData[#All],7,FALSE),0)</f>
        <v>0</v>
      </c>
      <c r="H227" s="322">
        <f>Calculations[[#This Row],[Total Kg]]*Calculations[[#This Row],[Carbon Factor]]</f>
        <v>0</v>
      </c>
      <c r="I227" t="str">
        <f>IFERROR(VLOOKUP(Calculations[[#This Row],[Material (choose from dropdown]],MaterialData[#All],2,FALSE),"")</f>
        <v/>
      </c>
      <c r="J227" s="322">
        <f>IFERROR(((VLOOKUP(Calculations[[#This Row],[TransportSource]],TransportDistance[],2,FALSE)*'Stage assumptions'!$C$11)+VLOOKUP(Calculations[[#This Row],[TransportSource]],TransportDistance[],3,FALSE)*'Stage assumptions'!$C$12)*Calculations[[#This Row],[Total Kg]],0)</f>
        <v>0</v>
      </c>
      <c r="K227">
        <f>IFERROR(VLOOKUP(Calculations[[#This Row],[Material (choose from dropdown]], MaterialData[#All],3, FALSE),0)</f>
        <v>0</v>
      </c>
      <c r="L227" s="322">
        <f>IFERROR(VLOOKUP(Calculations[[#This Row],[A5type]],A5WastageRate[#All],2,FALSE)*Calculations[[#This Row],[A1-3]],0)</f>
        <v>0</v>
      </c>
      <c r="N227">
        <f>IFERROR(ROUNDUP(50/VLOOKUP(Calculations[[#This Row],[Scope Element]],B4referenceServiceLife[[Tier 2 element]:[Default Service Life]],2, FALSE)-1,0),0)</f>
        <v>0</v>
      </c>
      <c r="O227" s="322">
        <f>IFERROR((Calculations[[#This Row],[A1-3]]+Calculations[[#This Row],[A4]]+Calculations[[#This Row],[A5]]+Calculations[[#This Row],[C2 total]]+Calculations[[#This Row],[C3 total]]+Calculations[[#This Row],[C4 total]])*Calculations[[#This Row],[Replacements]],0)</f>
        <v>0</v>
      </c>
      <c r="S227" t="str">
        <f>IFERROR(VLOOKUP(Calculations[[#This Row],[Material (choose from dropdown]],MaterialData[#All],4,FALSE),"")</f>
        <v/>
      </c>
      <c r="T227" s="322" cm="1">
        <f t="array" ref="T227">IFERROR(VLOOKUP(Calculations[[#This Row],[Waste 1]],WasteScenario[#All],2,FALSE)*'Stage assumptions'!$C$225*WasteTransportMethod[Emissions Factor
kgCO2e/kg.km]*Calculations[[#This Row],[Total Kg]],0)</f>
        <v>0</v>
      </c>
      <c r="U227" s="322" cm="1">
        <f t="array" ref="U227">IFERROR(VLOOKUP(Calculations[[#This Row],[Waste 1]],WasteScenario[#All],3,FALSE)*'Stage assumptions'!$C$224*WasteTransportMethod[Emissions Factor
kgCO2e/kg.km]*Calculations[[#This Row],[Total Kg]],0)</f>
        <v>0</v>
      </c>
      <c r="V227" s="322" cm="1">
        <f t="array" ref="V227">IFERROR(VLOOKUP(Calculations[[#This Row],[Waste 1]],WasteScenario[#All],4,FALSE)*'Stage assumptions'!$C$223*WasteTransportMethod[Emissions Factor
kgCO2e/kg.km]*Calculations[[#This Row],[Total Kg]],0)</f>
        <v>0</v>
      </c>
      <c r="W227" s="322" cm="1">
        <f t="array" ref="W227">IFERROR(VLOOKUP(Calculations[[#This Row],[Waste 1]],WasteScenario[#All],5,FALSE)*'Stage assumptions'!$C$226*WasteTransportMethod[Emissions Factor
kgCO2e/kg.km]*Calculations[[#This Row],[Total Kg]],0)</f>
        <v>0</v>
      </c>
      <c r="X227" s="322">
        <f>SUM(Calculations[[#This Row],[C2 Recycle]:[C2 Reuse]])</f>
        <v>0</v>
      </c>
      <c r="Y227" t="str">
        <f>IFERROR(VLOOKUP(Calculations[[#This Row],[Material (choose from dropdown]],MaterialData[#All],5,FALSE),"")</f>
        <v/>
      </c>
      <c r="Z227" s="322">
        <f>IFERROR(((VLOOKUP(Calculations[[#This Row],[Waste type 2]],WasteDisposalEmissions[#All],2,FALSE))*Calculations[[#This Row],[Total Kg]])*VLOOKUP(Calculations[[#This Row],[Waste 1]],WasteScenario[#All],2,FALSE),0)</f>
        <v>0</v>
      </c>
      <c r="AA227" s="322">
        <f>IFERROR((VLOOKUP(Calculations[[#This Row],[Waste type 2]],WasteDisposalEmissions[#All],3,FALSE))*Calculations[[#This Row],[Total Kg]]*VLOOKUP(Calculations[[#This Row],[Waste 1]],WasteScenario[#All],3,FALSE),0)</f>
        <v>0</v>
      </c>
      <c r="AB227" s="322">
        <f>SUM(Calculations[[#This Row],[C3 recyc]:[C3 incin]])</f>
        <v>0</v>
      </c>
      <c r="AC227" s="334">
        <f>IFERROR((VLOOKUP(Calculations[[#This Row],[Waste type 2]],WasteLandfillEmissions[#All],2,FALSE))*Calculations[[#This Row],[Total Kg]]*VLOOKUP(Calculations[[#This Row],[Waste 1]],WasteScenario[#All],4,FALSE),0)</f>
        <v>0</v>
      </c>
      <c r="AD227" s="322">
        <f>IFERROR((VLOOKUP(Calculations[[#This Row],[Waste type 2]],WasteLandfillEmissions[#All],3,FALSE))*Calculations[[#This Row],[Total Kg]]*VLOOKUP(Calculations[[#This Row],[Waste 1]],WasteScenario[#All],4,FALSE),0)</f>
        <v>0</v>
      </c>
      <c r="AE227" s="322">
        <f>SUM(Calculations[[#This Row],[C4 landfill]:[C4 re-use]])</f>
        <v>0</v>
      </c>
      <c r="AF227" s="322">
        <f>IFERROR(VLOOKUP(Calculations[[#This Row],[Material (choose from dropdown]],MaterialData[#All],8,FALSE),0)</f>
        <v>0</v>
      </c>
      <c r="AG227" s="322">
        <f>IFERROR(Calculations[[#This Row],[Total Kg]]*Calculations[[#This Row],[Seq factor]],0)</f>
        <v>0</v>
      </c>
      <c r="AI227" s="322">
        <f>Calculations[[#This Row],[A1-3]]+Calculations[[#This Row],[A4]]+Calculations[[#This Row],[A5]]+Calculations[[#This Row],[B4]]+Calculations[[#This Row],[C2 total]]+Calculations[[#This Row],[C3 total]]+Calculations[[#This Row],[C4 total]]</f>
        <v>0</v>
      </c>
      <c r="AJ227" s="2">
        <f>IFERROR(VLOOKUP(Calculations[[#This Row],[Material (choose from dropdown]],MaterialData[[#Headers],[#Data]],9,FALSE),0)</f>
        <v>0</v>
      </c>
      <c r="AK227" s="4">
        <f>IFERROR(VLOOKUP(Calculations[[#This Row],[Material (choose from dropdown]],MaterialData[[#Headers],[#Data]],10,FALSE),0)</f>
        <v>0</v>
      </c>
      <c r="AL227" s="322">
        <f>IFERROR(Calculations[[#This Row],[Data Quality Score]]*Calculations[[#This Row],[Total Kg]],0)</f>
        <v>0</v>
      </c>
    </row>
    <row r="228" spans="1:38" x14ac:dyDescent="0.3">
      <c r="A228" s="6">
        <f>IFERROR(MaterialsBoQ[[#This Row],[Scope Element]],0)</f>
        <v>0</v>
      </c>
      <c r="B228">
        <f>IFERROR(MaterialsBoQ[[#This Row],[Material ]],"")</f>
        <v>0</v>
      </c>
      <c r="C228">
        <f>IFERROR(MaterialsBoQ[[#This Row],[Unit]],"")</f>
        <v>0</v>
      </c>
      <c r="D228" s="322">
        <f>IFERROR(MaterialsBoQ[[#This Row],[Number]],0)</f>
        <v>0</v>
      </c>
      <c r="E228" s="322">
        <f>IFERROR(MaterialsBoQ[[#This Row],[Kg per unit]],0)</f>
        <v>0</v>
      </c>
      <c r="F228" s="322">
        <f>IFERROR(Calculations[[#This Row],[Number]]*Calculations[[#This Row],[Conversion factor]],0)</f>
        <v>0</v>
      </c>
      <c r="G228" s="322">
        <f>IFERROR(VLOOKUP(Calculations[[#This Row],[Material (choose from dropdown]],MaterialData[#All],7,FALSE),0)</f>
        <v>0</v>
      </c>
      <c r="H228" s="322">
        <f>Calculations[[#This Row],[Total Kg]]*Calculations[[#This Row],[Carbon Factor]]</f>
        <v>0</v>
      </c>
      <c r="I228" t="str">
        <f>IFERROR(VLOOKUP(Calculations[[#This Row],[Material (choose from dropdown]],MaterialData[#All],2,FALSE),"")</f>
        <v/>
      </c>
      <c r="J228" s="322">
        <f>IFERROR(((VLOOKUP(Calculations[[#This Row],[TransportSource]],TransportDistance[],2,FALSE)*'Stage assumptions'!$C$11)+VLOOKUP(Calculations[[#This Row],[TransportSource]],TransportDistance[],3,FALSE)*'Stage assumptions'!$C$12)*Calculations[[#This Row],[Total Kg]],0)</f>
        <v>0</v>
      </c>
      <c r="K228">
        <f>IFERROR(VLOOKUP(Calculations[[#This Row],[Material (choose from dropdown]], MaterialData[#All],3, FALSE),0)</f>
        <v>0</v>
      </c>
      <c r="L228" s="322">
        <f>IFERROR(VLOOKUP(Calculations[[#This Row],[A5type]],A5WastageRate[#All],2,FALSE)*Calculations[[#This Row],[A1-3]],0)</f>
        <v>0</v>
      </c>
      <c r="N228">
        <f>IFERROR(ROUNDUP(50/VLOOKUP(Calculations[[#This Row],[Scope Element]],B4referenceServiceLife[[Tier 2 element]:[Default Service Life]],2, FALSE)-1,0),0)</f>
        <v>0</v>
      </c>
      <c r="O228" s="322">
        <f>IFERROR((Calculations[[#This Row],[A1-3]]+Calculations[[#This Row],[A4]]+Calculations[[#This Row],[A5]]+Calculations[[#This Row],[C2 total]]+Calculations[[#This Row],[C3 total]]+Calculations[[#This Row],[C4 total]])*Calculations[[#This Row],[Replacements]],0)</f>
        <v>0</v>
      </c>
      <c r="S228" t="str">
        <f>IFERROR(VLOOKUP(Calculations[[#This Row],[Material (choose from dropdown]],MaterialData[#All],4,FALSE),"")</f>
        <v/>
      </c>
      <c r="T228" s="322" cm="1">
        <f t="array" ref="T228">IFERROR(VLOOKUP(Calculations[[#This Row],[Waste 1]],WasteScenario[#All],2,FALSE)*'Stage assumptions'!$C$225*WasteTransportMethod[Emissions Factor
kgCO2e/kg.km]*Calculations[[#This Row],[Total Kg]],0)</f>
        <v>0</v>
      </c>
      <c r="U228" s="322" cm="1">
        <f t="array" ref="U228">IFERROR(VLOOKUP(Calculations[[#This Row],[Waste 1]],WasteScenario[#All],3,FALSE)*'Stage assumptions'!$C$224*WasteTransportMethod[Emissions Factor
kgCO2e/kg.km]*Calculations[[#This Row],[Total Kg]],0)</f>
        <v>0</v>
      </c>
      <c r="V228" s="322" cm="1">
        <f t="array" ref="V228">IFERROR(VLOOKUP(Calculations[[#This Row],[Waste 1]],WasteScenario[#All],4,FALSE)*'Stage assumptions'!$C$223*WasteTransportMethod[Emissions Factor
kgCO2e/kg.km]*Calculations[[#This Row],[Total Kg]],0)</f>
        <v>0</v>
      </c>
      <c r="W228" s="322" cm="1">
        <f t="array" ref="W228">IFERROR(VLOOKUP(Calculations[[#This Row],[Waste 1]],WasteScenario[#All],5,FALSE)*'Stage assumptions'!$C$226*WasteTransportMethod[Emissions Factor
kgCO2e/kg.km]*Calculations[[#This Row],[Total Kg]],0)</f>
        <v>0</v>
      </c>
      <c r="X228" s="322">
        <f>SUM(Calculations[[#This Row],[C2 Recycle]:[C2 Reuse]])</f>
        <v>0</v>
      </c>
      <c r="Y228" t="str">
        <f>IFERROR(VLOOKUP(Calculations[[#This Row],[Material (choose from dropdown]],MaterialData[#All],5,FALSE),"")</f>
        <v/>
      </c>
      <c r="Z228" s="322">
        <f>IFERROR(((VLOOKUP(Calculations[[#This Row],[Waste type 2]],WasteDisposalEmissions[#All],2,FALSE))*Calculations[[#This Row],[Total Kg]])*VLOOKUP(Calculations[[#This Row],[Waste 1]],WasteScenario[#All],2,FALSE),0)</f>
        <v>0</v>
      </c>
      <c r="AA228" s="322">
        <f>IFERROR((VLOOKUP(Calculations[[#This Row],[Waste type 2]],WasteDisposalEmissions[#All],3,FALSE))*Calculations[[#This Row],[Total Kg]]*VLOOKUP(Calculations[[#This Row],[Waste 1]],WasteScenario[#All],3,FALSE),0)</f>
        <v>0</v>
      </c>
      <c r="AB228" s="322">
        <f>SUM(Calculations[[#This Row],[C3 recyc]:[C3 incin]])</f>
        <v>0</v>
      </c>
      <c r="AC228" s="334">
        <f>IFERROR((VLOOKUP(Calculations[[#This Row],[Waste type 2]],WasteLandfillEmissions[#All],2,FALSE))*Calculations[[#This Row],[Total Kg]]*VLOOKUP(Calculations[[#This Row],[Waste 1]],WasteScenario[#All],4,FALSE),0)</f>
        <v>0</v>
      </c>
      <c r="AD228" s="322">
        <f>IFERROR((VLOOKUP(Calculations[[#This Row],[Waste type 2]],WasteLandfillEmissions[#All],3,FALSE))*Calculations[[#This Row],[Total Kg]]*VLOOKUP(Calculations[[#This Row],[Waste 1]],WasteScenario[#All],4,FALSE),0)</f>
        <v>0</v>
      </c>
      <c r="AE228" s="322">
        <f>SUM(Calculations[[#This Row],[C4 landfill]:[C4 re-use]])</f>
        <v>0</v>
      </c>
      <c r="AF228" s="322">
        <f>IFERROR(VLOOKUP(Calculations[[#This Row],[Material (choose from dropdown]],MaterialData[#All],8,FALSE),0)</f>
        <v>0</v>
      </c>
      <c r="AG228" s="322">
        <f>IFERROR(Calculations[[#This Row],[Total Kg]]*Calculations[[#This Row],[Seq factor]],0)</f>
        <v>0</v>
      </c>
      <c r="AI228" s="322">
        <f>Calculations[[#This Row],[A1-3]]+Calculations[[#This Row],[A4]]+Calculations[[#This Row],[A5]]+Calculations[[#This Row],[B4]]+Calculations[[#This Row],[C2 total]]+Calculations[[#This Row],[C3 total]]+Calculations[[#This Row],[C4 total]]</f>
        <v>0</v>
      </c>
      <c r="AJ228" s="2">
        <f>IFERROR(VLOOKUP(Calculations[[#This Row],[Material (choose from dropdown]],MaterialData[[#Headers],[#Data]],9,FALSE),0)</f>
        <v>0</v>
      </c>
      <c r="AK228" s="4">
        <f>IFERROR(VLOOKUP(Calculations[[#This Row],[Material (choose from dropdown]],MaterialData[[#Headers],[#Data]],10,FALSE),0)</f>
        <v>0</v>
      </c>
      <c r="AL228" s="322">
        <f>IFERROR(Calculations[[#This Row],[Data Quality Score]]*Calculations[[#This Row],[Total Kg]],0)</f>
        <v>0</v>
      </c>
    </row>
    <row r="229" spans="1:38" x14ac:dyDescent="0.3">
      <c r="A229" s="6">
        <f>IFERROR(MaterialsBoQ[[#This Row],[Scope Element]],0)</f>
        <v>0</v>
      </c>
      <c r="B229">
        <f>IFERROR(MaterialsBoQ[[#This Row],[Material ]],"")</f>
        <v>0</v>
      </c>
      <c r="C229">
        <f>IFERROR(MaterialsBoQ[[#This Row],[Unit]],"")</f>
        <v>0</v>
      </c>
      <c r="D229" s="322">
        <f>IFERROR(MaterialsBoQ[[#This Row],[Number]],0)</f>
        <v>0</v>
      </c>
      <c r="E229" s="322">
        <f>IFERROR(MaterialsBoQ[[#This Row],[Kg per unit]],0)</f>
        <v>0</v>
      </c>
      <c r="F229" s="322">
        <f>IFERROR(Calculations[[#This Row],[Number]]*Calculations[[#This Row],[Conversion factor]],0)</f>
        <v>0</v>
      </c>
      <c r="G229" s="322">
        <f>IFERROR(VLOOKUP(Calculations[[#This Row],[Material (choose from dropdown]],MaterialData[#All],7,FALSE),0)</f>
        <v>0</v>
      </c>
      <c r="H229" s="322">
        <f>Calculations[[#This Row],[Total Kg]]*Calculations[[#This Row],[Carbon Factor]]</f>
        <v>0</v>
      </c>
      <c r="I229" t="str">
        <f>IFERROR(VLOOKUP(Calculations[[#This Row],[Material (choose from dropdown]],MaterialData[#All],2,FALSE),"")</f>
        <v/>
      </c>
      <c r="J229" s="322">
        <f>IFERROR(((VLOOKUP(Calculations[[#This Row],[TransportSource]],TransportDistance[],2,FALSE)*'Stage assumptions'!$C$11)+VLOOKUP(Calculations[[#This Row],[TransportSource]],TransportDistance[],3,FALSE)*'Stage assumptions'!$C$12)*Calculations[[#This Row],[Total Kg]],0)</f>
        <v>0</v>
      </c>
      <c r="K229">
        <f>IFERROR(VLOOKUP(Calculations[[#This Row],[Material (choose from dropdown]], MaterialData[#All],3, FALSE),0)</f>
        <v>0</v>
      </c>
      <c r="L229" s="322">
        <f>IFERROR(VLOOKUP(Calculations[[#This Row],[A5type]],A5WastageRate[#All],2,FALSE)*Calculations[[#This Row],[A1-3]],0)</f>
        <v>0</v>
      </c>
      <c r="N229">
        <f>IFERROR(ROUNDUP(50/VLOOKUP(Calculations[[#This Row],[Scope Element]],B4referenceServiceLife[[Tier 2 element]:[Default Service Life]],2, FALSE)-1,0),0)</f>
        <v>0</v>
      </c>
      <c r="O229" s="322">
        <f>IFERROR((Calculations[[#This Row],[A1-3]]+Calculations[[#This Row],[A4]]+Calculations[[#This Row],[A5]]+Calculations[[#This Row],[C2 total]]+Calculations[[#This Row],[C3 total]]+Calculations[[#This Row],[C4 total]])*Calculations[[#This Row],[Replacements]],0)</f>
        <v>0</v>
      </c>
      <c r="S229" t="str">
        <f>IFERROR(VLOOKUP(Calculations[[#This Row],[Material (choose from dropdown]],MaterialData[#All],4,FALSE),"")</f>
        <v/>
      </c>
      <c r="T229" s="322" cm="1">
        <f t="array" ref="T229">IFERROR(VLOOKUP(Calculations[[#This Row],[Waste 1]],WasteScenario[#All],2,FALSE)*'Stage assumptions'!$C$225*WasteTransportMethod[Emissions Factor
kgCO2e/kg.km]*Calculations[[#This Row],[Total Kg]],0)</f>
        <v>0</v>
      </c>
      <c r="U229" s="322" cm="1">
        <f t="array" ref="U229">IFERROR(VLOOKUP(Calculations[[#This Row],[Waste 1]],WasteScenario[#All],3,FALSE)*'Stage assumptions'!$C$224*WasteTransportMethod[Emissions Factor
kgCO2e/kg.km]*Calculations[[#This Row],[Total Kg]],0)</f>
        <v>0</v>
      </c>
      <c r="V229" s="322" cm="1">
        <f t="array" ref="V229">IFERROR(VLOOKUP(Calculations[[#This Row],[Waste 1]],WasteScenario[#All],4,FALSE)*'Stage assumptions'!$C$223*WasteTransportMethod[Emissions Factor
kgCO2e/kg.km]*Calculations[[#This Row],[Total Kg]],0)</f>
        <v>0</v>
      </c>
      <c r="W229" s="322" cm="1">
        <f t="array" ref="W229">IFERROR(VLOOKUP(Calculations[[#This Row],[Waste 1]],WasteScenario[#All],5,FALSE)*'Stage assumptions'!$C$226*WasteTransportMethod[Emissions Factor
kgCO2e/kg.km]*Calculations[[#This Row],[Total Kg]],0)</f>
        <v>0</v>
      </c>
      <c r="X229" s="322">
        <f>SUM(Calculations[[#This Row],[C2 Recycle]:[C2 Reuse]])</f>
        <v>0</v>
      </c>
      <c r="Y229" t="str">
        <f>IFERROR(VLOOKUP(Calculations[[#This Row],[Material (choose from dropdown]],MaterialData[#All],5,FALSE),"")</f>
        <v/>
      </c>
      <c r="Z229" s="322">
        <f>IFERROR(((VLOOKUP(Calculations[[#This Row],[Waste type 2]],WasteDisposalEmissions[#All],2,FALSE))*Calculations[[#This Row],[Total Kg]])*VLOOKUP(Calculations[[#This Row],[Waste 1]],WasteScenario[#All],2,FALSE),0)</f>
        <v>0</v>
      </c>
      <c r="AA229" s="322">
        <f>IFERROR((VLOOKUP(Calculations[[#This Row],[Waste type 2]],WasteDisposalEmissions[#All],3,FALSE))*Calculations[[#This Row],[Total Kg]]*VLOOKUP(Calculations[[#This Row],[Waste 1]],WasteScenario[#All],3,FALSE),0)</f>
        <v>0</v>
      </c>
      <c r="AB229" s="322">
        <f>SUM(Calculations[[#This Row],[C3 recyc]:[C3 incin]])</f>
        <v>0</v>
      </c>
      <c r="AC229" s="334">
        <f>IFERROR((VLOOKUP(Calculations[[#This Row],[Waste type 2]],WasteLandfillEmissions[#All],2,FALSE))*Calculations[[#This Row],[Total Kg]]*VLOOKUP(Calculations[[#This Row],[Waste 1]],WasteScenario[#All],4,FALSE),0)</f>
        <v>0</v>
      </c>
      <c r="AD229" s="322">
        <f>IFERROR((VLOOKUP(Calculations[[#This Row],[Waste type 2]],WasteLandfillEmissions[#All],3,FALSE))*Calculations[[#This Row],[Total Kg]]*VLOOKUP(Calculations[[#This Row],[Waste 1]],WasteScenario[#All],4,FALSE),0)</f>
        <v>0</v>
      </c>
      <c r="AE229" s="322">
        <f>SUM(Calculations[[#This Row],[C4 landfill]:[C4 re-use]])</f>
        <v>0</v>
      </c>
      <c r="AF229" s="322">
        <f>IFERROR(VLOOKUP(Calculations[[#This Row],[Material (choose from dropdown]],MaterialData[#All],8,FALSE),0)</f>
        <v>0</v>
      </c>
      <c r="AG229" s="322">
        <f>IFERROR(Calculations[[#This Row],[Total Kg]]*Calculations[[#This Row],[Seq factor]],0)</f>
        <v>0</v>
      </c>
      <c r="AI229" s="322">
        <f>Calculations[[#This Row],[A1-3]]+Calculations[[#This Row],[A4]]+Calculations[[#This Row],[A5]]+Calculations[[#This Row],[B4]]+Calculations[[#This Row],[C2 total]]+Calculations[[#This Row],[C3 total]]+Calculations[[#This Row],[C4 total]]</f>
        <v>0</v>
      </c>
      <c r="AJ229" s="2">
        <f>IFERROR(VLOOKUP(Calculations[[#This Row],[Material (choose from dropdown]],MaterialData[[#Headers],[#Data]],9,FALSE),0)</f>
        <v>0</v>
      </c>
      <c r="AK229" s="4">
        <f>IFERROR(VLOOKUP(Calculations[[#This Row],[Material (choose from dropdown]],MaterialData[[#Headers],[#Data]],10,FALSE),0)</f>
        <v>0</v>
      </c>
      <c r="AL229" s="322">
        <f>IFERROR(Calculations[[#This Row],[Data Quality Score]]*Calculations[[#This Row],[Total Kg]],0)</f>
        <v>0</v>
      </c>
    </row>
    <row r="230" spans="1:38" x14ac:dyDescent="0.3">
      <c r="A230" s="6">
        <f>IFERROR(MaterialsBoQ[[#This Row],[Scope Element]],0)</f>
        <v>0</v>
      </c>
      <c r="B230">
        <f>IFERROR(MaterialsBoQ[[#This Row],[Material ]],"")</f>
        <v>0</v>
      </c>
      <c r="C230">
        <f>IFERROR(MaterialsBoQ[[#This Row],[Unit]],"")</f>
        <v>0</v>
      </c>
      <c r="D230" s="322">
        <f>IFERROR(MaterialsBoQ[[#This Row],[Number]],0)</f>
        <v>0</v>
      </c>
      <c r="E230" s="322">
        <f>IFERROR(MaterialsBoQ[[#This Row],[Kg per unit]],0)</f>
        <v>0</v>
      </c>
      <c r="F230" s="322">
        <f>IFERROR(Calculations[[#This Row],[Number]]*Calculations[[#This Row],[Conversion factor]],0)</f>
        <v>0</v>
      </c>
      <c r="G230" s="322">
        <f>IFERROR(VLOOKUP(Calculations[[#This Row],[Material (choose from dropdown]],MaterialData[#All],7,FALSE),0)</f>
        <v>0</v>
      </c>
      <c r="H230" s="322">
        <f>Calculations[[#This Row],[Total Kg]]*Calculations[[#This Row],[Carbon Factor]]</f>
        <v>0</v>
      </c>
      <c r="I230" t="str">
        <f>IFERROR(VLOOKUP(Calculations[[#This Row],[Material (choose from dropdown]],MaterialData[#All],2,FALSE),"")</f>
        <v/>
      </c>
      <c r="J230" s="322">
        <f>IFERROR(((VLOOKUP(Calculations[[#This Row],[TransportSource]],TransportDistance[],2,FALSE)*'Stage assumptions'!$C$11)+VLOOKUP(Calculations[[#This Row],[TransportSource]],TransportDistance[],3,FALSE)*'Stage assumptions'!$C$12)*Calculations[[#This Row],[Total Kg]],0)</f>
        <v>0</v>
      </c>
      <c r="K230">
        <f>IFERROR(VLOOKUP(Calculations[[#This Row],[Material (choose from dropdown]], MaterialData[#All],3, FALSE),0)</f>
        <v>0</v>
      </c>
      <c r="L230" s="322">
        <f>IFERROR(VLOOKUP(Calculations[[#This Row],[A5type]],A5WastageRate[#All],2,FALSE)*Calculations[[#This Row],[A1-3]],0)</f>
        <v>0</v>
      </c>
      <c r="N230">
        <f>IFERROR(ROUNDUP(50/VLOOKUP(Calculations[[#This Row],[Scope Element]],B4referenceServiceLife[[Tier 2 element]:[Default Service Life]],2, FALSE)-1,0),0)</f>
        <v>0</v>
      </c>
      <c r="O230" s="322">
        <f>IFERROR((Calculations[[#This Row],[A1-3]]+Calculations[[#This Row],[A4]]+Calculations[[#This Row],[A5]]+Calculations[[#This Row],[C2 total]]+Calculations[[#This Row],[C3 total]]+Calculations[[#This Row],[C4 total]])*Calculations[[#This Row],[Replacements]],0)</f>
        <v>0</v>
      </c>
      <c r="S230" t="str">
        <f>IFERROR(VLOOKUP(Calculations[[#This Row],[Material (choose from dropdown]],MaterialData[#All],4,FALSE),"")</f>
        <v/>
      </c>
      <c r="T230" s="322" cm="1">
        <f t="array" ref="T230">IFERROR(VLOOKUP(Calculations[[#This Row],[Waste 1]],WasteScenario[#All],2,FALSE)*'Stage assumptions'!$C$225*WasteTransportMethod[Emissions Factor
kgCO2e/kg.km]*Calculations[[#This Row],[Total Kg]],0)</f>
        <v>0</v>
      </c>
      <c r="U230" s="322" cm="1">
        <f t="array" ref="U230">IFERROR(VLOOKUP(Calculations[[#This Row],[Waste 1]],WasteScenario[#All],3,FALSE)*'Stage assumptions'!$C$224*WasteTransportMethod[Emissions Factor
kgCO2e/kg.km]*Calculations[[#This Row],[Total Kg]],0)</f>
        <v>0</v>
      </c>
      <c r="V230" s="322" cm="1">
        <f t="array" ref="V230">IFERROR(VLOOKUP(Calculations[[#This Row],[Waste 1]],WasteScenario[#All],4,FALSE)*'Stage assumptions'!$C$223*WasteTransportMethod[Emissions Factor
kgCO2e/kg.km]*Calculations[[#This Row],[Total Kg]],0)</f>
        <v>0</v>
      </c>
      <c r="W230" s="322" cm="1">
        <f t="array" ref="W230">IFERROR(VLOOKUP(Calculations[[#This Row],[Waste 1]],WasteScenario[#All],5,FALSE)*'Stage assumptions'!$C$226*WasteTransportMethod[Emissions Factor
kgCO2e/kg.km]*Calculations[[#This Row],[Total Kg]],0)</f>
        <v>0</v>
      </c>
      <c r="X230" s="322">
        <f>SUM(Calculations[[#This Row],[C2 Recycle]:[C2 Reuse]])</f>
        <v>0</v>
      </c>
      <c r="Y230" t="str">
        <f>IFERROR(VLOOKUP(Calculations[[#This Row],[Material (choose from dropdown]],MaterialData[#All],5,FALSE),"")</f>
        <v/>
      </c>
      <c r="Z230" s="322">
        <f>IFERROR(((VLOOKUP(Calculations[[#This Row],[Waste type 2]],WasteDisposalEmissions[#All],2,FALSE))*Calculations[[#This Row],[Total Kg]])*VLOOKUP(Calculations[[#This Row],[Waste 1]],WasteScenario[#All],2,FALSE),0)</f>
        <v>0</v>
      </c>
      <c r="AA230" s="322">
        <f>IFERROR((VLOOKUP(Calculations[[#This Row],[Waste type 2]],WasteDisposalEmissions[#All],3,FALSE))*Calculations[[#This Row],[Total Kg]]*VLOOKUP(Calculations[[#This Row],[Waste 1]],WasteScenario[#All],3,FALSE),0)</f>
        <v>0</v>
      </c>
      <c r="AB230" s="322">
        <f>SUM(Calculations[[#This Row],[C3 recyc]:[C3 incin]])</f>
        <v>0</v>
      </c>
      <c r="AC230" s="334">
        <f>IFERROR((VLOOKUP(Calculations[[#This Row],[Waste type 2]],WasteLandfillEmissions[#All],2,FALSE))*Calculations[[#This Row],[Total Kg]]*VLOOKUP(Calculations[[#This Row],[Waste 1]],WasteScenario[#All],4,FALSE),0)</f>
        <v>0</v>
      </c>
      <c r="AD230" s="322">
        <f>IFERROR((VLOOKUP(Calculations[[#This Row],[Waste type 2]],WasteLandfillEmissions[#All],3,FALSE))*Calculations[[#This Row],[Total Kg]]*VLOOKUP(Calculations[[#This Row],[Waste 1]],WasteScenario[#All],4,FALSE),0)</f>
        <v>0</v>
      </c>
      <c r="AE230" s="322">
        <f>SUM(Calculations[[#This Row],[C4 landfill]:[C4 re-use]])</f>
        <v>0</v>
      </c>
      <c r="AF230" s="322">
        <f>IFERROR(VLOOKUP(Calculations[[#This Row],[Material (choose from dropdown]],MaterialData[#All],8,FALSE),0)</f>
        <v>0</v>
      </c>
      <c r="AG230" s="322">
        <f>IFERROR(Calculations[[#This Row],[Total Kg]]*Calculations[[#This Row],[Seq factor]],0)</f>
        <v>0</v>
      </c>
      <c r="AI230" s="322">
        <f>Calculations[[#This Row],[A1-3]]+Calculations[[#This Row],[A4]]+Calculations[[#This Row],[A5]]+Calculations[[#This Row],[B4]]+Calculations[[#This Row],[C2 total]]+Calculations[[#This Row],[C3 total]]+Calculations[[#This Row],[C4 total]]</f>
        <v>0</v>
      </c>
      <c r="AJ230" s="2">
        <f>IFERROR(VLOOKUP(Calculations[[#This Row],[Material (choose from dropdown]],MaterialData[[#Headers],[#Data]],9,FALSE),0)</f>
        <v>0</v>
      </c>
      <c r="AK230" s="4">
        <f>IFERROR(VLOOKUP(Calculations[[#This Row],[Material (choose from dropdown]],MaterialData[[#Headers],[#Data]],10,FALSE),0)</f>
        <v>0</v>
      </c>
      <c r="AL230" s="322">
        <f>IFERROR(Calculations[[#This Row],[Data Quality Score]]*Calculations[[#This Row],[Total Kg]],0)</f>
        <v>0</v>
      </c>
    </row>
    <row r="231" spans="1:38" x14ac:dyDescent="0.3">
      <c r="A231" s="6">
        <f>IFERROR(MaterialsBoQ[[#This Row],[Scope Element]],0)</f>
        <v>0</v>
      </c>
      <c r="B231">
        <f>IFERROR(MaterialsBoQ[[#This Row],[Material ]],"")</f>
        <v>0</v>
      </c>
      <c r="C231">
        <f>IFERROR(MaterialsBoQ[[#This Row],[Unit]],"")</f>
        <v>0</v>
      </c>
      <c r="D231" s="322">
        <f>IFERROR(MaterialsBoQ[[#This Row],[Number]],0)</f>
        <v>0</v>
      </c>
      <c r="E231" s="322">
        <f>IFERROR(MaterialsBoQ[[#This Row],[Kg per unit]],0)</f>
        <v>0</v>
      </c>
      <c r="F231" s="322">
        <f>IFERROR(Calculations[[#This Row],[Number]]*Calculations[[#This Row],[Conversion factor]],0)</f>
        <v>0</v>
      </c>
      <c r="G231" s="322">
        <f>IFERROR(VLOOKUP(Calculations[[#This Row],[Material (choose from dropdown]],MaterialData[#All],7,FALSE),0)</f>
        <v>0</v>
      </c>
      <c r="H231" s="322">
        <f>Calculations[[#This Row],[Total Kg]]*Calculations[[#This Row],[Carbon Factor]]</f>
        <v>0</v>
      </c>
      <c r="I231" t="str">
        <f>IFERROR(VLOOKUP(Calculations[[#This Row],[Material (choose from dropdown]],MaterialData[#All],2,FALSE),"")</f>
        <v/>
      </c>
      <c r="J231" s="322">
        <f>IFERROR(((VLOOKUP(Calculations[[#This Row],[TransportSource]],TransportDistance[],2,FALSE)*'Stage assumptions'!$C$11)+VLOOKUP(Calculations[[#This Row],[TransportSource]],TransportDistance[],3,FALSE)*'Stage assumptions'!$C$12)*Calculations[[#This Row],[Total Kg]],0)</f>
        <v>0</v>
      </c>
      <c r="K231">
        <f>IFERROR(VLOOKUP(Calculations[[#This Row],[Material (choose from dropdown]], MaterialData[#All],3, FALSE),0)</f>
        <v>0</v>
      </c>
      <c r="L231" s="322">
        <f>IFERROR(VLOOKUP(Calculations[[#This Row],[A5type]],A5WastageRate[#All],2,FALSE)*Calculations[[#This Row],[A1-3]],0)</f>
        <v>0</v>
      </c>
      <c r="N231">
        <f>IFERROR(ROUNDUP(50/VLOOKUP(Calculations[[#This Row],[Scope Element]],B4referenceServiceLife[[Tier 2 element]:[Default Service Life]],2, FALSE)-1,0),0)</f>
        <v>0</v>
      </c>
      <c r="O231" s="322">
        <f>IFERROR((Calculations[[#This Row],[A1-3]]+Calculations[[#This Row],[A4]]+Calculations[[#This Row],[A5]]+Calculations[[#This Row],[C2 total]]+Calculations[[#This Row],[C3 total]]+Calculations[[#This Row],[C4 total]])*Calculations[[#This Row],[Replacements]],0)</f>
        <v>0</v>
      </c>
      <c r="S231" t="str">
        <f>IFERROR(VLOOKUP(Calculations[[#This Row],[Material (choose from dropdown]],MaterialData[#All],4,FALSE),"")</f>
        <v/>
      </c>
      <c r="T231" s="322" cm="1">
        <f t="array" ref="T231">IFERROR(VLOOKUP(Calculations[[#This Row],[Waste 1]],WasteScenario[#All],2,FALSE)*'Stage assumptions'!$C$225*WasteTransportMethod[Emissions Factor
kgCO2e/kg.km]*Calculations[[#This Row],[Total Kg]],0)</f>
        <v>0</v>
      </c>
      <c r="U231" s="322" cm="1">
        <f t="array" ref="U231">IFERROR(VLOOKUP(Calculations[[#This Row],[Waste 1]],WasteScenario[#All],3,FALSE)*'Stage assumptions'!$C$224*WasteTransportMethod[Emissions Factor
kgCO2e/kg.km]*Calculations[[#This Row],[Total Kg]],0)</f>
        <v>0</v>
      </c>
      <c r="V231" s="322" cm="1">
        <f t="array" ref="V231">IFERROR(VLOOKUP(Calculations[[#This Row],[Waste 1]],WasteScenario[#All],4,FALSE)*'Stage assumptions'!$C$223*WasteTransportMethod[Emissions Factor
kgCO2e/kg.km]*Calculations[[#This Row],[Total Kg]],0)</f>
        <v>0</v>
      </c>
      <c r="W231" s="322" cm="1">
        <f t="array" ref="W231">IFERROR(VLOOKUP(Calculations[[#This Row],[Waste 1]],WasteScenario[#All],5,FALSE)*'Stage assumptions'!$C$226*WasteTransportMethod[Emissions Factor
kgCO2e/kg.km]*Calculations[[#This Row],[Total Kg]],0)</f>
        <v>0</v>
      </c>
      <c r="X231" s="322">
        <f>SUM(Calculations[[#This Row],[C2 Recycle]:[C2 Reuse]])</f>
        <v>0</v>
      </c>
      <c r="Y231" t="str">
        <f>IFERROR(VLOOKUP(Calculations[[#This Row],[Material (choose from dropdown]],MaterialData[#All],5,FALSE),"")</f>
        <v/>
      </c>
      <c r="Z231" s="322">
        <f>IFERROR(((VLOOKUP(Calculations[[#This Row],[Waste type 2]],WasteDisposalEmissions[#All],2,FALSE))*Calculations[[#This Row],[Total Kg]])*VLOOKUP(Calculations[[#This Row],[Waste 1]],WasteScenario[#All],2,FALSE),0)</f>
        <v>0</v>
      </c>
      <c r="AA231" s="322">
        <f>IFERROR((VLOOKUP(Calculations[[#This Row],[Waste type 2]],WasteDisposalEmissions[#All],3,FALSE))*Calculations[[#This Row],[Total Kg]]*VLOOKUP(Calculations[[#This Row],[Waste 1]],WasteScenario[#All],3,FALSE),0)</f>
        <v>0</v>
      </c>
      <c r="AB231" s="322">
        <f>SUM(Calculations[[#This Row],[C3 recyc]:[C3 incin]])</f>
        <v>0</v>
      </c>
      <c r="AC231" s="334">
        <f>IFERROR((VLOOKUP(Calculations[[#This Row],[Waste type 2]],WasteLandfillEmissions[#All],2,FALSE))*Calculations[[#This Row],[Total Kg]]*VLOOKUP(Calculations[[#This Row],[Waste 1]],WasteScenario[#All],4,FALSE),0)</f>
        <v>0</v>
      </c>
      <c r="AD231" s="322">
        <f>IFERROR((VLOOKUP(Calculations[[#This Row],[Waste type 2]],WasteLandfillEmissions[#All],3,FALSE))*Calculations[[#This Row],[Total Kg]]*VLOOKUP(Calculations[[#This Row],[Waste 1]],WasteScenario[#All],4,FALSE),0)</f>
        <v>0</v>
      </c>
      <c r="AE231" s="322">
        <f>SUM(Calculations[[#This Row],[C4 landfill]:[C4 re-use]])</f>
        <v>0</v>
      </c>
      <c r="AF231" s="322">
        <f>IFERROR(VLOOKUP(Calculations[[#This Row],[Material (choose from dropdown]],MaterialData[#All],8,FALSE),0)</f>
        <v>0</v>
      </c>
      <c r="AG231" s="322">
        <f>IFERROR(Calculations[[#This Row],[Total Kg]]*Calculations[[#This Row],[Seq factor]],0)</f>
        <v>0</v>
      </c>
      <c r="AI231" s="322">
        <f>Calculations[[#This Row],[A1-3]]+Calculations[[#This Row],[A4]]+Calculations[[#This Row],[A5]]+Calculations[[#This Row],[B4]]+Calculations[[#This Row],[C2 total]]+Calculations[[#This Row],[C3 total]]+Calculations[[#This Row],[C4 total]]</f>
        <v>0</v>
      </c>
      <c r="AJ231" s="2">
        <f>IFERROR(VLOOKUP(Calculations[[#This Row],[Material (choose from dropdown]],MaterialData[[#Headers],[#Data]],9,FALSE),0)</f>
        <v>0</v>
      </c>
      <c r="AK231" s="4">
        <f>IFERROR(VLOOKUP(Calculations[[#This Row],[Material (choose from dropdown]],MaterialData[[#Headers],[#Data]],10,FALSE),0)</f>
        <v>0</v>
      </c>
      <c r="AL231" s="322">
        <f>IFERROR(Calculations[[#This Row],[Data Quality Score]]*Calculations[[#This Row],[Total Kg]],0)</f>
        <v>0</v>
      </c>
    </row>
    <row r="232" spans="1:38" x14ac:dyDescent="0.3">
      <c r="A232" s="6">
        <f>IFERROR(MaterialsBoQ[[#This Row],[Scope Element]],0)</f>
        <v>0</v>
      </c>
      <c r="B232">
        <f>IFERROR(MaterialsBoQ[[#This Row],[Material ]],"")</f>
        <v>0</v>
      </c>
      <c r="C232">
        <f>IFERROR(MaterialsBoQ[[#This Row],[Unit]],"")</f>
        <v>0</v>
      </c>
      <c r="D232" s="322">
        <f>IFERROR(MaterialsBoQ[[#This Row],[Number]],0)</f>
        <v>0</v>
      </c>
      <c r="E232" s="322">
        <f>IFERROR(MaterialsBoQ[[#This Row],[Kg per unit]],0)</f>
        <v>0</v>
      </c>
      <c r="F232" s="322">
        <f>IFERROR(Calculations[[#This Row],[Number]]*Calculations[[#This Row],[Conversion factor]],0)</f>
        <v>0</v>
      </c>
      <c r="G232" s="322">
        <f>IFERROR(VLOOKUP(Calculations[[#This Row],[Material (choose from dropdown]],MaterialData[#All],7,FALSE),0)</f>
        <v>0</v>
      </c>
      <c r="H232" s="322">
        <f>Calculations[[#This Row],[Total Kg]]*Calculations[[#This Row],[Carbon Factor]]</f>
        <v>0</v>
      </c>
      <c r="I232" t="str">
        <f>IFERROR(VLOOKUP(Calculations[[#This Row],[Material (choose from dropdown]],MaterialData[#All],2,FALSE),"")</f>
        <v/>
      </c>
      <c r="J232" s="322">
        <f>IFERROR(((VLOOKUP(Calculations[[#This Row],[TransportSource]],TransportDistance[],2,FALSE)*'Stage assumptions'!$C$11)+VLOOKUP(Calculations[[#This Row],[TransportSource]],TransportDistance[],3,FALSE)*'Stage assumptions'!$C$12)*Calculations[[#This Row],[Total Kg]],0)</f>
        <v>0</v>
      </c>
      <c r="K232">
        <f>IFERROR(VLOOKUP(Calculations[[#This Row],[Material (choose from dropdown]], MaterialData[#All],3, FALSE),0)</f>
        <v>0</v>
      </c>
      <c r="L232" s="322">
        <f>IFERROR(VLOOKUP(Calculations[[#This Row],[A5type]],A5WastageRate[#All],2,FALSE)*Calculations[[#This Row],[A1-3]],0)</f>
        <v>0</v>
      </c>
      <c r="N232">
        <f>IFERROR(ROUNDUP(50/VLOOKUP(Calculations[[#This Row],[Scope Element]],B4referenceServiceLife[[Tier 2 element]:[Default Service Life]],2, FALSE)-1,0),0)</f>
        <v>0</v>
      </c>
      <c r="O232" s="322">
        <f>IFERROR((Calculations[[#This Row],[A1-3]]+Calculations[[#This Row],[A4]]+Calculations[[#This Row],[A5]]+Calculations[[#This Row],[C2 total]]+Calculations[[#This Row],[C3 total]]+Calculations[[#This Row],[C4 total]])*Calculations[[#This Row],[Replacements]],0)</f>
        <v>0</v>
      </c>
      <c r="S232" t="str">
        <f>IFERROR(VLOOKUP(Calculations[[#This Row],[Material (choose from dropdown]],MaterialData[#All],4,FALSE),"")</f>
        <v/>
      </c>
      <c r="T232" s="322" cm="1">
        <f t="array" ref="T232">IFERROR(VLOOKUP(Calculations[[#This Row],[Waste 1]],WasteScenario[#All],2,FALSE)*'Stage assumptions'!$C$225*WasteTransportMethod[Emissions Factor
kgCO2e/kg.km]*Calculations[[#This Row],[Total Kg]],0)</f>
        <v>0</v>
      </c>
      <c r="U232" s="322" cm="1">
        <f t="array" ref="U232">IFERROR(VLOOKUP(Calculations[[#This Row],[Waste 1]],WasteScenario[#All],3,FALSE)*'Stage assumptions'!$C$224*WasteTransportMethod[Emissions Factor
kgCO2e/kg.km]*Calculations[[#This Row],[Total Kg]],0)</f>
        <v>0</v>
      </c>
      <c r="V232" s="322" cm="1">
        <f t="array" ref="V232">IFERROR(VLOOKUP(Calculations[[#This Row],[Waste 1]],WasteScenario[#All],4,FALSE)*'Stage assumptions'!$C$223*WasteTransportMethod[Emissions Factor
kgCO2e/kg.km]*Calculations[[#This Row],[Total Kg]],0)</f>
        <v>0</v>
      </c>
      <c r="W232" s="322" cm="1">
        <f t="array" ref="W232">IFERROR(VLOOKUP(Calculations[[#This Row],[Waste 1]],WasteScenario[#All],5,FALSE)*'Stage assumptions'!$C$226*WasteTransportMethod[Emissions Factor
kgCO2e/kg.km]*Calculations[[#This Row],[Total Kg]],0)</f>
        <v>0</v>
      </c>
      <c r="X232" s="322">
        <f>SUM(Calculations[[#This Row],[C2 Recycle]:[C2 Reuse]])</f>
        <v>0</v>
      </c>
      <c r="Y232" t="str">
        <f>IFERROR(VLOOKUP(Calculations[[#This Row],[Material (choose from dropdown]],MaterialData[#All],5,FALSE),"")</f>
        <v/>
      </c>
      <c r="Z232" s="322">
        <f>IFERROR(((VLOOKUP(Calculations[[#This Row],[Waste type 2]],WasteDisposalEmissions[#All],2,FALSE))*Calculations[[#This Row],[Total Kg]])*VLOOKUP(Calculations[[#This Row],[Waste 1]],WasteScenario[#All],2,FALSE),0)</f>
        <v>0</v>
      </c>
      <c r="AA232" s="322">
        <f>IFERROR((VLOOKUP(Calculations[[#This Row],[Waste type 2]],WasteDisposalEmissions[#All],3,FALSE))*Calculations[[#This Row],[Total Kg]]*VLOOKUP(Calculations[[#This Row],[Waste 1]],WasteScenario[#All],3,FALSE),0)</f>
        <v>0</v>
      </c>
      <c r="AB232" s="322">
        <f>SUM(Calculations[[#This Row],[C3 recyc]:[C3 incin]])</f>
        <v>0</v>
      </c>
      <c r="AC232" s="334">
        <f>IFERROR((VLOOKUP(Calculations[[#This Row],[Waste type 2]],WasteLandfillEmissions[#All],2,FALSE))*Calculations[[#This Row],[Total Kg]]*VLOOKUP(Calculations[[#This Row],[Waste 1]],WasteScenario[#All],4,FALSE),0)</f>
        <v>0</v>
      </c>
      <c r="AD232" s="322">
        <f>IFERROR((VLOOKUP(Calculations[[#This Row],[Waste type 2]],WasteLandfillEmissions[#All],3,FALSE))*Calculations[[#This Row],[Total Kg]]*VLOOKUP(Calculations[[#This Row],[Waste 1]],WasteScenario[#All],4,FALSE),0)</f>
        <v>0</v>
      </c>
      <c r="AE232" s="322">
        <f>SUM(Calculations[[#This Row],[C4 landfill]:[C4 re-use]])</f>
        <v>0</v>
      </c>
      <c r="AF232" s="322">
        <f>IFERROR(VLOOKUP(Calculations[[#This Row],[Material (choose from dropdown]],MaterialData[#All],8,FALSE),0)</f>
        <v>0</v>
      </c>
      <c r="AG232" s="322">
        <f>IFERROR(Calculations[[#This Row],[Total Kg]]*Calculations[[#This Row],[Seq factor]],0)</f>
        <v>0</v>
      </c>
      <c r="AI232" s="322">
        <f>Calculations[[#This Row],[A1-3]]+Calculations[[#This Row],[A4]]+Calculations[[#This Row],[A5]]+Calculations[[#This Row],[B4]]+Calculations[[#This Row],[C2 total]]+Calculations[[#This Row],[C3 total]]+Calculations[[#This Row],[C4 total]]</f>
        <v>0</v>
      </c>
      <c r="AJ232" s="2">
        <f>IFERROR(VLOOKUP(Calculations[[#This Row],[Material (choose from dropdown]],MaterialData[[#Headers],[#Data]],9,FALSE),0)</f>
        <v>0</v>
      </c>
      <c r="AK232" s="4">
        <f>IFERROR(VLOOKUP(Calculations[[#This Row],[Material (choose from dropdown]],MaterialData[[#Headers],[#Data]],10,FALSE),0)</f>
        <v>0</v>
      </c>
      <c r="AL232" s="322">
        <f>IFERROR(Calculations[[#This Row],[Data Quality Score]]*Calculations[[#This Row],[Total Kg]],0)</f>
        <v>0</v>
      </c>
    </row>
    <row r="233" spans="1:38" x14ac:dyDescent="0.3">
      <c r="A233" s="6">
        <f>IFERROR(MaterialsBoQ[[#This Row],[Scope Element]],0)</f>
        <v>0</v>
      </c>
      <c r="B233">
        <f>IFERROR(MaterialsBoQ[[#This Row],[Material ]],"")</f>
        <v>0</v>
      </c>
      <c r="C233">
        <f>IFERROR(MaterialsBoQ[[#This Row],[Unit]],"")</f>
        <v>0</v>
      </c>
      <c r="D233" s="322">
        <f>IFERROR(MaterialsBoQ[[#This Row],[Number]],0)</f>
        <v>0</v>
      </c>
      <c r="E233" s="322">
        <f>IFERROR(MaterialsBoQ[[#This Row],[Kg per unit]],0)</f>
        <v>0</v>
      </c>
      <c r="F233" s="322">
        <f>IFERROR(Calculations[[#This Row],[Number]]*Calculations[[#This Row],[Conversion factor]],0)</f>
        <v>0</v>
      </c>
      <c r="G233" s="322">
        <f>IFERROR(VLOOKUP(Calculations[[#This Row],[Material (choose from dropdown]],MaterialData[#All],7,FALSE),0)</f>
        <v>0</v>
      </c>
      <c r="H233" s="322">
        <f>Calculations[[#This Row],[Total Kg]]*Calculations[[#This Row],[Carbon Factor]]</f>
        <v>0</v>
      </c>
      <c r="I233" t="str">
        <f>IFERROR(VLOOKUP(Calculations[[#This Row],[Material (choose from dropdown]],MaterialData[#All],2,FALSE),"")</f>
        <v/>
      </c>
      <c r="J233" s="322">
        <f>IFERROR(((VLOOKUP(Calculations[[#This Row],[TransportSource]],TransportDistance[],2,FALSE)*'Stage assumptions'!$C$11)+VLOOKUP(Calculations[[#This Row],[TransportSource]],TransportDistance[],3,FALSE)*'Stage assumptions'!$C$12)*Calculations[[#This Row],[Total Kg]],0)</f>
        <v>0</v>
      </c>
      <c r="K233">
        <f>IFERROR(VLOOKUP(Calculations[[#This Row],[Material (choose from dropdown]], MaterialData[#All],3, FALSE),0)</f>
        <v>0</v>
      </c>
      <c r="L233" s="322">
        <f>IFERROR(VLOOKUP(Calculations[[#This Row],[A5type]],A5WastageRate[#All],2,FALSE)*Calculations[[#This Row],[A1-3]],0)</f>
        <v>0</v>
      </c>
      <c r="N233">
        <f>IFERROR(ROUNDUP(50/VLOOKUP(Calculations[[#This Row],[Scope Element]],B4referenceServiceLife[[Tier 2 element]:[Default Service Life]],2, FALSE)-1,0),0)</f>
        <v>0</v>
      </c>
      <c r="O233" s="322">
        <f>IFERROR((Calculations[[#This Row],[A1-3]]+Calculations[[#This Row],[A4]]+Calculations[[#This Row],[A5]]+Calculations[[#This Row],[C2 total]]+Calculations[[#This Row],[C3 total]]+Calculations[[#This Row],[C4 total]])*Calculations[[#This Row],[Replacements]],0)</f>
        <v>0</v>
      </c>
      <c r="S233" t="str">
        <f>IFERROR(VLOOKUP(Calculations[[#This Row],[Material (choose from dropdown]],MaterialData[#All],4,FALSE),"")</f>
        <v/>
      </c>
      <c r="T233" s="322" cm="1">
        <f t="array" ref="T233">IFERROR(VLOOKUP(Calculations[[#This Row],[Waste 1]],WasteScenario[#All],2,FALSE)*'Stage assumptions'!$C$225*WasteTransportMethod[Emissions Factor
kgCO2e/kg.km]*Calculations[[#This Row],[Total Kg]],0)</f>
        <v>0</v>
      </c>
      <c r="U233" s="322" cm="1">
        <f t="array" ref="U233">IFERROR(VLOOKUP(Calculations[[#This Row],[Waste 1]],WasteScenario[#All],3,FALSE)*'Stage assumptions'!$C$224*WasteTransportMethod[Emissions Factor
kgCO2e/kg.km]*Calculations[[#This Row],[Total Kg]],0)</f>
        <v>0</v>
      </c>
      <c r="V233" s="322" cm="1">
        <f t="array" ref="V233">IFERROR(VLOOKUP(Calculations[[#This Row],[Waste 1]],WasteScenario[#All],4,FALSE)*'Stage assumptions'!$C$223*WasteTransportMethod[Emissions Factor
kgCO2e/kg.km]*Calculations[[#This Row],[Total Kg]],0)</f>
        <v>0</v>
      </c>
      <c r="W233" s="322" cm="1">
        <f t="array" ref="W233">IFERROR(VLOOKUP(Calculations[[#This Row],[Waste 1]],WasteScenario[#All],5,FALSE)*'Stage assumptions'!$C$226*WasteTransportMethod[Emissions Factor
kgCO2e/kg.km]*Calculations[[#This Row],[Total Kg]],0)</f>
        <v>0</v>
      </c>
      <c r="X233" s="322">
        <f>SUM(Calculations[[#This Row],[C2 Recycle]:[C2 Reuse]])</f>
        <v>0</v>
      </c>
      <c r="Y233" t="str">
        <f>IFERROR(VLOOKUP(Calculations[[#This Row],[Material (choose from dropdown]],MaterialData[#All],5,FALSE),"")</f>
        <v/>
      </c>
      <c r="Z233" s="322">
        <f>IFERROR(((VLOOKUP(Calculations[[#This Row],[Waste type 2]],WasteDisposalEmissions[#All],2,FALSE))*Calculations[[#This Row],[Total Kg]])*VLOOKUP(Calculations[[#This Row],[Waste 1]],WasteScenario[#All],2,FALSE),0)</f>
        <v>0</v>
      </c>
      <c r="AA233" s="322">
        <f>IFERROR((VLOOKUP(Calculations[[#This Row],[Waste type 2]],WasteDisposalEmissions[#All],3,FALSE))*Calculations[[#This Row],[Total Kg]]*VLOOKUP(Calculations[[#This Row],[Waste 1]],WasteScenario[#All],3,FALSE),0)</f>
        <v>0</v>
      </c>
      <c r="AB233" s="322">
        <f>SUM(Calculations[[#This Row],[C3 recyc]:[C3 incin]])</f>
        <v>0</v>
      </c>
      <c r="AC233" s="334">
        <f>IFERROR((VLOOKUP(Calculations[[#This Row],[Waste type 2]],WasteLandfillEmissions[#All],2,FALSE))*Calculations[[#This Row],[Total Kg]]*VLOOKUP(Calculations[[#This Row],[Waste 1]],WasteScenario[#All],4,FALSE),0)</f>
        <v>0</v>
      </c>
      <c r="AD233" s="322">
        <f>IFERROR((VLOOKUP(Calculations[[#This Row],[Waste type 2]],WasteLandfillEmissions[#All],3,FALSE))*Calculations[[#This Row],[Total Kg]]*VLOOKUP(Calculations[[#This Row],[Waste 1]],WasteScenario[#All],4,FALSE),0)</f>
        <v>0</v>
      </c>
      <c r="AE233" s="322">
        <f>SUM(Calculations[[#This Row],[C4 landfill]:[C4 re-use]])</f>
        <v>0</v>
      </c>
      <c r="AF233" s="322">
        <f>IFERROR(VLOOKUP(Calculations[[#This Row],[Material (choose from dropdown]],MaterialData[#All],8,FALSE),0)</f>
        <v>0</v>
      </c>
      <c r="AG233" s="322">
        <f>IFERROR(Calculations[[#This Row],[Total Kg]]*Calculations[[#This Row],[Seq factor]],0)</f>
        <v>0</v>
      </c>
      <c r="AI233" s="322">
        <f>Calculations[[#This Row],[A1-3]]+Calculations[[#This Row],[A4]]+Calculations[[#This Row],[A5]]+Calculations[[#This Row],[B4]]+Calculations[[#This Row],[C2 total]]+Calculations[[#This Row],[C3 total]]+Calculations[[#This Row],[C4 total]]</f>
        <v>0</v>
      </c>
      <c r="AJ233" s="2">
        <f>IFERROR(VLOOKUP(Calculations[[#This Row],[Material (choose from dropdown]],MaterialData[[#Headers],[#Data]],9,FALSE),0)</f>
        <v>0</v>
      </c>
      <c r="AK233" s="4">
        <f>IFERROR(VLOOKUP(Calculations[[#This Row],[Material (choose from dropdown]],MaterialData[[#Headers],[#Data]],10,FALSE),0)</f>
        <v>0</v>
      </c>
      <c r="AL233" s="322">
        <f>IFERROR(Calculations[[#This Row],[Data Quality Score]]*Calculations[[#This Row],[Total Kg]],0)</f>
        <v>0</v>
      </c>
    </row>
    <row r="234" spans="1:38" x14ac:dyDescent="0.3">
      <c r="A234" s="6">
        <f>IFERROR(MaterialsBoQ[[#This Row],[Scope Element]],0)</f>
        <v>0</v>
      </c>
      <c r="B234">
        <f>IFERROR(MaterialsBoQ[[#This Row],[Material ]],"")</f>
        <v>0</v>
      </c>
      <c r="C234">
        <f>IFERROR(MaterialsBoQ[[#This Row],[Unit]],"")</f>
        <v>0</v>
      </c>
      <c r="D234" s="322">
        <f>IFERROR(MaterialsBoQ[[#This Row],[Number]],0)</f>
        <v>0</v>
      </c>
      <c r="E234" s="322">
        <f>IFERROR(MaterialsBoQ[[#This Row],[Kg per unit]],0)</f>
        <v>0</v>
      </c>
      <c r="F234" s="322">
        <f>IFERROR(Calculations[[#This Row],[Number]]*Calculations[[#This Row],[Conversion factor]],0)</f>
        <v>0</v>
      </c>
      <c r="G234" s="322">
        <f>IFERROR(VLOOKUP(Calculations[[#This Row],[Material (choose from dropdown]],MaterialData[#All],7,FALSE),0)</f>
        <v>0</v>
      </c>
      <c r="H234" s="322">
        <f>Calculations[[#This Row],[Total Kg]]*Calculations[[#This Row],[Carbon Factor]]</f>
        <v>0</v>
      </c>
      <c r="I234" t="str">
        <f>IFERROR(VLOOKUP(Calculations[[#This Row],[Material (choose from dropdown]],MaterialData[#All],2,FALSE),"")</f>
        <v/>
      </c>
      <c r="J234" s="322">
        <f>IFERROR(((VLOOKUP(Calculations[[#This Row],[TransportSource]],TransportDistance[],2,FALSE)*'Stage assumptions'!$C$11)+VLOOKUP(Calculations[[#This Row],[TransportSource]],TransportDistance[],3,FALSE)*'Stage assumptions'!$C$12)*Calculations[[#This Row],[Total Kg]],0)</f>
        <v>0</v>
      </c>
      <c r="K234">
        <f>IFERROR(VLOOKUP(Calculations[[#This Row],[Material (choose from dropdown]], MaterialData[#All],3, FALSE),0)</f>
        <v>0</v>
      </c>
      <c r="L234" s="322">
        <f>IFERROR(VLOOKUP(Calculations[[#This Row],[A5type]],A5WastageRate[#All],2,FALSE)*Calculations[[#This Row],[A1-3]],0)</f>
        <v>0</v>
      </c>
      <c r="N234">
        <f>IFERROR(ROUNDUP(50/VLOOKUP(Calculations[[#This Row],[Scope Element]],B4referenceServiceLife[[Tier 2 element]:[Default Service Life]],2, FALSE)-1,0),0)</f>
        <v>0</v>
      </c>
      <c r="O234" s="322">
        <f>IFERROR((Calculations[[#This Row],[A1-3]]+Calculations[[#This Row],[A4]]+Calculations[[#This Row],[A5]]+Calculations[[#This Row],[C2 total]]+Calculations[[#This Row],[C3 total]]+Calculations[[#This Row],[C4 total]])*Calculations[[#This Row],[Replacements]],0)</f>
        <v>0</v>
      </c>
      <c r="S234" t="str">
        <f>IFERROR(VLOOKUP(Calculations[[#This Row],[Material (choose from dropdown]],MaterialData[#All],4,FALSE),"")</f>
        <v/>
      </c>
      <c r="T234" s="322" cm="1">
        <f t="array" ref="T234">IFERROR(VLOOKUP(Calculations[[#This Row],[Waste 1]],WasteScenario[#All],2,FALSE)*'Stage assumptions'!$C$225*WasteTransportMethod[Emissions Factor
kgCO2e/kg.km]*Calculations[[#This Row],[Total Kg]],0)</f>
        <v>0</v>
      </c>
      <c r="U234" s="322" cm="1">
        <f t="array" ref="U234">IFERROR(VLOOKUP(Calculations[[#This Row],[Waste 1]],WasteScenario[#All],3,FALSE)*'Stage assumptions'!$C$224*WasteTransportMethod[Emissions Factor
kgCO2e/kg.km]*Calculations[[#This Row],[Total Kg]],0)</f>
        <v>0</v>
      </c>
      <c r="V234" s="322" cm="1">
        <f t="array" ref="V234">IFERROR(VLOOKUP(Calculations[[#This Row],[Waste 1]],WasteScenario[#All],4,FALSE)*'Stage assumptions'!$C$223*WasteTransportMethod[Emissions Factor
kgCO2e/kg.km]*Calculations[[#This Row],[Total Kg]],0)</f>
        <v>0</v>
      </c>
      <c r="W234" s="322" cm="1">
        <f t="array" ref="W234">IFERROR(VLOOKUP(Calculations[[#This Row],[Waste 1]],WasteScenario[#All],5,FALSE)*'Stage assumptions'!$C$226*WasteTransportMethod[Emissions Factor
kgCO2e/kg.km]*Calculations[[#This Row],[Total Kg]],0)</f>
        <v>0</v>
      </c>
      <c r="X234" s="322">
        <f>SUM(Calculations[[#This Row],[C2 Recycle]:[C2 Reuse]])</f>
        <v>0</v>
      </c>
      <c r="Y234" t="str">
        <f>IFERROR(VLOOKUP(Calculations[[#This Row],[Material (choose from dropdown]],MaterialData[#All],5,FALSE),"")</f>
        <v/>
      </c>
      <c r="Z234" s="322">
        <f>IFERROR(((VLOOKUP(Calculations[[#This Row],[Waste type 2]],WasteDisposalEmissions[#All],2,FALSE))*Calculations[[#This Row],[Total Kg]])*VLOOKUP(Calculations[[#This Row],[Waste 1]],WasteScenario[#All],2,FALSE),0)</f>
        <v>0</v>
      </c>
      <c r="AA234" s="322">
        <f>IFERROR((VLOOKUP(Calculations[[#This Row],[Waste type 2]],WasteDisposalEmissions[#All],3,FALSE))*Calculations[[#This Row],[Total Kg]]*VLOOKUP(Calculations[[#This Row],[Waste 1]],WasteScenario[#All],3,FALSE),0)</f>
        <v>0</v>
      </c>
      <c r="AB234" s="322">
        <f>SUM(Calculations[[#This Row],[C3 recyc]:[C3 incin]])</f>
        <v>0</v>
      </c>
      <c r="AC234" s="334">
        <f>IFERROR((VLOOKUP(Calculations[[#This Row],[Waste type 2]],WasteLandfillEmissions[#All],2,FALSE))*Calculations[[#This Row],[Total Kg]]*VLOOKUP(Calculations[[#This Row],[Waste 1]],WasteScenario[#All],4,FALSE),0)</f>
        <v>0</v>
      </c>
      <c r="AD234" s="322">
        <f>IFERROR((VLOOKUP(Calculations[[#This Row],[Waste type 2]],WasteLandfillEmissions[#All],3,FALSE))*Calculations[[#This Row],[Total Kg]]*VLOOKUP(Calculations[[#This Row],[Waste 1]],WasteScenario[#All],4,FALSE),0)</f>
        <v>0</v>
      </c>
      <c r="AE234" s="322">
        <f>SUM(Calculations[[#This Row],[C4 landfill]:[C4 re-use]])</f>
        <v>0</v>
      </c>
      <c r="AF234" s="322">
        <f>IFERROR(VLOOKUP(Calculations[[#This Row],[Material (choose from dropdown]],MaterialData[#All],8,FALSE),0)</f>
        <v>0</v>
      </c>
      <c r="AG234" s="322">
        <f>IFERROR(Calculations[[#This Row],[Total Kg]]*Calculations[[#This Row],[Seq factor]],0)</f>
        <v>0</v>
      </c>
      <c r="AI234" s="322">
        <f>Calculations[[#This Row],[A1-3]]+Calculations[[#This Row],[A4]]+Calculations[[#This Row],[A5]]+Calculations[[#This Row],[B4]]+Calculations[[#This Row],[C2 total]]+Calculations[[#This Row],[C3 total]]+Calculations[[#This Row],[C4 total]]</f>
        <v>0</v>
      </c>
      <c r="AJ234" s="2">
        <f>IFERROR(VLOOKUP(Calculations[[#This Row],[Material (choose from dropdown]],MaterialData[[#Headers],[#Data]],9,FALSE),0)</f>
        <v>0</v>
      </c>
      <c r="AK234" s="4">
        <f>IFERROR(VLOOKUP(Calculations[[#This Row],[Material (choose from dropdown]],MaterialData[[#Headers],[#Data]],10,FALSE),0)</f>
        <v>0</v>
      </c>
      <c r="AL234" s="322">
        <f>IFERROR(Calculations[[#This Row],[Data Quality Score]]*Calculations[[#This Row],[Total Kg]],0)</f>
        <v>0</v>
      </c>
    </row>
    <row r="235" spans="1:38" x14ac:dyDescent="0.3">
      <c r="A235" s="6">
        <f>IFERROR(MaterialsBoQ[[#This Row],[Scope Element]],0)</f>
        <v>0</v>
      </c>
      <c r="B235">
        <f>IFERROR(MaterialsBoQ[[#This Row],[Material ]],"")</f>
        <v>0</v>
      </c>
      <c r="C235">
        <f>IFERROR(MaterialsBoQ[[#This Row],[Unit]],"")</f>
        <v>0</v>
      </c>
      <c r="D235" s="322">
        <f>IFERROR(MaterialsBoQ[[#This Row],[Number]],0)</f>
        <v>0</v>
      </c>
      <c r="E235" s="322">
        <f>IFERROR(MaterialsBoQ[[#This Row],[Kg per unit]],0)</f>
        <v>0</v>
      </c>
      <c r="F235" s="322">
        <f>IFERROR(Calculations[[#This Row],[Number]]*Calculations[[#This Row],[Conversion factor]],0)</f>
        <v>0</v>
      </c>
      <c r="G235" s="322">
        <f>IFERROR(VLOOKUP(Calculations[[#This Row],[Material (choose from dropdown]],MaterialData[#All],7,FALSE),0)</f>
        <v>0</v>
      </c>
      <c r="H235" s="322">
        <f>Calculations[[#This Row],[Total Kg]]*Calculations[[#This Row],[Carbon Factor]]</f>
        <v>0</v>
      </c>
      <c r="I235" t="str">
        <f>IFERROR(VLOOKUP(Calculations[[#This Row],[Material (choose from dropdown]],MaterialData[#All],2,FALSE),"")</f>
        <v/>
      </c>
      <c r="J235" s="322">
        <f>IFERROR(((VLOOKUP(Calculations[[#This Row],[TransportSource]],TransportDistance[],2,FALSE)*'Stage assumptions'!$C$11)+VLOOKUP(Calculations[[#This Row],[TransportSource]],TransportDistance[],3,FALSE)*'Stage assumptions'!$C$12)*Calculations[[#This Row],[Total Kg]],0)</f>
        <v>0</v>
      </c>
      <c r="K235">
        <f>IFERROR(VLOOKUP(Calculations[[#This Row],[Material (choose from dropdown]], MaterialData[#All],3, FALSE),0)</f>
        <v>0</v>
      </c>
      <c r="L235" s="322">
        <f>IFERROR(VLOOKUP(Calculations[[#This Row],[A5type]],A5WastageRate[#All],2,FALSE)*Calculations[[#This Row],[A1-3]],0)</f>
        <v>0</v>
      </c>
      <c r="N235">
        <f>IFERROR(ROUNDUP(50/VLOOKUP(Calculations[[#This Row],[Scope Element]],B4referenceServiceLife[[Tier 2 element]:[Default Service Life]],2, FALSE)-1,0),0)</f>
        <v>0</v>
      </c>
      <c r="O235" s="322">
        <f>IFERROR((Calculations[[#This Row],[A1-3]]+Calculations[[#This Row],[A4]]+Calculations[[#This Row],[A5]]+Calculations[[#This Row],[C2 total]]+Calculations[[#This Row],[C3 total]]+Calculations[[#This Row],[C4 total]])*Calculations[[#This Row],[Replacements]],0)</f>
        <v>0</v>
      </c>
      <c r="S235" t="str">
        <f>IFERROR(VLOOKUP(Calculations[[#This Row],[Material (choose from dropdown]],MaterialData[#All],4,FALSE),"")</f>
        <v/>
      </c>
      <c r="T235" s="322" cm="1">
        <f t="array" ref="T235">IFERROR(VLOOKUP(Calculations[[#This Row],[Waste 1]],WasteScenario[#All],2,FALSE)*'Stage assumptions'!$C$225*WasteTransportMethod[Emissions Factor
kgCO2e/kg.km]*Calculations[[#This Row],[Total Kg]],0)</f>
        <v>0</v>
      </c>
      <c r="U235" s="322" cm="1">
        <f t="array" ref="U235">IFERROR(VLOOKUP(Calculations[[#This Row],[Waste 1]],WasteScenario[#All],3,FALSE)*'Stage assumptions'!$C$224*WasteTransportMethod[Emissions Factor
kgCO2e/kg.km]*Calculations[[#This Row],[Total Kg]],0)</f>
        <v>0</v>
      </c>
      <c r="V235" s="322" cm="1">
        <f t="array" ref="V235">IFERROR(VLOOKUP(Calculations[[#This Row],[Waste 1]],WasteScenario[#All],4,FALSE)*'Stage assumptions'!$C$223*WasteTransportMethod[Emissions Factor
kgCO2e/kg.km]*Calculations[[#This Row],[Total Kg]],0)</f>
        <v>0</v>
      </c>
      <c r="W235" s="322" cm="1">
        <f t="array" ref="W235">IFERROR(VLOOKUP(Calculations[[#This Row],[Waste 1]],WasteScenario[#All],5,FALSE)*'Stage assumptions'!$C$226*WasteTransportMethod[Emissions Factor
kgCO2e/kg.km]*Calculations[[#This Row],[Total Kg]],0)</f>
        <v>0</v>
      </c>
      <c r="X235" s="322">
        <f>SUM(Calculations[[#This Row],[C2 Recycle]:[C2 Reuse]])</f>
        <v>0</v>
      </c>
      <c r="Y235" t="str">
        <f>IFERROR(VLOOKUP(Calculations[[#This Row],[Material (choose from dropdown]],MaterialData[#All],5,FALSE),"")</f>
        <v/>
      </c>
      <c r="Z235" s="322">
        <f>IFERROR(((VLOOKUP(Calculations[[#This Row],[Waste type 2]],WasteDisposalEmissions[#All],2,FALSE))*Calculations[[#This Row],[Total Kg]])*VLOOKUP(Calculations[[#This Row],[Waste 1]],WasteScenario[#All],2,FALSE),0)</f>
        <v>0</v>
      </c>
      <c r="AA235" s="322">
        <f>IFERROR((VLOOKUP(Calculations[[#This Row],[Waste type 2]],WasteDisposalEmissions[#All],3,FALSE))*Calculations[[#This Row],[Total Kg]]*VLOOKUP(Calculations[[#This Row],[Waste 1]],WasteScenario[#All],3,FALSE),0)</f>
        <v>0</v>
      </c>
      <c r="AB235" s="322">
        <f>SUM(Calculations[[#This Row],[C3 recyc]:[C3 incin]])</f>
        <v>0</v>
      </c>
      <c r="AC235" s="334">
        <f>IFERROR((VLOOKUP(Calculations[[#This Row],[Waste type 2]],WasteLandfillEmissions[#All],2,FALSE))*Calculations[[#This Row],[Total Kg]]*VLOOKUP(Calculations[[#This Row],[Waste 1]],WasteScenario[#All],4,FALSE),0)</f>
        <v>0</v>
      </c>
      <c r="AD235" s="322">
        <f>IFERROR((VLOOKUP(Calculations[[#This Row],[Waste type 2]],WasteLandfillEmissions[#All],3,FALSE))*Calculations[[#This Row],[Total Kg]]*VLOOKUP(Calculations[[#This Row],[Waste 1]],WasteScenario[#All],4,FALSE),0)</f>
        <v>0</v>
      </c>
      <c r="AE235" s="322">
        <f>SUM(Calculations[[#This Row],[C4 landfill]:[C4 re-use]])</f>
        <v>0</v>
      </c>
      <c r="AF235" s="322">
        <f>IFERROR(VLOOKUP(Calculations[[#This Row],[Material (choose from dropdown]],MaterialData[#All],8,FALSE),0)</f>
        <v>0</v>
      </c>
      <c r="AG235" s="322">
        <f>IFERROR(Calculations[[#This Row],[Total Kg]]*Calculations[[#This Row],[Seq factor]],0)</f>
        <v>0</v>
      </c>
      <c r="AI235" s="322">
        <f>Calculations[[#This Row],[A1-3]]+Calculations[[#This Row],[A4]]+Calculations[[#This Row],[A5]]+Calculations[[#This Row],[B4]]+Calculations[[#This Row],[C2 total]]+Calculations[[#This Row],[C3 total]]+Calculations[[#This Row],[C4 total]]</f>
        <v>0</v>
      </c>
      <c r="AJ235" s="2">
        <f>IFERROR(VLOOKUP(Calculations[[#This Row],[Material (choose from dropdown]],MaterialData[[#Headers],[#Data]],9,FALSE),0)</f>
        <v>0</v>
      </c>
      <c r="AK235" s="4">
        <f>IFERROR(VLOOKUP(Calculations[[#This Row],[Material (choose from dropdown]],MaterialData[[#Headers],[#Data]],10,FALSE),0)</f>
        <v>0</v>
      </c>
      <c r="AL235" s="322">
        <f>IFERROR(Calculations[[#This Row],[Data Quality Score]]*Calculations[[#This Row],[Total Kg]],0)</f>
        <v>0</v>
      </c>
    </row>
    <row r="236" spans="1:38" x14ac:dyDescent="0.3">
      <c r="A236" s="6">
        <f>IFERROR(MaterialsBoQ[[#This Row],[Scope Element]],0)</f>
        <v>0</v>
      </c>
      <c r="B236">
        <f>IFERROR(MaterialsBoQ[[#This Row],[Material ]],"")</f>
        <v>0</v>
      </c>
      <c r="C236">
        <f>IFERROR(MaterialsBoQ[[#This Row],[Unit]],"")</f>
        <v>0</v>
      </c>
      <c r="D236" s="322">
        <f>IFERROR(MaterialsBoQ[[#This Row],[Number]],0)</f>
        <v>0</v>
      </c>
      <c r="E236" s="322">
        <f>IFERROR(MaterialsBoQ[[#This Row],[Kg per unit]],0)</f>
        <v>0</v>
      </c>
      <c r="F236" s="322">
        <f>IFERROR(Calculations[[#This Row],[Number]]*Calculations[[#This Row],[Conversion factor]],0)</f>
        <v>0</v>
      </c>
      <c r="G236" s="322">
        <f>IFERROR(VLOOKUP(Calculations[[#This Row],[Material (choose from dropdown]],MaterialData[#All],7,FALSE),0)</f>
        <v>0</v>
      </c>
      <c r="H236" s="322">
        <f>Calculations[[#This Row],[Total Kg]]*Calculations[[#This Row],[Carbon Factor]]</f>
        <v>0</v>
      </c>
      <c r="I236" t="str">
        <f>IFERROR(VLOOKUP(Calculations[[#This Row],[Material (choose from dropdown]],MaterialData[#All],2,FALSE),"")</f>
        <v/>
      </c>
      <c r="J236" s="322">
        <f>IFERROR(((VLOOKUP(Calculations[[#This Row],[TransportSource]],TransportDistance[],2,FALSE)*'Stage assumptions'!$C$11)+VLOOKUP(Calculations[[#This Row],[TransportSource]],TransportDistance[],3,FALSE)*'Stage assumptions'!$C$12)*Calculations[[#This Row],[Total Kg]],0)</f>
        <v>0</v>
      </c>
      <c r="K236">
        <f>IFERROR(VLOOKUP(Calculations[[#This Row],[Material (choose from dropdown]], MaterialData[#All],3, FALSE),0)</f>
        <v>0</v>
      </c>
      <c r="L236" s="322">
        <f>IFERROR(VLOOKUP(Calculations[[#This Row],[A5type]],A5WastageRate[#All],2,FALSE)*Calculations[[#This Row],[A1-3]],0)</f>
        <v>0</v>
      </c>
      <c r="N236">
        <f>IFERROR(ROUNDUP(50/VLOOKUP(Calculations[[#This Row],[Scope Element]],B4referenceServiceLife[[Tier 2 element]:[Default Service Life]],2, FALSE)-1,0),0)</f>
        <v>0</v>
      </c>
      <c r="O236" s="322">
        <f>IFERROR((Calculations[[#This Row],[A1-3]]+Calculations[[#This Row],[A4]]+Calculations[[#This Row],[A5]]+Calculations[[#This Row],[C2 total]]+Calculations[[#This Row],[C3 total]]+Calculations[[#This Row],[C4 total]])*Calculations[[#This Row],[Replacements]],0)</f>
        <v>0</v>
      </c>
      <c r="S236" t="str">
        <f>IFERROR(VLOOKUP(Calculations[[#This Row],[Material (choose from dropdown]],MaterialData[#All],4,FALSE),"")</f>
        <v/>
      </c>
      <c r="T236" s="322" cm="1">
        <f t="array" ref="T236">IFERROR(VLOOKUP(Calculations[[#This Row],[Waste 1]],WasteScenario[#All],2,FALSE)*'Stage assumptions'!$C$225*WasteTransportMethod[Emissions Factor
kgCO2e/kg.km]*Calculations[[#This Row],[Total Kg]],0)</f>
        <v>0</v>
      </c>
      <c r="U236" s="322" cm="1">
        <f t="array" ref="U236">IFERROR(VLOOKUP(Calculations[[#This Row],[Waste 1]],WasteScenario[#All],3,FALSE)*'Stage assumptions'!$C$224*WasteTransportMethod[Emissions Factor
kgCO2e/kg.km]*Calculations[[#This Row],[Total Kg]],0)</f>
        <v>0</v>
      </c>
      <c r="V236" s="322" cm="1">
        <f t="array" ref="V236">IFERROR(VLOOKUP(Calculations[[#This Row],[Waste 1]],WasteScenario[#All],4,FALSE)*'Stage assumptions'!$C$223*WasteTransportMethod[Emissions Factor
kgCO2e/kg.km]*Calculations[[#This Row],[Total Kg]],0)</f>
        <v>0</v>
      </c>
      <c r="W236" s="322" cm="1">
        <f t="array" ref="W236">IFERROR(VLOOKUP(Calculations[[#This Row],[Waste 1]],WasteScenario[#All],5,FALSE)*'Stage assumptions'!$C$226*WasteTransportMethod[Emissions Factor
kgCO2e/kg.km]*Calculations[[#This Row],[Total Kg]],0)</f>
        <v>0</v>
      </c>
      <c r="X236" s="322">
        <f>SUM(Calculations[[#This Row],[C2 Recycle]:[C2 Reuse]])</f>
        <v>0</v>
      </c>
      <c r="Y236" t="str">
        <f>IFERROR(VLOOKUP(Calculations[[#This Row],[Material (choose from dropdown]],MaterialData[#All],5,FALSE),"")</f>
        <v/>
      </c>
      <c r="Z236" s="322">
        <f>IFERROR(((VLOOKUP(Calculations[[#This Row],[Waste type 2]],WasteDisposalEmissions[#All],2,FALSE))*Calculations[[#This Row],[Total Kg]])*VLOOKUP(Calculations[[#This Row],[Waste 1]],WasteScenario[#All],2,FALSE),0)</f>
        <v>0</v>
      </c>
      <c r="AA236" s="322">
        <f>IFERROR((VLOOKUP(Calculations[[#This Row],[Waste type 2]],WasteDisposalEmissions[#All],3,FALSE))*Calculations[[#This Row],[Total Kg]]*VLOOKUP(Calculations[[#This Row],[Waste 1]],WasteScenario[#All],3,FALSE),0)</f>
        <v>0</v>
      </c>
      <c r="AB236" s="322">
        <f>SUM(Calculations[[#This Row],[C3 recyc]:[C3 incin]])</f>
        <v>0</v>
      </c>
      <c r="AC236" s="334">
        <f>IFERROR((VLOOKUP(Calculations[[#This Row],[Waste type 2]],WasteLandfillEmissions[#All],2,FALSE))*Calculations[[#This Row],[Total Kg]]*VLOOKUP(Calculations[[#This Row],[Waste 1]],WasteScenario[#All],4,FALSE),0)</f>
        <v>0</v>
      </c>
      <c r="AD236" s="322">
        <f>IFERROR((VLOOKUP(Calculations[[#This Row],[Waste type 2]],WasteLandfillEmissions[#All],3,FALSE))*Calculations[[#This Row],[Total Kg]]*VLOOKUP(Calculations[[#This Row],[Waste 1]],WasteScenario[#All],4,FALSE),0)</f>
        <v>0</v>
      </c>
      <c r="AE236" s="322">
        <f>SUM(Calculations[[#This Row],[C4 landfill]:[C4 re-use]])</f>
        <v>0</v>
      </c>
      <c r="AF236" s="322">
        <f>IFERROR(VLOOKUP(Calculations[[#This Row],[Material (choose from dropdown]],MaterialData[#All],8,FALSE),0)</f>
        <v>0</v>
      </c>
      <c r="AG236" s="322">
        <f>IFERROR(Calculations[[#This Row],[Total Kg]]*Calculations[[#This Row],[Seq factor]],0)</f>
        <v>0</v>
      </c>
      <c r="AI236" s="322">
        <f>Calculations[[#This Row],[A1-3]]+Calculations[[#This Row],[A4]]+Calculations[[#This Row],[A5]]+Calculations[[#This Row],[B4]]+Calculations[[#This Row],[C2 total]]+Calculations[[#This Row],[C3 total]]+Calculations[[#This Row],[C4 total]]</f>
        <v>0</v>
      </c>
      <c r="AJ236" s="2">
        <f>IFERROR(VLOOKUP(Calculations[[#This Row],[Material (choose from dropdown]],MaterialData[[#Headers],[#Data]],9,FALSE),0)</f>
        <v>0</v>
      </c>
      <c r="AK236" s="4">
        <f>IFERROR(VLOOKUP(Calculations[[#This Row],[Material (choose from dropdown]],MaterialData[[#Headers],[#Data]],10,FALSE),0)</f>
        <v>0</v>
      </c>
      <c r="AL236" s="322">
        <f>IFERROR(Calculations[[#This Row],[Data Quality Score]]*Calculations[[#This Row],[Total Kg]],0)</f>
        <v>0</v>
      </c>
    </row>
    <row r="237" spans="1:38" x14ac:dyDescent="0.3">
      <c r="A237" s="6">
        <f>IFERROR(MaterialsBoQ[[#This Row],[Scope Element]],0)</f>
        <v>0</v>
      </c>
      <c r="B237">
        <f>IFERROR(MaterialsBoQ[[#This Row],[Material ]],"")</f>
        <v>0</v>
      </c>
      <c r="C237">
        <f>IFERROR(MaterialsBoQ[[#This Row],[Unit]],"")</f>
        <v>0</v>
      </c>
      <c r="D237" s="322">
        <f>IFERROR(MaterialsBoQ[[#This Row],[Number]],0)</f>
        <v>0</v>
      </c>
      <c r="E237" s="322">
        <f>IFERROR(MaterialsBoQ[[#This Row],[Kg per unit]],0)</f>
        <v>0</v>
      </c>
      <c r="F237" s="322">
        <f>IFERROR(Calculations[[#This Row],[Number]]*Calculations[[#This Row],[Conversion factor]],0)</f>
        <v>0</v>
      </c>
      <c r="G237" s="322">
        <f>IFERROR(VLOOKUP(Calculations[[#This Row],[Material (choose from dropdown]],MaterialData[#All],7,FALSE),0)</f>
        <v>0</v>
      </c>
      <c r="H237" s="322">
        <f>Calculations[[#This Row],[Total Kg]]*Calculations[[#This Row],[Carbon Factor]]</f>
        <v>0</v>
      </c>
      <c r="I237" t="str">
        <f>IFERROR(VLOOKUP(Calculations[[#This Row],[Material (choose from dropdown]],MaterialData[#All],2,FALSE),"")</f>
        <v/>
      </c>
      <c r="J237" s="322">
        <f>IFERROR(((VLOOKUP(Calculations[[#This Row],[TransportSource]],TransportDistance[],2,FALSE)*'Stage assumptions'!$C$11)+VLOOKUP(Calculations[[#This Row],[TransportSource]],TransportDistance[],3,FALSE)*'Stage assumptions'!$C$12)*Calculations[[#This Row],[Total Kg]],0)</f>
        <v>0</v>
      </c>
      <c r="K237">
        <f>IFERROR(VLOOKUP(Calculations[[#This Row],[Material (choose from dropdown]], MaterialData[#All],3, FALSE),0)</f>
        <v>0</v>
      </c>
      <c r="L237" s="322">
        <f>IFERROR(VLOOKUP(Calculations[[#This Row],[A5type]],A5WastageRate[#All],2,FALSE)*Calculations[[#This Row],[A1-3]],0)</f>
        <v>0</v>
      </c>
      <c r="N237">
        <f>IFERROR(ROUNDUP(50/VLOOKUP(Calculations[[#This Row],[Scope Element]],B4referenceServiceLife[[Tier 2 element]:[Default Service Life]],2, FALSE)-1,0),0)</f>
        <v>0</v>
      </c>
      <c r="O237" s="322">
        <f>IFERROR((Calculations[[#This Row],[A1-3]]+Calculations[[#This Row],[A4]]+Calculations[[#This Row],[A5]]+Calculations[[#This Row],[C2 total]]+Calculations[[#This Row],[C3 total]]+Calculations[[#This Row],[C4 total]])*Calculations[[#This Row],[Replacements]],0)</f>
        <v>0</v>
      </c>
      <c r="S237" t="str">
        <f>IFERROR(VLOOKUP(Calculations[[#This Row],[Material (choose from dropdown]],MaterialData[#All],4,FALSE),"")</f>
        <v/>
      </c>
      <c r="T237" s="322" cm="1">
        <f t="array" ref="T237">IFERROR(VLOOKUP(Calculations[[#This Row],[Waste 1]],WasteScenario[#All],2,FALSE)*'Stage assumptions'!$C$225*WasteTransportMethod[Emissions Factor
kgCO2e/kg.km]*Calculations[[#This Row],[Total Kg]],0)</f>
        <v>0</v>
      </c>
      <c r="U237" s="322" cm="1">
        <f t="array" ref="U237">IFERROR(VLOOKUP(Calculations[[#This Row],[Waste 1]],WasteScenario[#All],3,FALSE)*'Stage assumptions'!$C$224*WasteTransportMethod[Emissions Factor
kgCO2e/kg.km]*Calculations[[#This Row],[Total Kg]],0)</f>
        <v>0</v>
      </c>
      <c r="V237" s="322" cm="1">
        <f t="array" ref="V237">IFERROR(VLOOKUP(Calculations[[#This Row],[Waste 1]],WasteScenario[#All],4,FALSE)*'Stage assumptions'!$C$223*WasteTransportMethod[Emissions Factor
kgCO2e/kg.km]*Calculations[[#This Row],[Total Kg]],0)</f>
        <v>0</v>
      </c>
      <c r="W237" s="322" cm="1">
        <f t="array" ref="W237">IFERROR(VLOOKUP(Calculations[[#This Row],[Waste 1]],WasteScenario[#All],5,FALSE)*'Stage assumptions'!$C$226*WasteTransportMethod[Emissions Factor
kgCO2e/kg.km]*Calculations[[#This Row],[Total Kg]],0)</f>
        <v>0</v>
      </c>
      <c r="X237" s="322">
        <f>SUM(Calculations[[#This Row],[C2 Recycle]:[C2 Reuse]])</f>
        <v>0</v>
      </c>
      <c r="Y237" t="str">
        <f>IFERROR(VLOOKUP(Calculations[[#This Row],[Material (choose from dropdown]],MaterialData[#All],5,FALSE),"")</f>
        <v/>
      </c>
      <c r="Z237" s="322">
        <f>IFERROR(((VLOOKUP(Calculations[[#This Row],[Waste type 2]],WasteDisposalEmissions[#All],2,FALSE))*Calculations[[#This Row],[Total Kg]])*VLOOKUP(Calculations[[#This Row],[Waste 1]],WasteScenario[#All],2,FALSE),0)</f>
        <v>0</v>
      </c>
      <c r="AA237" s="322">
        <f>IFERROR((VLOOKUP(Calculations[[#This Row],[Waste type 2]],WasteDisposalEmissions[#All],3,FALSE))*Calculations[[#This Row],[Total Kg]]*VLOOKUP(Calculations[[#This Row],[Waste 1]],WasteScenario[#All],3,FALSE),0)</f>
        <v>0</v>
      </c>
      <c r="AB237" s="322">
        <f>SUM(Calculations[[#This Row],[C3 recyc]:[C3 incin]])</f>
        <v>0</v>
      </c>
      <c r="AC237" s="334">
        <f>IFERROR((VLOOKUP(Calculations[[#This Row],[Waste type 2]],WasteLandfillEmissions[#All],2,FALSE))*Calculations[[#This Row],[Total Kg]]*VLOOKUP(Calculations[[#This Row],[Waste 1]],WasteScenario[#All],4,FALSE),0)</f>
        <v>0</v>
      </c>
      <c r="AD237" s="322">
        <f>IFERROR((VLOOKUP(Calculations[[#This Row],[Waste type 2]],WasteLandfillEmissions[#All],3,FALSE))*Calculations[[#This Row],[Total Kg]]*VLOOKUP(Calculations[[#This Row],[Waste 1]],WasteScenario[#All],4,FALSE),0)</f>
        <v>0</v>
      </c>
      <c r="AE237" s="322">
        <f>SUM(Calculations[[#This Row],[C4 landfill]:[C4 re-use]])</f>
        <v>0</v>
      </c>
      <c r="AF237" s="322">
        <f>IFERROR(VLOOKUP(Calculations[[#This Row],[Material (choose from dropdown]],MaterialData[#All],8,FALSE),0)</f>
        <v>0</v>
      </c>
      <c r="AG237" s="322">
        <f>IFERROR(Calculations[[#This Row],[Total Kg]]*Calculations[[#This Row],[Seq factor]],0)</f>
        <v>0</v>
      </c>
      <c r="AI237" s="322">
        <f>Calculations[[#This Row],[A1-3]]+Calculations[[#This Row],[A4]]+Calculations[[#This Row],[A5]]+Calculations[[#This Row],[B4]]+Calculations[[#This Row],[C2 total]]+Calculations[[#This Row],[C3 total]]+Calculations[[#This Row],[C4 total]]</f>
        <v>0</v>
      </c>
      <c r="AJ237" s="2">
        <f>IFERROR(VLOOKUP(Calculations[[#This Row],[Material (choose from dropdown]],MaterialData[[#Headers],[#Data]],9,FALSE),0)</f>
        <v>0</v>
      </c>
      <c r="AK237" s="4">
        <f>IFERROR(VLOOKUP(Calculations[[#This Row],[Material (choose from dropdown]],MaterialData[[#Headers],[#Data]],10,FALSE),0)</f>
        <v>0</v>
      </c>
      <c r="AL237" s="322">
        <f>IFERROR(Calculations[[#This Row],[Data Quality Score]]*Calculations[[#This Row],[Total Kg]],0)</f>
        <v>0</v>
      </c>
    </row>
    <row r="238" spans="1:38" x14ac:dyDescent="0.3">
      <c r="A238" s="6">
        <f>IFERROR(MaterialsBoQ[[#This Row],[Scope Element]],0)</f>
        <v>0</v>
      </c>
      <c r="B238">
        <f>IFERROR(MaterialsBoQ[[#This Row],[Material ]],"")</f>
        <v>0</v>
      </c>
      <c r="C238">
        <f>IFERROR(MaterialsBoQ[[#This Row],[Unit]],"")</f>
        <v>0</v>
      </c>
      <c r="D238" s="322">
        <f>IFERROR(MaterialsBoQ[[#This Row],[Number]],0)</f>
        <v>0</v>
      </c>
      <c r="E238" s="322">
        <f>IFERROR(MaterialsBoQ[[#This Row],[Kg per unit]],0)</f>
        <v>0</v>
      </c>
      <c r="F238" s="322">
        <f>IFERROR(Calculations[[#This Row],[Number]]*Calculations[[#This Row],[Conversion factor]],0)</f>
        <v>0</v>
      </c>
      <c r="G238" s="322">
        <f>IFERROR(VLOOKUP(Calculations[[#This Row],[Material (choose from dropdown]],MaterialData[#All],7,FALSE),0)</f>
        <v>0</v>
      </c>
      <c r="H238" s="322">
        <f>Calculations[[#This Row],[Total Kg]]*Calculations[[#This Row],[Carbon Factor]]</f>
        <v>0</v>
      </c>
      <c r="I238" t="str">
        <f>IFERROR(VLOOKUP(Calculations[[#This Row],[Material (choose from dropdown]],MaterialData[#All],2,FALSE),"")</f>
        <v/>
      </c>
      <c r="J238" s="322">
        <f>IFERROR(((VLOOKUP(Calculations[[#This Row],[TransportSource]],TransportDistance[],2,FALSE)*'Stage assumptions'!$C$11)+VLOOKUP(Calculations[[#This Row],[TransportSource]],TransportDistance[],3,FALSE)*'Stage assumptions'!$C$12)*Calculations[[#This Row],[Total Kg]],0)</f>
        <v>0</v>
      </c>
      <c r="K238">
        <f>IFERROR(VLOOKUP(Calculations[[#This Row],[Material (choose from dropdown]], MaterialData[#All],3, FALSE),0)</f>
        <v>0</v>
      </c>
      <c r="L238" s="322">
        <f>IFERROR(VLOOKUP(Calculations[[#This Row],[A5type]],A5WastageRate[#All],2,FALSE)*Calculations[[#This Row],[A1-3]],0)</f>
        <v>0</v>
      </c>
      <c r="N238">
        <f>IFERROR(ROUNDUP(50/VLOOKUP(Calculations[[#This Row],[Scope Element]],B4referenceServiceLife[[Tier 2 element]:[Default Service Life]],2, FALSE)-1,0),0)</f>
        <v>0</v>
      </c>
      <c r="O238" s="322">
        <f>IFERROR((Calculations[[#This Row],[A1-3]]+Calculations[[#This Row],[A4]]+Calculations[[#This Row],[A5]]+Calculations[[#This Row],[C2 total]]+Calculations[[#This Row],[C3 total]]+Calculations[[#This Row],[C4 total]])*Calculations[[#This Row],[Replacements]],0)</f>
        <v>0</v>
      </c>
      <c r="S238" t="str">
        <f>IFERROR(VLOOKUP(Calculations[[#This Row],[Material (choose from dropdown]],MaterialData[#All],4,FALSE),"")</f>
        <v/>
      </c>
      <c r="T238" s="322" cm="1">
        <f t="array" ref="T238">IFERROR(VLOOKUP(Calculations[[#This Row],[Waste 1]],WasteScenario[#All],2,FALSE)*'Stage assumptions'!$C$225*WasteTransportMethod[Emissions Factor
kgCO2e/kg.km]*Calculations[[#This Row],[Total Kg]],0)</f>
        <v>0</v>
      </c>
      <c r="U238" s="322" cm="1">
        <f t="array" ref="U238">IFERROR(VLOOKUP(Calculations[[#This Row],[Waste 1]],WasteScenario[#All],3,FALSE)*'Stage assumptions'!$C$224*WasteTransportMethod[Emissions Factor
kgCO2e/kg.km]*Calculations[[#This Row],[Total Kg]],0)</f>
        <v>0</v>
      </c>
      <c r="V238" s="322" cm="1">
        <f t="array" ref="V238">IFERROR(VLOOKUP(Calculations[[#This Row],[Waste 1]],WasteScenario[#All],4,FALSE)*'Stage assumptions'!$C$223*WasteTransportMethod[Emissions Factor
kgCO2e/kg.km]*Calculations[[#This Row],[Total Kg]],0)</f>
        <v>0</v>
      </c>
      <c r="W238" s="322" cm="1">
        <f t="array" ref="W238">IFERROR(VLOOKUP(Calculations[[#This Row],[Waste 1]],WasteScenario[#All],5,FALSE)*'Stage assumptions'!$C$226*WasteTransportMethod[Emissions Factor
kgCO2e/kg.km]*Calculations[[#This Row],[Total Kg]],0)</f>
        <v>0</v>
      </c>
      <c r="X238" s="322">
        <f>SUM(Calculations[[#This Row],[C2 Recycle]:[C2 Reuse]])</f>
        <v>0</v>
      </c>
      <c r="Y238" t="str">
        <f>IFERROR(VLOOKUP(Calculations[[#This Row],[Material (choose from dropdown]],MaterialData[#All],5,FALSE),"")</f>
        <v/>
      </c>
      <c r="Z238" s="322">
        <f>IFERROR(((VLOOKUP(Calculations[[#This Row],[Waste type 2]],WasteDisposalEmissions[#All],2,FALSE))*Calculations[[#This Row],[Total Kg]])*VLOOKUP(Calculations[[#This Row],[Waste 1]],WasteScenario[#All],2,FALSE),0)</f>
        <v>0</v>
      </c>
      <c r="AA238" s="322">
        <f>IFERROR((VLOOKUP(Calculations[[#This Row],[Waste type 2]],WasteDisposalEmissions[#All],3,FALSE))*Calculations[[#This Row],[Total Kg]]*VLOOKUP(Calculations[[#This Row],[Waste 1]],WasteScenario[#All],3,FALSE),0)</f>
        <v>0</v>
      </c>
      <c r="AB238" s="322">
        <f>SUM(Calculations[[#This Row],[C3 recyc]:[C3 incin]])</f>
        <v>0</v>
      </c>
      <c r="AC238" s="334">
        <f>IFERROR((VLOOKUP(Calculations[[#This Row],[Waste type 2]],WasteLandfillEmissions[#All],2,FALSE))*Calculations[[#This Row],[Total Kg]]*VLOOKUP(Calculations[[#This Row],[Waste 1]],WasteScenario[#All],4,FALSE),0)</f>
        <v>0</v>
      </c>
      <c r="AD238" s="322">
        <f>IFERROR((VLOOKUP(Calculations[[#This Row],[Waste type 2]],WasteLandfillEmissions[#All],3,FALSE))*Calculations[[#This Row],[Total Kg]]*VLOOKUP(Calculations[[#This Row],[Waste 1]],WasteScenario[#All],4,FALSE),0)</f>
        <v>0</v>
      </c>
      <c r="AE238" s="322">
        <f>SUM(Calculations[[#This Row],[C4 landfill]:[C4 re-use]])</f>
        <v>0</v>
      </c>
      <c r="AF238" s="322">
        <f>IFERROR(VLOOKUP(Calculations[[#This Row],[Material (choose from dropdown]],MaterialData[#All],8,FALSE),0)</f>
        <v>0</v>
      </c>
      <c r="AG238" s="322">
        <f>IFERROR(Calculations[[#This Row],[Total Kg]]*Calculations[[#This Row],[Seq factor]],0)</f>
        <v>0</v>
      </c>
      <c r="AI238" s="322">
        <f>Calculations[[#This Row],[A1-3]]+Calculations[[#This Row],[A4]]+Calculations[[#This Row],[A5]]+Calculations[[#This Row],[B4]]+Calculations[[#This Row],[C2 total]]+Calculations[[#This Row],[C3 total]]+Calculations[[#This Row],[C4 total]]</f>
        <v>0</v>
      </c>
      <c r="AJ238" s="2">
        <f>IFERROR(VLOOKUP(Calculations[[#This Row],[Material (choose from dropdown]],MaterialData[[#Headers],[#Data]],9,FALSE),0)</f>
        <v>0</v>
      </c>
      <c r="AK238" s="4">
        <f>IFERROR(VLOOKUP(Calculations[[#This Row],[Material (choose from dropdown]],MaterialData[[#Headers],[#Data]],10,FALSE),0)</f>
        <v>0</v>
      </c>
      <c r="AL238" s="322">
        <f>IFERROR(Calculations[[#This Row],[Data Quality Score]]*Calculations[[#This Row],[Total Kg]],0)</f>
        <v>0</v>
      </c>
    </row>
    <row r="239" spans="1:38" x14ac:dyDescent="0.3">
      <c r="A239" s="6">
        <f>IFERROR(MaterialsBoQ[[#This Row],[Scope Element]],0)</f>
        <v>0</v>
      </c>
      <c r="B239">
        <f>IFERROR(MaterialsBoQ[[#This Row],[Material ]],"")</f>
        <v>0</v>
      </c>
      <c r="C239">
        <f>IFERROR(MaterialsBoQ[[#This Row],[Unit]],"")</f>
        <v>0</v>
      </c>
      <c r="D239" s="322">
        <f>IFERROR(MaterialsBoQ[[#This Row],[Number]],0)</f>
        <v>0</v>
      </c>
      <c r="E239" s="322">
        <f>IFERROR(MaterialsBoQ[[#This Row],[Kg per unit]],0)</f>
        <v>0</v>
      </c>
      <c r="F239" s="322">
        <f>IFERROR(Calculations[[#This Row],[Number]]*Calculations[[#This Row],[Conversion factor]],0)</f>
        <v>0</v>
      </c>
      <c r="G239" s="322">
        <f>IFERROR(VLOOKUP(Calculations[[#This Row],[Material (choose from dropdown]],MaterialData[#All],7,FALSE),0)</f>
        <v>0</v>
      </c>
      <c r="H239" s="322">
        <f>Calculations[[#This Row],[Total Kg]]*Calculations[[#This Row],[Carbon Factor]]</f>
        <v>0</v>
      </c>
      <c r="I239" t="str">
        <f>IFERROR(VLOOKUP(Calculations[[#This Row],[Material (choose from dropdown]],MaterialData[#All],2,FALSE),"")</f>
        <v/>
      </c>
      <c r="J239" s="322">
        <f>IFERROR(((VLOOKUP(Calculations[[#This Row],[TransportSource]],TransportDistance[],2,FALSE)*'Stage assumptions'!$C$11)+VLOOKUP(Calculations[[#This Row],[TransportSource]],TransportDistance[],3,FALSE)*'Stage assumptions'!$C$12)*Calculations[[#This Row],[Total Kg]],0)</f>
        <v>0</v>
      </c>
      <c r="K239">
        <f>IFERROR(VLOOKUP(Calculations[[#This Row],[Material (choose from dropdown]], MaterialData[#All],3, FALSE),0)</f>
        <v>0</v>
      </c>
      <c r="L239" s="322">
        <f>IFERROR(VLOOKUP(Calculations[[#This Row],[A5type]],A5WastageRate[#All],2,FALSE)*Calculations[[#This Row],[A1-3]],0)</f>
        <v>0</v>
      </c>
      <c r="N239">
        <f>IFERROR(ROUNDUP(50/VLOOKUP(Calculations[[#This Row],[Scope Element]],B4referenceServiceLife[[Tier 2 element]:[Default Service Life]],2, FALSE)-1,0),0)</f>
        <v>0</v>
      </c>
      <c r="O239" s="322">
        <f>IFERROR((Calculations[[#This Row],[A1-3]]+Calculations[[#This Row],[A4]]+Calculations[[#This Row],[A5]]+Calculations[[#This Row],[C2 total]]+Calculations[[#This Row],[C3 total]]+Calculations[[#This Row],[C4 total]])*Calculations[[#This Row],[Replacements]],0)</f>
        <v>0</v>
      </c>
      <c r="S239" t="str">
        <f>IFERROR(VLOOKUP(Calculations[[#This Row],[Material (choose from dropdown]],MaterialData[#All],4,FALSE),"")</f>
        <v/>
      </c>
      <c r="T239" s="322" cm="1">
        <f t="array" ref="T239">IFERROR(VLOOKUP(Calculations[[#This Row],[Waste 1]],WasteScenario[#All],2,FALSE)*'Stage assumptions'!$C$225*WasteTransportMethod[Emissions Factor
kgCO2e/kg.km]*Calculations[[#This Row],[Total Kg]],0)</f>
        <v>0</v>
      </c>
      <c r="U239" s="322" cm="1">
        <f t="array" ref="U239">IFERROR(VLOOKUP(Calculations[[#This Row],[Waste 1]],WasteScenario[#All],3,FALSE)*'Stage assumptions'!$C$224*WasteTransportMethod[Emissions Factor
kgCO2e/kg.km]*Calculations[[#This Row],[Total Kg]],0)</f>
        <v>0</v>
      </c>
      <c r="V239" s="322" cm="1">
        <f t="array" ref="V239">IFERROR(VLOOKUP(Calculations[[#This Row],[Waste 1]],WasteScenario[#All],4,FALSE)*'Stage assumptions'!$C$223*WasteTransportMethod[Emissions Factor
kgCO2e/kg.km]*Calculations[[#This Row],[Total Kg]],0)</f>
        <v>0</v>
      </c>
      <c r="W239" s="322" cm="1">
        <f t="array" ref="W239">IFERROR(VLOOKUP(Calculations[[#This Row],[Waste 1]],WasteScenario[#All],5,FALSE)*'Stage assumptions'!$C$226*WasteTransportMethod[Emissions Factor
kgCO2e/kg.km]*Calculations[[#This Row],[Total Kg]],0)</f>
        <v>0</v>
      </c>
      <c r="X239" s="322">
        <f>SUM(Calculations[[#This Row],[C2 Recycle]:[C2 Reuse]])</f>
        <v>0</v>
      </c>
      <c r="Y239" t="str">
        <f>IFERROR(VLOOKUP(Calculations[[#This Row],[Material (choose from dropdown]],MaterialData[#All],5,FALSE),"")</f>
        <v/>
      </c>
      <c r="Z239" s="322">
        <f>IFERROR(((VLOOKUP(Calculations[[#This Row],[Waste type 2]],WasteDisposalEmissions[#All],2,FALSE))*Calculations[[#This Row],[Total Kg]])*VLOOKUP(Calculations[[#This Row],[Waste 1]],WasteScenario[#All],2,FALSE),0)</f>
        <v>0</v>
      </c>
      <c r="AA239" s="322">
        <f>IFERROR((VLOOKUP(Calculations[[#This Row],[Waste type 2]],WasteDisposalEmissions[#All],3,FALSE))*Calculations[[#This Row],[Total Kg]]*VLOOKUP(Calculations[[#This Row],[Waste 1]],WasteScenario[#All],3,FALSE),0)</f>
        <v>0</v>
      </c>
      <c r="AB239" s="322">
        <f>SUM(Calculations[[#This Row],[C3 recyc]:[C3 incin]])</f>
        <v>0</v>
      </c>
      <c r="AC239" s="334">
        <f>IFERROR((VLOOKUP(Calculations[[#This Row],[Waste type 2]],WasteLandfillEmissions[#All],2,FALSE))*Calculations[[#This Row],[Total Kg]]*VLOOKUP(Calculations[[#This Row],[Waste 1]],WasteScenario[#All],4,FALSE),0)</f>
        <v>0</v>
      </c>
      <c r="AD239" s="322">
        <f>IFERROR((VLOOKUP(Calculations[[#This Row],[Waste type 2]],WasteLandfillEmissions[#All],3,FALSE))*Calculations[[#This Row],[Total Kg]]*VLOOKUP(Calculations[[#This Row],[Waste 1]],WasteScenario[#All],4,FALSE),0)</f>
        <v>0</v>
      </c>
      <c r="AE239" s="322">
        <f>SUM(Calculations[[#This Row],[C4 landfill]:[C4 re-use]])</f>
        <v>0</v>
      </c>
      <c r="AF239" s="322">
        <f>IFERROR(VLOOKUP(Calculations[[#This Row],[Material (choose from dropdown]],MaterialData[#All],8,FALSE),0)</f>
        <v>0</v>
      </c>
      <c r="AG239" s="322">
        <f>IFERROR(Calculations[[#This Row],[Total Kg]]*Calculations[[#This Row],[Seq factor]],0)</f>
        <v>0</v>
      </c>
      <c r="AI239" s="322">
        <f>Calculations[[#This Row],[A1-3]]+Calculations[[#This Row],[A4]]+Calculations[[#This Row],[A5]]+Calculations[[#This Row],[B4]]+Calculations[[#This Row],[C2 total]]+Calculations[[#This Row],[C3 total]]+Calculations[[#This Row],[C4 total]]</f>
        <v>0</v>
      </c>
      <c r="AJ239" s="2">
        <f>IFERROR(VLOOKUP(Calculations[[#This Row],[Material (choose from dropdown]],MaterialData[[#Headers],[#Data]],9,FALSE),0)</f>
        <v>0</v>
      </c>
      <c r="AK239" s="4">
        <f>IFERROR(VLOOKUP(Calculations[[#This Row],[Material (choose from dropdown]],MaterialData[[#Headers],[#Data]],10,FALSE),0)</f>
        <v>0</v>
      </c>
      <c r="AL239" s="322">
        <f>IFERROR(Calculations[[#This Row],[Data Quality Score]]*Calculations[[#This Row],[Total Kg]],0)</f>
        <v>0</v>
      </c>
    </row>
    <row r="240" spans="1:38" x14ac:dyDescent="0.3">
      <c r="A240" s="6">
        <f>IFERROR(MaterialsBoQ[[#This Row],[Scope Element]],0)</f>
        <v>0</v>
      </c>
      <c r="B240">
        <f>IFERROR(MaterialsBoQ[[#This Row],[Material ]],"")</f>
        <v>0</v>
      </c>
      <c r="C240">
        <f>IFERROR(MaterialsBoQ[[#This Row],[Unit]],"")</f>
        <v>0</v>
      </c>
      <c r="D240" s="322">
        <f>IFERROR(MaterialsBoQ[[#This Row],[Number]],0)</f>
        <v>0</v>
      </c>
      <c r="E240" s="322">
        <f>IFERROR(MaterialsBoQ[[#This Row],[Kg per unit]],0)</f>
        <v>0</v>
      </c>
      <c r="F240" s="322">
        <f>IFERROR(Calculations[[#This Row],[Number]]*Calculations[[#This Row],[Conversion factor]],0)</f>
        <v>0</v>
      </c>
      <c r="G240" s="322">
        <f>IFERROR(VLOOKUP(Calculations[[#This Row],[Material (choose from dropdown]],MaterialData[#All],7,FALSE),0)</f>
        <v>0</v>
      </c>
      <c r="H240" s="322">
        <f>Calculations[[#This Row],[Total Kg]]*Calculations[[#This Row],[Carbon Factor]]</f>
        <v>0</v>
      </c>
      <c r="I240" t="str">
        <f>IFERROR(VLOOKUP(Calculations[[#This Row],[Material (choose from dropdown]],MaterialData[#All],2,FALSE),"")</f>
        <v/>
      </c>
      <c r="J240" s="322">
        <f>IFERROR(((VLOOKUP(Calculations[[#This Row],[TransportSource]],TransportDistance[],2,FALSE)*'Stage assumptions'!$C$11)+VLOOKUP(Calculations[[#This Row],[TransportSource]],TransportDistance[],3,FALSE)*'Stage assumptions'!$C$12)*Calculations[[#This Row],[Total Kg]],0)</f>
        <v>0</v>
      </c>
      <c r="K240">
        <f>IFERROR(VLOOKUP(Calculations[[#This Row],[Material (choose from dropdown]], MaterialData[#All],3, FALSE),0)</f>
        <v>0</v>
      </c>
      <c r="L240" s="322">
        <f>IFERROR(VLOOKUP(Calculations[[#This Row],[A5type]],A5WastageRate[#All],2,FALSE)*Calculations[[#This Row],[A1-3]],0)</f>
        <v>0</v>
      </c>
      <c r="N240">
        <f>IFERROR(ROUNDUP(50/VLOOKUP(Calculations[[#This Row],[Scope Element]],B4referenceServiceLife[[Tier 2 element]:[Default Service Life]],2, FALSE)-1,0),0)</f>
        <v>0</v>
      </c>
      <c r="O240" s="322">
        <f>IFERROR((Calculations[[#This Row],[A1-3]]+Calculations[[#This Row],[A4]]+Calculations[[#This Row],[A5]]+Calculations[[#This Row],[C2 total]]+Calculations[[#This Row],[C3 total]]+Calculations[[#This Row],[C4 total]])*Calculations[[#This Row],[Replacements]],0)</f>
        <v>0</v>
      </c>
      <c r="S240" t="str">
        <f>IFERROR(VLOOKUP(Calculations[[#This Row],[Material (choose from dropdown]],MaterialData[#All],4,FALSE),"")</f>
        <v/>
      </c>
      <c r="T240" s="322" cm="1">
        <f t="array" ref="T240">IFERROR(VLOOKUP(Calculations[[#This Row],[Waste 1]],WasteScenario[#All],2,FALSE)*'Stage assumptions'!$C$225*WasteTransportMethod[Emissions Factor
kgCO2e/kg.km]*Calculations[[#This Row],[Total Kg]],0)</f>
        <v>0</v>
      </c>
      <c r="U240" s="322" cm="1">
        <f t="array" ref="U240">IFERROR(VLOOKUP(Calculations[[#This Row],[Waste 1]],WasteScenario[#All],3,FALSE)*'Stage assumptions'!$C$224*WasteTransportMethod[Emissions Factor
kgCO2e/kg.km]*Calculations[[#This Row],[Total Kg]],0)</f>
        <v>0</v>
      </c>
      <c r="V240" s="322" cm="1">
        <f t="array" ref="V240">IFERROR(VLOOKUP(Calculations[[#This Row],[Waste 1]],WasteScenario[#All],4,FALSE)*'Stage assumptions'!$C$223*WasteTransportMethod[Emissions Factor
kgCO2e/kg.km]*Calculations[[#This Row],[Total Kg]],0)</f>
        <v>0</v>
      </c>
      <c r="W240" s="322" cm="1">
        <f t="array" ref="W240">IFERROR(VLOOKUP(Calculations[[#This Row],[Waste 1]],WasteScenario[#All],5,FALSE)*'Stage assumptions'!$C$226*WasteTransportMethod[Emissions Factor
kgCO2e/kg.km]*Calculations[[#This Row],[Total Kg]],0)</f>
        <v>0</v>
      </c>
      <c r="X240" s="322">
        <f>SUM(Calculations[[#This Row],[C2 Recycle]:[C2 Reuse]])</f>
        <v>0</v>
      </c>
      <c r="Y240" t="str">
        <f>IFERROR(VLOOKUP(Calculations[[#This Row],[Material (choose from dropdown]],MaterialData[#All],5,FALSE),"")</f>
        <v/>
      </c>
      <c r="Z240" s="322">
        <f>IFERROR(((VLOOKUP(Calculations[[#This Row],[Waste type 2]],WasteDisposalEmissions[#All],2,FALSE))*Calculations[[#This Row],[Total Kg]])*VLOOKUP(Calculations[[#This Row],[Waste 1]],WasteScenario[#All],2,FALSE),0)</f>
        <v>0</v>
      </c>
      <c r="AA240" s="322">
        <f>IFERROR((VLOOKUP(Calculations[[#This Row],[Waste type 2]],WasteDisposalEmissions[#All],3,FALSE))*Calculations[[#This Row],[Total Kg]]*VLOOKUP(Calculations[[#This Row],[Waste 1]],WasteScenario[#All],3,FALSE),0)</f>
        <v>0</v>
      </c>
      <c r="AB240" s="322">
        <f>SUM(Calculations[[#This Row],[C3 recyc]:[C3 incin]])</f>
        <v>0</v>
      </c>
      <c r="AC240" s="334">
        <f>IFERROR((VLOOKUP(Calculations[[#This Row],[Waste type 2]],WasteLandfillEmissions[#All],2,FALSE))*Calculations[[#This Row],[Total Kg]]*VLOOKUP(Calculations[[#This Row],[Waste 1]],WasteScenario[#All],4,FALSE),0)</f>
        <v>0</v>
      </c>
      <c r="AD240" s="322">
        <f>IFERROR((VLOOKUP(Calculations[[#This Row],[Waste type 2]],WasteLandfillEmissions[#All],3,FALSE))*Calculations[[#This Row],[Total Kg]]*VLOOKUP(Calculations[[#This Row],[Waste 1]],WasteScenario[#All],4,FALSE),0)</f>
        <v>0</v>
      </c>
      <c r="AE240" s="322">
        <f>SUM(Calculations[[#This Row],[C4 landfill]:[C4 re-use]])</f>
        <v>0</v>
      </c>
      <c r="AF240" s="322">
        <f>IFERROR(VLOOKUP(Calculations[[#This Row],[Material (choose from dropdown]],MaterialData[#All],8,FALSE),0)</f>
        <v>0</v>
      </c>
      <c r="AG240" s="322">
        <f>IFERROR(Calculations[[#This Row],[Total Kg]]*Calculations[[#This Row],[Seq factor]],0)</f>
        <v>0</v>
      </c>
      <c r="AI240" s="322">
        <f>Calculations[[#This Row],[A1-3]]+Calculations[[#This Row],[A4]]+Calculations[[#This Row],[A5]]+Calculations[[#This Row],[B4]]+Calculations[[#This Row],[C2 total]]+Calculations[[#This Row],[C3 total]]+Calculations[[#This Row],[C4 total]]</f>
        <v>0</v>
      </c>
      <c r="AJ240" s="2">
        <f>IFERROR(VLOOKUP(Calculations[[#This Row],[Material (choose from dropdown]],MaterialData[[#Headers],[#Data]],9,FALSE),0)</f>
        <v>0</v>
      </c>
      <c r="AK240" s="4">
        <f>IFERROR(VLOOKUP(Calculations[[#This Row],[Material (choose from dropdown]],MaterialData[[#Headers],[#Data]],10,FALSE),0)</f>
        <v>0</v>
      </c>
      <c r="AL240" s="322">
        <f>IFERROR(Calculations[[#This Row],[Data Quality Score]]*Calculations[[#This Row],[Total Kg]],0)</f>
        <v>0</v>
      </c>
    </row>
    <row r="241" spans="1:38" x14ac:dyDescent="0.3">
      <c r="A241" s="6">
        <f>IFERROR(MaterialsBoQ[[#This Row],[Scope Element]],0)</f>
        <v>0</v>
      </c>
      <c r="B241">
        <f>IFERROR(MaterialsBoQ[[#This Row],[Material ]],"")</f>
        <v>0</v>
      </c>
      <c r="C241">
        <f>IFERROR(MaterialsBoQ[[#This Row],[Unit]],"")</f>
        <v>0</v>
      </c>
      <c r="D241" s="322">
        <f>IFERROR(MaterialsBoQ[[#This Row],[Number]],0)</f>
        <v>0</v>
      </c>
      <c r="E241" s="322">
        <f>IFERROR(MaterialsBoQ[[#This Row],[Kg per unit]],0)</f>
        <v>0</v>
      </c>
      <c r="F241" s="322">
        <f>IFERROR(Calculations[[#This Row],[Number]]*Calculations[[#This Row],[Conversion factor]],0)</f>
        <v>0</v>
      </c>
      <c r="G241" s="322">
        <f>IFERROR(VLOOKUP(Calculations[[#This Row],[Material (choose from dropdown]],MaterialData[#All],7,FALSE),0)</f>
        <v>0</v>
      </c>
      <c r="H241" s="322">
        <f>Calculations[[#This Row],[Total Kg]]*Calculations[[#This Row],[Carbon Factor]]</f>
        <v>0</v>
      </c>
      <c r="I241" t="str">
        <f>IFERROR(VLOOKUP(Calculations[[#This Row],[Material (choose from dropdown]],MaterialData[#All],2,FALSE),"")</f>
        <v/>
      </c>
      <c r="J241" s="322">
        <f>IFERROR(((VLOOKUP(Calculations[[#This Row],[TransportSource]],TransportDistance[],2,FALSE)*'Stage assumptions'!$C$11)+VLOOKUP(Calculations[[#This Row],[TransportSource]],TransportDistance[],3,FALSE)*'Stage assumptions'!$C$12)*Calculations[[#This Row],[Total Kg]],0)</f>
        <v>0</v>
      </c>
      <c r="K241">
        <f>IFERROR(VLOOKUP(Calculations[[#This Row],[Material (choose from dropdown]], MaterialData[#All],3, FALSE),0)</f>
        <v>0</v>
      </c>
      <c r="L241" s="322">
        <f>IFERROR(VLOOKUP(Calculations[[#This Row],[A5type]],A5WastageRate[#All],2,FALSE)*Calculations[[#This Row],[A1-3]],0)</f>
        <v>0</v>
      </c>
      <c r="N241">
        <f>IFERROR(ROUNDUP(50/VLOOKUP(Calculations[[#This Row],[Scope Element]],B4referenceServiceLife[[Tier 2 element]:[Default Service Life]],2, FALSE)-1,0),0)</f>
        <v>0</v>
      </c>
      <c r="O241" s="322">
        <f>IFERROR((Calculations[[#This Row],[A1-3]]+Calculations[[#This Row],[A4]]+Calculations[[#This Row],[A5]]+Calculations[[#This Row],[C2 total]]+Calculations[[#This Row],[C3 total]]+Calculations[[#This Row],[C4 total]])*Calculations[[#This Row],[Replacements]],0)</f>
        <v>0</v>
      </c>
      <c r="S241" t="str">
        <f>IFERROR(VLOOKUP(Calculations[[#This Row],[Material (choose from dropdown]],MaterialData[#All],4,FALSE),"")</f>
        <v/>
      </c>
      <c r="T241" s="322" cm="1">
        <f t="array" ref="T241">IFERROR(VLOOKUP(Calculations[[#This Row],[Waste 1]],WasteScenario[#All],2,FALSE)*'Stage assumptions'!$C$225*WasteTransportMethod[Emissions Factor
kgCO2e/kg.km]*Calculations[[#This Row],[Total Kg]],0)</f>
        <v>0</v>
      </c>
      <c r="U241" s="322" cm="1">
        <f t="array" ref="U241">IFERROR(VLOOKUP(Calculations[[#This Row],[Waste 1]],WasteScenario[#All],3,FALSE)*'Stage assumptions'!$C$224*WasteTransportMethod[Emissions Factor
kgCO2e/kg.km]*Calculations[[#This Row],[Total Kg]],0)</f>
        <v>0</v>
      </c>
      <c r="V241" s="322" cm="1">
        <f t="array" ref="V241">IFERROR(VLOOKUP(Calculations[[#This Row],[Waste 1]],WasteScenario[#All],4,FALSE)*'Stage assumptions'!$C$223*WasteTransportMethod[Emissions Factor
kgCO2e/kg.km]*Calculations[[#This Row],[Total Kg]],0)</f>
        <v>0</v>
      </c>
      <c r="W241" s="322" cm="1">
        <f t="array" ref="W241">IFERROR(VLOOKUP(Calculations[[#This Row],[Waste 1]],WasteScenario[#All],5,FALSE)*'Stage assumptions'!$C$226*WasteTransportMethod[Emissions Factor
kgCO2e/kg.km]*Calculations[[#This Row],[Total Kg]],0)</f>
        <v>0</v>
      </c>
      <c r="X241" s="322">
        <f>SUM(Calculations[[#This Row],[C2 Recycle]:[C2 Reuse]])</f>
        <v>0</v>
      </c>
      <c r="Y241" t="str">
        <f>IFERROR(VLOOKUP(Calculations[[#This Row],[Material (choose from dropdown]],MaterialData[#All],5,FALSE),"")</f>
        <v/>
      </c>
      <c r="Z241" s="322">
        <f>IFERROR(((VLOOKUP(Calculations[[#This Row],[Waste type 2]],WasteDisposalEmissions[#All],2,FALSE))*Calculations[[#This Row],[Total Kg]])*VLOOKUP(Calculations[[#This Row],[Waste 1]],WasteScenario[#All],2,FALSE),0)</f>
        <v>0</v>
      </c>
      <c r="AA241" s="322">
        <f>IFERROR((VLOOKUP(Calculations[[#This Row],[Waste type 2]],WasteDisposalEmissions[#All],3,FALSE))*Calculations[[#This Row],[Total Kg]]*VLOOKUP(Calculations[[#This Row],[Waste 1]],WasteScenario[#All],3,FALSE),0)</f>
        <v>0</v>
      </c>
      <c r="AB241" s="322">
        <f>SUM(Calculations[[#This Row],[C3 recyc]:[C3 incin]])</f>
        <v>0</v>
      </c>
      <c r="AC241" s="334">
        <f>IFERROR((VLOOKUP(Calculations[[#This Row],[Waste type 2]],WasteLandfillEmissions[#All],2,FALSE))*Calculations[[#This Row],[Total Kg]]*VLOOKUP(Calculations[[#This Row],[Waste 1]],WasteScenario[#All],4,FALSE),0)</f>
        <v>0</v>
      </c>
      <c r="AD241" s="322">
        <f>IFERROR((VLOOKUP(Calculations[[#This Row],[Waste type 2]],WasteLandfillEmissions[#All],3,FALSE))*Calculations[[#This Row],[Total Kg]]*VLOOKUP(Calculations[[#This Row],[Waste 1]],WasteScenario[#All],4,FALSE),0)</f>
        <v>0</v>
      </c>
      <c r="AE241" s="322">
        <f>SUM(Calculations[[#This Row],[C4 landfill]:[C4 re-use]])</f>
        <v>0</v>
      </c>
      <c r="AF241" s="322">
        <f>IFERROR(VLOOKUP(Calculations[[#This Row],[Material (choose from dropdown]],MaterialData[#All],8,FALSE),0)</f>
        <v>0</v>
      </c>
      <c r="AG241" s="322">
        <f>IFERROR(Calculations[[#This Row],[Total Kg]]*Calculations[[#This Row],[Seq factor]],0)</f>
        <v>0</v>
      </c>
      <c r="AI241" s="322">
        <f>Calculations[[#This Row],[A1-3]]+Calculations[[#This Row],[A4]]+Calculations[[#This Row],[A5]]+Calculations[[#This Row],[B4]]+Calculations[[#This Row],[C2 total]]+Calculations[[#This Row],[C3 total]]+Calculations[[#This Row],[C4 total]]</f>
        <v>0</v>
      </c>
      <c r="AJ241" s="2">
        <f>IFERROR(VLOOKUP(Calculations[[#This Row],[Material (choose from dropdown]],MaterialData[[#Headers],[#Data]],9,FALSE),0)</f>
        <v>0</v>
      </c>
      <c r="AK241" s="4">
        <f>IFERROR(VLOOKUP(Calculations[[#This Row],[Material (choose from dropdown]],MaterialData[[#Headers],[#Data]],10,FALSE),0)</f>
        <v>0</v>
      </c>
      <c r="AL241" s="322">
        <f>IFERROR(Calculations[[#This Row],[Data Quality Score]]*Calculations[[#This Row],[Total Kg]],0)</f>
        <v>0</v>
      </c>
    </row>
    <row r="242" spans="1:38" x14ac:dyDescent="0.3">
      <c r="A242" s="6">
        <f>IFERROR(MaterialsBoQ[[#This Row],[Scope Element]],0)</f>
        <v>0</v>
      </c>
      <c r="B242">
        <f>IFERROR(MaterialsBoQ[[#This Row],[Material ]],"")</f>
        <v>0</v>
      </c>
      <c r="C242">
        <f>IFERROR(MaterialsBoQ[[#This Row],[Unit]],"")</f>
        <v>0</v>
      </c>
      <c r="D242" s="322">
        <f>IFERROR(MaterialsBoQ[[#This Row],[Number]],0)</f>
        <v>0</v>
      </c>
      <c r="E242" s="322">
        <f>IFERROR(MaterialsBoQ[[#This Row],[Kg per unit]],0)</f>
        <v>0</v>
      </c>
      <c r="F242" s="322">
        <f>IFERROR(Calculations[[#This Row],[Number]]*Calculations[[#This Row],[Conversion factor]],0)</f>
        <v>0</v>
      </c>
      <c r="G242" s="322">
        <f>IFERROR(VLOOKUP(Calculations[[#This Row],[Material (choose from dropdown]],MaterialData[#All],7,FALSE),0)</f>
        <v>0</v>
      </c>
      <c r="H242" s="322">
        <f>Calculations[[#This Row],[Total Kg]]*Calculations[[#This Row],[Carbon Factor]]</f>
        <v>0</v>
      </c>
      <c r="I242" t="str">
        <f>IFERROR(VLOOKUP(Calculations[[#This Row],[Material (choose from dropdown]],MaterialData[#All],2,FALSE),"")</f>
        <v/>
      </c>
      <c r="J242" s="322">
        <f>IFERROR(((VLOOKUP(Calculations[[#This Row],[TransportSource]],TransportDistance[],2,FALSE)*'Stage assumptions'!$C$11)+VLOOKUP(Calculations[[#This Row],[TransportSource]],TransportDistance[],3,FALSE)*'Stage assumptions'!$C$12)*Calculations[[#This Row],[Total Kg]],0)</f>
        <v>0</v>
      </c>
      <c r="K242">
        <f>IFERROR(VLOOKUP(Calculations[[#This Row],[Material (choose from dropdown]], MaterialData[#All],3, FALSE),0)</f>
        <v>0</v>
      </c>
      <c r="L242" s="322">
        <f>IFERROR(VLOOKUP(Calculations[[#This Row],[A5type]],A5WastageRate[#All],2,FALSE)*Calculations[[#This Row],[A1-3]],0)</f>
        <v>0</v>
      </c>
      <c r="N242">
        <f>IFERROR(ROUNDUP(50/VLOOKUP(Calculations[[#This Row],[Scope Element]],B4referenceServiceLife[[Tier 2 element]:[Default Service Life]],2, FALSE)-1,0),0)</f>
        <v>0</v>
      </c>
      <c r="O242" s="322">
        <f>IFERROR((Calculations[[#This Row],[A1-3]]+Calculations[[#This Row],[A4]]+Calculations[[#This Row],[A5]]+Calculations[[#This Row],[C2 total]]+Calculations[[#This Row],[C3 total]]+Calculations[[#This Row],[C4 total]])*Calculations[[#This Row],[Replacements]],0)</f>
        <v>0</v>
      </c>
      <c r="S242" t="str">
        <f>IFERROR(VLOOKUP(Calculations[[#This Row],[Material (choose from dropdown]],MaterialData[#All],4,FALSE),"")</f>
        <v/>
      </c>
      <c r="T242" s="322" cm="1">
        <f t="array" ref="T242">IFERROR(VLOOKUP(Calculations[[#This Row],[Waste 1]],WasteScenario[#All],2,FALSE)*'Stage assumptions'!$C$225*WasteTransportMethod[Emissions Factor
kgCO2e/kg.km]*Calculations[[#This Row],[Total Kg]],0)</f>
        <v>0</v>
      </c>
      <c r="U242" s="322" cm="1">
        <f t="array" ref="U242">IFERROR(VLOOKUP(Calculations[[#This Row],[Waste 1]],WasteScenario[#All],3,FALSE)*'Stage assumptions'!$C$224*WasteTransportMethod[Emissions Factor
kgCO2e/kg.km]*Calculations[[#This Row],[Total Kg]],0)</f>
        <v>0</v>
      </c>
      <c r="V242" s="322" cm="1">
        <f t="array" ref="V242">IFERROR(VLOOKUP(Calculations[[#This Row],[Waste 1]],WasteScenario[#All],4,FALSE)*'Stage assumptions'!$C$223*WasteTransportMethod[Emissions Factor
kgCO2e/kg.km]*Calculations[[#This Row],[Total Kg]],0)</f>
        <v>0</v>
      </c>
      <c r="W242" s="322" cm="1">
        <f t="array" ref="W242">IFERROR(VLOOKUP(Calculations[[#This Row],[Waste 1]],WasteScenario[#All],5,FALSE)*'Stage assumptions'!$C$226*WasteTransportMethod[Emissions Factor
kgCO2e/kg.km]*Calculations[[#This Row],[Total Kg]],0)</f>
        <v>0</v>
      </c>
      <c r="X242" s="322">
        <f>SUM(Calculations[[#This Row],[C2 Recycle]:[C2 Reuse]])</f>
        <v>0</v>
      </c>
      <c r="Y242" t="str">
        <f>IFERROR(VLOOKUP(Calculations[[#This Row],[Material (choose from dropdown]],MaterialData[#All],5,FALSE),"")</f>
        <v/>
      </c>
      <c r="Z242" s="322">
        <f>IFERROR(((VLOOKUP(Calculations[[#This Row],[Waste type 2]],WasteDisposalEmissions[#All],2,FALSE))*Calculations[[#This Row],[Total Kg]])*VLOOKUP(Calculations[[#This Row],[Waste 1]],WasteScenario[#All],2,FALSE),0)</f>
        <v>0</v>
      </c>
      <c r="AA242" s="322">
        <f>IFERROR((VLOOKUP(Calculations[[#This Row],[Waste type 2]],WasteDisposalEmissions[#All],3,FALSE))*Calculations[[#This Row],[Total Kg]]*VLOOKUP(Calculations[[#This Row],[Waste 1]],WasteScenario[#All],3,FALSE),0)</f>
        <v>0</v>
      </c>
      <c r="AB242" s="322">
        <f>SUM(Calculations[[#This Row],[C3 recyc]:[C3 incin]])</f>
        <v>0</v>
      </c>
      <c r="AC242" s="334">
        <f>IFERROR((VLOOKUP(Calculations[[#This Row],[Waste type 2]],WasteLandfillEmissions[#All],2,FALSE))*Calculations[[#This Row],[Total Kg]]*VLOOKUP(Calculations[[#This Row],[Waste 1]],WasteScenario[#All],4,FALSE),0)</f>
        <v>0</v>
      </c>
      <c r="AD242" s="322">
        <f>IFERROR((VLOOKUP(Calculations[[#This Row],[Waste type 2]],WasteLandfillEmissions[#All],3,FALSE))*Calculations[[#This Row],[Total Kg]]*VLOOKUP(Calculations[[#This Row],[Waste 1]],WasteScenario[#All],4,FALSE),0)</f>
        <v>0</v>
      </c>
      <c r="AE242" s="322">
        <f>SUM(Calculations[[#This Row],[C4 landfill]:[C4 re-use]])</f>
        <v>0</v>
      </c>
      <c r="AF242" s="322">
        <f>IFERROR(VLOOKUP(Calculations[[#This Row],[Material (choose from dropdown]],MaterialData[#All],8,FALSE),0)</f>
        <v>0</v>
      </c>
      <c r="AG242" s="322">
        <f>IFERROR(Calculations[[#This Row],[Total Kg]]*Calculations[[#This Row],[Seq factor]],0)</f>
        <v>0</v>
      </c>
      <c r="AI242" s="322">
        <f>Calculations[[#This Row],[A1-3]]+Calculations[[#This Row],[A4]]+Calculations[[#This Row],[A5]]+Calculations[[#This Row],[B4]]+Calculations[[#This Row],[C2 total]]+Calculations[[#This Row],[C3 total]]+Calculations[[#This Row],[C4 total]]</f>
        <v>0</v>
      </c>
      <c r="AJ242" s="2">
        <f>IFERROR(VLOOKUP(Calculations[[#This Row],[Material (choose from dropdown]],MaterialData[[#Headers],[#Data]],9,FALSE),0)</f>
        <v>0</v>
      </c>
      <c r="AK242" s="4">
        <f>IFERROR(VLOOKUP(Calculations[[#This Row],[Material (choose from dropdown]],MaterialData[[#Headers],[#Data]],10,FALSE),0)</f>
        <v>0</v>
      </c>
      <c r="AL242" s="322">
        <f>IFERROR(Calculations[[#This Row],[Data Quality Score]]*Calculations[[#This Row],[Total Kg]],0)</f>
        <v>0</v>
      </c>
    </row>
    <row r="243" spans="1:38" x14ac:dyDescent="0.3">
      <c r="A243" s="6">
        <f>IFERROR(MaterialsBoQ[[#This Row],[Scope Element]],0)</f>
        <v>0</v>
      </c>
      <c r="B243">
        <f>IFERROR(MaterialsBoQ[[#This Row],[Material ]],"")</f>
        <v>0</v>
      </c>
      <c r="C243">
        <f>IFERROR(MaterialsBoQ[[#This Row],[Unit]],"")</f>
        <v>0</v>
      </c>
      <c r="D243" s="322">
        <f>IFERROR(MaterialsBoQ[[#This Row],[Number]],0)</f>
        <v>0</v>
      </c>
      <c r="E243" s="322">
        <f>IFERROR(MaterialsBoQ[[#This Row],[Kg per unit]],0)</f>
        <v>0</v>
      </c>
      <c r="F243" s="322">
        <f>IFERROR(Calculations[[#This Row],[Number]]*Calculations[[#This Row],[Conversion factor]],0)</f>
        <v>0</v>
      </c>
      <c r="G243" s="322">
        <f>IFERROR(VLOOKUP(Calculations[[#This Row],[Material (choose from dropdown]],MaterialData[#All],7,FALSE),0)</f>
        <v>0</v>
      </c>
      <c r="H243" s="322">
        <f>Calculations[[#This Row],[Total Kg]]*Calculations[[#This Row],[Carbon Factor]]</f>
        <v>0</v>
      </c>
      <c r="I243" t="str">
        <f>IFERROR(VLOOKUP(Calculations[[#This Row],[Material (choose from dropdown]],MaterialData[#All],2,FALSE),"")</f>
        <v/>
      </c>
      <c r="J243" s="322">
        <f>IFERROR(((VLOOKUP(Calculations[[#This Row],[TransportSource]],TransportDistance[],2,FALSE)*'Stage assumptions'!$C$11)+VLOOKUP(Calculations[[#This Row],[TransportSource]],TransportDistance[],3,FALSE)*'Stage assumptions'!$C$12)*Calculations[[#This Row],[Total Kg]],0)</f>
        <v>0</v>
      </c>
      <c r="K243">
        <f>IFERROR(VLOOKUP(Calculations[[#This Row],[Material (choose from dropdown]], MaterialData[#All],3, FALSE),0)</f>
        <v>0</v>
      </c>
      <c r="L243" s="322">
        <f>IFERROR(VLOOKUP(Calculations[[#This Row],[A5type]],A5WastageRate[#All],2,FALSE)*Calculations[[#This Row],[A1-3]],0)</f>
        <v>0</v>
      </c>
      <c r="N243">
        <f>IFERROR(ROUNDUP(50/VLOOKUP(Calculations[[#This Row],[Scope Element]],B4referenceServiceLife[[Tier 2 element]:[Default Service Life]],2, FALSE)-1,0),0)</f>
        <v>0</v>
      </c>
      <c r="O243" s="322">
        <f>IFERROR((Calculations[[#This Row],[A1-3]]+Calculations[[#This Row],[A4]]+Calculations[[#This Row],[A5]]+Calculations[[#This Row],[C2 total]]+Calculations[[#This Row],[C3 total]]+Calculations[[#This Row],[C4 total]])*Calculations[[#This Row],[Replacements]],0)</f>
        <v>0</v>
      </c>
      <c r="S243" t="str">
        <f>IFERROR(VLOOKUP(Calculations[[#This Row],[Material (choose from dropdown]],MaterialData[#All],4,FALSE),"")</f>
        <v/>
      </c>
      <c r="T243" s="322" cm="1">
        <f t="array" ref="T243">IFERROR(VLOOKUP(Calculations[[#This Row],[Waste 1]],WasteScenario[#All],2,FALSE)*'Stage assumptions'!$C$225*WasteTransportMethod[Emissions Factor
kgCO2e/kg.km]*Calculations[[#This Row],[Total Kg]],0)</f>
        <v>0</v>
      </c>
      <c r="U243" s="322" cm="1">
        <f t="array" ref="U243">IFERROR(VLOOKUP(Calculations[[#This Row],[Waste 1]],WasteScenario[#All],3,FALSE)*'Stage assumptions'!$C$224*WasteTransportMethod[Emissions Factor
kgCO2e/kg.km]*Calculations[[#This Row],[Total Kg]],0)</f>
        <v>0</v>
      </c>
      <c r="V243" s="322" cm="1">
        <f t="array" ref="V243">IFERROR(VLOOKUP(Calculations[[#This Row],[Waste 1]],WasteScenario[#All],4,FALSE)*'Stage assumptions'!$C$223*WasteTransportMethod[Emissions Factor
kgCO2e/kg.km]*Calculations[[#This Row],[Total Kg]],0)</f>
        <v>0</v>
      </c>
      <c r="W243" s="322" cm="1">
        <f t="array" ref="W243">IFERROR(VLOOKUP(Calculations[[#This Row],[Waste 1]],WasteScenario[#All],5,FALSE)*'Stage assumptions'!$C$226*WasteTransportMethod[Emissions Factor
kgCO2e/kg.km]*Calculations[[#This Row],[Total Kg]],0)</f>
        <v>0</v>
      </c>
      <c r="X243" s="322">
        <f>SUM(Calculations[[#This Row],[C2 Recycle]:[C2 Reuse]])</f>
        <v>0</v>
      </c>
      <c r="Y243" t="str">
        <f>IFERROR(VLOOKUP(Calculations[[#This Row],[Material (choose from dropdown]],MaterialData[#All],5,FALSE),"")</f>
        <v/>
      </c>
      <c r="Z243" s="322">
        <f>IFERROR(((VLOOKUP(Calculations[[#This Row],[Waste type 2]],WasteDisposalEmissions[#All],2,FALSE))*Calculations[[#This Row],[Total Kg]])*VLOOKUP(Calculations[[#This Row],[Waste 1]],WasteScenario[#All],2,FALSE),0)</f>
        <v>0</v>
      </c>
      <c r="AA243" s="322">
        <f>IFERROR((VLOOKUP(Calculations[[#This Row],[Waste type 2]],WasteDisposalEmissions[#All],3,FALSE))*Calculations[[#This Row],[Total Kg]]*VLOOKUP(Calculations[[#This Row],[Waste 1]],WasteScenario[#All],3,FALSE),0)</f>
        <v>0</v>
      </c>
      <c r="AB243" s="322">
        <f>SUM(Calculations[[#This Row],[C3 recyc]:[C3 incin]])</f>
        <v>0</v>
      </c>
      <c r="AC243" s="334">
        <f>IFERROR((VLOOKUP(Calculations[[#This Row],[Waste type 2]],WasteLandfillEmissions[#All],2,FALSE))*Calculations[[#This Row],[Total Kg]]*VLOOKUP(Calculations[[#This Row],[Waste 1]],WasteScenario[#All],4,FALSE),0)</f>
        <v>0</v>
      </c>
      <c r="AD243" s="322">
        <f>IFERROR((VLOOKUP(Calculations[[#This Row],[Waste type 2]],WasteLandfillEmissions[#All],3,FALSE))*Calculations[[#This Row],[Total Kg]]*VLOOKUP(Calculations[[#This Row],[Waste 1]],WasteScenario[#All],4,FALSE),0)</f>
        <v>0</v>
      </c>
      <c r="AE243" s="322">
        <f>SUM(Calculations[[#This Row],[C4 landfill]:[C4 re-use]])</f>
        <v>0</v>
      </c>
      <c r="AF243" s="322">
        <f>IFERROR(VLOOKUP(Calculations[[#This Row],[Material (choose from dropdown]],MaterialData[#All],8,FALSE),0)</f>
        <v>0</v>
      </c>
      <c r="AG243" s="322">
        <f>IFERROR(Calculations[[#This Row],[Total Kg]]*Calculations[[#This Row],[Seq factor]],0)</f>
        <v>0</v>
      </c>
      <c r="AI243" s="322">
        <f>Calculations[[#This Row],[A1-3]]+Calculations[[#This Row],[A4]]+Calculations[[#This Row],[A5]]+Calculations[[#This Row],[B4]]+Calculations[[#This Row],[C2 total]]+Calculations[[#This Row],[C3 total]]+Calculations[[#This Row],[C4 total]]</f>
        <v>0</v>
      </c>
      <c r="AJ243" s="2">
        <f>IFERROR(VLOOKUP(Calculations[[#This Row],[Material (choose from dropdown]],MaterialData[[#Headers],[#Data]],9,FALSE),0)</f>
        <v>0</v>
      </c>
      <c r="AK243" s="4">
        <f>IFERROR(VLOOKUP(Calculations[[#This Row],[Material (choose from dropdown]],MaterialData[[#Headers],[#Data]],10,FALSE),0)</f>
        <v>0</v>
      </c>
      <c r="AL243" s="322">
        <f>IFERROR(Calculations[[#This Row],[Data Quality Score]]*Calculations[[#This Row],[Total Kg]],0)</f>
        <v>0</v>
      </c>
    </row>
    <row r="244" spans="1:38" x14ac:dyDescent="0.3">
      <c r="A244" s="6">
        <f>IFERROR(MaterialsBoQ[[#This Row],[Scope Element]],0)</f>
        <v>0</v>
      </c>
      <c r="B244">
        <f>IFERROR(MaterialsBoQ[[#This Row],[Material ]],"")</f>
        <v>0</v>
      </c>
      <c r="C244">
        <f>IFERROR(MaterialsBoQ[[#This Row],[Unit]],"")</f>
        <v>0</v>
      </c>
      <c r="D244" s="322">
        <f>IFERROR(MaterialsBoQ[[#This Row],[Number]],0)</f>
        <v>0</v>
      </c>
      <c r="E244" s="322">
        <f>IFERROR(MaterialsBoQ[[#This Row],[Kg per unit]],0)</f>
        <v>0</v>
      </c>
      <c r="F244" s="322">
        <f>IFERROR(Calculations[[#This Row],[Number]]*Calculations[[#This Row],[Conversion factor]],0)</f>
        <v>0</v>
      </c>
      <c r="G244" s="322">
        <f>IFERROR(VLOOKUP(Calculations[[#This Row],[Material (choose from dropdown]],MaterialData[#All],7,FALSE),0)</f>
        <v>0</v>
      </c>
      <c r="H244" s="322">
        <f>Calculations[[#This Row],[Total Kg]]*Calculations[[#This Row],[Carbon Factor]]</f>
        <v>0</v>
      </c>
      <c r="I244" t="str">
        <f>IFERROR(VLOOKUP(Calculations[[#This Row],[Material (choose from dropdown]],MaterialData[#All],2,FALSE),"")</f>
        <v/>
      </c>
      <c r="J244" s="322">
        <f>IFERROR(((VLOOKUP(Calculations[[#This Row],[TransportSource]],TransportDistance[],2,FALSE)*'Stage assumptions'!$C$11)+VLOOKUP(Calculations[[#This Row],[TransportSource]],TransportDistance[],3,FALSE)*'Stage assumptions'!$C$12)*Calculations[[#This Row],[Total Kg]],0)</f>
        <v>0</v>
      </c>
      <c r="K244">
        <f>IFERROR(VLOOKUP(Calculations[[#This Row],[Material (choose from dropdown]], MaterialData[#All],3, FALSE),0)</f>
        <v>0</v>
      </c>
      <c r="L244" s="322">
        <f>IFERROR(VLOOKUP(Calculations[[#This Row],[A5type]],A5WastageRate[#All],2,FALSE)*Calculations[[#This Row],[A1-3]],0)</f>
        <v>0</v>
      </c>
      <c r="N244">
        <f>IFERROR(ROUNDUP(50/VLOOKUP(Calculations[[#This Row],[Scope Element]],B4referenceServiceLife[[Tier 2 element]:[Default Service Life]],2, FALSE)-1,0),0)</f>
        <v>0</v>
      </c>
      <c r="O244" s="322">
        <f>IFERROR((Calculations[[#This Row],[A1-3]]+Calculations[[#This Row],[A4]]+Calculations[[#This Row],[A5]]+Calculations[[#This Row],[C2 total]]+Calculations[[#This Row],[C3 total]]+Calculations[[#This Row],[C4 total]])*Calculations[[#This Row],[Replacements]],0)</f>
        <v>0</v>
      </c>
      <c r="S244" t="str">
        <f>IFERROR(VLOOKUP(Calculations[[#This Row],[Material (choose from dropdown]],MaterialData[#All],4,FALSE),"")</f>
        <v/>
      </c>
      <c r="T244" s="322" cm="1">
        <f t="array" ref="T244">IFERROR(VLOOKUP(Calculations[[#This Row],[Waste 1]],WasteScenario[#All],2,FALSE)*'Stage assumptions'!$C$225*WasteTransportMethod[Emissions Factor
kgCO2e/kg.km]*Calculations[[#This Row],[Total Kg]],0)</f>
        <v>0</v>
      </c>
      <c r="U244" s="322" cm="1">
        <f t="array" ref="U244">IFERROR(VLOOKUP(Calculations[[#This Row],[Waste 1]],WasteScenario[#All],3,FALSE)*'Stage assumptions'!$C$224*WasteTransportMethod[Emissions Factor
kgCO2e/kg.km]*Calculations[[#This Row],[Total Kg]],0)</f>
        <v>0</v>
      </c>
      <c r="V244" s="322" cm="1">
        <f t="array" ref="V244">IFERROR(VLOOKUP(Calculations[[#This Row],[Waste 1]],WasteScenario[#All],4,FALSE)*'Stage assumptions'!$C$223*WasteTransportMethod[Emissions Factor
kgCO2e/kg.km]*Calculations[[#This Row],[Total Kg]],0)</f>
        <v>0</v>
      </c>
      <c r="W244" s="322" cm="1">
        <f t="array" ref="W244">IFERROR(VLOOKUP(Calculations[[#This Row],[Waste 1]],WasteScenario[#All],5,FALSE)*'Stage assumptions'!$C$226*WasteTransportMethod[Emissions Factor
kgCO2e/kg.km]*Calculations[[#This Row],[Total Kg]],0)</f>
        <v>0</v>
      </c>
      <c r="X244" s="322">
        <f>SUM(Calculations[[#This Row],[C2 Recycle]:[C2 Reuse]])</f>
        <v>0</v>
      </c>
      <c r="Y244" t="str">
        <f>IFERROR(VLOOKUP(Calculations[[#This Row],[Material (choose from dropdown]],MaterialData[#All],5,FALSE),"")</f>
        <v/>
      </c>
      <c r="Z244" s="322">
        <f>IFERROR(((VLOOKUP(Calculations[[#This Row],[Waste type 2]],WasteDisposalEmissions[#All],2,FALSE))*Calculations[[#This Row],[Total Kg]])*VLOOKUP(Calculations[[#This Row],[Waste 1]],WasteScenario[#All],2,FALSE),0)</f>
        <v>0</v>
      </c>
      <c r="AA244" s="322">
        <f>IFERROR((VLOOKUP(Calculations[[#This Row],[Waste type 2]],WasteDisposalEmissions[#All],3,FALSE))*Calculations[[#This Row],[Total Kg]]*VLOOKUP(Calculations[[#This Row],[Waste 1]],WasteScenario[#All],3,FALSE),0)</f>
        <v>0</v>
      </c>
      <c r="AB244" s="322">
        <f>SUM(Calculations[[#This Row],[C3 recyc]:[C3 incin]])</f>
        <v>0</v>
      </c>
      <c r="AC244" s="334">
        <f>IFERROR((VLOOKUP(Calculations[[#This Row],[Waste type 2]],WasteLandfillEmissions[#All],2,FALSE))*Calculations[[#This Row],[Total Kg]]*VLOOKUP(Calculations[[#This Row],[Waste 1]],WasteScenario[#All],4,FALSE),0)</f>
        <v>0</v>
      </c>
      <c r="AD244" s="322">
        <f>IFERROR((VLOOKUP(Calculations[[#This Row],[Waste type 2]],WasteLandfillEmissions[#All],3,FALSE))*Calculations[[#This Row],[Total Kg]]*VLOOKUP(Calculations[[#This Row],[Waste 1]],WasteScenario[#All],4,FALSE),0)</f>
        <v>0</v>
      </c>
      <c r="AE244" s="322">
        <f>SUM(Calculations[[#This Row],[C4 landfill]:[C4 re-use]])</f>
        <v>0</v>
      </c>
      <c r="AF244" s="322">
        <f>IFERROR(VLOOKUP(Calculations[[#This Row],[Material (choose from dropdown]],MaterialData[#All],8,FALSE),0)</f>
        <v>0</v>
      </c>
      <c r="AG244" s="322">
        <f>IFERROR(Calculations[[#This Row],[Total Kg]]*Calculations[[#This Row],[Seq factor]],0)</f>
        <v>0</v>
      </c>
      <c r="AI244" s="322">
        <f>Calculations[[#This Row],[A1-3]]+Calculations[[#This Row],[A4]]+Calculations[[#This Row],[A5]]+Calculations[[#This Row],[B4]]+Calculations[[#This Row],[C2 total]]+Calculations[[#This Row],[C3 total]]+Calculations[[#This Row],[C4 total]]</f>
        <v>0</v>
      </c>
      <c r="AJ244" s="2">
        <f>IFERROR(VLOOKUP(Calculations[[#This Row],[Material (choose from dropdown]],MaterialData[[#Headers],[#Data]],9,FALSE),0)</f>
        <v>0</v>
      </c>
      <c r="AK244" s="4">
        <f>IFERROR(VLOOKUP(Calculations[[#This Row],[Material (choose from dropdown]],MaterialData[[#Headers],[#Data]],10,FALSE),0)</f>
        <v>0</v>
      </c>
      <c r="AL244" s="322">
        <f>IFERROR(Calculations[[#This Row],[Data Quality Score]]*Calculations[[#This Row],[Total Kg]],0)</f>
        <v>0</v>
      </c>
    </row>
    <row r="245" spans="1:38" x14ac:dyDescent="0.3">
      <c r="A245" s="6">
        <f>IFERROR(MaterialsBoQ[[#This Row],[Scope Element]],0)</f>
        <v>0</v>
      </c>
      <c r="B245">
        <f>IFERROR(MaterialsBoQ[[#This Row],[Material ]],"")</f>
        <v>0</v>
      </c>
      <c r="C245">
        <f>IFERROR(MaterialsBoQ[[#This Row],[Unit]],"")</f>
        <v>0</v>
      </c>
      <c r="D245" s="322">
        <f>IFERROR(MaterialsBoQ[[#This Row],[Number]],0)</f>
        <v>0</v>
      </c>
      <c r="E245" s="322">
        <f>IFERROR(MaterialsBoQ[[#This Row],[Kg per unit]],0)</f>
        <v>0</v>
      </c>
      <c r="F245" s="322">
        <f>IFERROR(Calculations[[#This Row],[Number]]*Calculations[[#This Row],[Conversion factor]],0)</f>
        <v>0</v>
      </c>
      <c r="G245" s="322">
        <f>IFERROR(VLOOKUP(Calculations[[#This Row],[Material (choose from dropdown]],MaterialData[#All],7,FALSE),0)</f>
        <v>0</v>
      </c>
      <c r="H245" s="322">
        <f>Calculations[[#This Row],[Total Kg]]*Calculations[[#This Row],[Carbon Factor]]</f>
        <v>0</v>
      </c>
      <c r="I245" t="str">
        <f>IFERROR(VLOOKUP(Calculations[[#This Row],[Material (choose from dropdown]],MaterialData[#All],2,FALSE),"")</f>
        <v/>
      </c>
      <c r="J245" s="322">
        <f>IFERROR(((VLOOKUP(Calculations[[#This Row],[TransportSource]],TransportDistance[],2,FALSE)*'Stage assumptions'!$C$11)+VLOOKUP(Calculations[[#This Row],[TransportSource]],TransportDistance[],3,FALSE)*'Stage assumptions'!$C$12)*Calculations[[#This Row],[Total Kg]],0)</f>
        <v>0</v>
      </c>
      <c r="K245">
        <f>IFERROR(VLOOKUP(Calculations[[#This Row],[Material (choose from dropdown]], MaterialData[#All],3, FALSE),0)</f>
        <v>0</v>
      </c>
      <c r="L245" s="322">
        <f>IFERROR(VLOOKUP(Calculations[[#This Row],[A5type]],A5WastageRate[#All],2,FALSE)*Calculations[[#This Row],[A1-3]],0)</f>
        <v>0</v>
      </c>
      <c r="N245">
        <f>IFERROR(ROUNDUP(50/VLOOKUP(Calculations[[#This Row],[Scope Element]],B4referenceServiceLife[[Tier 2 element]:[Default Service Life]],2, FALSE)-1,0),0)</f>
        <v>0</v>
      </c>
      <c r="O245" s="322">
        <f>IFERROR((Calculations[[#This Row],[A1-3]]+Calculations[[#This Row],[A4]]+Calculations[[#This Row],[A5]]+Calculations[[#This Row],[C2 total]]+Calculations[[#This Row],[C3 total]]+Calculations[[#This Row],[C4 total]])*Calculations[[#This Row],[Replacements]],0)</f>
        <v>0</v>
      </c>
      <c r="S245" t="str">
        <f>IFERROR(VLOOKUP(Calculations[[#This Row],[Material (choose from dropdown]],MaterialData[#All],4,FALSE),"")</f>
        <v/>
      </c>
      <c r="T245" s="322" cm="1">
        <f t="array" ref="T245">IFERROR(VLOOKUP(Calculations[[#This Row],[Waste 1]],WasteScenario[#All],2,FALSE)*'Stage assumptions'!$C$225*WasteTransportMethod[Emissions Factor
kgCO2e/kg.km]*Calculations[[#This Row],[Total Kg]],0)</f>
        <v>0</v>
      </c>
      <c r="U245" s="322" cm="1">
        <f t="array" ref="U245">IFERROR(VLOOKUP(Calculations[[#This Row],[Waste 1]],WasteScenario[#All],3,FALSE)*'Stage assumptions'!$C$224*WasteTransportMethod[Emissions Factor
kgCO2e/kg.km]*Calculations[[#This Row],[Total Kg]],0)</f>
        <v>0</v>
      </c>
      <c r="V245" s="322" cm="1">
        <f t="array" ref="V245">IFERROR(VLOOKUP(Calculations[[#This Row],[Waste 1]],WasteScenario[#All],4,FALSE)*'Stage assumptions'!$C$223*WasteTransportMethod[Emissions Factor
kgCO2e/kg.km]*Calculations[[#This Row],[Total Kg]],0)</f>
        <v>0</v>
      </c>
      <c r="W245" s="322" cm="1">
        <f t="array" ref="W245">IFERROR(VLOOKUP(Calculations[[#This Row],[Waste 1]],WasteScenario[#All],5,FALSE)*'Stage assumptions'!$C$226*WasteTransportMethod[Emissions Factor
kgCO2e/kg.km]*Calculations[[#This Row],[Total Kg]],0)</f>
        <v>0</v>
      </c>
      <c r="X245" s="322">
        <f>SUM(Calculations[[#This Row],[C2 Recycle]:[C2 Reuse]])</f>
        <v>0</v>
      </c>
      <c r="Y245" t="str">
        <f>IFERROR(VLOOKUP(Calculations[[#This Row],[Material (choose from dropdown]],MaterialData[#All],5,FALSE),"")</f>
        <v/>
      </c>
      <c r="Z245" s="322">
        <f>IFERROR(((VLOOKUP(Calculations[[#This Row],[Waste type 2]],WasteDisposalEmissions[#All],2,FALSE))*Calculations[[#This Row],[Total Kg]])*VLOOKUP(Calculations[[#This Row],[Waste 1]],WasteScenario[#All],2,FALSE),0)</f>
        <v>0</v>
      </c>
      <c r="AA245" s="322">
        <f>IFERROR((VLOOKUP(Calculations[[#This Row],[Waste type 2]],WasteDisposalEmissions[#All],3,FALSE))*Calculations[[#This Row],[Total Kg]]*VLOOKUP(Calculations[[#This Row],[Waste 1]],WasteScenario[#All],3,FALSE),0)</f>
        <v>0</v>
      </c>
      <c r="AB245" s="322">
        <f>SUM(Calculations[[#This Row],[C3 recyc]:[C3 incin]])</f>
        <v>0</v>
      </c>
      <c r="AC245" s="334">
        <f>IFERROR((VLOOKUP(Calculations[[#This Row],[Waste type 2]],WasteLandfillEmissions[#All],2,FALSE))*Calculations[[#This Row],[Total Kg]]*VLOOKUP(Calculations[[#This Row],[Waste 1]],WasteScenario[#All],4,FALSE),0)</f>
        <v>0</v>
      </c>
      <c r="AD245" s="322">
        <f>IFERROR((VLOOKUP(Calculations[[#This Row],[Waste type 2]],WasteLandfillEmissions[#All],3,FALSE))*Calculations[[#This Row],[Total Kg]]*VLOOKUP(Calculations[[#This Row],[Waste 1]],WasteScenario[#All],4,FALSE),0)</f>
        <v>0</v>
      </c>
      <c r="AE245" s="322">
        <f>SUM(Calculations[[#This Row],[C4 landfill]:[C4 re-use]])</f>
        <v>0</v>
      </c>
      <c r="AF245" s="322">
        <f>IFERROR(VLOOKUP(Calculations[[#This Row],[Material (choose from dropdown]],MaterialData[#All],8,FALSE),0)</f>
        <v>0</v>
      </c>
      <c r="AG245" s="322">
        <f>IFERROR(Calculations[[#This Row],[Total Kg]]*Calculations[[#This Row],[Seq factor]],0)</f>
        <v>0</v>
      </c>
      <c r="AI245" s="322">
        <f>Calculations[[#This Row],[A1-3]]+Calculations[[#This Row],[A4]]+Calculations[[#This Row],[A5]]+Calculations[[#This Row],[B4]]+Calculations[[#This Row],[C2 total]]+Calculations[[#This Row],[C3 total]]+Calculations[[#This Row],[C4 total]]</f>
        <v>0</v>
      </c>
      <c r="AJ245" s="2">
        <f>IFERROR(VLOOKUP(Calculations[[#This Row],[Material (choose from dropdown]],MaterialData[[#Headers],[#Data]],9,FALSE),0)</f>
        <v>0</v>
      </c>
      <c r="AK245" s="4">
        <f>IFERROR(VLOOKUP(Calculations[[#This Row],[Material (choose from dropdown]],MaterialData[[#Headers],[#Data]],10,FALSE),0)</f>
        <v>0</v>
      </c>
      <c r="AL245" s="322">
        <f>IFERROR(Calculations[[#This Row],[Data Quality Score]]*Calculations[[#This Row],[Total Kg]],0)</f>
        <v>0</v>
      </c>
    </row>
    <row r="246" spans="1:38" x14ac:dyDescent="0.3">
      <c r="A246" s="6">
        <f>IFERROR(MaterialsBoQ[[#This Row],[Scope Element]],0)</f>
        <v>0</v>
      </c>
      <c r="B246">
        <f>IFERROR(MaterialsBoQ[[#This Row],[Material ]],"")</f>
        <v>0</v>
      </c>
      <c r="C246">
        <f>IFERROR(MaterialsBoQ[[#This Row],[Unit]],"")</f>
        <v>0</v>
      </c>
      <c r="D246" s="322">
        <f>IFERROR(MaterialsBoQ[[#This Row],[Number]],0)</f>
        <v>0</v>
      </c>
      <c r="E246" s="322">
        <f>IFERROR(MaterialsBoQ[[#This Row],[Kg per unit]],0)</f>
        <v>0</v>
      </c>
      <c r="F246" s="322">
        <f>IFERROR(Calculations[[#This Row],[Number]]*Calculations[[#This Row],[Conversion factor]],0)</f>
        <v>0</v>
      </c>
      <c r="G246" s="322">
        <f>IFERROR(VLOOKUP(Calculations[[#This Row],[Material (choose from dropdown]],MaterialData[#All],7,FALSE),0)</f>
        <v>0</v>
      </c>
      <c r="H246" s="322">
        <f>Calculations[[#This Row],[Total Kg]]*Calculations[[#This Row],[Carbon Factor]]</f>
        <v>0</v>
      </c>
      <c r="I246" t="str">
        <f>IFERROR(VLOOKUP(Calculations[[#This Row],[Material (choose from dropdown]],MaterialData[#All],2,FALSE),"")</f>
        <v/>
      </c>
      <c r="J246" s="322">
        <f>IFERROR(((VLOOKUP(Calculations[[#This Row],[TransportSource]],TransportDistance[],2,FALSE)*'Stage assumptions'!$C$11)+VLOOKUP(Calculations[[#This Row],[TransportSource]],TransportDistance[],3,FALSE)*'Stage assumptions'!$C$12)*Calculations[[#This Row],[Total Kg]],0)</f>
        <v>0</v>
      </c>
      <c r="K246">
        <f>IFERROR(VLOOKUP(Calculations[[#This Row],[Material (choose from dropdown]], MaterialData[#All],3, FALSE),0)</f>
        <v>0</v>
      </c>
      <c r="L246" s="322">
        <f>IFERROR(VLOOKUP(Calculations[[#This Row],[A5type]],A5WastageRate[#All],2,FALSE)*Calculations[[#This Row],[A1-3]],0)</f>
        <v>0</v>
      </c>
      <c r="N246">
        <f>IFERROR(ROUNDUP(50/VLOOKUP(Calculations[[#This Row],[Scope Element]],B4referenceServiceLife[[Tier 2 element]:[Default Service Life]],2, FALSE)-1,0),0)</f>
        <v>0</v>
      </c>
      <c r="O246" s="322">
        <f>IFERROR((Calculations[[#This Row],[A1-3]]+Calculations[[#This Row],[A4]]+Calculations[[#This Row],[A5]]+Calculations[[#This Row],[C2 total]]+Calculations[[#This Row],[C3 total]]+Calculations[[#This Row],[C4 total]])*Calculations[[#This Row],[Replacements]],0)</f>
        <v>0</v>
      </c>
      <c r="S246" t="str">
        <f>IFERROR(VLOOKUP(Calculations[[#This Row],[Material (choose from dropdown]],MaterialData[#All],4,FALSE),"")</f>
        <v/>
      </c>
      <c r="T246" s="322" cm="1">
        <f t="array" ref="T246">IFERROR(VLOOKUP(Calculations[[#This Row],[Waste 1]],WasteScenario[#All],2,FALSE)*'Stage assumptions'!$C$225*WasteTransportMethod[Emissions Factor
kgCO2e/kg.km]*Calculations[[#This Row],[Total Kg]],0)</f>
        <v>0</v>
      </c>
      <c r="U246" s="322" cm="1">
        <f t="array" ref="U246">IFERROR(VLOOKUP(Calculations[[#This Row],[Waste 1]],WasteScenario[#All],3,FALSE)*'Stage assumptions'!$C$224*WasteTransportMethod[Emissions Factor
kgCO2e/kg.km]*Calculations[[#This Row],[Total Kg]],0)</f>
        <v>0</v>
      </c>
      <c r="V246" s="322" cm="1">
        <f t="array" ref="V246">IFERROR(VLOOKUP(Calculations[[#This Row],[Waste 1]],WasteScenario[#All],4,FALSE)*'Stage assumptions'!$C$223*WasteTransportMethod[Emissions Factor
kgCO2e/kg.km]*Calculations[[#This Row],[Total Kg]],0)</f>
        <v>0</v>
      </c>
      <c r="W246" s="322" cm="1">
        <f t="array" ref="W246">IFERROR(VLOOKUP(Calculations[[#This Row],[Waste 1]],WasteScenario[#All],5,FALSE)*'Stage assumptions'!$C$226*WasteTransportMethod[Emissions Factor
kgCO2e/kg.km]*Calculations[[#This Row],[Total Kg]],0)</f>
        <v>0</v>
      </c>
      <c r="X246" s="322">
        <f>SUM(Calculations[[#This Row],[C2 Recycle]:[C2 Reuse]])</f>
        <v>0</v>
      </c>
      <c r="Y246" t="str">
        <f>IFERROR(VLOOKUP(Calculations[[#This Row],[Material (choose from dropdown]],MaterialData[#All],5,FALSE),"")</f>
        <v/>
      </c>
      <c r="Z246" s="322">
        <f>IFERROR(((VLOOKUP(Calculations[[#This Row],[Waste type 2]],WasteDisposalEmissions[#All],2,FALSE))*Calculations[[#This Row],[Total Kg]])*VLOOKUP(Calculations[[#This Row],[Waste 1]],WasteScenario[#All],2,FALSE),0)</f>
        <v>0</v>
      </c>
      <c r="AA246" s="322">
        <f>IFERROR((VLOOKUP(Calculations[[#This Row],[Waste type 2]],WasteDisposalEmissions[#All],3,FALSE))*Calculations[[#This Row],[Total Kg]]*VLOOKUP(Calculations[[#This Row],[Waste 1]],WasteScenario[#All],3,FALSE),0)</f>
        <v>0</v>
      </c>
      <c r="AB246" s="322">
        <f>SUM(Calculations[[#This Row],[C3 recyc]:[C3 incin]])</f>
        <v>0</v>
      </c>
      <c r="AC246" s="334">
        <f>IFERROR((VLOOKUP(Calculations[[#This Row],[Waste type 2]],WasteLandfillEmissions[#All],2,FALSE))*Calculations[[#This Row],[Total Kg]]*VLOOKUP(Calculations[[#This Row],[Waste 1]],WasteScenario[#All],4,FALSE),0)</f>
        <v>0</v>
      </c>
      <c r="AD246" s="322">
        <f>IFERROR((VLOOKUP(Calculations[[#This Row],[Waste type 2]],WasteLandfillEmissions[#All],3,FALSE))*Calculations[[#This Row],[Total Kg]]*VLOOKUP(Calculations[[#This Row],[Waste 1]],WasteScenario[#All],4,FALSE),0)</f>
        <v>0</v>
      </c>
      <c r="AE246" s="322">
        <f>SUM(Calculations[[#This Row],[C4 landfill]:[C4 re-use]])</f>
        <v>0</v>
      </c>
      <c r="AF246" s="322">
        <f>IFERROR(VLOOKUP(Calculations[[#This Row],[Material (choose from dropdown]],MaterialData[#All],8,FALSE),0)</f>
        <v>0</v>
      </c>
      <c r="AG246" s="322">
        <f>IFERROR(Calculations[[#This Row],[Total Kg]]*Calculations[[#This Row],[Seq factor]],0)</f>
        <v>0</v>
      </c>
      <c r="AI246" s="322">
        <f>Calculations[[#This Row],[A1-3]]+Calculations[[#This Row],[A4]]+Calculations[[#This Row],[A5]]+Calculations[[#This Row],[B4]]+Calculations[[#This Row],[C2 total]]+Calculations[[#This Row],[C3 total]]+Calculations[[#This Row],[C4 total]]</f>
        <v>0</v>
      </c>
      <c r="AJ246" s="2">
        <f>IFERROR(VLOOKUP(Calculations[[#This Row],[Material (choose from dropdown]],MaterialData[[#Headers],[#Data]],9,FALSE),0)</f>
        <v>0</v>
      </c>
      <c r="AK246" s="4">
        <f>IFERROR(VLOOKUP(Calculations[[#This Row],[Material (choose from dropdown]],MaterialData[[#Headers],[#Data]],10,FALSE),0)</f>
        <v>0</v>
      </c>
      <c r="AL246" s="322">
        <f>IFERROR(Calculations[[#This Row],[Data Quality Score]]*Calculations[[#This Row],[Total Kg]],0)</f>
        <v>0</v>
      </c>
    </row>
    <row r="247" spans="1:38" x14ac:dyDescent="0.3">
      <c r="A247" s="6">
        <f>IFERROR(MaterialsBoQ[[#This Row],[Scope Element]],0)</f>
        <v>0</v>
      </c>
      <c r="B247">
        <f>IFERROR(MaterialsBoQ[[#This Row],[Material ]],"")</f>
        <v>0</v>
      </c>
      <c r="C247">
        <f>IFERROR(MaterialsBoQ[[#This Row],[Unit]],"")</f>
        <v>0</v>
      </c>
      <c r="D247" s="322">
        <f>IFERROR(MaterialsBoQ[[#This Row],[Number]],0)</f>
        <v>0</v>
      </c>
      <c r="E247" s="322">
        <f>IFERROR(MaterialsBoQ[[#This Row],[Kg per unit]],0)</f>
        <v>0</v>
      </c>
      <c r="F247" s="322">
        <f>IFERROR(Calculations[[#This Row],[Number]]*Calculations[[#This Row],[Conversion factor]],0)</f>
        <v>0</v>
      </c>
      <c r="G247" s="322">
        <f>IFERROR(VLOOKUP(Calculations[[#This Row],[Material (choose from dropdown]],MaterialData[#All],7,FALSE),0)</f>
        <v>0</v>
      </c>
      <c r="H247" s="322">
        <f>Calculations[[#This Row],[Total Kg]]*Calculations[[#This Row],[Carbon Factor]]</f>
        <v>0</v>
      </c>
      <c r="I247" t="str">
        <f>IFERROR(VLOOKUP(Calculations[[#This Row],[Material (choose from dropdown]],MaterialData[#All],2,FALSE),"")</f>
        <v/>
      </c>
      <c r="J247" s="322">
        <f>IFERROR(((VLOOKUP(Calculations[[#This Row],[TransportSource]],TransportDistance[],2,FALSE)*'Stage assumptions'!$C$11)+VLOOKUP(Calculations[[#This Row],[TransportSource]],TransportDistance[],3,FALSE)*'Stage assumptions'!$C$12)*Calculations[[#This Row],[Total Kg]],0)</f>
        <v>0</v>
      </c>
      <c r="K247">
        <f>IFERROR(VLOOKUP(Calculations[[#This Row],[Material (choose from dropdown]], MaterialData[#All],3, FALSE),0)</f>
        <v>0</v>
      </c>
      <c r="L247" s="322">
        <f>IFERROR(VLOOKUP(Calculations[[#This Row],[A5type]],A5WastageRate[#All],2,FALSE)*Calculations[[#This Row],[A1-3]],0)</f>
        <v>0</v>
      </c>
      <c r="N247">
        <f>IFERROR(ROUNDUP(50/VLOOKUP(Calculations[[#This Row],[Scope Element]],B4referenceServiceLife[[Tier 2 element]:[Default Service Life]],2, FALSE)-1,0),0)</f>
        <v>0</v>
      </c>
      <c r="O247" s="322">
        <f>IFERROR((Calculations[[#This Row],[A1-3]]+Calculations[[#This Row],[A4]]+Calculations[[#This Row],[A5]]+Calculations[[#This Row],[C2 total]]+Calculations[[#This Row],[C3 total]]+Calculations[[#This Row],[C4 total]])*Calculations[[#This Row],[Replacements]],0)</f>
        <v>0</v>
      </c>
      <c r="S247" t="str">
        <f>IFERROR(VLOOKUP(Calculations[[#This Row],[Material (choose from dropdown]],MaterialData[#All],4,FALSE),"")</f>
        <v/>
      </c>
      <c r="T247" s="322" cm="1">
        <f t="array" ref="T247">IFERROR(VLOOKUP(Calculations[[#This Row],[Waste 1]],WasteScenario[#All],2,FALSE)*'Stage assumptions'!$C$225*WasteTransportMethod[Emissions Factor
kgCO2e/kg.km]*Calculations[[#This Row],[Total Kg]],0)</f>
        <v>0</v>
      </c>
      <c r="U247" s="322" cm="1">
        <f t="array" ref="U247">IFERROR(VLOOKUP(Calculations[[#This Row],[Waste 1]],WasteScenario[#All],3,FALSE)*'Stage assumptions'!$C$224*WasteTransportMethod[Emissions Factor
kgCO2e/kg.km]*Calculations[[#This Row],[Total Kg]],0)</f>
        <v>0</v>
      </c>
      <c r="V247" s="322" cm="1">
        <f t="array" ref="V247">IFERROR(VLOOKUP(Calculations[[#This Row],[Waste 1]],WasteScenario[#All],4,FALSE)*'Stage assumptions'!$C$223*WasteTransportMethod[Emissions Factor
kgCO2e/kg.km]*Calculations[[#This Row],[Total Kg]],0)</f>
        <v>0</v>
      </c>
      <c r="W247" s="322" cm="1">
        <f t="array" ref="W247">IFERROR(VLOOKUP(Calculations[[#This Row],[Waste 1]],WasteScenario[#All],5,FALSE)*'Stage assumptions'!$C$226*WasteTransportMethod[Emissions Factor
kgCO2e/kg.km]*Calculations[[#This Row],[Total Kg]],0)</f>
        <v>0</v>
      </c>
      <c r="X247" s="322">
        <f>SUM(Calculations[[#This Row],[C2 Recycle]:[C2 Reuse]])</f>
        <v>0</v>
      </c>
      <c r="Y247" t="str">
        <f>IFERROR(VLOOKUP(Calculations[[#This Row],[Material (choose from dropdown]],MaterialData[#All],5,FALSE),"")</f>
        <v/>
      </c>
      <c r="Z247" s="322">
        <f>IFERROR(((VLOOKUP(Calculations[[#This Row],[Waste type 2]],WasteDisposalEmissions[#All],2,FALSE))*Calculations[[#This Row],[Total Kg]])*VLOOKUP(Calculations[[#This Row],[Waste 1]],WasteScenario[#All],2,FALSE),0)</f>
        <v>0</v>
      </c>
      <c r="AA247" s="322">
        <f>IFERROR((VLOOKUP(Calculations[[#This Row],[Waste type 2]],WasteDisposalEmissions[#All],3,FALSE))*Calculations[[#This Row],[Total Kg]]*VLOOKUP(Calculations[[#This Row],[Waste 1]],WasteScenario[#All],3,FALSE),0)</f>
        <v>0</v>
      </c>
      <c r="AB247" s="322">
        <f>SUM(Calculations[[#This Row],[C3 recyc]:[C3 incin]])</f>
        <v>0</v>
      </c>
      <c r="AC247" s="334">
        <f>IFERROR((VLOOKUP(Calculations[[#This Row],[Waste type 2]],WasteLandfillEmissions[#All],2,FALSE))*Calculations[[#This Row],[Total Kg]]*VLOOKUP(Calculations[[#This Row],[Waste 1]],WasteScenario[#All],4,FALSE),0)</f>
        <v>0</v>
      </c>
      <c r="AD247" s="322">
        <f>IFERROR((VLOOKUP(Calculations[[#This Row],[Waste type 2]],WasteLandfillEmissions[#All],3,FALSE))*Calculations[[#This Row],[Total Kg]]*VLOOKUP(Calculations[[#This Row],[Waste 1]],WasteScenario[#All],4,FALSE),0)</f>
        <v>0</v>
      </c>
      <c r="AE247" s="322">
        <f>SUM(Calculations[[#This Row],[C4 landfill]:[C4 re-use]])</f>
        <v>0</v>
      </c>
      <c r="AF247" s="322">
        <f>IFERROR(VLOOKUP(Calculations[[#This Row],[Material (choose from dropdown]],MaterialData[#All],8,FALSE),0)</f>
        <v>0</v>
      </c>
      <c r="AG247" s="322">
        <f>IFERROR(Calculations[[#This Row],[Total Kg]]*Calculations[[#This Row],[Seq factor]],0)</f>
        <v>0</v>
      </c>
      <c r="AI247" s="322">
        <f>Calculations[[#This Row],[A1-3]]+Calculations[[#This Row],[A4]]+Calculations[[#This Row],[A5]]+Calculations[[#This Row],[B4]]+Calculations[[#This Row],[C2 total]]+Calculations[[#This Row],[C3 total]]+Calculations[[#This Row],[C4 total]]</f>
        <v>0</v>
      </c>
      <c r="AJ247" s="2">
        <f>IFERROR(VLOOKUP(Calculations[[#This Row],[Material (choose from dropdown]],MaterialData[[#Headers],[#Data]],9,FALSE),0)</f>
        <v>0</v>
      </c>
      <c r="AK247" s="4">
        <f>IFERROR(VLOOKUP(Calculations[[#This Row],[Material (choose from dropdown]],MaterialData[[#Headers],[#Data]],10,FALSE),0)</f>
        <v>0</v>
      </c>
      <c r="AL247" s="322">
        <f>IFERROR(Calculations[[#This Row],[Data Quality Score]]*Calculations[[#This Row],[Total Kg]],0)</f>
        <v>0</v>
      </c>
    </row>
    <row r="248" spans="1:38" x14ac:dyDescent="0.3">
      <c r="A248" s="6">
        <f>IFERROR(MaterialsBoQ[[#This Row],[Scope Element]],0)</f>
        <v>0</v>
      </c>
      <c r="B248">
        <f>IFERROR(MaterialsBoQ[[#This Row],[Material ]],"")</f>
        <v>0</v>
      </c>
      <c r="C248">
        <f>IFERROR(MaterialsBoQ[[#This Row],[Unit]],"")</f>
        <v>0</v>
      </c>
      <c r="D248" s="322">
        <f>IFERROR(MaterialsBoQ[[#This Row],[Number]],0)</f>
        <v>0</v>
      </c>
      <c r="E248" s="322">
        <f>IFERROR(MaterialsBoQ[[#This Row],[Kg per unit]],0)</f>
        <v>0</v>
      </c>
      <c r="F248" s="322">
        <f>IFERROR(Calculations[[#This Row],[Number]]*Calculations[[#This Row],[Conversion factor]],0)</f>
        <v>0</v>
      </c>
      <c r="G248" s="322">
        <f>IFERROR(VLOOKUP(Calculations[[#This Row],[Material (choose from dropdown]],MaterialData[#All],7,FALSE),0)</f>
        <v>0</v>
      </c>
      <c r="H248" s="322">
        <f>Calculations[[#This Row],[Total Kg]]*Calculations[[#This Row],[Carbon Factor]]</f>
        <v>0</v>
      </c>
      <c r="I248" t="str">
        <f>IFERROR(VLOOKUP(Calculations[[#This Row],[Material (choose from dropdown]],MaterialData[#All],2,FALSE),"")</f>
        <v/>
      </c>
      <c r="J248" s="322">
        <f>IFERROR(((VLOOKUP(Calculations[[#This Row],[TransportSource]],TransportDistance[],2,FALSE)*'Stage assumptions'!$C$11)+VLOOKUP(Calculations[[#This Row],[TransportSource]],TransportDistance[],3,FALSE)*'Stage assumptions'!$C$12)*Calculations[[#This Row],[Total Kg]],0)</f>
        <v>0</v>
      </c>
      <c r="K248">
        <f>IFERROR(VLOOKUP(Calculations[[#This Row],[Material (choose from dropdown]], MaterialData[#All],3, FALSE),0)</f>
        <v>0</v>
      </c>
      <c r="L248" s="322">
        <f>IFERROR(VLOOKUP(Calculations[[#This Row],[A5type]],A5WastageRate[#All],2,FALSE)*Calculations[[#This Row],[A1-3]],0)</f>
        <v>0</v>
      </c>
      <c r="N248">
        <f>IFERROR(ROUNDUP(50/VLOOKUP(Calculations[[#This Row],[Scope Element]],B4referenceServiceLife[[Tier 2 element]:[Default Service Life]],2, FALSE)-1,0),0)</f>
        <v>0</v>
      </c>
      <c r="O248" s="322">
        <f>IFERROR((Calculations[[#This Row],[A1-3]]+Calculations[[#This Row],[A4]]+Calculations[[#This Row],[A5]]+Calculations[[#This Row],[C2 total]]+Calculations[[#This Row],[C3 total]]+Calculations[[#This Row],[C4 total]])*Calculations[[#This Row],[Replacements]],0)</f>
        <v>0</v>
      </c>
      <c r="S248" t="str">
        <f>IFERROR(VLOOKUP(Calculations[[#This Row],[Material (choose from dropdown]],MaterialData[#All],4,FALSE),"")</f>
        <v/>
      </c>
      <c r="T248" s="322" cm="1">
        <f t="array" ref="T248">IFERROR(VLOOKUP(Calculations[[#This Row],[Waste 1]],WasteScenario[#All],2,FALSE)*'Stage assumptions'!$C$225*WasteTransportMethod[Emissions Factor
kgCO2e/kg.km]*Calculations[[#This Row],[Total Kg]],0)</f>
        <v>0</v>
      </c>
      <c r="U248" s="322" cm="1">
        <f t="array" ref="U248">IFERROR(VLOOKUP(Calculations[[#This Row],[Waste 1]],WasteScenario[#All],3,FALSE)*'Stage assumptions'!$C$224*WasteTransportMethod[Emissions Factor
kgCO2e/kg.km]*Calculations[[#This Row],[Total Kg]],0)</f>
        <v>0</v>
      </c>
      <c r="V248" s="322" cm="1">
        <f t="array" ref="V248">IFERROR(VLOOKUP(Calculations[[#This Row],[Waste 1]],WasteScenario[#All],4,FALSE)*'Stage assumptions'!$C$223*WasteTransportMethod[Emissions Factor
kgCO2e/kg.km]*Calculations[[#This Row],[Total Kg]],0)</f>
        <v>0</v>
      </c>
      <c r="W248" s="322" cm="1">
        <f t="array" ref="W248">IFERROR(VLOOKUP(Calculations[[#This Row],[Waste 1]],WasteScenario[#All],5,FALSE)*'Stage assumptions'!$C$226*WasteTransportMethod[Emissions Factor
kgCO2e/kg.km]*Calculations[[#This Row],[Total Kg]],0)</f>
        <v>0</v>
      </c>
      <c r="X248" s="322">
        <f>SUM(Calculations[[#This Row],[C2 Recycle]:[C2 Reuse]])</f>
        <v>0</v>
      </c>
      <c r="Y248" t="str">
        <f>IFERROR(VLOOKUP(Calculations[[#This Row],[Material (choose from dropdown]],MaterialData[#All],5,FALSE),"")</f>
        <v/>
      </c>
      <c r="Z248" s="322">
        <f>IFERROR(((VLOOKUP(Calculations[[#This Row],[Waste type 2]],WasteDisposalEmissions[#All],2,FALSE))*Calculations[[#This Row],[Total Kg]])*VLOOKUP(Calculations[[#This Row],[Waste 1]],WasteScenario[#All],2,FALSE),0)</f>
        <v>0</v>
      </c>
      <c r="AA248" s="322">
        <f>IFERROR((VLOOKUP(Calculations[[#This Row],[Waste type 2]],WasteDisposalEmissions[#All],3,FALSE))*Calculations[[#This Row],[Total Kg]]*VLOOKUP(Calculations[[#This Row],[Waste 1]],WasteScenario[#All],3,FALSE),0)</f>
        <v>0</v>
      </c>
      <c r="AB248" s="322">
        <f>SUM(Calculations[[#This Row],[C3 recyc]:[C3 incin]])</f>
        <v>0</v>
      </c>
      <c r="AC248" s="334">
        <f>IFERROR((VLOOKUP(Calculations[[#This Row],[Waste type 2]],WasteLandfillEmissions[#All],2,FALSE))*Calculations[[#This Row],[Total Kg]]*VLOOKUP(Calculations[[#This Row],[Waste 1]],WasteScenario[#All],4,FALSE),0)</f>
        <v>0</v>
      </c>
      <c r="AD248" s="322">
        <f>IFERROR((VLOOKUP(Calculations[[#This Row],[Waste type 2]],WasteLandfillEmissions[#All],3,FALSE))*Calculations[[#This Row],[Total Kg]]*VLOOKUP(Calculations[[#This Row],[Waste 1]],WasteScenario[#All],4,FALSE),0)</f>
        <v>0</v>
      </c>
      <c r="AE248" s="322">
        <f>SUM(Calculations[[#This Row],[C4 landfill]:[C4 re-use]])</f>
        <v>0</v>
      </c>
      <c r="AF248" s="322">
        <f>IFERROR(VLOOKUP(Calculations[[#This Row],[Material (choose from dropdown]],MaterialData[#All],8,FALSE),0)</f>
        <v>0</v>
      </c>
      <c r="AG248" s="322">
        <f>IFERROR(Calculations[[#This Row],[Total Kg]]*Calculations[[#This Row],[Seq factor]],0)</f>
        <v>0</v>
      </c>
      <c r="AI248" s="322">
        <f>Calculations[[#This Row],[A1-3]]+Calculations[[#This Row],[A4]]+Calculations[[#This Row],[A5]]+Calculations[[#This Row],[B4]]+Calculations[[#This Row],[C2 total]]+Calculations[[#This Row],[C3 total]]+Calculations[[#This Row],[C4 total]]</f>
        <v>0</v>
      </c>
      <c r="AJ248" s="2">
        <f>IFERROR(VLOOKUP(Calculations[[#This Row],[Material (choose from dropdown]],MaterialData[[#Headers],[#Data]],9,FALSE),0)</f>
        <v>0</v>
      </c>
      <c r="AK248" s="4">
        <f>IFERROR(VLOOKUP(Calculations[[#This Row],[Material (choose from dropdown]],MaterialData[[#Headers],[#Data]],10,FALSE),0)</f>
        <v>0</v>
      </c>
      <c r="AL248" s="322">
        <f>IFERROR(Calculations[[#This Row],[Data Quality Score]]*Calculations[[#This Row],[Total Kg]],0)</f>
        <v>0</v>
      </c>
    </row>
    <row r="249" spans="1:38" x14ac:dyDescent="0.3">
      <c r="A249" s="6">
        <f>IFERROR(MaterialsBoQ[[#This Row],[Scope Element]],0)</f>
        <v>0</v>
      </c>
      <c r="B249">
        <f>IFERROR(MaterialsBoQ[[#This Row],[Material ]],"")</f>
        <v>0</v>
      </c>
      <c r="C249">
        <f>IFERROR(MaterialsBoQ[[#This Row],[Unit]],"")</f>
        <v>0</v>
      </c>
      <c r="D249" s="322">
        <f>IFERROR(MaterialsBoQ[[#This Row],[Number]],0)</f>
        <v>0</v>
      </c>
      <c r="E249" s="322">
        <f>IFERROR(MaterialsBoQ[[#This Row],[Kg per unit]],0)</f>
        <v>0</v>
      </c>
      <c r="F249" s="322">
        <f>IFERROR(Calculations[[#This Row],[Number]]*Calculations[[#This Row],[Conversion factor]],0)</f>
        <v>0</v>
      </c>
      <c r="G249" s="322">
        <f>IFERROR(VLOOKUP(Calculations[[#This Row],[Material (choose from dropdown]],MaterialData[#All],7,FALSE),0)</f>
        <v>0</v>
      </c>
      <c r="H249" s="322">
        <f>Calculations[[#This Row],[Total Kg]]*Calculations[[#This Row],[Carbon Factor]]</f>
        <v>0</v>
      </c>
      <c r="I249" t="str">
        <f>IFERROR(VLOOKUP(Calculations[[#This Row],[Material (choose from dropdown]],MaterialData[#All],2,FALSE),"")</f>
        <v/>
      </c>
      <c r="J249" s="322">
        <f>IFERROR(((VLOOKUP(Calculations[[#This Row],[TransportSource]],TransportDistance[],2,FALSE)*'Stage assumptions'!$C$11)+VLOOKUP(Calculations[[#This Row],[TransportSource]],TransportDistance[],3,FALSE)*'Stage assumptions'!$C$12)*Calculations[[#This Row],[Total Kg]],0)</f>
        <v>0</v>
      </c>
      <c r="K249">
        <f>IFERROR(VLOOKUP(Calculations[[#This Row],[Material (choose from dropdown]], MaterialData[#All],3, FALSE),0)</f>
        <v>0</v>
      </c>
      <c r="L249" s="322">
        <f>IFERROR(VLOOKUP(Calculations[[#This Row],[A5type]],A5WastageRate[#All],2,FALSE)*Calculations[[#This Row],[A1-3]],0)</f>
        <v>0</v>
      </c>
      <c r="N249">
        <f>IFERROR(ROUNDUP(50/VLOOKUP(Calculations[[#This Row],[Scope Element]],B4referenceServiceLife[[Tier 2 element]:[Default Service Life]],2, FALSE)-1,0),0)</f>
        <v>0</v>
      </c>
      <c r="O249" s="322">
        <f>IFERROR((Calculations[[#This Row],[A1-3]]+Calculations[[#This Row],[A4]]+Calculations[[#This Row],[A5]]+Calculations[[#This Row],[C2 total]]+Calculations[[#This Row],[C3 total]]+Calculations[[#This Row],[C4 total]])*Calculations[[#This Row],[Replacements]],0)</f>
        <v>0</v>
      </c>
      <c r="S249" t="str">
        <f>IFERROR(VLOOKUP(Calculations[[#This Row],[Material (choose from dropdown]],MaterialData[#All],4,FALSE),"")</f>
        <v/>
      </c>
      <c r="T249" s="322" cm="1">
        <f t="array" ref="T249">IFERROR(VLOOKUP(Calculations[[#This Row],[Waste 1]],WasteScenario[#All],2,FALSE)*'Stage assumptions'!$C$225*WasteTransportMethod[Emissions Factor
kgCO2e/kg.km]*Calculations[[#This Row],[Total Kg]],0)</f>
        <v>0</v>
      </c>
      <c r="U249" s="322" cm="1">
        <f t="array" ref="U249">IFERROR(VLOOKUP(Calculations[[#This Row],[Waste 1]],WasteScenario[#All],3,FALSE)*'Stage assumptions'!$C$224*WasteTransportMethod[Emissions Factor
kgCO2e/kg.km]*Calculations[[#This Row],[Total Kg]],0)</f>
        <v>0</v>
      </c>
      <c r="V249" s="322" cm="1">
        <f t="array" ref="V249">IFERROR(VLOOKUP(Calculations[[#This Row],[Waste 1]],WasteScenario[#All],4,FALSE)*'Stage assumptions'!$C$223*WasteTransportMethod[Emissions Factor
kgCO2e/kg.km]*Calculations[[#This Row],[Total Kg]],0)</f>
        <v>0</v>
      </c>
      <c r="W249" s="322" cm="1">
        <f t="array" ref="W249">IFERROR(VLOOKUP(Calculations[[#This Row],[Waste 1]],WasteScenario[#All],5,FALSE)*'Stage assumptions'!$C$226*WasteTransportMethod[Emissions Factor
kgCO2e/kg.km]*Calculations[[#This Row],[Total Kg]],0)</f>
        <v>0</v>
      </c>
      <c r="X249" s="322">
        <f>SUM(Calculations[[#This Row],[C2 Recycle]:[C2 Reuse]])</f>
        <v>0</v>
      </c>
      <c r="Y249" t="str">
        <f>IFERROR(VLOOKUP(Calculations[[#This Row],[Material (choose from dropdown]],MaterialData[#All],5,FALSE),"")</f>
        <v/>
      </c>
      <c r="Z249" s="322">
        <f>IFERROR(((VLOOKUP(Calculations[[#This Row],[Waste type 2]],WasteDisposalEmissions[#All],2,FALSE))*Calculations[[#This Row],[Total Kg]])*VLOOKUP(Calculations[[#This Row],[Waste 1]],WasteScenario[#All],2,FALSE),0)</f>
        <v>0</v>
      </c>
      <c r="AA249" s="322">
        <f>IFERROR((VLOOKUP(Calculations[[#This Row],[Waste type 2]],WasteDisposalEmissions[#All],3,FALSE))*Calculations[[#This Row],[Total Kg]]*VLOOKUP(Calculations[[#This Row],[Waste 1]],WasteScenario[#All],3,FALSE),0)</f>
        <v>0</v>
      </c>
      <c r="AB249" s="322">
        <f>SUM(Calculations[[#This Row],[C3 recyc]:[C3 incin]])</f>
        <v>0</v>
      </c>
      <c r="AC249" s="334">
        <f>IFERROR((VLOOKUP(Calculations[[#This Row],[Waste type 2]],WasteLandfillEmissions[#All],2,FALSE))*Calculations[[#This Row],[Total Kg]]*VLOOKUP(Calculations[[#This Row],[Waste 1]],WasteScenario[#All],4,FALSE),0)</f>
        <v>0</v>
      </c>
      <c r="AD249" s="322">
        <f>IFERROR((VLOOKUP(Calculations[[#This Row],[Waste type 2]],WasteLandfillEmissions[#All],3,FALSE))*Calculations[[#This Row],[Total Kg]]*VLOOKUP(Calculations[[#This Row],[Waste 1]],WasteScenario[#All],4,FALSE),0)</f>
        <v>0</v>
      </c>
      <c r="AE249" s="322">
        <f>SUM(Calculations[[#This Row],[C4 landfill]:[C4 re-use]])</f>
        <v>0</v>
      </c>
      <c r="AF249" s="322">
        <f>IFERROR(VLOOKUP(Calculations[[#This Row],[Material (choose from dropdown]],MaterialData[#All],8,FALSE),0)</f>
        <v>0</v>
      </c>
      <c r="AG249" s="322">
        <f>IFERROR(Calculations[[#This Row],[Total Kg]]*Calculations[[#This Row],[Seq factor]],0)</f>
        <v>0</v>
      </c>
      <c r="AI249" s="322">
        <f>Calculations[[#This Row],[A1-3]]+Calculations[[#This Row],[A4]]+Calculations[[#This Row],[A5]]+Calculations[[#This Row],[B4]]+Calculations[[#This Row],[C2 total]]+Calculations[[#This Row],[C3 total]]+Calculations[[#This Row],[C4 total]]</f>
        <v>0</v>
      </c>
      <c r="AJ249" s="2">
        <f>IFERROR(VLOOKUP(Calculations[[#This Row],[Material (choose from dropdown]],MaterialData[[#Headers],[#Data]],9,FALSE),0)</f>
        <v>0</v>
      </c>
      <c r="AK249" s="4">
        <f>IFERROR(VLOOKUP(Calculations[[#This Row],[Material (choose from dropdown]],MaterialData[[#Headers],[#Data]],10,FALSE),0)</f>
        <v>0</v>
      </c>
      <c r="AL249" s="322">
        <f>IFERROR(Calculations[[#This Row],[Data Quality Score]]*Calculations[[#This Row],[Total Kg]],0)</f>
        <v>0</v>
      </c>
    </row>
    <row r="250" spans="1:38" x14ac:dyDescent="0.3">
      <c r="A250" s="6">
        <f>IFERROR(MaterialsBoQ[[#This Row],[Scope Element]],0)</f>
        <v>0</v>
      </c>
      <c r="B250">
        <f>IFERROR(MaterialsBoQ[[#This Row],[Material ]],"")</f>
        <v>0</v>
      </c>
      <c r="C250">
        <f>IFERROR(MaterialsBoQ[[#This Row],[Unit]],"")</f>
        <v>0</v>
      </c>
      <c r="D250" s="322">
        <f>IFERROR(MaterialsBoQ[[#This Row],[Number]],0)</f>
        <v>0</v>
      </c>
      <c r="E250" s="322">
        <f>IFERROR(MaterialsBoQ[[#This Row],[Kg per unit]],0)</f>
        <v>0</v>
      </c>
      <c r="F250" s="322">
        <f>IFERROR(Calculations[[#This Row],[Number]]*Calculations[[#This Row],[Conversion factor]],0)</f>
        <v>0</v>
      </c>
      <c r="G250" s="322">
        <f>IFERROR(VLOOKUP(Calculations[[#This Row],[Material (choose from dropdown]],MaterialData[#All],7,FALSE),0)</f>
        <v>0</v>
      </c>
      <c r="H250" s="322">
        <f>Calculations[[#This Row],[Total Kg]]*Calculations[[#This Row],[Carbon Factor]]</f>
        <v>0</v>
      </c>
      <c r="I250" t="str">
        <f>IFERROR(VLOOKUP(Calculations[[#This Row],[Material (choose from dropdown]],MaterialData[#All],2,FALSE),"")</f>
        <v/>
      </c>
      <c r="J250" s="322">
        <f>IFERROR(((VLOOKUP(Calculations[[#This Row],[TransportSource]],TransportDistance[],2,FALSE)*'Stage assumptions'!$C$11)+VLOOKUP(Calculations[[#This Row],[TransportSource]],TransportDistance[],3,FALSE)*'Stage assumptions'!$C$12)*Calculations[[#This Row],[Total Kg]],0)</f>
        <v>0</v>
      </c>
      <c r="K250">
        <f>IFERROR(VLOOKUP(Calculations[[#This Row],[Material (choose from dropdown]], MaterialData[#All],3, FALSE),0)</f>
        <v>0</v>
      </c>
      <c r="L250" s="322">
        <f>IFERROR(VLOOKUP(Calculations[[#This Row],[A5type]],A5WastageRate[#All],2,FALSE)*Calculations[[#This Row],[A1-3]],0)</f>
        <v>0</v>
      </c>
      <c r="N250">
        <f>IFERROR(ROUNDUP(50/VLOOKUP(Calculations[[#This Row],[Scope Element]],B4referenceServiceLife[[Tier 2 element]:[Default Service Life]],2, FALSE)-1,0),0)</f>
        <v>0</v>
      </c>
      <c r="O250" s="322">
        <f>IFERROR((Calculations[[#This Row],[A1-3]]+Calculations[[#This Row],[A4]]+Calculations[[#This Row],[A5]]+Calculations[[#This Row],[C2 total]]+Calculations[[#This Row],[C3 total]]+Calculations[[#This Row],[C4 total]])*Calculations[[#This Row],[Replacements]],0)</f>
        <v>0</v>
      </c>
      <c r="S250" t="str">
        <f>IFERROR(VLOOKUP(Calculations[[#This Row],[Material (choose from dropdown]],MaterialData[#All],4,FALSE),"")</f>
        <v/>
      </c>
      <c r="T250" s="322" cm="1">
        <f t="array" ref="T250">IFERROR(VLOOKUP(Calculations[[#This Row],[Waste 1]],WasteScenario[#All],2,FALSE)*'Stage assumptions'!$C$225*WasteTransportMethod[Emissions Factor
kgCO2e/kg.km]*Calculations[[#This Row],[Total Kg]],0)</f>
        <v>0</v>
      </c>
      <c r="U250" s="322" cm="1">
        <f t="array" ref="U250">IFERROR(VLOOKUP(Calculations[[#This Row],[Waste 1]],WasteScenario[#All],3,FALSE)*'Stage assumptions'!$C$224*WasteTransportMethod[Emissions Factor
kgCO2e/kg.km]*Calculations[[#This Row],[Total Kg]],0)</f>
        <v>0</v>
      </c>
      <c r="V250" s="322" cm="1">
        <f t="array" ref="V250">IFERROR(VLOOKUP(Calculations[[#This Row],[Waste 1]],WasteScenario[#All],4,FALSE)*'Stage assumptions'!$C$223*WasteTransportMethod[Emissions Factor
kgCO2e/kg.km]*Calculations[[#This Row],[Total Kg]],0)</f>
        <v>0</v>
      </c>
      <c r="W250" s="322" cm="1">
        <f t="array" ref="W250">IFERROR(VLOOKUP(Calculations[[#This Row],[Waste 1]],WasteScenario[#All],5,FALSE)*'Stage assumptions'!$C$226*WasteTransportMethod[Emissions Factor
kgCO2e/kg.km]*Calculations[[#This Row],[Total Kg]],0)</f>
        <v>0</v>
      </c>
      <c r="X250" s="322">
        <f>SUM(Calculations[[#This Row],[C2 Recycle]:[C2 Reuse]])</f>
        <v>0</v>
      </c>
      <c r="Y250" t="str">
        <f>IFERROR(VLOOKUP(Calculations[[#This Row],[Material (choose from dropdown]],MaterialData[#All],5,FALSE),"")</f>
        <v/>
      </c>
      <c r="Z250" s="322">
        <f>IFERROR(((VLOOKUP(Calculations[[#This Row],[Waste type 2]],WasteDisposalEmissions[#All],2,FALSE))*Calculations[[#This Row],[Total Kg]])*VLOOKUP(Calculations[[#This Row],[Waste 1]],WasteScenario[#All],2,FALSE),0)</f>
        <v>0</v>
      </c>
      <c r="AA250" s="322">
        <f>IFERROR((VLOOKUP(Calculations[[#This Row],[Waste type 2]],WasteDisposalEmissions[#All],3,FALSE))*Calculations[[#This Row],[Total Kg]]*VLOOKUP(Calculations[[#This Row],[Waste 1]],WasteScenario[#All],3,FALSE),0)</f>
        <v>0</v>
      </c>
      <c r="AB250" s="322">
        <f>SUM(Calculations[[#This Row],[C3 recyc]:[C3 incin]])</f>
        <v>0</v>
      </c>
      <c r="AC250" s="334">
        <f>IFERROR((VLOOKUP(Calculations[[#This Row],[Waste type 2]],WasteLandfillEmissions[#All],2,FALSE))*Calculations[[#This Row],[Total Kg]]*VLOOKUP(Calculations[[#This Row],[Waste 1]],WasteScenario[#All],4,FALSE),0)</f>
        <v>0</v>
      </c>
      <c r="AD250" s="322">
        <f>IFERROR((VLOOKUP(Calculations[[#This Row],[Waste type 2]],WasteLandfillEmissions[#All],3,FALSE))*Calculations[[#This Row],[Total Kg]]*VLOOKUP(Calculations[[#This Row],[Waste 1]],WasteScenario[#All],4,FALSE),0)</f>
        <v>0</v>
      </c>
      <c r="AE250" s="322">
        <f>SUM(Calculations[[#This Row],[C4 landfill]:[C4 re-use]])</f>
        <v>0</v>
      </c>
      <c r="AF250" s="322">
        <f>IFERROR(VLOOKUP(Calculations[[#This Row],[Material (choose from dropdown]],MaterialData[#All],8,FALSE),0)</f>
        <v>0</v>
      </c>
      <c r="AG250" s="322">
        <f>IFERROR(Calculations[[#This Row],[Total Kg]]*Calculations[[#This Row],[Seq factor]],0)</f>
        <v>0</v>
      </c>
      <c r="AI250" s="322">
        <f>Calculations[[#This Row],[A1-3]]+Calculations[[#This Row],[A4]]+Calculations[[#This Row],[A5]]+Calculations[[#This Row],[B4]]+Calculations[[#This Row],[C2 total]]+Calculations[[#This Row],[C3 total]]+Calculations[[#This Row],[C4 total]]</f>
        <v>0</v>
      </c>
      <c r="AJ250" s="2">
        <f>IFERROR(VLOOKUP(Calculations[[#This Row],[Material (choose from dropdown]],MaterialData[[#Headers],[#Data]],9,FALSE),0)</f>
        <v>0</v>
      </c>
      <c r="AK250" s="4">
        <f>IFERROR(VLOOKUP(Calculations[[#This Row],[Material (choose from dropdown]],MaterialData[[#Headers],[#Data]],10,FALSE),0)</f>
        <v>0</v>
      </c>
      <c r="AL250" s="322">
        <f>IFERROR(Calculations[[#This Row],[Data Quality Score]]*Calculations[[#This Row],[Total Kg]],0)</f>
        <v>0</v>
      </c>
    </row>
    <row r="251" spans="1:38" x14ac:dyDescent="0.3">
      <c r="A251" s="6">
        <f>IFERROR(MaterialsBoQ[[#This Row],[Scope Element]],0)</f>
        <v>0</v>
      </c>
      <c r="B251">
        <f>IFERROR(MaterialsBoQ[[#This Row],[Material ]],"")</f>
        <v>0</v>
      </c>
      <c r="C251">
        <f>IFERROR(MaterialsBoQ[[#This Row],[Unit]],"")</f>
        <v>0</v>
      </c>
      <c r="D251" s="322">
        <f>IFERROR(MaterialsBoQ[[#This Row],[Number]],0)</f>
        <v>0</v>
      </c>
      <c r="E251" s="322">
        <f>IFERROR(MaterialsBoQ[[#This Row],[Kg per unit]],0)</f>
        <v>0</v>
      </c>
      <c r="F251" s="322">
        <f>IFERROR(Calculations[[#This Row],[Number]]*Calculations[[#This Row],[Conversion factor]],0)</f>
        <v>0</v>
      </c>
      <c r="G251" s="322">
        <f>IFERROR(VLOOKUP(Calculations[[#This Row],[Material (choose from dropdown]],MaterialData[#All],7,FALSE),0)</f>
        <v>0</v>
      </c>
      <c r="H251" s="322">
        <f>Calculations[[#This Row],[Total Kg]]*Calculations[[#This Row],[Carbon Factor]]</f>
        <v>0</v>
      </c>
      <c r="I251" t="str">
        <f>IFERROR(VLOOKUP(Calculations[[#This Row],[Material (choose from dropdown]],MaterialData[#All],2,FALSE),"")</f>
        <v/>
      </c>
      <c r="J251" s="322">
        <f>IFERROR(((VLOOKUP(Calculations[[#This Row],[TransportSource]],TransportDistance[],2,FALSE)*'Stage assumptions'!$C$11)+VLOOKUP(Calculations[[#This Row],[TransportSource]],TransportDistance[],3,FALSE)*'Stage assumptions'!$C$12)*Calculations[[#This Row],[Total Kg]],0)</f>
        <v>0</v>
      </c>
      <c r="K251">
        <f>IFERROR(VLOOKUP(Calculations[[#This Row],[Material (choose from dropdown]], MaterialData[#All],3, FALSE),0)</f>
        <v>0</v>
      </c>
      <c r="L251" s="322">
        <f>IFERROR(VLOOKUP(Calculations[[#This Row],[A5type]],A5WastageRate[#All],2,FALSE)*Calculations[[#This Row],[A1-3]],0)</f>
        <v>0</v>
      </c>
      <c r="N251">
        <f>IFERROR(ROUNDUP(50/VLOOKUP(Calculations[[#This Row],[Scope Element]],B4referenceServiceLife[[Tier 2 element]:[Default Service Life]],2, FALSE)-1,0),0)</f>
        <v>0</v>
      </c>
      <c r="O251" s="322">
        <f>IFERROR((Calculations[[#This Row],[A1-3]]+Calculations[[#This Row],[A4]]+Calculations[[#This Row],[A5]]+Calculations[[#This Row],[C2 total]]+Calculations[[#This Row],[C3 total]]+Calculations[[#This Row],[C4 total]])*Calculations[[#This Row],[Replacements]],0)</f>
        <v>0</v>
      </c>
      <c r="S251" t="str">
        <f>IFERROR(VLOOKUP(Calculations[[#This Row],[Material (choose from dropdown]],MaterialData[#All],4,FALSE),"")</f>
        <v/>
      </c>
      <c r="T251" s="322" cm="1">
        <f t="array" ref="T251">IFERROR(VLOOKUP(Calculations[[#This Row],[Waste 1]],WasteScenario[#All],2,FALSE)*'Stage assumptions'!$C$225*WasteTransportMethod[Emissions Factor
kgCO2e/kg.km]*Calculations[[#This Row],[Total Kg]],0)</f>
        <v>0</v>
      </c>
      <c r="U251" s="322" cm="1">
        <f t="array" ref="U251">IFERROR(VLOOKUP(Calculations[[#This Row],[Waste 1]],WasteScenario[#All],3,FALSE)*'Stage assumptions'!$C$224*WasteTransportMethod[Emissions Factor
kgCO2e/kg.km]*Calculations[[#This Row],[Total Kg]],0)</f>
        <v>0</v>
      </c>
      <c r="V251" s="322" cm="1">
        <f t="array" ref="V251">IFERROR(VLOOKUP(Calculations[[#This Row],[Waste 1]],WasteScenario[#All],4,FALSE)*'Stage assumptions'!$C$223*WasteTransportMethod[Emissions Factor
kgCO2e/kg.km]*Calculations[[#This Row],[Total Kg]],0)</f>
        <v>0</v>
      </c>
      <c r="W251" s="322" cm="1">
        <f t="array" ref="W251">IFERROR(VLOOKUP(Calculations[[#This Row],[Waste 1]],WasteScenario[#All],5,FALSE)*'Stage assumptions'!$C$226*WasteTransportMethod[Emissions Factor
kgCO2e/kg.km]*Calculations[[#This Row],[Total Kg]],0)</f>
        <v>0</v>
      </c>
      <c r="X251" s="322">
        <f>SUM(Calculations[[#This Row],[C2 Recycle]:[C2 Reuse]])</f>
        <v>0</v>
      </c>
      <c r="Y251" t="str">
        <f>IFERROR(VLOOKUP(Calculations[[#This Row],[Material (choose from dropdown]],MaterialData[#All],5,FALSE),"")</f>
        <v/>
      </c>
      <c r="Z251" s="322">
        <f>IFERROR(((VLOOKUP(Calculations[[#This Row],[Waste type 2]],WasteDisposalEmissions[#All],2,FALSE))*Calculations[[#This Row],[Total Kg]])*VLOOKUP(Calculations[[#This Row],[Waste 1]],WasteScenario[#All],2,FALSE),0)</f>
        <v>0</v>
      </c>
      <c r="AA251" s="322">
        <f>IFERROR((VLOOKUP(Calculations[[#This Row],[Waste type 2]],WasteDisposalEmissions[#All],3,FALSE))*Calculations[[#This Row],[Total Kg]]*VLOOKUP(Calculations[[#This Row],[Waste 1]],WasteScenario[#All],3,FALSE),0)</f>
        <v>0</v>
      </c>
      <c r="AB251" s="322">
        <f>SUM(Calculations[[#This Row],[C3 recyc]:[C3 incin]])</f>
        <v>0</v>
      </c>
      <c r="AC251" s="334">
        <f>IFERROR((VLOOKUP(Calculations[[#This Row],[Waste type 2]],WasteLandfillEmissions[#All],2,FALSE))*Calculations[[#This Row],[Total Kg]]*VLOOKUP(Calculations[[#This Row],[Waste 1]],WasteScenario[#All],4,FALSE),0)</f>
        <v>0</v>
      </c>
      <c r="AD251" s="322">
        <f>IFERROR((VLOOKUP(Calculations[[#This Row],[Waste type 2]],WasteLandfillEmissions[#All],3,FALSE))*Calculations[[#This Row],[Total Kg]]*VLOOKUP(Calculations[[#This Row],[Waste 1]],WasteScenario[#All],4,FALSE),0)</f>
        <v>0</v>
      </c>
      <c r="AE251" s="322">
        <f>SUM(Calculations[[#This Row],[C4 landfill]:[C4 re-use]])</f>
        <v>0</v>
      </c>
      <c r="AF251" s="322">
        <f>IFERROR(VLOOKUP(Calculations[[#This Row],[Material (choose from dropdown]],MaterialData[#All],8,FALSE),0)</f>
        <v>0</v>
      </c>
      <c r="AG251" s="322">
        <f>IFERROR(Calculations[[#This Row],[Total Kg]]*Calculations[[#This Row],[Seq factor]],0)</f>
        <v>0</v>
      </c>
      <c r="AI251" s="322">
        <f>Calculations[[#This Row],[A1-3]]+Calculations[[#This Row],[A4]]+Calculations[[#This Row],[A5]]+Calculations[[#This Row],[B4]]+Calculations[[#This Row],[C2 total]]+Calculations[[#This Row],[C3 total]]+Calculations[[#This Row],[C4 total]]</f>
        <v>0</v>
      </c>
      <c r="AJ251" s="2">
        <f>IFERROR(VLOOKUP(Calculations[[#This Row],[Material (choose from dropdown]],MaterialData[[#Headers],[#Data]],9,FALSE),0)</f>
        <v>0</v>
      </c>
      <c r="AK251" s="4">
        <f>IFERROR(VLOOKUP(Calculations[[#This Row],[Material (choose from dropdown]],MaterialData[[#Headers],[#Data]],10,FALSE),0)</f>
        <v>0</v>
      </c>
      <c r="AL251" s="322">
        <f>IFERROR(Calculations[[#This Row],[Data Quality Score]]*Calculations[[#This Row],[Total Kg]],0)</f>
        <v>0</v>
      </c>
    </row>
    <row r="252" spans="1:38" x14ac:dyDescent="0.3">
      <c r="A252" s="6">
        <f>IFERROR(MaterialsBoQ[[#This Row],[Scope Element]],0)</f>
        <v>0</v>
      </c>
      <c r="B252">
        <f>IFERROR(MaterialsBoQ[[#This Row],[Material ]],"")</f>
        <v>0</v>
      </c>
      <c r="C252">
        <f>IFERROR(MaterialsBoQ[[#This Row],[Unit]],"")</f>
        <v>0</v>
      </c>
      <c r="D252" s="322">
        <f>IFERROR(MaterialsBoQ[[#This Row],[Number]],0)</f>
        <v>0</v>
      </c>
      <c r="E252" s="322">
        <f>IFERROR(MaterialsBoQ[[#This Row],[Kg per unit]],0)</f>
        <v>0</v>
      </c>
      <c r="F252" s="322">
        <f>IFERROR(Calculations[[#This Row],[Number]]*Calculations[[#This Row],[Conversion factor]],0)</f>
        <v>0</v>
      </c>
      <c r="G252" s="322">
        <f>IFERROR(VLOOKUP(Calculations[[#This Row],[Material (choose from dropdown]],MaterialData[#All],7,FALSE),0)</f>
        <v>0</v>
      </c>
      <c r="H252" s="322">
        <f>Calculations[[#This Row],[Total Kg]]*Calculations[[#This Row],[Carbon Factor]]</f>
        <v>0</v>
      </c>
      <c r="I252" t="str">
        <f>IFERROR(VLOOKUP(Calculations[[#This Row],[Material (choose from dropdown]],MaterialData[#All],2,FALSE),"")</f>
        <v/>
      </c>
      <c r="J252" s="322">
        <f>IFERROR(((VLOOKUP(Calculations[[#This Row],[TransportSource]],TransportDistance[],2,FALSE)*'Stage assumptions'!$C$11)+VLOOKUP(Calculations[[#This Row],[TransportSource]],TransportDistance[],3,FALSE)*'Stage assumptions'!$C$12)*Calculations[[#This Row],[Total Kg]],0)</f>
        <v>0</v>
      </c>
      <c r="K252">
        <f>IFERROR(VLOOKUP(Calculations[[#This Row],[Material (choose from dropdown]], MaterialData[#All],3, FALSE),0)</f>
        <v>0</v>
      </c>
      <c r="L252" s="322">
        <f>IFERROR(VLOOKUP(Calculations[[#This Row],[A5type]],A5WastageRate[#All],2,FALSE)*Calculations[[#This Row],[A1-3]],0)</f>
        <v>0</v>
      </c>
      <c r="N252">
        <f>IFERROR(ROUNDUP(50/VLOOKUP(Calculations[[#This Row],[Scope Element]],B4referenceServiceLife[[Tier 2 element]:[Default Service Life]],2, FALSE)-1,0),0)</f>
        <v>0</v>
      </c>
      <c r="O252" s="322">
        <f>IFERROR((Calculations[[#This Row],[A1-3]]+Calculations[[#This Row],[A4]]+Calculations[[#This Row],[A5]]+Calculations[[#This Row],[C2 total]]+Calculations[[#This Row],[C3 total]]+Calculations[[#This Row],[C4 total]])*Calculations[[#This Row],[Replacements]],0)</f>
        <v>0</v>
      </c>
      <c r="S252" t="str">
        <f>IFERROR(VLOOKUP(Calculations[[#This Row],[Material (choose from dropdown]],MaterialData[#All],4,FALSE),"")</f>
        <v/>
      </c>
      <c r="T252" s="322" cm="1">
        <f t="array" ref="T252">IFERROR(VLOOKUP(Calculations[[#This Row],[Waste 1]],WasteScenario[#All],2,FALSE)*'Stage assumptions'!$C$225*WasteTransportMethod[Emissions Factor
kgCO2e/kg.km]*Calculations[[#This Row],[Total Kg]],0)</f>
        <v>0</v>
      </c>
      <c r="U252" s="322" cm="1">
        <f t="array" ref="U252">IFERROR(VLOOKUP(Calculations[[#This Row],[Waste 1]],WasteScenario[#All],3,FALSE)*'Stage assumptions'!$C$224*WasteTransportMethod[Emissions Factor
kgCO2e/kg.km]*Calculations[[#This Row],[Total Kg]],0)</f>
        <v>0</v>
      </c>
      <c r="V252" s="322" cm="1">
        <f t="array" ref="V252">IFERROR(VLOOKUP(Calculations[[#This Row],[Waste 1]],WasteScenario[#All],4,FALSE)*'Stage assumptions'!$C$223*WasteTransportMethod[Emissions Factor
kgCO2e/kg.km]*Calculations[[#This Row],[Total Kg]],0)</f>
        <v>0</v>
      </c>
      <c r="W252" s="322" cm="1">
        <f t="array" ref="W252">IFERROR(VLOOKUP(Calculations[[#This Row],[Waste 1]],WasteScenario[#All],5,FALSE)*'Stage assumptions'!$C$226*WasteTransportMethod[Emissions Factor
kgCO2e/kg.km]*Calculations[[#This Row],[Total Kg]],0)</f>
        <v>0</v>
      </c>
      <c r="X252" s="322">
        <f>SUM(Calculations[[#This Row],[C2 Recycle]:[C2 Reuse]])</f>
        <v>0</v>
      </c>
      <c r="Y252" t="str">
        <f>IFERROR(VLOOKUP(Calculations[[#This Row],[Material (choose from dropdown]],MaterialData[#All],5,FALSE),"")</f>
        <v/>
      </c>
      <c r="Z252" s="322">
        <f>IFERROR(((VLOOKUP(Calculations[[#This Row],[Waste type 2]],WasteDisposalEmissions[#All],2,FALSE))*Calculations[[#This Row],[Total Kg]])*VLOOKUP(Calculations[[#This Row],[Waste 1]],WasteScenario[#All],2,FALSE),0)</f>
        <v>0</v>
      </c>
      <c r="AA252" s="322">
        <f>IFERROR((VLOOKUP(Calculations[[#This Row],[Waste type 2]],WasteDisposalEmissions[#All],3,FALSE))*Calculations[[#This Row],[Total Kg]]*VLOOKUP(Calculations[[#This Row],[Waste 1]],WasteScenario[#All],3,FALSE),0)</f>
        <v>0</v>
      </c>
      <c r="AB252" s="322">
        <f>SUM(Calculations[[#This Row],[C3 recyc]:[C3 incin]])</f>
        <v>0</v>
      </c>
      <c r="AC252" s="334">
        <f>IFERROR((VLOOKUP(Calculations[[#This Row],[Waste type 2]],WasteLandfillEmissions[#All],2,FALSE))*Calculations[[#This Row],[Total Kg]]*VLOOKUP(Calculations[[#This Row],[Waste 1]],WasteScenario[#All],4,FALSE),0)</f>
        <v>0</v>
      </c>
      <c r="AD252" s="322">
        <f>IFERROR((VLOOKUP(Calculations[[#This Row],[Waste type 2]],WasteLandfillEmissions[#All],3,FALSE))*Calculations[[#This Row],[Total Kg]]*VLOOKUP(Calculations[[#This Row],[Waste 1]],WasteScenario[#All],4,FALSE),0)</f>
        <v>0</v>
      </c>
      <c r="AE252" s="322">
        <f>SUM(Calculations[[#This Row],[C4 landfill]:[C4 re-use]])</f>
        <v>0</v>
      </c>
      <c r="AF252" s="322">
        <f>IFERROR(VLOOKUP(Calculations[[#This Row],[Material (choose from dropdown]],MaterialData[#All],8,FALSE),0)</f>
        <v>0</v>
      </c>
      <c r="AG252" s="322">
        <f>IFERROR(Calculations[[#This Row],[Total Kg]]*Calculations[[#This Row],[Seq factor]],0)</f>
        <v>0</v>
      </c>
      <c r="AI252" s="322">
        <f>Calculations[[#This Row],[A1-3]]+Calculations[[#This Row],[A4]]+Calculations[[#This Row],[A5]]+Calculations[[#This Row],[B4]]+Calculations[[#This Row],[C2 total]]+Calculations[[#This Row],[C3 total]]+Calculations[[#This Row],[C4 total]]</f>
        <v>0</v>
      </c>
      <c r="AJ252" s="2">
        <f>IFERROR(VLOOKUP(Calculations[[#This Row],[Material (choose from dropdown]],MaterialData[[#Headers],[#Data]],9,FALSE),0)</f>
        <v>0</v>
      </c>
      <c r="AK252" s="4">
        <f>IFERROR(VLOOKUP(Calculations[[#This Row],[Material (choose from dropdown]],MaterialData[[#Headers],[#Data]],10,FALSE),0)</f>
        <v>0</v>
      </c>
      <c r="AL252" s="322">
        <f>IFERROR(Calculations[[#This Row],[Data Quality Score]]*Calculations[[#This Row],[Total Kg]],0)</f>
        <v>0</v>
      </c>
    </row>
    <row r="253" spans="1:38" x14ac:dyDescent="0.3">
      <c r="A253" s="6">
        <f>IFERROR(MaterialsBoQ[[#This Row],[Scope Element]],0)</f>
        <v>0</v>
      </c>
      <c r="B253">
        <f>IFERROR(MaterialsBoQ[[#This Row],[Material ]],"")</f>
        <v>0</v>
      </c>
      <c r="C253">
        <f>IFERROR(MaterialsBoQ[[#This Row],[Unit]],"")</f>
        <v>0</v>
      </c>
      <c r="D253" s="322">
        <f>IFERROR(MaterialsBoQ[[#This Row],[Number]],0)</f>
        <v>0</v>
      </c>
      <c r="E253" s="322">
        <f>IFERROR(MaterialsBoQ[[#This Row],[Kg per unit]],0)</f>
        <v>0</v>
      </c>
      <c r="F253" s="322">
        <f>IFERROR(Calculations[[#This Row],[Number]]*Calculations[[#This Row],[Conversion factor]],0)</f>
        <v>0</v>
      </c>
      <c r="G253" s="322">
        <f>IFERROR(VLOOKUP(Calculations[[#This Row],[Material (choose from dropdown]],MaterialData[#All],7,FALSE),0)</f>
        <v>0</v>
      </c>
      <c r="H253" s="322">
        <f>Calculations[[#This Row],[Total Kg]]*Calculations[[#This Row],[Carbon Factor]]</f>
        <v>0</v>
      </c>
      <c r="I253" t="str">
        <f>IFERROR(VLOOKUP(Calculations[[#This Row],[Material (choose from dropdown]],MaterialData[#All],2,FALSE),"")</f>
        <v/>
      </c>
      <c r="J253" s="322">
        <f>IFERROR(((VLOOKUP(Calculations[[#This Row],[TransportSource]],TransportDistance[],2,FALSE)*'Stage assumptions'!$C$11)+VLOOKUP(Calculations[[#This Row],[TransportSource]],TransportDistance[],3,FALSE)*'Stage assumptions'!$C$12)*Calculations[[#This Row],[Total Kg]],0)</f>
        <v>0</v>
      </c>
      <c r="K253">
        <f>IFERROR(VLOOKUP(Calculations[[#This Row],[Material (choose from dropdown]], MaterialData[#All],3, FALSE),0)</f>
        <v>0</v>
      </c>
      <c r="L253" s="322">
        <f>IFERROR(VLOOKUP(Calculations[[#This Row],[A5type]],A5WastageRate[#All],2,FALSE)*Calculations[[#This Row],[A1-3]],0)</f>
        <v>0</v>
      </c>
      <c r="N253">
        <f>IFERROR(ROUNDUP(50/VLOOKUP(Calculations[[#This Row],[Scope Element]],B4referenceServiceLife[[Tier 2 element]:[Default Service Life]],2, FALSE)-1,0),0)</f>
        <v>0</v>
      </c>
      <c r="O253" s="322">
        <f>IFERROR((Calculations[[#This Row],[A1-3]]+Calculations[[#This Row],[A4]]+Calculations[[#This Row],[A5]]+Calculations[[#This Row],[C2 total]]+Calculations[[#This Row],[C3 total]]+Calculations[[#This Row],[C4 total]])*Calculations[[#This Row],[Replacements]],0)</f>
        <v>0</v>
      </c>
      <c r="S253" t="str">
        <f>IFERROR(VLOOKUP(Calculations[[#This Row],[Material (choose from dropdown]],MaterialData[#All],4,FALSE),"")</f>
        <v/>
      </c>
      <c r="T253" s="322" cm="1">
        <f t="array" ref="T253">IFERROR(VLOOKUP(Calculations[[#This Row],[Waste 1]],WasteScenario[#All],2,FALSE)*'Stage assumptions'!$C$225*WasteTransportMethod[Emissions Factor
kgCO2e/kg.km]*Calculations[[#This Row],[Total Kg]],0)</f>
        <v>0</v>
      </c>
      <c r="U253" s="322" cm="1">
        <f t="array" ref="U253">IFERROR(VLOOKUP(Calculations[[#This Row],[Waste 1]],WasteScenario[#All],3,FALSE)*'Stage assumptions'!$C$224*WasteTransportMethod[Emissions Factor
kgCO2e/kg.km]*Calculations[[#This Row],[Total Kg]],0)</f>
        <v>0</v>
      </c>
      <c r="V253" s="322" cm="1">
        <f t="array" ref="V253">IFERROR(VLOOKUP(Calculations[[#This Row],[Waste 1]],WasteScenario[#All],4,FALSE)*'Stage assumptions'!$C$223*WasteTransportMethod[Emissions Factor
kgCO2e/kg.km]*Calculations[[#This Row],[Total Kg]],0)</f>
        <v>0</v>
      </c>
      <c r="W253" s="322" cm="1">
        <f t="array" ref="W253">IFERROR(VLOOKUP(Calculations[[#This Row],[Waste 1]],WasteScenario[#All],5,FALSE)*'Stage assumptions'!$C$226*WasteTransportMethod[Emissions Factor
kgCO2e/kg.km]*Calculations[[#This Row],[Total Kg]],0)</f>
        <v>0</v>
      </c>
      <c r="X253" s="322">
        <f>SUM(Calculations[[#This Row],[C2 Recycle]:[C2 Reuse]])</f>
        <v>0</v>
      </c>
      <c r="Y253" t="str">
        <f>IFERROR(VLOOKUP(Calculations[[#This Row],[Material (choose from dropdown]],MaterialData[#All],5,FALSE),"")</f>
        <v/>
      </c>
      <c r="Z253" s="322">
        <f>IFERROR(((VLOOKUP(Calculations[[#This Row],[Waste type 2]],WasteDisposalEmissions[#All],2,FALSE))*Calculations[[#This Row],[Total Kg]])*VLOOKUP(Calculations[[#This Row],[Waste 1]],WasteScenario[#All],2,FALSE),0)</f>
        <v>0</v>
      </c>
      <c r="AA253" s="322">
        <f>IFERROR((VLOOKUP(Calculations[[#This Row],[Waste type 2]],WasteDisposalEmissions[#All],3,FALSE))*Calculations[[#This Row],[Total Kg]]*VLOOKUP(Calculations[[#This Row],[Waste 1]],WasteScenario[#All],3,FALSE),0)</f>
        <v>0</v>
      </c>
      <c r="AB253" s="322">
        <f>SUM(Calculations[[#This Row],[C3 recyc]:[C3 incin]])</f>
        <v>0</v>
      </c>
      <c r="AC253" s="334">
        <f>IFERROR((VLOOKUP(Calculations[[#This Row],[Waste type 2]],WasteLandfillEmissions[#All],2,FALSE))*Calculations[[#This Row],[Total Kg]]*VLOOKUP(Calculations[[#This Row],[Waste 1]],WasteScenario[#All],4,FALSE),0)</f>
        <v>0</v>
      </c>
      <c r="AD253" s="322">
        <f>IFERROR((VLOOKUP(Calculations[[#This Row],[Waste type 2]],WasteLandfillEmissions[#All],3,FALSE))*Calculations[[#This Row],[Total Kg]]*VLOOKUP(Calculations[[#This Row],[Waste 1]],WasteScenario[#All],4,FALSE),0)</f>
        <v>0</v>
      </c>
      <c r="AE253" s="322">
        <f>SUM(Calculations[[#This Row],[C4 landfill]:[C4 re-use]])</f>
        <v>0</v>
      </c>
      <c r="AF253" s="322">
        <f>IFERROR(VLOOKUP(Calculations[[#This Row],[Material (choose from dropdown]],MaterialData[#All],8,FALSE),0)</f>
        <v>0</v>
      </c>
      <c r="AG253" s="322">
        <f>IFERROR(Calculations[[#This Row],[Total Kg]]*Calculations[[#This Row],[Seq factor]],0)</f>
        <v>0</v>
      </c>
      <c r="AI253" s="322">
        <f>Calculations[[#This Row],[A1-3]]+Calculations[[#This Row],[A4]]+Calculations[[#This Row],[A5]]+Calculations[[#This Row],[B4]]+Calculations[[#This Row],[C2 total]]+Calculations[[#This Row],[C3 total]]+Calculations[[#This Row],[C4 total]]</f>
        <v>0</v>
      </c>
      <c r="AJ253" s="2">
        <f>IFERROR(VLOOKUP(Calculations[[#This Row],[Material (choose from dropdown]],MaterialData[[#Headers],[#Data]],9,FALSE),0)</f>
        <v>0</v>
      </c>
      <c r="AK253" s="4">
        <f>IFERROR(VLOOKUP(Calculations[[#This Row],[Material (choose from dropdown]],MaterialData[[#Headers],[#Data]],10,FALSE),0)</f>
        <v>0</v>
      </c>
      <c r="AL253" s="322">
        <f>IFERROR(Calculations[[#This Row],[Data Quality Score]]*Calculations[[#This Row],[Total Kg]],0)</f>
        <v>0</v>
      </c>
    </row>
    <row r="254" spans="1:38" x14ac:dyDescent="0.3">
      <c r="A254" s="6">
        <f>IFERROR(MaterialsBoQ[[#This Row],[Scope Element]],0)</f>
        <v>0</v>
      </c>
      <c r="B254">
        <f>IFERROR(MaterialsBoQ[[#This Row],[Material ]],"")</f>
        <v>0</v>
      </c>
      <c r="C254">
        <f>IFERROR(MaterialsBoQ[[#This Row],[Unit]],"")</f>
        <v>0</v>
      </c>
      <c r="D254" s="322">
        <f>IFERROR(MaterialsBoQ[[#This Row],[Number]],0)</f>
        <v>0</v>
      </c>
      <c r="E254" s="322">
        <f>IFERROR(MaterialsBoQ[[#This Row],[Kg per unit]],0)</f>
        <v>0</v>
      </c>
      <c r="F254" s="322">
        <f>IFERROR(Calculations[[#This Row],[Number]]*Calculations[[#This Row],[Conversion factor]],0)</f>
        <v>0</v>
      </c>
      <c r="G254" s="322">
        <f>IFERROR(VLOOKUP(Calculations[[#This Row],[Material (choose from dropdown]],MaterialData[#All],7,FALSE),0)</f>
        <v>0</v>
      </c>
      <c r="H254" s="322">
        <f>Calculations[[#This Row],[Total Kg]]*Calculations[[#This Row],[Carbon Factor]]</f>
        <v>0</v>
      </c>
      <c r="I254" t="str">
        <f>IFERROR(VLOOKUP(Calculations[[#This Row],[Material (choose from dropdown]],MaterialData[#All],2,FALSE),"")</f>
        <v/>
      </c>
      <c r="J254" s="322">
        <f>IFERROR(((VLOOKUP(Calculations[[#This Row],[TransportSource]],TransportDistance[],2,FALSE)*'Stage assumptions'!$C$11)+VLOOKUP(Calculations[[#This Row],[TransportSource]],TransportDistance[],3,FALSE)*'Stage assumptions'!$C$12)*Calculations[[#This Row],[Total Kg]],0)</f>
        <v>0</v>
      </c>
      <c r="K254">
        <f>IFERROR(VLOOKUP(Calculations[[#This Row],[Material (choose from dropdown]], MaterialData[#All],3, FALSE),0)</f>
        <v>0</v>
      </c>
      <c r="L254" s="322">
        <f>IFERROR(VLOOKUP(Calculations[[#This Row],[A5type]],A5WastageRate[#All],2,FALSE)*Calculations[[#This Row],[A1-3]],0)</f>
        <v>0</v>
      </c>
      <c r="N254">
        <f>IFERROR(ROUNDUP(50/VLOOKUP(Calculations[[#This Row],[Scope Element]],B4referenceServiceLife[[Tier 2 element]:[Default Service Life]],2, FALSE)-1,0),0)</f>
        <v>0</v>
      </c>
      <c r="O254" s="322">
        <f>IFERROR((Calculations[[#This Row],[A1-3]]+Calculations[[#This Row],[A4]]+Calculations[[#This Row],[A5]]+Calculations[[#This Row],[C2 total]]+Calculations[[#This Row],[C3 total]]+Calculations[[#This Row],[C4 total]])*Calculations[[#This Row],[Replacements]],0)</f>
        <v>0</v>
      </c>
      <c r="S254" t="str">
        <f>IFERROR(VLOOKUP(Calculations[[#This Row],[Material (choose from dropdown]],MaterialData[#All],4,FALSE),"")</f>
        <v/>
      </c>
      <c r="T254" s="322" cm="1">
        <f t="array" ref="T254">IFERROR(VLOOKUP(Calculations[[#This Row],[Waste 1]],WasteScenario[#All],2,FALSE)*'Stage assumptions'!$C$225*WasteTransportMethod[Emissions Factor
kgCO2e/kg.km]*Calculations[[#This Row],[Total Kg]],0)</f>
        <v>0</v>
      </c>
      <c r="U254" s="322" cm="1">
        <f t="array" ref="U254">IFERROR(VLOOKUP(Calculations[[#This Row],[Waste 1]],WasteScenario[#All],3,FALSE)*'Stage assumptions'!$C$224*WasteTransportMethod[Emissions Factor
kgCO2e/kg.km]*Calculations[[#This Row],[Total Kg]],0)</f>
        <v>0</v>
      </c>
      <c r="V254" s="322" cm="1">
        <f t="array" ref="V254">IFERROR(VLOOKUP(Calculations[[#This Row],[Waste 1]],WasteScenario[#All],4,FALSE)*'Stage assumptions'!$C$223*WasteTransportMethod[Emissions Factor
kgCO2e/kg.km]*Calculations[[#This Row],[Total Kg]],0)</f>
        <v>0</v>
      </c>
      <c r="W254" s="322" cm="1">
        <f t="array" ref="W254">IFERROR(VLOOKUP(Calculations[[#This Row],[Waste 1]],WasteScenario[#All],5,FALSE)*'Stage assumptions'!$C$226*WasteTransportMethod[Emissions Factor
kgCO2e/kg.km]*Calculations[[#This Row],[Total Kg]],0)</f>
        <v>0</v>
      </c>
      <c r="X254" s="322">
        <f>SUM(Calculations[[#This Row],[C2 Recycle]:[C2 Reuse]])</f>
        <v>0</v>
      </c>
      <c r="Y254" t="str">
        <f>IFERROR(VLOOKUP(Calculations[[#This Row],[Material (choose from dropdown]],MaterialData[#All],5,FALSE),"")</f>
        <v/>
      </c>
      <c r="Z254" s="322">
        <f>IFERROR(((VLOOKUP(Calculations[[#This Row],[Waste type 2]],WasteDisposalEmissions[#All],2,FALSE))*Calculations[[#This Row],[Total Kg]])*VLOOKUP(Calculations[[#This Row],[Waste 1]],WasteScenario[#All],2,FALSE),0)</f>
        <v>0</v>
      </c>
      <c r="AA254" s="322">
        <f>IFERROR((VLOOKUP(Calculations[[#This Row],[Waste type 2]],WasteDisposalEmissions[#All],3,FALSE))*Calculations[[#This Row],[Total Kg]]*VLOOKUP(Calculations[[#This Row],[Waste 1]],WasteScenario[#All],3,FALSE),0)</f>
        <v>0</v>
      </c>
      <c r="AB254" s="322">
        <f>SUM(Calculations[[#This Row],[C3 recyc]:[C3 incin]])</f>
        <v>0</v>
      </c>
      <c r="AC254" s="334">
        <f>IFERROR((VLOOKUP(Calculations[[#This Row],[Waste type 2]],WasteLandfillEmissions[#All],2,FALSE))*Calculations[[#This Row],[Total Kg]]*VLOOKUP(Calculations[[#This Row],[Waste 1]],WasteScenario[#All],4,FALSE),0)</f>
        <v>0</v>
      </c>
      <c r="AD254" s="322">
        <f>IFERROR((VLOOKUP(Calculations[[#This Row],[Waste type 2]],WasteLandfillEmissions[#All],3,FALSE))*Calculations[[#This Row],[Total Kg]]*VLOOKUP(Calculations[[#This Row],[Waste 1]],WasteScenario[#All],4,FALSE),0)</f>
        <v>0</v>
      </c>
      <c r="AE254" s="322">
        <f>SUM(Calculations[[#This Row],[C4 landfill]:[C4 re-use]])</f>
        <v>0</v>
      </c>
      <c r="AF254" s="322">
        <f>IFERROR(VLOOKUP(Calculations[[#This Row],[Material (choose from dropdown]],MaterialData[#All],8,FALSE),0)</f>
        <v>0</v>
      </c>
      <c r="AG254" s="322">
        <f>IFERROR(Calculations[[#This Row],[Total Kg]]*Calculations[[#This Row],[Seq factor]],0)</f>
        <v>0</v>
      </c>
      <c r="AI254" s="322">
        <f>Calculations[[#This Row],[A1-3]]+Calculations[[#This Row],[A4]]+Calculations[[#This Row],[A5]]+Calculations[[#This Row],[B4]]+Calculations[[#This Row],[C2 total]]+Calculations[[#This Row],[C3 total]]+Calculations[[#This Row],[C4 total]]</f>
        <v>0</v>
      </c>
      <c r="AJ254" s="2">
        <f>IFERROR(VLOOKUP(Calculations[[#This Row],[Material (choose from dropdown]],MaterialData[[#Headers],[#Data]],9,FALSE),0)</f>
        <v>0</v>
      </c>
      <c r="AK254" s="4">
        <f>IFERROR(VLOOKUP(Calculations[[#This Row],[Material (choose from dropdown]],MaterialData[[#Headers],[#Data]],10,FALSE),0)</f>
        <v>0</v>
      </c>
      <c r="AL254" s="322">
        <f>IFERROR(Calculations[[#This Row],[Data Quality Score]]*Calculations[[#This Row],[Total Kg]],0)</f>
        <v>0</v>
      </c>
    </row>
    <row r="255" spans="1:38" x14ac:dyDescent="0.3">
      <c r="A255" s="6">
        <f>IFERROR(MaterialsBoQ[[#This Row],[Scope Element]],0)</f>
        <v>0</v>
      </c>
      <c r="B255">
        <f>IFERROR(MaterialsBoQ[[#This Row],[Material ]],"")</f>
        <v>0</v>
      </c>
      <c r="C255">
        <f>IFERROR(MaterialsBoQ[[#This Row],[Unit]],"")</f>
        <v>0</v>
      </c>
      <c r="D255" s="322">
        <f>IFERROR(MaterialsBoQ[[#This Row],[Number]],0)</f>
        <v>0</v>
      </c>
      <c r="E255" s="322">
        <f>IFERROR(MaterialsBoQ[[#This Row],[Kg per unit]],0)</f>
        <v>0</v>
      </c>
      <c r="F255" s="322">
        <f>IFERROR(Calculations[[#This Row],[Number]]*Calculations[[#This Row],[Conversion factor]],0)</f>
        <v>0</v>
      </c>
      <c r="G255" s="322">
        <f>IFERROR(VLOOKUP(Calculations[[#This Row],[Material (choose from dropdown]],MaterialData[#All],7,FALSE),0)</f>
        <v>0</v>
      </c>
      <c r="H255" s="322">
        <f>Calculations[[#This Row],[Total Kg]]*Calculations[[#This Row],[Carbon Factor]]</f>
        <v>0</v>
      </c>
      <c r="I255" t="str">
        <f>IFERROR(VLOOKUP(Calculations[[#This Row],[Material (choose from dropdown]],MaterialData[#All],2,FALSE),"")</f>
        <v/>
      </c>
      <c r="J255" s="322">
        <f>IFERROR(((VLOOKUP(Calculations[[#This Row],[TransportSource]],TransportDistance[],2,FALSE)*'Stage assumptions'!$C$11)+VLOOKUP(Calculations[[#This Row],[TransportSource]],TransportDistance[],3,FALSE)*'Stage assumptions'!$C$12)*Calculations[[#This Row],[Total Kg]],0)</f>
        <v>0</v>
      </c>
      <c r="K255">
        <f>IFERROR(VLOOKUP(Calculations[[#This Row],[Material (choose from dropdown]], MaterialData[#All],3, FALSE),0)</f>
        <v>0</v>
      </c>
      <c r="L255" s="322">
        <f>IFERROR(VLOOKUP(Calculations[[#This Row],[A5type]],A5WastageRate[#All],2,FALSE)*Calculations[[#This Row],[A1-3]],0)</f>
        <v>0</v>
      </c>
      <c r="N255">
        <f>IFERROR(ROUNDUP(50/VLOOKUP(Calculations[[#This Row],[Scope Element]],B4referenceServiceLife[[Tier 2 element]:[Default Service Life]],2, FALSE)-1,0),0)</f>
        <v>0</v>
      </c>
      <c r="O255" s="322">
        <f>IFERROR((Calculations[[#This Row],[A1-3]]+Calculations[[#This Row],[A4]]+Calculations[[#This Row],[A5]]+Calculations[[#This Row],[C2 total]]+Calculations[[#This Row],[C3 total]]+Calculations[[#This Row],[C4 total]])*Calculations[[#This Row],[Replacements]],0)</f>
        <v>0</v>
      </c>
      <c r="S255" t="str">
        <f>IFERROR(VLOOKUP(Calculations[[#This Row],[Material (choose from dropdown]],MaterialData[#All],4,FALSE),"")</f>
        <v/>
      </c>
      <c r="T255" s="322" cm="1">
        <f t="array" ref="T255">IFERROR(VLOOKUP(Calculations[[#This Row],[Waste 1]],WasteScenario[#All],2,FALSE)*'Stage assumptions'!$C$225*WasteTransportMethod[Emissions Factor
kgCO2e/kg.km]*Calculations[[#This Row],[Total Kg]],0)</f>
        <v>0</v>
      </c>
      <c r="U255" s="322" cm="1">
        <f t="array" ref="U255">IFERROR(VLOOKUP(Calculations[[#This Row],[Waste 1]],WasteScenario[#All],3,FALSE)*'Stage assumptions'!$C$224*WasteTransportMethod[Emissions Factor
kgCO2e/kg.km]*Calculations[[#This Row],[Total Kg]],0)</f>
        <v>0</v>
      </c>
      <c r="V255" s="322" cm="1">
        <f t="array" ref="V255">IFERROR(VLOOKUP(Calculations[[#This Row],[Waste 1]],WasteScenario[#All],4,FALSE)*'Stage assumptions'!$C$223*WasteTransportMethod[Emissions Factor
kgCO2e/kg.km]*Calculations[[#This Row],[Total Kg]],0)</f>
        <v>0</v>
      </c>
      <c r="W255" s="322" cm="1">
        <f t="array" ref="W255">IFERROR(VLOOKUP(Calculations[[#This Row],[Waste 1]],WasteScenario[#All],5,FALSE)*'Stage assumptions'!$C$226*WasteTransportMethod[Emissions Factor
kgCO2e/kg.km]*Calculations[[#This Row],[Total Kg]],0)</f>
        <v>0</v>
      </c>
      <c r="X255" s="322">
        <f>SUM(Calculations[[#This Row],[C2 Recycle]:[C2 Reuse]])</f>
        <v>0</v>
      </c>
      <c r="Y255" t="str">
        <f>IFERROR(VLOOKUP(Calculations[[#This Row],[Material (choose from dropdown]],MaterialData[#All],5,FALSE),"")</f>
        <v/>
      </c>
      <c r="Z255" s="322">
        <f>IFERROR(((VLOOKUP(Calculations[[#This Row],[Waste type 2]],WasteDisposalEmissions[#All],2,FALSE))*Calculations[[#This Row],[Total Kg]])*VLOOKUP(Calculations[[#This Row],[Waste 1]],WasteScenario[#All],2,FALSE),0)</f>
        <v>0</v>
      </c>
      <c r="AA255" s="322">
        <f>IFERROR((VLOOKUP(Calculations[[#This Row],[Waste type 2]],WasteDisposalEmissions[#All],3,FALSE))*Calculations[[#This Row],[Total Kg]]*VLOOKUP(Calculations[[#This Row],[Waste 1]],WasteScenario[#All],3,FALSE),0)</f>
        <v>0</v>
      </c>
      <c r="AB255" s="322">
        <f>SUM(Calculations[[#This Row],[C3 recyc]:[C3 incin]])</f>
        <v>0</v>
      </c>
      <c r="AC255" s="334">
        <f>IFERROR((VLOOKUP(Calculations[[#This Row],[Waste type 2]],WasteLandfillEmissions[#All],2,FALSE))*Calculations[[#This Row],[Total Kg]]*VLOOKUP(Calculations[[#This Row],[Waste 1]],WasteScenario[#All],4,FALSE),0)</f>
        <v>0</v>
      </c>
      <c r="AD255" s="322">
        <f>IFERROR((VLOOKUP(Calculations[[#This Row],[Waste type 2]],WasteLandfillEmissions[#All],3,FALSE))*Calculations[[#This Row],[Total Kg]]*VLOOKUP(Calculations[[#This Row],[Waste 1]],WasteScenario[#All],4,FALSE),0)</f>
        <v>0</v>
      </c>
      <c r="AE255" s="322">
        <f>SUM(Calculations[[#This Row],[C4 landfill]:[C4 re-use]])</f>
        <v>0</v>
      </c>
      <c r="AF255" s="322">
        <f>IFERROR(VLOOKUP(Calculations[[#This Row],[Material (choose from dropdown]],MaterialData[#All],8,FALSE),0)</f>
        <v>0</v>
      </c>
      <c r="AG255" s="322">
        <f>IFERROR(Calculations[[#This Row],[Total Kg]]*Calculations[[#This Row],[Seq factor]],0)</f>
        <v>0</v>
      </c>
      <c r="AI255" s="322">
        <f>Calculations[[#This Row],[A1-3]]+Calculations[[#This Row],[A4]]+Calculations[[#This Row],[A5]]+Calculations[[#This Row],[B4]]+Calculations[[#This Row],[C2 total]]+Calculations[[#This Row],[C3 total]]+Calculations[[#This Row],[C4 total]]</f>
        <v>0</v>
      </c>
      <c r="AJ255" s="2">
        <f>IFERROR(VLOOKUP(Calculations[[#This Row],[Material (choose from dropdown]],MaterialData[[#Headers],[#Data]],9,FALSE),0)</f>
        <v>0</v>
      </c>
      <c r="AK255" s="4">
        <f>IFERROR(VLOOKUP(Calculations[[#This Row],[Material (choose from dropdown]],MaterialData[[#Headers],[#Data]],10,FALSE),0)</f>
        <v>0</v>
      </c>
      <c r="AL255" s="322">
        <f>IFERROR(Calculations[[#This Row],[Data Quality Score]]*Calculations[[#This Row],[Total Kg]],0)</f>
        <v>0</v>
      </c>
    </row>
    <row r="256" spans="1:38" x14ac:dyDescent="0.3">
      <c r="A256" s="6">
        <f>IFERROR(MaterialsBoQ[[#This Row],[Scope Element]],0)</f>
        <v>0</v>
      </c>
      <c r="B256">
        <f>IFERROR(MaterialsBoQ[[#This Row],[Material ]],"")</f>
        <v>0</v>
      </c>
      <c r="C256">
        <f>IFERROR(MaterialsBoQ[[#This Row],[Unit]],"")</f>
        <v>0</v>
      </c>
      <c r="D256" s="322">
        <f>IFERROR(MaterialsBoQ[[#This Row],[Number]],0)</f>
        <v>0</v>
      </c>
      <c r="E256" s="322">
        <f>IFERROR(MaterialsBoQ[[#This Row],[Kg per unit]],0)</f>
        <v>0</v>
      </c>
      <c r="F256" s="322">
        <f>IFERROR(Calculations[[#This Row],[Number]]*Calculations[[#This Row],[Conversion factor]],0)</f>
        <v>0</v>
      </c>
      <c r="G256" s="322">
        <f>IFERROR(VLOOKUP(Calculations[[#This Row],[Material (choose from dropdown]],MaterialData[#All],7,FALSE),0)</f>
        <v>0</v>
      </c>
      <c r="H256" s="322">
        <f>Calculations[[#This Row],[Total Kg]]*Calculations[[#This Row],[Carbon Factor]]</f>
        <v>0</v>
      </c>
      <c r="I256" t="str">
        <f>IFERROR(VLOOKUP(Calculations[[#This Row],[Material (choose from dropdown]],MaterialData[#All],2,FALSE),"")</f>
        <v/>
      </c>
      <c r="J256" s="322">
        <f>IFERROR(((VLOOKUP(Calculations[[#This Row],[TransportSource]],TransportDistance[],2,FALSE)*'Stage assumptions'!$C$11)+VLOOKUP(Calculations[[#This Row],[TransportSource]],TransportDistance[],3,FALSE)*'Stage assumptions'!$C$12)*Calculations[[#This Row],[Total Kg]],0)</f>
        <v>0</v>
      </c>
      <c r="K256">
        <f>IFERROR(VLOOKUP(Calculations[[#This Row],[Material (choose from dropdown]], MaterialData[#All],3, FALSE),0)</f>
        <v>0</v>
      </c>
      <c r="L256" s="322">
        <f>IFERROR(VLOOKUP(Calculations[[#This Row],[A5type]],A5WastageRate[#All],2,FALSE)*Calculations[[#This Row],[A1-3]],0)</f>
        <v>0</v>
      </c>
      <c r="N256">
        <f>IFERROR(ROUNDUP(50/VLOOKUP(Calculations[[#This Row],[Scope Element]],B4referenceServiceLife[[Tier 2 element]:[Default Service Life]],2, FALSE)-1,0),0)</f>
        <v>0</v>
      </c>
      <c r="O256" s="322">
        <f>IFERROR((Calculations[[#This Row],[A1-3]]+Calculations[[#This Row],[A4]]+Calculations[[#This Row],[A5]]+Calculations[[#This Row],[C2 total]]+Calculations[[#This Row],[C3 total]]+Calculations[[#This Row],[C4 total]])*Calculations[[#This Row],[Replacements]],0)</f>
        <v>0</v>
      </c>
      <c r="S256" t="str">
        <f>IFERROR(VLOOKUP(Calculations[[#This Row],[Material (choose from dropdown]],MaterialData[#All],4,FALSE),"")</f>
        <v/>
      </c>
      <c r="T256" s="322" cm="1">
        <f t="array" ref="T256">IFERROR(VLOOKUP(Calculations[[#This Row],[Waste 1]],WasteScenario[#All],2,FALSE)*'Stage assumptions'!$C$225*WasteTransportMethod[Emissions Factor
kgCO2e/kg.km]*Calculations[[#This Row],[Total Kg]],0)</f>
        <v>0</v>
      </c>
      <c r="U256" s="322" cm="1">
        <f t="array" ref="U256">IFERROR(VLOOKUP(Calculations[[#This Row],[Waste 1]],WasteScenario[#All],3,FALSE)*'Stage assumptions'!$C$224*WasteTransportMethod[Emissions Factor
kgCO2e/kg.km]*Calculations[[#This Row],[Total Kg]],0)</f>
        <v>0</v>
      </c>
      <c r="V256" s="322" cm="1">
        <f t="array" ref="V256">IFERROR(VLOOKUP(Calculations[[#This Row],[Waste 1]],WasteScenario[#All],4,FALSE)*'Stage assumptions'!$C$223*WasteTransportMethod[Emissions Factor
kgCO2e/kg.km]*Calculations[[#This Row],[Total Kg]],0)</f>
        <v>0</v>
      </c>
      <c r="W256" s="322" cm="1">
        <f t="array" ref="W256">IFERROR(VLOOKUP(Calculations[[#This Row],[Waste 1]],WasteScenario[#All],5,FALSE)*'Stage assumptions'!$C$226*WasteTransportMethod[Emissions Factor
kgCO2e/kg.km]*Calculations[[#This Row],[Total Kg]],0)</f>
        <v>0</v>
      </c>
      <c r="X256" s="322">
        <f>SUM(Calculations[[#This Row],[C2 Recycle]:[C2 Reuse]])</f>
        <v>0</v>
      </c>
      <c r="Y256" t="str">
        <f>IFERROR(VLOOKUP(Calculations[[#This Row],[Material (choose from dropdown]],MaterialData[#All],5,FALSE),"")</f>
        <v/>
      </c>
      <c r="Z256" s="322">
        <f>IFERROR(((VLOOKUP(Calculations[[#This Row],[Waste type 2]],WasteDisposalEmissions[#All],2,FALSE))*Calculations[[#This Row],[Total Kg]])*VLOOKUP(Calculations[[#This Row],[Waste 1]],WasteScenario[#All],2,FALSE),0)</f>
        <v>0</v>
      </c>
      <c r="AA256" s="322">
        <f>IFERROR((VLOOKUP(Calculations[[#This Row],[Waste type 2]],WasteDisposalEmissions[#All],3,FALSE))*Calculations[[#This Row],[Total Kg]]*VLOOKUP(Calculations[[#This Row],[Waste 1]],WasteScenario[#All],3,FALSE),0)</f>
        <v>0</v>
      </c>
      <c r="AB256" s="322">
        <f>SUM(Calculations[[#This Row],[C3 recyc]:[C3 incin]])</f>
        <v>0</v>
      </c>
      <c r="AC256" s="334">
        <f>IFERROR((VLOOKUP(Calculations[[#This Row],[Waste type 2]],WasteLandfillEmissions[#All],2,FALSE))*Calculations[[#This Row],[Total Kg]]*VLOOKUP(Calculations[[#This Row],[Waste 1]],WasteScenario[#All],4,FALSE),0)</f>
        <v>0</v>
      </c>
      <c r="AD256" s="322">
        <f>IFERROR((VLOOKUP(Calculations[[#This Row],[Waste type 2]],WasteLandfillEmissions[#All],3,FALSE))*Calculations[[#This Row],[Total Kg]]*VLOOKUP(Calculations[[#This Row],[Waste 1]],WasteScenario[#All],4,FALSE),0)</f>
        <v>0</v>
      </c>
      <c r="AE256" s="322">
        <f>SUM(Calculations[[#This Row],[C4 landfill]:[C4 re-use]])</f>
        <v>0</v>
      </c>
      <c r="AF256" s="322">
        <f>IFERROR(VLOOKUP(Calculations[[#This Row],[Material (choose from dropdown]],MaterialData[#All],8,FALSE),0)</f>
        <v>0</v>
      </c>
      <c r="AG256" s="322">
        <f>IFERROR(Calculations[[#This Row],[Total Kg]]*Calculations[[#This Row],[Seq factor]],0)</f>
        <v>0</v>
      </c>
      <c r="AI256" s="322">
        <f>Calculations[[#This Row],[A1-3]]+Calculations[[#This Row],[A4]]+Calculations[[#This Row],[A5]]+Calculations[[#This Row],[B4]]+Calculations[[#This Row],[C2 total]]+Calculations[[#This Row],[C3 total]]+Calculations[[#This Row],[C4 total]]</f>
        <v>0</v>
      </c>
      <c r="AJ256" s="2">
        <f>IFERROR(VLOOKUP(Calculations[[#This Row],[Material (choose from dropdown]],MaterialData[[#Headers],[#Data]],9,FALSE),0)</f>
        <v>0</v>
      </c>
      <c r="AK256" s="4">
        <f>IFERROR(VLOOKUP(Calculations[[#This Row],[Material (choose from dropdown]],MaterialData[[#Headers],[#Data]],10,FALSE),0)</f>
        <v>0</v>
      </c>
      <c r="AL256" s="322">
        <f>IFERROR(Calculations[[#This Row],[Data Quality Score]]*Calculations[[#This Row],[Total Kg]],0)</f>
        <v>0</v>
      </c>
    </row>
    <row r="257" spans="1:38" x14ac:dyDescent="0.3">
      <c r="A257" s="6">
        <f>IFERROR(MaterialsBoQ[[#This Row],[Scope Element]],0)</f>
        <v>0</v>
      </c>
      <c r="B257">
        <f>IFERROR(MaterialsBoQ[[#This Row],[Material ]],"")</f>
        <v>0</v>
      </c>
      <c r="C257">
        <f>IFERROR(MaterialsBoQ[[#This Row],[Unit]],"")</f>
        <v>0</v>
      </c>
      <c r="D257" s="322">
        <f>IFERROR(MaterialsBoQ[[#This Row],[Number]],0)</f>
        <v>0</v>
      </c>
      <c r="E257" s="322">
        <f>IFERROR(MaterialsBoQ[[#This Row],[Kg per unit]],0)</f>
        <v>0</v>
      </c>
      <c r="F257" s="322">
        <f>IFERROR(Calculations[[#This Row],[Number]]*Calculations[[#This Row],[Conversion factor]],0)</f>
        <v>0</v>
      </c>
      <c r="G257" s="322">
        <f>IFERROR(VLOOKUP(Calculations[[#This Row],[Material (choose from dropdown]],MaterialData[#All],7,FALSE),0)</f>
        <v>0</v>
      </c>
      <c r="H257" s="322">
        <f>Calculations[[#This Row],[Total Kg]]*Calculations[[#This Row],[Carbon Factor]]</f>
        <v>0</v>
      </c>
      <c r="I257" t="str">
        <f>IFERROR(VLOOKUP(Calculations[[#This Row],[Material (choose from dropdown]],MaterialData[#All],2,FALSE),"")</f>
        <v/>
      </c>
      <c r="J257" s="322">
        <f>IFERROR(((VLOOKUP(Calculations[[#This Row],[TransportSource]],TransportDistance[],2,FALSE)*'Stage assumptions'!$C$11)+VLOOKUP(Calculations[[#This Row],[TransportSource]],TransportDistance[],3,FALSE)*'Stage assumptions'!$C$12)*Calculations[[#This Row],[Total Kg]],0)</f>
        <v>0</v>
      </c>
      <c r="K257">
        <f>IFERROR(VLOOKUP(Calculations[[#This Row],[Material (choose from dropdown]], MaterialData[#All],3, FALSE),0)</f>
        <v>0</v>
      </c>
      <c r="L257" s="322">
        <f>IFERROR(VLOOKUP(Calculations[[#This Row],[A5type]],A5WastageRate[#All],2,FALSE)*Calculations[[#This Row],[A1-3]],0)</f>
        <v>0</v>
      </c>
      <c r="N257">
        <f>IFERROR(ROUNDUP(50/VLOOKUP(Calculations[[#This Row],[Scope Element]],B4referenceServiceLife[[Tier 2 element]:[Default Service Life]],2, FALSE)-1,0),0)</f>
        <v>0</v>
      </c>
      <c r="O257" s="322">
        <f>IFERROR((Calculations[[#This Row],[A1-3]]+Calculations[[#This Row],[A4]]+Calculations[[#This Row],[A5]]+Calculations[[#This Row],[C2 total]]+Calculations[[#This Row],[C3 total]]+Calculations[[#This Row],[C4 total]])*Calculations[[#This Row],[Replacements]],0)</f>
        <v>0</v>
      </c>
      <c r="S257" t="str">
        <f>IFERROR(VLOOKUP(Calculations[[#This Row],[Material (choose from dropdown]],MaterialData[#All],4,FALSE),"")</f>
        <v/>
      </c>
      <c r="T257" s="322" cm="1">
        <f t="array" ref="T257">IFERROR(VLOOKUP(Calculations[[#This Row],[Waste 1]],WasteScenario[#All],2,FALSE)*'Stage assumptions'!$C$225*WasteTransportMethod[Emissions Factor
kgCO2e/kg.km]*Calculations[[#This Row],[Total Kg]],0)</f>
        <v>0</v>
      </c>
      <c r="U257" s="322" cm="1">
        <f t="array" ref="U257">IFERROR(VLOOKUP(Calculations[[#This Row],[Waste 1]],WasteScenario[#All],3,FALSE)*'Stage assumptions'!$C$224*WasteTransportMethod[Emissions Factor
kgCO2e/kg.km]*Calculations[[#This Row],[Total Kg]],0)</f>
        <v>0</v>
      </c>
      <c r="V257" s="322" cm="1">
        <f t="array" ref="V257">IFERROR(VLOOKUP(Calculations[[#This Row],[Waste 1]],WasteScenario[#All],4,FALSE)*'Stage assumptions'!$C$223*WasteTransportMethod[Emissions Factor
kgCO2e/kg.km]*Calculations[[#This Row],[Total Kg]],0)</f>
        <v>0</v>
      </c>
      <c r="W257" s="322" cm="1">
        <f t="array" ref="W257">IFERROR(VLOOKUP(Calculations[[#This Row],[Waste 1]],WasteScenario[#All],5,FALSE)*'Stage assumptions'!$C$226*WasteTransportMethod[Emissions Factor
kgCO2e/kg.km]*Calculations[[#This Row],[Total Kg]],0)</f>
        <v>0</v>
      </c>
      <c r="X257" s="322">
        <f>SUM(Calculations[[#This Row],[C2 Recycle]:[C2 Reuse]])</f>
        <v>0</v>
      </c>
      <c r="Y257" t="str">
        <f>IFERROR(VLOOKUP(Calculations[[#This Row],[Material (choose from dropdown]],MaterialData[#All],5,FALSE),"")</f>
        <v/>
      </c>
      <c r="Z257" s="322">
        <f>IFERROR(((VLOOKUP(Calculations[[#This Row],[Waste type 2]],WasteDisposalEmissions[#All],2,FALSE))*Calculations[[#This Row],[Total Kg]])*VLOOKUP(Calculations[[#This Row],[Waste 1]],WasteScenario[#All],2,FALSE),0)</f>
        <v>0</v>
      </c>
      <c r="AA257" s="322">
        <f>IFERROR((VLOOKUP(Calculations[[#This Row],[Waste type 2]],WasteDisposalEmissions[#All],3,FALSE))*Calculations[[#This Row],[Total Kg]]*VLOOKUP(Calculations[[#This Row],[Waste 1]],WasteScenario[#All],3,FALSE),0)</f>
        <v>0</v>
      </c>
      <c r="AB257" s="322">
        <f>SUM(Calculations[[#This Row],[C3 recyc]:[C3 incin]])</f>
        <v>0</v>
      </c>
      <c r="AC257" s="334">
        <f>IFERROR((VLOOKUP(Calculations[[#This Row],[Waste type 2]],WasteLandfillEmissions[#All],2,FALSE))*Calculations[[#This Row],[Total Kg]]*VLOOKUP(Calculations[[#This Row],[Waste 1]],WasteScenario[#All],4,FALSE),0)</f>
        <v>0</v>
      </c>
      <c r="AD257" s="322">
        <f>IFERROR((VLOOKUP(Calculations[[#This Row],[Waste type 2]],WasteLandfillEmissions[#All],3,FALSE))*Calculations[[#This Row],[Total Kg]]*VLOOKUP(Calculations[[#This Row],[Waste 1]],WasteScenario[#All],4,FALSE),0)</f>
        <v>0</v>
      </c>
      <c r="AE257" s="322">
        <f>SUM(Calculations[[#This Row],[C4 landfill]:[C4 re-use]])</f>
        <v>0</v>
      </c>
      <c r="AF257" s="322">
        <f>IFERROR(VLOOKUP(Calculations[[#This Row],[Material (choose from dropdown]],MaterialData[#All],8,FALSE),0)</f>
        <v>0</v>
      </c>
      <c r="AG257" s="322">
        <f>IFERROR(Calculations[[#This Row],[Total Kg]]*Calculations[[#This Row],[Seq factor]],0)</f>
        <v>0</v>
      </c>
      <c r="AI257" s="322">
        <f>Calculations[[#This Row],[A1-3]]+Calculations[[#This Row],[A4]]+Calculations[[#This Row],[A5]]+Calculations[[#This Row],[B4]]+Calculations[[#This Row],[C2 total]]+Calculations[[#This Row],[C3 total]]+Calculations[[#This Row],[C4 total]]</f>
        <v>0</v>
      </c>
      <c r="AJ257" s="2">
        <f>IFERROR(VLOOKUP(Calculations[[#This Row],[Material (choose from dropdown]],MaterialData[[#Headers],[#Data]],9,FALSE),0)</f>
        <v>0</v>
      </c>
      <c r="AK257" s="4">
        <f>IFERROR(VLOOKUP(Calculations[[#This Row],[Material (choose from dropdown]],MaterialData[[#Headers],[#Data]],10,FALSE),0)</f>
        <v>0</v>
      </c>
      <c r="AL257" s="322">
        <f>IFERROR(Calculations[[#This Row],[Data Quality Score]]*Calculations[[#This Row],[Total Kg]],0)</f>
        <v>0</v>
      </c>
    </row>
    <row r="258" spans="1:38" x14ac:dyDescent="0.3">
      <c r="A258" s="6">
        <f>IFERROR(MaterialsBoQ[[#This Row],[Scope Element]],0)</f>
        <v>0</v>
      </c>
      <c r="B258">
        <f>IFERROR(MaterialsBoQ[[#This Row],[Material ]],"")</f>
        <v>0</v>
      </c>
      <c r="C258">
        <f>IFERROR(MaterialsBoQ[[#This Row],[Unit]],"")</f>
        <v>0</v>
      </c>
      <c r="D258" s="322">
        <f>IFERROR(MaterialsBoQ[[#This Row],[Number]],0)</f>
        <v>0</v>
      </c>
      <c r="E258" s="322">
        <f>IFERROR(MaterialsBoQ[[#This Row],[Kg per unit]],0)</f>
        <v>0</v>
      </c>
      <c r="F258" s="322">
        <f>IFERROR(Calculations[[#This Row],[Number]]*Calculations[[#This Row],[Conversion factor]],0)</f>
        <v>0</v>
      </c>
      <c r="G258" s="322">
        <f>IFERROR(VLOOKUP(Calculations[[#This Row],[Material (choose from dropdown]],MaterialData[#All],7,FALSE),0)</f>
        <v>0</v>
      </c>
      <c r="H258" s="322">
        <f>Calculations[[#This Row],[Total Kg]]*Calculations[[#This Row],[Carbon Factor]]</f>
        <v>0</v>
      </c>
      <c r="I258" t="str">
        <f>IFERROR(VLOOKUP(Calculations[[#This Row],[Material (choose from dropdown]],MaterialData[#All],2,FALSE),"")</f>
        <v/>
      </c>
      <c r="J258" s="322">
        <f>IFERROR(((VLOOKUP(Calculations[[#This Row],[TransportSource]],TransportDistance[],2,FALSE)*'Stage assumptions'!$C$11)+VLOOKUP(Calculations[[#This Row],[TransportSource]],TransportDistance[],3,FALSE)*'Stage assumptions'!$C$12)*Calculations[[#This Row],[Total Kg]],0)</f>
        <v>0</v>
      </c>
      <c r="K258">
        <f>IFERROR(VLOOKUP(Calculations[[#This Row],[Material (choose from dropdown]], MaterialData[#All],3, FALSE),0)</f>
        <v>0</v>
      </c>
      <c r="L258" s="322">
        <f>IFERROR(VLOOKUP(Calculations[[#This Row],[A5type]],A5WastageRate[#All],2,FALSE)*Calculations[[#This Row],[A1-3]],0)</f>
        <v>0</v>
      </c>
      <c r="N258">
        <f>IFERROR(ROUNDUP(50/VLOOKUP(Calculations[[#This Row],[Scope Element]],B4referenceServiceLife[[Tier 2 element]:[Default Service Life]],2, FALSE)-1,0),0)</f>
        <v>0</v>
      </c>
      <c r="O258" s="322">
        <f>IFERROR((Calculations[[#This Row],[A1-3]]+Calculations[[#This Row],[A4]]+Calculations[[#This Row],[A5]]+Calculations[[#This Row],[C2 total]]+Calculations[[#This Row],[C3 total]]+Calculations[[#This Row],[C4 total]])*Calculations[[#This Row],[Replacements]],0)</f>
        <v>0</v>
      </c>
      <c r="S258" t="str">
        <f>IFERROR(VLOOKUP(Calculations[[#This Row],[Material (choose from dropdown]],MaterialData[#All],4,FALSE),"")</f>
        <v/>
      </c>
      <c r="T258" s="322" cm="1">
        <f t="array" ref="T258">IFERROR(VLOOKUP(Calculations[[#This Row],[Waste 1]],WasteScenario[#All],2,FALSE)*'Stage assumptions'!$C$225*WasteTransportMethod[Emissions Factor
kgCO2e/kg.km]*Calculations[[#This Row],[Total Kg]],0)</f>
        <v>0</v>
      </c>
      <c r="U258" s="322" cm="1">
        <f t="array" ref="U258">IFERROR(VLOOKUP(Calculations[[#This Row],[Waste 1]],WasteScenario[#All],3,FALSE)*'Stage assumptions'!$C$224*WasteTransportMethod[Emissions Factor
kgCO2e/kg.km]*Calculations[[#This Row],[Total Kg]],0)</f>
        <v>0</v>
      </c>
      <c r="V258" s="322" cm="1">
        <f t="array" ref="V258">IFERROR(VLOOKUP(Calculations[[#This Row],[Waste 1]],WasteScenario[#All],4,FALSE)*'Stage assumptions'!$C$223*WasteTransportMethod[Emissions Factor
kgCO2e/kg.km]*Calculations[[#This Row],[Total Kg]],0)</f>
        <v>0</v>
      </c>
      <c r="W258" s="322" cm="1">
        <f t="array" ref="W258">IFERROR(VLOOKUP(Calculations[[#This Row],[Waste 1]],WasteScenario[#All],5,FALSE)*'Stage assumptions'!$C$226*WasteTransportMethod[Emissions Factor
kgCO2e/kg.km]*Calculations[[#This Row],[Total Kg]],0)</f>
        <v>0</v>
      </c>
      <c r="X258" s="322">
        <f>SUM(Calculations[[#This Row],[C2 Recycle]:[C2 Reuse]])</f>
        <v>0</v>
      </c>
      <c r="Y258" t="str">
        <f>IFERROR(VLOOKUP(Calculations[[#This Row],[Material (choose from dropdown]],MaterialData[#All],5,FALSE),"")</f>
        <v/>
      </c>
      <c r="Z258" s="322">
        <f>IFERROR(((VLOOKUP(Calculations[[#This Row],[Waste type 2]],WasteDisposalEmissions[#All],2,FALSE))*Calculations[[#This Row],[Total Kg]])*VLOOKUP(Calculations[[#This Row],[Waste 1]],WasteScenario[#All],2,FALSE),0)</f>
        <v>0</v>
      </c>
      <c r="AA258" s="322">
        <f>IFERROR((VLOOKUP(Calculations[[#This Row],[Waste type 2]],WasteDisposalEmissions[#All],3,FALSE))*Calculations[[#This Row],[Total Kg]]*VLOOKUP(Calculations[[#This Row],[Waste 1]],WasteScenario[#All],3,FALSE),0)</f>
        <v>0</v>
      </c>
      <c r="AB258" s="322">
        <f>SUM(Calculations[[#This Row],[C3 recyc]:[C3 incin]])</f>
        <v>0</v>
      </c>
      <c r="AC258" s="334">
        <f>IFERROR((VLOOKUP(Calculations[[#This Row],[Waste type 2]],WasteLandfillEmissions[#All],2,FALSE))*Calculations[[#This Row],[Total Kg]]*VLOOKUP(Calculations[[#This Row],[Waste 1]],WasteScenario[#All],4,FALSE),0)</f>
        <v>0</v>
      </c>
      <c r="AD258" s="322">
        <f>IFERROR((VLOOKUP(Calculations[[#This Row],[Waste type 2]],WasteLandfillEmissions[#All],3,FALSE))*Calculations[[#This Row],[Total Kg]]*VLOOKUP(Calculations[[#This Row],[Waste 1]],WasteScenario[#All],4,FALSE),0)</f>
        <v>0</v>
      </c>
      <c r="AE258" s="322">
        <f>SUM(Calculations[[#This Row],[C4 landfill]:[C4 re-use]])</f>
        <v>0</v>
      </c>
      <c r="AF258" s="322">
        <f>IFERROR(VLOOKUP(Calculations[[#This Row],[Material (choose from dropdown]],MaterialData[#All],8,FALSE),0)</f>
        <v>0</v>
      </c>
      <c r="AG258" s="322">
        <f>IFERROR(Calculations[[#This Row],[Total Kg]]*Calculations[[#This Row],[Seq factor]],0)</f>
        <v>0</v>
      </c>
      <c r="AI258" s="322">
        <f>Calculations[[#This Row],[A1-3]]+Calculations[[#This Row],[A4]]+Calculations[[#This Row],[A5]]+Calculations[[#This Row],[B4]]+Calculations[[#This Row],[C2 total]]+Calculations[[#This Row],[C3 total]]+Calculations[[#This Row],[C4 total]]</f>
        <v>0</v>
      </c>
      <c r="AJ258" s="2">
        <f>IFERROR(VLOOKUP(Calculations[[#This Row],[Material (choose from dropdown]],MaterialData[[#Headers],[#Data]],9,FALSE),0)</f>
        <v>0</v>
      </c>
      <c r="AK258" s="4">
        <f>IFERROR(VLOOKUP(Calculations[[#This Row],[Material (choose from dropdown]],MaterialData[[#Headers],[#Data]],10,FALSE),0)</f>
        <v>0</v>
      </c>
      <c r="AL258" s="322">
        <f>IFERROR(Calculations[[#This Row],[Data Quality Score]]*Calculations[[#This Row],[Total Kg]],0)</f>
        <v>0</v>
      </c>
    </row>
    <row r="259" spans="1:38" x14ac:dyDescent="0.3">
      <c r="A259" s="6">
        <f>IFERROR(MaterialsBoQ[[#This Row],[Scope Element]],0)</f>
        <v>0</v>
      </c>
      <c r="B259">
        <f>IFERROR(MaterialsBoQ[[#This Row],[Material ]],"")</f>
        <v>0</v>
      </c>
      <c r="C259">
        <f>IFERROR(MaterialsBoQ[[#This Row],[Unit]],"")</f>
        <v>0</v>
      </c>
      <c r="D259" s="322">
        <f>IFERROR(MaterialsBoQ[[#This Row],[Number]],0)</f>
        <v>0</v>
      </c>
      <c r="E259" s="322">
        <f>IFERROR(MaterialsBoQ[[#This Row],[Kg per unit]],0)</f>
        <v>0</v>
      </c>
      <c r="F259" s="322">
        <f>IFERROR(Calculations[[#This Row],[Number]]*Calculations[[#This Row],[Conversion factor]],0)</f>
        <v>0</v>
      </c>
      <c r="G259" s="322">
        <f>IFERROR(VLOOKUP(Calculations[[#This Row],[Material (choose from dropdown]],MaterialData[#All],7,FALSE),0)</f>
        <v>0</v>
      </c>
      <c r="H259" s="322">
        <f>Calculations[[#This Row],[Total Kg]]*Calculations[[#This Row],[Carbon Factor]]</f>
        <v>0</v>
      </c>
      <c r="I259" t="str">
        <f>IFERROR(VLOOKUP(Calculations[[#This Row],[Material (choose from dropdown]],MaterialData[#All],2,FALSE),"")</f>
        <v/>
      </c>
      <c r="J259" s="322">
        <f>IFERROR(((VLOOKUP(Calculations[[#This Row],[TransportSource]],TransportDistance[],2,FALSE)*'Stage assumptions'!$C$11)+VLOOKUP(Calculations[[#This Row],[TransportSource]],TransportDistance[],3,FALSE)*'Stage assumptions'!$C$12)*Calculations[[#This Row],[Total Kg]],0)</f>
        <v>0</v>
      </c>
      <c r="K259">
        <f>IFERROR(VLOOKUP(Calculations[[#This Row],[Material (choose from dropdown]], MaterialData[#All],3, FALSE),0)</f>
        <v>0</v>
      </c>
      <c r="L259" s="322">
        <f>IFERROR(VLOOKUP(Calculations[[#This Row],[A5type]],A5WastageRate[#All],2,FALSE)*Calculations[[#This Row],[A1-3]],0)</f>
        <v>0</v>
      </c>
      <c r="N259">
        <f>IFERROR(ROUNDUP(50/VLOOKUP(Calculations[[#This Row],[Scope Element]],B4referenceServiceLife[[Tier 2 element]:[Default Service Life]],2, FALSE)-1,0),0)</f>
        <v>0</v>
      </c>
      <c r="O259" s="322">
        <f>IFERROR((Calculations[[#This Row],[A1-3]]+Calculations[[#This Row],[A4]]+Calculations[[#This Row],[A5]]+Calculations[[#This Row],[C2 total]]+Calculations[[#This Row],[C3 total]]+Calculations[[#This Row],[C4 total]])*Calculations[[#This Row],[Replacements]],0)</f>
        <v>0</v>
      </c>
      <c r="S259" t="str">
        <f>IFERROR(VLOOKUP(Calculations[[#This Row],[Material (choose from dropdown]],MaterialData[#All],4,FALSE),"")</f>
        <v/>
      </c>
      <c r="T259" s="322" cm="1">
        <f t="array" ref="T259">IFERROR(VLOOKUP(Calculations[[#This Row],[Waste 1]],WasteScenario[#All],2,FALSE)*'Stage assumptions'!$C$225*WasteTransportMethod[Emissions Factor
kgCO2e/kg.km]*Calculations[[#This Row],[Total Kg]],0)</f>
        <v>0</v>
      </c>
      <c r="U259" s="322" cm="1">
        <f t="array" ref="U259">IFERROR(VLOOKUP(Calculations[[#This Row],[Waste 1]],WasteScenario[#All],3,FALSE)*'Stage assumptions'!$C$224*WasteTransportMethod[Emissions Factor
kgCO2e/kg.km]*Calculations[[#This Row],[Total Kg]],0)</f>
        <v>0</v>
      </c>
      <c r="V259" s="322" cm="1">
        <f t="array" ref="V259">IFERROR(VLOOKUP(Calculations[[#This Row],[Waste 1]],WasteScenario[#All],4,FALSE)*'Stage assumptions'!$C$223*WasteTransportMethod[Emissions Factor
kgCO2e/kg.km]*Calculations[[#This Row],[Total Kg]],0)</f>
        <v>0</v>
      </c>
      <c r="W259" s="322" cm="1">
        <f t="array" ref="W259">IFERROR(VLOOKUP(Calculations[[#This Row],[Waste 1]],WasteScenario[#All],5,FALSE)*'Stage assumptions'!$C$226*WasteTransportMethod[Emissions Factor
kgCO2e/kg.km]*Calculations[[#This Row],[Total Kg]],0)</f>
        <v>0</v>
      </c>
      <c r="X259" s="322">
        <f>SUM(Calculations[[#This Row],[C2 Recycle]:[C2 Reuse]])</f>
        <v>0</v>
      </c>
      <c r="Y259" t="str">
        <f>IFERROR(VLOOKUP(Calculations[[#This Row],[Material (choose from dropdown]],MaterialData[#All],5,FALSE),"")</f>
        <v/>
      </c>
      <c r="Z259" s="322">
        <f>IFERROR(((VLOOKUP(Calculations[[#This Row],[Waste type 2]],WasteDisposalEmissions[#All],2,FALSE))*Calculations[[#This Row],[Total Kg]])*VLOOKUP(Calculations[[#This Row],[Waste 1]],WasteScenario[#All],2,FALSE),0)</f>
        <v>0</v>
      </c>
      <c r="AA259" s="322">
        <f>IFERROR((VLOOKUP(Calculations[[#This Row],[Waste type 2]],WasteDisposalEmissions[#All],3,FALSE))*Calculations[[#This Row],[Total Kg]]*VLOOKUP(Calculations[[#This Row],[Waste 1]],WasteScenario[#All],3,FALSE),0)</f>
        <v>0</v>
      </c>
      <c r="AB259" s="322">
        <f>SUM(Calculations[[#This Row],[C3 recyc]:[C3 incin]])</f>
        <v>0</v>
      </c>
      <c r="AC259" s="334">
        <f>IFERROR((VLOOKUP(Calculations[[#This Row],[Waste type 2]],WasteLandfillEmissions[#All],2,FALSE))*Calculations[[#This Row],[Total Kg]]*VLOOKUP(Calculations[[#This Row],[Waste 1]],WasteScenario[#All],4,FALSE),0)</f>
        <v>0</v>
      </c>
      <c r="AD259" s="322">
        <f>IFERROR((VLOOKUP(Calculations[[#This Row],[Waste type 2]],WasteLandfillEmissions[#All],3,FALSE))*Calculations[[#This Row],[Total Kg]]*VLOOKUP(Calculations[[#This Row],[Waste 1]],WasteScenario[#All],4,FALSE),0)</f>
        <v>0</v>
      </c>
      <c r="AE259" s="322">
        <f>SUM(Calculations[[#This Row],[C4 landfill]:[C4 re-use]])</f>
        <v>0</v>
      </c>
      <c r="AF259" s="322">
        <f>IFERROR(VLOOKUP(Calculations[[#This Row],[Material (choose from dropdown]],MaterialData[#All],8,FALSE),0)</f>
        <v>0</v>
      </c>
      <c r="AG259" s="322">
        <f>IFERROR(Calculations[[#This Row],[Total Kg]]*Calculations[[#This Row],[Seq factor]],0)</f>
        <v>0</v>
      </c>
      <c r="AI259" s="322">
        <f>Calculations[[#This Row],[A1-3]]+Calculations[[#This Row],[A4]]+Calculations[[#This Row],[A5]]+Calculations[[#This Row],[B4]]+Calculations[[#This Row],[C2 total]]+Calculations[[#This Row],[C3 total]]+Calculations[[#This Row],[C4 total]]</f>
        <v>0</v>
      </c>
      <c r="AJ259" s="2">
        <f>IFERROR(VLOOKUP(Calculations[[#This Row],[Material (choose from dropdown]],MaterialData[[#Headers],[#Data]],9,FALSE),0)</f>
        <v>0</v>
      </c>
      <c r="AK259" s="4">
        <f>IFERROR(VLOOKUP(Calculations[[#This Row],[Material (choose from dropdown]],MaterialData[[#Headers],[#Data]],10,FALSE),0)</f>
        <v>0</v>
      </c>
      <c r="AL259" s="322">
        <f>IFERROR(Calculations[[#This Row],[Data Quality Score]]*Calculations[[#This Row],[Total Kg]],0)</f>
        <v>0</v>
      </c>
    </row>
    <row r="260" spans="1:38" x14ac:dyDescent="0.3">
      <c r="A260" s="6">
        <f>IFERROR(MaterialsBoQ[[#This Row],[Scope Element]],0)</f>
        <v>0</v>
      </c>
      <c r="B260">
        <f>IFERROR(MaterialsBoQ[[#This Row],[Material ]],"")</f>
        <v>0</v>
      </c>
      <c r="C260">
        <f>IFERROR(MaterialsBoQ[[#This Row],[Unit]],"")</f>
        <v>0</v>
      </c>
      <c r="D260" s="322">
        <f>IFERROR(MaterialsBoQ[[#This Row],[Number]],0)</f>
        <v>0</v>
      </c>
      <c r="E260" s="322">
        <f>IFERROR(MaterialsBoQ[[#This Row],[Kg per unit]],0)</f>
        <v>0</v>
      </c>
      <c r="F260" s="322">
        <f>IFERROR(Calculations[[#This Row],[Number]]*Calculations[[#This Row],[Conversion factor]],0)</f>
        <v>0</v>
      </c>
      <c r="G260" s="322">
        <f>IFERROR(VLOOKUP(Calculations[[#This Row],[Material (choose from dropdown]],MaterialData[#All],7,FALSE),0)</f>
        <v>0</v>
      </c>
      <c r="H260" s="322">
        <f>Calculations[[#This Row],[Total Kg]]*Calculations[[#This Row],[Carbon Factor]]</f>
        <v>0</v>
      </c>
      <c r="I260" t="str">
        <f>IFERROR(VLOOKUP(Calculations[[#This Row],[Material (choose from dropdown]],MaterialData[#All],2,FALSE),"")</f>
        <v/>
      </c>
      <c r="J260" s="322">
        <f>IFERROR(((VLOOKUP(Calculations[[#This Row],[TransportSource]],TransportDistance[],2,FALSE)*'Stage assumptions'!$C$11)+VLOOKUP(Calculations[[#This Row],[TransportSource]],TransportDistance[],3,FALSE)*'Stage assumptions'!$C$12)*Calculations[[#This Row],[Total Kg]],0)</f>
        <v>0</v>
      </c>
      <c r="K260">
        <f>IFERROR(VLOOKUP(Calculations[[#This Row],[Material (choose from dropdown]], MaterialData[#All],3, FALSE),0)</f>
        <v>0</v>
      </c>
      <c r="L260" s="322">
        <f>IFERROR(VLOOKUP(Calculations[[#This Row],[A5type]],A5WastageRate[#All],2,FALSE)*Calculations[[#This Row],[A1-3]],0)</f>
        <v>0</v>
      </c>
      <c r="N260">
        <f>IFERROR(ROUNDUP(50/VLOOKUP(Calculations[[#This Row],[Scope Element]],B4referenceServiceLife[[Tier 2 element]:[Default Service Life]],2, FALSE)-1,0),0)</f>
        <v>0</v>
      </c>
      <c r="O260" s="322">
        <f>IFERROR((Calculations[[#This Row],[A1-3]]+Calculations[[#This Row],[A4]]+Calculations[[#This Row],[A5]]+Calculations[[#This Row],[C2 total]]+Calculations[[#This Row],[C3 total]]+Calculations[[#This Row],[C4 total]])*Calculations[[#This Row],[Replacements]],0)</f>
        <v>0</v>
      </c>
      <c r="S260" t="str">
        <f>IFERROR(VLOOKUP(Calculations[[#This Row],[Material (choose from dropdown]],MaterialData[#All],4,FALSE),"")</f>
        <v/>
      </c>
      <c r="T260" s="322" cm="1">
        <f t="array" ref="T260">IFERROR(VLOOKUP(Calculations[[#This Row],[Waste 1]],WasteScenario[#All],2,FALSE)*'Stage assumptions'!$C$225*WasteTransportMethod[Emissions Factor
kgCO2e/kg.km]*Calculations[[#This Row],[Total Kg]],0)</f>
        <v>0</v>
      </c>
      <c r="U260" s="322" cm="1">
        <f t="array" ref="U260">IFERROR(VLOOKUP(Calculations[[#This Row],[Waste 1]],WasteScenario[#All],3,FALSE)*'Stage assumptions'!$C$224*WasteTransportMethod[Emissions Factor
kgCO2e/kg.km]*Calculations[[#This Row],[Total Kg]],0)</f>
        <v>0</v>
      </c>
      <c r="V260" s="322" cm="1">
        <f t="array" ref="V260">IFERROR(VLOOKUP(Calculations[[#This Row],[Waste 1]],WasteScenario[#All],4,FALSE)*'Stage assumptions'!$C$223*WasteTransportMethod[Emissions Factor
kgCO2e/kg.km]*Calculations[[#This Row],[Total Kg]],0)</f>
        <v>0</v>
      </c>
      <c r="W260" s="322" cm="1">
        <f t="array" ref="W260">IFERROR(VLOOKUP(Calculations[[#This Row],[Waste 1]],WasteScenario[#All],5,FALSE)*'Stage assumptions'!$C$226*WasteTransportMethod[Emissions Factor
kgCO2e/kg.km]*Calculations[[#This Row],[Total Kg]],0)</f>
        <v>0</v>
      </c>
      <c r="X260" s="322">
        <f>SUM(Calculations[[#This Row],[C2 Recycle]:[C2 Reuse]])</f>
        <v>0</v>
      </c>
      <c r="Y260" t="str">
        <f>IFERROR(VLOOKUP(Calculations[[#This Row],[Material (choose from dropdown]],MaterialData[#All],5,FALSE),"")</f>
        <v/>
      </c>
      <c r="Z260" s="322">
        <f>IFERROR(((VLOOKUP(Calculations[[#This Row],[Waste type 2]],WasteDisposalEmissions[#All],2,FALSE))*Calculations[[#This Row],[Total Kg]])*VLOOKUP(Calculations[[#This Row],[Waste 1]],WasteScenario[#All],2,FALSE),0)</f>
        <v>0</v>
      </c>
      <c r="AA260" s="322">
        <f>IFERROR((VLOOKUP(Calculations[[#This Row],[Waste type 2]],WasteDisposalEmissions[#All],3,FALSE))*Calculations[[#This Row],[Total Kg]]*VLOOKUP(Calculations[[#This Row],[Waste 1]],WasteScenario[#All],3,FALSE),0)</f>
        <v>0</v>
      </c>
      <c r="AB260" s="322">
        <f>SUM(Calculations[[#This Row],[C3 recyc]:[C3 incin]])</f>
        <v>0</v>
      </c>
      <c r="AC260" s="334">
        <f>IFERROR((VLOOKUP(Calculations[[#This Row],[Waste type 2]],WasteLandfillEmissions[#All],2,FALSE))*Calculations[[#This Row],[Total Kg]]*VLOOKUP(Calculations[[#This Row],[Waste 1]],WasteScenario[#All],4,FALSE),0)</f>
        <v>0</v>
      </c>
      <c r="AD260" s="322">
        <f>IFERROR((VLOOKUP(Calculations[[#This Row],[Waste type 2]],WasteLandfillEmissions[#All],3,FALSE))*Calculations[[#This Row],[Total Kg]]*VLOOKUP(Calculations[[#This Row],[Waste 1]],WasteScenario[#All],4,FALSE),0)</f>
        <v>0</v>
      </c>
      <c r="AE260" s="322">
        <f>SUM(Calculations[[#This Row],[C4 landfill]:[C4 re-use]])</f>
        <v>0</v>
      </c>
      <c r="AF260" s="322">
        <f>IFERROR(VLOOKUP(Calculations[[#This Row],[Material (choose from dropdown]],MaterialData[#All],8,FALSE),0)</f>
        <v>0</v>
      </c>
      <c r="AG260" s="322">
        <f>IFERROR(Calculations[[#This Row],[Total Kg]]*Calculations[[#This Row],[Seq factor]],0)</f>
        <v>0</v>
      </c>
      <c r="AI260" s="322">
        <f>Calculations[[#This Row],[A1-3]]+Calculations[[#This Row],[A4]]+Calculations[[#This Row],[A5]]+Calculations[[#This Row],[B4]]+Calculations[[#This Row],[C2 total]]+Calculations[[#This Row],[C3 total]]+Calculations[[#This Row],[C4 total]]</f>
        <v>0</v>
      </c>
      <c r="AJ260" s="2">
        <f>IFERROR(VLOOKUP(Calculations[[#This Row],[Material (choose from dropdown]],MaterialData[[#Headers],[#Data]],9,FALSE),0)</f>
        <v>0</v>
      </c>
      <c r="AK260" s="4">
        <f>IFERROR(VLOOKUP(Calculations[[#This Row],[Material (choose from dropdown]],MaterialData[[#Headers],[#Data]],10,FALSE),0)</f>
        <v>0</v>
      </c>
      <c r="AL260" s="322">
        <f>IFERROR(Calculations[[#This Row],[Data Quality Score]]*Calculations[[#This Row],[Total Kg]],0)</f>
        <v>0</v>
      </c>
    </row>
    <row r="261" spans="1:38" x14ac:dyDescent="0.3">
      <c r="A261" s="6">
        <f>IFERROR(MaterialsBoQ[[#This Row],[Scope Element]],0)</f>
        <v>0</v>
      </c>
      <c r="B261">
        <f>IFERROR(MaterialsBoQ[[#This Row],[Material ]],"")</f>
        <v>0</v>
      </c>
      <c r="C261">
        <f>IFERROR(MaterialsBoQ[[#This Row],[Unit]],"")</f>
        <v>0</v>
      </c>
      <c r="D261" s="322">
        <f>IFERROR(MaterialsBoQ[[#This Row],[Number]],0)</f>
        <v>0</v>
      </c>
      <c r="E261" s="322">
        <f>IFERROR(MaterialsBoQ[[#This Row],[Kg per unit]],0)</f>
        <v>0</v>
      </c>
      <c r="F261" s="322">
        <f>IFERROR(Calculations[[#This Row],[Number]]*Calculations[[#This Row],[Conversion factor]],0)</f>
        <v>0</v>
      </c>
      <c r="G261" s="322">
        <f>IFERROR(VLOOKUP(Calculations[[#This Row],[Material (choose from dropdown]],MaterialData[#All],7,FALSE),0)</f>
        <v>0</v>
      </c>
      <c r="H261" s="322">
        <f>Calculations[[#This Row],[Total Kg]]*Calculations[[#This Row],[Carbon Factor]]</f>
        <v>0</v>
      </c>
      <c r="I261" t="str">
        <f>IFERROR(VLOOKUP(Calculations[[#This Row],[Material (choose from dropdown]],MaterialData[#All],2,FALSE),"")</f>
        <v/>
      </c>
      <c r="J261" s="322">
        <f>IFERROR(((VLOOKUP(Calculations[[#This Row],[TransportSource]],TransportDistance[],2,FALSE)*'Stage assumptions'!$C$11)+VLOOKUP(Calculations[[#This Row],[TransportSource]],TransportDistance[],3,FALSE)*'Stage assumptions'!$C$12)*Calculations[[#This Row],[Total Kg]],0)</f>
        <v>0</v>
      </c>
      <c r="K261">
        <f>IFERROR(VLOOKUP(Calculations[[#This Row],[Material (choose from dropdown]], MaterialData[#All],3, FALSE),0)</f>
        <v>0</v>
      </c>
      <c r="L261" s="322">
        <f>IFERROR(VLOOKUP(Calculations[[#This Row],[A5type]],A5WastageRate[#All],2,FALSE)*Calculations[[#This Row],[A1-3]],0)</f>
        <v>0</v>
      </c>
      <c r="N261">
        <f>IFERROR(ROUNDUP(50/VLOOKUP(Calculations[[#This Row],[Scope Element]],B4referenceServiceLife[[Tier 2 element]:[Default Service Life]],2, FALSE)-1,0),0)</f>
        <v>0</v>
      </c>
      <c r="O261" s="322">
        <f>IFERROR((Calculations[[#This Row],[A1-3]]+Calculations[[#This Row],[A4]]+Calculations[[#This Row],[A5]]+Calculations[[#This Row],[C2 total]]+Calculations[[#This Row],[C3 total]]+Calculations[[#This Row],[C4 total]])*Calculations[[#This Row],[Replacements]],0)</f>
        <v>0</v>
      </c>
      <c r="S261" t="str">
        <f>IFERROR(VLOOKUP(Calculations[[#This Row],[Material (choose from dropdown]],MaterialData[#All],4,FALSE),"")</f>
        <v/>
      </c>
      <c r="T261" s="322" cm="1">
        <f t="array" ref="T261">IFERROR(VLOOKUP(Calculations[[#This Row],[Waste 1]],WasteScenario[#All],2,FALSE)*'Stage assumptions'!$C$225*WasteTransportMethod[Emissions Factor
kgCO2e/kg.km]*Calculations[[#This Row],[Total Kg]],0)</f>
        <v>0</v>
      </c>
      <c r="U261" s="322" cm="1">
        <f t="array" ref="U261">IFERROR(VLOOKUP(Calculations[[#This Row],[Waste 1]],WasteScenario[#All],3,FALSE)*'Stage assumptions'!$C$224*WasteTransportMethod[Emissions Factor
kgCO2e/kg.km]*Calculations[[#This Row],[Total Kg]],0)</f>
        <v>0</v>
      </c>
      <c r="V261" s="322" cm="1">
        <f t="array" ref="V261">IFERROR(VLOOKUP(Calculations[[#This Row],[Waste 1]],WasteScenario[#All],4,FALSE)*'Stage assumptions'!$C$223*WasteTransportMethod[Emissions Factor
kgCO2e/kg.km]*Calculations[[#This Row],[Total Kg]],0)</f>
        <v>0</v>
      </c>
      <c r="W261" s="322" cm="1">
        <f t="array" ref="W261">IFERROR(VLOOKUP(Calculations[[#This Row],[Waste 1]],WasteScenario[#All],5,FALSE)*'Stage assumptions'!$C$226*WasteTransportMethod[Emissions Factor
kgCO2e/kg.km]*Calculations[[#This Row],[Total Kg]],0)</f>
        <v>0</v>
      </c>
      <c r="X261" s="322">
        <f>SUM(Calculations[[#This Row],[C2 Recycle]:[C2 Reuse]])</f>
        <v>0</v>
      </c>
      <c r="Y261" t="str">
        <f>IFERROR(VLOOKUP(Calculations[[#This Row],[Material (choose from dropdown]],MaterialData[#All],5,FALSE),"")</f>
        <v/>
      </c>
      <c r="Z261" s="322">
        <f>IFERROR(((VLOOKUP(Calculations[[#This Row],[Waste type 2]],WasteDisposalEmissions[#All],2,FALSE))*Calculations[[#This Row],[Total Kg]])*VLOOKUP(Calculations[[#This Row],[Waste 1]],WasteScenario[#All],2,FALSE),0)</f>
        <v>0</v>
      </c>
      <c r="AA261" s="322">
        <f>IFERROR((VLOOKUP(Calculations[[#This Row],[Waste type 2]],WasteDisposalEmissions[#All],3,FALSE))*Calculations[[#This Row],[Total Kg]]*VLOOKUP(Calculations[[#This Row],[Waste 1]],WasteScenario[#All],3,FALSE),0)</f>
        <v>0</v>
      </c>
      <c r="AB261" s="322">
        <f>SUM(Calculations[[#This Row],[C3 recyc]:[C3 incin]])</f>
        <v>0</v>
      </c>
      <c r="AC261" s="334">
        <f>IFERROR((VLOOKUP(Calculations[[#This Row],[Waste type 2]],WasteLandfillEmissions[#All],2,FALSE))*Calculations[[#This Row],[Total Kg]]*VLOOKUP(Calculations[[#This Row],[Waste 1]],WasteScenario[#All],4,FALSE),0)</f>
        <v>0</v>
      </c>
      <c r="AD261" s="322">
        <f>IFERROR((VLOOKUP(Calculations[[#This Row],[Waste type 2]],WasteLandfillEmissions[#All],3,FALSE))*Calculations[[#This Row],[Total Kg]]*VLOOKUP(Calculations[[#This Row],[Waste 1]],WasteScenario[#All],4,FALSE),0)</f>
        <v>0</v>
      </c>
      <c r="AE261" s="322">
        <f>SUM(Calculations[[#This Row],[C4 landfill]:[C4 re-use]])</f>
        <v>0</v>
      </c>
      <c r="AF261" s="322">
        <f>IFERROR(VLOOKUP(Calculations[[#This Row],[Material (choose from dropdown]],MaterialData[#All],8,FALSE),0)</f>
        <v>0</v>
      </c>
      <c r="AG261" s="322">
        <f>IFERROR(Calculations[[#This Row],[Total Kg]]*Calculations[[#This Row],[Seq factor]],0)</f>
        <v>0</v>
      </c>
      <c r="AI261" s="322">
        <f>Calculations[[#This Row],[A1-3]]+Calculations[[#This Row],[A4]]+Calculations[[#This Row],[A5]]+Calculations[[#This Row],[B4]]+Calculations[[#This Row],[C2 total]]+Calculations[[#This Row],[C3 total]]+Calculations[[#This Row],[C4 total]]</f>
        <v>0</v>
      </c>
      <c r="AJ261" s="2">
        <f>IFERROR(VLOOKUP(Calculations[[#This Row],[Material (choose from dropdown]],MaterialData[[#Headers],[#Data]],9,FALSE),0)</f>
        <v>0</v>
      </c>
      <c r="AK261" s="4">
        <f>IFERROR(VLOOKUP(Calculations[[#This Row],[Material (choose from dropdown]],MaterialData[[#Headers],[#Data]],10,FALSE),0)</f>
        <v>0</v>
      </c>
      <c r="AL261" s="322">
        <f>IFERROR(Calculations[[#This Row],[Data Quality Score]]*Calculations[[#This Row],[Total Kg]],0)</f>
        <v>0</v>
      </c>
    </row>
    <row r="262" spans="1:38" x14ac:dyDescent="0.3">
      <c r="A262" s="6">
        <f>IFERROR(MaterialsBoQ[[#This Row],[Scope Element]],0)</f>
        <v>0</v>
      </c>
      <c r="B262">
        <f>IFERROR(MaterialsBoQ[[#This Row],[Material ]],"")</f>
        <v>0</v>
      </c>
      <c r="C262">
        <f>IFERROR(MaterialsBoQ[[#This Row],[Unit]],"")</f>
        <v>0</v>
      </c>
      <c r="D262" s="322">
        <f>IFERROR(MaterialsBoQ[[#This Row],[Number]],0)</f>
        <v>0</v>
      </c>
      <c r="E262" s="322">
        <f>IFERROR(MaterialsBoQ[[#This Row],[Kg per unit]],0)</f>
        <v>0</v>
      </c>
      <c r="F262" s="322">
        <f>IFERROR(Calculations[[#This Row],[Number]]*Calculations[[#This Row],[Conversion factor]],0)</f>
        <v>0</v>
      </c>
      <c r="G262" s="322">
        <f>IFERROR(VLOOKUP(Calculations[[#This Row],[Material (choose from dropdown]],MaterialData[#All],7,FALSE),0)</f>
        <v>0</v>
      </c>
      <c r="H262" s="322">
        <f>Calculations[[#This Row],[Total Kg]]*Calculations[[#This Row],[Carbon Factor]]</f>
        <v>0</v>
      </c>
      <c r="I262" t="str">
        <f>IFERROR(VLOOKUP(Calculations[[#This Row],[Material (choose from dropdown]],MaterialData[#All],2,FALSE),"")</f>
        <v/>
      </c>
      <c r="J262" s="322">
        <f>IFERROR(((VLOOKUP(Calculations[[#This Row],[TransportSource]],TransportDistance[],2,FALSE)*'Stage assumptions'!$C$11)+VLOOKUP(Calculations[[#This Row],[TransportSource]],TransportDistance[],3,FALSE)*'Stage assumptions'!$C$12)*Calculations[[#This Row],[Total Kg]],0)</f>
        <v>0</v>
      </c>
      <c r="K262">
        <f>IFERROR(VLOOKUP(Calculations[[#This Row],[Material (choose from dropdown]], MaterialData[#All],3, FALSE),0)</f>
        <v>0</v>
      </c>
      <c r="L262" s="322">
        <f>IFERROR(VLOOKUP(Calculations[[#This Row],[A5type]],A5WastageRate[#All],2,FALSE)*Calculations[[#This Row],[A1-3]],0)</f>
        <v>0</v>
      </c>
      <c r="N262">
        <f>IFERROR(ROUNDUP(50/VLOOKUP(Calculations[[#This Row],[Scope Element]],B4referenceServiceLife[[Tier 2 element]:[Default Service Life]],2, FALSE)-1,0),0)</f>
        <v>0</v>
      </c>
      <c r="O262" s="322">
        <f>IFERROR((Calculations[[#This Row],[A1-3]]+Calculations[[#This Row],[A4]]+Calculations[[#This Row],[A5]]+Calculations[[#This Row],[C2 total]]+Calculations[[#This Row],[C3 total]]+Calculations[[#This Row],[C4 total]])*Calculations[[#This Row],[Replacements]],0)</f>
        <v>0</v>
      </c>
      <c r="S262" t="str">
        <f>IFERROR(VLOOKUP(Calculations[[#This Row],[Material (choose from dropdown]],MaterialData[#All],4,FALSE),"")</f>
        <v/>
      </c>
      <c r="T262" s="322" cm="1">
        <f t="array" ref="T262">IFERROR(VLOOKUP(Calculations[[#This Row],[Waste 1]],WasteScenario[#All],2,FALSE)*'Stage assumptions'!$C$225*WasteTransportMethod[Emissions Factor
kgCO2e/kg.km]*Calculations[[#This Row],[Total Kg]],0)</f>
        <v>0</v>
      </c>
      <c r="U262" s="322" cm="1">
        <f t="array" ref="U262">IFERROR(VLOOKUP(Calculations[[#This Row],[Waste 1]],WasteScenario[#All],3,FALSE)*'Stage assumptions'!$C$224*WasteTransportMethod[Emissions Factor
kgCO2e/kg.km]*Calculations[[#This Row],[Total Kg]],0)</f>
        <v>0</v>
      </c>
      <c r="V262" s="322" cm="1">
        <f t="array" ref="V262">IFERROR(VLOOKUP(Calculations[[#This Row],[Waste 1]],WasteScenario[#All],4,FALSE)*'Stage assumptions'!$C$223*WasteTransportMethod[Emissions Factor
kgCO2e/kg.km]*Calculations[[#This Row],[Total Kg]],0)</f>
        <v>0</v>
      </c>
      <c r="W262" s="322" cm="1">
        <f t="array" ref="W262">IFERROR(VLOOKUP(Calculations[[#This Row],[Waste 1]],WasteScenario[#All],5,FALSE)*'Stage assumptions'!$C$226*WasteTransportMethod[Emissions Factor
kgCO2e/kg.km]*Calculations[[#This Row],[Total Kg]],0)</f>
        <v>0</v>
      </c>
      <c r="X262" s="322">
        <f>SUM(Calculations[[#This Row],[C2 Recycle]:[C2 Reuse]])</f>
        <v>0</v>
      </c>
      <c r="Y262" t="str">
        <f>IFERROR(VLOOKUP(Calculations[[#This Row],[Material (choose from dropdown]],MaterialData[#All],5,FALSE),"")</f>
        <v/>
      </c>
      <c r="Z262" s="322">
        <f>IFERROR(((VLOOKUP(Calculations[[#This Row],[Waste type 2]],WasteDisposalEmissions[#All],2,FALSE))*Calculations[[#This Row],[Total Kg]])*VLOOKUP(Calculations[[#This Row],[Waste 1]],WasteScenario[#All],2,FALSE),0)</f>
        <v>0</v>
      </c>
      <c r="AA262" s="322">
        <f>IFERROR((VLOOKUP(Calculations[[#This Row],[Waste type 2]],WasteDisposalEmissions[#All],3,FALSE))*Calculations[[#This Row],[Total Kg]]*VLOOKUP(Calculations[[#This Row],[Waste 1]],WasteScenario[#All],3,FALSE),0)</f>
        <v>0</v>
      </c>
      <c r="AB262" s="322">
        <f>SUM(Calculations[[#This Row],[C3 recyc]:[C3 incin]])</f>
        <v>0</v>
      </c>
      <c r="AC262" s="334">
        <f>IFERROR((VLOOKUP(Calculations[[#This Row],[Waste type 2]],WasteLandfillEmissions[#All],2,FALSE))*Calculations[[#This Row],[Total Kg]]*VLOOKUP(Calculations[[#This Row],[Waste 1]],WasteScenario[#All],4,FALSE),0)</f>
        <v>0</v>
      </c>
      <c r="AD262" s="322">
        <f>IFERROR((VLOOKUP(Calculations[[#This Row],[Waste type 2]],WasteLandfillEmissions[#All],3,FALSE))*Calculations[[#This Row],[Total Kg]]*VLOOKUP(Calculations[[#This Row],[Waste 1]],WasteScenario[#All],4,FALSE),0)</f>
        <v>0</v>
      </c>
      <c r="AE262" s="322">
        <f>SUM(Calculations[[#This Row],[C4 landfill]:[C4 re-use]])</f>
        <v>0</v>
      </c>
      <c r="AF262" s="322">
        <f>IFERROR(VLOOKUP(Calculations[[#This Row],[Material (choose from dropdown]],MaterialData[#All],8,FALSE),0)</f>
        <v>0</v>
      </c>
      <c r="AG262" s="322">
        <f>IFERROR(Calculations[[#This Row],[Total Kg]]*Calculations[[#This Row],[Seq factor]],0)</f>
        <v>0</v>
      </c>
      <c r="AI262" s="322">
        <f>Calculations[[#This Row],[A1-3]]+Calculations[[#This Row],[A4]]+Calculations[[#This Row],[A5]]+Calculations[[#This Row],[B4]]+Calculations[[#This Row],[C2 total]]+Calculations[[#This Row],[C3 total]]+Calculations[[#This Row],[C4 total]]</f>
        <v>0</v>
      </c>
      <c r="AJ262" s="2">
        <f>IFERROR(VLOOKUP(Calculations[[#This Row],[Material (choose from dropdown]],MaterialData[[#Headers],[#Data]],9,FALSE),0)</f>
        <v>0</v>
      </c>
      <c r="AK262" s="4">
        <f>IFERROR(VLOOKUP(Calculations[[#This Row],[Material (choose from dropdown]],MaterialData[[#Headers],[#Data]],10,FALSE),0)</f>
        <v>0</v>
      </c>
      <c r="AL262" s="322">
        <f>IFERROR(Calculations[[#This Row],[Data Quality Score]]*Calculations[[#This Row],[Total Kg]],0)</f>
        <v>0</v>
      </c>
    </row>
    <row r="263" spans="1:38" x14ac:dyDescent="0.3">
      <c r="A263" s="6">
        <f>IFERROR(MaterialsBoQ[[#This Row],[Scope Element]],0)</f>
        <v>0</v>
      </c>
      <c r="B263">
        <f>IFERROR(MaterialsBoQ[[#This Row],[Material ]],"")</f>
        <v>0</v>
      </c>
      <c r="C263">
        <f>IFERROR(MaterialsBoQ[[#This Row],[Unit]],"")</f>
        <v>0</v>
      </c>
      <c r="D263" s="322">
        <f>IFERROR(MaterialsBoQ[[#This Row],[Number]],0)</f>
        <v>0</v>
      </c>
      <c r="E263" s="322">
        <f>IFERROR(MaterialsBoQ[[#This Row],[Kg per unit]],0)</f>
        <v>0</v>
      </c>
      <c r="F263" s="322">
        <f>IFERROR(Calculations[[#This Row],[Number]]*Calculations[[#This Row],[Conversion factor]],0)</f>
        <v>0</v>
      </c>
      <c r="G263" s="322">
        <f>IFERROR(VLOOKUP(Calculations[[#This Row],[Material (choose from dropdown]],MaterialData[#All],7,FALSE),0)</f>
        <v>0</v>
      </c>
      <c r="H263" s="322">
        <f>Calculations[[#This Row],[Total Kg]]*Calculations[[#This Row],[Carbon Factor]]</f>
        <v>0</v>
      </c>
      <c r="I263" t="str">
        <f>IFERROR(VLOOKUP(Calculations[[#This Row],[Material (choose from dropdown]],MaterialData[#All],2,FALSE),"")</f>
        <v/>
      </c>
      <c r="J263" s="322">
        <f>IFERROR(((VLOOKUP(Calculations[[#This Row],[TransportSource]],TransportDistance[],2,FALSE)*'Stage assumptions'!$C$11)+VLOOKUP(Calculations[[#This Row],[TransportSource]],TransportDistance[],3,FALSE)*'Stage assumptions'!$C$12)*Calculations[[#This Row],[Total Kg]],0)</f>
        <v>0</v>
      </c>
      <c r="K263">
        <f>IFERROR(VLOOKUP(Calculations[[#This Row],[Material (choose from dropdown]], MaterialData[#All],3, FALSE),0)</f>
        <v>0</v>
      </c>
      <c r="L263" s="322">
        <f>IFERROR(VLOOKUP(Calculations[[#This Row],[A5type]],A5WastageRate[#All],2,FALSE)*Calculations[[#This Row],[A1-3]],0)</f>
        <v>0</v>
      </c>
      <c r="N263">
        <f>IFERROR(ROUNDUP(50/VLOOKUP(Calculations[[#This Row],[Scope Element]],B4referenceServiceLife[[Tier 2 element]:[Default Service Life]],2, FALSE)-1,0),0)</f>
        <v>0</v>
      </c>
      <c r="O263" s="322">
        <f>IFERROR((Calculations[[#This Row],[A1-3]]+Calculations[[#This Row],[A4]]+Calculations[[#This Row],[A5]]+Calculations[[#This Row],[C2 total]]+Calculations[[#This Row],[C3 total]]+Calculations[[#This Row],[C4 total]])*Calculations[[#This Row],[Replacements]],0)</f>
        <v>0</v>
      </c>
      <c r="S263" t="str">
        <f>IFERROR(VLOOKUP(Calculations[[#This Row],[Material (choose from dropdown]],MaterialData[#All],4,FALSE),"")</f>
        <v/>
      </c>
      <c r="T263" s="322" cm="1">
        <f t="array" ref="T263">IFERROR(VLOOKUP(Calculations[[#This Row],[Waste 1]],WasteScenario[#All],2,FALSE)*'Stage assumptions'!$C$225*WasteTransportMethod[Emissions Factor
kgCO2e/kg.km]*Calculations[[#This Row],[Total Kg]],0)</f>
        <v>0</v>
      </c>
      <c r="U263" s="322" cm="1">
        <f t="array" ref="U263">IFERROR(VLOOKUP(Calculations[[#This Row],[Waste 1]],WasteScenario[#All],3,FALSE)*'Stage assumptions'!$C$224*WasteTransportMethod[Emissions Factor
kgCO2e/kg.km]*Calculations[[#This Row],[Total Kg]],0)</f>
        <v>0</v>
      </c>
      <c r="V263" s="322" cm="1">
        <f t="array" ref="V263">IFERROR(VLOOKUP(Calculations[[#This Row],[Waste 1]],WasteScenario[#All],4,FALSE)*'Stage assumptions'!$C$223*WasteTransportMethod[Emissions Factor
kgCO2e/kg.km]*Calculations[[#This Row],[Total Kg]],0)</f>
        <v>0</v>
      </c>
      <c r="W263" s="322" cm="1">
        <f t="array" ref="W263">IFERROR(VLOOKUP(Calculations[[#This Row],[Waste 1]],WasteScenario[#All],5,FALSE)*'Stage assumptions'!$C$226*WasteTransportMethod[Emissions Factor
kgCO2e/kg.km]*Calculations[[#This Row],[Total Kg]],0)</f>
        <v>0</v>
      </c>
      <c r="X263" s="322">
        <f>SUM(Calculations[[#This Row],[C2 Recycle]:[C2 Reuse]])</f>
        <v>0</v>
      </c>
      <c r="Y263" t="str">
        <f>IFERROR(VLOOKUP(Calculations[[#This Row],[Material (choose from dropdown]],MaterialData[#All],5,FALSE),"")</f>
        <v/>
      </c>
      <c r="Z263" s="322">
        <f>IFERROR(((VLOOKUP(Calculations[[#This Row],[Waste type 2]],WasteDisposalEmissions[#All],2,FALSE))*Calculations[[#This Row],[Total Kg]])*VLOOKUP(Calculations[[#This Row],[Waste 1]],WasteScenario[#All],2,FALSE),0)</f>
        <v>0</v>
      </c>
      <c r="AA263" s="322">
        <f>IFERROR((VLOOKUP(Calculations[[#This Row],[Waste type 2]],WasteDisposalEmissions[#All],3,FALSE))*Calculations[[#This Row],[Total Kg]]*VLOOKUP(Calculations[[#This Row],[Waste 1]],WasteScenario[#All],3,FALSE),0)</f>
        <v>0</v>
      </c>
      <c r="AB263" s="322">
        <f>SUM(Calculations[[#This Row],[C3 recyc]:[C3 incin]])</f>
        <v>0</v>
      </c>
      <c r="AC263" s="334">
        <f>IFERROR((VLOOKUP(Calculations[[#This Row],[Waste type 2]],WasteLandfillEmissions[#All],2,FALSE))*Calculations[[#This Row],[Total Kg]]*VLOOKUP(Calculations[[#This Row],[Waste 1]],WasteScenario[#All],4,FALSE),0)</f>
        <v>0</v>
      </c>
      <c r="AD263" s="322">
        <f>IFERROR((VLOOKUP(Calculations[[#This Row],[Waste type 2]],WasteLandfillEmissions[#All],3,FALSE))*Calculations[[#This Row],[Total Kg]]*VLOOKUP(Calculations[[#This Row],[Waste 1]],WasteScenario[#All],4,FALSE),0)</f>
        <v>0</v>
      </c>
      <c r="AE263" s="322">
        <f>SUM(Calculations[[#This Row],[C4 landfill]:[C4 re-use]])</f>
        <v>0</v>
      </c>
      <c r="AF263" s="322">
        <f>IFERROR(VLOOKUP(Calculations[[#This Row],[Material (choose from dropdown]],MaterialData[#All],8,FALSE),0)</f>
        <v>0</v>
      </c>
      <c r="AG263" s="322">
        <f>IFERROR(Calculations[[#This Row],[Total Kg]]*Calculations[[#This Row],[Seq factor]],0)</f>
        <v>0</v>
      </c>
      <c r="AI263" s="322">
        <f>Calculations[[#This Row],[A1-3]]+Calculations[[#This Row],[A4]]+Calculations[[#This Row],[A5]]+Calculations[[#This Row],[B4]]+Calculations[[#This Row],[C2 total]]+Calculations[[#This Row],[C3 total]]+Calculations[[#This Row],[C4 total]]</f>
        <v>0</v>
      </c>
      <c r="AJ263" s="2">
        <f>IFERROR(VLOOKUP(Calculations[[#This Row],[Material (choose from dropdown]],MaterialData[[#Headers],[#Data]],9,FALSE),0)</f>
        <v>0</v>
      </c>
      <c r="AK263" s="4">
        <f>IFERROR(VLOOKUP(Calculations[[#This Row],[Material (choose from dropdown]],MaterialData[[#Headers],[#Data]],10,FALSE),0)</f>
        <v>0</v>
      </c>
      <c r="AL263" s="322">
        <f>IFERROR(Calculations[[#This Row],[Data Quality Score]]*Calculations[[#This Row],[Total Kg]],0)</f>
        <v>0</v>
      </c>
    </row>
    <row r="264" spans="1:38" x14ac:dyDescent="0.3">
      <c r="A264" s="6">
        <f>IFERROR(MaterialsBoQ[[#This Row],[Scope Element]],0)</f>
        <v>0</v>
      </c>
      <c r="B264">
        <f>IFERROR(MaterialsBoQ[[#This Row],[Material ]],"")</f>
        <v>0</v>
      </c>
      <c r="C264">
        <f>IFERROR(MaterialsBoQ[[#This Row],[Unit]],"")</f>
        <v>0</v>
      </c>
      <c r="D264" s="322">
        <f>IFERROR(MaterialsBoQ[[#This Row],[Number]],0)</f>
        <v>0</v>
      </c>
      <c r="E264" s="322">
        <f>IFERROR(MaterialsBoQ[[#This Row],[Kg per unit]],0)</f>
        <v>0</v>
      </c>
      <c r="F264" s="322">
        <f>IFERROR(Calculations[[#This Row],[Number]]*Calculations[[#This Row],[Conversion factor]],0)</f>
        <v>0</v>
      </c>
      <c r="G264" s="322">
        <f>IFERROR(VLOOKUP(Calculations[[#This Row],[Material (choose from dropdown]],MaterialData[#All],7,FALSE),0)</f>
        <v>0</v>
      </c>
      <c r="H264" s="322">
        <f>Calculations[[#This Row],[Total Kg]]*Calculations[[#This Row],[Carbon Factor]]</f>
        <v>0</v>
      </c>
      <c r="I264" t="str">
        <f>IFERROR(VLOOKUP(Calculations[[#This Row],[Material (choose from dropdown]],MaterialData[#All],2,FALSE),"")</f>
        <v/>
      </c>
      <c r="J264" s="322">
        <f>IFERROR(((VLOOKUP(Calculations[[#This Row],[TransportSource]],TransportDistance[],2,FALSE)*'Stage assumptions'!$C$11)+VLOOKUP(Calculations[[#This Row],[TransportSource]],TransportDistance[],3,FALSE)*'Stage assumptions'!$C$12)*Calculations[[#This Row],[Total Kg]],0)</f>
        <v>0</v>
      </c>
      <c r="K264">
        <f>IFERROR(VLOOKUP(Calculations[[#This Row],[Material (choose from dropdown]], MaterialData[#All],3, FALSE),0)</f>
        <v>0</v>
      </c>
      <c r="L264" s="322">
        <f>IFERROR(VLOOKUP(Calculations[[#This Row],[A5type]],A5WastageRate[#All],2,FALSE)*Calculations[[#This Row],[A1-3]],0)</f>
        <v>0</v>
      </c>
      <c r="N264">
        <f>IFERROR(ROUNDUP(50/VLOOKUP(Calculations[[#This Row],[Scope Element]],B4referenceServiceLife[[Tier 2 element]:[Default Service Life]],2, FALSE)-1,0),0)</f>
        <v>0</v>
      </c>
      <c r="O264" s="322">
        <f>IFERROR((Calculations[[#This Row],[A1-3]]+Calculations[[#This Row],[A4]]+Calculations[[#This Row],[A5]]+Calculations[[#This Row],[C2 total]]+Calculations[[#This Row],[C3 total]]+Calculations[[#This Row],[C4 total]])*Calculations[[#This Row],[Replacements]],0)</f>
        <v>0</v>
      </c>
      <c r="S264" t="str">
        <f>IFERROR(VLOOKUP(Calculations[[#This Row],[Material (choose from dropdown]],MaterialData[#All],4,FALSE),"")</f>
        <v/>
      </c>
      <c r="T264" s="322" cm="1">
        <f t="array" ref="T264">IFERROR(VLOOKUP(Calculations[[#This Row],[Waste 1]],WasteScenario[#All],2,FALSE)*'Stage assumptions'!$C$225*WasteTransportMethod[Emissions Factor
kgCO2e/kg.km]*Calculations[[#This Row],[Total Kg]],0)</f>
        <v>0</v>
      </c>
      <c r="U264" s="322" cm="1">
        <f t="array" ref="U264">IFERROR(VLOOKUP(Calculations[[#This Row],[Waste 1]],WasteScenario[#All],3,FALSE)*'Stage assumptions'!$C$224*WasteTransportMethod[Emissions Factor
kgCO2e/kg.km]*Calculations[[#This Row],[Total Kg]],0)</f>
        <v>0</v>
      </c>
      <c r="V264" s="322" cm="1">
        <f t="array" ref="V264">IFERROR(VLOOKUP(Calculations[[#This Row],[Waste 1]],WasteScenario[#All],4,FALSE)*'Stage assumptions'!$C$223*WasteTransportMethod[Emissions Factor
kgCO2e/kg.km]*Calculations[[#This Row],[Total Kg]],0)</f>
        <v>0</v>
      </c>
      <c r="W264" s="322" cm="1">
        <f t="array" ref="W264">IFERROR(VLOOKUP(Calculations[[#This Row],[Waste 1]],WasteScenario[#All],5,FALSE)*'Stage assumptions'!$C$226*WasteTransportMethod[Emissions Factor
kgCO2e/kg.km]*Calculations[[#This Row],[Total Kg]],0)</f>
        <v>0</v>
      </c>
      <c r="X264" s="322">
        <f>SUM(Calculations[[#This Row],[C2 Recycle]:[C2 Reuse]])</f>
        <v>0</v>
      </c>
      <c r="Y264" t="str">
        <f>IFERROR(VLOOKUP(Calculations[[#This Row],[Material (choose from dropdown]],MaterialData[#All],5,FALSE),"")</f>
        <v/>
      </c>
      <c r="Z264" s="322">
        <f>IFERROR(((VLOOKUP(Calculations[[#This Row],[Waste type 2]],WasteDisposalEmissions[#All],2,FALSE))*Calculations[[#This Row],[Total Kg]])*VLOOKUP(Calculations[[#This Row],[Waste 1]],WasteScenario[#All],2,FALSE),0)</f>
        <v>0</v>
      </c>
      <c r="AA264" s="322">
        <f>IFERROR((VLOOKUP(Calculations[[#This Row],[Waste type 2]],WasteDisposalEmissions[#All],3,FALSE))*Calculations[[#This Row],[Total Kg]]*VLOOKUP(Calculations[[#This Row],[Waste 1]],WasteScenario[#All],3,FALSE),0)</f>
        <v>0</v>
      </c>
      <c r="AB264" s="322">
        <f>SUM(Calculations[[#This Row],[C3 recyc]:[C3 incin]])</f>
        <v>0</v>
      </c>
      <c r="AC264" s="334">
        <f>IFERROR((VLOOKUP(Calculations[[#This Row],[Waste type 2]],WasteLandfillEmissions[#All],2,FALSE))*Calculations[[#This Row],[Total Kg]]*VLOOKUP(Calculations[[#This Row],[Waste 1]],WasteScenario[#All],4,FALSE),0)</f>
        <v>0</v>
      </c>
      <c r="AD264" s="322">
        <f>IFERROR((VLOOKUP(Calculations[[#This Row],[Waste type 2]],WasteLandfillEmissions[#All],3,FALSE))*Calculations[[#This Row],[Total Kg]]*VLOOKUP(Calculations[[#This Row],[Waste 1]],WasteScenario[#All],4,FALSE),0)</f>
        <v>0</v>
      </c>
      <c r="AE264" s="322">
        <f>SUM(Calculations[[#This Row],[C4 landfill]:[C4 re-use]])</f>
        <v>0</v>
      </c>
      <c r="AF264" s="322">
        <f>IFERROR(VLOOKUP(Calculations[[#This Row],[Material (choose from dropdown]],MaterialData[#All],8,FALSE),0)</f>
        <v>0</v>
      </c>
      <c r="AG264" s="322">
        <f>IFERROR(Calculations[[#This Row],[Total Kg]]*Calculations[[#This Row],[Seq factor]],0)</f>
        <v>0</v>
      </c>
      <c r="AI264" s="322">
        <f>Calculations[[#This Row],[A1-3]]+Calculations[[#This Row],[A4]]+Calculations[[#This Row],[A5]]+Calculations[[#This Row],[B4]]+Calculations[[#This Row],[C2 total]]+Calculations[[#This Row],[C3 total]]+Calculations[[#This Row],[C4 total]]</f>
        <v>0</v>
      </c>
      <c r="AJ264" s="2">
        <f>IFERROR(VLOOKUP(Calculations[[#This Row],[Material (choose from dropdown]],MaterialData[[#Headers],[#Data]],9,FALSE),0)</f>
        <v>0</v>
      </c>
      <c r="AK264" s="4">
        <f>IFERROR(VLOOKUP(Calculations[[#This Row],[Material (choose from dropdown]],MaterialData[[#Headers],[#Data]],10,FALSE),0)</f>
        <v>0</v>
      </c>
      <c r="AL264" s="322">
        <f>IFERROR(Calculations[[#This Row],[Data Quality Score]]*Calculations[[#This Row],[Total Kg]],0)</f>
        <v>0</v>
      </c>
    </row>
    <row r="265" spans="1:38" x14ac:dyDescent="0.3">
      <c r="A265" s="6">
        <f>IFERROR(MaterialsBoQ[[#This Row],[Scope Element]],0)</f>
        <v>0</v>
      </c>
      <c r="B265">
        <f>IFERROR(MaterialsBoQ[[#This Row],[Material ]],"")</f>
        <v>0</v>
      </c>
      <c r="C265">
        <f>IFERROR(MaterialsBoQ[[#This Row],[Unit]],"")</f>
        <v>0</v>
      </c>
      <c r="D265" s="322">
        <f>IFERROR(MaterialsBoQ[[#This Row],[Number]],0)</f>
        <v>0</v>
      </c>
      <c r="E265" s="322">
        <f>IFERROR(MaterialsBoQ[[#This Row],[Kg per unit]],0)</f>
        <v>0</v>
      </c>
      <c r="F265" s="322">
        <f>IFERROR(Calculations[[#This Row],[Number]]*Calculations[[#This Row],[Conversion factor]],0)</f>
        <v>0</v>
      </c>
      <c r="G265" s="322">
        <f>IFERROR(VLOOKUP(Calculations[[#This Row],[Material (choose from dropdown]],MaterialData[#All],7,FALSE),0)</f>
        <v>0</v>
      </c>
      <c r="H265" s="322">
        <f>Calculations[[#This Row],[Total Kg]]*Calculations[[#This Row],[Carbon Factor]]</f>
        <v>0</v>
      </c>
      <c r="I265" t="str">
        <f>IFERROR(VLOOKUP(Calculations[[#This Row],[Material (choose from dropdown]],MaterialData[#All],2,FALSE),"")</f>
        <v/>
      </c>
      <c r="J265" s="322">
        <f>IFERROR(((VLOOKUP(Calculations[[#This Row],[TransportSource]],TransportDistance[],2,FALSE)*'Stage assumptions'!$C$11)+VLOOKUP(Calculations[[#This Row],[TransportSource]],TransportDistance[],3,FALSE)*'Stage assumptions'!$C$12)*Calculations[[#This Row],[Total Kg]],0)</f>
        <v>0</v>
      </c>
      <c r="K265">
        <f>IFERROR(VLOOKUP(Calculations[[#This Row],[Material (choose from dropdown]], MaterialData[#All],3, FALSE),0)</f>
        <v>0</v>
      </c>
      <c r="L265" s="322">
        <f>IFERROR(VLOOKUP(Calculations[[#This Row],[A5type]],A5WastageRate[#All],2,FALSE)*Calculations[[#This Row],[A1-3]],0)</f>
        <v>0</v>
      </c>
      <c r="N265">
        <f>IFERROR(ROUNDUP(50/VLOOKUP(Calculations[[#This Row],[Scope Element]],B4referenceServiceLife[[Tier 2 element]:[Default Service Life]],2, FALSE)-1,0),0)</f>
        <v>0</v>
      </c>
      <c r="O265" s="322">
        <f>IFERROR((Calculations[[#This Row],[A1-3]]+Calculations[[#This Row],[A4]]+Calculations[[#This Row],[A5]]+Calculations[[#This Row],[C2 total]]+Calculations[[#This Row],[C3 total]]+Calculations[[#This Row],[C4 total]])*Calculations[[#This Row],[Replacements]],0)</f>
        <v>0</v>
      </c>
      <c r="S265" t="str">
        <f>IFERROR(VLOOKUP(Calculations[[#This Row],[Material (choose from dropdown]],MaterialData[#All],4,FALSE),"")</f>
        <v/>
      </c>
      <c r="T265" s="322" cm="1">
        <f t="array" ref="T265">IFERROR(VLOOKUP(Calculations[[#This Row],[Waste 1]],WasteScenario[#All],2,FALSE)*'Stage assumptions'!$C$225*WasteTransportMethod[Emissions Factor
kgCO2e/kg.km]*Calculations[[#This Row],[Total Kg]],0)</f>
        <v>0</v>
      </c>
      <c r="U265" s="322" cm="1">
        <f t="array" ref="U265">IFERROR(VLOOKUP(Calculations[[#This Row],[Waste 1]],WasteScenario[#All],3,FALSE)*'Stage assumptions'!$C$224*WasteTransportMethod[Emissions Factor
kgCO2e/kg.km]*Calculations[[#This Row],[Total Kg]],0)</f>
        <v>0</v>
      </c>
      <c r="V265" s="322" cm="1">
        <f t="array" ref="V265">IFERROR(VLOOKUP(Calculations[[#This Row],[Waste 1]],WasteScenario[#All],4,FALSE)*'Stage assumptions'!$C$223*WasteTransportMethod[Emissions Factor
kgCO2e/kg.km]*Calculations[[#This Row],[Total Kg]],0)</f>
        <v>0</v>
      </c>
      <c r="W265" s="322" cm="1">
        <f t="array" ref="W265">IFERROR(VLOOKUP(Calculations[[#This Row],[Waste 1]],WasteScenario[#All],5,FALSE)*'Stage assumptions'!$C$226*WasteTransportMethod[Emissions Factor
kgCO2e/kg.km]*Calculations[[#This Row],[Total Kg]],0)</f>
        <v>0</v>
      </c>
      <c r="X265" s="322">
        <f>SUM(Calculations[[#This Row],[C2 Recycle]:[C2 Reuse]])</f>
        <v>0</v>
      </c>
      <c r="Y265" t="str">
        <f>IFERROR(VLOOKUP(Calculations[[#This Row],[Material (choose from dropdown]],MaterialData[#All],5,FALSE),"")</f>
        <v/>
      </c>
      <c r="Z265" s="322">
        <f>IFERROR(((VLOOKUP(Calculations[[#This Row],[Waste type 2]],WasteDisposalEmissions[#All],2,FALSE))*Calculations[[#This Row],[Total Kg]])*VLOOKUP(Calculations[[#This Row],[Waste 1]],WasteScenario[#All],2,FALSE),0)</f>
        <v>0</v>
      </c>
      <c r="AA265" s="322">
        <f>IFERROR((VLOOKUP(Calculations[[#This Row],[Waste type 2]],WasteDisposalEmissions[#All],3,FALSE))*Calculations[[#This Row],[Total Kg]]*VLOOKUP(Calculations[[#This Row],[Waste 1]],WasteScenario[#All],3,FALSE),0)</f>
        <v>0</v>
      </c>
      <c r="AB265" s="322">
        <f>SUM(Calculations[[#This Row],[C3 recyc]:[C3 incin]])</f>
        <v>0</v>
      </c>
      <c r="AC265" s="334">
        <f>IFERROR((VLOOKUP(Calculations[[#This Row],[Waste type 2]],WasteLandfillEmissions[#All],2,FALSE))*Calculations[[#This Row],[Total Kg]]*VLOOKUP(Calculations[[#This Row],[Waste 1]],WasteScenario[#All],4,FALSE),0)</f>
        <v>0</v>
      </c>
      <c r="AD265" s="322">
        <f>IFERROR((VLOOKUP(Calculations[[#This Row],[Waste type 2]],WasteLandfillEmissions[#All],3,FALSE))*Calculations[[#This Row],[Total Kg]]*VLOOKUP(Calculations[[#This Row],[Waste 1]],WasteScenario[#All],4,FALSE),0)</f>
        <v>0</v>
      </c>
      <c r="AE265" s="322">
        <f>SUM(Calculations[[#This Row],[C4 landfill]:[C4 re-use]])</f>
        <v>0</v>
      </c>
      <c r="AF265" s="322">
        <f>IFERROR(VLOOKUP(Calculations[[#This Row],[Material (choose from dropdown]],MaterialData[#All],8,FALSE),0)</f>
        <v>0</v>
      </c>
      <c r="AG265" s="322">
        <f>IFERROR(Calculations[[#This Row],[Total Kg]]*Calculations[[#This Row],[Seq factor]],0)</f>
        <v>0</v>
      </c>
      <c r="AI265" s="322">
        <f>Calculations[[#This Row],[A1-3]]+Calculations[[#This Row],[A4]]+Calculations[[#This Row],[A5]]+Calculations[[#This Row],[B4]]+Calculations[[#This Row],[C2 total]]+Calculations[[#This Row],[C3 total]]+Calculations[[#This Row],[C4 total]]</f>
        <v>0</v>
      </c>
      <c r="AJ265" s="2">
        <f>IFERROR(VLOOKUP(Calculations[[#This Row],[Material (choose from dropdown]],MaterialData[[#Headers],[#Data]],9,FALSE),0)</f>
        <v>0</v>
      </c>
      <c r="AK265" s="4">
        <f>IFERROR(VLOOKUP(Calculations[[#This Row],[Material (choose from dropdown]],MaterialData[[#Headers],[#Data]],10,FALSE),0)</f>
        <v>0</v>
      </c>
      <c r="AL265" s="322">
        <f>IFERROR(Calculations[[#This Row],[Data Quality Score]]*Calculations[[#This Row],[Total Kg]],0)</f>
        <v>0</v>
      </c>
    </row>
    <row r="266" spans="1:38" x14ac:dyDescent="0.3">
      <c r="A266" s="6">
        <f>IFERROR(MaterialsBoQ[[#This Row],[Scope Element]],0)</f>
        <v>0</v>
      </c>
      <c r="B266">
        <f>IFERROR(MaterialsBoQ[[#This Row],[Material ]],"")</f>
        <v>0</v>
      </c>
      <c r="C266">
        <f>IFERROR(MaterialsBoQ[[#This Row],[Unit]],"")</f>
        <v>0</v>
      </c>
      <c r="D266" s="322">
        <f>IFERROR(MaterialsBoQ[[#This Row],[Number]],0)</f>
        <v>0</v>
      </c>
      <c r="E266" s="322">
        <f>IFERROR(MaterialsBoQ[[#This Row],[Kg per unit]],0)</f>
        <v>0</v>
      </c>
      <c r="F266" s="322">
        <f>IFERROR(Calculations[[#This Row],[Number]]*Calculations[[#This Row],[Conversion factor]],0)</f>
        <v>0</v>
      </c>
      <c r="G266" s="322">
        <f>IFERROR(VLOOKUP(Calculations[[#This Row],[Material (choose from dropdown]],MaterialData[#All],7,FALSE),0)</f>
        <v>0</v>
      </c>
      <c r="H266" s="322">
        <f>Calculations[[#This Row],[Total Kg]]*Calculations[[#This Row],[Carbon Factor]]</f>
        <v>0</v>
      </c>
      <c r="I266" t="str">
        <f>IFERROR(VLOOKUP(Calculations[[#This Row],[Material (choose from dropdown]],MaterialData[#All],2,FALSE),"")</f>
        <v/>
      </c>
      <c r="J266" s="322">
        <f>IFERROR(((VLOOKUP(Calculations[[#This Row],[TransportSource]],TransportDistance[],2,FALSE)*'Stage assumptions'!$C$11)+VLOOKUP(Calculations[[#This Row],[TransportSource]],TransportDistance[],3,FALSE)*'Stage assumptions'!$C$12)*Calculations[[#This Row],[Total Kg]],0)</f>
        <v>0</v>
      </c>
      <c r="K266">
        <f>IFERROR(VLOOKUP(Calculations[[#This Row],[Material (choose from dropdown]], MaterialData[#All],3, FALSE),0)</f>
        <v>0</v>
      </c>
      <c r="L266" s="322">
        <f>IFERROR(VLOOKUP(Calculations[[#This Row],[A5type]],A5WastageRate[#All],2,FALSE)*Calculations[[#This Row],[A1-3]],0)</f>
        <v>0</v>
      </c>
      <c r="N266">
        <f>IFERROR(ROUNDUP(50/VLOOKUP(Calculations[[#This Row],[Scope Element]],B4referenceServiceLife[[Tier 2 element]:[Default Service Life]],2, FALSE)-1,0),0)</f>
        <v>0</v>
      </c>
      <c r="O266" s="322">
        <f>IFERROR((Calculations[[#This Row],[A1-3]]+Calculations[[#This Row],[A4]]+Calculations[[#This Row],[A5]]+Calculations[[#This Row],[C2 total]]+Calculations[[#This Row],[C3 total]]+Calculations[[#This Row],[C4 total]])*Calculations[[#This Row],[Replacements]],0)</f>
        <v>0</v>
      </c>
      <c r="S266" t="str">
        <f>IFERROR(VLOOKUP(Calculations[[#This Row],[Material (choose from dropdown]],MaterialData[#All],4,FALSE),"")</f>
        <v/>
      </c>
      <c r="T266" s="322" cm="1">
        <f t="array" ref="T266">IFERROR(VLOOKUP(Calculations[[#This Row],[Waste 1]],WasteScenario[#All],2,FALSE)*'Stage assumptions'!$C$225*WasteTransportMethod[Emissions Factor
kgCO2e/kg.km]*Calculations[[#This Row],[Total Kg]],0)</f>
        <v>0</v>
      </c>
      <c r="U266" s="322" cm="1">
        <f t="array" ref="U266">IFERROR(VLOOKUP(Calculations[[#This Row],[Waste 1]],WasteScenario[#All],3,FALSE)*'Stage assumptions'!$C$224*WasteTransportMethod[Emissions Factor
kgCO2e/kg.km]*Calculations[[#This Row],[Total Kg]],0)</f>
        <v>0</v>
      </c>
      <c r="V266" s="322" cm="1">
        <f t="array" ref="V266">IFERROR(VLOOKUP(Calculations[[#This Row],[Waste 1]],WasteScenario[#All],4,FALSE)*'Stage assumptions'!$C$223*WasteTransportMethod[Emissions Factor
kgCO2e/kg.km]*Calculations[[#This Row],[Total Kg]],0)</f>
        <v>0</v>
      </c>
      <c r="W266" s="322" cm="1">
        <f t="array" ref="W266">IFERROR(VLOOKUP(Calculations[[#This Row],[Waste 1]],WasteScenario[#All],5,FALSE)*'Stage assumptions'!$C$226*WasteTransportMethod[Emissions Factor
kgCO2e/kg.km]*Calculations[[#This Row],[Total Kg]],0)</f>
        <v>0</v>
      </c>
      <c r="X266" s="322">
        <f>SUM(Calculations[[#This Row],[C2 Recycle]:[C2 Reuse]])</f>
        <v>0</v>
      </c>
      <c r="Y266" t="str">
        <f>IFERROR(VLOOKUP(Calculations[[#This Row],[Material (choose from dropdown]],MaterialData[#All],5,FALSE),"")</f>
        <v/>
      </c>
      <c r="Z266" s="322">
        <f>IFERROR(((VLOOKUP(Calculations[[#This Row],[Waste type 2]],WasteDisposalEmissions[#All],2,FALSE))*Calculations[[#This Row],[Total Kg]])*VLOOKUP(Calculations[[#This Row],[Waste 1]],WasteScenario[#All],2,FALSE),0)</f>
        <v>0</v>
      </c>
      <c r="AA266" s="322">
        <f>IFERROR((VLOOKUP(Calculations[[#This Row],[Waste type 2]],WasteDisposalEmissions[#All],3,FALSE))*Calculations[[#This Row],[Total Kg]]*VLOOKUP(Calculations[[#This Row],[Waste 1]],WasteScenario[#All],3,FALSE),0)</f>
        <v>0</v>
      </c>
      <c r="AB266" s="322">
        <f>SUM(Calculations[[#This Row],[C3 recyc]:[C3 incin]])</f>
        <v>0</v>
      </c>
      <c r="AC266" s="334">
        <f>IFERROR((VLOOKUP(Calculations[[#This Row],[Waste type 2]],WasteLandfillEmissions[#All],2,FALSE))*Calculations[[#This Row],[Total Kg]]*VLOOKUP(Calculations[[#This Row],[Waste 1]],WasteScenario[#All],4,FALSE),0)</f>
        <v>0</v>
      </c>
      <c r="AD266" s="322">
        <f>IFERROR((VLOOKUP(Calculations[[#This Row],[Waste type 2]],WasteLandfillEmissions[#All],3,FALSE))*Calculations[[#This Row],[Total Kg]]*VLOOKUP(Calculations[[#This Row],[Waste 1]],WasteScenario[#All],4,FALSE),0)</f>
        <v>0</v>
      </c>
      <c r="AE266" s="322">
        <f>SUM(Calculations[[#This Row],[C4 landfill]:[C4 re-use]])</f>
        <v>0</v>
      </c>
      <c r="AF266" s="322">
        <f>IFERROR(VLOOKUP(Calculations[[#This Row],[Material (choose from dropdown]],MaterialData[#All],8,FALSE),0)</f>
        <v>0</v>
      </c>
      <c r="AG266" s="322">
        <f>IFERROR(Calculations[[#This Row],[Total Kg]]*Calculations[[#This Row],[Seq factor]],0)</f>
        <v>0</v>
      </c>
      <c r="AI266" s="322">
        <f>Calculations[[#This Row],[A1-3]]+Calculations[[#This Row],[A4]]+Calculations[[#This Row],[A5]]+Calculations[[#This Row],[B4]]+Calculations[[#This Row],[C2 total]]+Calculations[[#This Row],[C3 total]]+Calculations[[#This Row],[C4 total]]</f>
        <v>0</v>
      </c>
      <c r="AJ266" s="2">
        <f>IFERROR(VLOOKUP(Calculations[[#This Row],[Material (choose from dropdown]],MaterialData[[#Headers],[#Data]],9,FALSE),0)</f>
        <v>0</v>
      </c>
      <c r="AK266" s="4">
        <f>IFERROR(VLOOKUP(Calculations[[#This Row],[Material (choose from dropdown]],MaterialData[[#Headers],[#Data]],10,FALSE),0)</f>
        <v>0</v>
      </c>
      <c r="AL266" s="322">
        <f>IFERROR(Calculations[[#This Row],[Data Quality Score]]*Calculations[[#This Row],[Total Kg]],0)</f>
        <v>0</v>
      </c>
    </row>
    <row r="267" spans="1:38" x14ac:dyDescent="0.3">
      <c r="A267" s="6">
        <f>IFERROR(MaterialsBoQ[[#This Row],[Scope Element]],0)</f>
        <v>0</v>
      </c>
      <c r="B267">
        <f>IFERROR(MaterialsBoQ[[#This Row],[Material ]],"")</f>
        <v>0</v>
      </c>
      <c r="C267">
        <f>IFERROR(MaterialsBoQ[[#This Row],[Unit]],"")</f>
        <v>0</v>
      </c>
      <c r="D267" s="322">
        <f>IFERROR(MaterialsBoQ[[#This Row],[Number]],0)</f>
        <v>0</v>
      </c>
      <c r="E267" s="322">
        <f>IFERROR(MaterialsBoQ[[#This Row],[Kg per unit]],0)</f>
        <v>0</v>
      </c>
      <c r="F267" s="322">
        <f>IFERROR(Calculations[[#This Row],[Number]]*Calculations[[#This Row],[Conversion factor]],0)</f>
        <v>0</v>
      </c>
      <c r="G267" s="322">
        <f>IFERROR(VLOOKUP(Calculations[[#This Row],[Material (choose from dropdown]],MaterialData[#All],7,FALSE),0)</f>
        <v>0</v>
      </c>
      <c r="H267" s="322">
        <f>Calculations[[#This Row],[Total Kg]]*Calculations[[#This Row],[Carbon Factor]]</f>
        <v>0</v>
      </c>
      <c r="I267" t="str">
        <f>IFERROR(VLOOKUP(Calculations[[#This Row],[Material (choose from dropdown]],MaterialData[#All],2,FALSE),"")</f>
        <v/>
      </c>
      <c r="J267" s="322">
        <f>IFERROR(((VLOOKUP(Calculations[[#This Row],[TransportSource]],TransportDistance[],2,FALSE)*'Stage assumptions'!$C$11)+VLOOKUP(Calculations[[#This Row],[TransportSource]],TransportDistance[],3,FALSE)*'Stage assumptions'!$C$12)*Calculations[[#This Row],[Total Kg]],0)</f>
        <v>0</v>
      </c>
      <c r="K267">
        <f>IFERROR(VLOOKUP(Calculations[[#This Row],[Material (choose from dropdown]], MaterialData[#All],3, FALSE),0)</f>
        <v>0</v>
      </c>
      <c r="L267" s="322">
        <f>IFERROR(VLOOKUP(Calculations[[#This Row],[A5type]],A5WastageRate[#All],2,FALSE)*Calculations[[#This Row],[A1-3]],0)</f>
        <v>0</v>
      </c>
      <c r="N267">
        <f>IFERROR(ROUNDUP(50/VLOOKUP(Calculations[[#This Row],[Scope Element]],B4referenceServiceLife[[Tier 2 element]:[Default Service Life]],2, FALSE)-1,0),0)</f>
        <v>0</v>
      </c>
      <c r="O267" s="322">
        <f>IFERROR((Calculations[[#This Row],[A1-3]]+Calculations[[#This Row],[A4]]+Calculations[[#This Row],[A5]]+Calculations[[#This Row],[C2 total]]+Calculations[[#This Row],[C3 total]]+Calculations[[#This Row],[C4 total]])*Calculations[[#This Row],[Replacements]],0)</f>
        <v>0</v>
      </c>
      <c r="S267" t="str">
        <f>IFERROR(VLOOKUP(Calculations[[#This Row],[Material (choose from dropdown]],MaterialData[#All],4,FALSE),"")</f>
        <v/>
      </c>
      <c r="T267" s="322" cm="1">
        <f t="array" ref="T267">IFERROR(VLOOKUP(Calculations[[#This Row],[Waste 1]],WasteScenario[#All],2,FALSE)*'Stage assumptions'!$C$225*WasteTransportMethod[Emissions Factor
kgCO2e/kg.km]*Calculations[[#This Row],[Total Kg]],0)</f>
        <v>0</v>
      </c>
      <c r="U267" s="322" cm="1">
        <f t="array" ref="U267">IFERROR(VLOOKUP(Calculations[[#This Row],[Waste 1]],WasteScenario[#All],3,FALSE)*'Stage assumptions'!$C$224*WasteTransportMethod[Emissions Factor
kgCO2e/kg.km]*Calculations[[#This Row],[Total Kg]],0)</f>
        <v>0</v>
      </c>
      <c r="V267" s="322" cm="1">
        <f t="array" ref="V267">IFERROR(VLOOKUP(Calculations[[#This Row],[Waste 1]],WasteScenario[#All],4,FALSE)*'Stage assumptions'!$C$223*WasteTransportMethod[Emissions Factor
kgCO2e/kg.km]*Calculations[[#This Row],[Total Kg]],0)</f>
        <v>0</v>
      </c>
      <c r="W267" s="322" cm="1">
        <f t="array" ref="W267">IFERROR(VLOOKUP(Calculations[[#This Row],[Waste 1]],WasteScenario[#All],5,FALSE)*'Stage assumptions'!$C$226*WasteTransportMethod[Emissions Factor
kgCO2e/kg.km]*Calculations[[#This Row],[Total Kg]],0)</f>
        <v>0</v>
      </c>
      <c r="X267" s="322">
        <f>SUM(Calculations[[#This Row],[C2 Recycle]:[C2 Reuse]])</f>
        <v>0</v>
      </c>
      <c r="Y267" t="str">
        <f>IFERROR(VLOOKUP(Calculations[[#This Row],[Material (choose from dropdown]],MaterialData[#All],5,FALSE),"")</f>
        <v/>
      </c>
      <c r="Z267" s="322">
        <f>IFERROR(((VLOOKUP(Calculations[[#This Row],[Waste type 2]],WasteDisposalEmissions[#All],2,FALSE))*Calculations[[#This Row],[Total Kg]])*VLOOKUP(Calculations[[#This Row],[Waste 1]],WasteScenario[#All],2,FALSE),0)</f>
        <v>0</v>
      </c>
      <c r="AA267" s="322">
        <f>IFERROR((VLOOKUP(Calculations[[#This Row],[Waste type 2]],WasteDisposalEmissions[#All],3,FALSE))*Calculations[[#This Row],[Total Kg]]*VLOOKUP(Calculations[[#This Row],[Waste 1]],WasteScenario[#All],3,FALSE),0)</f>
        <v>0</v>
      </c>
      <c r="AB267" s="322">
        <f>SUM(Calculations[[#This Row],[C3 recyc]:[C3 incin]])</f>
        <v>0</v>
      </c>
      <c r="AC267" s="334">
        <f>IFERROR((VLOOKUP(Calculations[[#This Row],[Waste type 2]],WasteLandfillEmissions[#All],2,FALSE))*Calculations[[#This Row],[Total Kg]]*VLOOKUP(Calculations[[#This Row],[Waste 1]],WasteScenario[#All],4,FALSE),0)</f>
        <v>0</v>
      </c>
      <c r="AD267" s="322">
        <f>IFERROR((VLOOKUP(Calculations[[#This Row],[Waste type 2]],WasteLandfillEmissions[#All],3,FALSE))*Calculations[[#This Row],[Total Kg]]*VLOOKUP(Calculations[[#This Row],[Waste 1]],WasteScenario[#All],4,FALSE),0)</f>
        <v>0</v>
      </c>
      <c r="AE267" s="322">
        <f>SUM(Calculations[[#This Row],[C4 landfill]:[C4 re-use]])</f>
        <v>0</v>
      </c>
      <c r="AF267" s="322">
        <f>IFERROR(VLOOKUP(Calculations[[#This Row],[Material (choose from dropdown]],MaterialData[#All],8,FALSE),0)</f>
        <v>0</v>
      </c>
      <c r="AG267" s="322">
        <f>IFERROR(Calculations[[#This Row],[Total Kg]]*Calculations[[#This Row],[Seq factor]],0)</f>
        <v>0</v>
      </c>
      <c r="AI267" s="322">
        <f>Calculations[[#This Row],[A1-3]]+Calculations[[#This Row],[A4]]+Calculations[[#This Row],[A5]]+Calculations[[#This Row],[B4]]+Calculations[[#This Row],[C2 total]]+Calculations[[#This Row],[C3 total]]+Calculations[[#This Row],[C4 total]]</f>
        <v>0</v>
      </c>
      <c r="AJ267" s="2">
        <f>IFERROR(VLOOKUP(Calculations[[#This Row],[Material (choose from dropdown]],MaterialData[[#Headers],[#Data]],9,FALSE),0)</f>
        <v>0</v>
      </c>
      <c r="AK267" s="4">
        <f>IFERROR(VLOOKUP(Calculations[[#This Row],[Material (choose from dropdown]],MaterialData[[#Headers],[#Data]],10,FALSE),0)</f>
        <v>0</v>
      </c>
      <c r="AL267" s="322">
        <f>IFERROR(Calculations[[#This Row],[Data Quality Score]]*Calculations[[#This Row],[Total Kg]],0)</f>
        <v>0</v>
      </c>
    </row>
    <row r="268" spans="1:38" x14ac:dyDescent="0.3">
      <c r="A268" s="6">
        <f>IFERROR(MaterialsBoQ[[#This Row],[Scope Element]],0)</f>
        <v>0</v>
      </c>
      <c r="B268">
        <f>IFERROR(MaterialsBoQ[[#This Row],[Material ]],"")</f>
        <v>0</v>
      </c>
      <c r="C268">
        <f>IFERROR(MaterialsBoQ[[#This Row],[Unit]],"")</f>
        <v>0</v>
      </c>
      <c r="D268" s="322">
        <f>IFERROR(MaterialsBoQ[[#This Row],[Number]],0)</f>
        <v>0</v>
      </c>
      <c r="E268" s="322">
        <f>IFERROR(MaterialsBoQ[[#This Row],[Kg per unit]],0)</f>
        <v>0</v>
      </c>
      <c r="F268" s="322">
        <f>IFERROR(Calculations[[#This Row],[Number]]*Calculations[[#This Row],[Conversion factor]],0)</f>
        <v>0</v>
      </c>
      <c r="G268" s="322">
        <f>IFERROR(VLOOKUP(Calculations[[#This Row],[Material (choose from dropdown]],MaterialData[#All],7,FALSE),0)</f>
        <v>0</v>
      </c>
      <c r="H268" s="322">
        <f>Calculations[[#This Row],[Total Kg]]*Calculations[[#This Row],[Carbon Factor]]</f>
        <v>0</v>
      </c>
      <c r="I268" t="str">
        <f>IFERROR(VLOOKUP(Calculations[[#This Row],[Material (choose from dropdown]],MaterialData[#All],2,FALSE),"")</f>
        <v/>
      </c>
      <c r="J268" s="322">
        <f>IFERROR(((VLOOKUP(Calculations[[#This Row],[TransportSource]],TransportDistance[],2,FALSE)*'Stage assumptions'!$C$11)+VLOOKUP(Calculations[[#This Row],[TransportSource]],TransportDistance[],3,FALSE)*'Stage assumptions'!$C$12)*Calculations[[#This Row],[Total Kg]],0)</f>
        <v>0</v>
      </c>
      <c r="K268">
        <f>IFERROR(VLOOKUP(Calculations[[#This Row],[Material (choose from dropdown]], MaterialData[#All],3, FALSE),0)</f>
        <v>0</v>
      </c>
      <c r="L268" s="322">
        <f>IFERROR(VLOOKUP(Calculations[[#This Row],[A5type]],A5WastageRate[#All],2,FALSE)*Calculations[[#This Row],[A1-3]],0)</f>
        <v>0</v>
      </c>
      <c r="N268">
        <f>IFERROR(ROUNDUP(50/VLOOKUP(Calculations[[#This Row],[Scope Element]],B4referenceServiceLife[[Tier 2 element]:[Default Service Life]],2, FALSE)-1,0),0)</f>
        <v>0</v>
      </c>
      <c r="O268" s="322">
        <f>IFERROR((Calculations[[#This Row],[A1-3]]+Calculations[[#This Row],[A4]]+Calculations[[#This Row],[A5]]+Calculations[[#This Row],[C2 total]]+Calculations[[#This Row],[C3 total]]+Calculations[[#This Row],[C4 total]])*Calculations[[#This Row],[Replacements]],0)</f>
        <v>0</v>
      </c>
      <c r="S268" t="str">
        <f>IFERROR(VLOOKUP(Calculations[[#This Row],[Material (choose from dropdown]],MaterialData[#All],4,FALSE),"")</f>
        <v/>
      </c>
      <c r="T268" s="322" cm="1">
        <f t="array" ref="T268">IFERROR(VLOOKUP(Calculations[[#This Row],[Waste 1]],WasteScenario[#All],2,FALSE)*'Stage assumptions'!$C$225*WasteTransportMethod[Emissions Factor
kgCO2e/kg.km]*Calculations[[#This Row],[Total Kg]],0)</f>
        <v>0</v>
      </c>
      <c r="U268" s="322" cm="1">
        <f t="array" ref="U268">IFERROR(VLOOKUP(Calculations[[#This Row],[Waste 1]],WasteScenario[#All],3,FALSE)*'Stage assumptions'!$C$224*WasteTransportMethod[Emissions Factor
kgCO2e/kg.km]*Calculations[[#This Row],[Total Kg]],0)</f>
        <v>0</v>
      </c>
      <c r="V268" s="322" cm="1">
        <f t="array" ref="V268">IFERROR(VLOOKUP(Calculations[[#This Row],[Waste 1]],WasteScenario[#All],4,FALSE)*'Stage assumptions'!$C$223*WasteTransportMethod[Emissions Factor
kgCO2e/kg.km]*Calculations[[#This Row],[Total Kg]],0)</f>
        <v>0</v>
      </c>
      <c r="W268" s="322" cm="1">
        <f t="array" ref="W268">IFERROR(VLOOKUP(Calculations[[#This Row],[Waste 1]],WasteScenario[#All],5,FALSE)*'Stage assumptions'!$C$226*WasteTransportMethod[Emissions Factor
kgCO2e/kg.km]*Calculations[[#This Row],[Total Kg]],0)</f>
        <v>0</v>
      </c>
      <c r="X268" s="322">
        <f>SUM(Calculations[[#This Row],[C2 Recycle]:[C2 Reuse]])</f>
        <v>0</v>
      </c>
      <c r="Y268" t="str">
        <f>IFERROR(VLOOKUP(Calculations[[#This Row],[Material (choose from dropdown]],MaterialData[#All],5,FALSE),"")</f>
        <v/>
      </c>
      <c r="Z268" s="322">
        <f>IFERROR(((VLOOKUP(Calculations[[#This Row],[Waste type 2]],WasteDisposalEmissions[#All],2,FALSE))*Calculations[[#This Row],[Total Kg]])*VLOOKUP(Calculations[[#This Row],[Waste 1]],WasteScenario[#All],2,FALSE),0)</f>
        <v>0</v>
      </c>
      <c r="AA268" s="322">
        <f>IFERROR((VLOOKUP(Calculations[[#This Row],[Waste type 2]],WasteDisposalEmissions[#All],3,FALSE))*Calculations[[#This Row],[Total Kg]]*VLOOKUP(Calculations[[#This Row],[Waste 1]],WasteScenario[#All],3,FALSE),0)</f>
        <v>0</v>
      </c>
      <c r="AB268" s="322">
        <f>SUM(Calculations[[#This Row],[C3 recyc]:[C3 incin]])</f>
        <v>0</v>
      </c>
      <c r="AC268" s="334">
        <f>IFERROR((VLOOKUP(Calculations[[#This Row],[Waste type 2]],WasteLandfillEmissions[#All],2,FALSE))*Calculations[[#This Row],[Total Kg]]*VLOOKUP(Calculations[[#This Row],[Waste 1]],WasteScenario[#All],4,FALSE),0)</f>
        <v>0</v>
      </c>
      <c r="AD268" s="322">
        <f>IFERROR((VLOOKUP(Calculations[[#This Row],[Waste type 2]],WasteLandfillEmissions[#All],3,FALSE))*Calculations[[#This Row],[Total Kg]]*VLOOKUP(Calculations[[#This Row],[Waste 1]],WasteScenario[#All],4,FALSE),0)</f>
        <v>0</v>
      </c>
      <c r="AE268" s="322">
        <f>SUM(Calculations[[#This Row],[C4 landfill]:[C4 re-use]])</f>
        <v>0</v>
      </c>
      <c r="AF268" s="322">
        <f>IFERROR(VLOOKUP(Calculations[[#This Row],[Material (choose from dropdown]],MaterialData[#All],8,FALSE),0)</f>
        <v>0</v>
      </c>
      <c r="AG268" s="322">
        <f>IFERROR(Calculations[[#This Row],[Total Kg]]*Calculations[[#This Row],[Seq factor]],0)</f>
        <v>0</v>
      </c>
      <c r="AI268" s="322">
        <f>Calculations[[#This Row],[A1-3]]+Calculations[[#This Row],[A4]]+Calculations[[#This Row],[A5]]+Calculations[[#This Row],[B4]]+Calculations[[#This Row],[C2 total]]+Calculations[[#This Row],[C3 total]]+Calculations[[#This Row],[C4 total]]</f>
        <v>0</v>
      </c>
      <c r="AJ268" s="2">
        <f>IFERROR(VLOOKUP(Calculations[[#This Row],[Material (choose from dropdown]],MaterialData[[#Headers],[#Data]],9,FALSE),0)</f>
        <v>0</v>
      </c>
      <c r="AK268" s="4">
        <f>IFERROR(VLOOKUP(Calculations[[#This Row],[Material (choose from dropdown]],MaterialData[[#Headers],[#Data]],10,FALSE),0)</f>
        <v>0</v>
      </c>
      <c r="AL268" s="322">
        <f>IFERROR(Calculations[[#This Row],[Data Quality Score]]*Calculations[[#This Row],[Total Kg]],0)</f>
        <v>0</v>
      </c>
    </row>
    <row r="269" spans="1:38" x14ac:dyDescent="0.3">
      <c r="A269" s="6">
        <f>IFERROR(MaterialsBoQ[[#This Row],[Scope Element]],0)</f>
        <v>0</v>
      </c>
      <c r="B269">
        <f>IFERROR(MaterialsBoQ[[#This Row],[Material ]],"")</f>
        <v>0</v>
      </c>
      <c r="C269">
        <f>IFERROR(MaterialsBoQ[[#This Row],[Unit]],"")</f>
        <v>0</v>
      </c>
      <c r="D269" s="322">
        <f>IFERROR(MaterialsBoQ[[#This Row],[Number]],0)</f>
        <v>0</v>
      </c>
      <c r="E269" s="322">
        <f>IFERROR(MaterialsBoQ[[#This Row],[Kg per unit]],0)</f>
        <v>0</v>
      </c>
      <c r="F269" s="322">
        <f>IFERROR(Calculations[[#This Row],[Number]]*Calculations[[#This Row],[Conversion factor]],0)</f>
        <v>0</v>
      </c>
      <c r="G269" s="322">
        <f>IFERROR(VLOOKUP(Calculations[[#This Row],[Material (choose from dropdown]],MaterialData[#All],7,FALSE),0)</f>
        <v>0</v>
      </c>
      <c r="H269" s="322">
        <f>Calculations[[#This Row],[Total Kg]]*Calculations[[#This Row],[Carbon Factor]]</f>
        <v>0</v>
      </c>
      <c r="I269" t="str">
        <f>IFERROR(VLOOKUP(Calculations[[#This Row],[Material (choose from dropdown]],MaterialData[#All],2,FALSE),"")</f>
        <v/>
      </c>
      <c r="J269" s="322">
        <f>IFERROR(((VLOOKUP(Calculations[[#This Row],[TransportSource]],TransportDistance[],2,FALSE)*'Stage assumptions'!$C$11)+VLOOKUP(Calculations[[#This Row],[TransportSource]],TransportDistance[],3,FALSE)*'Stage assumptions'!$C$12)*Calculations[[#This Row],[Total Kg]],0)</f>
        <v>0</v>
      </c>
      <c r="K269">
        <f>IFERROR(VLOOKUP(Calculations[[#This Row],[Material (choose from dropdown]], MaterialData[#All],3, FALSE),0)</f>
        <v>0</v>
      </c>
      <c r="L269" s="322">
        <f>IFERROR(VLOOKUP(Calculations[[#This Row],[A5type]],A5WastageRate[#All],2,FALSE)*Calculations[[#This Row],[A1-3]],0)</f>
        <v>0</v>
      </c>
      <c r="N269">
        <f>IFERROR(ROUNDUP(50/VLOOKUP(Calculations[[#This Row],[Scope Element]],B4referenceServiceLife[[Tier 2 element]:[Default Service Life]],2, FALSE)-1,0),0)</f>
        <v>0</v>
      </c>
      <c r="O269" s="322">
        <f>IFERROR((Calculations[[#This Row],[A1-3]]+Calculations[[#This Row],[A4]]+Calculations[[#This Row],[A5]]+Calculations[[#This Row],[C2 total]]+Calculations[[#This Row],[C3 total]]+Calculations[[#This Row],[C4 total]])*Calculations[[#This Row],[Replacements]],0)</f>
        <v>0</v>
      </c>
      <c r="S269" t="str">
        <f>IFERROR(VLOOKUP(Calculations[[#This Row],[Material (choose from dropdown]],MaterialData[#All],4,FALSE),"")</f>
        <v/>
      </c>
      <c r="T269" s="322" cm="1">
        <f t="array" ref="T269">IFERROR(VLOOKUP(Calculations[[#This Row],[Waste 1]],WasteScenario[#All],2,FALSE)*'Stage assumptions'!$C$225*WasteTransportMethod[Emissions Factor
kgCO2e/kg.km]*Calculations[[#This Row],[Total Kg]],0)</f>
        <v>0</v>
      </c>
      <c r="U269" s="322" cm="1">
        <f t="array" ref="U269">IFERROR(VLOOKUP(Calculations[[#This Row],[Waste 1]],WasteScenario[#All],3,FALSE)*'Stage assumptions'!$C$224*WasteTransportMethod[Emissions Factor
kgCO2e/kg.km]*Calculations[[#This Row],[Total Kg]],0)</f>
        <v>0</v>
      </c>
      <c r="V269" s="322" cm="1">
        <f t="array" ref="V269">IFERROR(VLOOKUP(Calculations[[#This Row],[Waste 1]],WasteScenario[#All],4,FALSE)*'Stage assumptions'!$C$223*WasteTransportMethod[Emissions Factor
kgCO2e/kg.km]*Calculations[[#This Row],[Total Kg]],0)</f>
        <v>0</v>
      </c>
      <c r="W269" s="322" cm="1">
        <f t="array" ref="W269">IFERROR(VLOOKUP(Calculations[[#This Row],[Waste 1]],WasteScenario[#All],5,FALSE)*'Stage assumptions'!$C$226*WasteTransportMethod[Emissions Factor
kgCO2e/kg.km]*Calculations[[#This Row],[Total Kg]],0)</f>
        <v>0</v>
      </c>
      <c r="X269" s="322">
        <f>SUM(Calculations[[#This Row],[C2 Recycle]:[C2 Reuse]])</f>
        <v>0</v>
      </c>
      <c r="Y269" t="str">
        <f>IFERROR(VLOOKUP(Calculations[[#This Row],[Material (choose from dropdown]],MaterialData[#All],5,FALSE),"")</f>
        <v/>
      </c>
      <c r="Z269" s="322">
        <f>IFERROR(((VLOOKUP(Calculations[[#This Row],[Waste type 2]],WasteDisposalEmissions[#All],2,FALSE))*Calculations[[#This Row],[Total Kg]])*VLOOKUP(Calculations[[#This Row],[Waste 1]],WasteScenario[#All],2,FALSE),0)</f>
        <v>0</v>
      </c>
      <c r="AA269" s="322">
        <f>IFERROR((VLOOKUP(Calculations[[#This Row],[Waste type 2]],WasteDisposalEmissions[#All],3,FALSE))*Calculations[[#This Row],[Total Kg]]*VLOOKUP(Calculations[[#This Row],[Waste 1]],WasteScenario[#All],3,FALSE),0)</f>
        <v>0</v>
      </c>
      <c r="AB269" s="322">
        <f>SUM(Calculations[[#This Row],[C3 recyc]:[C3 incin]])</f>
        <v>0</v>
      </c>
      <c r="AC269" s="334">
        <f>IFERROR((VLOOKUP(Calculations[[#This Row],[Waste type 2]],WasteLandfillEmissions[#All],2,FALSE))*Calculations[[#This Row],[Total Kg]]*VLOOKUP(Calculations[[#This Row],[Waste 1]],WasteScenario[#All],4,FALSE),0)</f>
        <v>0</v>
      </c>
      <c r="AD269" s="322">
        <f>IFERROR((VLOOKUP(Calculations[[#This Row],[Waste type 2]],WasteLandfillEmissions[#All],3,FALSE))*Calculations[[#This Row],[Total Kg]]*VLOOKUP(Calculations[[#This Row],[Waste 1]],WasteScenario[#All],4,FALSE),0)</f>
        <v>0</v>
      </c>
      <c r="AE269" s="322">
        <f>SUM(Calculations[[#This Row],[C4 landfill]:[C4 re-use]])</f>
        <v>0</v>
      </c>
      <c r="AF269" s="322">
        <f>IFERROR(VLOOKUP(Calculations[[#This Row],[Material (choose from dropdown]],MaterialData[#All],8,FALSE),0)</f>
        <v>0</v>
      </c>
      <c r="AG269" s="322">
        <f>IFERROR(Calculations[[#This Row],[Total Kg]]*Calculations[[#This Row],[Seq factor]],0)</f>
        <v>0</v>
      </c>
      <c r="AI269" s="322">
        <f>Calculations[[#This Row],[A1-3]]+Calculations[[#This Row],[A4]]+Calculations[[#This Row],[A5]]+Calculations[[#This Row],[B4]]+Calculations[[#This Row],[C2 total]]+Calculations[[#This Row],[C3 total]]+Calculations[[#This Row],[C4 total]]</f>
        <v>0</v>
      </c>
      <c r="AJ269" s="2">
        <f>IFERROR(VLOOKUP(Calculations[[#This Row],[Material (choose from dropdown]],MaterialData[[#Headers],[#Data]],9,FALSE),0)</f>
        <v>0</v>
      </c>
      <c r="AK269" s="4">
        <f>IFERROR(VLOOKUP(Calculations[[#This Row],[Material (choose from dropdown]],MaterialData[[#Headers],[#Data]],10,FALSE),0)</f>
        <v>0</v>
      </c>
      <c r="AL269" s="322">
        <f>IFERROR(Calculations[[#This Row],[Data Quality Score]]*Calculations[[#This Row],[Total Kg]],0)</f>
        <v>0</v>
      </c>
    </row>
    <row r="270" spans="1:38" x14ac:dyDescent="0.3">
      <c r="A270" s="6">
        <f>IFERROR(MaterialsBoQ[[#This Row],[Scope Element]],0)</f>
        <v>0</v>
      </c>
      <c r="B270">
        <f>IFERROR(MaterialsBoQ[[#This Row],[Material ]],"")</f>
        <v>0</v>
      </c>
      <c r="C270">
        <f>IFERROR(MaterialsBoQ[[#This Row],[Unit]],"")</f>
        <v>0</v>
      </c>
      <c r="D270" s="322">
        <f>IFERROR(MaterialsBoQ[[#This Row],[Number]],0)</f>
        <v>0</v>
      </c>
      <c r="E270" s="322">
        <f>IFERROR(MaterialsBoQ[[#This Row],[Kg per unit]],0)</f>
        <v>0</v>
      </c>
      <c r="F270" s="322">
        <f>IFERROR(Calculations[[#This Row],[Number]]*Calculations[[#This Row],[Conversion factor]],0)</f>
        <v>0</v>
      </c>
      <c r="G270" s="322">
        <f>IFERROR(VLOOKUP(Calculations[[#This Row],[Material (choose from dropdown]],MaterialData[#All],7,FALSE),0)</f>
        <v>0</v>
      </c>
      <c r="H270" s="322">
        <f>Calculations[[#This Row],[Total Kg]]*Calculations[[#This Row],[Carbon Factor]]</f>
        <v>0</v>
      </c>
      <c r="I270" t="str">
        <f>IFERROR(VLOOKUP(Calculations[[#This Row],[Material (choose from dropdown]],MaterialData[#All],2,FALSE),"")</f>
        <v/>
      </c>
      <c r="J270" s="322">
        <f>IFERROR(((VLOOKUP(Calculations[[#This Row],[TransportSource]],TransportDistance[],2,FALSE)*'Stage assumptions'!$C$11)+VLOOKUP(Calculations[[#This Row],[TransportSource]],TransportDistance[],3,FALSE)*'Stage assumptions'!$C$12)*Calculations[[#This Row],[Total Kg]],0)</f>
        <v>0</v>
      </c>
      <c r="K270">
        <f>IFERROR(VLOOKUP(Calculations[[#This Row],[Material (choose from dropdown]], MaterialData[#All],3, FALSE),0)</f>
        <v>0</v>
      </c>
      <c r="L270" s="322">
        <f>IFERROR(VLOOKUP(Calculations[[#This Row],[A5type]],A5WastageRate[#All],2,FALSE)*Calculations[[#This Row],[A1-3]],0)</f>
        <v>0</v>
      </c>
      <c r="N270">
        <f>IFERROR(ROUNDUP(50/VLOOKUP(Calculations[[#This Row],[Scope Element]],B4referenceServiceLife[[Tier 2 element]:[Default Service Life]],2, FALSE)-1,0),0)</f>
        <v>0</v>
      </c>
      <c r="O270" s="322">
        <f>IFERROR((Calculations[[#This Row],[A1-3]]+Calculations[[#This Row],[A4]]+Calculations[[#This Row],[A5]]+Calculations[[#This Row],[C2 total]]+Calculations[[#This Row],[C3 total]]+Calculations[[#This Row],[C4 total]])*Calculations[[#This Row],[Replacements]],0)</f>
        <v>0</v>
      </c>
      <c r="S270" t="str">
        <f>IFERROR(VLOOKUP(Calculations[[#This Row],[Material (choose from dropdown]],MaterialData[#All],4,FALSE),"")</f>
        <v/>
      </c>
      <c r="T270" s="322" cm="1">
        <f t="array" ref="T270">IFERROR(VLOOKUP(Calculations[[#This Row],[Waste 1]],WasteScenario[#All],2,FALSE)*'Stage assumptions'!$C$225*WasteTransportMethod[Emissions Factor
kgCO2e/kg.km]*Calculations[[#This Row],[Total Kg]],0)</f>
        <v>0</v>
      </c>
      <c r="U270" s="322" cm="1">
        <f t="array" ref="U270">IFERROR(VLOOKUP(Calculations[[#This Row],[Waste 1]],WasteScenario[#All],3,FALSE)*'Stage assumptions'!$C$224*WasteTransportMethod[Emissions Factor
kgCO2e/kg.km]*Calculations[[#This Row],[Total Kg]],0)</f>
        <v>0</v>
      </c>
      <c r="V270" s="322" cm="1">
        <f t="array" ref="V270">IFERROR(VLOOKUP(Calculations[[#This Row],[Waste 1]],WasteScenario[#All],4,FALSE)*'Stage assumptions'!$C$223*WasteTransportMethod[Emissions Factor
kgCO2e/kg.km]*Calculations[[#This Row],[Total Kg]],0)</f>
        <v>0</v>
      </c>
      <c r="W270" s="322" cm="1">
        <f t="array" ref="W270">IFERROR(VLOOKUP(Calculations[[#This Row],[Waste 1]],WasteScenario[#All],5,FALSE)*'Stage assumptions'!$C$226*WasteTransportMethod[Emissions Factor
kgCO2e/kg.km]*Calculations[[#This Row],[Total Kg]],0)</f>
        <v>0</v>
      </c>
      <c r="X270" s="322">
        <f>SUM(Calculations[[#This Row],[C2 Recycle]:[C2 Reuse]])</f>
        <v>0</v>
      </c>
      <c r="Y270" t="str">
        <f>IFERROR(VLOOKUP(Calculations[[#This Row],[Material (choose from dropdown]],MaterialData[#All],5,FALSE),"")</f>
        <v/>
      </c>
      <c r="Z270" s="322">
        <f>IFERROR(((VLOOKUP(Calculations[[#This Row],[Waste type 2]],WasteDisposalEmissions[#All],2,FALSE))*Calculations[[#This Row],[Total Kg]])*VLOOKUP(Calculations[[#This Row],[Waste 1]],WasteScenario[#All],2,FALSE),0)</f>
        <v>0</v>
      </c>
      <c r="AA270" s="322">
        <f>IFERROR((VLOOKUP(Calculations[[#This Row],[Waste type 2]],WasteDisposalEmissions[#All],3,FALSE))*Calculations[[#This Row],[Total Kg]]*VLOOKUP(Calculations[[#This Row],[Waste 1]],WasteScenario[#All],3,FALSE),0)</f>
        <v>0</v>
      </c>
      <c r="AB270" s="322">
        <f>SUM(Calculations[[#This Row],[C3 recyc]:[C3 incin]])</f>
        <v>0</v>
      </c>
      <c r="AC270" s="334">
        <f>IFERROR((VLOOKUP(Calculations[[#This Row],[Waste type 2]],WasteLandfillEmissions[#All],2,FALSE))*Calculations[[#This Row],[Total Kg]]*VLOOKUP(Calculations[[#This Row],[Waste 1]],WasteScenario[#All],4,FALSE),0)</f>
        <v>0</v>
      </c>
      <c r="AD270" s="322">
        <f>IFERROR((VLOOKUP(Calculations[[#This Row],[Waste type 2]],WasteLandfillEmissions[#All],3,FALSE))*Calculations[[#This Row],[Total Kg]]*VLOOKUP(Calculations[[#This Row],[Waste 1]],WasteScenario[#All],4,FALSE),0)</f>
        <v>0</v>
      </c>
      <c r="AE270" s="322">
        <f>SUM(Calculations[[#This Row],[C4 landfill]:[C4 re-use]])</f>
        <v>0</v>
      </c>
      <c r="AF270" s="322">
        <f>IFERROR(VLOOKUP(Calculations[[#This Row],[Material (choose from dropdown]],MaterialData[#All],8,FALSE),0)</f>
        <v>0</v>
      </c>
      <c r="AG270" s="322">
        <f>IFERROR(Calculations[[#This Row],[Total Kg]]*Calculations[[#This Row],[Seq factor]],0)</f>
        <v>0</v>
      </c>
      <c r="AI270" s="322">
        <f>Calculations[[#This Row],[A1-3]]+Calculations[[#This Row],[A4]]+Calculations[[#This Row],[A5]]+Calculations[[#This Row],[B4]]+Calculations[[#This Row],[C2 total]]+Calculations[[#This Row],[C3 total]]+Calculations[[#This Row],[C4 total]]</f>
        <v>0</v>
      </c>
      <c r="AJ270" s="2">
        <f>IFERROR(VLOOKUP(Calculations[[#This Row],[Material (choose from dropdown]],MaterialData[[#Headers],[#Data]],9,FALSE),0)</f>
        <v>0</v>
      </c>
      <c r="AK270" s="4">
        <f>IFERROR(VLOOKUP(Calculations[[#This Row],[Material (choose from dropdown]],MaterialData[[#Headers],[#Data]],10,FALSE),0)</f>
        <v>0</v>
      </c>
      <c r="AL270" s="322">
        <f>IFERROR(Calculations[[#This Row],[Data Quality Score]]*Calculations[[#This Row],[Total Kg]],0)</f>
        <v>0</v>
      </c>
    </row>
    <row r="271" spans="1:38" x14ac:dyDescent="0.3">
      <c r="A271" s="6">
        <f>IFERROR(MaterialsBoQ[[#This Row],[Scope Element]],0)</f>
        <v>0</v>
      </c>
      <c r="B271">
        <f>IFERROR(MaterialsBoQ[[#This Row],[Material ]],"")</f>
        <v>0</v>
      </c>
      <c r="C271">
        <f>IFERROR(MaterialsBoQ[[#This Row],[Unit]],"")</f>
        <v>0</v>
      </c>
      <c r="D271" s="322">
        <f>IFERROR(MaterialsBoQ[[#This Row],[Number]],0)</f>
        <v>0</v>
      </c>
      <c r="E271" s="322">
        <f>IFERROR(MaterialsBoQ[[#This Row],[Kg per unit]],0)</f>
        <v>0</v>
      </c>
      <c r="F271" s="322">
        <f>IFERROR(Calculations[[#This Row],[Number]]*Calculations[[#This Row],[Conversion factor]],0)</f>
        <v>0</v>
      </c>
      <c r="G271" s="322">
        <f>IFERROR(VLOOKUP(Calculations[[#This Row],[Material (choose from dropdown]],MaterialData[#All],7,FALSE),0)</f>
        <v>0</v>
      </c>
      <c r="H271" s="322">
        <f>Calculations[[#This Row],[Total Kg]]*Calculations[[#This Row],[Carbon Factor]]</f>
        <v>0</v>
      </c>
      <c r="I271" t="str">
        <f>IFERROR(VLOOKUP(Calculations[[#This Row],[Material (choose from dropdown]],MaterialData[#All],2,FALSE),"")</f>
        <v/>
      </c>
      <c r="J271" s="322">
        <f>IFERROR(((VLOOKUP(Calculations[[#This Row],[TransportSource]],TransportDistance[],2,FALSE)*'Stage assumptions'!$C$11)+VLOOKUP(Calculations[[#This Row],[TransportSource]],TransportDistance[],3,FALSE)*'Stage assumptions'!$C$12)*Calculations[[#This Row],[Total Kg]],0)</f>
        <v>0</v>
      </c>
      <c r="K271">
        <f>IFERROR(VLOOKUP(Calculations[[#This Row],[Material (choose from dropdown]], MaterialData[#All],3, FALSE),0)</f>
        <v>0</v>
      </c>
      <c r="L271" s="322">
        <f>IFERROR(VLOOKUP(Calculations[[#This Row],[A5type]],A5WastageRate[#All],2,FALSE)*Calculations[[#This Row],[A1-3]],0)</f>
        <v>0</v>
      </c>
      <c r="N271">
        <f>IFERROR(ROUNDUP(50/VLOOKUP(Calculations[[#This Row],[Scope Element]],B4referenceServiceLife[[Tier 2 element]:[Default Service Life]],2, FALSE)-1,0),0)</f>
        <v>0</v>
      </c>
      <c r="O271" s="322">
        <f>IFERROR((Calculations[[#This Row],[A1-3]]+Calculations[[#This Row],[A4]]+Calculations[[#This Row],[A5]]+Calculations[[#This Row],[C2 total]]+Calculations[[#This Row],[C3 total]]+Calculations[[#This Row],[C4 total]])*Calculations[[#This Row],[Replacements]],0)</f>
        <v>0</v>
      </c>
      <c r="S271" t="str">
        <f>IFERROR(VLOOKUP(Calculations[[#This Row],[Material (choose from dropdown]],MaterialData[#All],4,FALSE),"")</f>
        <v/>
      </c>
      <c r="T271" s="322" cm="1">
        <f t="array" ref="T271">IFERROR(VLOOKUP(Calculations[[#This Row],[Waste 1]],WasteScenario[#All],2,FALSE)*'Stage assumptions'!$C$225*WasteTransportMethod[Emissions Factor
kgCO2e/kg.km]*Calculations[[#This Row],[Total Kg]],0)</f>
        <v>0</v>
      </c>
      <c r="U271" s="322" cm="1">
        <f t="array" ref="U271">IFERROR(VLOOKUP(Calculations[[#This Row],[Waste 1]],WasteScenario[#All],3,FALSE)*'Stage assumptions'!$C$224*WasteTransportMethod[Emissions Factor
kgCO2e/kg.km]*Calculations[[#This Row],[Total Kg]],0)</f>
        <v>0</v>
      </c>
      <c r="V271" s="322" cm="1">
        <f t="array" ref="V271">IFERROR(VLOOKUP(Calculations[[#This Row],[Waste 1]],WasteScenario[#All],4,FALSE)*'Stage assumptions'!$C$223*WasteTransportMethod[Emissions Factor
kgCO2e/kg.km]*Calculations[[#This Row],[Total Kg]],0)</f>
        <v>0</v>
      </c>
      <c r="W271" s="322" cm="1">
        <f t="array" ref="W271">IFERROR(VLOOKUP(Calculations[[#This Row],[Waste 1]],WasteScenario[#All],5,FALSE)*'Stage assumptions'!$C$226*WasteTransportMethod[Emissions Factor
kgCO2e/kg.km]*Calculations[[#This Row],[Total Kg]],0)</f>
        <v>0</v>
      </c>
      <c r="X271" s="322">
        <f>SUM(Calculations[[#This Row],[C2 Recycle]:[C2 Reuse]])</f>
        <v>0</v>
      </c>
      <c r="Y271" t="str">
        <f>IFERROR(VLOOKUP(Calculations[[#This Row],[Material (choose from dropdown]],MaterialData[#All],5,FALSE),"")</f>
        <v/>
      </c>
      <c r="Z271" s="322">
        <f>IFERROR(((VLOOKUP(Calculations[[#This Row],[Waste type 2]],WasteDisposalEmissions[#All],2,FALSE))*Calculations[[#This Row],[Total Kg]])*VLOOKUP(Calculations[[#This Row],[Waste 1]],WasteScenario[#All],2,FALSE),0)</f>
        <v>0</v>
      </c>
      <c r="AA271" s="322">
        <f>IFERROR((VLOOKUP(Calculations[[#This Row],[Waste type 2]],WasteDisposalEmissions[#All],3,FALSE))*Calculations[[#This Row],[Total Kg]]*VLOOKUP(Calculations[[#This Row],[Waste 1]],WasteScenario[#All],3,FALSE),0)</f>
        <v>0</v>
      </c>
      <c r="AB271" s="322">
        <f>SUM(Calculations[[#This Row],[C3 recyc]:[C3 incin]])</f>
        <v>0</v>
      </c>
      <c r="AC271" s="334">
        <f>IFERROR((VLOOKUP(Calculations[[#This Row],[Waste type 2]],WasteLandfillEmissions[#All],2,FALSE))*Calculations[[#This Row],[Total Kg]]*VLOOKUP(Calculations[[#This Row],[Waste 1]],WasteScenario[#All],4,FALSE),0)</f>
        <v>0</v>
      </c>
      <c r="AD271" s="322">
        <f>IFERROR((VLOOKUP(Calculations[[#This Row],[Waste type 2]],WasteLandfillEmissions[#All],3,FALSE))*Calculations[[#This Row],[Total Kg]]*VLOOKUP(Calculations[[#This Row],[Waste 1]],WasteScenario[#All],4,FALSE),0)</f>
        <v>0</v>
      </c>
      <c r="AE271" s="322">
        <f>SUM(Calculations[[#This Row],[C4 landfill]:[C4 re-use]])</f>
        <v>0</v>
      </c>
      <c r="AF271" s="322">
        <f>IFERROR(VLOOKUP(Calculations[[#This Row],[Material (choose from dropdown]],MaterialData[#All],8,FALSE),0)</f>
        <v>0</v>
      </c>
      <c r="AG271" s="322">
        <f>IFERROR(Calculations[[#This Row],[Total Kg]]*Calculations[[#This Row],[Seq factor]],0)</f>
        <v>0</v>
      </c>
      <c r="AI271" s="322">
        <f>Calculations[[#This Row],[A1-3]]+Calculations[[#This Row],[A4]]+Calculations[[#This Row],[A5]]+Calculations[[#This Row],[B4]]+Calculations[[#This Row],[C2 total]]+Calculations[[#This Row],[C3 total]]+Calculations[[#This Row],[C4 total]]</f>
        <v>0</v>
      </c>
      <c r="AJ271" s="2">
        <f>IFERROR(VLOOKUP(Calculations[[#This Row],[Material (choose from dropdown]],MaterialData[[#Headers],[#Data]],9,FALSE),0)</f>
        <v>0</v>
      </c>
      <c r="AK271" s="4">
        <f>IFERROR(VLOOKUP(Calculations[[#This Row],[Material (choose from dropdown]],MaterialData[[#Headers],[#Data]],10,FALSE),0)</f>
        <v>0</v>
      </c>
      <c r="AL271" s="322">
        <f>IFERROR(Calculations[[#This Row],[Data Quality Score]]*Calculations[[#This Row],[Total Kg]],0)</f>
        <v>0</v>
      </c>
    </row>
    <row r="272" spans="1:38" x14ac:dyDescent="0.3">
      <c r="A272" s="6">
        <f>IFERROR(MaterialsBoQ[[#This Row],[Scope Element]],0)</f>
        <v>0</v>
      </c>
      <c r="B272">
        <f>IFERROR(MaterialsBoQ[[#This Row],[Material ]],"")</f>
        <v>0</v>
      </c>
      <c r="C272">
        <f>IFERROR(MaterialsBoQ[[#This Row],[Unit]],"")</f>
        <v>0</v>
      </c>
      <c r="D272" s="322">
        <f>IFERROR(MaterialsBoQ[[#This Row],[Number]],0)</f>
        <v>0</v>
      </c>
      <c r="E272" s="322">
        <f>IFERROR(MaterialsBoQ[[#This Row],[Kg per unit]],0)</f>
        <v>0</v>
      </c>
      <c r="F272" s="322">
        <f>IFERROR(Calculations[[#This Row],[Number]]*Calculations[[#This Row],[Conversion factor]],0)</f>
        <v>0</v>
      </c>
      <c r="G272" s="322">
        <f>IFERROR(VLOOKUP(Calculations[[#This Row],[Material (choose from dropdown]],MaterialData[#All],7,FALSE),0)</f>
        <v>0</v>
      </c>
      <c r="H272" s="322">
        <f>Calculations[[#This Row],[Total Kg]]*Calculations[[#This Row],[Carbon Factor]]</f>
        <v>0</v>
      </c>
      <c r="I272" t="str">
        <f>IFERROR(VLOOKUP(Calculations[[#This Row],[Material (choose from dropdown]],MaterialData[#All],2,FALSE),"")</f>
        <v/>
      </c>
      <c r="J272" s="322">
        <f>IFERROR(((VLOOKUP(Calculations[[#This Row],[TransportSource]],TransportDistance[],2,FALSE)*'Stage assumptions'!$C$11)+VLOOKUP(Calculations[[#This Row],[TransportSource]],TransportDistance[],3,FALSE)*'Stage assumptions'!$C$12)*Calculations[[#This Row],[Total Kg]],0)</f>
        <v>0</v>
      </c>
      <c r="K272">
        <f>IFERROR(VLOOKUP(Calculations[[#This Row],[Material (choose from dropdown]], MaterialData[#All],3, FALSE),0)</f>
        <v>0</v>
      </c>
      <c r="L272" s="322">
        <f>IFERROR(VLOOKUP(Calculations[[#This Row],[A5type]],A5WastageRate[#All],2,FALSE)*Calculations[[#This Row],[A1-3]],0)</f>
        <v>0</v>
      </c>
      <c r="N272">
        <f>IFERROR(ROUNDUP(50/VLOOKUP(Calculations[[#This Row],[Scope Element]],B4referenceServiceLife[[Tier 2 element]:[Default Service Life]],2, FALSE)-1,0),0)</f>
        <v>0</v>
      </c>
      <c r="O272" s="322">
        <f>IFERROR((Calculations[[#This Row],[A1-3]]+Calculations[[#This Row],[A4]]+Calculations[[#This Row],[A5]]+Calculations[[#This Row],[C2 total]]+Calculations[[#This Row],[C3 total]]+Calculations[[#This Row],[C4 total]])*Calculations[[#This Row],[Replacements]],0)</f>
        <v>0</v>
      </c>
      <c r="S272" t="str">
        <f>IFERROR(VLOOKUP(Calculations[[#This Row],[Material (choose from dropdown]],MaterialData[#All],4,FALSE),"")</f>
        <v/>
      </c>
      <c r="T272" s="322" cm="1">
        <f t="array" ref="T272">IFERROR(VLOOKUP(Calculations[[#This Row],[Waste 1]],WasteScenario[#All],2,FALSE)*'Stage assumptions'!$C$225*WasteTransportMethod[Emissions Factor
kgCO2e/kg.km]*Calculations[[#This Row],[Total Kg]],0)</f>
        <v>0</v>
      </c>
      <c r="U272" s="322" cm="1">
        <f t="array" ref="U272">IFERROR(VLOOKUP(Calculations[[#This Row],[Waste 1]],WasteScenario[#All],3,FALSE)*'Stage assumptions'!$C$224*WasteTransportMethod[Emissions Factor
kgCO2e/kg.km]*Calculations[[#This Row],[Total Kg]],0)</f>
        <v>0</v>
      </c>
      <c r="V272" s="322" cm="1">
        <f t="array" ref="V272">IFERROR(VLOOKUP(Calculations[[#This Row],[Waste 1]],WasteScenario[#All],4,FALSE)*'Stage assumptions'!$C$223*WasteTransportMethod[Emissions Factor
kgCO2e/kg.km]*Calculations[[#This Row],[Total Kg]],0)</f>
        <v>0</v>
      </c>
      <c r="W272" s="322" cm="1">
        <f t="array" ref="W272">IFERROR(VLOOKUP(Calculations[[#This Row],[Waste 1]],WasteScenario[#All],5,FALSE)*'Stage assumptions'!$C$226*WasteTransportMethod[Emissions Factor
kgCO2e/kg.km]*Calculations[[#This Row],[Total Kg]],0)</f>
        <v>0</v>
      </c>
      <c r="X272" s="322">
        <f>SUM(Calculations[[#This Row],[C2 Recycle]:[C2 Reuse]])</f>
        <v>0</v>
      </c>
      <c r="Y272" t="str">
        <f>IFERROR(VLOOKUP(Calculations[[#This Row],[Material (choose from dropdown]],MaterialData[#All],5,FALSE),"")</f>
        <v/>
      </c>
      <c r="Z272" s="322">
        <f>IFERROR(((VLOOKUP(Calculations[[#This Row],[Waste type 2]],WasteDisposalEmissions[#All],2,FALSE))*Calculations[[#This Row],[Total Kg]])*VLOOKUP(Calculations[[#This Row],[Waste 1]],WasteScenario[#All],2,FALSE),0)</f>
        <v>0</v>
      </c>
      <c r="AA272" s="322">
        <f>IFERROR((VLOOKUP(Calculations[[#This Row],[Waste type 2]],WasteDisposalEmissions[#All],3,FALSE))*Calculations[[#This Row],[Total Kg]]*VLOOKUP(Calculations[[#This Row],[Waste 1]],WasteScenario[#All],3,FALSE),0)</f>
        <v>0</v>
      </c>
      <c r="AB272" s="322">
        <f>SUM(Calculations[[#This Row],[C3 recyc]:[C3 incin]])</f>
        <v>0</v>
      </c>
      <c r="AC272" s="334">
        <f>IFERROR((VLOOKUP(Calculations[[#This Row],[Waste type 2]],WasteLandfillEmissions[#All],2,FALSE))*Calculations[[#This Row],[Total Kg]]*VLOOKUP(Calculations[[#This Row],[Waste 1]],WasteScenario[#All],4,FALSE),0)</f>
        <v>0</v>
      </c>
      <c r="AD272" s="322">
        <f>IFERROR((VLOOKUP(Calculations[[#This Row],[Waste type 2]],WasteLandfillEmissions[#All],3,FALSE))*Calculations[[#This Row],[Total Kg]]*VLOOKUP(Calculations[[#This Row],[Waste 1]],WasteScenario[#All],4,FALSE),0)</f>
        <v>0</v>
      </c>
      <c r="AE272" s="322">
        <f>SUM(Calculations[[#This Row],[C4 landfill]:[C4 re-use]])</f>
        <v>0</v>
      </c>
      <c r="AF272" s="322">
        <f>IFERROR(VLOOKUP(Calculations[[#This Row],[Material (choose from dropdown]],MaterialData[#All],8,FALSE),0)</f>
        <v>0</v>
      </c>
      <c r="AG272" s="322">
        <f>IFERROR(Calculations[[#This Row],[Total Kg]]*Calculations[[#This Row],[Seq factor]],0)</f>
        <v>0</v>
      </c>
      <c r="AI272" s="322">
        <f>Calculations[[#This Row],[A1-3]]+Calculations[[#This Row],[A4]]+Calculations[[#This Row],[A5]]+Calculations[[#This Row],[B4]]+Calculations[[#This Row],[C2 total]]+Calculations[[#This Row],[C3 total]]+Calculations[[#This Row],[C4 total]]</f>
        <v>0</v>
      </c>
      <c r="AJ272" s="2">
        <f>IFERROR(VLOOKUP(Calculations[[#This Row],[Material (choose from dropdown]],MaterialData[[#Headers],[#Data]],9,FALSE),0)</f>
        <v>0</v>
      </c>
      <c r="AK272" s="4">
        <f>IFERROR(VLOOKUP(Calculations[[#This Row],[Material (choose from dropdown]],MaterialData[[#Headers],[#Data]],10,FALSE),0)</f>
        <v>0</v>
      </c>
      <c r="AL272" s="322">
        <f>IFERROR(Calculations[[#This Row],[Data Quality Score]]*Calculations[[#This Row],[Total Kg]],0)</f>
        <v>0</v>
      </c>
    </row>
    <row r="273" spans="1:38" x14ac:dyDescent="0.3">
      <c r="A273" s="6">
        <f>IFERROR(MaterialsBoQ[[#This Row],[Scope Element]],0)</f>
        <v>0</v>
      </c>
      <c r="B273">
        <f>IFERROR(MaterialsBoQ[[#This Row],[Material ]],"")</f>
        <v>0</v>
      </c>
      <c r="C273">
        <f>IFERROR(MaterialsBoQ[[#This Row],[Unit]],"")</f>
        <v>0</v>
      </c>
      <c r="D273" s="322">
        <f>IFERROR(MaterialsBoQ[[#This Row],[Number]],0)</f>
        <v>0</v>
      </c>
      <c r="E273" s="322">
        <f>IFERROR(MaterialsBoQ[[#This Row],[Kg per unit]],0)</f>
        <v>0</v>
      </c>
      <c r="F273" s="322">
        <f>IFERROR(Calculations[[#This Row],[Number]]*Calculations[[#This Row],[Conversion factor]],0)</f>
        <v>0</v>
      </c>
      <c r="G273" s="322">
        <f>IFERROR(VLOOKUP(Calculations[[#This Row],[Material (choose from dropdown]],MaterialData[#All],7,FALSE),0)</f>
        <v>0</v>
      </c>
      <c r="H273" s="322">
        <f>Calculations[[#This Row],[Total Kg]]*Calculations[[#This Row],[Carbon Factor]]</f>
        <v>0</v>
      </c>
      <c r="I273" t="str">
        <f>IFERROR(VLOOKUP(Calculations[[#This Row],[Material (choose from dropdown]],MaterialData[#All],2,FALSE),"")</f>
        <v/>
      </c>
      <c r="J273" s="322">
        <f>IFERROR(((VLOOKUP(Calculations[[#This Row],[TransportSource]],TransportDistance[],2,FALSE)*'Stage assumptions'!$C$11)+VLOOKUP(Calculations[[#This Row],[TransportSource]],TransportDistance[],3,FALSE)*'Stage assumptions'!$C$12)*Calculations[[#This Row],[Total Kg]],0)</f>
        <v>0</v>
      </c>
      <c r="K273">
        <f>IFERROR(VLOOKUP(Calculations[[#This Row],[Material (choose from dropdown]], MaterialData[#All],3, FALSE),0)</f>
        <v>0</v>
      </c>
      <c r="L273" s="322">
        <f>IFERROR(VLOOKUP(Calculations[[#This Row],[A5type]],A5WastageRate[#All],2,FALSE)*Calculations[[#This Row],[A1-3]],0)</f>
        <v>0</v>
      </c>
      <c r="N273">
        <f>IFERROR(ROUNDUP(50/VLOOKUP(Calculations[[#This Row],[Scope Element]],B4referenceServiceLife[[Tier 2 element]:[Default Service Life]],2, FALSE)-1,0),0)</f>
        <v>0</v>
      </c>
      <c r="O273" s="322">
        <f>IFERROR((Calculations[[#This Row],[A1-3]]+Calculations[[#This Row],[A4]]+Calculations[[#This Row],[A5]]+Calculations[[#This Row],[C2 total]]+Calculations[[#This Row],[C3 total]]+Calculations[[#This Row],[C4 total]])*Calculations[[#This Row],[Replacements]],0)</f>
        <v>0</v>
      </c>
      <c r="S273" t="str">
        <f>IFERROR(VLOOKUP(Calculations[[#This Row],[Material (choose from dropdown]],MaterialData[#All],4,FALSE),"")</f>
        <v/>
      </c>
      <c r="T273" s="322" cm="1">
        <f t="array" ref="T273">IFERROR(VLOOKUP(Calculations[[#This Row],[Waste 1]],WasteScenario[#All],2,FALSE)*'Stage assumptions'!$C$225*WasteTransportMethod[Emissions Factor
kgCO2e/kg.km]*Calculations[[#This Row],[Total Kg]],0)</f>
        <v>0</v>
      </c>
      <c r="U273" s="322" cm="1">
        <f t="array" ref="U273">IFERROR(VLOOKUP(Calculations[[#This Row],[Waste 1]],WasteScenario[#All],3,FALSE)*'Stage assumptions'!$C$224*WasteTransportMethod[Emissions Factor
kgCO2e/kg.km]*Calculations[[#This Row],[Total Kg]],0)</f>
        <v>0</v>
      </c>
      <c r="V273" s="322" cm="1">
        <f t="array" ref="V273">IFERROR(VLOOKUP(Calculations[[#This Row],[Waste 1]],WasteScenario[#All],4,FALSE)*'Stage assumptions'!$C$223*WasteTransportMethod[Emissions Factor
kgCO2e/kg.km]*Calculations[[#This Row],[Total Kg]],0)</f>
        <v>0</v>
      </c>
      <c r="W273" s="322" cm="1">
        <f t="array" ref="W273">IFERROR(VLOOKUP(Calculations[[#This Row],[Waste 1]],WasteScenario[#All],5,FALSE)*'Stage assumptions'!$C$226*WasteTransportMethod[Emissions Factor
kgCO2e/kg.km]*Calculations[[#This Row],[Total Kg]],0)</f>
        <v>0</v>
      </c>
      <c r="X273" s="322">
        <f>SUM(Calculations[[#This Row],[C2 Recycle]:[C2 Reuse]])</f>
        <v>0</v>
      </c>
      <c r="Y273" t="str">
        <f>IFERROR(VLOOKUP(Calculations[[#This Row],[Material (choose from dropdown]],MaterialData[#All],5,FALSE),"")</f>
        <v/>
      </c>
      <c r="Z273" s="322">
        <f>IFERROR(((VLOOKUP(Calculations[[#This Row],[Waste type 2]],WasteDisposalEmissions[#All],2,FALSE))*Calculations[[#This Row],[Total Kg]])*VLOOKUP(Calculations[[#This Row],[Waste 1]],WasteScenario[#All],2,FALSE),0)</f>
        <v>0</v>
      </c>
      <c r="AA273" s="322">
        <f>IFERROR((VLOOKUP(Calculations[[#This Row],[Waste type 2]],WasteDisposalEmissions[#All],3,FALSE))*Calculations[[#This Row],[Total Kg]]*VLOOKUP(Calculations[[#This Row],[Waste 1]],WasteScenario[#All],3,FALSE),0)</f>
        <v>0</v>
      </c>
      <c r="AB273" s="322">
        <f>SUM(Calculations[[#This Row],[C3 recyc]:[C3 incin]])</f>
        <v>0</v>
      </c>
      <c r="AC273" s="334">
        <f>IFERROR((VLOOKUP(Calculations[[#This Row],[Waste type 2]],WasteLandfillEmissions[#All],2,FALSE))*Calculations[[#This Row],[Total Kg]]*VLOOKUP(Calculations[[#This Row],[Waste 1]],WasteScenario[#All],4,FALSE),0)</f>
        <v>0</v>
      </c>
      <c r="AD273" s="322">
        <f>IFERROR((VLOOKUP(Calculations[[#This Row],[Waste type 2]],WasteLandfillEmissions[#All],3,FALSE))*Calculations[[#This Row],[Total Kg]]*VLOOKUP(Calculations[[#This Row],[Waste 1]],WasteScenario[#All],4,FALSE),0)</f>
        <v>0</v>
      </c>
      <c r="AE273" s="322">
        <f>SUM(Calculations[[#This Row],[C4 landfill]:[C4 re-use]])</f>
        <v>0</v>
      </c>
      <c r="AF273" s="322">
        <f>IFERROR(VLOOKUP(Calculations[[#This Row],[Material (choose from dropdown]],MaterialData[#All],8,FALSE),0)</f>
        <v>0</v>
      </c>
      <c r="AG273" s="322">
        <f>IFERROR(Calculations[[#This Row],[Total Kg]]*Calculations[[#This Row],[Seq factor]],0)</f>
        <v>0</v>
      </c>
      <c r="AI273" s="322">
        <f>Calculations[[#This Row],[A1-3]]+Calculations[[#This Row],[A4]]+Calculations[[#This Row],[A5]]+Calculations[[#This Row],[B4]]+Calculations[[#This Row],[C2 total]]+Calculations[[#This Row],[C3 total]]+Calculations[[#This Row],[C4 total]]</f>
        <v>0</v>
      </c>
      <c r="AJ273" s="2">
        <f>IFERROR(VLOOKUP(Calculations[[#This Row],[Material (choose from dropdown]],MaterialData[[#Headers],[#Data]],9,FALSE),0)</f>
        <v>0</v>
      </c>
      <c r="AK273" s="4">
        <f>IFERROR(VLOOKUP(Calculations[[#This Row],[Material (choose from dropdown]],MaterialData[[#Headers],[#Data]],10,FALSE),0)</f>
        <v>0</v>
      </c>
      <c r="AL273" s="322">
        <f>IFERROR(Calculations[[#This Row],[Data Quality Score]]*Calculations[[#This Row],[Total Kg]],0)</f>
        <v>0</v>
      </c>
    </row>
    <row r="274" spans="1:38" x14ac:dyDescent="0.3">
      <c r="A274" s="6">
        <f>IFERROR(MaterialsBoQ[[#This Row],[Scope Element]],0)</f>
        <v>0</v>
      </c>
      <c r="B274">
        <f>IFERROR(MaterialsBoQ[[#This Row],[Material ]],"")</f>
        <v>0</v>
      </c>
      <c r="C274">
        <f>IFERROR(MaterialsBoQ[[#This Row],[Unit]],"")</f>
        <v>0</v>
      </c>
      <c r="D274" s="322">
        <f>IFERROR(MaterialsBoQ[[#This Row],[Number]],0)</f>
        <v>0</v>
      </c>
      <c r="E274" s="322">
        <f>IFERROR(MaterialsBoQ[[#This Row],[Kg per unit]],0)</f>
        <v>0</v>
      </c>
      <c r="F274" s="322">
        <f>IFERROR(Calculations[[#This Row],[Number]]*Calculations[[#This Row],[Conversion factor]],0)</f>
        <v>0</v>
      </c>
      <c r="G274" s="322">
        <f>IFERROR(VLOOKUP(Calculations[[#This Row],[Material (choose from dropdown]],MaterialData[#All],7,FALSE),0)</f>
        <v>0</v>
      </c>
      <c r="H274" s="322">
        <f>Calculations[[#This Row],[Total Kg]]*Calculations[[#This Row],[Carbon Factor]]</f>
        <v>0</v>
      </c>
      <c r="I274" t="str">
        <f>IFERROR(VLOOKUP(Calculations[[#This Row],[Material (choose from dropdown]],MaterialData[#All],2,FALSE),"")</f>
        <v/>
      </c>
      <c r="J274" s="322">
        <f>IFERROR(((VLOOKUP(Calculations[[#This Row],[TransportSource]],TransportDistance[],2,FALSE)*'Stage assumptions'!$C$11)+VLOOKUP(Calculations[[#This Row],[TransportSource]],TransportDistance[],3,FALSE)*'Stage assumptions'!$C$12)*Calculations[[#This Row],[Total Kg]],0)</f>
        <v>0</v>
      </c>
      <c r="K274">
        <f>IFERROR(VLOOKUP(Calculations[[#This Row],[Material (choose from dropdown]], MaterialData[#All],3, FALSE),0)</f>
        <v>0</v>
      </c>
      <c r="L274" s="322">
        <f>IFERROR(VLOOKUP(Calculations[[#This Row],[A5type]],A5WastageRate[#All],2,FALSE)*Calculations[[#This Row],[A1-3]],0)</f>
        <v>0</v>
      </c>
      <c r="N274">
        <f>IFERROR(ROUNDUP(50/VLOOKUP(Calculations[[#This Row],[Scope Element]],B4referenceServiceLife[[Tier 2 element]:[Default Service Life]],2, FALSE)-1,0),0)</f>
        <v>0</v>
      </c>
      <c r="O274" s="322">
        <f>IFERROR((Calculations[[#This Row],[A1-3]]+Calculations[[#This Row],[A4]]+Calculations[[#This Row],[A5]]+Calculations[[#This Row],[C2 total]]+Calculations[[#This Row],[C3 total]]+Calculations[[#This Row],[C4 total]])*Calculations[[#This Row],[Replacements]],0)</f>
        <v>0</v>
      </c>
      <c r="S274" t="str">
        <f>IFERROR(VLOOKUP(Calculations[[#This Row],[Material (choose from dropdown]],MaterialData[#All],4,FALSE),"")</f>
        <v/>
      </c>
      <c r="T274" s="322" cm="1">
        <f t="array" ref="T274">IFERROR(VLOOKUP(Calculations[[#This Row],[Waste 1]],WasteScenario[#All],2,FALSE)*'Stage assumptions'!$C$225*WasteTransportMethod[Emissions Factor
kgCO2e/kg.km]*Calculations[[#This Row],[Total Kg]],0)</f>
        <v>0</v>
      </c>
      <c r="U274" s="322" cm="1">
        <f t="array" ref="U274">IFERROR(VLOOKUP(Calculations[[#This Row],[Waste 1]],WasteScenario[#All],3,FALSE)*'Stage assumptions'!$C$224*WasteTransportMethod[Emissions Factor
kgCO2e/kg.km]*Calculations[[#This Row],[Total Kg]],0)</f>
        <v>0</v>
      </c>
      <c r="V274" s="322" cm="1">
        <f t="array" ref="V274">IFERROR(VLOOKUP(Calculations[[#This Row],[Waste 1]],WasteScenario[#All],4,FALSE)*'Stage assumptions'!$C$223*WasteTransportMethod[Emissions Factor
kgCO2e/kg.km]*Calculations[[#This Row],[Total Kg]],0)</f>
        <v>0</v>
      </c>
      <c r="W274" s="322" cm="1">
        <f t="array" ref="W274">IFERROR(VLOOKUP(Calculations[[#This Row],[Waste 1]],WasteScenario[#All],5,FALSE)*'Stage assumptions'!$C$226*WasteTransportMethod[Emissions Factor
kgCO2e/kg.km]*Calculations[[#This Row],[Total Kg]],0)</f>
        <v>0</v>
      </c>
      <c r="X274" s="322">
        <f>SUM(Calculations[[#This Row],[C2 Recycle]:[C2 Reuse]])</f>
        <v>0</v>
      </c>
      <c r="Y274" t="str">
        <f>IFERROR(VLOOKUP(Calculations[[#This Row],[Material (choose from dropdown]],MaterialData[#All],5,FALSE),"")</f>
        <v/>
      </c>
      <c r="Z274" s="322">
        <f>IFERROR(((VLOOKUP(Calculations[[#This Row],[Waste type 2]],WasteDisposalEmissions[#All],2,FALSE))*Calculations[[#This Row],[Total Kg]])*VLOOKUP(Calculations[[#This Row],[Waste 1]],WasteScenario[#All],2,FALSE),0)</f>
        <v>0</v>
      </c>
      <c r="AA274" s="322">
        <f>IFERROR((VLOOKUP(Calculations[[#This Row],[Waste type 2]],WasteDisposalEmissions[#All],3,FALSE))*Calculations[[#This Row],[Total Kg]]*VLOOKUP(Calculations[[#This Row],[Waste 1]],WasteScenario[#All],3,FALSE),0)</f>
        <v>0</v>
      </c>
      <c r="AB274" s="322">
        <f>SUM(Calculations[[#This Row],[C3 recyc]:[C3 incin]])</f>
        <v>0</v>
      </c>
      <c r="AC274" s="334">
        <f>IFERROR((VLOOKUP(Calculations[[#This Row],[Waste type 2]],WasteLandfillEmissions[#All],2,FALSE))*Calculations[[#This Row],[Total Kg]]*VLOOKUP(Calculations[[#This Row],[Waste 1]],WasteScenario[#All],4,FALSE),0)</f>
        <v>0</v>
      </c>
      <c r="AD274" s="322">
        <f>IFERROR((VLOOKUP(Calculations[[#This Row],[Waste type 2]],WasteLandfillEmissions[#All],3,FALSE))*Calculations[[#This Row],[Total Kg]]*VLOOKUP(Calculations[[#This Row],[Waste 1]],WasteScenario[#All],4,FALSE),0)</f>
        <v>0</v>
      </c>
      <c r="AE274" s="322">
        <f>SUM(Calculations[[#This Row],[C4 landfill]:[C4 re-use]])</f>
        <v>0</v>
      </c>
      <c r="AF274" s="322">
        <f>IFERROR(VLOOKUP(Calculations[[#This Row],[Material (choose from dropdown]],MaterialData[#All],8,FALSE),0)</f>
        <v>0</v>
      </c>
      <c r="AG274" s="322">
        <f>IFERROR(Calculations[[#This Row],[Total Kg]]*Calculations[[#This Row],[Seq factor]],0)</f>
        <v>0</v>
      </c>
      <c r="AI274" s="322">
        <f>Calculations[[#This Row],[A1-3]]+Calculations[[#This Row],[A4]]+Calculations[[#This Row],[A5]]+Calculations[[#This Row],[B4]]+Calculations[[#This Row],[C2 total]]+Calculations[[#This Row],[C3 total]]+Calculations[[#This Row],[C4 total]]</f>
        <v>0</v>
      </c>
      <c r="AJ274" s="2">
        <f>IFERROR(VLOOKUP(Calculations[[#This Row],[Material (choose from dropdown]],MaterialData[[#Headers],[#Data]],9,FALSE),0)</f>
        <v>0</v>
      </c>
      <c r="AK274" s="4">
        <f>IFERROR(VLOOKUP(Calculations[[#This Row],[Material (choose from dropdown]],MaterialData[[#Headers],[#Data]],10,FALSE),0)</f>
        <v>0</v>
      </c>
      <c r="AL274" s="322">
        <f>IFERROR(Calculations[[#This Row],[Data Quality Score]]*Calculations[[#This Row],[Total Kg]],0)</f>
        <v>0</v>
      </c>
    </row>
    <row r="275" spans="1:38" x14ac:dyDescent="0.3">
      <c r="A275" s="6">
        <f>IFERROR(MaterialsBoQ[[#This Row],[Scope Element]],0)</f>
        <v>0</v>
      </c>
      <c r="B275">
        <f>IFERROR(MaterialsBoQ[[#This Row],[Material ]],"")</f>
        <v>0</v>
      </c>
      <c r="C275">
        <f>IFERROR(MaterialsBoQ[[#This Row],[Unit]],"")</f>
        <v>0</v>
      </c>
      <c r="D275" s="322">
        <f>IFERROR(MaterialsBoQ[[#This Row],[Number]],0)</f>
        <v>0</v>
      </c>
      <c r="E275" s="322">
        <f>IFERROR(MaterialsBoQ[[#This Row],[Kg per unit]],0)</f>
        <v>0</v>
      </c>
      <c r="F275" s="322">
        <f>IFERROR(Calculations[[#This Row],[Number]]*Calculations[[#This Row],[Conversion factor]],0)</f>
        <v>0</v>
      </c>
      <c r="G275" s="322">
        <f>IFERROR(VLOOKUP(Calculations[[#This Row],[Material (choose from dropdown]],MaterialData[#All],7,FALSE),0)</f>
        <v>0</v>
      </c>
      <c r="H275" s="322">
        <f>Calculations[[#This Row],[Total Kg]]*Calculations[[#This Row],[Carbon Factor]]</f>
        <v>0</v>
      </c>
      <c r="I275" t="str">
        <f>IFERROR(VLOOKUP(Calculations[[#This Row],[Material (choose from dropdown]],MaterialData[#All],2,FALSE),"")</f>
        <v/>
      </c>
      <c r="J275" s="322">
        <f>IFERROR(((VLOOKUP(Calculations[[#This Row],[TransportSource]],TransportDistance[],2,FALSE)*'Stage assumptions'!$C$11)+VLOOKUP(Calculations[[#This Row],[TransportSource]],TransportDistance[],3,FALSE)*'Stage assumptions'!$C$12)*Calculations[[#This Row],[Total Kg]],0)</f>
        <v>0</v>
      </c>
      <c r="K275">
        <f>IFERROR(VLOOKUP(Calculations[[#This Row],[Material (choose from dropdown]], MaterialData[#All],3, FALSE),0)</f>
        <v>0</v>
      </c>
      <c r="L275" s="322">
        <f>IFERROR(VLOOKUP(Calculations[[#This Row],[A5type]],A5WastageRate[#All],2,FALSE)*Calculations[[#This Row],[A1-3]],0)</f>
        <v>0</v>
      </c>
      <c r="N275">
        <f>IFERROR(ROUNDUP(50/VLOOKUP(Calculations[[#This Row],[Scope Element]],B4referenceServiceLife[[Tier 2 element]:[Default Service Life]],2, FALSE)-1,0),0)</f>
        <v>0</v>
      </c>
      <c r="O275" s="322">
        <f>IFERROR((Calculations[[#This Row],[A1-3]]+Calculations[[#This Row],[A4]]+Calculations[[#This Row],[A5]]+Calculations[[#This Row],[C2 total]]+Calculations[[#This Row],[C3 total]]+Calculations[[#This Row],[C4 total]])*Calculations[[#This Row],[Replacements]],0)</f>
        <v>0</v>
      </c>
      <c r="S275" t="str">
        <f>IFERROR(VLOOKUP(Calculations[[#This Row],[Material (choose from dropdown]],MaterialData[#All],4,FALSE),"")</f>
        <v/>
      </c>
      <c r="T275" s="322" cm="1">
        <f t="array" ref="T275">IFERROR(VLOOKUP(Calculations[[#This Row],[Waste 1]],WasteScenario[#All],2,FALSE)*'Stage assumptions'!$C$225*WasteTransportMethod[Emissions Factor
kgCO2e/kg.km]*Calculations[[#This Row],[Total Kg]],0)</f>
        <v>0</v>
      </c>
      <c r="U275" s="322" cm="1">
        <f t="array" ref="U275">IFERROR(VLOOKUP(Calculations[[#This Row],[Waste 1]],WasteScenario[#All],3,FALSE)*'Stage assumptions'!$C$224*WasteTransportMethod[Emissions Factor
kgCO2e/kg.km]*Calculations[[#This Row],[Total Kg]],0)</f>
        <v>0</v>
      </c>
      <c r="V275" s="322" cm="1">
        <f t="array" ref="V275">IFERROR(VLOOKUP(Calculations[[#This Row],[Waste 1]],WasteScenario[#All],4,FALSE)*'Stage assumptions'!$C$223*WasteTransportMethod[Emissions Factor
kgCO2e/kg.km]*Calculations[[#This Row],[Total Kg]],0)</f>
        <v>0</v>
      </c>
      <c r="W275" s="322" cm="1">
        <f t="array" ref="W275">IFERROR(VLOOKUP(Calculations[[#This Row],[Waste 1]],WasteScenario[#All],5,FALSE)*'Stage assumptions'!$C$226*WasteTransportMethod[Emissions Factor
kgCO2e/kg.km]*Calculations[[#This Row],[Total Kg]],0)</f>
        <v>0</v>
      </c>
      <c r="X275" s="322">
        <f>SUM(Calculations[[#This Row],[C2 Recycle]:[C2 Reuse]])</f>
        <v>0</v>
      </c>
      <c r="Y275" t="str">
        <f>IFERROR(VLOOKUP(Calculations[[#This Row],[Material (choose from dropdown]],MaterialData[#All],5,FALSE),"")</f>
        <v/>
      </c>
      <c r="Z275" s="322">
        <f>IFERROR(((VLOOKUP(Calculations[[#This Row],[Waste type 2]],WasteDisposalEmissions[#All],2,FALSE))*Calculations[[#This Row],[Total Kg]])*VLOOKUP(Calculations[[#This Row],[Waste 1]],WasteScenario[#All],2,FALSE),0)</f>
        <v>0</v>
      </c>
      <c r="AA275" s="322">
        <f>IFERROR((VLOOKUP(Calculations[[#This Row],[Waste type 2]],WasteDisposalEmissions[#All],3,FALSE))*Calculations[[#This Row],[Total Kg]]*VLOOKUP(Calculations[[#This Row],[Waste 1]],WasteScenario[#All],3,FALSE),0)</f>
        <v>0</v>
      </c>
      <c r="AB275" s="322">
        <f>SUM(Calculations[[#This Row],[C3 recyc]:[C3 incin]])</f>
        <v>0</v>
      </c>
      <c r="AC275" s="334">
        <f>IFERROR((VLOOKUP(Calculations[[#This Row],[Waste type 2]],WasteLandfillEmissions[#All],2,FALSE))*Calculations[[#This Row],[Total Kg]]*VLOOKUP(Calculations[[#This Row],[Waste 1]],WasteScenario[#All],4,FALSE),0)</f>
        <v>0</v>
      </c>
      <c r="AD275" s="322">
        <f>IFERROR((VLOOKUP(Calculations[[#This Row],[Waste type 2]],WasteLandfillEmissions[#All],3,FALSE))*Calculations[[#This Row],[Total Kg]]*VLOOKUP(Calculations[[#This Row],[Waste 1]],WasteScenario[#All],4,FALSE),0)</f>
        <v>0</v>
      </c>
      <c r="AE275" s="322">
        <f>SUM(Calculations[[#This Row],[C4 landfill]:[C4 re-use]])</f>
        <v>0</v>
      </c>
      <c r="AF275" s="322">
        <f>IFERROR(VLOOKUP(Calculations[[#This Row],[Material (choose from dropdown]],MaterialData[#All],8,FALSE),0)</f>
        <v>0</v>
      </c>
      <c r="AG275" s="322">
        <f>IFERROR(Calculations[[#This Row],[Total Kg]]*Calculations[[#This Row],[Seq factor]],0)</f>
        <v>0</v>
      </c>
      <c r="AI275" s="322">
        <f>Calculations[[#This Row],[A1-3]]+Calculations[[#This Row],[A4]]+Calculations[[#This Row],[A5]]+Calculations[[#This Row],[B4]]+Calculations[[#This Row],[C2 total]]+Calculations[[#This Row],[C3 total]]+Calculations[[#This Row],[C4 total]]</f>
        <v>0</v>
      </c>
      <c r="AJ275" s="2">
        <f>IFERROR(VLOOKUP(Calculations[[#This Row],[Material (choose from dropdown]],MaterialData[[#Headers],[#Data]],9,FALSE),0)</f>
        <v>0</v>
      </c>
      <c r="AK275" s="4">
        <f>IFERROR(VLOOKUP(Calculations[[#This Row],[Material (choose from dropdown]],MaterialData[[#Headers],[#Data]],10,FALSE),0)</f>
        <v>0</v>
      </c>
      <c r="AL275" s="322">
        <f>IFERROR(Calculations[[#This Row],[Data Quality Score]]*Calculations[[#This Row],[Total Kg]],0)</f>
        <v>0</v>
      </c>
    </row>
    <row r="276" spans="1:38" x14ac:dyDescent="0.3">
      <c r="A276" s="6">
        <f>IFERROR(MaterialsBoQ[[#This Row],[Scope Element]],0)</f>
        <v>0</v>
      </c>
      <c r="B276">
        <f>IFERROR(MaterialsBoQ[[#This Row],[Material ]],"")</f>
        <v>0</v>
      </c>
      <c r="C276">
        <f>IFERROR(MaterialsBoQ[[#This Row],[Unit]],"")</f>
        <v>0</v>
      </c>
      <c r="D276" s="322">
        <f>IFERROR(MaterialsBoQ[[#This Row],[Number]],0)</f>
        <v>0</v>
      </c>
      <c r="E276" s="322">
        <f>IFERROR(MaterialsBoQ[[#This Row],[Kg per unit]],0)</f>
        <v>0</v>
      </c>
      <c r="F276" s="322">
        <f>IFERROR(Calculations[[#This Row],[Number]]*Calculations[[#This Row],[Conversion factor]],0)</f>
        <v>0</v>
      </c>
      <c r="G276" s="322">
        <f>IFERROR(VLOOKUP(Calculations[[#This Row],[Material (choose from dropdown]],MaterialData[#All],7,FALSE),0)</f>
        <v>0</v>
      </c>
      <c r="H276" s="322">
        <f>Calculations[[#This Row],[Total Kg]]*Calculations[[#This Row],[Carbon Factor]]</f>
        <v>0</v>
      </c>
      <c r="I276" t="str">
        <f>IFERROR(VLOOKUP(Calculations[[#This Row],[Material (choose from dropdown]],MaterialData[#All],2,FALSE),"")</f>
        <v/>
      </c>
      <c r="J276" s="322">
        <f>IFERROR(((VLOOKUP(Calculations[[#This Row],[TransportSource]],TransportDistance[],2,FALSE)*'Stage assumptions'!$C$11)+VLOOKUP(Calculations[[#This Row],[TransportSource]],TransportDistance[],3,FALSE)*'Stage assumptions'!$C$12)*Calculations[[#This Row],[Total Kg]],0)</f>
        <v>0</v>
      </c>
      <c r="K276">
        <f>IFERROR(VLOOKUP(Calculations[[#This Row],[Material (choose from dropdown]], MaterialData[#All],3, FALSE),0)</f>
        <v>0</v>
      </c>
      <c r="L276" s="322">
        <f>IFERROR(VLOOKUP(Calculations[[#This Row],[A5type]],A5WastageRate[#All],2,FALSE)*Calculations[[#This Row],[A1-3]],0)</f>
        <v>0</v>
      </c>
      <c r="N276">
        <f>IFERROR(ROUNDUP(50/VLOOKUP(Calculations[[#This Row],[Scope Element]],B4referenceServiceLife[[Tier 2 element]:[Default Service Life]],2, FALSE)-1,0),0)</f>
        <v>0</v>
      </c>
      <c r="O276" s="322">
        <f>IFERROR((Calculations[[#This Row],[A1-3]]+Calculations[[#This Row],[A4]]+Calculations[[#This Row],[A5]]+Calculations[[#This Row],[C2 total]]+Calculations[[#This Row],[C3 total]]+Calculations[[#This Row],[C4 total]])*Calculations[[#This Row],[Replacements]],0)</f>
        <v>0</v>
      </c>
      <c r="S276" t="str">
        <f>IFERROR(VLOOKUP(Calculations[[#This Row],[Material (choose from dropdown]],MaterialData[#All],4,FALSE),"")</f>
        <v/>
      </c>
      <c r="T276" s="322" cm="1">
        <f t="array" ref="T276">IFERROR(VLOOKUP(Calculations[[#This Row],[Waste 1]],WasteScenario[#All],2,FALSE)*'Stage assumptions'!$C$225*WasteTransportMethod[Emissions Factor
kgCO2e/kg.km]*Calculations[[#This Row],[Total Kg]],0)</f>
        <v>0</v>
      </c>
      <c r="U276" s="322" cm="1">
        <f t="array" ref="U276">IFERROR(VLOOKUP(Calculations[[#This Row],[Waste 1]],WasteScenario[#All],3,FALSE)*'Stage assumptions'!$C$224*WasteTransportMethod[Emissions Factor
kgCO2e/kg.km]*Calculations[[#This Row],[Total Kg]],0)</f>
        <v>0</v>
      </c>
      <c r="V276" s="322" cm="1">
        <f t="array" ref="V276">IFERROR(VLOOKUP(Calculations[[#This Row],[Waste 1]],WasteScenario[#All],4,FALSE)*'Stage assumptions'!$C$223*WasteTransportMethod[Emissions Factor
kgCO2e/kg.km]*Calculations[[#This Row],[Total Kg]],0)</f>
        <v>0</v>
      </c>
      <c r="W276" s="322" cm="1">
        <f t="array" ref="W276">IFERROR(VLOOKUP(Calculations[[#This Row],[Waste 1]],WasteScenario[#All],5,FALSE)*'Stage assumptions'!$C$226*WasteTransportMethod[Emissions Factor
kgCO2e/kg.km]*Calculations[[#This Row],[Total Kg]],0)</f>
        <v>0</v>
      </c>
      <c r="X276" s="322">
        <f>SUM(Calculations[[#This Row],[C2 Recycle]:[C2 Reuse]])</f>
        <v>0</v>
      </c>
      <c r="Y276" t="str">
        <f>IFERROR(VLOOKUP(Calculations[[#This Row],[Material (choose from dropdown]],MaterialData[#All],5,FALSE),"")</f>
        <v/>
      </c>
      <c r="Z276" s="322">
        <f>IFERROR(((VLOOKUP(Calculations[[#This Row],[Waste type 2]],WasteDisposalEmissions[#All],2,FALSE))*Calculations[[#This Row],[Total Kg]])*VLOOKUP(Calculations[[#This Row],[Waste 1]],WasteScenario[#All],2,FALSE),0)</f>
        <v>0</v>
      </c>
      <c r="AA276" s="322">
        <f>IFERROR((VLOOKUP(Calculations[[#This Row],[Waste type 2]],WasteDisposalEmissions[#All],3,FALSE))*Calculations[[#This Row],[Total Kg]]*VLOOKUP(Calculations[[#This Row],[Waste 1]],WasteScenario[#All],3,FALSE),0)</f>
        <v>0</v>
      </c>
      <c r="AB276" s="322">
        <f>SUM(Calculations[[#This Row],[C3 recyc]:[C3 incin]])</f>
        <v>0</v>
      </c>
      <c r="AC276" s="334">
        <f>IFERROR((VLOOKUP(Calculations[[#This Row],[Waste type 2]],WasteLandfillEmissions[#All],2,FALSE))*Calculations[[#This Row],[Total Kg]]*VLOOKUP(Calculations[[#This Row],[Waste 1]],WasteScenario[#All],4,FALSE),0)</f>
        <v>0</v>
      </c>
      <c r="AD276" s="322">
        <f>IFERROR((VLOOKUP(Calculations[[#This Row],[Waste type 2]],WasteLandfillEmissions[#All],3,FALSE))*Calculations[[#This Row],[Total Kg]]*VLOOKUP(Calculations[[#This Row],[Waste 1]],WasteScenario[#All],4,FALSE),0)</f>
        <v>0</v>
      </c>
      <c r="AE276" s="322">
        <f>SUM(Calculations[[#This Row],[C4 landfill]:[C4 re-use]])</f>
        <v>0</v>
      </c>
      <c r="AF276" s="322">
        <f>IFERROR(VLOOKUP(Calculations[[#This Row],[Material (choose from dropdown]],MaterialData[#All],8,FALSE),0)</f>
        <v>0</v>
      </c>
      <c r="AG276" s="322">
        <f>IFERROR(Calculations[[#This Row],[Total Kg]]*Calculations[[#This Row],[Seq factor]],0)</f>
        <v>0</v>
      </c>
      <c r="AI276" s="322">
        <f>Calculations[[#This Row],[A1-3]]+Calculations[[#This Row],[A4]]+Calculations[[#This Row],[A5]]+Calculations[[#This Row],[B4]]+Calculations[[#This Row],[C2 total]]+Calculations[[#This Row],[C3 total]]+Calculations[[#This Row],[C4 total]]</f>
        <v>0</v>
      </c>
      <c r="AJ276" s="2">
        <f>IFERROR(VLOOKUP(Calculations[[#This Row],[Material (choose from dropdown]],MaterialData[[#Headers],[#Data]],9,FALSE),0)</f>
        <v>0</v>
      </c>
      <c r="AK276" s="4">
        <f>IFERROR(VLOOKUP(Calculations[[#This Row],[Material (choose from dropdown]],MaterialData[[#Headers],[#Data]],10,FALSE),0)</f>
        <v>0</v>
      </c>
      <c r="AL276" s="322">
        <f>IFERROR(Calculations[[#This Row],[Data Quality Score]]*Calculations[[#This Row],[Total Kg]],0)</f>
        <v>0</v>
      </c>
    </row>
    <row r="277" spans="1:38" x14ac:dyDescent="0.3">
      <c r="A277" s="6">
        <f>IFERROR(MaterialsBoQ[[#This Row],[Scope Element]],0)</f>
        <v>0</v>
      </c>
      <c r="B277">
        <f>IFERROR(MaterialsBoQ[[#This Row],[Material ]],"")</f>
        <v>0</v>
      </c>
      <c r="C277">
        <f>IFERROR(MaterialsBoQ[[#This Row],[Unit]],"")</f>
        <v>0</v>
      </c>
      <c r="D277" s="322">
        <f>IFERROR(MaterialsBoQ[[#This Row],[Number]],0)</f>
        <v>0</v>
      </c>
      <c r="E277" s="322">
        <f>IFERROR(MaterialsBoQ[[#This Row],[Kg per unit]],0)</f>
        <v>0</v>
      </c>
      <c r="F277" s="322">
        <f>IFERROR(Calculations[[#This Row],[Number]]*Calculations[[#This Row],[Conversion factor]],0)</f>
        <v>0</v>
      </c>
      <c r="G277" s="322">
        <f>IFERROR(VLOOKUP(Calculations[[#This Row],[Material (choose from dropdown]],MaterialData[#All],7,FALSE),0)</f>
        <v>0</v>
      </c>
      <c r="H277" s="322">
        <f>Calculations[[#This Row],[Total Kg]]*Calculations[[#This Row],[Carbon Factor]]</f>
        <v>0</v>
      </c>
      <c r="I277" t="str">
        <f>IFERROR(VLOOKUP(Calculations[[#This Row],[Material (choose from dropdown]],MaterialData[#All],2,FALSE),"")</f>
        <v/>
      </c>
      <c r="J277" s="322">
        <f>IFERROR(((VLOOKUP(Calculations[[#This Row],[TransportSource]],TransportDistance[],2,FALSE)*'Stage assumptions'!$C$11)+VLOOKUP(Calculations[[#This Row],[TransportSource]],TransportDistance[],3,FALSE)*'Stage assumptions'!$C$12)*Calculations[[#This Row],[Total Kg]],0)</f>
        <v>0</v>
      </c>
      <c r="K277">
        <f>IFERROR(VLOOKUP(Calculations[[#This Row],[Material (choose from dropdown]], MaterialData[#All],3, FALSE),0)</f>
        <v>0</v>
      </c>
      <c r="L277" s="322">
        <f>IFERROR(VLOOKUP(Calculations[[#This Row],[A5type]],A5WastageRate[#All],2,FALSE)*Calculations[[#This Row],[A1-3]],0)</f>
        <v>0</v>
      </c>
      <c r="N277">
        <f>IFERROR(ROUNDUP(50/VLOOKUP(Calculations[[#This Row],[Scope Element]],B4referenceServiceLife[[Tier 2 element]:[Default Service Life]],2, FALSE)-1,0),0)</f>
        <v>0</v>
      </c>
      <c r="O277" s="322">
        <f>IFERROR((Calculations[[#This Row],[A1-3]]+Calculations[[#This Row],[A4]]+Calculations[[#This Row],[A5]]+Calculations[[#This Row],[C2 total]]+Calculations[[#This Row],[C3 total]]+Calculations[[#This Row],[C4 total]])*Calculations[[#This Row],[Replacements]],0)</f>
        <v>0</v>
      </c>
      <c r="S277" t="str">
        <f>IFERROR(VLOOKUP(Calculations[[#This Row],[Material (choose from dropdown]],MaterialData[#All],4,FALSE),"")</f>
        <v/>
      </c>
      <c r="T277" s="322" cm="1">
        <f t="array" ref="T277">IFERROR(VLOOKUP(Calculations[[#This Row],[Waste 1]],WasteScenario[#All],2,FALSE)*'Stage assumptions'!$C$225*WasteTransportMethod[Emissions Factor
kgCO2e/kg.km]*Calculations[[#This Row],[Total Kg]],0)</f>
        <v>0</v>
      </c>
      <c r="U277" s="322" cm="1">
        <f t="array" ref="U277">IFERROR(VLOOKUP(Calculations[[#This Row],[Waste 1]],WasteScenario[#All],3,FALSE)*'Stage assumptions'!$C$224*WasteTransportMethod[Emissions Factor
kgCO2e/kg.km]*Calculations[[#This Row],[Total Kg]],0)</f>
        <v>0</v>
      </c>
      <c r="V277" s="322" cm="1">
        <f t="array" ref="V277">IFERROR(VLOOKUP(Calculations[[#This Row],[Waste 1]],WasteScenario[#All],4,FALSE)*'Stage assumptions'!$C$223*WasteTransportMethod[Emissions Factor
kgCO2e/kg.km]*Calculations[[#This Row],[Total Kg]],0)</f>
        <v>0</v>
      </c>
      <c r="W277" s="322" cm="1">
        <f t="array" ref="W277">IFERROR(VLOOKUP(Calculations[[#This Row],[Waste 1]],WasteScenario[#All],5,FALSE)*'Stage assumptions'!$C$226*WasteTransportMethod[Emissions Factor
kgCO2e/kg.km]*Calculations[[#This Row],[Total Kg]],0)</f>
        <v>0</v>
      </c>
      <c r="X277" s="322">
        <f>SUM(Calculations[[#This Row],[C2 Recycle]:[C2 Reuse]])</f>
        <v>0</v>
      </c>
      <c r="Y277" t="str">
        <f>IFERROR(VLOOKUP(Calculations[[#This Row],[Material (choose from dropdown]],MaterialData[#All],5,FALSE),"")</f>
        <v/>
      </c>
      <c r="Z277" s="322">
        <f>IFERROR(((VLOOKUP(Calculations[[#This Row],[Waste type 2]],WasteDisposalEmissions[#All],2,FALSE))*Calculations[[#This Row],[Total Kg]])*VLOOKUP(Calculations[[#This Row],[Waste 1]],WasteScenario[#All],2,FALSE),0)</f>
        <v>0</v>
      </c>
      <c r="AA277" s="322">
        <f>IFERROR((VLOOKUP(Calculations[[#This Row],[Waste type 2]],WasteDisposalEmissions[#All],3,FALSE))*Calculations[[#This Row],[Total Kg]]*VLOOKUP(Calculations[[#This Row],[Waste 1]],WasteScenario[#All],3,FALSE),0)</f>
        <v>0</v>
      </c>
      <c r="AB277" s="322">
        <f>SUM(Calculations[[#This Row],[C3 recyc]:[C3 incin]])</f>
        <v>0</v>
      </c>
      <c r="AC277" s="334">
        <f>IFERROR((VLOOKUP(Calculations[[#This Row],[Waste type 2]],WasteLandfillEmissions[#All],2,FALSE))*Calculations[[#This Row],[Total Kg]]*VLOOKUP(Calculations[[#This Row],[Waste 1]],WasteScenario[#All],4,FALSE),0)</f>
        <v>0</v>
      </c>
      <c r="AD277" s="322">
        <f>IFERROR((VLOOKUP(Calculations[[#This Row],[Waste type 2]],WasteLandfillEmissions[#All],3,FALSE))*Calculations[[#This Row],[Total Kg]]*VLOOKUP(Calculations[[#This Row],[Waste 1]],WasteScenario[#All],4,FALSE),0)</f>
        <v>0</v>
      </c>
      <c r="AE277" s="322">
        <f>SUM(Calculations[[#This Row],[C4 landfill]:[C4 re-use]])</f>
        <v>0</v>
      </c>
      <c r="AF277" s="322">
        <f>IFERROR(VLOOKUP(Calculations[[#This Row],[Material (choose from dropdown]],MaterialData[#All],8,FALSE),0)</f>
        <v>0</v>
      </c>
      <c r="AG277" s="322">
        <f>IFERROR(Calculations[[#This Row],[Total Kg]]*Calculations[[#This Row],[Seq factor]],0)</f>
        <v>0</v>
      </c>
      <c r="AI277" s="322">
        <f>Calculations[[#This Row],[A1-3]]+Calculations[[#This Row],[A4]]+Calculations[[#This Row],[A5]]+Calculations[[#This Row],[B4]]+Calculations[[#This Row],[C2 total]]+Calculations[[#This Row],[C3 total]]+Calculations[[#This Row],[C4 total]]</f>
        <v>0</v>
      </c>
      <c r="AJ277" s="2">
        <f>IFERROR(VLOOKUP(Calculations[[#This Row],[Material (choose from dropdown]],MaterialData[[#Headers],[#Data]],9,FALSE),0)</f>
        <v>0</v>
      </c>
      <c r="AK277" s="4">
        <f>IFERROR(VLOOKUP(Calculations[[#This Row],[Material (choose from dropdown]],MaterialData[[#Headers],[#Data]],10,FALSE),0)</f>
        <v>0</v>
      </c>
      <c r="AL277" s="322">
        <f>IFERROR(Calculations[[#This Row],[Data Quality Score]]*Calculations[[#This Row],[Total Kg]],0)</f>
        <v>0</v>
      </c>
    </row>
    <row r="278" spans="1:38" x14ac:dyDescent="0.3">
      <c r="A278" s="6">
        <f>IFERROR(MaterialsBoQ[[#This Row],[Scope Element]],0)</f>
        <v>0</v>
      </c>
      <c r="B278">
        <f>IFERROR(MaterialsBoQ[[#This Row],[Material ]],"")</f>
        <v>0</v>
      </c>
      <c r="C278">
        <f>IFERROR(MaterialsBoQ[[#This Row],[Unit]],"")</f>
        <v>0</v>
      </c>
      <c r="D278" s="322">
        <f>IFERROR(MaterialsBoQ[[#This Row],[Number]],0)</f>
        <v>0</v>
      </c>
      <c r="E278" s="322">
        <f>IFERROR(MaterialsBoQ[[#This Row],[Kg per unit]],0)</f>
        <v>0</v>
      </c>
      <c r="F278" s="322">
        <f>IFERROR(Calculations[[#This Row],[Number]]*Calculations[[#This Row],[Conversion factor]],0)</f>
        <v>0</v>
      </c>
      <c r="G278" s="322">
        <f>IFERROR(VLOOKUP(Calculations[[#This Row],[Material (choose from dropdown]],MaterialData[#All],7,FALSE),0)</f>
        <v>0</v>
      </c>
      <c r="H278" s="322">
        <f>Calculations[[#This Row],[Total Kg]]*Calculations[[#This Row],[Carbon Factor]]</f>
        <v>0</v>
      </c>
      <c r="I278" t="str">
        <f>IFERROR(VLOOKUP(Calculations[[#This Row],[Material (choose from dropdown]],MaterialData[#All],2,FALSE),"")</f>
        <v/>
      </c>
      <c r="J278" s="322">
        <f>IFERROR(((VLOOKUP(Calculations[[#This Row],[TransportSource]],TransportDistance[],2,FALSE)*'Stage assumptions'!$C$11)+VLOOKUP(Calculations[[#This Row],[TransportSource]],TransportDistance[],3,FALSE)*'Stage assumptions'!$C$12)*Calculations[[#This Row],[Total Kg]],0)</f>
        <v>0</v>
      </c>
      <c r="K278">
        <f>IFERROR(VLOOKUP(Calculations[[#This Row],[Material (choose from dropdown]], MaterialData[#All],3, FALSE),0)</f>
        <v>0</v>
      </c>
      <c r="L278" s="322">
        <f>IFERROR(VLOOKUP(Calculations[[#This Row],[A5type]],A5WastageRate[#All],2,FALSE)*Calculations[[#This Row],[A1-3]],0)</f>
        <v>0</v>
      </c>
      <c r="N278">
        <f>IFERROR(ROUNDUP(50/VLOOKUP(Calculations[[#This Row],[Scope Element]],B4referenceServiceLife[[Tier 2 element]:[Default Service Life]],2, FALSE)-1,0),0)</f>
        <v>0</v>
      </c>
      <c r="O278" s="322">
        <f>IFERROR((Calculations[[#This Row],[A1-3]]+Calculations[[#This Row],[A4]]+Calculations[[#This Row],[A5]]+Calculations[[#This Row],[C2 total]]+Calculations[[#This Row],[C3 total]]+Calculations[[#This Row],[C4 total]])*Calculations[[#This Row],[Replacements]],0)</f>
        <v>0</v>
      </c>
      <c r="S278" t="str">
        <f>IFERROR(VLOOKUP(Calculations[[#This Row],[Material (choose from dropdown]],MaterialData[#All],4,FALSE),"")</f>
        <v/>
      </c>
      <c r="T278" s="322" cm="1">
        <f t="array" ref="T278">IFERROR(VLOOKUP(Calculations[[#This Row],[Waste 1]],WasteScenario[#All],2,FALSE)*'Stage assumptions'!$C$225*WasteTransportMethod[Emissions Factor
kgCO2e/kg.km]*Calculations[[#This Row],[Total Kg]],0)</f>
        <v>0</v>
      </c>
      <c r="U278" s="322" cm="1">
        <f t="array" ref="U278">IFERROR(VLOOKUP(Calculations[[#This Row],[Waste 1]],WasteScenario[#All],3,FALSE)*'Stage assumptions'!$C$224*WasteTransportMethod[Emissions Factor
kgCO2e/kg.km]*Calculations[[#This Row],[Total Kg]],0)</f>
        <v>0</v>
      </c>
      <c r="V278" s="322" cm="1">
        <f t="array" ref="V278">IFERROR(VLOOKUP(Calculations[[#This Row],[Waste 1]],WasteScenario[#All],4,FALSE)*'Stage assumptions'!$C$223*WasteTransportMethod[Emissions Factor
kgCO2e/kg.km]*Calculations[[#This Row],[Total Kg]],0)</f>
        <v>0</v>
      </c>
      <c r="W278" s="322" cm="1">
        <f t="array" ref="W278">IFERROR(VLOOKUP(Calculations[[#This Row],[Waste 1]],WasteScenario[#All],5,FALSE)*'Stage assumptions'!$C$226*WasteTransportMethod[Emissions Factor
kgCO2e/kg.km]*Calculations[[#This Row],[Total Kg]],0)</f>
        <v>0</v>
      </c>
      <c r="X278" s="322">
        <f>SUM(Calculations[[#This Row],[C2 Recycle]:[C2 Reuse]])</f>
        <v>0</v>
      </c>
      <c r="Y278" t="str">
        <f>IFERROR(VLOOKUP(Calculations[[#This Row],[Material (choose from dropdown]],MaterialData[#All],5,FALSE),"")</f>
        <v/>
      </c>
      <c r="Z278" s="322">
        <f>IFERROR(((VLOOKUP(Calculations[[#This Row],[Waste type 2]],WasteDisposalEmissions[#All],2,FALSE))*Calculations[[#This Row],[Total Kg]])*VLOOKUP(Calculations[[#This Row],[Waste 1]],WasteScenario[#All],2,FALSE),0)</f>
        <v>0</v>
      </c>
      <c r="AA278" s="322">
        <f>IFERROR((VLOOKUP(Calculations[[#This Row],[Waste type 2]],WasteDisposalEmissions[#All],3,FALSE))*Calculations[[#This Row],[Total Kg]]*VLOOKUP(Calculations[[#This Row],[Waste 1]],WasteScenario[#All],3,FALSE),0)</f>
        <v>0</v>
      </c>
      <c r="AB278" s="322">
        <f>SUM(Calculations[[#This Row],[C3 recyc]:[C3 incin]])</f>
        <v>0</v>
      </c>
      <c r="AC278" s="334">
        <f>IFERROR((VLOOKUP(Calculations[[#This Row],[Waste type 2]],WasteLandfillEmissions[#All],2,FALSE))*Calculations[[#This Row],[Total Kg]]*VLOOKUP(Calculations[[#This Row],[Waste 1]],WasteScenario[#All],4,FALSE),0)</f>
        <v>0</v>
      </c>
      <c r="AD278" s="322">
        <f>IFERROR((VLOOKUP(Calculations[[#This Row],[Waste type 2]],WasteLandfillEmissions[#All],3,FALSE))*Calculations[[#This Row],[Total Kg]]*VLOOKUP(Calculations[[#This Row],[Waste 1]],WasteScenario[#All],4,FALSE),0)</f>
        <v>0</v>
      </c>
      <c r="AE278" s="322">
        <f>SUM(Calculations[[#This Row],[C4 landfill]:[C4 re-use]])</f>
        <v>0</v>
      </c>
      <c r="AF278" s="322">
        <f>IFERROR(VLOOKUP(Calculations[[#This Row],[Material (choose from dropdown]],MaterialData[#All],8,FALSE),0)</f>
        <v>0</v>
      </c>
      <c r="AG278" s="322">
        <f>IFERROR(Calculations[[#This Row],[Total Kg]]*Calculations[[#This Row],[Seq factor]],0)</f>
        <v>0</v>
      </c>
      <c r="AI278" s="322">
        <f>Calculations[[#This Row],[A1-3]]+Calculations[[#This Row],[A4]]+Calculations[[#This Row],[A5]]+Calculations[[#This Row],[B4]]+Calculations[[#This Row],[C2 total]]+Calculations[[#This Row],[C3 total]]+Calculations[[#This Row],[C4 total]]</f>
        <v>0</v>
      </c>
      <c r="AJ278" s="2">
        <f>IFERROR(VLOOKUP(Calculations[[#This Row],[Material (choose from dropdown]],MaterialData[[#Headers],[#Data]],9,FALSE),0)</f>
        <v>0</v>
      </c>
      <c r="AK278" s="4">
        <f>IFERROR(VLOOKUP(Calculations[[#This Row],[Material (choose from dropdown]],MaterialData[[#Headers],[#Data]],10,FALSE),0)</f>
        <v>0</v>
      </c>
      <c r="AL278" s="322">
        <f>IFERROR(Calculations[[#This Row],[Data Quality Score]]*Calculations[[#This Row],[Total Kg]],0)</f>
        <v>0</v>
      </c>
    </row>
    <row r="279" spans="1:38" x14ac:dyDescent="0.3">
      <c r="A279" s="6">
        <f>IFERROR(MaterialsBoQ[[#This Row],[Scope Element]],0)</f>
        <v>0</v>
      </c>
      <c r="B279">
        <f>IFERROR(MaterialsBoQ[[#This Row],[Material ]],"")</f>
        <v>0</v>
      </c>
      <c r="C279">
        <f>IFERROR(MaterialsBoQ[[#This Row],[Unit]],"")</f>
        <v>0</v>
      </c>
      <c r="D279" s="322">
        <f>IFERROR(MaterialsBoQ[[#This Row],[Number]],0)</f>
        <v>0</v>
      </c>
      <c r="E279" s="322">
        <f>IFERROR(MaterialsBoQ[[#This Row],[Kg per unit]],0)</f>
        <v>0</v>
      </c>
      <c r="F279" s="322">
        <f>IFERROR(Calculations[[#This Row],[Number]]*Calculations[[#This Row],[Conversion factor]],0)</f>
        <v>0</v>
      </c>
      <c r="G279" s="322">
        <f>IFERROR(VLOOKUP(Calculations[[#This Row],[Material (choose from dropdown]],MaterialData[#All],7,FALSE),0)</f>
        <v>0</v>
      </c>
      <c r="H279" s="322">
        <f>Calculations[[#This Row],[Total Kg]]*Calculations[[#This Row],[Carbon Factor]]</f>
        <v>0</v>
      </c>
      <c r="I279" t="str">
        <f>IFERROR(VLOOKUP(Calculations[[#This Row],[Material (choose from dropdown]],MaterialData[#All],2,FALSE),"")</f>
        <v/>
      </c>
      <c r="J279" s="322">
        <f>IFERROR(((VLOOKUP(Calculations[[#This Row],[TransportSource]],TransportDistance[],2,FALSE)*'Stage assumptions'!$C$11)+VLOOKUP(Calculations[[#This Row],[TransportSource]],TransportDistance[],3,FALSE)*'Stage assumptions'!$C$12)*Calculations[[#This Row],[Total Kg]],0)</f>
        <v>0</v>
      </c>
      <c r="K279">
        <f>IFERROR(VLOOKUP(Calculations[[#This Row],[Material (choose from dropdown]], MaterialData[#All],3, FALSE),0)</f>
        <v>0</v>
      </c>
      <c r="L279" s="322">
        <f>IFERROR(VLOOKUP(Calculations[[#This Row],[A5type]],A5WastageRate[#All],2,FALSE)*Calculations[[#This Row],[A1-3]],0)</f>
        <v>0</v>
      </c>
      <c r="N279">
        <f>IFERROR(ROUNDUP(50/VLOOKUP(Calculations[[#This Row],[Scope Element]],B4referenceServiceLife[[Tier 2 element]:[Default Service Life]],2, FALSE)-1,0),0)</f>
        <v>0</v>
      </c>
      <c r="O279" s="322">
        <f>IFERROR((Calculations[[#This Row],[A1-3]]+Calculations[[#This Row],[A4]]+Calculations[[#This Row],[A5]]+Calculations[[#This Row],[C2 total]]+Calculations[[#This Row],[C3 total]]+Calculations[[#This Row],[C4 total]])*Calculations[[#This Row],[Replacements]],0)</f>
        <v>0</v>
      </c>
      <c r="S279" t="str">
        <f>IFERROR(VLOOKUP(Calculations[[#This Row],[Material (choose from dropdown]],MaterialData[#All],4,FALSE),"")</f>
        <v/>
      </c>
      <c r="T279" s="322" cm="1">
        <f t="array" ref="T279">IFERROR(VLOOKUP(Calculations[[#This Row],[Waste 1]],WasteScenario[#All],2,FALSE)*'Stage assumptions'!$C$225*WasteTransportMethod[Emissions Factor
kgCO2e/kg.km]*Calculations[[#This Row],[Total Kg]],0)</f>
        <v>0</v>
      </c>
      <c r="U279" s="322" cm="1">
        <f t="array" ref="U279">IFERROR(VLOOKUP(Calculations[[#This Row],[Waste 1]],WasteScenario[#All],3,FALSE)*'Stage assumptions'!$C$224*WasteTransportMethod[Emissions Factor
kgCO2e/kg.km]*Calculations[[#This Row],[Total Kg]],0)</f>
        <v>0</v>
      </c>
      <c r="V279" s="322" cm="1">
        <f t="array" ref="V279">IFERROR(VLOOKUP(Calculations[[#This Row],[Waste 1]],WasteScenario[#All],4,FALSE)*'Stage assumptions'!$C$223*WasteTransportMethod[Emissions Factor
kgCO2e/kg.km]*Calculations[[#This Row],[Total Kg]],0)</f>
        <v>0</v>
      </c>
      <c r="W279" s="322" cm="1">
        <f t="array" ref="W279">IFERROR(VLOOKUP(Calculations[[#This Row],[Waste 1]],WasteScenario[#All],5,FALSE)*'Stage assumptions'!$C$226*WasteTransportMethod[Emissions Factor
kgCO2e/kg.km]*Calculations[[#This Row],[Total Kg]],0)</f>
        <v>0</v>
      </c>
      <c r="X279" s="322">
        <f>SUM(Calculations[[#This Row],[C2 Recycle]:[C2 Reuse]])</f>
        <v>0</v>
      </c>
      <c r="Y279" t="str">
        <f>IFERROR(VLOOKUP(Calculations[[#This Row],[Material (choose from dropdown]],MaterialData[#All],5,FALSE),"")</f>
        <v/>
      </c>
      <c r="Z279" s="322">
        <f>IFERROR(((VLOOKUP(Calculations[[#This Row],[Waste type 2]],WasteDisposalEmissions[#All],2,FALSE))*Calculations[[#This Row],[Total Kg]])*VLOOKUP(Calculations[[#This Row],[Waste 1]],WasteScenario[#All],2,FALSE),0)</f>
        <v>0</v>
      </c>
      <c r="AA279" s="322">
        <f>IFERROR((VLOOKUP(Calculations[[#This Row],[Waste type 2]],WasteDisposalEmissions[#All],3,FALSE))*Calculations[[#This Row],[Total Kg]]*VLOOKUP(Calculations[[#This Row],[Waste 1]],WasteScenario[#All],3,FALSE),0)</f>
        <v>0</v>
      </c>
      <c r="AB279" s="322">
        <f>SUM(Calculations[[#This Row],[C3 recyc]:[C3 incin]])</f>
        <v>0</v>
      </c>
      <c r="AC279" s="334">
        <f>IFERROR((VLOOKUP(Calculations[[#This Row],[Waste type 2]],WasteLandfillEmissions[#All],2,FALSE))*Calculations[[#This Row],[Total Kg]]*VLOOKUP(Calculations[[#This Row],[Waste 1]],WasteScenario[#All],4,FALSE),0)</f>
        <v>0</v>
      </c>
      <c r="AD279" s="322">
        <f>IFERROR((VLOOKUP(Calculations[[#This Row],[Waste type 2]],WasteLandfillEmissions[#All],3,FALSE))*Calculations[[#This Row],[Total Kg]]*VLOOKUP(Calculations[[#This Row],[Waste 1]],WasteScenario[#All],4,FALSE),0)</f>
        <v>0</v>
      </c>
      <c r="AE279" s="322">
        <f>SUM(Calculations[[#This Row],[C4 landfill]:[C4 re-use]])</f>
        <v>0</v>
      </c>
      <c r="AF279" s="322">
        <f>IFERROR(VLOOKUP(Calculations[[#This Row],[Material (choose from dropdown]],MaterialData[#All],8,FALSE),0)</f>
        <v>0</v>
      </c>
      <c r="AG279" s="322">
        <f>IFERROR(Calculations[[#This Row],[Total Kg]]*Calculations[[#This Row],[Seq factor]],0)</f>
        <v>0</v>
      </c>
      <c r="AI279" s="322">
        <f>Calculations[[#This Row],[A1-3]]+Calculations[[#This Row],[A4]]+Calculations[[#This Row],[A5]]+Calculations[[#This Row],[B4]]+Calculations[[#This Row],[C2 total]]+Calculations[[#This Row],[C3 total]]+Calculations[[#This Row],[C4 total]]</f>
        <v>0</v>
      </c>
      <c r="AJ279" s="2">
        <f>IFERROR(VLOOKUP(Calculations[[#This Row],[Material (choose from dropdown]],MaterialData[[#Headers],[#Data]],9,FALSE),0)</f>
        <v>0</v>
      </c>
      <c r="AK279" s="4">
        <f>IFERROR(VLOOKUP(Calculations[[#This Row],[Material (choose from dropdown]],MaterialData[[#Headers],[#Data]],10,FALSE),0)</f>
        <v>0</v>
      </c>
      <c r="AL279" s="322">
        <f>IFERROR(Calculations[[#This Row],[Data Quality Score]]*Calculations[[#This Row],[Total Kg]],0)</f>
        <v>0</v>
      </c>
    </row>
    <row r="280" spans="1:38" x14ac:dyDescent="0.3">
      <c r="A280" s="6">
        <f>IFERROR(MaterialsBoQ[[#This Row],[Scope Element]],0)</f>
        <v>0</v>
      </c>
      <c r="B280">
        <f>IFERROR(MaterialsBoQ[[#This Row],[Material ]],"")</f>
        <v>0</v>
      </c>
      <c r="C280">
        <f>IFERROR(MaterialsBoQ[[#This Row],[Unit]],"")</f>
        <v>0</v>
      </c>
      <c r="D280" s="322">
        <f>IFERROR(MaterialsBoQ[[#This Row],[Number]],0)</f>
        <v>0</v>
      </c>
      <c r="E280" s="322">
        <f>IFERROR(MaterialsBoQ[[#This Row],[Kg per unit]],0)</f>
        <v>0</v>
      </c>
      <c r="F280" s="322">
        <f>IFERROR(Calculations[[#This Row],[Number]]*Calculations[[#This Row],[Conversion factor]],0)</f>
        <v>0</v>
      </c>
      <c r="G280" s="322">
        <f>IFERROR(VLOOKUP(Calculations[[#This Row],[Material (choose from dropdown]],MaterialData[#All],7,FALSE),0)</f>
        <v>0</v>
      </c>
      <c r="H280" s="322">
        <f>Calculations[[#This Row],[Total Kg]]*Calculations[[#This Row],[Carbon Factor]]</f>
        <v>0</v>
      </c>
      <c r="I280" t="str">
        <f>IFERROR(VLOOKUP(Calculations[[#This Row],[Material (choose from dropdown]],MaterialData[#All],2,FALSE),"")</f>
        <v/>
      </c>
      <c r="J280" s="322">
        <f>IFERROR(((VLOOKUP(Calculations[[#This Row],[TransportSource]],TransportDistance[],2,FALSE)*'Stage assumptions'!$C$11)+VLOOKUP(Calculations[[#This Row],[TransportSource]],TransportDistance[],3,FALSE)*'Stage assumptions'!$C$12)*Calculations[[#This Row],[Total Kg]],0)</f>
        <v>0</v>
      </c>
      <c r="K280">
        <f>IFERROR(VLOOKUP(Calculations[[#This Row],[Material (choose from dropdown]], MaterialData[#All],3, FALSE),0)</f>
        <v>0</v>
      </c>
      <c r="L280" s="322">
        <f>IFERROR(VLOOKUP(Calculations[[#This Row],[A5type]],A5WastageRate[#All],2,FALSE)*Calculations[[#This Row],[A1-3]],0)</f>
        <v>0</v>
      </c>
      <c r="N280">
        <f>IFERROR(ROUNDUP(50/VLOOKUP(Calculations[[#This Row],[Scope Element]],B4referenceServiceLife[[Tier 2 element]:[Default Service Life]],2, FALSE)-1,0),0)</f>
        <v>0</v>
      </c>
      <c r="O280" s="322">
        <f>IFERROR((Calculations[[#This Row],[A1-3]]+Calculations[[#This Row],[A4]]+Calculations[[#This Row],[A5]]+Calculations[[#This Row],[C2 total]]+Calculations[[#This Row],[C3 total]]+Calculations[[#This Row],[C4 total]])*Calculations[[#This Row],[Replacements]],0)</f>
        <v>0</v>
      </c>
      <c r="S280" t="str">
        <f>IFERROR(VLOOKUP(Calculations[[#This Row],[Material (choose from dropdown]],MaterialData[#All],4,FALSE),"")</f>
        <v/>
      </c>
      <c r="T280" s="322" cm="1">
        <f t="array" ref="T280">IFERROR(VLOOKUP(Calculations[[#This Row],[Waste 1]],WasteScenario[#All],2,FALSE)*'Stage assumptions'!$C$225*WasteTransportMethod[Emissions Factor
kgCO2e/kg.km]*Calculations[[#This Row],[Total Kg]],0)</f>
        <v>0</v>
      </c>
      <c r="U280" s="322" cm="1">
        <f t="array" ref="U280">IFERROR(VLOOKUP(Calculations[[#This Row],[Waste 1]],WasteScenario[#All],3,FALSE)*'Stage assumptions'!$C$224*WasteTransportMethod[Emissions Factor
kgCO2e/kg.km]*Calculations[[#This Row],[Total Kg]],0)</f>
        <v>0</v>
      </c>
      <c r="V280" s="322" cm="1">
        <f t="array" ref="V280">IFERROR(VLOOKUP(Calculations[[#This Row],[Waste 1]],WasteScenario[#All],4,FALSE)*'Stage assumptions'!$C$223*WasteTransportMethod[Emissions Factor
kgCO2e/kg.km]*Calculations[[#This Row],[Total Kg]],0)</f>
        <v>0</v>
      </c>
      <c r="W280" s="322" cm="1">
        <f t="array" ref="W280">IFERROR(VLOOKUP(Calculations[[#This Row],[Waste 1]],WasteScenario[#All],5,FALSE)*'Stage assumptions'!$C$226*WasteTransportMethod[Emissions Factor
kgCO2e/kg.km]*Calculations[[#This Row],[Total Kg]],0)</f>
        <v>0</v>
      </c>
      <c r="X280" s="322">
        <f>SUM(Calculations[[#This Row],[C2 Recycle]:[C2 Reuse]])</f>
        <v>0</v>
      </c>
      <c r="Y280" t="str">
        <f>IFERROR(VLOOKUP(Calculations[[#This Row],[Material (choose from dropdown]],MaterialData[#All],5,FALSE),"")</f>
        <v/>
      </c>
      <c r="Z280" s="322">
        <f>IFERROR(((VLOOKUP(Calculations[[#This Row],[Waste type 2]],WasteDisposalEmissions[#All],2,FALSE))*Calculations[[#This Row],[Total Kg]])*VLOOKUP(Calculations[[#This Row],[Waste 1]],WasteScenario[#All],2,FALSE),0)</f>
        <v>0</v>
      </c>
      <c r="AA280" s="322">
        <f>IFERROR((VLOOKUP(Calculations[[#This Row],[Waste type 2]],WasteDisposalEmissions[#All],3,FALSE))*Calculations[[#This Row],[Total Kg]]*VLOOKUP(Calculations[[#This Row],[Waste 1]],WasteScenario[#All],3,FALSE),0)</f>
        <v>0</v>
      </c>
      <c r="AB280" s="322">
        <f>SUM(Calculations[[#This Row],[C3 recyc]:[C3 incin]])</f>
        <v>0</v>
      </c>
      <c r="AC280" s="334">
        <f>IFERROR((VLOOKUP(Calculations[[#This Row],[Waste type 2]],WasteLandfillEmissions[#All],2,FALSE))*Calculations[[#This Row],[Total Kg]]*VLOOKUP(Calculations[[#This Row],[Waste 1]],WasteScenario[#All],4,FALSE),0)</f>
        <v>0</v>
      </c>
      <c r="AD280" s="322">
        <f>IFERROR((VLOOKUP(Calculations[[#This Row],[Waste type 2]],WasteLandfillEmissions[#All],3,FALSE))*Calculations[[#This Row],[Total Kg]]*VLOOKUP(Calculations[[#This Row],[Waste 1]],WasteScenario[#All],4,FALSE),0)</f>
        <v>0</v>
      </c>
      <c r="AE280" s="322">
        <f>SUM(Calculations[[#This Row],[C4 landfill]:[C4 re-use]])</f>
        <v>0</v>
      </c>
      <c r="AF280" s="322">
        <f>IFERROR(VLOOKUP(Calculations[[#This Row],[Material (choose from dropdown]],MaterialData[#All],8,FALSE),0)</f>
        <v>0</v>
      </c>
      <c r="AG280" s="322">
        <f>IFERROR(Calculations[[#This Row],[Total Kg]]*Calculations[[#This Row],[Seq factor]],0)</f>
        <v>0</v>
      </c>
      <c r="AI280" s="322">
        <f>Calculations[[#This Row],[A1-3]]+Calculations[[#This Row],[A4]]+Calculations[[#This Row],[A5]]+Calculations[[#This Row],[B4]]+Calculations[[#This Row],[C2 total]]+Calculations[[#This Row],[C3 total]]+Calculations[[#This Row],[C4 total]]</f>
        <v>0</v>
      </c>
      <c r="AJ280" s="2">
        <f>IFERROR(VLOOKUP(Calculations[[#This Row],[Material (choose from dropdown]],MaterialData[[#Headers],[#Data]],9,FALSE),0)</f>
        <v>0</v>
      </c>
      <c r="AK280" s="4">
        <f>IFERROR(VLOOKUP(Calculations[[#This Row],[Material (choose from dropdown]],MaterialData[[#Headers],[#Data]],10,FALSE),0)</f>
        <v>0</v>
      </c>
      <c r="AL280" s="322">
        <f>IFERROR(Calculations[[#This Row],[Data Quality Score]]*Calculations[[#This Row],[Total Kg]],0)</f>
        <v>0</v>
      </c>
    </row>
    <row r="281" spans="1:38" x14ac:dyDescent="0.3">
      <c r="A281" s="6">
        <f>IFERROR(MaterialsBoQ[[#This Row],[Scope Element]],0)</f>
        <v>0</v>
      </c>
      <c r="B281">
        <f>IFERROR(MaterialsBoQ[[#This Row],[Material ]],"")</f>
        <v>0</v>
      </c>
      <c r="C281">
        <f>IFERROR(MaterialsBoQ[[#This Row],[Unit]],"")</f>
        <v>0</v>
      </c>
      <c r="D281" s="322">
        <f>IFERROR(MaterialsBoQ[[#This Row],[Number]],0)</f>
        <v>0</v>
      </c>
      <c r="E281" s="322">
        <f>IFERROR(MaterialsBoQ[[#This Row],[Kg per unit]],0)</f>
        <v>0</v>
      </c>
      <c r="F281" s="322">
        <f>IFERROR(Calculations[[#This Row],[Number]]*Calculations[[#This Row],[Conversion factor]],0)</f>
        <v>0</v>
      </c>
      <c r="G281" s="322">
        <f>IFERROR(VLOOKUP(Calculations[[#This Row],[Material (choose from dropdown]],MaterialData[#All],7,FALSE),0)</f>
        <v>0</v>
      </c>
      <c r="H281" s="322">
        <f>Calculations[[#This Row],[Total Kg]]*Calculations[[#This Row],[Carbon Factor]]</f>
        <v>0</v>
      </c>
      <c r="I281" t="str">
        <f>IFERROR(VLOOKUP(Calculations[[#This Row],[Material (choose from dropdown]],MaterialData[#All],2,FALSE),"")</f>
        <v/>
      </c>
      <c r="J281" s="322">
        <f>IFERROR(((VLOOKUP(Calculations[[#This Row],[TransportSource]],TransportDistance[],2,FALSE)*'Stage assumptions'!$C$11)+VLOOKUP(Calculations[[#This Row],[TransportSource]],TransportDistance[],3,FALSE)*'Stage assumptions'!$C$12)*Calculations[[#This Row],[Total Kg]],0)</f>
        <v>0</v>
      </c>
      <c r="K281">
        <f>IFERROR(VLOOKUP(Calculations[[#This Row],[Material (choose from dropdown]], MaterialData[#All],3, FALSE),0)</f>
        <v>0</v>
      </c>
      <c r="L281" s="322">
        <f>IFERROR(VLOOKUP(Calculations[[#This Row],[A5type]],A5WastageRate[#All],2,FALSE)*Calculations[[#This Row],[A1-3]],0)</f>
        <v>0</v>
      </c>
      <c r="N281">
        <f>IFERROR(ROUNDUP(50/VLOOKUP(Calculations[[#This Row],[Scope Element]],B4referenceServiceLife[[Tier 2 element]:[Default Service Life]],2, FALSE)-1,0),0)</f>
        <v>0</v>
      </c>
      <c r="O281" s="322">
        <f>IFERROR((Calculations[[#This Row],[A1-3]]+Calculations[[#This Row],[A4]]+Calculations[[#This Row],[A5]]+Calculations[[#This Row],[C2 total]]+Calculations[[#This Row],[C3 total]]+Calculations[[#This Row],[C4 total]])*Calculations[[#This Row],[Replacements]],0)</f>
        <v>0</v>
      </c>
      <c r="S281" t="str">
        <f>IFERROR(VLOOKUP(Calculations[[#This Row],[Material (choose from dropdown]],MaterialData[#All],4,FALSE),"")</f>
        <v/>
      </c>
      <c r="T281" s="322" cm="1">
        <f t="array" ref="T281">IFERROR(VLOOKUP(Calculations[[#This Row],[Waste 1]],WasteScenario[#All],2,FALSE)*'Stage assumptions'!$C$225*WasteTransportMethod[Emissions Factor
kgCO2e/kg.km]*Calculations[[#This Row],[Total Kg]],0)</f>
        <v>0</v>
      </c>
      <c r="U281" s="322" cm="1">
        <f t="array" ref="U281">IFERROR(VLOOKUP(Calculations[[#This Row],[Waste 1]],WasteScenario[#All],3,FALSE)*'Stage assumptions'!$C$224*WasteTransportMethod[Emissions Factor
kgCO2e/kg.km]*Calculations[[#This Row],[Total Kg]],0)</f>
        <v>0</v>
      </c>
      <c r="V281" s="322" cm="1">
        <f t="array" ref="V281">IFERROR(VLOOKUP(Calculations[[#This Row],[Waste 1]],WasteScenario[#All],4,FALSE)*'Stage assumptions'!$C$223*WasteTransportMethod[Emissions Factor
kgCO2e/kg.km]*Calculations[[#This Row],[Total Kg]],0)</f>
        <v>0</v>
      </c>
      <c r="W281" s="322" cm="1">
        <f t="array" ref="W281">IFERROR(VLOOKUP(Calculations[[#This Row],[Waste 1]],WasteScenario[#All],5,FALSE)*'Stage assumptions'!$C$226*WasteTransportMethod[Emissions Factor
kgCO2e/kg.km]*Calculations[[#This Row],[Total Kg]],0)</f>
        <v>0</v>
      </c>
      <c r="X281" s="322">
        <f>SUM(Calculations[[#This Row],[C2 Recycle]:[C2 Reuse]])</f>
        <v>0</v>
      </c>
      <c r="Y281" t="str">
        <f>IFERROR(VLOOKUP(Calculations[[#This Row],[Material (choose from dropdown]],MaterialData[#All],5,FALSE),"")</f>
        <v/>
      </c>
      <c r="Z281" s="322">
        <f>IFERROR(((VLOOKUP(Calculations[[#This Row],[Waste type 2]],WasteDisposalEmissions[#All],2,FALSE))*Calculations[[#This Row],[Total Kg]])*VLOOKUP(Calculations[[#This Row],[Waste 1]],WasteScenario[#All],2,FALSE),0)</f>
        <v>0</v>
      </c>
      <c r="AA281" s="322">
        <f>IFERROR((VLOOKUP(Calculations[[#This Row],[Waste type 2]],WasteDisposalEmissions[#All],3,FALSE))*Calculations[[#This Row],[Total Kg]]*VLOOKUP(Calculations[[#This Row],[Waste 1]],WasteScenario[#All],3,FALSE),0)</f>
        <v>0</v>
      </c>
      <c r="AB281" s="322">
        <f>SUM(Calculations[[#This Row],[C3 recyc]:[C3 incin]])</f>
        <v>0</v>
      </c>
      <c r="AC281" s="334">
        <f>IFERROR((VLOOKUP(Calculations[[#This Row],[Waste type 2]],WasteLandfillEmissions[#All],2,FALSE))*Calculations[[#This Row],[Total Kg]]*VLOOKUP(Calculations[[#This Row],[Waste 1]],WasteScenario[#All],4,FALSE),0)</f>
        <v>0</v>
      </c>
      <c r="AD281" s="322">
        <f>IFERROR((VLOOKUP(Calculations[[#This Row],[Waste type 2]],WasteLandfillEmissions[#All],3,FALSE))*Calculations[[#This Row],[Total Kg]]*VLOOKUP(Calculations[[#This Row],[Waste 1]],WasteScenario[#All],4,FALSE),0)</f>
        <v>0</v>
      </c>
      <c r="AE281" s="322">
        <f>SUM(Calculations[[#This Row],[C4 landfill]:[C4 re-use]])</f>
        <v>0</v>
      </c>
      <c r="AF281" s="322">
        <f>IFERROR(VLOOKUP(Calculations[[#This Row],[Material (choose from dropdown]],MaterialData[#All],8,FALSE),0)</f>
        <v>0</v>
      </c>
      <c r="AG281" s="322">
        <f>IFERROR(Calculations[[#This Row],[Total Kg]]*Calculations[[#This Row],[Seq factor]],0)</f>
        <v>0</v>
      </c>
      <c r="AI281" s="322">
        <f>Calculations[[#This Row],[A1-3]]+Calculations[[#This Row],[A4]]+Calculations[[#This Row],[A5]]+Calculations[[#This Row],[B4]]+Calculations[[#This Row],[C2 total]]+Calculations[[#This Row],[C3 total]]+Calculations[[#This Row],[C4 total]]</f>
        <v>0</v>
      </c>
      <c r="AJ281" s="2">
        <f>IFERROR(VLOOKUP(Calculations[[#This Row],[Material (choose from dropdown]],MaterialData[[#Headers],[#Data]],9,FALSE),0)</f>
        <v>0</v>
      </c>
      <c r="AK281" s="4">
        <f>IFERROR(VLOOKUP(Calculations[[#This Row],[Material (choose from dropdown]],MaterialData[[#Headers],[#Data]],10,FALSE),0)</f>
        <v>0</v>
      </c>
      <c r="AL281" s="322">
        <f>IFERROR(Calculations[[#This Row],[Data Quality Score]]*Calculations[[#This Row],[Total Kg]],0)</f>
        <v>0</v>
      </c>
    </row>
    <row r="282" spans="1:38" x14ac:dyDescent="0.3">
      <c r="A282" s="6">
        <f>IFERROR(MaterialsBoQ[[#This Row],[Scope Element]],0)</f>
        <v>0</v>
      </c>
      <c r="B282">
        <f>IFERROR(MaterialsBoQ[[#This Row],[Material ]],"")</f>
        <v>0</v>
      </c>
      <c r="C282">
        <f>IFERROR(MaterialsBoQ[[#This Row],[Unit]],"")</f>
        <v>0</v>
      </c>
      <c r="D282" s="322">
        <f>IFERROR(MaterialsBoQ[[#This Row],[Number]],0)</f>
        <v>0</v>
      </c>
      <c r="E282" s="322">
        <f>IFERROR(MaterialsBoQ[[#This Row],[Kg per unit]],0)</f>
        <v>0</v>
      </c>
      <c r="F282" s="322">
        <f>IFERROR(Calculations[[#This Row],[Number]]*Calculations[[#This Row],[Conversion factor]],0)</f>
        <v>0</v>
      </c>
      <c r="G282" s="322">
        <f>IFERROR(VLOOKUP(Calculations[[#This Row],[Material (choose from dropdown]],MaterialData[#All],7,FALSE),0)</f>
        <v>0</v>
      </c>
      <c r="H282" s="322">
        <f>Calculations[[#This Row],[Total Kg]]*Calculations[[#This Row],[Carbon Factor]]</f>
        <v>0</v>
      </c>
      <c r="I282" t="str">
        <f>IFERROR(VLOOKUP(Calculations[[#This Row],[Material (choose from dropdown]],MaterialData[#All],2,FALSE),"")</f>
        <v/>
      </c>
      <c r="J282" s="322">
        <f>IFERROR(((VLOOKUP(Calculations[[#This Row],[TransportSource]],TransportDistance[],2,FALSE)*'Stage assumptions'!$C$11)+VLOOKUP(Calculations[[#This Row],[TransportSource]],TransportDistance[],3,FALSE)*'Stage assumptions'!$C$12)*Calculations[[#This Row],[Total Kg]],0)</f>
        <v>0</v>
      </c>
      <c r="K282">
        <f>IFERROR(VLOOKUP(Calculations[[#This Row],[Material (choose from dropdown]], MaterialData[#All],3, FALSE),0)</f>
        <v>0</v>
      </c>
      <c r="L282" s="322">
        <f>IFERROR(VLOOKUP(Calculations[[#This Row],[A5type]],A5WastageRate[#All],2,FALSE)*Calculations[[#This Row],[A1-3]],0)</f>
        <v>0</v>
      </c>
      <c r="N282">
        <f>IFERROR(ROUNDUP(50/VLOOKUP(Calculations[[#This Row],[Scope Element]],B4referenceServiceLife[[Tier 2 element]:[Default Service Life]],2, FALSE)-1,0),0)</f>
        <v>0</v>
      </c>
      <c r="O282" s="322">
        <f>IFERROR((Calculations[[#This Row],[A1-3]]+Calculations[[#This Row],[A4]]+Calculations[[#This Row],[A5]]+Calculations[[#This Row],[C2 total]]+Calculations[[#This Row],[C3 total]]+Calculations[[#This Row],[C4 total]])*Calculations[[#This Row],[Replacements]],0)</f>
        <v>0</v>
      </c>
      <c r="S282" t="str">
        <f>IFERROR(VLOOKUP(Calculations[[#This Row],[Material (choose from dropdown]],MaterialData[#All],4,FALSE),"")</f>
        <v/>
      </c>
      <c r="T282" s="322" cm="1">
        <f t="array" ref="T282">IFERROR(VLOOKUP(Calculations[[#This Row],[Waste 1]],WasteScenario[#All],2,FALSE)*'Stage assumptions'!$C$225*WasteTransportMethod[Emissions Factor
kgCO2e/kg.km]*Calculations[[#This Row],[Total Kg]],0)</f>
        <v>0</v>
      </c>
      <c r="U282" s="322" cm="1">
        <f t="array" ref="U282">IFERROR(VLOOKUP(Calculations[[#This Row],[Waste 1]],WasteScenario[#All],3,FALSE)*'Stage assumptions'!$C$224*WasteTransportMethod[Emissions Factor
kgCO2e/kg.km]*Calculations[[#This Row],[Total Kg]],0)</f>
        <v>0</v>
      </c>
      <c r="V282" s="322" cm="1">
        <f t="array" ref="V282">IFERROR(VLOOKUP(Calculations[[#This Row],[Waste 1]],WasteScenario[#All],4,FALSE)*'Stage assumptions'!$C$223*WasteTransportMethod[Emissions Factor
kgCO2e/kg.km]*Calculations[[#This Row],[Total Kg]],0)</f>
        <v>0</v>
      </c>
      <c r="W282" s="322" cm="1">
        <f t="array" ref="W282">IFERROR(VLOOKUP(Calculations[[#This Row],[Waste 1]],WasteScenario[#All],5,FALSE)*'Stage assumptions'!$C$226*WasteTransportMethod[Emissions Factor
kgCO2e/kg.km]*Calculations[[#This Row],[Total Kg]],0)</f>
        <v>0</v>
      </c>
      <c r="X282" s="322">
        <f>SUM(Calculations[[#This Row],[C2 Recycle]:[C2 Reuse]])</f>
        <v>0</v>
      </c>
      <c r="Y282" t="str">
        <f>IFERROR(VLOOKUP(Calculations[[#This Row],[Material (choose from dropdown]],MaterialData[#All],5,FALSE),"")</f>
        <v/>
      </c>
      <c r="Z282" s="322">
        <f>IFERROR(((VLOOKUP(Calculations[[#This Row],[Waste type 2]],WasteDisposalEmissions[#All],2,FALSE))*Calculations[[#This Row],[Total Kg]])*VLOOKUP(Calculations[[#This Row],[Waste 1]],WasteScenario[#All],2,FALSE),0)</f>
        <v>0</v>
      </c>
      <c r="AA282" s="322">
        <f>IFERROR((VLOOKUP(Calculations[[#This Row],[Waste type 2]],WasteDisposalEmissions[#All],3,FALSE))*Calculations[[#This Row],[Total Kg]]*VLOOKUP(Calculations[[#This Row],[Waste 1]],WasteScenario[#All],3,FALSE),0)</f>
        <v>0</v>
      </c>
      <c r="AB282" s="322">
        <f>SUM(Calculations[[#This Row],[C3 recyc]:[C3 incin]])</f>
        <v>0</v>
      </c>
      <c r="AC282" s="334">
        <f>IFERROR((VLOOKUP(Calculations[[#This Row],[Waste type 2]],WasteLandfillEmissions[#All],2,FALSE))*Calculations[[#This Row],[Total Kg]]*VLOOKUP(Calculations[[#This Row],[Waste 1]],WasteScenario[#All],4,FALSE),0)</f>
        <v>0</v>
      </c>
      <c r="AD282" s="322">
        <f>IFERROR((VLOOKUP(Calculations[[#This Row],[Waste type 2]],WasteLandfillEmissions[#All],3,FALSE))*Calculations[[#This Row],[Total Kg]]*VLOOKUP(Calculations[[#This Row],[Waste 1]],WasteScenario[#All],4,FALSE),0)</f>
        <v>0</v>
      </c>
      <c r="AE282" s="322">
        <f>SUM(Calculations[[#This Row],[C4 landfill]:[C4 re-use]])</f>
        <v>0</v>
      </c>
      <c r="AF282" s="322">
        <f>IFERROR(VLOOKUP(Calculations[[#This Row],[Material (choose from dropdown]],MaterialData[#All],8,FALSE),0)</f>
        <v>0</v>
      </c>
      <c r="AG282" s="322">
        <f>IFERROR(Calculations[[#This Row],[Total Kg]]*Calculations[[#This Row],[Seq factor]],0)</f>
        <v>0</v>
      </c>
      <c r="AI282" s="322">
        <f>Calculations[[#This Row],[A1-3]]+Calculations[[#This Row],[A4]]+Calculations[[#This Row],[A5]]+Calculations[[#This Row],[B4]]+Calculations[[#This Row],[C2 total]]+Calculations[[#This Row],[C3 total]]+Calculations[[#This Row],[C4 total]]</f>
        <v>0</v>
      </c>
      <c r="AJ282" s="2">
        <f>IFERROR(VLOOKUP(Calculations[[#This Row],[Material (choose from dropdown]],MaterialData[[#Headers],[#Data]],9,FALSE),0)</f>
        <v>0</v>
      </c>
      <c r="AK282" s="4">
        <f>IFERROR(VLOOKUP(Calculations[[#This Row],[Material (choose from dropdown]],MaterialData[[#Headers],[#Data]],10,FALSE),0)</f>
        <v>0</v>
      </c>
      <c r="AL282" s="322">
        <f>IFERROR(Calculations[[#This Row],[Data Quality Score]]*Calculations[[#This Row],[Total Kg]],0)</f>
        <v>0</v>
      </c>
    </row>
    <row r="283" spans="1:38" x14ac:dyDescent="0.3">
      <c r="A283" s="6">
        <f>IFERROR(MaterialsBoQ[[#This Row],[Scope Element]],0)</f>
        <v>0</v>
      </c>
      <c r="B283">
        <f>IFERROR(MaterialsBoQ[[#This Row],[Material ]],"")</f>
        <v>0</v>
      </c>
      <c r="C283">
        <f>IFERROR(MaterialsBoQ[[#This Row],[Unit]],"")</f>
        <v>0</v>
      </c>
      <c r="D283" s="322">
        <f>IFERROR(MaterialsBoQ[[#This Row],[Number]],0)</f>
        <v>0</v>
      </c>
      <c r="E283" s="322">
        <f>IFERROR(MaterialsBoQ[[#This Row],[Kg per unit]],0)</f>
        <v>0</v>
      </c>
      <c r="F283" s="322">
        <f>IFERROR(Calculations[[#This Row],[Number]]*Calculations[[#This Row],[Conversion factor]],0)</f>
        <v>0</v>
      </c>
      <c r="G283" s="322">
        <f>IFERROR(VLOOKUP(Calculations[[#This Row],[Material (choose from dropdown]],MaterialData[#All],7,FALSE),0)</f>
        <v>0</v>
      </c>
      <c r="H283" s="322">
        <f>Calculations[[#This Row],[Total Kg]]*Calculations[[#This Row],[Carbon Factor]]</f>
        <v>0</v>
      </c>
      <c r="I283" t="str">
        <f>IFERROR(VLOOKUP(Calculations[[#This Row],[Material (choose from dropdown]],MaterialData[#All],2,FALSE),"")</f>
        <v/>
      </c>
      <c r="J283" s="322">
        <f>IFERROR(((VLOOKUP(Calculations[[#This Row],[TransportSource]],TransportDistance[],2,FALSE)*'Stage assumptions'!$C$11)+VLOOKUP(Calculations[[#This Row],[TransportSource]],TransportDistance[],3,FALSE)*'Stage assumptions'!$C$12)*Calculations[[#This Row],[Total Kg]],0)</f>
        <v>0</v>
      </c>
      <c r="K283">
        <f>IFERROR(VLOOKUP(Calculations[[#This Row],[Material (choose from dropdown]], MaterialData[#All],3, FALSE),0)</f>
        <v>0</v>
      </c>
      <c r="L283" s="322">
        <f>IFERROR(VLOOKUP(Calculations[[#This Row],[A5type]],A5WastageRate[#All],2,FALSE)*Calculations[[#This Row],[A1-3]],0)</f>
        <v>0</v>
      </c>
      <c r="N283">
        <f>IFERROR(ROUNDUP(50/VLOOKUP(Calculations[[#This Row],[Scope Element]],B4referenceServiceLife[[Tier 2 element]:[Default Service Life]],2, FALSE)-1,0),0)</f>
        <v>0</v>
      </c>
      <c r="O283" s="322">
        <f>IFERROR((Calculations[[#This Row],[A1-3]]+Calculations[[#This Row],[A4]]+Calculations[[#This Row],[A5]]+Calculations[[#This Row],[C2 total]]+Calculations[[#This Row],[C3 total]]+Calculations[[#This Row],[C4 total]])*Calculations[[#This Row],[Replacements]],0)</f>
        <v>0</v>
      </c>
      <c r="S283" t="str">
        <f>IFERROR(VLOOKUP(Calculations[[#This Row],[Material (choose from dropdown]],MaterialData[#All],4,FALSE),"")</f>
        <v/>
      </c>
      <c r="T283" s="322" cm="1">
        <f t="array" ref="T283">IFERROR(VLOOKUP(Calculations[[#This Row],[Waste 1]],WasteScenario[#All],2,FALSE)*'Stage assumptions'!$C$225*WasteTransportMethod[Emissions Factor
kgCO2e/kg.km]*Calculations[[#This Row],[Total Kg]],0)</f>
        <v>0</v>
      </c>
      <c r="U283" s="322" cm="1">
        <f t="array" ref="U283">IFERROR(VLOOKUP(Calculations[[#This Row],[Waste 1]],WasteScenario[#All],3,FALSE)*'Stage assumptions'!$C$224*WasteTransportMethod[Emissions Factor
kgCO2e/kg.km]*Calculations[[#This Row],[Total Kg]],0)</f>
        <v>0</v>
      </c>
      <c r="V283" s="322" cm="1">
        <f t="array" ref="V283">IFERROR(VLOOKUP(Calculations[[#This Row],[Waste 1]],WasteScenario[#All],4,FALSE)*'Stage assumptions'!$C$223*WasteTransportMethod[Emissions Factor
kgCO2e/kg.km]*Calculations[[#This Row],[Total Kg]],0)</f>
        <v>0</v>
      </c>
      <c r="W283" s="322" cm="1">
        <f t="array" ref="W283">IFERROR(VLOOKUP(Calculations[[#This Row],[Waste 1]],WasteScenario[#All],5,FALSE)*'Stage assumptions'!$C$226*WasteTransportMethod[Emissions Factor
kgCO2e/kg.km]*Calculations[[#This Row],[Total Kg]],0)</f>
        <v>0</v>
      </c>
      <c r="X283" s="322">
        <f>SUM(Calculations[[#This Row],[C2 Recycle]:[C2 Reuse]])</f>
        <v>0</v>
      </c>
      <c r="Y283" t="str">
        <f>IFERROR(VLOOKUP(Calculations[[#This Row],[Material (choose from dropdown]],MaterialData[#All],5,FALSE),"")</f>
        <v/>
      </c>
      <c r="Z283" s="322">
        <f>IFERROR(((VLOOKUP(Calculations[[#This Row],[Waste type 2]],WasteDisposalEmissions[#All],2,FALSE))*Calculations[[#This Row],[Total Kg]])*VLOOKUP(Calculations[[#This Row],[Waste 1]],WasteScenario[#All],2,FALSE),0)</f>
        <v>0</v>
      </c>
      <c r="AA283" s="322">
        <f>IFERROR((VLOOKUP(Calculations[[#This Row],[Waste type 2]],WasteDisposalEmissions[#All],3,FALSE))*Calculations[[#This Row],[Total Kg]]*VLOOKUP(Calculations[[#This Row],[Waste 1]],WasteScenario[#All],3,FALSE),0)</f>
        <v>0</v>
      </c>
      <c r="AB283" s="322">
        <f>SUM(Calculations[[#This Row],[C3 recyc]:[C3 incin]])</f>
        <v>0</v>
      </c>
      <c r="AC283" s="334">
        <f>IFERROR((VLOOKUP(Calculations[[#This Row],[Waste type 2]],WasteLandfillEmissions[#All],2,FALSE))*Calculations[[#This Row],[Total Kg]]*VLOOKUP(Calculations[[#This Row],[Waste 1]],WasteScenario[#All],4,FALSE),0)</f>
        <v>0</v>
      </c>
      <c r="AD283" s="322">
        <f>IFERROR((VLOOKUP(Calculations[[#This Row],[Waste type 2]],WasteLandfillEmissions[#All],3,FALSE))*Calculations[[#This Row],[Total Kg]]*VLOOKUP(Calculations[[#This Row],[Waste 1]],WasteScenario[#All],4,FALSE),0)</f>
        <v>0</v>
      </c>
      <c r="AE283" s="322">
        <f>SUM(Calculations[[#This Row],[C4 landfill]:[C4 re-use]])</f>
        <v>0</v>
      </c>
      <c r="AF283" s="322">
        <f>IFERROR(VLOOKUP(Calculations[[#This Row],[Material (choose from dropdown]],MaterialData[#All],8,FALSE),0)</f>
        <v>0</v>
      </c>
      <c r="AG283" s="322">
        <f>IFERROR(Calculations[[#This Row],[Total Kg]]*Calculations[[#This Row],[Seq factor]],0)</f>
        <v>0</v>
      </c>
      <c r="AI283" s="322">
        <f>Calculations[[#This Row],[A1-3]]+Calculations[[#This Row],[A4]]+Calculations[[#This Row],[A5]]+Calculations[[#This Row],[B4]]+Calculations[[#This Row],[C2 total]]+Calculations[[#This Row],[C3 total]]+Calculations[[#This Row],[C4 total]]</f>
        <v>0</v>
      </c>
      <c r="AJ283" s="2">
        <f>IFERROR(VLOOKUP(Calculations[[#This Row],[Material (choose from dropdown]],MaterialData[[#Headers],[#Data]],9,FALSE),0)</f>
        <v>0</v>
      </c>
      <c r="AK283" s="4">
        <f>IFERROR(VLOOKUP(Calculations[[#This Row],[Material (choose from dropdown]],MaterialData[[#Headers],[#Data]],10,FALSE),0)</f>
        <v>0</v>
      </c>
      <c r="AL283" s="322">
        <f>IFERROR(Calculations[[#This Row],[Data Quality Score]]*Calculations[[#This Row],[Total Kg]],0)</f>
        <v>0</v>
      </c>
    </row>
    <row r="284" spans="1:38" x14ac:dyDescent="0.3">
      <c r="A284" s="6">
        <f>IFERROR(MaterialsBoQ[[#This Row],[Scope Element]],0)</f>
        <v>0</v>
      </c>
      <c r="B284">
        <f>IFERROR(MaterialsBoQ[[#This Row],[Material ]],"")</f>
        <v>0</v>
      </c>
      <c r="C284">
        <f>IFERROR(MaterialsBoQ[[#This Row],[Unit]],"")</f>
        <v>0</v>
      </c>
      <c r="D284" s="322">
        <f>IFERROR(MaterialsBoQ[[#This Row],[Number]],0)</f>
        <v>0</v>
      </c>
      <c r="E284" s="322">
        <f>IFERROR(MaterialsBoQ[[#This Row],[Kg per unit]],0)</f>
        <v>0</v>
      </c>
      <c r="F284" s="322">
        <f>IFERROR(Calculations[[#This Row],[Number]]*Calculations[[#This Row],[Conversion factor]],0)</f>
        <v>0</v>
      </c>
      <c r="G284" s="322">
        <f>IFERROR(VLOOKUP(Calculations[[#This Row],[Material (choose from dropdown]],MaterialData[#All],7,FALSE),0)</f>
        <v>0</v>
      </c>
      <c r="H284" s="322">
        <f>Calculations[[#This Row],[Total Kg]]*Calculations[[#This Row],[Carbon Factor]]</f>
        <v>0</v>
      </c>
      <c r="I284" t="str">
        <f>IFERROR(VLOOKUP(Calculations[[#This Row],[Material (choose from dropdown]],MaterialData[#All],2,FALSE),"")</f>
        <v/>
      </c>
      <c r="J284" s="322">
        <f>IFERROR(((VLOOKUP(Calculations[[#This Row],[TransportSource]],TransportDistance[],2,FALSE)*'Stage assumptions'!$C$11)+VLOOKUP(Calculations[[#This Row],[TransportSource]],TransportDistance[],3,FALSE)*'Stage assumptions'!$C$12)*Calculations[[#This Row],[Total Kg]],0)</f>
        <v>0</v>
      </c>
      <c r="K284">
        <f>IFERROR(VLOOKUP(Calculations[[#This Row],[Material (choose from dropdown]], MaterialData[#All],3, FALSE),0)</f>
        <v>0</v>
      </c>
      <c r="L284" s="322">
        <f>IFERROR(VLOOKUP(Calculations[[#This Row],[A5type]],A5WastageRate[#All],2,FALSE)*Calculations[[#This Row],[A1-3]],0)</f>
        <v>0</v>
      </c>
      <c r="N284">
        <f>IFERROR(ROUNDUP(50/VLOOKUP(Calculations[[#This Row],[Scope Element]],B4referenceServiceLife[[Tier 2 element]:[Default Service Life]],2, FALSE)-1,0),0)</f>
        <v>0</v>
      </c>
      <c r="O284" s="322">
        <f>IFERROR((Calculations[[#This Row],[A1-3]]+Calculations[[#This Row],[A4]]+Calculations[[#This Row],[A5]]+Calculations[[#This Row],[C2 total]]+Calculations[[#This Row],[C3 total]]+Calculations[[#This Row],[C4 total]])*Calculations[[#This Row],[Replacements]],0)</f>
        <v>0</v>
      </c>
      <c r="S284" t="str">
        <f>IFERROR(VLOOKUP(Calculations[[#This Row],[Material (choose from dropdown]],MaterialData[#All],4,FALSE),"")</f>
        <v/>
      </c>
      <c r="T284" s="322" cm="1">
        <f t="array" ref="T284">IFERROR(VLOOKUP(Calculations[[#This Row],[Waste 1]],WasteScenario[#All],2,FALSE)*'Stage assumptions'!$C$225*WasteTransportMethod[Emissions Factor
kgCO2e/kg.km]*Calculations[[#This Row],[Total Kg]],0)</f>
        <v>0</v>
      </c>
      <c r="U284" s="322" cm="1">
        <f t="array" ref="U284">IFERROR(VLOOKUP(Calculations[[#This Row],[Waste 1]],WasteScenario[#All],3,FALSE)*'Stage assumptions'!$C$224*WasteTransportMethod[Emissions Factor
kgCO2e/kg.km]*Calculations[[#This Row],[Total Kg]],0)</f>
        <v>0</v>
      </c>
      <c r="V284" s="322" cm="1">
        <f t="array" ref="V284">IFERROR(VLOOKUP(Calculations[[#This Row],[Waste 1]],WasteScenario[#All],4,FALSE)*'Stage assumptions'!$C$223*WasteTransportMethod[Emissions Factor
kgCO2e/kg.km]*Calculations[[#This Row],[Total Kg]],0)</f>
        <v>0</v>
      </c>
      <c r="W284" s="322" cm="1">
        <f t="array" ref="W284">IFERROR(VLOOKUP(Calculations[[#This Row],[Waste 1]],WasteScenario[#All],5,FALSE)*'Stage assumptions'!$C$226*WasteTransportMethod[Emissions Factor
kgCO2e/kg.km]*Calculations[[#This Row],[Total Kg]],0)</f>
        <v>0</v>
      </c>
      <c r="X284" s="322">
        <f>SUM(Calculations[[#This Row],[C2 Recycle]:[C2 Reuse]])</f>
        <v>0</v>
      </c>
      <c r="Y284" t="str">
        <f>IFERROR(VLOOKUP(Calculations[[#This Row],[Material (choose from dropdown]],MaterialData[#All],5,FALSE),"")</f>
        <v/>
      </c>
      <c r="Z284" s="322">
        <f>IFERROR(((VLOOKUP(Calculations[[#This Row],[Waste type 2]],WasteDisposalEmissions[#All],2,FALSE))*Calculations[[#This Row],[Total Kg]])*VLOOKUP(Calculations[[#This Row],[Waste 1]],WasteScenario[#All],2,FALSE),0)</f>
        <v>0</v>
      </c>
      <c r="AA284" s="322">
        <f>IFERROR((VLOOKUP(Calculations[[#This Row],[Waste type 2]],WasteDisposalEmissions[#All],3,FALSE))*Calculations[[#This Row],[Total Kg]]*VLOOKUP(Calculations[[#This Row],[Waste 1]],WasteScenario[#All],3,FALSE),0)</f>
        <v>0</v>
      </c>
      <c r="AB284" s="322">
        <f>SUM(Calculations[[#This Row],[C3 recyc]:[C3 incin]])</f>
        <v>0</v>
      </c>
      <c r="AC284" s="334">
        <f>IFERROR((VLOOKUP(Calculations[[#This Row],[Waste type 2]],WasteLandfillEmissions[#All],2,FALSE))*Calculations[[#This Row],[Total Kg]]*VLOOKUP(Calculations[[#This Row],[Waste 1]],WasteScenario[#All],4,FALSE),0)</f>
        <v>0</v>
      </c>
      <c r="AD284" s="322">
        <f>IFERROR((VLOOKUP(Calculations[[#This Row],[Waste type 2]],WasteLandfillEmissions[#All],3,FALSE))*Calculations[[#This Row],[Total Kg]]*VLOOKUP(Calculations[[#This Row],[Waste 1]],WasteScenario[#All],4,FALSE),0)</f>
        <v>0</v>
      </c>
      <c r="AE284" s="322">
        <f>SUM(Calculations[[#This Row],[C4 landfill]:[C4 re-use]])</f>
        <v>0</v>
      </c>
      <c r="AF284" s="322">
        <f>IFERROR(VLOOKUP(Calculations[[#This Row],[Material (choose from dropdown]],MaterialData[#All],8,FALSE),0)</f>
        <v>0</v>
      </c>
      <c r="AG284" s="322">
        <f>IFERROR(Calculations[[#This Row],[Total Kg]]*Calculations[[#This Row],[Seq factor]],0)</f>
        <v>0</v>
      </c>
      <c r="AI284" s="322">
        <f>Calculations[[#This Row],[A1-3]]+Calculations[[#This Row],[A4]]+Calculations[[#This Row],[A5]]+Calculations[[#This Row],[B4]]+Calculations[[#This Row],[C2 total]]+Calculations[[#This Row],[C3 total]]+Calculations[[#This Row],[C4 total]]</f>
        <v>0</v>
      </c>
      <c r="AJ284" s="2">
        <f>IFERROR(VLOOKUP(Calculations[[#This Row],[Material (choose from dropdown]],MaterialData[[#Headers],[#Data]],9,FALSE),0)</f>
        <v>0</v>
      </c>
      <c r="AK284" s="4">
        <f>IFERROR(VLOOKUP(Calculations[[#This Row],[Material (choose from dropdown]],MaterialData[[#Headers],[#Data]],10,FALSE),0)</f>
        <v>0</v>
      </c>
      <c r="AL284" s="322">
        <f>IFERROR(Calculations[[#This Row],[Data Quality Score]]*Calculations[[#This Row],[Total Kg]],0)</f>
        <v>0</v>
      </c>
    </row>
    <row r="285" spans="1:38" x14ac:dyDescent="0.3">
      <c r="A285" s="6">
        <f>IFERROR(MaterialsBoQ[[#This Row],[Scope Element]],0)</f>
        <v>0</v>
      </c>
      <c r="B285">
        <f>IFERROR(MaterialsBoQ[[#This Row],[Material ]],"")</f>
        <v>0</v>
      </c>
      <c r="C285">
        <f>IFERROR(MaterialsBoQ[[#This Row],[Unit]],"")</f>
        <v>0</v>
      </c>
      <c r="D285" s="322">
        <f>IFERROR(MaterialsBoQ[[#This Row],[Number]],0)</f>
        <v>0</v>
      </c>
      <c r="E285" s="322">
        <f>IFERROR(MaterialsBoQ[[#This Row],[Kg per unit]],0)</f>
        <v>0</v>
      </c>
      <c r="F285" s="322">
        <f>IFERROR(Calculations[[#This Row],[Number]]*Calculations[[#This Row],[Conversion factor]],0)</f>
        <v>0</v>
      </c>
      <c r="G285" s="322">
        <f>IFERROR(VLOOKUP(Calculations[[#This Row],[Material (choose from dropdown]],MaterialData[#All],7,FALSE),0)</f>
        <v>0</v>
      </c>
      <c r="H285" s="322">
        <f>Calculations[[#This Row],[Total Kg]]*Calculations[[#This Row],[Carbon Factor]]</f>
        <v>0</v>
      </c>
      <c r="I285" t="str">
        <f>IFERROR(VLOOKUP(Calculations[[#This Row],[Material (choose from dropdown]],MaterialData[#All],2,FALSE),"")</f>
        <v/>
      </c>
      <c r="J285" s="322">
        <f>IFERROR(((VLOOKUP(Calculations[[#This Row],[TransportSource]],TransportDistance[],2,FALSE)*'Stage assumptions'!$C$11)+VLOOKUP(Calculations[[#This Row],[TransportSource]],TransportDistance[],3,FALSE)*'Stage assumptions'!$C$12)*Calculations[[#This Row],[Total Kg]],0)</f>
        <v>0</v>
      </c>
      <c r="K285">
        <f>IFERROR(VLOOKUP(Calculations[[#This Row],[Material (choose from dropdown]], MaterialData[#All],3, FALSE),0)</f>
        <v>0</v>
      </c>
      <c r="L285" s="322">
        <f>IFERROR(VLOOKUP(Calculations[[#This Row],[A5type]],A5WastageRate[#All],2,FALSE)*Calculations[[#This Row],[A1-3]],0)</f>
        <v>0</v>
      </c>
      <c r="N285">
        <f>IFERROR(ROUNDUP(50/VLOOKUP(Calculations[[#This Row],[Scope Element]],B4referenceServiceLife[[Tier 2 element]:[Default Service Life]],2, FALSE)-1,0),0)</f>
        <v>0</v>
      </c>
      <c r="O285" s="322">
        <f>IFERROR((Calculations[[#This Row],[A1-3]]+Calculations[[#This Row],[A4]]+Calculations[[#This Row],[A5]]+Calculations[[#This Row],[C2 total]]+Calculations[[#This Row],[C3 total]]+Calculations[[#This Row],[C4 total]])*Calculations[[#This Row],[Replacements]],0)</f>
        <v>0</v>
      </c>
      <c r="S285" t="str">
        <f>IFERROR(VLOOKUP(Calculations[[#This Row],[Material (choose from dropdown]],MaterialData[#All],4,FALSE),"")</f>
        <v/>
      </c>
      <c r="T285" s="322" cm="1">
        <f t="array" ref="T285">IFERROR(VLOOKUP(Calculations[[#This Row],[Waste 1]],WasteScenario[#All],2,FALSE)*'Stage assumptions'!$C$225*WasteTransportMethod[Emissions Factor
kgCO2e/kg.km]*Calculations[[#This Row],[Total Kg]],0)</f>
        <v>0</v>
      </c>
      <c r="U285" s="322" cm="1">
        <f t="array" ref="U285">IFERROR(VLOOKUP(Calculations[[#This Row],[Waste 1]],WasteScenario[#All],3,FALSE)*'Stage assumptions'!$C$224*WasteTransportMethod[Emissions Factor
kgCO2e/kg.km]*Calculations[[#This Row],[Total Kg]],0)</f>
        <v>0</v>
      </c>
      <c r="V285" s="322" cm="1">
        <f t="array" ref="V285">IFERROR(VLOOKUP(Calculations[[#This Row],[Waste 1]],WasteScenario[#All],4,FALSE)*'Stage assumptions'!$C$223*WasteTransportMethod[Emissions Factor
kgCO2e/kg.km]*Calculations[[#This Row],[Total Kg]],0)</f>
        <v>0</v>
      </c>
      <c r="W285" s="322" cm="1">
        <f t="array" ref="W285">IFERROR(VLOOKUP(Calculations[[#This Row],[Waste 1]],WasteScenario[#All],5,FALSE)*'Stage assumptions'!$C$226*WasteTransportMethod[Emissions Factor
kgCO2e/kg.km]*Calculations[[#This Row],[Total Kg]],0)</f>
        <v>0</v>
      </c>
      <c r="X285" s="322">
        <f>SUM(Calculations[[#This Row],[C2 Recycle]:[C2 Reuse]])</f>
        <v>0</v>
      </c>
      <c r="Y285" t="str">
        <f>IFERROR(VLOOKUP(Calculations[[#This Row],[Material (choose from dropdown]],MaterialData[#All],5,FALSE),"")</f>
        <v/>
      </c>
      <c r="Z285" s="322">
        <f>IFERROR(((VLOOKUP(Calculations[[#This Row],[Waste type 2]],WasteDisposalEmissions[#All],2,FALSE))*Calculations[[#This Row],[Total Kg]])*VLOOKUP(Calculations[[#This Row],[Waste 1]],WasteScenario[#All],2,FALSE),0)</f>
        <v>0</v>
      </c>
      <c r="AA285" s="322">
        <f>IFERROR((VLOOKUP(Calculations[[#This Row],[Waste type 2]],WasteDisposalEmissions[#All],3,FALSE))*Calculations[[#This Row],[Total Kg]]*VLOOKUP(Calculations[[#This Row],[Waste 1]],WasteScenario[#All],3,FALSE),0)</f>
        <v>0</v>
      </c>
      <c r="AB285" s="322">
        <f>SUM(Calculations[[#This Row],[C3 recyc]:[C3 incin]])</f>
        <v>0</v>
      </c>
      <c r="AC285" s="334">
        <f>IFERROR((VLOOKUP(Calculations[[#This Row],[Waste type 2]],WasteLandfillEmissions[#All],2,FALSE))*Calculations[[#This Row],[Total Kg]]*VLOOKUP(Calculations[[#This Row],[Waste 1]],WasteScenario[#All],4,FALSE),0)</f>
        <v>0</v>
      </c>
      <c r="AD285" s="322">
        <f>IFERROR((VLOOKUP(Calculations[[#This Row],[Waste type 2]],WasteLandfillEmissions[#All],3,FALSE))*Calculations[[#This Row],[Total Kg]]*VLOOKUP(Calculations[[#This Row],[Waste 1]],WasteScenario[#All],4,FALSE),0)</f>
        <v>0</v>
      </c>
      <c r="AE285" s="322">
        <f>SUM(Calculations[[#This Row],[C4 landfill]:[C4 re-use]])</f>
        <v>0</v>
      </c>
      <c r="AF285" s="322">
        <f>IFERROR(VLOOKUP(Calculations[[#This Row],[Material (choose from dropdown]],MaterialData[#All],8,FALSE),0)</f>
        <v>0</v>
      </c>
      <c r="AG285" s="322">
        <f>IFERROR(Calculations[[#This Row],[Total Kg]]*Calculations[[#This Row],[Seq factor]],0)</f>
        <v>0</v>
      </c>
      <c r="AI285" s="322">
        <f>Calculations[[#This Row],[A1-3]]+Calculations[[#This Row],[A4]]+Calculations[[#This Row],[A5]]+Calculations[[#This Row],[B4]]+Calculations[[#This Row],[C2 total]]+Calculations[[#This Row],[C3 total]]+Calculations[[#This Row],[C4 total]]</f>
        <v>0</v>
      </c>
      <c r="AJ285" s="2">
        <f>IFERROR(VLOOKUP(Calculations[[#This Row],[Material (choose from dropdown]],MaterialData[[#Headers],[#Data]],9,FALSE),0)</f>
        <v>0</v>
      </c>
      <c r="AK285" s="4">
        <f>IFERROR(VLOOKUP(Calculations[[#This Row],[Material (choose from dropdown]],MaterialData[[#Headers],[#Data]],10,FALSE),0)</f>
        <v>0</v>
      </c>
      <c r="AL285" s="322">
        <f>IFERROR(Calculations[[#This Row],[Data Quality Score]]*Calculations[[#This Row],[Total Kg]],0)</f>
        <v>0</v>
      </c>
    </row>
    <row r="286" spans="1:38" x14ac:dyDescent="0.3">
      <c r="A286" s="6">
        <f>IFERROR(MaterialsBoQ[[#This Row],[Scope Element]],0)</f>
        <v>0</v>
      </c>
      <c r="B286">
        <f>IFERROR(MaterialsBoQ[[#This Row],[Material ]],"")</f>
        <v>0</v>
      </c>
      <c r="C286">
        <f>IFERROR(MaterialsBoQ[[#This Row],[Unit]],"")</f>
        <v>0</v>
      </c>
      <c r="D286" s="322">
        <f>IFERROR(MaterialsBoQ[[#This Row],[Number]],0)</f>
        <v>0</v>
      </c>
      <c r="E286" s="322">
        <f>IFERROR(MaterialsBoQ[[#This Row],[Kg per unit]],0)</f>
        <v>0</v>
      </c>
      <c r="F286" s="322">
        <f>IFERROR(Calculations[[#This Row],[Number]]*Calculations[[#This Row],[Conversion factor]],0)</f>
        <v>0</v>
      </c>
      <c r="G286" s="322">
        <f>IFERROR(VLOOKUP(Calculations[[#This Row],[Material (choose from dropdown]],MaterialData[#All],7,FALSE),0)</f>
        <v>0</v>
      </c>
      <c r="H286" s="322">
        <f>Calculations[[#This Row],[Total Kg]]*Calculations[[#This Row],[Carbon Factor]]</f>
        <v>0</v>
      </c>
      <c r="I286" t="str">
        <f>IFERROR(VLOOKUP(Calculations[[#This Row],[Material (choose from dropdown]],MaterialData[#All],2,FALSE),"")</f>
        <v/>
      </c>
      <c r="J286" s="322">
        <f>IFERROR(((VLOOKUP(Calculations[[#This Row],[TransportSource]],TransportDistance[],2,FALSE)*'Stage assumptions'!$C$11)+VLOOKUP(Calculations[[#This Row],[TransportSource]],TransportDistance[],3,FALSE)*'Stage assumptions'!$C$12)*Calculations[[#This Row],[Total Kg]],0)</f>
        <v>0</v>
      </c>
      <c r="K286">
        <f>IFERROR(VLOOKUP(Calculations[[#This Row],[Material (choose from dropdown]], MaterialData[#All],3, FALSE),0)</f>
        <v>0</v>
      </c>
      <c r="L286" s="322">
        <f>IFERROR(VLOOKUP(Calculations[[#This Row],[A5type]],A5WastageRate[#All],2,FALSE)*Calculations[[#This Row],[A1-3]],0)</f>
        <v>0</v>
      </c>
      <c r="N286">
        <f>IFERROR(ROUNDUP(50/VLOOKUP(Calculations[[#This Row],[Scope Element]],B4referenceServiceLife[[Tier 2 element]:[Default Service Life]],2, FALSE)-1,0),0)</f>
        <v>0</v>
      </c>
      <c r="O286" s="322">
        <f>IFERROR((Calculations[[#This Row],[A1-3]]+Calculations[[#This Row],[A4]]+Calculations[[#This Row],[A5]]+Calculations[[#This Row],[C2 total]]+Calculations[[#This Row],[C3 total]]+Calculations[[#This Row],[C4 total]])*Calculations[[#This Row],[Replacements]],0)</f>
        <v>0</v>
      </c>
      <c r="S286" t="str">
        <f>IFERROR(VLOOKUP(Calculations[[#This Row],[Material (choose from dropdown]],MaterialData[#All],4,FALSE),"")</f>
        <v/>
      </c>
      <c r="T286" s="322" cm="1">
        <f t="array" ref="T286">IFERROR(VLOOKUP(Calculations[[#This Row],[Waste 1]],WasteScenario[#All],2,FALSE)*'Stage assumptions'!$C$225*WasteTransportMethod[Emissions Factor
kgCO2e/kg.km]*Calculations[[#This Row],[Total Kg]],0)</f>
        <v>0</v>
      </c>
      <c r="U286" s="322" cm="1">
        <f t="array" ref="U286">IFERROR(VLOOKUP(Calculations[[#This Row],[Waste 1]],WasteScenario[#All],3,FALSE)*'Stage assumptions'!$C$224*WasteTransportMethod[Emissions Factor
kgCO2e/kg.km]*Calculations[[#This Row],[Total Kg]],0)</f>
        <v>0</v>
      </c>
      <c r="V286" s="322" cm="1">
        <f t="array" ref="V286">IFERROR(VLOOKUP(Calculations[[#This Row],[Waste 1]],WasteScenario[#All],4,FALSE)*'Stage assumptions'!$C$223*WasteTransportMethod[Emissions Factor
kgCO2e/kg.km]*Calculations[[#This Row],[Total Kg]],0)</f>
        <v>0</v>
      </c>
      <c r="W286" s="322" cm="1">
        <f t="array" ref="W286">IFERROR(VLOOKUP(Calculations[[#This Row],[Waste 1]],WasteScenario[#All],5,FALSE)*'Stage assumptions'!$C$226*WasteTransportMethod[Emissions Factor
kgCO2e/kg.km]*Calculations[[#This Row],[Total Kg]],0)</f>
        <v>0</v>
      </c>
      <c r="X286" s="322">
        <f>SUM(Calculations[[#This Row],[C2 Recycle]:[C2 Reuse]])</f>
        <v>0</v>
      </c>
      <c r="Y286" t="str">
        <f>IFERROR(VLOOKUP(Calculations[[#This Row],[Material (choose from dropdown]],MaterialData[#All],5,FALSE),"")</f>
        <v/>
      </c>
      <c r="Z286" s="322">
        <f>IFERROR(((VLOOKUP(Calculations[[#This Row],[Waste type 2]],WasteDisposalEmissions[#All],2,FALSE))*Calculations[[#This Row],[Total Kg]])*VLOOKUP(Calculations[[#This Row],[Waste 1]],WasteScenario[#All],2,FALSE),0)</f>
        <v>0</v>
      </c>
      <c r="AA286" s="322">
        <f>IFERROR((VLOOKUP(Calculations[[#This Row],[Waste type 2]],WasteDisposalEmissions[#All],3,FALSE))*Calculations[[#This Row],[Total Kg]]*VLOOKUP(Calculations[[#This Row],[Waste 1]],WasteScenario[#All],3,FALSE),0)</f>
        <v>0</v>
      </c>
      <c r="AB286" s="322">
        <f>SUM(Calculations[[#This Row],[C3 recyc]:[C3 incin]])</f>
        <v>0</v>
      </c>
      <c r="AC286" s="334">
        <f>IFERROR((VLOOKUP(Calculations[[#This Row],[Waste type 2]],WasteLandfillEmissions[#All],2,FALSE))*Calculations[[#This Row],[Total Kg]]*VLOOKUP(Calculations[[#This Row],[Waste 1]],WasteScenario[#All],4,FALSE),0)</f>
        <v>0</v>
      </c>
      <c r="AD286" s="322">
        <f>IFERROR((VLOOKUP(Calculations[[#This Row],[Waste type 2]],WasteLandfillEmissions[#All],3,FALSE))*Calculations[[#This Row],[Total Kg]]*VLOOKUP(Calculations[[#This Row],[Waste 1]],WasteScenario[#All],4,FALSE),0)</f>
        <v>0</v>
      </c>
      <c r="AE286" s="322">
        <f>SUM(Calculations[[#This Row],[C4 landfill]:[C4 re-use]])</f>
        <v>0</v>
      </c>
      <c r="AF286" s="322">
        <f>IFERROR(VLOOKUP(Calculations[[#This Row],[Material (choose from dropdown]],MaterialData[#All],8,FALSE),0)</f>
        <v>0</v>
      </c>
      <c r="AG286" s="322">
        <f>IFERROR(Calculations[[#This Row],[Total Kg]]*Calculations[[#This Row],[Seq factor]],0)</f>
        <v>0</v>
      </c>
      <c r="AI286" s="322">
        <f>Calculations[[#This Row],[A1-3]]+Calculations[[#This Row],[A4]]+Calculations[[#This Row],[A5]]+Calculations[[#This Row],[B4]]+Calculations[[#This Row],[C2 total]]+Calculations[[#This Row],[C3 total]]+Calculations[[#This Row],[C4 total]]</f>
        <v>0</v>
      </c>
      <c r="AJ286" s="2">
        <f>IFERROR(VLOOKUP(Calculations[[#This Row],[Material (choose from dropdown]],MaterialData[[#Headers],[#Data]],9,FALSE),0)</f>
        <v>0</v>
      </c>
      <c r="AK286" s="4">
        <f>IFERROR(VLOOKUP(Calculations[[#This Row],[Material (choose from dropdown]],MaterialData[[#Headers],[#Data]],10,FALSE),0)</f>
        <v>0</v>
      </c>
      <c r="AL286" s="322">
        <f>IFERROR(Calculations[[#This Row],[Data Quality Score]]*Calculations[[#This Row],[Total Kg]],0)</f>
        <v>0</v>
      </c>
    </row>
    <row r="287" spans="1:38" x14ac:dyDescent="0.3">
      <c r="A287" s="6">
        <f>IFERROR(MaterialsBoQ[[#This Row],[Scope Element]],0)</f>
        <v>0</v>
      </c>
      <c r="B287">
        <f>IFERROR(MaterialsBoQ[[#This Row],[Material ]],"")</f>
        <v>0</v>
      </c>
      <c r="C287">
        <f>IFERROR(MaterialsBoQ[[#This Row],[Unit]],"")</f>
        <v>0</v>
      </c>
      <c r="D287" s="322">
        <f>IFERROR(MaterialsBoQ[[#This Row],[Number]],0)</f>
        <v>0</v>
      </c>
      <c r="E287" s="322">
        <f>IFERROR(MaterialsBoQ[[#This Row],[Kg per unit]],0)</f>
        <v>0</v>
      </c>
      <c r="F287" s="322">
        <f>IFERROR(Calculations[[#This Row],[Number]]*Calculations[[#This Row],[Conversion factor]],0)</f>
        <v>0</v>
      </c>
      <c r="G287" s="322">
        <f>IFERROR(VLOOKUP(Calculations[[#This Row],[Material (choose from dropdown]],MaterialData[#All],7,FALSE),0)</f>
        <v>0</v>
      </c>
      <c r="H287" s="322">
        <f>Calculations[[#This Row],[Total Kg]]*Calculations[[#This Row],[Carbon Factor]]</f>
        <v>0</v>
      </c>
      <c r="I287" t="str">
        <f>IFERROR(VLOOKUP(Calculations[[#This Row],[Material (choose from dropdown]],MaterialData[#All],2,FALSE),"")</f>
        <v/>
      </c>
      <c r="J287" s="322">
        <f>IFERROR(((VLOOKUP(Calculations[[#This Row],[TransportSource]],TransportDistance[],2,FALSE)*'Stage assumptions'!$C$11)+VLOOKUP(Calculations[[#This Row],[TransportSource]],TransportDistance[],3,FALSE)*'Stage assumptions'!$C$12)*Calculations[[#This Row],[Total Kg]],0)</f>
        <v>0</v>
      </c>
      <c r="K287">
        <f>IFERROR(VLOOKUP(Calculations[[#This Row],[Material (choose from dropdown]], MaterialData[#All],3, FALSE),0)</f>
        <v>0</v>
      </c>
      <c r="L287" s="322">
        <f>IFERROR(VLOOKUP(Calculations[[#This Row],[A5type]],A5WastageRate[#All],2,FALSE)*Calculations[[#This Row],[A1-3]],0)</f>
        <v>0</v>
      </c>
      <c r="N287">
        <f>IFERROR(ROUNDUP(50/VLOOKUP(Calculations[[#This Row],[Scope Element]],B4referenceServiceLife[[Tier 2 element]:[Default Service Life]],2, FALSE)-1,0),0)</f>
        <v>0</v>
      </c>
      <c r="O287" s="322">
        <f>IFERROR((Calculations[[#This Row],[A1-3]]+Calculations[[#This Row],[A4]]+Calculations[[#This Row],[A5]]+Calculations[[#This Row],[C2 total]]+Calculations[[#This Row],[C3 total]]+Calculations[[#This Row],[C4 total]])*Calculations[[#This Row],[Replacements]],0)</f>
        <v>0</v>
      </c>
      <c r="S287" t="str">
        <f>IFERROR(VLOOKUP(Calculations[[#This Row],[Material (choose from dropdown]],MaterialData[#All],4,FALSE),"")</f>
        <v/>
      </c>
      <c r="T287" s="322" cm="1">
        <f t="array" ref="T287">IFERROR(VLOOKUP(Calculations[[#This Row],[Waste 1]],WasteScenario[#All],2,FALSE)*'Stage assumptions'!$C$225*WasteTransportMethod[Emissions Factor
kgCO2e/kg.km]*Calculations[[#This Row],[Total Kg]],0)</f>
        <v>0</v>
      </c>
      <c r="U287" s="322" cm="1">
        <f t="array" ref="U287">IFERROR(VLOOKUP(Calculations[[#This Row],[Waste 1]],WasteScenario[#All],3,FALSE)*'Stage assumptions'!$C$224*WasteTransportMethod[Emissions Factor
kgCO2e/kg.km]*Calculations[[#This Row],[Total Kg]],0)</f>
        <v>0</v>
      </c>
      <c r="V287" s="322" cm="1">
        <f t="array" ref="V287">IFERROR(VLOOKUP(Calculations[[#This Row],[Waste 1]],WasteScenario[#All],4,FALSE)*'Stage assumptions'!$C$223*WasteTransportMethod[Emissions Factor
kgCO2e/kg.km]*Calculations[[#This Row],[Total Kg]],0)</f>
        <v>0</v>
      </c>
      <c r="W287" s="322" cm="1">
        <f t="array" ref="W287">IFERROR(VLOOKUP(Calculations[[#This Row],[Waste 1]],WasteScenario[#All],5,FALSE)*'Stage assumptions'!$C$226*WasteTransportMethod[Emissions Factor
kgCO2e/kg.km]*Calculations[[#This Row],[Total Kg]],0)</f>
        <v>0</v>
      </c>
      <c r="X287" s="322">
        <f>SUM(Calculations[[#This Row],[C2 Recycle]:[C2 Reuse]])</f>
        <v>0</v>
      </c>
      <c r="Y287" t="str">
        <f>IFERROR(VLOOKUP(Calculations[[#This Row],[Material (choose from dropdown]],MaterialData[#All],5,FALSE),"")</f>
        <v/>
      </c>
      <c r="Z287" s="322">
        <f>IFERROR(((VLOOKUP(Calculations[[#This Row],[Waste type 2]],WasteDisposalEmissions[#All],2,FALSE))*Calculations[[#This Row],[Total Kg]])*VLOOKUP(Calculations[[#This Row],[Waste 1]],WasteScenario[#All],2,FALSE),0)</f>
        <v>0</v>
      </c>
      <c r="AA287" s="322">
        <f>IFERROR((VLOOKUP(Calculations[[#This Row],[Waste type 2]],WasteDisposalEmissions[#All],3,FALSE))*Calculations[[#This Row],[Total Kg]]*VLOOKUP(Calculations[[#This Row],[Waste 1]],WasteScenario[#All],3,FALSE),0)</f>
        <v>0</v>
      </c>
      <c r="AB287" s="322">
        <f>SUM(Calculations[[#This Row],[C3 recyc]:[C3 incin]])</f>
        <v>0</v>
      </c>
      <c r="AC287" s="334">
        <f>IFERROR((VLOOKUP(Calculations[[#This Row],[Waste type 2]],WasteLandfillEmissions[#All],2,FALSE))*Calculations[[#This Row],[Total Kg]]*VLOOKUP(Calculations[[#This Row],[Waste 1]],WasteScenario[#All],4,FALSE),0)</f>
        <v>0</v>
      </c>
      <c r="AD287" s="322">
        <f>IFERROR((VLOOKUP(Calculations[[#This Row],[Waste type 2]],WasteLandfillEmissions[#All],3,FALSE))*Calculations[[#This Row],[Total Kg]]*VLOOKUP(Calculations[[#This Row],[Waste 1]],WasteScenario[#All],4,FALSE),0)</f>
        <v>0</v>
      </c>
      <c r="AE287" s="322">
        <f>SUM(Calculations[[#This Row],[C4 landfill]:[C4 re-use]])</f>
        <v>0</v>
      </c>
      <c r="AF287" s="322">
        <f>IFERROR(VLOOKUP(Calculations[[#This Row],[Material (choose from dropdown]],MaterialData[#All],8,FALSE),0)</f>
        <v>0</v>
      </c>
      <c r="AG287" s="322">
        <f>IFERROR(Calculations[[#This Row],[Total Kg]]*Calculations[[#This Row],[Seq factor]],0)</f>
        <v>0</v>
      </c>
      <c r="AI287" s="322">
        <f>Calculations[[#This Row],[A1-3]]+Calculations[[#This Row],[A4]]+Calculations[[#This Row],[A5]]+Calculations[[#This Row],[B4]]+Calculations[[#This Row],[C2 total]]+Calculations[[#This Row],[C3 total]]+Calculations[[#This Row],[C4 total]]</f>
        <v>0</v>
      </c>
      <c r="AJ287" s="2">
        <f>IFERROR(VLOOKUP(Calculations[[#This Row],[Material (choose from dropdown]],MaterialData[[#Headers],[#Data]],9,FALSE),0)</f>
        <v>0</v>
      </c>
      <c r="AK287" s="4">
        <f>IFERROR(VLOOKUP(Calculations[[#This Row],[Material (choose from dropdown]],MaterialData[[#Headers],[#Data]],10,FALSE),0)</f>
        <v>0</v>
      </c>
      <c r="AL287" s="322">
        <f>IFERROR(Calculations[[#This Row],[Data Quality Score]]*Calculations[[#This Row],[Total Kg]],0)</f>
        <v>0</v>
      </c>
    </row>
    <row r="288" spans="1:38" x14ac:dyDescent="0.3">
      <c r="A288" s="6">
        <f>IFERROR(MaterialsBoQ[[#This Row],[Scope Element]],0)</f>
        <v>0</v>
      </c>
      <c r="B288">
        <f>IFERROR(MaterialsBoQ[[#This Row],[Material ]],"")</f>
        <v>0</v>
      </c>
      <c r="C288">
        <f>IFERROR(MaterialsBoQ[[#This Row],[Unit]],"")</f>
        <v>0</v>
      </c>
      <c r="D288" s="322">
        <f>IFERROR(MaterialsBoQ[[#This Row],[Number]],0)</f>
        <v>0</v>
      </c>
      <c r="E288" s="322">
        <f>IFERROR(MaterialsBoQ[[#This Row],[Kg per unit]],0)</f>
        <v>0</v>
      </c>
      <c r="F288" s="322">
        <f>IFERROR(Calculations[[#This Row],[Number]]*Calculations[[#This Row],[Conversion factor]],0)</f>
        <v>0</v>
      </c>
      <c r="G288" s="322">
        <f>IFERROR(VLOOKUP(Calculations[[#This Row],[Material (choose from dropdown]],MaterialData[#All],7,FALSE),0)</f>
        <v>0</v>
      </c>
      <c r="H288" s="322">
        <f>Calculations[[#This Row],[Total Kg]]*Calculations[[#This Row],[Carbon Factor]]</f>
        <v>0</v>
      </c>
      <c r="I288" t="str">
        <f>IFERROR(VLOOKUP(Calculations[[#This Row],[Material (choose from dropdown]],MaterialData[#All],2,FALSE),"")</f>
        <v/>
      </c>
      <c r="J288" s="322">
        <f>IFERROR(((VLOOKUP(Calculations[[#This Row],[TransportSource]],TransportDistance[],2,FALSE)*'Stage assumptions'!$C$11)+VLOOKUP(Calculations[[#This Row],[TransportSource]],TransportDistance[],3,FALSE)*'Stage assumptions'!$C$12)*Calculations[[#This Row],[Total Kg]],0)</f>
        <v>0</v>
      </c>
      <c r="K288">
        <f>IFERROR(VLOOKUP(Calculations[[#This Row],[Material (choose from dropdown]], MaterialData[#All],3, FALSE),0)</f>
        <v>0</v>
      </c>
      <c r="L288" s="322">
        <f>IFERROR(VLOOKUP(Calculations[[#This Row],[A5type]],A5WastageRate[#All],2,FALSE)*Calculations[[#This Row],[A1-3]],0)</f>
        <v>0</v>
      </c>
      <c r="N288">
        <f>IFERROR(ROUNDUP(50/VLOOKUP(Calculations[[#This Row],[Scope Element]],B4referenceServiceLife[[Tier 2 element]:[Default Service Life]],2, FALSE)-1,0),0)</f>
        <v>0</v>
      </c>
      <c r="O288" s="322">
        <f>IFERROR((Calculations[[#This Row],[A1-3]]+Calculations[[#This Row],[A4]]+Calculations[[#This Row],[A5]]+Calculations[[#This Row],[C2 total]]+Calculations[[#This Row],[C3 total]]+Calculations[[#This Row],[C4 total]])*Calculations[[#This Row],[Replacements]],0)</f>
        <v>0</v>
      </c>
      <c r="S288" t="str">
        <f>IFERROR(VLOOKUP(Calculations[[#This Row],[Material (choose from dropdown]],MaterialData[#All],4,FALSE),"")</f>
        <v/>
      </c>
      <c r="T288" s="322" cm="1">
        <f t="array" ref="T288">IFERROR(VLOOKUP(Calculations[[#This Row],[Waste 1]],WasteScenario[#All],2,FALSE)*'Stage assumptions'!$C$225*WasteTransportMethod[Emissions Factor
kgCO2e/kg.km]*Calculations[[#This Row],[Total Kg]],0)</f>
        <v>0</v>
      </c>
      <c r="U288" s="322" cm="1">
        <f t="array" ref="U288">IFERROR(VLOOKUP(Calculations[[#This Row],[Waste 1]],WasteScenario[#All],3,FALSE)*'Stage assumptions'!$C$224*WasteTransportMethod[Emissions Factor
kgCO2e/kg.km]*Calculations[[#This Row],[Total Kg]],0)</f>
        <v>0</v>
      </c>
      <c r="V288" s="322" cm="1">
        <f t="array" ref="V288">IFERROR(VLOOKUP(Calculations[[#This Row],[Waste 1]],WasteScenario[#All],4,FALSE)*'Stage assumptions'!$C$223*WasteTransportMethod[Emissions Factor
kgCO2e/kg.km]*Calculations[[#This Row],[Total Kg]],0)</f>
        <v>0</v>
      </c>
      <c r="W288" s="322" cm="1">
        <f t="array" ref="W288">IFERROR(VLOOKUP(Calculations[[#This Row],[Waste 1]],WasteScenario[#All],5,FALSE)*'Stage assumptions'!$C$226*WasteTransportMethod[Emissions Factor
kgCO2e/kg.km]*Calculations[[#This Row],[Total Kg]],0)</f>
        <v>0</v>
      </c>
      <c r="X288" s="322">
        <f>SUM(Calculations[[#This Row],[C2 Recycle]:[C2 Reuse]])</f>
        <v>0</v>
      </c>
      <c r="Y288" t="str">
        <f>IFERROR(VLOOKUP(Calculations[[#This Row],[Material (choose from dropdown]],MaterialData[#All],5,FALSE),"")</f>
        <v/>
      </c>
      <c r="Z288" s="322">
        <f>IFERROR(((VLOOKUP(Calculations[[#This Row],[Waste type 2]],WasteDisposalEmissions[#All],2,FALSE))*Calculations[[#This Row],[Total Kg]])*VLOOKUP(Calculations[[#This Row],[Waste 1]],WasteScenario[#All],2,FALSE),0)</f>
        <v>0</v>
      </c>
      <c r="AA288" s="322">
        <f>IFERROR((VLOOKUP(Calculations[[#This Row],[Waste type 2]],WasteDisposalEmissions[#All],3,FALSE))*Calculations[[#This Row],[Total Kg]]*VLOOKUP(Calculations[[#This Row],[Waste 1]],WasteScenario[#All],3,FALSE),0)</f>
        <v>0</v>
      </c>
      <c r="AB288" s="322">
        <f>SUM(Calculations[[#This Row],[C3 recyc]:[C3 incin]])</f>
        <v>0</v>
      </c>
      <c r="AC288" s="334">
        <f>IFERROR((VLOOKUP(Calculations[[#This Row],[Waste type 2]],WasteLandfillEmissions[#All],2,FALSE))*Calculations[[#This Row],[Total Kg]]*VLOOKUP(Calculations[[#This Row],[Waste 1]],WasteScenario[#All],4,FALSE),0)</f>
        <v>0</v>
      </c>
      <c r="AD288" s="322">
        <f>IFERROR((VLOOKUP(Calculations[[#This Row],[Waste type 2]],WasteLandfillEmissions[#All],3,FALSE))*Calculations[[#This Row],[Total Kg]]*VLOOKUP(Calculations[[#This Row],[Waste 1]],WasteScenario[#All],4,FALSE),0)</f>
        <v>0</v>
      </c>
      <c r="AE288" s="322">
        <f>SUM(Calculations[[#This Row],[C4 landfill]:[C4 re-use]])</f>
        <v>0</v>
      </c>
      <c r="AF288" s="322">
        <f>IFERROR(VLOOKUP(Calculations[[#This Row],[Material (choose from dropdown]],MaterialData[#All],8,FALSE),0)</f>
        <v>0</v>
      </c>
      <c r="AG288" s="322">
        <f>IFERROR(Calculations[[#This Row],[Total Kg]]*Calculations[[#This Row],[Seq factor]],0)</f>
        <v>0</v>
      </c>
      <c r="AI288" s="322">
        <f>Calculations[[#This Row],[A1-3]]+Calculations[[#This Row],[A4]]+Calculations[[#This Row],[A5]]+Calculations[[#This Row],[B4]]+Calculations[[#This Row],[C2 total]]+Calculations[[#This Row],[C3 total]]+Calculations[[#This Row],[C4 total]]</f>
        <v>0</v>
      </c>
      <c r="AJ288" s="2">
        <f>IFERROR(VLOOKUP(Calculations[[#This Row],[Material (choose from dropdown]],MaterialData[[#Headers],[#Data]],9,FALSE),0)</f>
        <v>0</v>
      </c>
      <c r="AK288" s="4">
        <f>IFERROR(VLOOKUP(Calculations[[#This Row],[Material (choose from dropdown]],MaterialData[[#Headers],[#Data]],10,FALSE),0)</f>
        <v>0</v>
      </c>
      <c r="AL288" s="322">
        <f>IFERROR(Calculations[[#This Row],[Data Quality Score]]*Calculations[[#This Row],[Total Kg]],0)</f>
        <v>0</v>
      </c>
    </row>
    <row r="289" spans="1:38" x14ac:dyDescent="0.3">
      <c r="A289" s="6">
        <f>IFERROR(MaterialsBoQ[[#This Row],[Scope Element]],0)</f>
        <v>0</v>
      </c>
      <c r="B289">
        <f>IFERROR(MaterialsBoQ[[#This Row],[Material ]],"")</f>
        <v>0</v>
      </c>
      <c r="C289">
        <f>IFERROR(MaterialsBoQ[[#This Row],[Unit]],"")</f>
        <v>0</v>
      </c>
      <c r="D289" s="322">
        <f>IFERROR(MaterialsBoQ[[#This Row],[Number]],0)</f>
        <v>0</v>
      </c>
      <c r="E289" s="322">
        <f>IFERROR(MaterialsBoQ[[#This Row],[Kg per unit]],0)</f>
        <v>0</v>
      </c>
      <c r="F289" s="322">
        <f>IFERROR(Calculations[[#This Row],[Number]]*Calculations[[#This Row],[Conversion factor]],0)</f>
        <v>0</v>
      </c>
      <c r="G289" s="322">
        <f>IFERROR(VLOOKUP(Calculations[[#This Row],[Material (choose from dropdown]],MaterialData[#All],7,FALSE),0)</f>
        <v>0</v>
      </c>
      <c r="H289" s="322">
        <f>Calculations[[#This Row],[Total Kg]]*Calculations[[#This Row],[Carbon Factor]]</f>
        <v>0</v>
      </c>
      <c r="I289" t="str">
        <f>IFERROR(VLOOKUP(Calculations[[#This Row],[Material (choose from dropdown]],MaterialData[#All],2,FALSE),"")</f>
        <v/>
      </c>
      <c r="J289" s="322">
        <f>IFERROR(((VLOOKUP(Calculations[[#This Row],[TransportSource]],TransportDistance[],2,FALSE)*'Stage assumptions'!$C$11)+VLOOKUP(Calculations[[#This Row],[TransportSource]],TransportDistance[],3,FALSE)*'Stage assumptions'!$C$12)*Calculations[[#This Row],[Total Kg]],0)</f>
        <v>0</v>
      </c>
      <c r="K289">
        <f>IFERROR(VLOOKUP(Calculations[[#This Row],[Material (choose from dropdown]], MaterialData[#All],3, FALSE),0)</f>
        <v>0</v>
      </c>
      <c r="L289" s="322">
        <f>IFERROR(VLOOKUP(Calculations[[#This Row],[A5type]],A5WastageRate[#All],2,FALSE)*Calculations[[#This Row],[A1-3]],0)</f>
        <v>0</v>
      </c>
      <c r="N289">
        <f>IFERROR(ROUNDUP(50/VLOOKUP(Calculations[[#This Row],[Scope Element]],B4referenceServiceLife[[Tier 2 element]:[Default Service Life]],2, FALSE)-1,0),0)</f>
        <v>0</v>
      </c>
      <c r="O289" s="322">
        <f>IFERROR((Calculations[[#This Row],[A1-3]]+Calculations[[#This Row],[A4]]+Calculations[[#This Row],[A5]]+Calculations[[#This Row],[C2 total]]+Calculations[[#This Row],[C3 total]]+Calculations[[#This Row],[C4 total]])*Calculations[[#This Row],[Replacements]],0)</f>
        <v>0</v>
      </c>
      <c r="S289" t="str">
        <f>IFERROR(VLOOKUP(Calculations[[#This Row],[Material (choose from dropdown]],MaterialData[#All],4,FALSE),"")</f>
        <v/>
      </c>
      <c r="T289" s="322" cm="1">
        <f t="array" ref="T289">IFERROR(VLOOKUP(Calculations[[#This Row],[Waste 1]],WasteScenario[#All],2,FALSE)*'Stage assumptions'!$C$225*WasteTransportMethod[Emissions Factor
kgCO2e/kg.km]*Calculations[[#This Row],[Total Kg]],0)</f>
        <v>0</v>
      </c>
      <c r="U289" s="322" cm="1">
        <f t="array" ref="U289">IFERROR(VLOOKUP(Calculations[[#This Row],[Waste 1]],WasteScenario[#All],3,FALSE)*'Stage assumptions'!$C$224*WasteTransportMethod[Emissions Factor
kgCO2e/kg.km]*Calculations[[#This Row],[Total Kg]],0)</f>
        <v>0</v>
      </c>
      <c r="V289" s="322" cm="1">
        <f t="array" ref="V289">IFERROR(VLOOKUP(Calculations[[#This Row],[Waste 1]],WasteScenario[#All],4,FALSE)*'Stage assumptions'!$C$223*WasteTransportMethod[Emissions Factor
kgCO2e/kg.km]*Calculations[[#This Row],[Total Kg]],0)</f>
        <v>0</v>
      </c>
      <c r="W289" s="322" cm="1">
        <f t="array" ref="W289">IFERROR(VLOOKUP(Calculations[[#This Row],[Waste 1]],WasteScenario[#All],5,FALSE)*'Stage assumptions'!$C$226*WasteTransportMethod[Emissions Factor
kgCO2e/kg.km]*Calculations[[#This Row],[Total Kg]],0)</f>
        <v>0</v>
      </c>
      <c r="X289" s="322">
        <f>SUM(Calculations[[#This Row],[C2 Recycle]:[C2 Reuse]])</f>
        <v>0</v>
      </c>
      <c r="Y289" t="str">
        <f>IFERROR(VLOOKUP(Calculations[[#This Row],[Material (choose from dropdown]],MaterialData[#All],5,FALSE),"")</f>
        <v/>
      </c>
      <c r="Z289" s="322">
        <f>IFERROR(((VLOOKUP(Calculations[[#This Row],[Waste type 2]],WasteDisposalEmissions[#All],2,FALSE))*Calculations[[#This Row],[Total Kg]])*VLOOKUP(Calculations[[#This Row],[Waste 1]],WasteScenario[#All],2,FALSE),0)</f>
        <v>0</v>
      </c>
      <c r="AA289" s="322">
        <f>IFERROR((VLOOKUP(Calculations[[#This Row],[Waste type 2]],WasteDisposalEmissions[#All],3,FALSE))*Calculations[[#This Row],[Total Kg]]*VLOOKUP(Calculations[[#This Row],[Waste 1]],WasteScenario[#All],3,FALSE),0)</f>
        <v>0</v>
      </c>
      <c r="AB289" s="322">
        <f>SUM(Calculations[[#This Row],[C3 recyc]:[C3 incin]])</f>
        <v>0</v>
      </c>
      <c r="AC289" s="334">
        <f>IFERROR((VLOOKUP(Calculations[[#This Row],[Waste type 2]],WasteLandfillEmissions[#All],2,FALSE))*Calculations[[#This Row],[Total Kg]]*VLOOKUP(Calculations[[#This Row],[Waste 1]],WasteScenario[#All],4,FALSE),0)</f>
        <v>0</v>
      </c>
      <c r="AD289" s="322">
        <f>IFERROR((VLOOKUP(Calculations[[#This Row],[Waste type 2]],WasteLandfillEmissions[#All],3,FALSE))*Calculations[[#This Row],[Total Kg]]*VLOOKUP(Calculations[[#This Row],[Waste 1]],WasteScenario[#All],4,FALSE),0)</f>
        <v>0</v>
      </c>
      <c r="AE289" s="322">
        <f>SUM(Calculations[[#This Row],[C4 landfill]:[C4 re-use]])</f>
        <v>0</v>
      </c>
      <c r="AF289" s="322">
        <f>IFERROR(VLOOKUP(Calculations[[#This Row],[Material (choose from dropdown]],MaterialData[#All],8,FALSE),0)</f>
        <v>0</v>
      </c>
      <c r="AG289" s="322">
        <f>IFERROR(Calculations[[#This Row],[Total Kg]]*Calculations[[#This Row],[Seq factor]],0)</f>
        <v>0</v>
      </c>
      <c r="AI289" s="322">
        <f>Calculations[[#This Row],[A1-3]]+Calculations[[#This Row],[A4]]+Calculations[[#This Row],[A5]]+Calculations[[#This Row],[B4]]+Calculations[[#This Row],[C2 total]]+Calculations[[#This Row],[C3 total]]+Calculations[[#This Row],[C4 total]]</f>
        <v>0</v>
      </c>
      <c r="AJ289" s="2">
        <f>IFERROR(VLOOKUP(Calculations[[#This Row],[Material (choose from dropdown]],MaterialData[[#Headers],[#Data]],9,FALSE),0)</f>
        <v>0</v>
      </c>
      <c r="AK289" s="4">
        <f>IFERROR(VLOOKUP(Calculations[[#This Row],[Material (choose from dropdown]],MaterialData[[#Headers],[#Data]],10,FALSE),0)</f>
        <v>0</v>
      </c>
      <c r="AL289" s="322">
        <f>IFERROR(Calculations[[#This Row],[Data Quality Score]]*Calculations[[#This Row],[Total Kg]],0)</f>
        <v>0</v>
      </c>
    </row>
    <row r="290" spans="1:38" x14ac:dyDescent="0.3">
      <c r="A290" s="6">
        <f>IFERROR(MaterialsBoQ[[#This Row],[Scope Element]],0)</f>
        <v>0</v>
      </c>
      <c r="B290">
        <f>IFERROR(MaterialsBoQ[[#This Row],[Material ]],"")</f>
        <v>0</v>
      </c>
      <c r="C290">
        <f>IFERROR(MaterialsBoQ[[#This Row],[Unit]],"")</f>
        <v>0</v>
      </c>
      <c r="D290" s="322">
        <f>IFERROR(MaterialsBoQ[[#This Row],[Number]],0)</f>
        <v>0</v>
      </c>
      <c r="E290" s="322">
        <f>IFERROR(MaterialsBoQ[[#This Row],[Kg per unit]],0)</f>
        <v>0</v>
      </c>
      <c r="F290" s="322">
        <f>IFERROR(Calculations[[#This Row],[Number]]*Calculations[[#This Row],[Conversion factor]],0)</f>
        <v>0</v>
      </c>
      <c r="G290" s="322">
        <f>IFERROR(VLOOKUP(Calculations[[#This Row],[Material (choose from dropdown]],MaterialData[#All],7,FALSE),0)</f>
        <v>0</v>
      </c>
      <c r="H290" s="322">
        <f>Calculations[[#This Row],[Total Kg]]*Calculations[[#This Row],[Carbon Factor]]</f>
        <v>0</v>
      </c>
      <c r="I290" t="str">
        <f>IFERROR(VLOOKUP(Calculations[[#This Row],[Material (choose from dropdown]],MaterialData[#All],2,FALSE),"")</f>
        <v/>
      </c>
      <c r="J290" s="322">
        <f>IFERROR(((VLOOKUP(Calculations[[#This Row],[TransportSource]],TransportDistance[],2,FALSE)*'Stage assumptions'!$C$11)+VLOOKUP(Calculations[[#This Row],[TransportSource]],TransportDistance[],3,FALSE)*'Stage assumptions'!$C$12)*Calculations[[#This Row],[Total Kg]],0)</f>
        <v>0</v>
      </c>
      <c r="K290">
        <f>IFERROR(VLOOKUP(Calculations[[#This Row],[Material (choose from dropdown]], MaterialData[#All],3, FALSE),0)</f>
        <v>0</v>
      </c>
      <c r="L290" s="322">
        <f>IFERROR(VLOOKUP(Calculations[[#This Row],[A5type]],A5WastageRate[#All],2,FALSE)*Calculations[[#This Row],[A1-3]],0)</f>
        <v>0</v>
      </c>
      <c r="N290">
        <f>IFERROR(ROUNDUP(50/VLOOKUP(Calculations[[#This Row],[Scope Element]],B4referenceServiceLife[[Tier 2 element]:[Default Service Life]],2, FALSE)-1,0),0)</f>
        <v>0</v>
      </c>
      <c r="O290" s="322">
        <f>IFERROR((Calculations[[#This Row],[A1-3]]+Calculations[[#This Row],[A4]]+Calculations[[#This Row],[A5]]+Calculations[[#This Row],[C2 total]]+Calculations[[#This Row],[C3 total]]+Calculations[[#This Row],[C4 total]])*Calculations[[#This Row],[Replacements]],0)</f>
        <v>0</v>
      </c>
      <c r="S290" t="str">
        <f>IFERROR(VLOOKUP(Calculations[[#This Row],[Material (choose from dropdown]],MaterialData[#All],4,FALSE),"")</f>
        <v/>
      </c>
      <c r="T290" s="322" cm="1">
        <f t="array" ref="T290">IFERROR(VLOOKUP(Calculations[[#This Row],[Waste 1]],WasteScenario[#All],2,FALSE)*'Stage assumptions'!$C$225*WasteTransportMethod[Emissions Factor
kgCO2e/kg.km]*Calculations[[#This Row],[Total Kg]],0)</f>
        <v>0</v>
      </c>
      <c r="U290" s="322" cm="1">
        <f t="array" ref="U290">IFERROR(VLOOKUP(Calculations[[#This Row],[Waste 1]],WasteScenario[#All],3,FALSE)*'Stage assumptions'!$C$224*WasteTransportMethod[Emissions Factor
kgCO2e/kg.km]*Calculations[[#This Row],[Total Kg]],0)</f>
        <v>0</v>
      </c>
      <c r="V290" s="322" cm="1">
        <f t="array" ref="V290">IFERROR(VLOOKUP(Calculations[[#This Row],[Waste 1]],WasteScenario[#All],4,FALSE)*'Stage assumptions'!$C$223*WasteTransportMethod[Emissions Factor
kgCO2e/kg.km]*Calculations[[#This Row],[Total Kg]],0)</f>
        <v>0</v>
      </c>
      <c r="W290" s="322" cm="1">
        <f t="array" ref="W290">IFERROR(VLOOKUP(Calculations[[#This Row],[Waste 1]],WasteScenario[#All],5,FALSE)*'Stage assumptions'!$C$226*WasteTransportMethod[Emissions Factor
kgCO2e/kg.km]*Calculations[[#This Row],[Total Kg]],0)</f>
        <v>0</v>
      </c>
      <c r="X290" s="322">
        <f>SUM(Calculations[[#This Row],[C2 Recycle]:[C2 Reuse]])</f>
        <v>0</v>
      </c>
      <c r="Y290" t="str">
        <f>IFERROR(VLOOKUP(Calculations[[#This Row],[Material (choose from dropdown]],MaterialData[#All],5,FALSE),"")</f>
        <v/>
      </c>
      <c r="Z290" s="322">
        <f>IFERROR(((VLOOKUP(Calculations[[#This Row],[Waste type 2]],WasteDisposalEmissions[#All],2,FALSE))*Calculations[[#This Row],[Total Kg]])*VLOOKUP(Calculations[[#This Row],[Waste 1]],WasteScenario[#All],2,FALSE),0)</f>
        <v>0</v>
      </c>
      <c r="AA290" s="322">
        <f>IFERROR((VLOOKUP(Calculations[[#This Row],[Waste type 2]],WasteDisposalEmissions[#All],3,FALSE))*Calculations[[#This Row],[Total Kg]]*VLOOKUP(Calculations[[#This Row],[Waste 1]],WasteScenario[#All],3,FALSE),0)</f>
        <v>0</v>
      </c>
      <c r="AB290" s="322">
        <f>SUM(Calculations[[#This Row],[C3 recyc]:[C3 incin]])</f>
        <v>0</v>
      </c>
      <c r="AC290" s="334">
        <f>IFERROR((VLOOKUP(Calculations[[#This Row],[Waste type 2]],WasteLandfillEmissions[#All],2,FALSE))*Calculations[[#This Row],[Total Kg]]*VLOOKUP(Calculations[[#This Row],[Waste 1]],WasteScenario[#All],4,FALSE),0)</f>
        <v>0</v>
      </c>
      <c r="AD290" s="322">
        <f>IFERROR((VLOOKUP(Calculations[[#This Row],[Waste type 2]],WasteLandfillEmissions[#All],3,FALSE))*Calculations[[#This Row],[Total Kg]]*VLOOKUP(Calculations[[#This Row],[Waste 1]],WasteScenario[#All],4,FALSE),0)</f>
        <v>0</v>
      </c>
      <c r="AE290" s="322">
        <f>SUM(Calculations[[#This Row],[C4 landfill]:[C4 re-use]])</f>
        <v>0</v>
      </c>
      <c r="AF290" s="322">
        <f>IFERROR(VLOOKUP(Calculations[[#This Row],[Material (choose from dropdown]],MaterialData[#All],8,FALSE),0)</f>
        <v>0</v>
      </c>
      <c r="AG290" s="322">
        <f>IFERROR(Calculations[[#This Row],[Total Kg]]*Calculations[[#This Row],[Seq factor]],0)</f>
        <v>0</v>
      </c>
      <c r="AI290" s="322">
        <f>Calculations[[#This Row],[A1-3]]+Calculations[[#This Row],[A4]]+Calculations[[#This Row],[A5]]+Calculations[[#This Row],[B4]]+Calculations[[#This Row],[C2 total]]+Calculations[[#This Row],[C3 total]]+Calculations[[#This Row],[C4 total]]</f>
        <v>0</v>
      </c>
      <c r="AJ290" s="2">
        <f>IFERROR(VLOOKUP(Calculations[[#This Row],[Material (choose from dropdown]],MaterialData[[#Headers],[#Data]],9,FALSE),0)</f>
        <v>0</v>
      </c>
      <c r="AK290" s="4">
        <f>IFERROR(VLOOKUP(Calculations[[#This Row],[Material (choose from dropdown]],MaterialData[[#Headers],[#Data]],10,FALSE),0)</f>
        <v>0</v>
      </c>
      <c r="AL290" s="322">
        <f>IFERROR(Calculations[[#This Row],[Data Quality Score]]*Calculations[[#This Row],[Total Kg]],0)</f>
        <v>0</v>
      </c>
    </row>
    <row r="291" spans="1:38" x14ac:dyDescent="0.3">
      <c r="A291" s="6">
        <f>IFERROR(MaterialsBoQ[[#This Row],[Scope Element]],0)</f>
        <v>0</v>
      </c>
      <c r="B291">
        <f>IFERROR(MaterialsBoQ[[#This Row],[Material ]],"")</f>
        <v>0</v>
      </c>
      <c r="C291">
        <f>IFERROR(MaterialsBoQ[[#This Row],[Unit]],"")</f>
        <v>0</v>
      </c>
      <c r="D291" s="322">
        <f>IFERROR(MaterialsBoQ[[#This Row],[Number]],0)</f>
        <v>0</v>
      </c>
      <c r="E291" s="322">
        <f>IFERROR(MaterialsBoQ[[#This Row],[Kg per unit]],0)</f>
        <v>0</v>
      </c>
      <c r="F291" s="322">
        <f>IFERROR(Calculations[[#This Row],[Number]]*Calculations[[#This Row],[Conversion factor]],0)</f>
        <v>0</v>
      </c>
      <c r="G291" s="322">
        <f>IFERROR(VLOOKUP(Calculations[[#This Row],[Material (choose from dropdown]],MaterialData[#All],7,FALSE),0)</f>
        <v>0</v>
      </c>
      <c r="H291" s="322">
        <f>Calculations[[#This Row],[Total Kg]]*Calculations[[#This Row],[Carbon Factor]]</f>
        <v>0</v>
      </c>
      <c r="I291" t="str">
        <f>IFERROR(VLOOKUP(Calculations[[#This Row],[Material (choose from dropdown]],MaterialData[#All],2,FALSE),"")</f>
        <v/>
      </c>
      <c r="J291" s="322">
        <f>IFERROR(((VLOOKUP(Calculations[[#This Row],[TransportSource]],TransportDistance[],2,FALSE)*'Stage assumptions'!$C$11)+VLOOKUP(Calculations[[#This Row],[TransportSource]],TransportDistance[],3,FALSE)*'Stage assumptions'!$C$12)*Calculations[[#This Row],[Total Kg]],0)</f>
        <v>0</v>
      </c>
      <c r="K291">
        <f>IFERROR(VLOOKUP(Calculations[[#This Row],[Material (choose from dropdown]], MaterialData[#All],3, FALSE),0)</f>
        <v>0</v>
      </c>
      <c r="L291" s="322">
        <f>IFERROR(VLOOKUP(Calculations[[#This Row],[A5type]],A5WastageRate[#All],2,FALSE)*Calculations[[#This Row],[A1-3]],0)</f>
        <v>0</v>
      </c>
      <c r="N291">
        <f>IFERROR(ROUNDUP(50/VLOOKUP(Calculations[[#This Row],[Scope Element]],B4referenceServiceLife[[Tier 2 element]:[Default Service Life]],2, FALSE)-1,0),0)</f>
        <v>0</v>
      </c>
      <c r="O291" s="322">
        <f>IFERROR((Calculations[[#This Row],[A1-3]]+Calculations[[#This Row],[A4]]+Calculations[[#This Row],[A5]]+Calculations[[#This Row],[C2 total]]+Calculations[[#This Row],[C3 total]]+Calculations[[#This Row],[C4 total]])*Calculations[[#This Row],[Replacements]],0)</f>
        <v>0</v>
      </c>
      <c r="S291" t="str">
        <f>IFERROR(VLOOKUP(Calculations[[#This Row],[Material (choose from dropdown]],MaterialData[#All],4,FALSE),"")</f>
        <v/>
      </c>
      <c r="T291" s="322" cm="1">
        <f t="array" ref="T291">IFERROR(VLOOKUP(Calculations[[#This Row],[Waste 1]],WasteScenario[#All],2,FALSE)*'Stage assumptions'!$C$225*WasteTransportMethod[Emissions Factor
kgCO2e/kg.km]*Calculations[[#This Row],[Total Kg]],0)</f>
        <v>0</v>
      </c>
      <c r="U291" s="322" cm="1">
        <f t="array" ref="U291">IFERROR(VLOOKUP(Calculations[[#This Row],[Waste 1]],WasteScenario[#All],3,FALSE)*'Stage assumptions'!$C$224*WasteTransportMethod[Emissions Factor
kgCO2e/kg.km]*Calculations[[#This Row],[Total Kg]],0)</f>
        <v>0</v>
      </c>
      <c r="V291" s="322" cm="1">
        <f t="array" ref="V291">IFERROR(VLOOKUP(Calculations[[#This Row],[Waste 1]],WasteScenario[#All],4,FALSE)*'Stage assumptions'!$C$223*WasteTransportMethod[Emissions Factor
kgCO2e/kg.km]*Calculations[[#This Row],[Total Kg]],0)</f>
        <v>0</v>
      </c>
      <c r="W291" s="322" cm="1">
        <f t="array" ref="W291">IFERROR(VLOOKUP(Calculations[[#This Row],[Waste 1]],WasteScenario[#All],5,FALSE)*'Stage assumptions'!$C$226*WasteTransportMethod[Emissions Factor
kgCO2e/kg.km]*Calculations[[#This Row],[Total Kg]],0)</f>
        <v>0</v>
      </c>
      <c r="X291" s="322">
        <f>SUM(Calculations[[#This Row],[C2 Recycle]:[C2 Reuse]])</f>
        <v>0</v>
      </c>
      <c r="Y291" t="str">
        <f>IFERROR(VLOOKUP(Calculations[[#This Row],[Material (choose from dropdown]],MaterialData[#All],5,FALSE),"")</f>
        <v/>
      </c>
      <c r="Z291" s="322">
        <f>IFERROR(((VLOOKUP(Calculations[[#This Row],[Waste type 2]],WasteDisposalEmissions[#All],2,FALSE))*Calculations[[#This Row],[Total Kg]])*VLOOKUP(Calculations[[#This Row],[Waste 1]],WasteScenario[#All],2,FALSE),0)</f>
        <v>0</v>
      </c>
      <c r="AA291" s="322">
        <f>IFERROR((VLOOKUP(Calculations[[#This Row],[Waste type 2]],WasteDisposalEmissions[#All],3,FALSE))*Calculations[[#This Row],[Total Kg]]*VLOOKUP(Calculations[[#This Row],[Waste 1]],WasteScenario[#All],3,FALSE),0)</f>
        <v>0</v>
      </c>
      <c r="AB291" s="322">
        <f>SUM(Calculations[[#This Row],[C3 recyc]:[C3 incin]])</f>
        <v>0</v>
      </c>
      <c r="AC291" s="334">
        <f>IFERROR((VLOOKUP(Calculations[[#This Row],[Waste type 2]],WasteLandfillEmissions[#All],2,FALSE))*Calculations[[#This Row],[Total Kg]]*VLOOKUP(Calculations[[#This Row],[Waste 1]],WasteScenario[#All],4,FALSE),0)</f>
        <v>0</v>
      </c>
      <c r="AD291" s="322">
        <f>IFERROR((VLOOKUP(Calculations[[#This Row],[Waste type 2]],WasteLandfillEmissions[#All],3,FALSE))*Calculations[[#This Row],[Total Kg]]*VLOOKUP(Calculations[[#This Row],[Waste 1]],WasteScenario[#All],4,FALSE),0)</f>
        <v>0</v>
      </c>
      <c r="AE291" s="322">
        <f>SUM(Calculations[[#This Row],[C4 landfill]:[C4 re-use]])</f>
        <v>0</v>
      </c>
      <c r="AF291" s="322">
        <f>IFERROR(VLOOKUP(Calculations[[#This Row],[Material (choose from dropdown]],MaterialData[#All],8,FALSE),0)</f>
        <v>0</v>
      </c>
      <c r="AG291" s="322">
        <f>IFERROR(Calculations[[#This Row],[Total Kg]]*Calculations[[#This Row],[Seq factor]],0)</f>
        <v>0</v>
      </c>
      <c r="AI291" s="322">
        <f>Calculations[[#This Row],[A1-3]]+Calculations[[#This Row],[A4]]+Calculations[[#This Row],[A5]]+Calculations[[#This Row],[B4]]+Calculations[[#This Row],[C2 total]]+Calculations[[#This Row],[C3 total]]+Calculations[[#This Row],[C4 total]]</f>
        <v>0</v>
      </c>
      <c r="AJ291" s="2">
        <f>IFERROR(VLOOKUP(Calculations[[#This Row],[Material (choose from dropdown]],MaterialData[[#Headers],[#Data]],9,FALSE),0)</f>
        <v>0</v>
      </c>
      <c r="AK291" s="4">
        <f>IFERROR(VLOOKUP(Calculations[[#This Row],[Material (choose from dropdown]],MaterialData[[#Headers],[#Data]],10,FALSE),0)</f>
        <v>0</v>
      </c>
      <c r="AL291" s="322">
        <f>IFERROR(Calculations[[#This Row],[Data Quality Score]]*Calculations[[#This Row],[Total Kg]],0)</f>
        <v>0</v>
      </c>
    </row>
    <row r="292" spans="1:38" x14ac:dyDescent="0.3">
      <c r="A292" s="6">
        <f>IFERROR(MaterialsBoQ[[#This Row],[Scope Element]],0)</f>
        <v>0</v>
      </c>
      <c r="B292">
        <f>IFERROR(MaterialsBoQ[[#This Row],[Material ]],"")</f>
        <v>0</v>
      </c>
      <c r="C292">
        <f>IFERROR(MaterialsBoQ[[#This Row],[Unit]],"")</f>
        <v>0</v>
      </c>
      <c r="D292" s="322">
        <f>IFERROR(MaterialsBoQ[[#This Row],[Number]],0)</f>
        <v>0</v>
      </c>
      <c r="E292" s="322">
        <f>IFERROR(MaterialsBoQ[[#This Row],[Kg per unit]],0)</f>
        <v>0</v>
      </c>
      <c r="F292" s="322">
        <f>IFERROR(Calculations[[#This Row],[Number]]*Calculations[[#This Row],[Conversion factor]],0)</f>
        <v>0</v>
      </c>
      <c r="G292" s="322">
        <f>IFERROR(VLOOKUP(Calculations[[#This Row],[Material (choose from dropdown]],MaterialData[#All],7,FALSE),0)</f>
        <v>0</v>
      </c>
      <c r="H292" s="322">
        <f>Calculations[[#This Row],[Total Kg]]*Calculations[[#This Row],[Carbon Factor]]</f>
        <v>0</v>
      </c>
      <c r="I292" t="str">
        <f>IFERROR(VLOOKUP(Calculations[[#This Row],[Material (choose from dropdown]],MaterialData[#All],2,FALSE),"")</f>
        <v/>
      </c>
      <c r="J292" s="322">
        <f>IFERROR(((VLOOKUP(Calculations[[#This Row],[TransportSource]],TransportDistance[],2,FALSE)*'Stage assumptions'!$C$11)+VLOOKUP(Calculations[[#This Row],[TransportSource]],TransportDistance[],3,FALSE)*'Stage assumptions'!$C$12)*Calculations[[#This Row],[Total Kg]],0)</f>
        <v>0</v>
      </c>
      <c r="K292">
        <f>IFERROR(VLOOKUP(Calculations[[#This Row],[Material (choose from dropdown]], MaterialData[#All],3, FALSE),0)</f>
        <v>0</v>
      </c>
      <c r="L292" s="322">
        <f>IFERROR(VLOOKUP(Calculations[[#This Row],[A5type]],A5WastageRate[#All],2,FALSE)*Calculations[[#This Row],[A1-3]],0)</f>
        <v>0</v>
      </c>
      <c r="N292">
        <f>IFERROR(ROUNDUP(50/VLOOKUP(Calculations[[#This Row],[Scope Element]],B4referenceServiceLife[[Tier 2 element]:[Default Service Life]],2, FALSE)-1,0),0)</f>
        <v>0</v>
      </c>
      <c r="O292" s="322">
        <f>IFERROR((Calculations[[#This Row],[A1-3]]+Calculations[[#This Row],[A4]]+Calculations[[#This Row],[A5]]+Calculations[[#This Row],[C2 total]]+Calculations[[#This Row],[C3 total]]+Calculations[[#This Row],[C4 total]])*Calculations[[#This Row],[Replacements]],0)</f>
        <v>0</v>
      </c>
      <c r="S292" t="str">
        <f>IFERROR(VLOOKUP(Calculations[[#This Row],[Material (choose from dropdown]],MaterialData[#All],4,FALSE),"")</f>
        <v/>
      </c>
      <c r="T292" s="322" cm="1">
        <f t="array" ref="T292">IFERROR(VLOOKUP(Calculations[[#This Row],[Waste 1]],WasteScenario[#All],2,FALSE)*'Stage assumptions'!$C$225*WasteTransportMethod[Emissions Factor
kgCO2e/kg.km]*Calculations[[#This Row],[Total Kg]],0)</f>
        <v>0</v>
      </c>
      <c r="U292" s="322" cm="1">
        <f t="array" ref="U292">IFERROR(VLOOKUP(Calculations[[#This Row],[Waste 1]],WasteScenario[#All],3,FALSE)*'Stage assumptions'!$C$224*WasteTransportMethod[Emissions Factor
kgCO2e/kg.km]*Calculations[[#This Row],[Total Kg]],0)</f>
        <v>0</v>
      </c>
      <c r="V292" s="322" cm="1">
        <f t="array" ref="V292">IFERROR(VLOOKUP(Calculations[[#This Row],[Waste 1]],WasteScenario[#All],4,FALSE)*'Stage assumptions'!$C$223*WasteTransportMethod[Emissions Factor
kgCO2e/kg.km]*Calculations[[#This Row],[Total Kg]],0)</f>
        <v>0</v>
      </c>
      <c r="W292" s="322" cm="1">
        <f t="array" ref="W292">IFERROR(VLOOKUP(Calculations[[#This Row],[Waste 1]],WasteScenario[#All],5,FALSE)*'Stage assumptions'!$C$226*WasteTransportMethod[Emissions Factor
kgCO2e/kg.km]*Calculations[[#This Row],[Total Kg]],0)</f>
        <v>0</v>
      </c>
      <c r="X292" s="322">
        <f>SUM(Calculations[[#This Row],[C2 Recycle]:[C2 Reuse]])</f>
        <v>0</v>
      </c>
      <c r="Y292" t="str">
        <f>IFERROR(VLOOKUP(Calculations[[#This Row],[Material (choose from dropdown]],MaterialData[#All],5,FALSE),"")</f>
        <v/>
      </c>
      <c r="Z292" s="322">
        <f>IFERROR(((VLOOKUP(Calculations[[#This Row],[Waste type 2]],WasteDisposalEmissions[#All],2,FALSE))*Calculations[[#This Row],[Total Kg]])*VLOOKUP(Calculations[[#This Row],[Waste 1]],WasteScenario[#All],2,FALSE),0)</f>
        <v>0</v>
      </c>
      <c r="AA292" s="322">
        <f>IFERROR((VLOOKUP(Calculations[[#This Row],[Waste type 2]],WasteDisposalEmissions[#All],3,FALSE))*Calculations[[#This Row],[Total Kg]]*VLOOKUP(Calculations[[#This Row],[Waste 1]],WasteScenario[#All],3,FALSE),0)</f>
        <v>0</v>
      </c>
      <c r="AB292" s="322">
        <f>SUM(Calculations[[#This Row],[C3 recyc]:[C3 incin]])</f>
        <v>0</v>
      </c>
      <c r="AC292" s="334">
        <f>IFERROR((VLOOKUP(Calculations[[#This Row],[Waste type 2]],WasteLandfillEmissions[#All],2,FALSE))*Calculations[[#This Row],[Total Kg]]*VLOOKUP(Calculations[[#This Row],[Waste 1]],WasteScenario[#All],4,FALSE),0)</f>
        <v>0</v>
      </c>
      <c r="AD292" s="322">
        <f>IFERROR((VLOOKUP(Calculations[[#This Row],[Waste type 2]],WasteLandfillEmissions[#All],3,FALSE))*Calculations[[#This Row],[Total Kg]]*VLOOKUP(Calculations[[#This Row],[Waste 1]],WasteScenario[#All],4,FALSE),0)</f>
        <v>0</v>
      </c>
      <c r="AE292" s="322">
        <f>SUM(Calculations[[#This Row],[C4 landfill]:[C4 re-use]])</f>
        <v>0</v>
      </c>
      <c r="AF292" s="322">
        <f>IFERROR(VLOOKUP(Calculations[[#This Row],[Material (choose from dropdown]],MaterialData[#All],8,FALSE),0)</f>
        <v>0</v>
      </c>
      <c r="AG292" s="322">
        <f>IFERROR(Calculations[[#This Row],[Total Kg]]*Calculations[[#This Row],[Seq factor]],0)</f>
        <v>0</v>
      </c>
      <c r="AI292" s="322">
        <f>Calculations[[#This Row],[A1-3]]+Calculations[[#This Row],[A4]]+Calculations[[#This Row],[A5]]+Calculations[[#This Row],[B4]]+Calculations[[#This Row],[C2 total]]+Calculations[[#This Row],[C3 total]]+Calculations[[#This Row],[C4 total]]</f>
        <v>0</v>
      </c>
      <c r="AJ292" s="2">
        <f>IFERROR(VLOOKUP(Calculations[[#This Row],[Material (choose from dropdown]],MaterialData[[#Headers],[#Data]],9,FALSE),0)</f>
        <v>0</v>
      </c>
      <c r="AK292" s="4">
        <f>IFERROR(VLOOKUP(Calculations[[#This Row],[Material (choose from dropdown]],MaterialData[[#Headers],[#Data]],10,FALSE),0)</f>
        <v>0</v>
      </c>
      <c r="AL292" s="322">
        <f>IFERROR(Calculations[[#This Row],[Data Quality Score]]*Calculations[[#This Row],[Total Kg]],0)</f>
        <v>0</v>
      </c>
    </row>
    <row r="293" spans="1:38" x14ac:dyDescent="0.3">
      <c r="A293" s="6">
        <f>IFERROR(MaterialsBoQ[[#This Row],[Scope Element]],0)</f>
        <v>0</v>
      </c>
      <c r="B293">
        <f>IFERROR(MaterialsBoQ[[#This Row],[Material ]],"")</f>
        <v>0</v>
      </c>
      <c r="C293">
        <f>IFERROR(MaterialsBoQ[[#This Row],[Unit]],"")</f>
        <v>0</v>
      </c>
      <c r="D293" s="322">
        <f>IFERROR(MaterialsBoQ[[#This Row],[Number]],0)</f>
        <v>0</v>
      </c>
      <c r="E293" s="322">
        <f>IFERROR(MaterialsBoQ[[#This Row],[Kg per unit]],0)</f>
        <v>0</v>
      </c>
      <c r="F293" s="322">
        <f>IFERROR(Calculations[[#This Row],[Number]]*Calculations[[#This Row],[Conversion factor]],0)</f>
        <v>0</v>
      </c>
      <c r="G293" s="322">
        <f>IFERROR(VLOOKUP(Calculations[[#This Row],[Material (choose from dropdown]],MaterialData[#All],7,FALSE),0)</f>
        <v>0</v>
      </c>
      <c r="H293" s="322">
        <f>Calculations[[#This Row],[Total Kg]]*Calculations[[#This Row],[Carbon Factor]]</f>
        <v>0</v>
      </c>
      <c r="I293" t="str">
        <f>IFERROR(VLOOKUP(Calculations[[#This Row],[Material (choose from dropdown]],MaterialData[#All],2,FALSE),"")</f>
        <v/>
      </c>
      <c r="J293" s="322">
        <f>IFERROR(((VLOOKUP(Calculations[[#This Row],[TransportSource]],TransportDistance[],2,FALSE)*'Stage assumptions'!$C$11)+VLOOKUP(Calculations[[#This Row],[TransportSource]],TransportDistance[],3,FALSE)*'Stage assumptions'!$C$12)*Calculations[[#This Row],[Total Kg]],0)</f>
        <v>0</v>
      </c>
      <c r="K293">
        <f>IFERROR(VLOOKUP(Calculations[[#This Row],[Material (choose from dropdown]], MaterialData[#All],3, FALSE),0)</f>
        <v>0</v>
      </c>
      <c r="L293" s="322">
        <f>IFERROR(VLOOKUP(Calculations[[#This Row],[A5type]],A5WastageRate[#All],2,FALSE)*Calculations[[#This Row],[A1-3]],0)</f>
        <v>0</v>
      </c>
      <c r="N293">
        <f>IFERROR(ROUNDUP(50/VLOOKUP(Calculations[[#This Row],[Scope Element]],B4referenceServiceLife[[Tier 2 element]:[Default Service Life]],2, FALSE)-1,0),0)</f>
        <v>0</v>
      </c>
      <c r="O293" s="322">
        <f>IFERROR((Calculations[[#This Row],[A1-3]]+Calculations[[#This Row],[A4]]+Calculations[[#This Row],[A5]]+Calculations[[#This Row],[C2 total]]+Calculations[[#This Row],[C3 total]]+Calculations[[#This Row],[C4 total]])*Calculations[[#This Row],[Replacements]],0)</f>
        <v>0</v>
      </c>
      <c r="S293" t="str">
        <f>IFERROR(VLOOKUP(Calculations[[#This Row],[Material (choose from dropdown]],MaterialData[#All],4,FALSE),"")</f>
        <v/>
      </c>
      <c r="T293" s="322" cm="1">
        <f t="array" ref="T293">IFERROR(VLOOKUP(Calculations[[#This Row],[Waste 1]],WasteScenario[#All],2,FALSE)*'Stage assumptions'!$C$225*WasteTransportMethod[Emissions Factor
kgCO2e/kg.km]*Calculations[[#This Row],[Total Kg]],0)</f>
        <v>0</v>
      </c>
      <c r="U293" s="322" cm="1">
        <f t="array" ref="U293">IFERROR(VLOOKUP(Calculations[[#This Row],[Waste 1]],WasteScenario[#All],3,FALSE)*'Stage assumptions'!$C$224*WasteTransportMethod[Emissions Factor
kgCO2e/kg.km]*Calculations[[#This Row],[Total Kg]],0)</f>
        <v>0</v>
      </c>
      <c r="V293" s="322" cm="1">
        <f t="array" ref="V293">IFERROR(VLOOKUP(Calculations[[#This Row],[Waste 1]],WasteScenario[#All],4,FALSE)*'Stage assumptions'!$C$223*WasteTransportMethod[Emissions Factor
kgCO2e/kg.km]*Calculations[[#This Row],[Total Kg]],0)</f>
        <v>0</v>
      </c>
      <c r="W293" s="322" cm="1">
        <f t="array" ref="W293">IFERROR(VLOOKUP(Calculations[[#This Row],[Waste 1]],WasteScenario[#All],5,FALSE)*'Stage assumptions'!$C$226*WasteTransportMethod[Emissions Factor
kgCO2e/kg.km]*Calculations[[#This Row],[Total Kg]],0)</f>
        <v>0</v>
      </c>
      <c r="X293" s="322">
        <f>SUM(Calculations[[#This Row],[C2 Recycle]:[C2 Reuse]])</f>
        <v>0</v>
      </c>
      <c r="Y293" t="str">
        <f>IFERROR(VLOOKUP(Calculations[[#This Row],[Material (choose from dropdown]],MaterialData[#All],5,FALSE),"")</f>
        <v/>
      </c>
      <c r="Z293" s="322">
        <f>IFERROR(((VLOOKUP(Calculations[[#This Row],[Waste type 2]],WasteDisposalEmissions[#All],2,FALSE))*Calculations[[#This Row],[Total Kg]])*VLOOKUP(Calculations[[#This Row],[Waste 1]],WasteScenario[#All],2,FALSE),0)</f>
        <v>0</v>
      </c>
      <c r="AA293" s="322">
        <f>IFERROR((VLOOKUP(Calculations[[#This Row],[Waste type 2]],WasteDisposalEmissions[#All],3,FALSE))*Calculations[[#This Row],[Total Kg]]*VLOOKUP(Calculations[[#This Row],[Waste 1]],WasteScenario[#All],3,FALSE),0)</f>
        <v>0</v>
      </c>
      <c r="AB293" s="322">
        <f>SUM(Calculations[[#This Row],[C3 recyc]:[C3 incin]])</f>
        <v>0</v>
      </c>
      <c r="AC293" s="334">
        <f>IFERROR((VLOOKUP(Calculations[[#This Row],[Waste type 2]],WasteLandfillEmissions[#All],2,FALSE))*Calculations[[#This Row],[Total Kg]]*VLOOKUP(Calculations[[#This Row],[Waste 1]],WasteScenario[#All],4,FALSE),0)</f>
        <v>0</v>
      </c>
      <c r="AD293" s="322">
        <f>IFERROR((VLOOKUP(Calculations[[#This Row],[Waste type 2]],WasteLandfillEmissions[#All],3,FALSE))*Calculations[[#This Row],[Total Kg]]*VLOOKUP(Calculations[[#This Row],[Waste 1]],WasteScenario[#All],4,FALSE),0)</f>
        <v>0</v>
      </c>
      <c r="AE293" s="322">
        <f>SUM(Calculations[[#This Row],[C4 landfill]:[C4 re-use]])</f>
        <v>0</v>
      </c>
      <c r="AF293" s="322">
        <f>IFERROR(VLOOKUP(Calculations[[#This Row],[Material (choose from dropdown]],MaterialData[#All],8,FALSE),0)</f>
        <v>0</v>
      </c>
      <c r="AG293" s="322">
        <f>IFERROR(Calculations[[#This Row],[Total Kg]]*Calculations[[#This Row],[Seq factor]],0)</f>
        <v>0</v>
      </c>
      <c r="AI293" s="322">
        <f>Calculations[[#This Row],[A1-3]]+Calculations[[#This Row],[A4]]+Calculations[[#This Row],[A5]]+Calculations[[#This Row],[B4]]+Calculations[[#This Row],[C2 total]]+Calculations[[#This Row],[C3 total]]+Calculations[[#This Row],[C4 total]]</f>
        <v>0</v>
      </c>
      <c r="AJ293" s="2">
        <f>IFERROR(VLOOKUP(Calculations[[#This Row],[Material (choose from dropdown]],MaterialData[[#Headers],[#Data]],9,FALSE),0)</f>
        <v>0</v>
      </c>
      <c r="AK293" s="4">
        <f>IFERROR(VLOOKUP(Calculations[[#This Row],[Material (choose from dropdown]],MaterialData[[#Headers],[#Data]],10,FALSE),0)</f>
        <v>0</v>
      </c>
      <c r="AL293" s="322">
        <f>IFERROR(Calculations[[#This Row],[Data Quality Score]]*Calculations[[#This Row],[Total Kg]],0)</f>
        <v>0</v>
      </c>
    </row>
    <row r="294" spans="1:38" x14ac:dyDescent="0.3">
      <c r="A294" s="6">
        <f>IFERROR(MaterialsBoQ[[#This Row],[Scope Element]],0)</f>
        <v>0</v>
      </c>
      <c r="B294">
        <f>IFERROR(MaterialsBoQ[[#This Row],[Material ]],"")</f>
        <v>0</v>
      </c>
      <c r="C294">
        <f>IFERROR(MaterialsBoQ[[#This Row],[Unit]],"")</f>
        <v>0</v>
      </c>
      <c r="D294" s="322">
        <f>IFERROR(MaterialsBoQ[[#This Row],[Number]],0)</f>
        <v>0</v>
      </c>
      <c r="E294" s="322">
        <f>IFERROR(MaterialsBoQ[[#This Row],[Kg per unit]],0)</f>
        <v>0</v>
      </c>
      <c r="F294" s="322">
        <f>IFERROR(Calculations[[#This Row],[Number]]*Calculations[[#This Row],[Conversion factor]],0)</f>
        <v>0</v>
      </c>
      <c r="G294" s="322">
        <f>IFERROR(VLOOKUP(Calculations[[#This Row],[Material (choose from dropdown]],MaterialData[#All],7,FALSE),0)</f>
        <v>0</v>
      </c>
      <c r="H294" s="322">
        <f>Calculations[[#This Row],[Total Kg]]*Calculations[[#This Row],[Carbon Factor]]</f>
        <v>0</v>
      </c>
      <c r="I294" t="str">
        <f>IFERROR(VLOOKUP(Calculations[[#This Row],[Material (choose from dropdown]],MaterialData[#All],2,FALSE),"")</f>
        <v/>
      </c>
      <c r="J294" s="322">
        <f>IFERROR(((VLOOKUP(Calculations[[#This Row],[TransportSource]],TransportDistance[],2,FALSE)*'Stage assumptions'!$C$11)+VLOOKUP(Calculations[[#This Row],[TransportSource]],TransportDistance[],3,FALSE)*'Stage assumptions'!$C$12)*Calculations[[#This Row],[Total Kg]],0)</f>
        <v>0</v>
      </c>
      <c r="K294">
        <f>IFERROR(VLOOKUP(Calculations[[#This Row],[Material (choose from dropdown]], MaterialData[#All],3, FALSE),0)</f>
        <v>0</v>
      </c>
      <c r="L294" s="322">
        <f>IFERROR(VLOOKUP(Calculations[[#This Row],[A5type]],A5WastageRate[#All],2,FALSE)*Calculations[[#This Row],[A1-3]],0)</f>
        <v>0</v>
      </c>
      <c r="N294">
        <f>IFERROR(ROUNDUP(50/VLOOKUP(Calculations[[#This Row],[Scope Element]],B4referenceServiceLife[[Tier 2 element]:[Default Service Life]],2, FALSE)-1,0),0)</f>
        <v>0</v>
      </c>
      <c r="O294" s="322">
        <f>IFERROR((Calculations[[#This Row],[A1-3]]+Calculations[[#This Row],[A4]]+Calculations[[#This Row],[A5]]+Calculations[[#This Row],[C2 total]]+Calculations[[#This Row],[C3 total]]+Calculations[[#This Row],[C4 total]])*Calculations[[#This Row],[Replacements]],0)</f>
        <v>0</v>
      </c>
      <c r="S294" t="str">
        <f>IFERROR(VLOOKUP(Calculations[[#This Row],[Material (choose from dropdown]],MaterialData[#All],4,FALSE),"")</f>
        <v/>
      </c>
      <c r="T294" s="322" cm="1">
        <f t="array" ref="T294">IFERROR(VLOOKUP(Calculations[[#This Row],[Waste 1]],WasteScenario[#All],2,FALSE)*'Stage assumptions'!$C$225*WasteTransportMethod[Emissions Factor
kgCO2e/kg.km]*Calculations[[#This Row],[Total Kg]],0)</f>
        <v>0</v>
      </c>
      <c r="U294" s="322" cm="1">
        <f t="array" ref="U294">IFERROR(VLOOKUP(Calculations[[#This Row],[Waste 1]],WasteScenario[#All],3,FALSE)*'Stage assumptions'!$C$224*WasteTransportMethod[Emissions Factor
kgCO2e/kg.km]*Calculations[[#This Row],[Total Kg]],0)</f>
        <v>0</v>
      </c>
      <c r="V294" s="322" cm="1">
        <f t="array" ref="V294">IFERROR(VLOOKUP(Calculations[[#This Row],[Waste 1]],WasteScenario[#All],4,FALSE)*'Stage assumptions'!$C$223*WasteTransportMethod[Emissions Factor
kgCO2e/kg.km]*Calculations[[#This Row],[Total Kg]],0)</f>
        <v>0</v>
      </c>
      <c r="W294" s="322" cm="1">
        <f t="array" ref="W294">IFERROR(VLOOKUP(Calculations[[#This Row],[Waste 1]],WasteScenario[#All],5,FALSE)*'Stage assumptions'!$C$226*WasteTransportMethod[Emissions Factor
kgCO2e/kg.km]*Calculations[[#This Row],[Total Kg]],0)</f>
        <v>0</v>
      </c>
      <c r="X294" s="322">
        <f>SUM(Calculations[[#This Row],[C2 Recycle]:[C2 Reuse]])</f>
        <v>0</v>
      </c>
      <c r="Y294" t="str">
        <f>IFERROR(VLOOKUP(Calculations[[#This Row],[Material (choose from dropdown]],MaterialData[#All],5,FALSE),"")</f>
        <v/>
      </c>
      <c r="Z294" s="322">
        <f>IFERROR(((VLOOKUP(Calculations[[#This Row],[Waste type 2]],WasteDisposalEmissions[#All],2,FALSE))*Calculations[[#This Row],[Total Kg]])*VLOOKUP(Calculations[[#This Row],[Waste 1]],WasteScenario[#All],2,FALSE),0)</f>
        <v>0</v>
      </c>
      <c r="AA294" s="322">
        <f>IFERROR((VLOOKUP(Calculations[[#This Row],[Waste type 2]],WasteDisposalEmissions[#All],3,FALSE))*Calculations[[#This Row],[Total Kg]]*VLOOKUP(Calculations[[#This Row],[Waste 1]],WasteScenario[#All],3,FALSE),0)</f>
        <v>0</v>
      </c>
      <c r="AB294" s="322">
        <f>SUM(Calculations[[#This Row],[C3 recyc]:[C3 incin]])</f>
        <v>0</v>
      </c>
      <c r="AC294" s="334">
        <f>IFERROR((VLOOKUP(Calculations[[#This Row],[Waste type 2]],WasteLandfillEmissions[#All],2,FALSE))*Calculations[[#This Row],[Total Kg]]*VLOOKUP(Calculations[[#This Row],[Waste 1]],WasteScenario[#All],4,FALSE),0)</f>
        <v>0</v>
      </c>
      <c r="AD294" s="322">
        <f>IFERROR((VLOOKUP(Calculations[[#This Row],[Waste type 2]],WasteLandfillEmissions[#All],3,FALSE))*Calculations[[#This Row],[Total Kg]]*VLOOKUP(Calculations[[#This Row],[Waste 1]],WasteScenario[#All],4,FALSE),0)</f>
        <v>0</v>
      </c>
      <c r="AE294" s="322">
        <f>SUM(Calculations[[#This Row],[C4 landfill]:[C4 re-use]])</f>
        <v>0</v>
      </c>
      <c r="AF294" s="322">
        <f>IFERROR(VLOOKUP(Calculations[[#This Row],[Material (choose from dropdown]],MaterialData[#All],8,FALSE),0)</f>
        <v>0</v>
      </c>
      <c r="AG294" s="322">
        <f>IFERROR(Calculations[[#This Row],[Total Kg]]*Calculations[[#This Row],[Seq factor]],0)</f>
        <v>0</v>
      </c>
      <c r="AI294" s="322">
        <f>Calculations[[#This Row],[A1-3]]+Calculations[[#This Row],[A4]]+Calculations[[#This Row],[A5]]+Calculations[[#This Row],[B4]]+Calculations[[#This Row],[C2 total]]+Calculations[[#This Row],[C3 total]]+Calculations[[#This Row],[C4 total]]</f>
        <v>0</v>
      </c>
      <c r="AJ294" s="2">
        <f>IFERROR(VLOOKUP(Calculations[[#This Row],[Material (choose from dropdown]],MaterialData[[#Headers],[#Data]],9,FALSE),0)</f>
        <v>0</v>
      </c>
      <c r="AK294" s="4">
        <f>IFERROR(VLOOKUP(Calculations[[#This Row],[Material (choose from dropdown]],MaterialData[[#Headers],[#Data]],10,FALSE),0)</f>
        <v>0</v>
      </c>
      <c r="AL294" s="322">
        <f>IFERROR(Calculations[[#This Row],[Data Quality Score]]*Calculations[[#This Row],[Total Kg]],0)</f>
        <v>0</v>
      </c>
    </row>
    <row r="295" spans="1:38" x14ac:dyDescent="0.3">
      <c r="A295" s="6">
        <f>IFERROR(MaterialsBoQ[[#This Row],[Scope Element]],0)</f>
        <v>0</v>
      </c>
      <c r="B295">
        <f>IFERROR(MaterialsBoQ[[#This Row],[Material ]],"")</f>
        <v>0</v>
      </c>
      <c r="C295">
        <f>IFERROR(MaterialsBoQ[[#This Row],[Unit]],"")</f>
        <v>0</v>
      </c>
      <c r="D295" s="322">
        <f>IFERROR(MaterialsBoQ[[#This Row],[Number]],0)</f>
        <v>0</v>
      </c>
      <c r="E295" s="322">
        <f>IFERROR(MaterialsBoQ[[#This Row],[Kg per unit]],0)</f>
        <v>0</v>
      </c>
      <c r="F295" s="322">
        <f>IFERROR(Calculations[[#This Row],[Number]]*Calculations[[#This Row],[Conversion factor]],0)</f>
        <v>0</v>
      </c>
      <c r="G295" s="322">
        <f>IFERROR(VLOOKUP(Calculations[[#This Row],[Material (choose from dropdown]],MaterialData[#All],7,FALSE),0)</f>
        <v>0</v>
      </c>
      <c r="H295" s="322">
        <f>Calculations[[#This Row],[Total Kg]]*Calculations[[#This Row],[Carbon Factor]]</f>
        <v>0</v>
      </c>
      <c r="I295" t="str">
        <f>IFERROR(VLOOKUP(Calculations[[#This Row],[Material (choose from dropdown]],MaterialData[#All],2,FALSE),"")</f>
        <v/>
      </c>
      <c r="J295" s="322">
        <f>IFERROR(((VLOOKUP(Calculations[[#This Row],[TransportSource]],TransportDistance[],2,FALSE)*'Stage assumptions'!$C$11)+VLOOKUP(Calculations[[#This Row],[TransportSource]],TransportDistance[],3,FALSE)*'Stage assumptions'!$C$12)*Calculations[[#This Row],[Total Kg]],0)</f>
        <v>0</v>
      </c>
      <c r="K295">
        <f>IFERROR(VLOOKUP(Calculations[[#This Row],[Material (choose from dropdown]], MaterialData[#All],3, FALSE),0)</f>
        <v>0</v>
      </c>
      <c r="L295" s="322">
        <f>IFERROR(VLOOKUP(Calculations[[#This Row],[A5type]],A5WastageRate[#All],2,FALSE)*Calculations[[#This Row],[A1-3]],0)</f>
        <v>0</v>
      </c>
      <c r="N295">
        <f>IFERROR(ROUNDUP(50/VLOOKUP(Calculations[[#This Row],[Scope Element]],B4referenceServiceLife[[Tier 2 element]:[Default Service Life]],2, FALSE)-1,0),0)</f>
        <v>0</v>
      </c>
      <c r="O295" s="322">
        <f>IFERROR((Calculations[[#This Row],[A1-3]]+Calculations[[#This Row],[A4]]+Calculations[[#This Row],[A5]]+Calculations[[#This Row],[C2 total]]+Calculations[[#This Row],[C3 total]]+Calculations[[#This Row],[C4 total]])*Calculations[[#This Row],[Replacements]],0)</f>
        <v>0</v>
      </c>
      <c r="S295" t="str">
        <f>IFERROR(VLOOKUP(Calculations[[#This Row],[Material (choose from dropdown]],MaterialData[#All],4,FALSE),"")</f>
        <v/>
      </c>
      <c r="T295" s="322" cm="1">
        <f t="array" ref="T295">IFERROR(VLOOKUP(Calculations[[#This Row],[Waste 1]],WasteScenario[#All],2,FALSE)*'Stage assumptions'!$C$225*WasteTransportMethod[Emissions Factor
kgCO2e/kg.km]*Calculations[[#This Row],[Total Kg]],0)</f>
        <v>0</v>
      </c>
      <c r="U295" s="322" cm="1">
        <f t="array" ref="U295">IFERROR(VLOOKUP(Calculations[[#This Row],[Waste 1]],WasteScenario[#All],3,FALSE)*'Stage assumptions'!$C$224*WasteTransportMethod[Emissions Factor
kgCO2e/kg.km]*Calculations[[#This Row],[Total Kg]],0)</f>
        <v>0</v>
      </c>
      <c r="V295" s="322" cm="1">
        <f t="array" ref="V295">IFERROR(VLOOKUP(Calculations[[#This Row],[Waste 1]],WasteScenario[#All],4,FALSE)*'Stage assumptions'!$C$223*WasteTransportMethod[Emissions Factor
kgCO2e/kg.km]*Calculations[[#This Row],[Total Kg]],0)</f>
        <v>0</v>
      </c>
      <c r="W295" s="322" cm="1">
        <f t="array" ref="W295">IFERROR(VLOOKUP(Calculations[[#This Row],[Waste 1]],WasteScenario[#All],5,FALSE)*'Stage assumptions'!$C$226*WasteTransportMethod[Emissions Factor
kgCO2e/kg.km]*Calculations[[#This Row],[Total Kg]],0)</f>
        <v>0</v>
      </c>
      <c r="X295" s="322">
        <f>SUM(Calculations[[#This Row],[C2 Recycle]:[C2 Reuse]])</f>
        <v>0</v>
      </c>
      <c r="Y295" t="str">
        <f>IFERROR(VLOOKUP(Calculations[[#This Row],[Material (choose from dropdown]],MaterialData[#All],5,FALSE),"")</f>
        <v/>
      </c>
      <c r="Z295" s="322">
        <f>IFERROR(((VLOOKUP(Calculations[[#This Row],[Waste type 2]],WasteDisposalEmissions[#All],2,FALSE))*Calculations[[#This Row],[Total Kg]])*VLOOKUP(Calculations[[#This Row],[Waste 1]],WasteScenario[#All],2,FALSE),0)</f>
        <v>0</v>
      </c>
      <c r="AA295" s="322">
        <f>IFERROR((VLOOKUP(Calculations[[#This Row],[Waste type 2]],WasteDisposalEmissions[#All],3,FALSE))*Calculations[[#This Row],[Total Kg]]*VLOOKUP(Calculations[[#This Row],[Waste 1]],WasteScenario[#All],3,FALSE),0)</f>
        <v>0</v>
      </c>
      <c r="AB295" s="322">
        <f>SUM(Calculations[[#This Row],[C3 recyc]:[C3 incin]])</f>
        <v>0</v>
      </c>
      <c r="AC295" s="334">
        <f>IFERROR((VLOOKUP(Calculations[[#This Row],[Waste type 2]],WasteLandfillEmissions[#All],2,FALSE))*Calculations[[#This Row],[Total Kg]]*VLOOKUP(Calculations[[#This Row],[Waste 1]],WasteScenario[#All],4,FALSE),0)</f>
        <v>0</v>
      </c>
      <c r="AD295" s="322">
        <f>IFERROR((VLOOKUP(Calculations[[#This Row],[Waste type 2]],WasteLandfillEmissions[#All],3,FALSE))*Calculations[[#This Row],[Total Kg]]*VLOOKUP(Calculations[[#This Row],[Waste 1]],WasteScenario[#All],4,FALSE),0)</f>
        <v>0</v>
      </c>
      <c r="AE295" s="322">
        <f>SUM(Calculations[[#This Row],[C4 landfill]:[C4 re-use]])</f>
        <v>0</v>
      </c>
      <c r="AF295" s="322">
        <f>IFERROR(VLOOKUP(Calculations[[#This Row],[Material (choose from dropdown]],MaterialData[#All],8,FALSE),0)</f>
        <v>0</v>
      </c>
      <c r="AG295" s="322">
        <f>IFERROR(Calculations[[#This Row],[Total Kg]]*Calculations[[#This Row],[Seq factor]],0)</f>
        <v>0</v>
      </c>
      <c r="AI295" s="322">
        <f>Calculations[[#This Row],[A1-3]]+Calculations[[#This Row],[A4]]+Calculations[[#This Row],[A5]]+Calculations[[#This Row],[B4]]+Calculations[[#This Row],[C2 total]]+Calculations[[#This Row],[C3 total]]+Calculations[[#This Row],[C4 total]]</f>
        <v>0</v>
      </c>
      <c r="AJ295" s="2">
        <f>IFERROR(VLOOKUP(Calculations[[#This Row],[Material (choose from dropdown]],MaterialData[[#Headers],[#Data]],9,FALSE),0)</f>
        <v>0</v>
      </c>
      <c r="AK295" s="4">
        <f>IFERROR(VLOOKUP(Calculations[[#This Row],[Material (choose from dropdown]],MaterialData[[#Headers],[#Data]],10,FALSE),0)</f>
        <v>0</v>
      </c>
      <c r="AL295" s="322">
        <f>IFERROR(Calculations[[#This Row],[Data Quality Score]]*Calculations[[#This Row],[Total Kg]],0)</f>
        <v>0</v>
      </c>
    </row>
    <row r="296" spans="1:38" x14ac:dyDescent="0.3">
      <c r="A296" s="6">
        <f>IFERROR(MaterialsBoQ[[#This Row],[Scope Element]],0)</f>
        <v>0</v>
      </c>
      <c r="B296">
        <f>IFERROR(MaterialsBoQ[[#This Row],[Material ]],"")</f>
        <v>0</v>
      </c>
      <c r="C296">
        <f>IFERROR(MaterialsBoQ[[#This Row],[Unit]],"")</f>
        <v>0</v>
      </c>
      <c r="D296" s="322">
        <f>IFERROR(MaterialsBoQ[[#This Row],[Number]],0)</f>
        <v>0</v>
      </c>
      <c r="E296" s="322">
        <f>IFERROR(MaterialsBoQ[[#This Row],[Kg per unit]],0)</f>
        <v>0</v>
      </c>
      <c r="F296" s="322">
        <f>IFERROR(Calculations[[#This Row],[Number]]*Calculations[[#This Row],[Conversion factor]],0)</f>
        <v>0</v>
      </c>
      <c r="G296" s="322">
        <f>IFERROR(VLOOKUP(Calculations[[#This Row],[Material (choose from dropdown]],MaterialData[#All],7,FALSE),0)</f>
        <v>0</v>
      </c>
      <c r="H296" s="322">
        <f>Calculations[[#This Row],[Total Kg]]*Calculations[[#This Row],[Carbon Factor]]</f>
        <v>0</v>
      </c>
      <c r="I296" t="str">
        <f>IFERROR(VLOOKUP(Calculations[[#This Row],[Material (choose from dropdown]],MaterialData[#All],2,FALSE),"")</f>
        <v/>
      </c>
      <c r="J296" s="322">
        <f>IFERROR(((VLOOKUP(Calculations[[#This Row],[TransportSource]],TransportDistance[],2,FALSE)*'Stage assumptions'!$C$11)+VLOOKUP(Calculations[[#This Row],[TransportSource]],TransportDistance[],3,FALSE)*'Stage assumptions'!$C$12)*Calculations[[#This Row],[Total Kg]],0)</f>
        <v>0</v>
      </c>
      <c r="K296">
        <f>IFERROR(VLOOKUP(Calculations[[#This Row],[Material (choose from dropdown]], MaterialData[#All],3, FALSE),0)</f>
        <v>0</v>
      </c>
      <c r="L296" s="322">
        <f>IFERROR(VLOOKUP(Calculations[[#This Row],[A5type]],A5WastageRate[#All],2,FALSE)*Calculations[[#This Row],[A1-3]],0)</f>
        <v>0</v>
      </c>
      <c r="N296">
        <f>IFERROR(ROUNDUP(50/VLOOKUP(Calculations[[#This Row],[Scope Element]],B4referenceServiceLife[[Tier 2 element]:[Default Service Life]],2, FALSE)-1,0),0)</f>
        <v>0</v>
      </c>
      <c r="O296" s="322">
        <f>IFERROR((Calculations[[#This Row],[A1-3]]+Calculations[[#This Row],[A4]]+Calculations[[#This Row],[A5]]+Calculations[[#This Row],[C2 total]]+Calculations[[#This Row],[C3 total]]+Calculations[[#This Row],[C4 total]])*Calculations[[#This Row],[Replacements]],0)</f>
        <v>0</v>
      </c>
      <c r="S296" t="str">
        <f>IFERROR(VLOOKUP(Calculations[[#This Row],[Material (choose from dropdown]],MaterialData[#All],4,FALSE),"")</f>
        <v/>
      </c>
      <c r="T296" s="322" cm="1">
        <f t="array" ref="T296">IFERROR(VLOOKUP(Calculations[[#This Row],[Waste 1]],WasteScenario[#All],2,FALSE)*'Stage assumptions'!$C$225*WasteTransportMethod[Emissions Factor
kgCO2e/kg.km]*Calculations[[#This Row],[Total Kg]],0)</f>
        <v>0</v>
      </c>
      <c r="U296" s="322" cm="1">
        <f t="array" ref="U296">IFERROR(VLOOKUP(Calculations[[#This Row],[Waste 1]],WasteScenario[#All],3,FALSE)*'Stage assumptions'!$C$224*WasteTransportMethod[Emissions Factor
kgCO2e/kg.km]*Calculations[[#This Row],[Total Kg]],0)</f>
        <v>0</v>
      </c>
      <c r="V296" s="322" cm="1">
        <f t="array" ref="V296">IFERROR(VLOOKUP(Calculations[[#This Row],[Waste 1]],WasteScenario[#All],4,FALSE)*'Stage assumptions'!$C$223*WasteTransportMethod[Emissions Factor
kgCO2e/kg.km]*Calculations[[#This Row],[Total Kg]],0)</f>
        <v>0</v>
      </c>
      <c r="W296" s="322" cm="1">
        <f t="array" ref="W296">IFERROR(VLOOKUP(Calculations[[#This Row],[Waste 1]],WasteScenario[#All],5,FALSE)*'Stage assumptions'!$C$226*WasteTransportMethod[Emissions Factor
kgCO2e/kg.km]*Calculations[[#This Row],[Total Kg]],0)</f>
        <v>0</v>
      </c>
      <c r="X296" s="322">
        <f>SUM(Calculations[[#This Row],[C2 Recycle]:[C2 Reuse]])</f>
        <v>0</v>
      </c>
      <c r="Y296" t="str">
        <f>IFERROR(VLOOKUP(Calculations[[#This Row],[Material (choose from dropdown]],MaterialData[#All],5,FALSE),"")</f>
        <v/>
      </c>
      <c r="Z296" s="322">
        <f>IFERROR(((VLOOKUP(Calculations[[#This Row],[Waste type 2]],WasteDisposalEmissions[#All],2,FALSE))*Calculations[[#This Row],[Total Kg]])*VLOOKUP(Calculations[[#This Row],[Waste 1]],WasteScenario[#All],2,FALSE),0)</f>
        <v>0</v>
      </c>
      <c r="AA296" s="322">
        <f>IFERROR((VLOOKUP(Calculations[[#This Row],[Waste type 2]],WasteDisposalEmissions[#All],3,FALSE))*Calculations[[#This Row],[Total Kg]]*VLOOKUP(Calculations[[#This Row],[Waste 1]],WasteScenario[#All],3,FALSE),0)</f>
        <v>0</v>
      </c>
      <c r="AB296" s="322">
        <f>SUM(Calculations[[#This Row],[C3 recyc]:[C3 incin]])</f>
        <v>0</v>
      </c>
      <c r="AC296" s="334">
        <f>IFERROR((VLOOKUP(Calculations[[#This Row],[Waste type 2]],WasteLandfillEmissions[#All],2,FALSE))*Calculations[[#This Row],[Total Kg]]*VLOOKUP(Calculations[[#This Row],[Waste 1]],WasteScenario[#All],4,FALSE),0)</f>
        <v>0</v>
      </c>
      <c r="AD296" s="322">
        <f>IFERROR((VLOOKUP(Calculations[[#This Row],[Waste type 2]],WasteLandfillEmissions[#All],3,FALSE))*Calculations[[#This Row],[Total Kg]]*VLOOKUP(Calculations[[#This Row],[Waste 1]],WasteScenario[#All],4,FALSE),0)</f>
        <v>0</v>
      </c>
      <c r="AE296" s="322">
        <f>SUM(Calculations[[#This Row],[C4 landfill]:[C4 re-use]])</f>
        <v>0</v>
      </c>
      <c r="AF296" s="322">
        <f>IFERROR(VLOOKUP(Calculations[[#This Row],[Material (choose from dropdown]],MaterialData[#All],8,FALSE),0)</f>
        <v>0</v>
      </c>
      <c r="AG296" s="322">
        <f>IFERROR(Calculations[[#This Row],[Total Kg]]*Calculations[[#This Row],[Seq factor]],0)</f>
        <v>0</v>
      </c>
      <c r="AI296" s="322">
        <f>Calculations[[#This Row],[A1-3]]+Calculations[[#This Row],[A4]]+Calculations[[#This Row],[A5]]+Calculations[[#This Row],[B4]]+Calculations[[#This Row],[C2 total]]+Calculations[[#This Row],[C3 total]]+Calculations[[#This Row],[C4 total]]</f>
        <v>0</v>
      </c>
      <c r="AJ296" s="2">
        <f>IFERROR(VLOOKUP(Calculations[[#This Row],[Material (choose from dropdown]],MaterialData[[#Headers],[#Data]],9,FALSE),0)</f>
        <v>0</v>
      </c>
      <c r="AK296" s="4">
        <f>IFERROR(VLOOKUP(Calculations[[#This Row],[Material (choose from dropdown]],MaterialData[[#Headers],[#Data]],10,FALSE),0)</f>
        <v>0</v>
      </c>
      <c r="AL296" s="322">
        <f>IFERROR(Calculations[[#This Row],[Data Quality Score]]*Calculations[[#This Row],[Total Kg]],0)</f>
        <v>0</v>
      </c>
    </row>
    <row r="297" spans="1:38" x14ac:dyDescent="0.3">
      <c r="A297" s="6">
        <f>IFERROR(MaterialsBoQ[[#This Row],[Scope Element]],0)</f>
        <v>0</v>
      </c>
      <c r="B297" t="str">
        <f>IFERROR(MaterialsBoQ[[#This Row],[Material ]],"")</f>
        <v/>
      </c>
      <c r="C297" t="str">
        <f>IFERROR(MaterialsBoQ[[#This Row],[Unit]],"")</f>
        <v/>
      </c>
      <c r="D297" s="322">
        <f>IFERROR(MaterialsBoQ[[#This Row],[Number]],0)</f>
        <v>0</v>
      </c>
      <c r="E297" s="322">
        <f>IFERROR(MaterialsBoQ[[#This Row],[Kg per unit]],0)</f>
        <v>0</v>
      </c>
      <c r="F297" s="322">
        <f>IFERROR(Calculations[[#This Row],[Number]]*Calculations[[#This Row],[Conversion factor]],0)</f>
        <v>0</v>
      </c>
      <c r="G297" s="322">
        <f>IFERROR(VLOOKUP(Calculations[[#This Row],[Material (choose from dropdown]],MaterialData[#All],7,FALSE),0)</f>
        <v>0</v>
      </c>
      <c r="H297" s="322">
        <f>Calculations[[#This Row],[Total Kg]]*Calculations[[#This Row],[Carbon Factor]]</f>
        <v>0</v>
      </c>
      <c r="I297" t="str">
        <f>IFERROR(VLOOKUP(Calculations[[#This Row],[Material (choose from dropdown]],MaterialData[#All],2,FALSE),"")</f>
        <v/>
      </c>
      <c r="J297" s="322">
        <f>IFERROR(((VLOOKUP(Calculations[[#This Row],[TransportSource]],TransportDistance[],2,FALSE)*'Stage assumptions'!$C$11)+VLOOKUP(Calculations[[#This Row],[TransportSource]],TransportDistance[],3,FALSE)*'Stage assumptions'!$C$12)*Calculations[[#This Row],[Total Kg]],0)</f>
        <v>0</v>
      </c>
      <c r="K297">
        <f>IFERROR(VLOOKUP(Calculations[[#This Row],[Material (choose from dropdown]], MaterialData[#All],3, FALSE),0)</f>
        <v>0</v>
      </c>
      <c r="L297" s="322">
        <f>IFERROR(VLOOKUP(Calculations[[#This Row],[A5type]],A5WastageRate[#All],2,FALSE)*Calculations[[#This Row],[A1-3]],0)</f>
        <v>0</v>
      </c>
      <c r="N297">
        <f>IFERROR(ROUNDUP(50/VLOOKUP(Calculations[[#This Row],[Scope Element]],B4referenceServiceLife[[Tier 2 element]:[Default Service Life]],2, FALSE)-1,0),0)</f>
        <v>0</v>
      </c>
      <c r="O297" s="322">
        <f>IFERROR((Calculations[[#This Row],[A1-3]]+Calculations[[#This Row],[A4]]+Calculations[[#This Row],[A5]]+Calculations[[#This Row],[C2 total]]+Calculations[[#This Row],[C3 total]]+Calculations[[#This Row],[C4 total]])*Calculations[[#This Row],[Replacements]],0)</f>
        <v>0</v>
      </c>
      <c r="S297" t="str">
        <f>IFERROR(VLOOKUP(Calculations[[#This Row],[Material (choose from dropdown]],MaterialData[#All],4,FALSE),"")</f>
        <v/>
      </c>
      <c r="T297" s="322" cm="1">
        <f t="array" ref="T297">IFERROR(VLOOKUP(Calculations[[#This Row],[Waste 1]],WasteScenario[#All],2,FALSE)*'Stage assumptions'!$C$225*WasteTransportMethod[Emissions Factor
kgCO2e/kg.km]*Calculations[[#This Row],[Total Kg]],0)</f>
        <v>0</v>
      </c>
      <c r="U297" s="322" cm="1">
        <f t="array" ref="U297">IFERROR(VLOOKUP(Calculations[[#This Row],[Waste 1]],WasteScenario[#All],3,FALSE)*'Stage assumptions'!$C$224*WasteTransportMethod[Emissions Factor
kgCO2e/kg.km]*Calculations[[#This Row],[Total Kg]],0)</f>
        <v>0</v>
      </c>
      <c r="V297" s="322" cm="1">
        <f t="array" ref="V297">IFERROR(VLOOKUP(Calculations[[#This Row],[Waste 1]],WasteScenario[#All],4,FALSE)*'Stage assumptions'!$C$223*WasteTransportMethod[Emissions Factor
kgCO2e/kg.km]*Calculations[[#This Row],[Total Kg]],0)</f>
        <v>0</v>
      </c>
      <c r="W297" s="322" cm="1">
        <f t="array" ref="W297">IFERROR(VLOOKUP(Calculations[[#This Row],[Waste 1]],WasteScenario[#All],5,FALSE)*'Stage assumptions'!$C$226*WasteTransportMethod[Emissions Factor
kgCO2e/kg.km]*Calculations[[#This Row],[Total Kg]],0)</f>
        <v>0</v>
      </c>
      <c r="X297" s="322">
        <f>SUM(Calculations[[#This Row],[C2 Recycle]:[C2 Reuse]])</f>
        <v>0</v>
      </c>
      <c r="Y297" t="str">
        <f>IFERROR(VLOOKUP(Calculations[[#This Row],[Material (choose from dropdown]],MaterialData[#All],5,FALSE),"")</f>
        <v/>
      </c>
      <c r="Z297" s="322">
        <f>IFERROR(((VLOOKUP(Calculations[[#This Row],[Waste type 2]],WasteDisposalEmissions[#All],2,FALSE))*Calculations[[#This Row],[Total Kg]])*VLOOKUP(Calculations[[#This Row],[Waste 1]],WasteScenario[#All],2,FALSE),0)</f>
        <v>0</v>
      </c>
      <c r="AA297" s="322">
        <f>IFERROR((VLOOKUP(Calculations[[#This Row],[Waste type 2]],WasteDisposalEmissions[#All],3,FALSE))*Calculations[[#This Row],[Total Kg]]*VLOOKUP(Calculations[[#This Row],[Waste 1]],WasteScenario[#All],3,FALSE),0)</f>
        <v>0</v>
      </c>
      <c r="AB297" s="322">
        <f>SUM(Calculations[[#This Row],[C3 recyc]:[C3 incin]])</f>
        <v>0</v>
      </c>
      <c r="AC297" s="334">
        <f>IFERROR((VLOOKUP(Calculations[[#This Row],[Waste type 2]],WasteLandfillEmissions[#All],2,FALSE))*Calculations[[#This Row],[Total Kg]]*VLOOKUP(Calculations[[#This Row],[Waste 1]],WasteScenario[#All],4,FALSE),0)</f>
        <v>0</v>
      </c>
      <c r="AD297" s="322">
        <f>IFERROR((VLOOKUP(Calculations[[#This Row],[Waste type 2]],WasteLandfillEmissions[#All],3,FALSE))*Calculations[[#This Row],[Total Kg]]*VLOOKUP(Calculations[[#This Row],[Waste 1]],WasteScenario[#All],4,FALSE),0)</f>
        <v>0</v>
      </c>
      <c r="AE297" s="322">
        <f>SUM(Calculations[[#This Row],[C4 landfill]:[C4 re-use]])</f>
        <v>0</v>
      </c>
      <c r="AF297" s="322">
        <f>IFERROR(VLOOKUP(Calculations[[#This Row],[Material (choose from dropdown]],MaterialData[#All],8,FALSE),0)</f>
        <v>0</v>
      </c>
      <c r="AG297" s="322">
        <f>IFERROR(Calculations[[#This Row],[Total Kg]]*Calculations[[#This Row],[Seq factor]],0)</f>
        <v>0</v>
      </c>
      <c r="AI297" s="322">
        <f>Calculations[[#This Row],[A1-3]]+Calculations[[#This Row],[A4]]+Calculations[[#This Row],[A5]]+Calculations[[#This Row],[B4]]+Calculations[[#This Row],[C2 total]]+Calculations[[#This Row],[C3 total]]+Calculations[[#This Row],[C4 total]]</f>
        <v>0</v>
      </c>
      <c r="AJ297" s="2">
        <f>IFERROR(VLOOKUP(Calculations[[#This Row],[Material (choose from dropdown]],MaterialData[[#Headers],[#Data]],9,FALSE),0)</f>
        <v>0</v>
      </c>
      <c r="AK297" s="4">
        <f>IFERROR(VLOOKUP(Calculations[[#This Row],[Material (choose from dropdown]],MaterialData[[#Headers],[#Data]],10,FALSE),0)</f>
        <v>0</v>
      </c>
      <c r="AL297" s="322">
        <f>IFERROR(Calculations[[#This Row],[Data Quality Score]]*Calculations[[#This Row],[Total Kg]],0)</f>
        <v>0</v>
      </c>
    </row>
    <row r="298" spans="1:38" x14ac:dyDescent="0.3">
      <c r="A298" s="6">
        <f>IFERROR(MaterialsBoQ[[#This Row],[Scope Element]],0)</f>
        <v>0</v>
      </c>
      <c r="B298" t="str">
        <f>IFERROR(MaterialsBoQ[[#This Row],[Material ]],"")</f>
        <v/>
      </c>
      <c r="C298" t="str">
        <f>IFERROR(MaterialsBoQ[[#This Row],[Unit]],"")</f>
        <v/>
      </c>
      <c r="D298" s="322">
        <f>IFERROR(MaterialsBoQ[[#This Row],[Number]],0)</f>
        <v>0</v>
      </c>
      <c r="E298" s="322">
        <f>IFERROR(MaterialsBoQ[[#This Row],[Kg per unit]],0)</f>
        <v>0</v>
      </c>
      <c r="F298" s="322">
        <f>IFERROR(Calculations[[#This Row],[Number]]*Calculations[[#This Row],[Conversion factor]],0)</f>
        <v>0</v>
      </c>
      <c r="G298" s="322">
        <f>IFERROR(VLOOKUP(Calculations[[#This Row],[Material (choose from dropdown]],MaterialData[#All],7,FALSE),0)</f>
        <v>0</v>
      </c>
      <c r="H298" s="322">
        <f>Calculations[[#This Row],[Total Kg]]*Calculations[[#This Row],[Carbon Factor]]</f>
        <v>0</v>
      </c>
      <c r="I298" t="str">
        <f>IFERROR(VLOOKUP(Calculations[[#This Row],[Material (choose from dropdown]],MaterialData[#All],2,FALSE),"")</f>
        <v/>
      </c>
      <c r="J298" s="322">
        <f>IFERROR(((VLOOKUP(Calculations[[#This Row],[TransportSource]],TransportDistance[],2,FALSE)*'Stage assumptions'!$C$11)+VLOOKUP(Calculations[[#This Row],[TransportSource]],TransportDistance[],3,FALSE)*'Stage assumptions'!$C$12)*Calculations[[#This Row],[Total Kg]],0)</f>
        <v>0</v>
      </c>
      <c r="K298">
        <f>IFERROR(VLOOKUP(Calculations[[#This Row],[Material (choose from dropdown]], MaterialData[#All],3, FALSE),0)</f>
        <v>0</v>
      </c>
      <c r="L298" s="322">
        <f>IFERROR(VLOOKUP(Calculations[[#This Row],[A5type]],A5WastageRate[#All],2,FALSE)*Calculations[[#This Row],[A1-3]],0)</f>
        <v>0</v>
      </c>
      <c r="N298">
        <f>IFERROR(ROUNDUP(50/VLOOKUP(Calculations[[#This Row],[Scope Element]],B4referenceServiceLife[[Tier 2 element]:[Default Service Life]],2, FALSE)-1,0),0)</f>
        <v>0</v>
      </c>
      <c r="O298" s="322">
        <f>IFERROR((Calculations[[#This Row],[A1-3]]+Calculations[[#This Row],[A4]]+Calculations[[#This Row],[A5]]+Calculations[[#This Row],[C2 total]]+Calculations[[#This Row],[C3 total]]+Calculations[[#This Row],[C4 total]])*Calculations[[#This Row],[Replacements]],0)</f>
        <v>0</v>
      </c>
      <c r="S298" t="str">
        <f>IFERROR(VLOOKUP(Calculations[[#This Row],[Material (choose from dropdown]],MaterialData[#All],4,FALSE),"")</f>
        <v/>
      </c>
      <c r="T298" s="322" cm="1">
        <f t="array" ref="T298">IFERROR(VLOOKUP(Calculations[[#This Row],[Waste 1]],WasteScenario[#All],2,FALSE)*'Stage assumptions'!$C$225*WasteTransportMethod[Emissions Factor
kgCO2e/kg.km]*Calculations[[#This Row],[Total Kg]],0)</f>
        <v>0</v>
      </c>
      <c r="U298" s="322" cm="1">
        <f t="array" ref="U298">IFERROR(VLOOKUP(Calculations[[#This Row],[Waste 1]],WasteScenario[#All],3,FALSE)*'Stage assumptions'!$C$224*WasteTransportMethod[Emissions Factor
kgCO2e/kg.km]*Calculations[[#This Row],[Total Kg]],0)</f>
        <v>0</v>
      </c>
      <c r="V298" s="322" cm="1">
        <f t="array" ref="V298">IFERROR(VLOOKUP(Calculations[[#This Row],[Waste 1]],WasteScenario[#All],4,FALSE)*'Stage assumptions'!$C$223*WasteTransportMethod[Emissions Factor
kgCO2e/kg.km]*Calculations[[#This Row],[Total Kg]],0)</f>
        <v>0</v>
      </c>
      <c r="W298" s="322" cm="1">
        <f t="array" ref="W298">IFERROR(VLOOKUP(Calculations[[#This Row],[Waste 1]],WasteScenario[#All],5,FALSE)*'Stage assumptions'!$C$226*WasteTransportMethod[Emissions Factor
kgCO2e/kg.km]*Calculations[[#This Row],[Total Kg]],0)</f>
        <v>0</v>
      </c>
      <c r="X298" s="322">
        <f>SUM(Calculations[[#This Row],[C2 Recycle]:[C2 Reuse]])</f>
        <v>0</v>
      </c>
      <c r="Y298" t="str">
        <f>IFERROR(VLOOKUP(Calculations[[#This Row],[Material (choose from dropdown]],MaterialData[#All],5,FALSE),"")</f>
        <v/>
      </c>
      <c r="Z298" s="322">
        <f>IFERROR(((VLOOKUP(Calculations[[#This Row],[Waste type 2]],WasteDisposalEmissions[#All],2,FALSE))*Calculations[[#This Row],[Total Kg]])*VLOOKUP(Calculations[[#This Row],[Waste 1]],WasteScenario[#All],2,FALSE),0)</f>
        <v>0</v>
      </c>
      <c r="AA298" s="322">
        <f>IFERROR((VLOOKUP(Calculations[[#This Row],[Waste type 2]],WasteDisposalEmissions[#All],3,FALSE))*Calculations[[#This Row],[Total Kg]]*VLOOKUP(Calculations[[#This Row],[Waste 1]],WasteScenario[#All],3,FALSE),0)</f>
        <v>0</v>
      </c>
      <c r="AB298" s="322">
        <f>SUM(Calculations[[#This Row],[C3 recyc]:[C3 incin]])</f>
        <v>0</v>
      </c>
      <c r="AC298" s="334">
        <f>IFERROR((VLOOKUP(Calculations[[#This Row],[Waste type 2]],WasteLandfillEmissions[#All],2,FALSE))*Calculations[[#This Row],[Total Kg]]*VLOOKUP(Calculations[[#This Row],[Waste 1]],WasteScenario[#All],4,FALSE),0)</f>
        <v>0</v>
      </c>
      <c r="AD298" s="322">
        <f>IFERROR((VLOOKUP(Calculations[[#This Row],[Waste type 2]],WasteLandfillEmissions[#All],3,FALSE))*Calculations[[#This Row],[Total Kg]]*VLOOKUP(Calculations[[#This Row],[Waste 1]],WasteScenario[#All],4,FALSE),0)</f>
        <v>0</v>
      </c>
      <c r="AE298" s="322">
        <f>SUM(Calculations[[#This Row],[C4 landfill]:[C4 re-use]])</f>
        <v>0</v>
      </c>
      <c r="AF298" s="322">
        <f>IFERROR(VLOOKUP(Calculations[[#This Row],[Material (choose from dropdown]],MaterialData[#All],8,FALSE),0)</f>
        <v>0</v>
      </c>
      <c r="AG298" s="322">
        <f>IFERROR(Calculations[[#This Row],[Total Kg]]*Calculations[[#This Row],[Seq factor]],0)</f>
        <v>0</v>
      </c>
      <c r="AI298" s="322">
        <f>Calculations[[#This Row],[A1-3]]+Calculations[[#This Row],[A4]]+Calculations[[#This Row],[A5]]+Calculations[[#This Row],[B4]]+Calculations[[#This Row],[C2 total]]+Calculations[[#This Row],[C3 total]]+Calculations[[#This Row],[C4 total]]</f>
        <v>0</v>
      </c>
      <c r="AJ298" s="2">
        <f>IFERROR(VLOOKUP(Calculations[[#This Row],[Material (choose from dropdown]],MaterialData[[#Headers],[#Data]],9,FALSE),0)</f>
        <v>0</v>
      </c>
      <c r="AK298" s="4">
        <f>IFERROR(VLOOKUP(Calculations[[#This Row],[Material (choose from dropdown]],MaterialData[[#Headers],[#Data]],10,FALSE),0)</f>
        <v>0</v>
      </c>
      <c r="AL298" s="322">
        <f>IFERROR(Calculations[[#This Row],[Data Quality Score]]*Calculations[[#This Row],[Total Kg]],0)</f>
        <v>0</v>
      </c>
    </row>
    <row r="299" spans="1:38" x14ac:dyDescent="0.3">
      <c r="A299" s="6">
        <f>IFERROR(MaterialsBoQ[[#This Row],[Scope Element]],0)</f>
        <v>0</v>
      </c>
      <c r="B299" t="str">
        <f>IFERROR(MaterialsBoQ[[#This Row],[Material ]],"")</f>
        <v/>
      </c>
      <c r="C299" t="str">
        <f>IFERROR(MaterialsBoQ[[#This Row],[Unit]],"")</f>
        <v/>
      </c>
      <c r="D299" s="322">
        <f>IFERROR(MaterialsBoQ[[#This Row],[Number]],0)</f>
        <v>0</v>
      </c>
      <c r="E299" s="322">
        <f>IFERROR(MaterialsBoQ[[#This Row],[Kg per unit]],0)</f>
        <v>0</v>
      </c>
      <c r="F299" s="322">
        <f>IFERROR(Calculations[[#This Row],[Number]]*Calculations[[#This Row],[Conversion factor]],0)</f>
        <v>0</v>
      </c>
      <c r="G299" s="322">
        <f>IFERROR(VLOOKUP(Calculations[[#This Row],[Material (choose from dropdown]],MaterialData[#All],7,FALSE),0)</f>
        <v>0</v>
      </c>
      <c r="H299" s="322">
        <f>Calculations[[#This Row],[Total Kg]]*Calculations[[#This Row],[Carbon Factor]]</f>
        <v>0</v>
      </c>
      <c r="I299" t="str">
        <f>IFERROR(VLOOKUP(Calculations[[#This Row],[Material (choose from dropdown]],MaterialData[#All],2,FALSE),"")</f>
        <v/>
      </c>
      <c r="J299" s="322">
        <f>IFERROR(((VLOOKUP(Calculations[[#This Row],[TransportSource]],TransportDistance[],2,FALSE)*'Stage assumptions'!$C$11)+VLOOKUP(Calculations[[#This Row],[TransportSource]],TransportDistance[],3,FALSE)*'Stage assumptions'!$C$12)*Calculations[[#This Row],[Total Kg]],0)</f>
        <v>0</v>
      </c>
      <c r="K299">
        <f>IFERROR(VLOOKUP(Calculations[[#This Row],[Material (choose from dropdown]], MaterialData[#All],3, FALSE),0)</f>
        <v>0</v>
      </c>
      <c r="L299" s="322">
        <f>IFERROR(VLOOKUP(Calculations[[#This Row],[A5type]],A5WastageRate[#All],2,FALSE)*Calculations[[#This Row],[A1-3]],0)</f>
        <v>0</v>
      </c>
      <c r="N299">
        <f>IFERROR(ROUNDUP(50/VLOOKUP(Calculations[[#This Row],[Scope Element]],B4referenceServiceLife[[Tier 2 element]:[Default Service Life]],2, FALSE)-1,0),0)</f>
        <v>0</v>
      </c>
      <c r="O299" s="322">
        <f>IFERROR((Calculations[[#This Row],[A1-3]]+Calculations[[#This Row],[A4]]+Calculations[[#This Row],[A5]]+Calculations[[#This Row],[C2 total]]+Calculations[[#This Row],[C3 total]]+Calculations[[#This Row],[C4 total]])*Calculations[[#This Row],[Replacements]],0)</f>
        <v>0</v>
      </c>
      <c r="S299" t="str">
        <f>IFERROR(VLOOKUP(Calculations[[#This Row],[Material (choose from dropdown]],MaterialData[#All],4,FALSE),"")</f>
        <v/>
      </c>
      <c r="T299" s="322" cm="1">
        <f t="array" ref="T299">IFERROR(VLOOKUP(Calculations[[#This Row],[Waste 1]],WasteScenario[#All],2,FALSE)*'Stage assumptions'!$C$225*WasteTransportMethod[Emissions Factor
kgCO2e/kg.km]*Calculations[[#This Row],[Total Kg]],0)</f>
        <v>0</v>
      </c>
      <c r="U299" s="322" cm="1">
        <f t="array" ref="U299">IFERROR(VLOOKUP(Calculations[[#This Row],[Waste 1]],WasteScenario[#All],3,FALSE)*'Stage assumptions'!$C$224*WasteTransportMethod[Emissions Factor
kgCO2e/kg.km]*Calculations[[#This Row],[Total Kg]],0)</f>
        <v>0</v>
      </c>
      <c r="V299" s="322" cm="1">
        <f t="array" ref="V299">IFERROR(VLOOKUP(Calculations[[#This Row],[Waste 1]],WasteScenario[#All],4,FALSE)*'Stage assumptions'!$C$223*WasteTransportMethod[Emissions Factor
kgCO2e/kg.km]*Calculations[[#This Row],[Total Kg]],0)</f>
        <v>0</v>
      </c>
      <c r="W299" s="322" cm="1">
        <f t="array" ref="W299">IFERROR(VLOOKUP(Calculations[[#This Row],[Waste 1]],WasteScenario[#All],5,FALSE)*'Stage assumptions'!$C$226*WasteTransportMethod[Emissions Factor
kgCO2e/kg.km]*Calculations[[#This Row],[Total Kg]],0)</f>
        <v>0</v>
      </c>
      <c r="X299" s="322">
        <f>SUM(Calculations[[#This Row],[C2 Recycle]:[C2 Reuse]])</f>
        <v>0</v>
      </c>
      <c r="Y299" t="str">
        <f>IFERROR(VLOOKUP(Calculations[[#This Row],[Material (choose from dropdown]],MaterialData[#All],5,FALSE),"")</f>
        <v/>
      </c>
      <c r="Z299" s="322">
        <f>IFERROR(((VLOOKUP(Calculations[[#This Row],[Waste type 2]],WasteDisposalEmissions[#All],2,FALSE))*Calculations[[#This Row],[Total Kg]])*VLOOKUP(Calculations[[#This Row],[Waste 1]],WasteScenario[#All],2,FALSE),0)</f>
        <v>0</v>
      </c>
      <c r="AA299" s="322">
        <f>IFERROR((VLOOKUP(Calculations[[#This Row],[Waste type 2]],WasteDisposalEmissions[#All],3,FALSE))*Calculations[[#This Row],[Total Kg]]*VLOOKUP(Calculations[[#This Row],[Waste 1]],WasteScenario[#All],3,FALSE),0)</f>
        <v>0</v>
      </c>
      <c r="AB299" s="322">
        <f>SUM(Calculations[[#This Row],[C3 recyc]:[C3 incin]])</f>
        <v>0</v>
      </c>
      <c r="AC299" s="334">
        <f>IFERROR((VLOOKUP(Calculations[[#This Row],[Waste type 2]],WasteLandfillEmissions[#All],2,FALSE))*Calculations[[#This Row],[Total Kg]]*VLOOKUP(Calculations[[#This Row],[Waste 1]],WasteScenario[#All],4,FALSE),0)</f>
        <v>0</v>
      </c>
      <c r="AD299" s="322">
        <f>IFERROR((VLOOKUP(Calculations[[#This Row],[Waste type 2]],WasteLandfillEmissions[#All],3,FALSE))*Calculations[[#This Row],[Total Kg]]*VLOOKUP(Calculations[[#This Row],[Waste 1]],WasteScenario[#All],4,FALSE),0)</f>
        <v>0</v>
      </c>
      <c r="AE299" s="322">
        <f>SUM(Calculations[[#This Row],[C4 landfill]:[C4 re-use]])</f>
        <v>0</v>
      </c>
      <c r="AF299" s="322">
        <f>IFERROR(VLOOKUP(Calculations[[#This Row],[Material (choose from dropdown]],MaterialData[#All],8,FALSE),0)</f>
        <v>0</v>
      </c>
      <c r="AG299" s="322">
        <f>IFERROR(Calculations[[#This Row],[Total Kg]]*Calculations[[#This Row],[Seq factor]],0)</f>
        <v>0</v>
      </c>
      <c r="AI299" s="322">
        <f>Calculations[[#This Row],[A1-3]]+Calculations[[#This Row],[A4]]+Calculations[[#This Row],[A5]]+Calculations[[#This Row],[B4]]+Calculations[[#This Row],[C2 total]]+Calculations[[#This Row],[C3 total]]+Calculations[[#This Row],[C4 total]]</f>
        <v>0</v>
      </c>
      <c r="AJ299" s="2">
        <f>IFERROR(VLOOKUP(Calculations[[#This Row],[Material (choose from dropdown]],MaterialData[[#Headers],[#Data]],9,FALSE),0)</f>
        <v>0</v>
      </c>
      <c r="AK299" s="4">
        <f>IFERROR(VLOOKUP(Calculations[[#This Row],[Material (choose from dropdown]],MaterialData[[#Headers],[#Data]],10,FALSE),0)</f>
        <v>0</v>
      </c>
      <c r="AL299" s="322">
        <f>IFERROR(Calculations[[#This Row],[Data Quality Score]]*Calculations[[#This Row],[Total Kg]],0)</f>
        <v>0</v>
      </c>
    </row>
    <row r="300" spans="1:38" x14ac:dyDescent="0.3">
      <c r="A300" s="6">
        <f>IFERROR(MaterialsBoQ[[#This Row],[Scope Element]],0)</f>
        <v>0</v>
      </c>
      <c r="B300" t="str">
        <f>IFERROR(MaterialsBoQ[[#This Row],[Material ]],"")</f>
        <v/>
      </c>
      <c r="C300" t="str">
        <f>IFERROR(MaterialsBoQ[[#This Row],[Unit]],"")</f>
        <v/>
      </c>
      <c r="D300" s="322">
        <f>IFERROR(MaterialsBoQ[[#This Row],[Number]],0)</f>
        <v>0</v>
      </c>
      <c r="E300" s="322">
        <f>IFERROR(MaterialsBoQ[[#This Row],[Kg per unit]],0)</f>
        <v>0</v>
      </c>
      <c r="F300" s="322">
        <f>IFERROR(Calculations[[#This Row],[Number]]*Calculations[[#This Row],[Conversion factor]],0)</f>
        <v>0</v>
      </c>
      <c r="G300" s="322">
        <f>IFERROR(VLOOKUP(Calculations[[#This Row],[Material (choose from dropdown]],MaterialData[#All],7,FALSE),0)</f>
        <v>0</v>
      </c>
      <c r="H300" s="322">
        <f>Calculations[[#This Row],[Total Kg]]*Calculations[[#This Row],[Carbon Factor]]</f>
        <v>0</v>
      </c>
      <c r="I300" t="str">
        <f>IFERROR(VLOOKUP(Calculations[[#This Row],[Material (choose from dropdown]],MaterialData[#All],2,FALSE),"")</f>
        <v/>
      </c>
      <c r="J300" s="322">
        <f>IFERROR(((VLOOKUP(Calculations[[#This Row],[TransportSource]],TransportDistance[],2,FALSE)*'Stage assumptions'!$C$11)+VLOOKUP(Calculations[[#This Row],[TransportSource]],TransportDistance[],3,FALSE)*'Stage assumptions'!$C$12)*Calculations[[#This Row],[Total Kg]],0)</f>
        <v>0</v>
      </c>
      <c r="K300">
        <f>IFERROR(VLOOKUP(Calculations[[#This Row],[Material (choose from dropdown]], MaterialData[#All],3, FALSE),0)</f>
        <v>0</v>
      </c>
      <c r="L300" s="322">
        <f>IFERROR(VLOOKUP(Calculations[[#This Row],[A5type]],A5WastageRate[#All],2,FALSE)*Calculations[[#This Row],[A1-3]],0)</f>
        <v>0</v>
      </c>
      <c r="N300">
        <f>IFERROR(ROUNDUP(50/VLOOKUP(Calculations[[#This Row],[Scope Element]],B4referenceServiceLife[[Tier 2 element]:[Default Service Life]],2, FALSE)-1,0),0)</f>
        <v>0</v>
      </c>
      <c r="O300" s="322">
        <f>IFERROR((Calculations[[#This Row],[A1-3]]+Calculations[[#This Row],[A4]]+Calculations[[#This Row],[A5]]+Calculations[[#This Row],[C2 total]]+Calculations[[#This Row],[C3 total]]+Calculations[[#This Row],[C4 total]])*Calculations[[#This Row],[Replacements]],0)</f>
        <v>0</v>
      </c>
      <c r="S300" t="str">
        <f>IFERROR(VLOOKUP(Calculations[[#This Row],[Material (choose from dropdown]],MaterialData[#All],4,FALSE),"")</f>
        <v/>
      </c>
      <c r="T300" s="322" cm="1">
        <f t="array" ref="T300">IFERROR(VLOOKUP(Calculations[[#This Row],[Waste 1]],WasteScenario[#All],2,FALSE)*'Stage assumptions'!$C$225*WasteTransportMethod[Emissions Factor
kgCO2e/kg.km]*Calculations[[#This Row],[Total Kg]],0)</f>
        <v>0</v>
      </c>
      <c r="U300" s="322" cm="1">
        <f t="array" ref="U300">IFERROR(VLOOKUP(Calculations[[#This Row],[Waste 1]],WasteScenario[#All],3,FALSE)*'Stage assumptions'!$C$224*WasteTransportMethod[Emissions Factor
kgCO2e/kg.km]*Calculations[[#This Row],[Total Kg]],0)</f>
        <v>0</v>
      </c>
      <c r="V300" s="322" cm="1">
        <f t="array" ref="V300">IFERROR(VLOOKUP(Calculations[[#This Row],[Waste 1]],WasteScenario[#All],4,FALSE)*'Stage assumptions'!$C$223*WasteTransportMethod[Emissions Factor
kgCO2e/kg.km]*Calculations[[#This Row],[Total Kg]],0)</f>
        <v>0</v>
      </c>
      <c r="W300" s="322" cm="1">
        <f t="array" ref="W300">IFERROR(VLOOKUP(Calculations[[#This Row],[Waste 1]],WasteScenario[#All],5,FALSE)*'Stage assumptions'!$C$226*WasteTransportMethod[Emissions Factor
kgCO2e/kg.km]*Calculations[[#This Row],[Total Kg]],0)</f>
        <v>0</v>
      </c>
      <c r="X300" s="322">
        <f>SUM(Calculations[[#This Row],[C2 Recycle]:[C2 Reuse]])</f>
        <v>0</v>
      </c>
      <c r="Y300" t="str">
        <f>IFERROR(VLOOKUP(Calculations[[#This Row],[Material (choose from dropdown]],MaterialData[#All],5,FALSE),"")</f>
        <v/>
      </c>
      <c r="Z300" s="322">
        <f>IFERROR(((VLOOKUP(Calculations[[#This Row],[Waste type 2]],WasteDisposalEmissions[#All],2,FALSE))*Calculations[[#This Row],[Total Kg]])*VLOOKUP(Calculations[[#This Row],[Waste 1]],WasteScenario[#All],2,FALSE),0)</f>
        <v>0</v>
      </c>
      <c r="AA300" s="322">
        <f>IFERROR((VLOOKUP(Calculations[[#This Row],[Waste type 2]],WasteDisposalEmissions[#All],3,FALSE))*Calculations[[#This Row],[Total Kg]]*VLOOKUP(Calculations[[#This Row],[Waste 1]],WasteScenario[#All],3,FALSE),0)</f>
        <v>0</v>
      </c>
      <c r="AB300" s="322">
        <f>SUM(Calculations[[#This Row],[C3 recyc]:[C3 incin]])</f>
        <v>0</v>
      </c>
      <c r="AC300" s="334">
        <f>IFERROR((VLOOKUP(Calculations[[#This Row],[Waste type 2]],WasteLandfillEmissions[#All],2,FALSE))*Calculations[[#This Row],[Total Kg]]*VLOOKUP(Calculations[[#This Row],[Waste 1]],WasteScenario[#All],4,FALSE),0)</f>
        <v>0</v>
      </c>
      <c r="AD300" s="322">
        <f>IFERROR((VLOOKUP(Calculations[[#This Row],[Waste type 2]],WasteLandfillEmissions[#All],3,FALSE))*Calculations[[#This Row],[Total Kg]]*VLOOKUP(Calculations[[#This Row],[Waste 1]],WasteScenario[#All],4,FALSE),0)</f>
        <v>0</v>
      </c>
      <c r="AE300" s="322">
        <f>SUM(Calculations[[#This Row],[C4 landfill]:[C4 re-use]])</f>
        <v>0</v>
      </c>
      <c r="AF300" s="322">
        <f>IFERROR(VLOOKUP(Calculations[[#This Row],[Material (choose from dropdown]],MaterialData[#All],8,FALSE),0)</f>
        <v>0</v>
      </c>
      <c r="AG300" s="322">
        <f>IFERROR(Calculations[[#This Row],[Total Kg]]*Calculations[[#This Row],[Seq factor]],0)</f>
        <v>0</v>
      </c>
      <c r="AI300" s="322">
        <f>Calculations[[#This Row],[A1-3]]+Calculations[[#This Row],[A4]]+Calculations[[#This Row],[A5]]+Calculations[[#This Row],[B4]]+Calculations[[#This Row],[C2 total]]+Calculations[[#This Row],[C3 total]]+Calculations[[#This Row],[C4 total]]</f>
        <v>0</v>
      </c>
      <c r="AJ300" s="2">
        <f>IFERROR(VLOOKUP(Calculations[[#This Row],[Material (choose from dropdown]],MaterialData[[#Headers],[#Data]],9,FALSE),0)</f>
        <v>0</v>
      </c>
      <c r="AK300" s="4">
        <f>IFERROR(VLOOKUP(Calculations[[#This Row],[Material (choose from dropdown]],MaterialData[[#Headers],[#Data]],10,FALSE),0)</f>
        <v>0</v>
      </c>
      <c r="AL300" s="322">
        <f>IFERROR(Calculations[[#This Row],[Data Quality Score]]*Calculations[[#This Row],[Total Kg]],0)</f>
        <v>0</v>
      </c>
    </row>
    <row r="301" spans="1:38" x14ac:dyDescent="0.3">
      <c r="A301" s="6">
        <f>IFERROR(MaterialsBoQ[[#This Row],[Scope Element]],0)</f>
        <v>0</v>
      </c>
      <c r="B301" t="str">
        <f>IFERROR(MaterialsBoQ[[#This Row],[Material ]],"")</f>
        <v/>
      </c>
      <c r="C301" t="str">
        <f>IFERROR(MaterialsBoQ[[#This Row],[Unit]],"")</f>
        <v/>
      </c>
      <c r="D301" s="322">
        <f>IFERROR(MaterialsBoQ[[#This Row],[Number]],0)</f>
        <v>0</v>
      </c>
      <c r="E301" s="322">
        <f>IFERROR(MaterialsBoQ[[#This Row],[Kg per unit]],0)</f>
        <v>0</v>
      </c>
      <c r="F301" s="322">
        <f>IFERROR(Calculations[[#This Row],[Number]]*Calculations[[#This Row],[Conversion factor]],0)</f>
        <v>0</v>
      </c>
      <c r="G301" s="322">
        <f>IFERROR(VLOOKUP(Calculations[[#This Row],[Material (choose from dropdown]],MaterialData[#All],7,FALSE),0)</f>
        <v>0</v>
      </c>
      <c r="H301" s="322">
        <f>Calculations[[#This Row],[Total Kg]]*Calculations[[#This Row],[Carbon Factor]]</f>
        <v>0</v>
      </c>
      <c r="I301" t="str">
        <f>IFERROR(VLOOKUP(Calculations[[#This Row],[Material (choose from dropdown]],MaterialData[#All],2,FALSE),"")</f>
        <v/>
      </c>
      <c r="J301" s="322">
        <f>IFERROR(((VLOOKUP(Calculations[[#This Row],[TransportSource]],TransportDistance[],2,FALSE)*'Stage assumptions'!$C$11)+VLOOKUP(Calculations[[#This Row],[TransportSource]],TransportDistance[],3,FALSE)*'Stage assumptions'!$C$12)*Calculations[[#This Row],[Total Kg]],0)</f>
        <v>0</v>
      </c>
      <c r="K301">
        <f>IFERROR(VLOOKUP(Calculations[[#This Row],[Material (choose from dropdown]], MaterialData[#All],3, FALSE),0)</f>
        <v>0</v>
      </c>
      <c r="L301" s="322">
        <f>IFERROR(VLOOKUP(Calculations[[#This Row],[A5type]],A5WastageRate[#All],2,FALSE)*Calculations[[#This Row],[A1-3]],0)</f>
        <v>0</v>
      </c>
      <c r="N301">
        <f>IFERROR(ROUNDUP(50/VLOOKUP(Calculations[[#This Row],[Scope Element]],B4referenceServiceLife[[Tier 2 element]:[Default Service Life]],2, FALSE)-1,0),0)</f>
        <v>0</v>
      </c>
      <c r="O301" s="322">
        <f>IFERROR((Calculations[[#This Row],[A1-3]]+Calculations[[#This Row],[A4]]+Calculations[[#This Row],[A5]]+Calculations[[#This Row],[C2 total]]+Calculations[[#This Row],[C3 total]]+Calculations[[#This Row],[C4 total]])*Calculations[[#This Row],[Replacements]],0)</f>
        <v>0</v>
      </c>
      <c r="S301" t="str">
        <f>IFERROR(VLOOKUP(Calculations[[#This Row],[Material (choose from dropdown]],MaterialData[#All],4,FALSE),"")</f>
        <v/>
      </c>
      <c r="T301" s="322" cm="1">
        <f t="array" ref="T301">IFERROR(VLOOKUP(Calculations[[#This Row],[Waste 1]],WasteScenario[#All],2,FALSE)*'Stage assumptions'!$C$225*WasteTransportMethod[Emissions Factor
kgCO2e/kg.km]*Calculations[[#This Row],[Total Kg]],0)</f>
        <v>0</v>
      </c>
      <c r="U301" s="322" cm="1">
        <f t="array" ref="U301">IFERROR(VLOOKUP(Calculations[[#This Row],[Waste 1]],WasteScenario[#All],3,FALSE)*'Stage assumptions'!$C$224*WasteTransportMethod[Emissions Factor
kgCO2e/kg.km]*Calculations[[#This Row],[Total Kg]],0)</f>
        <v>0</v>
      </c>
      <c r="V301" s="322" cm="1">
        <f t="array" ref="V301">IFERROR(VLOOKUP(Calculations[[#This Row],[Waste 1]],WasteScenario[#All],4,FALSE)*'Stage assumptions'!$C$223*WasteTransportMethod[Emissions Factor
kgCO2e/kg.km]*Calculations[[#This Row],[Total Kg]],0)</f>
        <v>0</v>
      </c>
      <c r="W301" s="322" cm="1">
        <f t="array" ref="W301">IFERROR(VLOOKUP(Calculations[[#This Row],[Waste 1]],WasteScenario[#All],5,FALSE)*'Stage assumptions'!$C$226*WasteTransportMethod[Emissions Factor
kgCO2e/kg.km]*Calculations[[#This Row],[Total Kg]],0)</f>
        <v>0</v>
      </c>
      <c r="X301" s="322">
        <f>SUM(Calculations[[#This Row],[C2 Recycle]:[C2 Reuse]])</f>
        <v>0</v>
      </c>
      <c r="Y301" t="str">
        <f>IFERROR(VLOOKUP(Calculations[[#This Row],[Material (choose from dropdown]],MaterialData[#All],5,FALSE),"")</f>
        <v/>
      </c>
      <c r="Z301" s="322">
        <f>IFERROR(((VLOOKUP(Calculations[[#This Row],[Waste type 2]],WasteDisposalEmissions[#All],2,FALSE))*Calculations[[#This Row],[Total Kg]])*VLOOKUP(Calculations[[#This Row],[Waste 1]],WasteScenario[#All],2,FALSE),0)</f>
        <v>0</v>
      </c>
      <c r="AA301" s="322">
        <f>IFERROR((VLOOKUP(Calculations[[#This Row],[Waste type 2]],WasteDisposalEmissions[#All],3,FALSE))*Calculations[[#This Row],[Total Kg]]*VLOOKUP(Calculations[[#This Row],[Waste 1]],WasteScenario[#All],3,FALSE),0)</f>
        <v>0</v>
      </c>
      <c r="AB301" s="322">
        <f>SUM(Calculations[[#This Row],[C3 recyc]:[C3 incin]])</f>
        <v>0</v>
      </c>
      <c r="AC301" s="334">
        <f>IFERROR((VLOOKUP(Calculations[[#This Row],[Waste type 2]],WasteLandfillEmissions[#All],2,FALSE))*Calculations[[#This Row],[Total Kg]]*VLOOKUP(Calculations[[#This Row],[Waste 1]],WasteScenario[#All],4,FALSE),0)</f>
        <v>0</v>
      </c>
      <c r="AD301" s="322">
        <f>IFERROR((VLOOKUP(Calculations[[#This Row],[Waste type 2]],WasteLandfillEmissions[#All],3,FALSE))*Calculations[[#This Row],[Total Kg]]*VLOOKUP(Calculations[[#This Row],[Waste 1]],WasteScenario[#All],4,FALSE),0)</f>
        <v>0</v>
      </c>
      <c r="AE301" s="322">
        <f>SUM(Calculations[[#This Row],[C4 landfill]:[C4 re-use]])</f>
        <v>0</v>
      </c>
      <c r="AF301" s="322">
        <f>IFERROR(VLOOKUP(Calculations[[#This Row],[Material (choose from dropdown]],MaterialData[#All],8,FALSE),0)</f>
        <v>0</v>
      </c>
      <c r="AG301" s="322">
        <f>IFERROR(Calculations[[#This Row],[Total Kg]]*Calculations[[#This Row],[Seq factor]],0)</f>
        <v>0</v>
      </c>
      <c r="AI301" s="322">
        <f>Calculations[[#This Row],[A1-3]]+Calculations[[#This Row],[A4]]+Calculations[[#This Row],[A5]]+Calculations[[#This Row],[B4]]+Calculations[[#This Row],[C2 total]]+Calculations[[#This Row],[C3 total]]+Calculations[[#This Row],[C4 total]]</f>
        <v>0</v>
      </c>
      <c r="AJ301" s="2">
        <f>IFERROR(VLOOKUP(Calculations[[#This Row],[Material (choose from dropdown]],MaterialData[[#Headers],[#Data]],9,FALSE),0)</f>
        <v>0</v>
      </c>
      <c r="AK301" s="4">
        <f>IFERROR(VLOOKUP(Calculations[[#This Row],[Material (choose from dropdown]],MaterialData[[#Headers],[#Data]],10,FALSE),0)</f>
        <v>0</v>
      </c>
      <c r="AL301" s="322">
        <f>IFERROR(Calculations[[#This Row],[Data Quality Score]]*Calculations[[#This Row],[Total Kg]],0)</f>
        <v>0</v>
      </c>
    </row>
    <row r="302" spans="1:38" x14ac:dyDescent="0.3">
      <c r="A302" s="6">
        <f>IFERROR(MaterialsBoQ[[#This Row],[Scope Element]],0)</f>
        <v>0</v>
      </c>
      <c r="B302" t="str">
        <f>IFERROR(MaterialsBoQ[[#This Row],[Material ]],"")</f>
        <v/>
      </c>
      <c r="C302" t="str">
        <f>IFERROR(MaterialsBoQ[[#This Row],[Unit]],"")</f>
        <v/>
      </c>
      <c r="D302" s="322">
        <f>IFERROR(MaterialsBoQ[[#This Row],[Number]],0)</f>
        <v>0</v>
      </c>
      <c r="E302" s="322">
        <f>IFERROR(MaterialsBoQ[[#This Row],[Kg per unit]],0)</f>
        <v>0</v>
      </c>
      <c r="F302" s="322">
        <f>IFERROR(Calculations[[#This Row],[Number]]*Calculations[[#This Row],[Conversion factor]],0)</f>
        <v>0</v>
      </c>
      <c r="G302" s="322">
        <f>IFERROR(VLOOKUP(Calculations[[#This Row],[Material (choose from dropdown]],MaterialData[#All],7,FALSE),0)</f>
        <v>0</v>
      </c>
      <c r="H302" s="322">
        <f>Calculations[[#This Row],[Total Kg]]*Calculations[[#This Row],[Carbon Factor]]</f>
        <v>0</v>
      </c>
      <c r="I302" t="str">
        <f>IFERROR(VLOOKUP(Calculations[[#This Row],[Material (choose from dropdown]],MaterialData[#All],2,FALSE),"")</f>
        <v/>
      </c>
      <c r="J302" s="322">
        <f>IFERROR(((VLOOKUP(Calculations[[#This Row],[TransportSource]],TransportDistance[],2,FALSE)*'Stage assumptions'!$C$11)+VLOOKUP(Calculations[[#This Row],[TransportSource]],TransportDistance[],3,FALSE)*'Stage assumptions'!$C$12)*Calculations[[#This Row],[Total Kg]],0)</f>
        <v>0</v>
      </c>
      <c r="K302">
        <f>IFERROR(VLOOKUP(Calculations[[#This Row],[Material (choose from dropdown]], MaterialData[#All],3, FALSE),0)</f>
        <v>0</v>
      </c>
      <c r="L302" s="322">
        <f>IFERROR(VLOOKUP(Calculations[[#This Row],[A5type]],A5WastageRate[#All],2,FALSE)*Calculations[[#This Row],[A1-3]],0)</f>
        <v>0</v>
      </c>
      <c r="N302">
        <f>IFERROR(ROUNDUP(50/VLOOKUP(Calculations[[#This Row],[Scope Element]],B4referenceServiceLife[[Tier 2 element]:[Default Service Life]],2, FALSE)-1,0),0)</f>
        <v>0</v>
      </c>
      <c r="O302" s="322">
        <f>IFERROR((Calculations[[#This Row],[A1-3]]+Calculations[[#This Row],[A4]]+Calculations[[#This Row],[A5]]+Calculations[[#This Row],[C2 total]]+Calculations[[#This Row],[C3 total]]+Calculations[[#This Row],[C4 total]])*Calculations[[#This Row],[Replacements]],0)</f>
        <v>0</v>
      </c>
      <c r="S302" t="str">
        <f>IFERROR(VLOOKUP(Calculations[[#This Row],[Material (choose from dropdown]],MaterialData[#All],4,FALSE),"")</f>
        <v/>
      </c>
      <c r="T302" s="322" cm="1">
        <f t="array" ref="T302">IFERROR(VLOOKUP(Calculations[[#This Row],[Waste 1]],WasteScenario[#All],2,FALSE)*'Stage assumptions'!$C$225*WasteTransportMethod[Emissions Factor
kgCO2e/kg.km]*Calculations[[#This Row],[Total Kg]],0)</f>
        <v>0</v>
      </c>
      <c r="U302" s="322" cm="1">
        <f t="array" ref="U302">IFERROR(VLOOKUP(Calculations[[#This Row],[Waste 1]],WasteScenario[#All],3,FALSE)*'Stage assumptions'!$C$224*WasteTransportMethod[Emissions Factor
kgCO2e/kg.km]*Calculations[[#This Row],[Total Kg]],0)</f>
        <v>0</v>
      </c>
      <c r="V302" s="322" cm="1">
        <f t="array" ref="V302">IFERROR(VLOOKUP(Calculations[[#This Row],[Waste 1]],WasteScenario[#All],4,FALSE)*'Stage assumptions'!$C$223*WasteTransportMethod[Emissions Factor
kgCO2e/kg.km]*Calculations[[#This Row],[Total Kg]],0)</f>
        <v>0</v>
      </c>
      <c r="W302" s="322" cm="1">
        <f t="array" ref="W302">IFERROR(VLOOKUP(Calculations[[#This Row],[Waste 1]],WasteScenario[#All],5,FALSE)*'Stage assumptions'!$C$226*WasteTransportMethod[Emissions Factor
kgCO2e/kg.km]*Calculations[[#This Row],[Total Kg]],0)</f>
        <v>0</v>
      </c>
      <c r="X302" s="322">
        <f>SUM(Calculations[[#This Row],[C2 Recycle]:[C2 Reuse]])</f>
        <v>0</v>
      </c>
      <c r="Y302" t="str">
        <f>IFERROR(VLOOKUP(Calculations[[#This Row],[Material (choose from dropdown]],MaterialData[#All],5,FALSE),"")</f>
        <v/>
      </c>
      <c r="Z302" s="322">
        <f>IFERROR(((VLOOKUP(Calculations[[#This Row],[Waste type 2]],WasteDisposalEmissions[#All],2,FALSE))*Calculations[[#This Row],[Total Kg]])*VLOOKUP(Calculations[[#This Row],[Waste 1]],WasteScenario[#All],2,FALSE),0)</f>
        <v>0</v>
      </c>
      <c r="AA302" s="322">
        <f>IFERROR((VLOOKUP(Calculations[[#This Row],[Waste type 2]],WasteDisposalEmissions[#All],3,FALSE))*Calculations[[#This Row],[Total Kg]]*VLOOKUP(Calculations[[#This Row],[Waste 1]],WasteScenario[#All],3,FALSE),0)</f>
        <v>0</v>
      </c>
      <c r="AB302" s="322">
        <f>SUM(Calculations[[#This Row],[C3 recyc]:[C3 incin]])</f>
        <v>0</v>
      </c>
      <c r="AC302" s="334">
        <f>IFERROR((VLOOKUP(Calculations[[#This Row],[Waste type 2]],WasteLandfillEmissions[#All],2,FALSE))*Calculations[[#This Row],[Total Kg]]*VLOOKUP(Calculations[[#This Row],[Waste 1]],WasteScenario[#All],4,FALSE),0)</f>
        <v>0</v>
      </c>
      <c r="AD302" s="322">
        <f>IFERROR((VLOOKUP(Calculations[[#This Row],[Waste type 2]],WasteLandfillEmissions[#All],3,FALSE))*Calculations[[#This Row],[Total Kg]]*VLOOKUP(Calculations[[#This Row],[Waste 1]],WasteScenario[#All],4,FALSE),0)</f>
        <v>0</v>
      </c>
      <c r="AE302" s="322">
        <f>SUM(Calculations[[#This Row],[C4 landfill]:[C4 re-use]])</f>
        <v>0</v>
      </c>
      <c r="AF302" s="322">
        <f>IFERROR(VLOOKUP(Calculations[[#This Row],[Material (choose from dropdown]],MaterialData[#All],8,FALSE),0)</f>
        <v>0</v>
      </c>
      <c r="AG302" s="322">
        <f>IFERROR(Calculations[[#This Row],[Total Kg]]*Calculations[[#This Row],[Seq factor]],0)</f>
        <v>0</v>
      </c>
      <c r="AI302" s="322">
        <f>Calculations[[#This Row],[A1-3]]+Calculations[[#This Row],[A4]]+Calculations[[#This Row],[A5]]+Calculations[[#This Row],[B4]]+Calculations[[#This Row],[C2 total]]+Calculations[[#This Row],[C3 total]]+Calculations[[#This Row],[C4 total]]</f>
        <v>0</v>
      </c>
      <c r="AJ302" s="2">
        <f>IFERROR(VLOOKUP(Calculations[[#This Row],[Material (choose from dropdown]],MaterialData[[#Headers],[#Data]],9,FALSE),0)</f>
        <v>0</v>
      </c>
      <c r="AK302" s="4">
        <f>IFERROR(VLOOKUP(Calculations[[#This Row],[Material (choose from dropdown]],MaterialData[[#Headers],[#Data]],10,FALSE),0)</f>
        <v>0</v>
      </c>
      <c r="AL302" s="322">
        <f>IFERROR(Calculations[[#This Row],[Data Quality Score]]*Calculations[[#This Row],[Total Kg]],0)</f>
        <v>0</v>
      </c>
    </row>
    <row r="303" spans="1:38" x14ac:dyDescent="0.3">
      <c r="A303" s="6">
        <f>IFERROR(MaterialsBoQ[[#This Row],[Scope Element]],0)</f>
        <v>0</v>
      </c>
      <c r="B303" t="str">
        <f>IFERROR(MaterialsBoQ[[#This Row],[Material ]],"")</f>
        <v/>
      </c>
      <c r="C303" t="str">
        <f>IFERROR(MaterialsBoQ[[#This Row],[Unit]],"")</f>
        <v/>
      </c>
      <c r="D303" s="322">
        <f>IFERROR(MaterialsBoQ[[#This Row],[Number]],0)</f>
        <v>0</v>
      </c>
      <c r="E303" s="322">
        <f>IFERROR(MaterialsBoQ[[#This Row],[Kg per unit]],0)</f>
        <v>0</v>
      </c>
      <c r="F303" s="322">
        <f>IFERROR(Calculations[[#This Row],[Number]]*Calculations[[#This Row],[Conversion factor]],0)</f>
        <v>0</v>
      </c>
      <c r="G303" s="322">
        <f>IFERROR(VLOOKUP(Calculations[[#This Row],[Material (choose from dropdown]],MaterialData[#All],7,FALSE),0)</f>
        <v>0</v>
      </c>
      <c r="H303" s="322">
        <f>Calculations[[#This Row],[Total Kg]]*Calculations[[#This Row],[Carbon Factor]]</f>
        <v>0</v>
      </c>
      <c r="I303" t="str">
        <f>IFERROR(VLOOKUP(Calculations[[#This Row],[Material (choose from dropdown]],MaterialData[#All],2,FALSE),"")</f>
        <v/>
      </c>
      <c r="J303" s="322">
        <f>IFERROR(((VLOOKUP(Calculations[[#This Row],[TransportSource]],TransportDistance[],2,FALSE)*'Stage assumptions'!$C$11)+VLOOKUP(Calculations[[#This Row],[TransportSource]],TransportDistance[],3,FALSE)*'Stage assumptions'!$C$12)*Calculations[[#This Row],[Total Kg]],0)</f>
        <v>0</v>
      </c>
      <c r="K303">
        <f>IFERROR(VLOOKUP(Calculations[[#This Row],[Material (choose from dropdown]], MaterialData[#All],3, FALSE),0)</f>
        <v>0</v>
      </c>
      <c r="L303" s="322">
        <f>IFERROR(VLOOKUP(Calculations[[#This Row],[A5type]],A5WastageRate[#All],2,FALSE)*Calculations[[#This Row],[A1-3]],0)</f>
        <v>0</v>
      </c>
      <c r="N303">
        <f>IFERROR(ROUNDUP(50/VLOOKUP(Calculations[[#This Row],[Scope Element]],B4referenceServiceLife[[Tier 2 element]:[Default Service Life]],2, FALSE)-1,0),0)</f>
        <v>0</v>
      </c>
      <c r="O303" s="322">
        <f>IFERROR((Calculations[[#This Row],[A1-3]]+Calculations[[#This Row],[A4]]+Calculations[[#This Row],[A5]]+Calculations[[#This Row],[C2 total]]+Calculations[[#This Row],[C3 total]]+Calculations[[#This Row],[C4 total]])*Calculations[[#This Row],[Replacements]],0)</f>
        <v>0</v>
      </c>
      <c r="S303" t="str">
        <f>IFERROR(VLOOKUP(Calculations[[#This Row],[Material (choose from dropdown]],MaterialData[#All],4,FALSE),"")</f>
        <v/>
      </c>
      <c r="T303" s="322" cm="1">
        <f t="array" ref="T303">IFERROR(VLOOKUP(Calculations[[#This Row],[Waste 1]],WasteScenario[#All],2,FALSE)*'Stage assumptions'!$C$225*WasteTransportMethod[Emissions Factor
kgCO2e/kg.km]*Calculations[[#This Row],[Total Kg]],0)</f>
        <v>0</v>
      </c>
      <c r="U303" s="322" cm="1">
        <f t="array" ref="U303">IFERROR(VLOOKUP(Calculations[[#This Row],[Waste 1]],WasteScenario[#All],3,FALSE)*'Stage assumptions'!$C$224*WasteTransportMethod[Emissions Factor
kgCO2e/kg.km]*Calculations[[#This Row],[Total Kg]],0)</f>
        <v>0</v>
      </c>
      <c r="V303" s="322" cm="1">
        <f t="array" ref="V303">IFERROR(VLOOKUP(Calculations[[#This Row],[Waste 1]],WasteScenario[#All],4,FALSE)*'Stage assumptions'!$C$223*WasteTransportMethod[Emissions Factor
kgCO2e/kg.km]*Calculations[[#This Row],[Total Kg]],0)</f>
        <v>0</v>
      </c>
      <c r="W303" s="322" cm="1">
        <f t="array" ref="W303">IFERROR(VLOOKUP(Calculations[[#This Row],[Waste 1]],WasteScenario[#All],5,FALSE)*'Stage assumptions'!$C$226*WasteTransportMethod[Emissions Factor
kgCO2e/kg.km]*Calculations[[#This Row],[Total Kg]],0)</f>
        <v>0</v>
      </c>
      <c r="X303" s="322">
        <f>SUM(Calculations[[#This Row],[C2 Recycle]:[C2 Reuse]])</f>
        <v>0</v>
      </c>
      <c r="Y303" t="str">
        <f>IFERROR(VLOOKUP(Calculations[[#This Row],[Material (choose from dropdown]],MaterialData[#All],5,FALSE),"")</f>
        <v/>
      </c>
      <c r="Z303" s="322">
        <f>IFERROR(((VLOOKUP(Calculations[[#This Row],[Waste type 2]],WasteDisposalEmissions[#All],2,FALSE))*Calculations[[#This Row],[Total Kg]])*VLOOKUP(Calculations[[#This Row],[Waste 1]],WasteScenario[#All],2,FALSE),0)</f>
        <v>0</v>
      </c>
      <c r="AA303" s="322">
        <f>IFERROR((VLOOKUP(Calculations[[#This Row],[Waste type 2]],WasteDisposalEmissions[#All],3,FALSE))*Calculations[[#This Row],[Total Kg]]*VLOOKUP(Calculations[[#This Row],[Waste 1]],WasteScenario[#All],3,FALSE),0)</f>
        <v>0</v>
      </c>
      <c r="AB303" s="322">
        <f>SUM(Calculations[[#This Row],[C3 recyc]:[C3 incin]])</f>
        <v>0</v>
      </c>
      <c r="AC303" s="334">
        <f>IFERROR((VLOOKUP(Calculations[[#This Row],[Waste type 2]],WasteLandfillEmissions[#All],2,FALSE))*Calculations[[#This Row],[Total Kg]]*VLOOKUP(Calculations[[#This Row],[Waste 1]],WasteScenario[#All],4,FALSE),0)</f>
        <v>0</v>
      </c>
      <c r="AD303" s="322">
        <f>IFERROR((VLOOKUP(Calculations[[#This Row],[Waste type 2]],WasteLandfillEmissions[#All],3,FALSE))*Calculations[[#This Row],[Total Kg]]*VLOOKUP(Calculations[[#This Row],[Waste 1]],WasteScenario[#All],4,FALSE),0)</f>
        <v>0</v>
      </c>
      <c r="AE303" s="322">
        <f>SUM(Calculations[[#This Row],[C4 landfill]:[C4 re-use]])</f>
        <v>0</v>
      </c>
      <c r="AF303" s="322">
        <f>IFERROR(VLOOKUP(Calculations[[#This Row],[Material (choose from dropdown]],MaterialData[#All],8,FALSE),0)</f>
        <v>0</v>
      </c>
      <c r="AG303" s="322">
        <f>IFERROR(Calculations[[#This Row],[Total Kg]]*Calculations[[#This Row],[Seq factor]],0)</f>
        <v>0</v>
      </c>
      <c r="AI303" s="322">
        <f>Calculations[[#This Row],[A1-3]]+Calculations[[#This Row],[A4]]+Calculations[[#This Row],[A5]]+Calculations[[#This Row],[B4]]+Calculations[[#This Row],[C2 total]]+Calculations[[#This Row],[C3 total]]+Calculations[[#This Row],[C4 total]]</f>
        <v>0</v>
      </c>
      <c r="AJ303" s="2">
        <f>IFERROR(VLOOKUP(Calculations[[#This Row],[Material (choose from dropdown]],MaterialData[[#Headers],[#Data]],9,FALSE),0)</f>
        <v>0</v>
      </c>
      <c r="AK303" s="4">
        <f>IFERROR(VLOOKUP(Calculations[[#This Row],[Material (choose from dropdown]],MaterialData[[#Headers],[#Data]],10,FALSE),0)</f>
        <v>0</v>
      </c>
      <c r="AL303" s="322">
        <f>IFERROR(Calculations[[#This Row],[Data Quality Score]]*Calculations[[#This Row],[Total Kg]],0)</f>
        <v>0</v>
      </c>
    </row>
    <row r="304" spans="1:38" x14ac:dyDescent="0.3">
      <c r="A304" s="6">
        <f>IFERROR(MaterialsBoQ[[#This Row],[Scope Element]],0)</f>
        <v>0</v>
      </c>
      <c r="B304" t="str">
        <f>IFERROR(MaterialsBoQ[[#This Row],[Material ]],"")</f>
        <v/>
      </c>
      <c r="C304" t="str">
        <f>IFERROR(MaterialsBoQ[[#This Row],[Unit]],"")</f>
        <v/>
      </c>
      <c r="D304" s="322">
        <f>IFERROR(MaterialsBoQ[[#This Row],[Number]],0)</f>
        <v>0</v>
      </c>
      <c r="E304" s="322">
        <f>IFERROR(MaterialsBoQ[[#This Row],[Kg per unit]],0)</f>
        <v>0</v>
      </c>
      <c r="F304" s="322">
        <f>IFERROR(Calculations[[#This Row],[Number]]*Calculations[[#This Row],[Conversion factor]],0)</f>
        <v>0</v>
      </c>
      <c r="G304" s="322">
        <f>IFERROR(VLOOKUP(Calculations[[#This Row],[Material (choose from dropdown]],MaterialData[#All],7,FALSE),0)</f>
        <v>0</v>
      </c>
      <c r="H304" s="322">
        <f>Calculations[[#This Row],[Total Kg]]*Calculations[[#This Row],[Carbon Factor]]</f>
        <v>0</v>
      </c>
      <c r="I304" t="str">
        <f>IFERROR(VLOOKUP(Calculations[[#This Row],[Material (choose from dropdown]],MaterialData[#All],2,FALSE),"")</f>
        <v/>
      </c>
      <c r="J304" s="322">
        <f>IFERROR(((VLOOKUP(Calculations[[#This Row],[TransportSource]],TransportDistance[],2,FALSE)*'Stage assumptions'!$C$11)+VLOOKUP(Calculations[[#This Row],[TransportSource]],TransportDistance[],3,FALSE)*'Stage assumptions'!$C$12)*Calculations[[#This Row],[Total Kg]],0)</f>
        <v>0</v>
      </c>
      <c r="K304">
        <f>IFERROR(VLOOKUP(Calculations[[#This Row],[Material (choose from dropdown]], MaterialData[#All],3, FALSE),0)</f>
        <v>0</v>
      </c>
      <c r="L304" s="322">
        <f>IFERROR(VLOOKUP(Calculations[[#This Row],[A5type]],A5WastageRate[#All],2,FALSE)*Calculations[[#This Row],[A1-3]],0)</f>
        <v>0</v>
      </c>
      <c r="N304">
        <f>IFERROR(ROUNDUP(50/VLOOKUP(Calculations[[#This Row],[Scope Element]],B4referenceServiceLife[[Tier 2 element]:[Default Service Life]],2, FALSE)-1,0),0)</f>
        <v>0</v>
      </c>
      <c r="O304" s="322">
        <f>IFERROR((Calculations[[#This Row],[A1-3]]+Calculations[[#This Row],[A4]]+Calculations[[#This Row],[A5]]+Calculations[[#This Row],[C2 total]]+Calculations[[#This Row],[C3 total]]+Calculations[[#This Row],[C4 total]])*Calculations[[#This Row],[Replacements]],0)</f>
        <v>0</v>
      </c>
      <c r="S304" t="str">
        <f>IFERROR(VLOOKUP(Calculations[[#This Row],[Material (choose from dropdown]],MaterialData[#All],4,FALSE),"")</f>
        <v/>
      </c>
      <c r="T304" s="322" cm="1">
        <f t="array" ref="T304">IFERROR(VLOOKUP(Calculations[[#This Row],[Waste 1]],WasteScenario[#All],2,FALSE)*'Stage assumptions'!$C$225*WasteTransportMethod[Emissions Factor
kgCO2e/kg.km]*Calculations[[#This Row],[Total Kg]],0)</f>
        <v>0</v>
      </c>
      <c r="U304" s="322" cm="1">
        <f t="array" ref="U304">IFERROR(VLOOKUP(Calculations[[#This Row],[Waste 1]],WasteScenario[#All],3,FALSE)*'Stage assumptions'!$C$224*WasteTransportMethod[Emissions Factor
kgCO2e/kg.km]*Calculations[[#This Row],[Total Kg]],0)</f>
        <v>0</v>
      </c>
      <c r="V304" s="322" cm="1">
        <f t="array" ref="V304">IFERROR(VLOOKUP(Calculations[[#This Row],[Waste 1]],WasteScenario[#All],4,FALSE)*'Stage assumptions'!$C$223*WasteTransportMethod[Emissions Factor
kgCO2e/kg.km]*Calculations[[#This Row],[Total Kg]],0)</f>
        <v>0</v>
      </c>
      <c r="W304" s="322" cm="1">
        <f t="array" ref="W304">IFERROR(VLOOKUP(Calculations[[#This Row],[Waste 1]],WasteScenario[#All],5,FALSE)*'Stage assumptions'!$C$226*WasteTransportMethod[Emissions Factor
kgCO2e/kg.km]*Calculations[[#This Row],[Total Kg]],0)</f>
        <v>0</v>
      </c>
      <c r="X304" s="322">
        <f>SUM(Calculations[[#This Row],[C2 Recycle]:[C2 Reuse]])</f>
        <v>0</v>
      </c>
      <c r="Y304" t="str">
        <f>IFERROR(VLOOKUP(Calculations[[#This Row],[Material (choose from dropdown]],MaterialData[#All],5,FALSE),"")</f>
        <v/>
      </c>
      <c r="Z304" s="322">
        <f>IFERROR(((VLOOKUP(Calculations[[#This Row],[Waste type 2]],WasteDisposalEmissions[#All],2,FALSE))*Calculations[[#This Row],[Total Kg]])*VLOOKUP(Calculations[[#This Row],[Waste 1]],WasteScenario[#All],2,FALSE),0)</f>
        <v>0</v>
      </c>
      <c r="AA304" s="322">
        <f>IFERROR((VLOOKUP(Calculations[[#This Row],[Waste type 2]],WasteDisposalEmissions[#All],3,FALSE))*Calculations[[#This Row],[Total Kg]]*VLOOKUP(Calculations[[#This Row],[Waste 1]],WasteScenario[#All],3,FALSE),0)</f>
        <v>0</v>
      </c>
      <c r="AB304" s="322">
        <f>SUM(Calculations[[#This Row],[C3 recyc]:[C3 incin]])</f>
        <v>0</v>
      </c>
      <c r="AC304" s="334">
        <f>IFERROR((VLOOKUP(Calculations[[#This Row],[Waste type 2]],WasteLandfillEmissions[#All],2,FALSE))*Calculations[[#This Row],[Total Kg]]*VLOOKUP(Calculations[[#This Row],[Waste 1]],WasteScenario[#All],4,FALSE),0)</f>
        <v>0</v>
      </c>
      <c r="AD304" s="322">
        <f>IFERROR((VLOOKUP(Calculations[[#This Row],[Waste type 2]],WasteLandfillEmissions[#All],3,FALSE))*Calculations[[#This Row],[Total Kg]]*VLOOKUP(Calculations[[#This Row],[Waste 1]],WasteScenario[#All],4,FALSE),0)</f>
        <v>0</v>
      </c>
      <c r="AE304" s="322">
        <f>SUM(Calculations[[#This Row],[C4 landfill]:[C4 re-use]])</f>
        <v>0</v>
      </c>
      <c r="AF304" s="322">
        <f>IFERROR(VLOOKUP(Calculations[[#This Row],[Material (choose from dropdown]],MaterialData[#All],8,FALSE),0)</f>
        <v>0</v>
      </c>
      <c r="AG304" s="322">
        <f>IFERROR(Calculations[[#This Row],[Total Kg]]*Calculations[[#This Row],[Seq factor]],0)</f>
        <v>0</v>
      </c>
      <c r="AI304" s="322">
        <f>Calculations[[#This Row],[A1-3]]+Calculations[[#This Row],[A4]]+Calculations[[#This Row],[A5]]+Calculations[[#This Row],[B4]]+Calculations[[#This Row],[C2 total]]+Calculations[[#This Row],[C3 total]]+Calculations[[#This Row],[C4 total]]</f>
        <v>0</v>
      </c>
      <c r="AJ304" s="2">
        <f>IFERROR(VLOOKUP(Calculations[[#This Row],[Material (choose from dropdown]],MaterialData[[#Headers],[#Data]],9,FALSE),0)</f>
        <v>0</v>
      </c>
      <c r="AK304" s="4">
        <f>IFERROR(VLOOKUP(Calculations[[#This Row],[Material (choose from dropdown]],MaterialData[[#Headers],[#Data]],10,FALSE),0)</f>
        <v>0</v>
      </c>
      <c r="AL304" s="322">
        <f>IFERROR(Calculations[[#This Row],[Data Quality Score]]*Calculations[[#This Row],[Total Kg]],0)</f>
        <v>0</v>
      </c>
    </row>
    <row r="305" spans="1:38" x14ac:dyDescent="0.3">
      <c r="A305" s="6">
        <f>IFERROR(MaterialsBoQ[[#This Row],[Scope Element]],0)</f>
        <v>0</v>
      </c>
      <c r="B305" t="str">
        <f>IFERROR(MaterialsBoQ[[#This Row],[Material ]],"")</f>
        <v/>
      </c>
      <c r="C305" t="str">
        <f>IFERROR(MaterialsBoQ[[#This Row],[Unit]],"")</f>
        <v/>
      </c>
      <c r="D305" s="322">
        <f>IFERROR(MaterialsBoQ[[#This Row],[Number]],0)</f>
        <v>0</v>
      </c>
      <c r="E305" s="322">
        <f>IFERROR(MaterialsBoQ[[#This Row],[Kg per unit]],0)</f>
        <v>0</v>
      </c>
      <c r="F305" s="322">
        <f>IFERROR(Calculations[[#This Row],[Number]]*Calculations[[#This Row],[Conversion factor]],0)</f>
        <v>0</v>
      </c>
      <c r="G305" s="322">
        <f>IFERROR(VLOOKUP(Calculations[[#This Row],[Material (choose from dropdown]],MaterialData[#All],7,FALSE),0)</f>
        <v>0</v>
      </c>
      <c r="H305" s="322">
        <f>Calculations[[#This Row],[Total Kg]]*Calculations[[#This Row],[Carbon Factor]]</f>
        <v>0</v>
      </c>
      <c r="I305" t="str">
        <f>IFERROR(VLOOKUP(Calculations[[#This Row],[Material (choose from dropdown]],MaterialData[#All],2,FALSE),"")</f>
        <v/>
      </c>
      <c r="J305" s="322">
        <f>IFERROR(((VLOOKUP(Calculations[[#This Row],[TransportSource]],TransportDistance[],2,FALSE)*'Stage assumptions'!$C$11)+VLOOKUP(Calculations[[#This Row],[TransportSource]],TransportDistance[],3,FALSE)*'Stage assumptions'!$C$12)*Calculations[[#This Row],[Total Kg]],0)</f>
        <v>0</v>
      </c>
      <c r="K305">
        <f>IFERROR(VLOOKUP(Calculations[[#This Row],[Material (choose from dropdown]], MaterialData[#All],3, FALSE),0)</f>
        <v>0</v>
      </c>
      <c r="L305" s="322">
        <f>IFERROR(VLOOKUP(Calculations[[#This Row],[A5type]],A5WastageRate[#All],2,FALSE)*Calculations[[#This Row],[A1-3]],0)</f>
        <v>0</v>
      </c>
      <c r="N305">
        <f>IFERROR(ROUNDUP(50/VLOOKUP(Calculations[[#This Row],[Scope Element]],B4referenceServiceLife[[Tier 2 element]:[Default Service Life]],2, FALSE)-1,0),0)</f>
        <v>0</v>
      </c>
      <c r="O305" s="322">
        <f>IFERROR((Calculations[[#This Row],[A1-3]]+Calculations[[#This Row],[A4]]+Calculations[[#This Row],[A5]]+Calculations[[#This Row],[C2 total]]+Calculations[[#This Row],[C3 total]]+Calculations[[#This Row],[C4 total]])*Calculations[[#This Row],[Replacements]],0)</f>
        <v>0</v>
      </c>
      <c r="S305" t="str">
        <f>IFERROR(VLOOKUP(Calculations[[#This Row],[Material (choose from dropdown]],MaterialData[#All],4,FALSE),"")</f>
        <v/>
      </c>
      <c r="T305" s="322" cm="1">
        <f t="array" ref="T305">IFERROR(VLOOKUP(Calculations[[#This Row],[Waste 1]],WasteScenario[#All],2,FALSE)*'Stage assumptions'!$C$225*WasteTransportMethod[Emissions Factor
kgCO2e/kg.km]*Calculations[[#This Row],[Total Kg]],0)</f>
        <v>0</v>
      </c>
      <c r="U305" s="322" cm="1">
        <f t="array" ref="U305">IFERROR(VLOOKUP(Calculations[[#This Row],[Waste 1]],WasteScenario[#All],3,FALSE)*'Stage assumptions'!$C$224*WasteTransportMethod[Emissions Factor
kgCO2e/kg.km]*Calculations[[#This Row],[Total Kg]],0)</f>
        <v>0</v>
      </c>
      <c r="V305" s="322" cm="1">
        <f t="array" ref="V305">IFERROR(VLOOKUP(Calculations[[#This Row],[Waste 1]],WasteScenario[#All],4,FALSE)*'Stage assumptions'!$C$223*WasteTransportMethod[Emissions Factor
kgCO2e/kg.km]*Calculations[[#This Row],[Total Kg]],0)</f>
        <v>0</v>
      </c>
      <c r="W305" s="322" cm="1">
        <f t="array" ref="W305">IFERROR(VLOOKUP(Calculations[[#This Row],[Waste 1]],WasteScenario[#All],5,FALSE)*'Stage assumptions'!$C$226*WasteTransportMethod[Emissions Factor
kgCO2e/kg.km]*Calculations[[#This Row],[Total Kg]],0)</f>
        <v>0</v>
      </c>
      <c r="X305" s="322">
        <f>SUM(Calculations[[#This Row],[C2 Recycle]:[C2 Reuse]])</f>
        <v>0</v>
      </c>
      <c r="Y305" t="str">
        <f>IFERROR(VLOOKUP(Calculations[[#This Row],[Material (choose from dropdown]],MaterialData[#All],5,FALSE),"")</f>
        <v/>
      </c>
      <c r="Z305" s="322">
        <f>IFERROR(((VLOOKUP(Calculations[[#This Row],[Waste type 2]],WasteDisposalEmissions[#All],2,FALSE))*Calculations[[#This Row],[Total Kg]])*VLOOKUP(Calculations[[#This Row],[Waste 1]],WasteScenario[#All],2,FALSE),0)</f>
        <v>0</v>
      </c>
      <c r="AA305" s="322">
        <f>IFERROR((VLOOKUP(Calculations[[#This Row],[Waste type 2]],WasteDisposalEmissions[#All],3,FALSE))*Calculations[[#This Row],[Total Kg]]*VLOOKUP(Calculations[[#This Row],[Waste 1]],WasteScenario[#All],3,FALSE),0)</f>
        <v>0</v>
      </c>
      <c r="AB305" s="322">
        <f>SUM(Calculations[[#This Row],[C3 recyc]:[C3 incin]])</f>
        <v>0</v>
      </c>
      <c r="AC305" s="334">
        <f>IFERROR((VLOOKUP(Calculations[[#This Row],[Waste type 2]],WasteLandfillEmissions[#All],2,FALSE))*Calculations[[#This Row],[Total Kg]]*VLOOKUP(Calculations[[#This Row],[Waste 1]],WasteScenario[#All],4,FALSE),0)</f>
        <v>0</v>
      </c>
      <c r="AD305" s="322">
        <f>IFERROR((VLOOKUP(Calculations[[#This Row],[Waste type 2]],WasteLandfillEmissions[#All],3,FALSE))*Calculations[[#This Row],[Total Kg]]*VLOOKUP(Calculations[[#This Row],[Waste 1]],WasteScenario[#All],4,FALSE),0)</f>
        <v>0</v>
      </c>
      <c r="AE305" s="322">
        <f>SUM(Calculations[[#This Row],[C4 landfill]:[C4 re-use]])</f>
        <v>0</v>
      </c>
      <c r="AF305" s="322">
        <f>IFERROR(VLOOKUP(Calculations[[#This Row],[Material (choose from dropdown]],MaterialData[#All],8,FALSE),0)</f>
        <v>0</v>
      </c>
      <c r="AG305" s="322">
        <f>IFERROR(Calculations[[#This Row],[Total Kg]]*Calculations[[#This Row],[Seq factor]],0)</f>
        <v>0</v>
      </c>
      <c r="AI305" s="322">
        <f>Calculations[[#This Row],[A1-3]]+Calculations[[#This Row],[A4]]+Calculations[[#This Row],[A5]]+Calculations[[#This Row],[B4]]+Calculations[[#This Row],[C2 total]]+Calculations[[#This Row],[C3 total]]+Calculations[[#This Row],[C4 total]]</f>
        <v>0</v>
      </c>
      <c r="AJ305" s="2">
        <f>IFERROR(VLOOKUP(Calculations[[#This Row],[Material (choose from dropdown]],MaterialData[[#Headers],[#Data]],9,FALSE),0)</f>
        <v>0</v>
      </c>
      <c r="AK305" s="4">
        <f>IFERROR(VLOOKUP(Calculations[[#This Row],[Material (choose from dropdown]],MaterialData[[#Headers],[#Data]],10,FALSE),0)</f>
        <v>0</v>
      </c>
      <c r="AL305" s="322">
        <f>IFERROR(Calculations[[#This Row],[Data Quality Score]]*Calculations[[#This Row],[Total Kg]],0)</f>
        <v>0</v>
      </c>
    </row>
    <row r="306" spans="1:38" x14ac:dyDescent="0.3">
      <c r="A306" s="6">
        <f>IFERROR(MaterialsBoQ[[#This Row],[Scope Element]],0)</f>
        <v>0</v>
      </c>
      <c r="B306" t="str">
        <f>IFERROR(MaterialsBoQ[[#This Row],[Material ]],"")</f>
        <v/>
      </c>
      <c r="C306" t="str">
        <f>IFERROR(MaterialsBoQ[[#This Row],[Unit]],"")</f>
        <v/>
      </c>
      <c r="D306" s="322">
        <f>IFERROR(MaterialsBoQ[[#This Row],[Number]],0)</f>
        <v>0</v>
      </c>
      <c r="E306" s="322">
        <f>IFERROR(MaterialsBoQ[[#This Row],[Kg per unit]],0)</f>
        <v>0</v>
      </c>
      <c r="F306" s="322">
        <f>IFERROR(Calculations[[#This Row],[Number]]*Calculations[[#This Row],[Conversion factor]],0)</f>
        <v>0</v>
      </c>
      <c r="G306" s="322">
        <f>IFERROR(VLOOKUP(Calculations[[#This Row],[Material (choose from dropdown]],MaterialData[#All],7,FALSE),0)</f>
        <v>0</v>
      </c>
      <c r="H306" s="322">
        <f>Calculations[[#This Row],[Total Kg]]*Calculations[[#This Row],[Carbon Factor]]</f>
        <v>0</v>
      </c>
      <c r="I306" t="str">
        <f>IFERROR(VLOOKUP(Calculations[[#This Row],[Material (choose from dropdown]],MaterialData[#All],2,FALSE),"")</f>
        <v/>
      </c>
      <c r="J306" s="322">
        <f>IFERROR(((VLOOKUP(Calculations[[#This Row],[TransportSource]],TransportDistance[],2,FALSE)*'Stage assumptions'!$C$11)+VLOOKUP(Calculations[[#This Row],[TransportSource]],TransportDistance[],3,FALSE)*'Stage assumptions'!$C$12)*Calculations[[#This Row],[Total Kg]],0)</f>
        <v>0</v>
      </c>
      <c r="K306">
        <f>IFERROR(VLOOKUP(Calculations[[#This Row],[Material (choose from dropdown]], MaterialData[#All],3, FALSE),0)</f>
        <v>0</v>
      </c>
      <c r="L306" s="322">
        <f>IFERROR(VLOOKUP(Calculations[[#This Row],[A5type]],A5WastageRate[#All],2,FALSE)*Calculations[[#This Row],[A1-3]],0)</f>
        <v>0</v>
      </c>
      <c r="N306">
        <f>IFERROR(ROUNDUP(50/VLOOKUP(Calculations[[#This Row],[Scope Element]],B4referenceServiceLife[[Tier 2 element]:[Default Service Life]],2, FALSE)-1,0),0)</f>
        <v>0</v>
      </c>
      <c r="O306" s="322">
        <f>IFERROR((Calculations[[#This Row],[A1-3]]+Calculations[[#This Row],[A4]]+Calculations[[#This Row],[A5]]+Calculations[[#This Row],[C2 total]]+Calculations[[#This Row],[C3 total]]+Calculations[[#This Row],[C4 total]])*Calculations[[#This Row],[Replacements]],0)</f>
        <v>0</v>
      </c>
      <c r="S306" t="str">
        <f>IFERROR(VLOOKUP(Calculations[[#This Row],[Material (choose from dropdown]],MaterialData[#All],4,FALSE),"")</f>
        <v/>
      </c>
      <c r="T306" s="322" cm="1">
        <f t="array" ref="T306">IFERROR(VLOOKUP(Calculations[[#This Row],[Waste 1]],WasteScenario[#All],2,FALSE)*'Stage assumptions'!$C$225*WasteTransportMethod[Emissions Factor
kgCO2e/kg.km]*Calculations[[#This Row],[Total Kg]],0)</f>
        <v>0</v>
      </c>
      <c r="U306" s="322" cm="1">
        <f t="array" ref="U306">IFERROR(VLOOKUP(Calculations[[#This Row],[Waste 1]],WasteScenario[#All],3,FALSE)*'Stage assumptions'!$C$224*WasteTransportMethod[Emissions Factor
kgCO2e/kg.km]*Calculations[[#This Row],[Total Kg]],0)</f>
        <v>0</v>
      </c>
      <c r="V306" s="322" cm="1">
        <f t="array" ref="V306">IFERROR(VLOOKUP(Calculations[[#This Row],[Waste 1]],WasteScenario[#All],4,FALSE)*'Stage assumptions'!$C$223*WasteTransportMethod[Emissions Factor
kgCO2e/kg.km]*Calculations[[#This Row],[Total Kg]],0)</f>
        <v>0</v>
      </c>
      <c r="W306" s="322" cm="1">
        <f t="array" ref="W306">IFERROR(VLOOKUP(Calculations[[#This Row],[Waste 1]],WasteScenario[#All],5,FALSE)*'Stage assumptions'!$C$226*WasteTransportMethod[Emissions Factor
kgCO2e/kg.km]*Calculations[[#This Row],[Total Kg]],0)</f>
        <v>0</v>
      </c>
      <c r="X306" s="322">
        <f>SUM(Calculations[[#This Row],[C2 Recycle]:[C2 Reuse]])</f>
        <v>0</v>
      </c>
      <c r="Y306" t="str">
        <f>IFERROR(VLOOKUP(Calculations[[#This Row],[Material (choose from dropdown]],MaterialData[#All],5,FALSE),"")</f>
        <v/>
      </c>
      <c r="Z306" s="322">
        <f>IFERROR(((VLOOKUP(Calculations[[#This Row],[Waste type 2]],WasteDisposalEmissions[#All],2,FALSE))*Calculations[[#This Row],[Total Kg]])*VLOOKUP(Calculations[[#This Row],[Waste 1]],WasteScenario[#All],2,FALSE),0)</f>
        <v>0</v>
      </c>
      <c r="AA306" s="322">
        <f>IFERROR((VLOOKUP(Calculations[[#This Row],[Waste type 2]],WasteDisposalEmissions[#All],3,FALSE))*Calculations[[#This Row],[Total Kg]]*VLOOKUP(Calculations[[#This Row],[Waste 1]],WasteScenario[#All],3,FALSE),0)</f>
        <v>0</v>
      </c>
      <c r="AB306" s="322">
        <f>SUM(Calculations[[#This Row],[C3 recyc]:[C3 incin]])</f>
        <v>0</v>
      </c>
      <c r="AC306" s="334">
        <f>IFERROR((VLOOKUP(Calculations[[#This Row],[Waste type 2]],WasteLandfillEmissions[#All],2,FALSE))*Calculations[[#This Row],[Total Kg]]*VLOOKUP(Calculations[[#This Row],[Waste 1]],WasteScenario[#All],4,FALSE),0)</f>
        <v>0</v>
      </c>
      <c r="AD306" s="322">
        <f>IFERROR((VLOOKUP(Calculations[[#This Row],[Waste type 2]],WasteLandfillEmissions[#All],3,FALSE))*Calculations[[#This Row],[Total Kg]]*VLOOKUP(Calculations[[#This Row],[Waste 1]],WasteScenario[#All],4,FALSE),0)</f>
        <v>0</v>
      </c>
      <c r="AE306" s="322">
        <f>SUM(Calculations[[#This Row],[C4 landfill]:[C4 re-use]])</f>
        <v>0</v>
      </c>
      <c r="AF306" s="322">
        <f>IFERROR(VLOOKUP(Calculations[[#This Row],[Material (choose from dropdown]],MaterialData[#All],8,FALSE),0)</f>
        <v>0</v>
      </c>
      <c r="AG306" s="322">
        <f>IFERROR(Calculations[[#This Row],[Total Kg]]*Calculations[[#This Row],[Seq factor]],0)</f>
        <v>0</v>
      </c>
      <c r="AI306" s="322">
        <f>Calculations[[#This Row],[A1-3]]+Calculations[[#This Row],[A4]]+Calculations[[#This Row],[A5]]+Calculations[[#This Row],[B4]]+Calculations[[#This Row],[C2 total]]+Calculations[[#This Row],[C3 total]]+Calculations[[#This Row],[C4 total]]</f>
        <v>0</v>
      </c>
      <c r="AJ306" s="2">
        <f>IFERROR(VLOOKUP(Calculations[[#This Row],[Material (choose from dropdown]],MaterialData[[#Headers],[#Data]],9,FALSE),0)</f>
        <v>0</v>
      </c>
      <c r="AK306" s="4">
        <f>IFERROR(VLOOKUP(Calculations[[#This Row],[Material (choose from dropdown]],MaterialData[[#Headers],[#Data]],10,FALSE),0)</f>
        <v>0</v>
      </c>
      <c r="AL306" s="322">
        <f>IFERROR(Calculations[[#This Row],[Data Quality Score]]*Calculations[[#This Row],[Total Kg]],0)</f>
        <v>0</v>
      </c>
    </row>
    <row r="307" spans="1:38" x14ac:dyDescent="0.3">
      <c r="A307" s="6">
        <f>IFERROR(MaterialsBoQ[[#This Row],[Scope Element]],0)</f>
        <v>0</v>
      </c>
      <c r="B307" t="str">
        <f>IFERROR(MaterialsBoQ[[#This Row],[Material ]],"")</f>
        <v/>
      </c>
      <c r="C307" t="str">
        <f>IFERROR(MaterialsBoQ[[#This Row],[Unit]],"")</f>
        <v/>
      </c>
      <c r="D307" s="322">
        <f>IFERROR(MaterialsBoQ[[#This Row],[Number]],0)</f>
        <v>0</v>
      </c>
      <c r="E307" s="322">
        <f>IFERROR(MaterialsBoQ[[#This Row],[Kg per unit]],0)</f>
        <v>0</v>
      </c>
      <c r="F307" s="322">
        <f>IFERROR(Calculations[[#This Row],[Number]]*Calculations[[#This Row],[Conversion factor]],0)</f>
        <v>0</v>
      </c>
      <c r="G307" s="322">
        <f>IFERROR(VLOOKUP(Calculations[[#This Row],[Material (choose from dropdown]],MaterialData[#All],7,FALSE),0)</f>
        <v>0</v>
      </c>
      <c r="H307" s="322">
        <f>Calculations[[#This Row],[Total Kg]]*Calculations[[#This Row],[Carbon Factor]]</f>
        <v>0</v>
      </c>
      <c r="I307" t="str">
        <f>IFERROR(VLOOKUP(Calculations[[#This Row],[Material (choose from dropdown]],MaterialData[#All],2,FALSE),"")</f>
        <v/>
      </c>
      <c r="J307" s="322">
        <f>IFERROR(((VLOOKUP(Calculations[[#This Row],[TransportSource]],TransportDistance[],2,FALSE)*'Stage assumptions'!$C$11)+VLOOKUP(Calculations[[#This Row],[TransportSource]],TransportDistance[],3,FALSE)*'Stage assumptions'!$C$12)*Calculations[[#This Row],[Total Kg]],0)</f>
        <v>0</v>
      </c>
      <c r="K307">
        <f>IFERROR(VLOOKUP(Calculations[[#This Row],[Material (choose from dropdown]], MaterialData[#All],3, FALSE),0)</f>
        <v>0</v>
      </c>
      <c r="L307" s="322">
        <f>IFERROR(VLOOKUP(Calculations[[#This Row],[A5type]],A5WastageRate[#All],2,FALSE)*Calculations[[#This Row],[A1-3]],0)</f>
        <v>0</v>
      </c>
      <c r="N307">
        <f>IFERROR(ROUNDUP(50/VLOOKUP(Calculations[[#This Row],[Scope Element]],B4referenceServiceLife[[Tier 2 element]:[Default Service Life]],2, FALSE)-1,0),0)</f>
        <v>0</v>
      </c>
      <c r="O307" s="322">
        <f>IFERROR((Calculations[[#This Row],[A1-3]]+Calculations[[#This Row],[A4]]+Calculations[[#This Row],[A5]]+Calculations[[#This Row],[C2 total]]+Calculations[[#This Row],[C3 total]]+Calculations[[#This Row],[C4 total]])*Calculations[[#This Row],[Replacements]],0)</f>
        <v>0</v>
      </c>
      <c r="S307" t="str">
        <f>IFERROR(VLOOKUP(Calculations[[#This Row],[Material (choose from dropdown]],MaterialData[#All],4,FALSE),"")</f>
        <v/>
      </c>
      <c r="T307" s="322" cm="1">
        <f t="array" ref="T307">IFERROR(VLOOKUP(Calculations[[#This Row],[Waste 1]],WasteScenario[#All],2,FALSE)*'Stage assumptions'!$C$225*WasteTransportMethod[Emissions Factor
kgCO2e/kg.km]*Calculations[[#This Row],[Total Kg]],0)</f>
        <v>0</v>
      </c>
      <c r="U307" s="322" cm="1">
        <f t="array" ref="U307">IFERROR(VLOOKUP(Calculations[[#This Row],[Waste 1]],WasteScenario[#All],3,FALSE)*'Stage assumptions'!$C$224*WasteTransportMethod[Emissions Factor
kgCO2e/kg.km]*Calculations[[#This Row],[Total Kg]],0)</f>
        <v>0</v>
      </c>
      <c r="V307" s="322" cm="1">
        <f t="array" ref="V307">IFERROR(VLOOKUP(Calculations[[#This Row],[Waste 1]],WasteScenario[#All],4,FALSE)*'Stage assumptions'!$C$223*WasteTransportMethod[Emissions Factor
kgCO2e/kg.km]*Calculations[[#This Row],[Total Kg]],0)</f>
        <v>0</v>
      </c>
      <c r="W307" s="322" cm="1">
        <f t="array" ref="W307">IFERROR(VLOOKUP(Calculations[[#This Row],[Waste 1]],WasteScenario[#All],5,FALSE)*'Stage assumptions'!$C$226*WasteTransportMethod[Emissions Factor
kgCO2e/kg.km]*Calculations[[#This Row],[Total Kg]],0)</f>
        <v>0</v>
      </c>
      <c r="X307" s="322">
        <f>SUM(Calculations[[#This Row],[C2 Recycle]:[C2 Reuse]])</f>
        <v>0</v>
      </c>
      <c r="Y307" t="str">
        <f>IFERROR(VLOOKUP(Calculations[[#This Row],[Material (choose from dropdown]],MaterialData[#All],5,FALSE),"")</f>
        <v/>
      </c>
      <c r="Z307" s="322">
        <f>IFERROR(((VLOOKUP(Calculations[[#This Row],[Waste type 2]],WasteDisposalEmissions[#All],2,FALSE))*Calculations[[#This Row],[Total Kg]])*VLOOKUP(Calculations[[#This Row],[Waste 1]],WasteScenario[#All],2,FALSE),0)</f>
        <v>0</v>
      </c>
      <c r="AA307" s="322">
        <f>IFERROR((VLOOKUP(Calculations[[#This Row],[Waste type 2]],WasteDisposalEmissions[#All],3,FALSE))*Calculations[[#This Row],[Total Kg]]*VLOOKUP(Calculations[[#This Row],[Waste 1]],WasteScenario[#All],3,FALSE),0)</f>
        <v>0</v>
      </c>
      <c r="AB307" s="322">
        <f>SUM(Calculations[[#This Row],[C3 recyc]:[C3 incin]])</f>
        <v>0</v>
      </c>
      <c r="AC307" s="334">
        <f>IFERROR((VLOOKUP(Calculations[[#This Row],[Waste type 2]],WasteLandfillEmissions[#All],2,FALSE))*Calculations[[#This Row],[Total Kg]]*VLOOKUP(Calculations[[#This Row],[Waste 1]],WasteScenario[#All],4,FALSE),0)</f>
        <v>0</v>
      </c>
      <c r="AD307" s="322">
        <f>IFERROR((VLOOKUP(Calculations[[#This Row],[Waste type 2]],WasteLandfillEmissions[#All],3,FALSE))*Calculations[[#This Row],[Total Kg]]*VLOOKUP(Calculations[[#This Row],[Waste 1]],WasteScenario[#All],4,FALSE),0)</f>
        <v>0</v>
      </c>
      <c r="AE307" s="322">
        <f>SUM(Calculations[[#This Row],[C4 landfill]:[C4 re-use]])</f>
        <v>0</v>
      </c>
      <c r="AF307" s="322">
        <f>IFERROR(VLOOKUP(Calculations[[#This Row],[Material (choose from dropdown]],MaterialData[#All],8,FALSE),0)</f>
        <v>0</v>
      </c>
      <c r="AG307" s="322">
        <f>IFERROR(Calculations[[#This Row],[Total Kg]]*Calculations[[#This Row],[Seq factor]],0)</f>
        <v>0</v>
      </c>
      <c r="AI307" s="322">
        <f>Calculations[[#This Row],[A1-3]]+Calculations[[#This Row],[A4]]+Calculations[[#This Row],[A5]]+Calculations[[#This Row],[B4]]+Calculations[[#This Row],[C2 total]]+Calculations[[#This Row],[C3 total]]+Calculations[[#This Row],[C4 total]]</f>
        <v>0</v>
      </c>
      <c r="AJ307" s="2">
        <f>IFERROR(VLOOKUP(Calculations[[#This Row],[Material (choose from dropdown]],MaterialData[[#Headers],[#Data]],9,FALSE),0)</f>
        <v>0</v>
      </c>
      <c r="AK307" s="4">
        <f>IFERROR(VLOOKUP(Calculations[[#This Row],[Material (choose from dropdown]],MaterialData[[#Headers],[#Data]],10,FALSE),0)</f>
        <v>0</v>
      </c>
      <c r="AL307" s="322">
        <f>IFERROR(Calculations[[#This Row],[Data Quality Score]]*Calculations[[#This Row],[Total Kg]],0)</f>
        <v>0</v>
      </c>
    </row>
    <row r="308" spans="1:38" x14ac:dyDescent="0.3">
      <c r="A308" s="6">
        <f>IFERROR(MaterialsBoQ[[#This Row],[Scope Element]],0)</f>
        <v>0</v>
      </c>
      <c r="B308" t="str">
        <f>IFERROR(MaterialsBoQ[[#This Row],[Material ]],"")</f>
        <v/>
      </c>
      <c r="C308" t="str">
        <f>IFERROR(MaterialsBoQ[[#This Row],[Unit]],"")</f>
        <v/>
      </c>
      <c r="D308" s="322">
        <f>IFERROR(MaterialsBoQ[[#This Row],[Number]],0)</f>
        <v>0</v>
      </c>
      <c r="E308" s="322">
        <f>IFERROR(MaterialsBoQ[[#This Row],[Kg per unit]],0)</f>
        <v>0</v>
      </c>
      <c r="F308" s="322">
        <f>IFERROR(Calculations[[#This Row],[Number]]*Calculations[[#This Row],[Conversion factor]],0)</f>
        <v>0</v>
      </c>
      <c r="G308" s="322">
        <f>IFERROR(VLOOKUP(Calculations[[#This Row],[Material (choose from dropdown]],MaterialData[#All],7,FALSE),0)</f>
        <v>0</v>
      </c>
      <c r="H308" s="322">
        <f>Calculations[[#This Row],[Total Kg]]*Calculations[[#This Row],[Carbon Factor]]</f>
        <v>0</v>
      </c>
      <c r="I308" t="str">
        <f>IFERROR(VLOOKUP(Calculations[[#This Row],[Material (choose from dropdown]],MaterialData[#All],2,FALSE),"")</f>
        <v/>
      </c>
      <c r="J308" s="322">
        <f>IFERROR(((VLOOKUP(Calculations[[#This Row],[TransportSource]],TransportDistance[],2,FALSE)*'Stage assumptions'!$C$11)+VLOOKUP(Calculations[[#This Row],[TransportSource]],TransportDistance[],3,FALSE)*'Stage assumptions'!$C$12)*Calculations[[#This Row],[Total Kg]],0)</f>
        <v>0</v>
      </c>
      <c r="K308">
        <f>IFERROR(VLOOKUP(Calculations[[#This Row],[Material (choose from dropdown]], MaterialData[#All],3, FALSE),0)</f>
        <v>0</v>
      </c>
      <c r="L308" s="322">
        <f>IFERROR(VLOOKUP(Calculations[[#This Row],[A5type]],A5WastageRate[#All],2,FALSE)*Calculations[[#This Row],[A1-3]],0)</f>
        <v>0</v>
      </c>
      <c r="N308">
        <f>IFERROR(ROUNDUP(50/VLOOKUP(Calculations[[#This Row],[Scope Element]],B4referenceServiceLife[[Tier 2 element]:[Default Service Life]],2, FALSE)-1,0),0)</f>
        <v>0</v>
      </c>
      <c r="O308" s="322">
        <f>IFERROR((Calculations[[#This Row],[A1-3]]+Calculations[[#This Row],[A4]]+Calculations[[#This Row],[A5]]+Calculations[[#This Row],[C2 total]]+Calculations[[#This Row],[C3 total]]+Calculations[[#This Row],[C4 total]])*Calculations[[#This Row],[Replacements]],0)</f>
        <v>0</v>
      </c>
      <c r="S308" t="str">
        <f>IFERROR(VLOOKUP(Calculations[[#This Row],[Material (choose from dropdown]],MaterialData[#All],4,FALSE),"")</f>
        <v/>
      </c>
      <c r="T308" s="322" cm="1">
        <f t="array" ref="T308">IFERROR(VLOOKUP(Calculations[[#This Row],[Waste 1]],WasteScenario[#All],2,FALSE)*'Stage assumptions'!$C$225*WasteTransportMethod[Emissions Factor
kgCO2e/kg.km]*Calculations[[#This Row],[Total Kg]],0)</f>
        <v>0</v>
      </c>
      <c r="U308" s="322" cm="1">
        <f t="array" ref="U308">IFERROR(VLOOKUP(Calculations[[#This Row],[Waste 1]],WasteScenario[#All],3,FALSE)*'Stage assumptions'!$C$224*WasteTransportMethod[Emissions Factor
kgCO2e/kg.km]*Calculations[[#This Row],[Total Kg]],0)</f>
        <v>0</v>
      </c>
      <c r="V308" s="322" cm="1">
        <f t="array" ref="V308">IFERROR(VLOOKUP(Calculations[[#This Row],[Waste 1]],WasteScenario[#All],4,FALSE)*'Stage assumptions'!$C$223*WasteTransportMethod[Emissions Factor
kgCO2e/kg.km]*Calculations[[#This Row],[Total Kg]],0)</f>
        <v>0</v>
      </c>
      <c r="W308" s="322" cm="1">
        <f t="array" ref="W308">IFERROR(VLOOKUP(Calculations[[#This Row],[Waste 1]],WasteScenario[#All],5,FALSE)*'Stage assumptions'!$C$226*WasteTransportMethod[Emissions Factor
kgCO2e/kg.km]*Calculations[[#This Row],[Total Kg]],0)</f>
        <v>0</v>
      </c>
      <c r="X308" s="322">
        <f>SUM(Calculations[[#This Row],[C2 Recycle]:[C2 Reuse]])</f>
        <v>0</v>
      </c>
      <c r="Y308" t="str">
        <f>IFERROR(VLOOKUP(Calculations[[#This Row],[Material (choose from dropdown]],MaterialData[#All],5,FALSE),"")</f>
        <v/>
      </c>
      <c r="Z308" s="322">
        <f>IFERROR(((VLOOKUP(Calculations[[#This Row],[Waste type 2]],WasteDisposalEmissions[#All],2,FALSE))*Calculations[[#This Row],[Total Kg]])*VLOOKUP(Calculations[[#This Row],[Waste 1]],WasteScenario[#All],2,FALSE),0)</f>
        <v>0</v>
      </c>
      <c r="AA308" s="322">
        <f>IFERROR((VLOOKUP(Calculations[[#This Row],[Waste type 2]],WasteDisposalEmissions[#All],3,FALSE))*Calculations[[#This Row],[Total Kg]]*VLOOKUP(Calculations[[#This Row],[Waste 1]],WasteScenario[#All],3,FALSE),0)</f>
        <v>0</v>
      </c>
      <c r="AB308" s="322">
        <f>SUM(Calculations[[#This Row],[C3 recyc]:[C3 incin]])</f>
        <v>0</v>
      </c>
      <c r="AC308" s="334">
        <f>IFERROR((VLOOKUP(Calculations[[#This Row],[Waste type 2]],WasteLandfillEmissions[#All],2,FALSE))*Calculations[[#This Row],[Total Kg]]*VLOOKUP(Calculations[[#This Row],[Waste 1]],WasteScenario[#All],4,FALSE),0)</f>
        <v>0</v>
      </c>
      <c r="AD308" s="322">
        <f>IFERROR((VLOOKUP(Calculations[[#This Row],[Waste type 2]],WasteLandfillEmissions[#All],3,FALSE))*Calculations[[#This Row],[Total Kg]]*VLOOKUP(Calculations[[#This Row],[Waste 1]],WasteScenario[#All],4,FALSE),0)</f>
        <v>0</v>
      </c>
      <c r="AE308" s="322">
        <f>SUM(Calculations[[#This Row],[C4 landfill]:[C4 re-use]])</f>
        <v>0</v>
      </c>
      <c r="AF308" s="322">
        <f>IFERROR(VLOOKUP(Calculations[[#This Row],[Material (choose from dropdown]],MaterialData[#All],8,FALSE),0)</f>
        <v>0</v>
      </c>
      <c r="AG308" s="322">
        <f>IFERROR(Calculations[[#This Row],[Total Kg]]*Calculations[[#This Row],[Seq factor]],0)</f>
        <v>0</v>
      </c>
      <c r="AI308" s="322">
        <f>Calculations[[#This Row],[A1-3]]+Calculations[[#This Row],[A4]]+Calculations[[#This Row],[A5]]+Calculations[[#This Row],[B4]]+Calculations[[#This Row],[C2 total]]+Calculations[[#This Row],[C3 total]]+Calculations[[#This Row],[C4 total]]</f>
        <v>0</v>
      </c>
      <c r="AJ308" s="2">
        <f>IFERROR(VLOOKUP(Calculations[[#This Row],[Material (choose from dropdown]],MaterialData[[#Headers],[#Data]],9,FALSE),0)</f>
        <v>0</v>
      </c>
      <c r="AK308" s="4">
        <f>IFERROR(VLOOKUP(Calculations[[#This Row],[Material (choose from dropdown]],MaterialData[[#Headers],[#Data]],10,FALSE),0)</f>
        <v>0</v>
      </c>
      <c r="AL308" s="322">
        <f>IFERROR(Calculations[[#This Row],[Data Quality Score]]*Calculations[[#This Row],[Total Kg]],0)</f>
        <v>0</v>
      </c>
    </row>
    <row r="309" spans="1:38" x14ac:dyDescent="0.3">
      <c r="A309" s="6">
        <f>IFERROR(MaterialsBoQ[[#This Row],[Scope Element]],0)</f>
        <v>0</v>
      </c>
      <c r="B309" t="str">
        <f>IFERROR(MaterialsBoQ[[#This Row],[Material ]],"")</f>
        <v/>
      </c>
      <c r="C309" t="str">
        <f>IFERROR(MaterialsBoQ[[#This Row],[Unit]],"")</f>
        <v/>
      </c>
      <c r="D309" s="322">
        <f>IFERROR(MaterialsBoQ[[#This Row],[Number]],0)</f>
        <v>0</v>
      </c>
      <c r="E309" s="322">
        <f>IFERROR(MaterialsBoQ[[#This Row],[Kg per unit]],0)</f>
        <v>0</v>
      </c>
      <c r="F309" s="322">
        <f>IFERROR(Calculations[[#This Row],[Number]]*Calculations[[#This Row],[Conversion factor]],0)</f>
        <v>0</v>
      </c>
      <c r="G309" s="322">
        <f>IFERROR(VLOOKUP(Calculations[[#This Row],[Material (choose from dropdown]],MaterialData[#All],7,FALSE),0)</f>
        <v>0</v>
      </c>
      <c r="H309" s="322">
        <f>Calculations[[#This Row],[Total Kg]]*Calculations[[#This Row],[Carbon Factor]]</f>
        <v>0</v>
      </c>
      <c r="I309" t="str">
        <f>IFERROR(VLOOKUP(Calculations[[#This Row],[Material (choose from dropdown]],MaterialData[#All],2,FALSE),"")</f>
        <v/>
      </c>
      <c r="J309" s="322">
        <f>IFERROR(((VLOOKUP(Calculations[[#This Row],[TransportSource]],TransportDistance[],2,FALSE)*'Stage assumptions'!$C$11)+VLOOKUP(Calculations[[#This Row],[TransportSource]],TransportDistance[],3,FALSE)*'Stage assumptions'!$C$12)*Calculations[[#This Row],[Total Kg]],0)</f>
        <v>0</v>
      </c>
      <c r="K309">
        <f>IFERROR(VLOOKUP(Calculations[[#This Row],[Material (choose from dropdown]], MaterialData[#All],3, FALSE),0)</f>
        <v>0</v>
      </c>
      <c r="L309" s="322">
        <f>IFERROR(VLOOKUP(Calculations[[#This Row],[A5type]],A5WastageRate[#All],2,FALSE)*Calculations[[#This Row],[A1-3]],0)</f>
        <v>0</v>
      </c>
      <c r="N309">
        <f>IFERROR(ROUNDUP(50/VLOOKUP(Calculations[[#This Row],[Scope Element]],B4referenceServiceLife[[Tier 2 element]:[Default Service Life]],2, FALSE)-1,0),0)</f>
        <v>0</v>
      </c>
      <c r="O309" s="322">
        <f>IFERROR((Calculations[[#This Row],[A1-3]]+Calculations[[#This Row],[A4]]+Calculations[[#This Row],[A5]]+Calculations[[#This Row],[C2 total]]+Calculations[[#This Row],[C3 total]]+Calculations[[#This Row],[C4 total]])*Calculations[[#This Row],[Replacements]],0)</f>
        <v>0</v>
      </c>
      <c r="S309" t="str">
        <f>IFERROR(VLOOKUP(Calculations[[#This Row],[Material (choose from dropdown]],MaterialData[#All],4,FALSE),"")</f>
        <v/>
      </c>
      <c r="T309" s="322" cm="1">
        <f t="array" ref="T309">IFERROR(VLOOKUP(Calculations[[#This Row],[Waste 1]],WasteScenario[#All],2,FALSE)*'Stage assumptions'!$C$225*WasteTransportMethod[Emissions Factor
kgCO2e/kg.km]*Calculations[[#This Row],[Total Kg]],0)</f>
        <v>0</v>
      </c>
      <c r="U309" s="322" cm="1">
        <f t="array" ref="U309">IFERROR(VLOOKUP(Calculations[[#This Row],[Waste 1]],WasteScenario[#All],3,FALSE)*'Stage assumptions'!$C$224*WasteTransportMethod[Emissions Factor
kgCO2e/kg.km]*Calculations[[#This Row],[Total Kg]],0)</f>
        <v>0</v>
      </c>
      <c r="V309" s="322" cm="1">
        <f t="array" ref="V309">IFERROR(VLOOKUP(Calculations[[#This Row],[Waste 1]],WasteScenario[#All],4,FALSE)*'Stage assumptions'!$C$223*WasteTransportMethod[Emissions Factor
kgCO2e/kg.km]*Calculations[[#This Row],[Total Kg]],0)</f>
        <v>0</v>
      </c>
      <c r="W309" s="322" cm="1">
        <f t="array" ref="W309">IFERROR(VLOOKUP(Calculations[[#This Row],[Waste 1]],WasteScenario[#All],5,FALSE)*'Stage assumptions'!$C$226*WasteTransportMethod[Emissions Factor
kgCO2e/kg.km]*Calculations[[#This Row],[Total Kg]],0)</f>
        <v>0</v>
      </c>
      <c r="X309" s="322">
        <f>SUM(Calculations[[#This Row],[C2 Recycle]:[C2 Reuse]])</f>
        <v>0</v>
      </c>
      <c r="Y309" t="str">
        <f>IFERROR(VLOOKUP(Calculations[[#This Row],[Material (choose from dropdown]],MaterialData[#All],5,FALSE),"")</f>
        <v/>
      </c>
      <c r="Z309" s="322">
        <f>IFERROR(((VLOOKUP(Calculations[[#This Row],[Waste type 2]],WasteDisposalEmissions[#All],2,FALSE))*Calculations[[#This Row],[Total Kg]])*VLOOKUP(Calculations[[#This Row],[Waste 1]],WasteScenario[#All],2,FALSE),0)</f>
        <v>0</v>
      </c>
      <c r="AA309" s="322">
        <f>IFERROR((VLOOKUP(Calculations[[#This Row],[Waste type 2]],WasteDisposalEmissions[#All],3,FALSE))*Calculations[[#This Row],[Total Kg]]*VLOOKUP(Calculations[[#This Row],[Waste 1]],WasteScenario[#All],3,FALSE),0)</f>
        <v>0</v>
      </c>
      <c r="AB309" s="322">
        <f>SUM(Calculations[[#This Row],[C3 recyc]:[C3 incin]])</f>
        <v>0</v>
      </c>
      <c r="AC309" s="334">
        <f>IFERROR((VLOOKUP(Calculations[[#This Row],[Waste type 2]],WasteLandfillEmissions[#All],2,FALSE))*Calculations[[#This Row],[Total Kg]]*VLOOKUP(Calculations[[#This Row],[Waste 1]],WasteScenario[#All],4,FALSE),0)</f>
        <v>0</v>
      </c>
      <c r="AD309" s="322">
        <f>IFERROR((VLOOKUP(Calculations[[#This Row],[Waste type 2]],WasteLandfillEmissions[#All],3,FALSE))*Calculations[[#This Row],[Total Kg]]*VLOOKUP(Calculations[[#This Row],[Waste 1]],WasteScenario[#All],4,FALSE),0)</f>
        <v>0</v>
      </c>
      <c r="AE309" s="322">
        <f>SUM(Calculations[[#This Row],[C4 landfill]:[C4 re-use]])</f>
        <v>0</v>
      </c>
      <c r="AF309" s="322">
        <f>IFERROR(VLOOKUP(Calculations[[#This Row],[Material (choose from dropdown]],MaterialData[#All],8,FALSE),0)</f>
        <v>0</v>
      </c>
      <c r="AG309" s="322">
        <f>IFERROR(Calculations[[#This Row],[Total Kg]]*Calculations[[#This Row],[Seq factor]],0)</f>
        <v>0</v>
      </c>
      <c r="AI309" s="322">
        <f>Calculations[[#This Row],[A1-3]]+Calculations[[#This Row],[A4]]+Calculations[[#This Row],[A5]]+Calculations[[#This Row],[B4]]+Calculations[[#This Row],[C2 total]]+Calculations[[#This Row],[C3 total]]+Calculations[[#This Row],[C4 total]]</f>
        <v>0</v>
      </c>
      <c r="AJ309" s="2">
        <f>IFERROR(VLOOKUP(Calculations[[#This Row],[Material (choose from dropdown]],MaterialData[[#Headers],[#Data]],9,FALSE),0)</f>
        <v>0</v>
      </c>
      <c r="AK309" s="4">
        <f>IFERROR(VLOOKUP(Calculations[[#This Row],[Material (choose from dropdown]],MaterialData[[#Headers],[#Data]],10,FALSE),0)</f>
        <v>0</v>
      </c>
      <c r="AL309" s="322">
        <f>IFERROR(Calculations[[#This Row],[Data Quality Score]]*Calculations[[#This Row],[Total Kg]],0)</f>
        <v>0</v>
      </c>
    </row>
    <row r="310" spans="1:38" x14ac:dyDescent="0.3">
      <c r="A310" s="6">
        <f>IFERROR(MaterialsBoQ[[#This Row],[Scope Element]],0)</f>
        <v>0</v>
      </c>
      <c r="B310" t="str">
        <f>IFERROR(MaterialsBoQ[[#This Row],[Material ]],"")</f>
        <v/>
      </c>
      <c r="C310" t="str">
        <f>IFERROR(MaterialsBoQ[[#This Row],[Unit]],"")</f>
        <v/>
      </c>
      <c r="D310" s="322">
        <f>IFERROR(MaterialsBoQ[[#This Row],[Number]],0)</f>
        <v>0</v>
      </c>
      <c r="E310" s="322">
        <f>IFERROR(MaterialsBoQ[[#This Row],[Kg per unit]],0)</f>
        <v>0</v>
      </c>
      <c r="F310" s="322">
        <f>IFERROR(Calculations[[#This Row],[Number]]*Calculations[[#This Row],[Conversion factor]],0)</f>
        <v>0</v>
      </c>
      <c r="G310" s="322">
        <f>IFERROR(VLOOKUP(Calculations[[#This Row],[Material (choose from dropdown]],MaterialData[#All],7,FALSE),0)</f>
        <v>0</v>
      </c>
      <c r="H310" s="322">
        <f>Calculations[[#This Row],[Total Kg]]*Calculations[[#This Row],[Carbon Factor]]</f>
        <v>0</v>
      </c>
      <c r="I310" t="str">
        <f>IFERROR(VLOOKUP(Calculations[[#This Row],[Material (choose from dropdown]],MaterialData[#All],2,FALSE),"")</f>
        <v/>
      </c>
      <c r="J310" s="322">
        <f>IFERROR(((VLOOKUP(Calculations[[#This Row],[TransportSource]],TransportDistance[],2,FALSE)*'Stage assumptions'!$C$11)+VLOOKUP(Calculations[[#This Row],[TransportSource]],TransportDistance[],3,FALSE)*'Stage assumptions'!$C$12)*Calculations[[#This Row],[Total Kg]],0)</f>
        <v>0</v>
      </c>
      <c r="K310">
        <f>IFERROR(VLOOKUP(Calculations[[#This Row],[Material (choose from dropdown]], MaterialData[#All],3, FALSE),0)</f>
        <v>0</v>
      </c>
      <c r="L310" s="322">
        <f>IFERROR(VLOOKUP(Calculations[[#This Row],[A5type]],A5WastageRate[#All],2,FALSE)*Calculations[[#This Row],[A1-3]],0)</f>
        <v>0</v>
      </c>
      <c r="N310">
        <f>IFERROR(ROUNDUP(50/VLOOKUP(Calculations[[#This Row],[Scope Element]],B4referenceServiceLife[[Tier 2 element]:[Default Service Life]],2, FALSE)-1,0),0)</f>
        <v>0</v>
      </c>
      <c r="O310" s="322">
        <f>IFERROR((Calculations[[#This Row],[A1-3]]+Calculations[[#This Row],[A4]]+Calculations[[#This Row],[A5]]+Calculations[[#This Row],[C2 total]]+Calculations[[#This Row],[C3 total]]+Calculations[[#This Row],[C4 total]])*Calculations[[#This Row],[Replacements]],0)</f>
        <v>0</v>
      </c>
      <c r="S310" t="str">
        <f>IFERROR(VLOOKUP(Calculations[[#This Row],[Material (choose from dropdown]],MaterialData[#All],4,FALSE),"")</f>
        <v/>
      </c>
      <c r="T310" s="322" cm="1">
        <f t="array" ref="T310">IFERROR(VLOOKUP(Calculations[[#This Row],[Waste 1]],WasteScenario[#All],2,FALSE)*'Stage assumptions'!$C$225*WasteTransportMethod[Emissions Factor
kgCO2e/kg.km]*Calculations[[#This Row],[Total Kg]],0)</f>
        <v>0</v>
      </c>
      <c r="U310" s="322" cm="1">
        <f t="array" ref="U310">IFERROR(VLOOKUP(Calculations[[#This Row],[Waste 1]],WasteScenario[#All],3,FALSE)*'Stage assumptions'!$C$224*WasteTransportMethod[Emissions Factor
kgCO2e/kg.km]*Calculations[[#This Row],[Total Kg]],0)</f>
        <v>0</v>
      </c>
      <c r="V310" s="322" cm="1">
        <f t="array" ref="V310">IFERROR(VLOOKUP(Calculations[[#This Row],[Waste 1]],WasteScenario[#All],4,FALSE)*'Stage assumptions'!$C$223*WasteTransportMethod[Emissions Factor
kgCO2e/kg.km]*Calculations[[#This Row],[Total Kg]],0)</f>
        <v>0</v>
      </c>
      <c r="W310" s="322" cm="1">
        <f t="array" ref="W310">IFERROR(VLOOKUP(Calculations[[#This Row],[Waste 1]],WasteScenario[#All],5,FALSE)*'Stage assumptions'!$C$226*WasteTransportMethod[Emissions Factor
kgCO2e/kg.km]*Calculations[[#This Row],[Total Kg]],0)</f>
        <v>0</v>
      </c>
      <c r="X310" s="322">
        <f>SUM(Calculations[[#This Row],[C2 Recycle]:[C2 Reuse]])</f>
        <v>0</v>
      </c>
      <c r="Y310" t="str">
        <f>IFERROR(VLOOKUP(Calculations[[#This Row],[Material (choose from dropdown]],MaterialData[#All],5,FALSE),"")</f>
        <v/>
      </c>
      <c r="Z310" s="322">
        <f>IFERROR(((VLOOKUP(Calculations[[#This Row],[Waste type 2]],WasteDisposalEmissions[#All],2,FALSE))*Calculations[[#This Row],[Total Kg]])*VLOOKUP(Calculations[[#This Row],[Waste 1]],WasteScenario[#All],2,FALSE),0)</f>
        <v>0</v>
      </c>
      <c r="AA310" s="322">
        <f>IFERROR((VLOOKUP(Calculations[[#This Row],[Waste type 2]],WasteDisposalEmissions[#All],3,FALSE))*Calculations[[#This Row],[Total Kg]]*VLOOKUP(Calculations[[#This Row],[Waste 1]],WasteScenario[#All],3,FALSE),0)</f>
        <v>0</v>
      </c>
      <c r="AB310" s="322">
        <f>SUM(Calculations[[#This Row],[C3 recyc]:[C3 incin]])</f>
        <v>0</v>
      </c>
      <c r="AC310" s="334">
        <f>IFERROR((VLOOKUP(Calculations[[#This Row],[Waste type 2]],WasteLandfillEmissions[#All],2,FALSE))*Calculations[[#This Row],[Total Kg]]*VLOOKUP(Calculations[[#This Row],[Waste 1]],WasteScenario[#All],4,FALSE),0)</f>
        <v>0</v>
      </c>
      <c r="AD310" s="322">
        <f>IFERROR((VLOOKUP(Calculations[[#This Row],[Waste type 2]],WasteLandfillEmissions[#All],3,FALSE))*Calculations[[#This Row],[Total Kg]]*VLOOKUP(Calculations[[#This Row],[Waste 1]],WasteScenario[#All],4,FALSE),0)</f>
        <v>0</v>
      </c>
      <c r="AE310" s="322">
        <f>SUM(Calculations[[#This Row],[C4 landfill]:[C4 re-use]])</f>
        <v>0</v>
      </c>
      <c r="AF310" s="322">
        <f>IFERROR(VLOOKUP(Calculations[[#This Row],[Material (choose from dropdown]],MaterialData[#All],8,FALSE),0)</f>
        <v>0</v>
      </c>
      <c r="AG310" s="322">
        <f>IFERROR(Calculations[[#This Row],[Total Kg]]*Calculations[[#This Row],[Seq factor]],0)</f>
        <v>0</v>
      </c>
      <c r="AI310" s="322">
        <f>Calculations[[#This Row],[A1-3]]+Calculations[[#This Row],[A4]]+Calculations[[#This Row],[A5]]+Calculations[[#This Row],[B4]]+Calculations[[#This Row],[C2 total]]+Calculations[[#This Row],[C3 total]]+Calculations[[#This Row],[C4 total]]</f>
        <v>0</v>
      </c>
      <c r="AJ310" s="2">
        <f>IFERROR(VLOOKUP(Calculations[[#This Row],[Material (choose from dropdown]],MaterialData[[#Headers],[#Data]],9,FALSE),0)</f>
        <v>0</v>
      </c>
      <c r="AK310" s="4">
        <f>IFERROR(VLOOKUP(Calculations[[#This Row],[Material (choose from dropdown]],MaterialData[[#Headers],[#Data]],10,FALSE),0)</f>
        <v>0</v>
      </c>
      <c r="AL310" s="322">
        <f>IFERROR(Calculations[[#This Row],[Data Quality Score]]*Calculations[[#This Row],[Total Kg]],0)</f>
        <v>0</v>
      </c>
    </row>
    <row r="311" spans="1:38" x14ac:dyDescent="0.3">
      <c r="A311" s="6">
        <f>IFERROR(MaterialsBoQ[[#This Row],[Scope Element]],0)</f>
        <v>0</v>
      </c>
      <c r="B311" t="str">
        <f>IFERROR(MaterialsBoQ[[#This Row],[Material ]],"")</f>
        <v/>
      </c>
      <c r="C311" t="str">
        <f>IFERROR(MaterialsBoQ[[#This Row],[Unit]],"")</f>
        <v/>
      </c>
      <c r="D311" s="322">
        <f>IFERROR(MaterialsBoQ[[#This Row],[Number]],0)</f>
        <v>0</v>
      </c>
      <c r="E311" s="322">
        <f>IFERROR(MaterialsBoQ[[#This Row],[Kg per unit]],0)</f>
        <v>0</v>
      </c>
      <c r="F311" s="322">
        <f>IFERROR(Calculations[[#This Row],[Number]]*Calculations[[#This Row],[Conversion factor]],0)</f>
        <v>0</v>
      </c>
      <c r="G311" s="322">
        <f>IFERROR(VLOOKUP(Calculations[[#This Row],[Material (choose from dropdown]],MaterialData[#All],7,FALSE),0)</f>
        <v>0</v>
      </c>
      <c r="H311" s="322">
        <f>Calculations[[#This Row],[Total Kg]]*Calculations[[#This Row],[Carbon Factor]]</f>
        <v>0</v>
      </c>
      <c r="I311" t="str">
        <f>IFERROR(VLOOKUP(Calculations[[#This Row],[Material (choose from dropdown]],MaterialData[#All],2,FALSE),"")</f>
        <v/>
      </c>
      <c r="J311" s="322">
        <f>IFERROR(((VLOOKUP(Calculations[[#This Row],[TransportSource]],TransportDistance[],2,FALSE)*'Stage assumptions'!$C$11)+VLOOKUP(Calculations[[#This Row],[TransportSource]],TransportDistance[],3,FALSE)*'Stage assumptions'!$C$12)*Calculations[[#This Row],[Total Kg]],0)</f>
        <v>0</v>
      </c>
      <c r="K311">
        <f>IFERROR(VLOOKUP(Calculations[[#This Row],[Material (choose from dropdown]], MaterialData[#All],3, FALSE),0)</f>
        <v>0</v>
      </c>
      <c r="L311" s="322">
        <f>IFERROR(VLOOKUP(Calculations[[#This Row],[A5type]],A5WastageRate[#All],2,FALSE)*Calculations[[#This Row],[A1-3]],0)</f>
        <v>0</v>
      </c>
      <c r="N311">
        <f>IFERROR(ROUNDUP(50/VLOOKUP(Calculations[[#This Row],[Scope Element]],B4referenceServiceLife[[Tier 2 element]:[Default Service Life]],2, FALSE)-1,0),0)</f>
        <v>0</v>
      </c>
      <c r="O311" s="322">
        <f>IFERROR((Calculations[[#This Row],[A1-3]]+Calculations[[#This Row],[A4]]+Calculations[[#This Row],[A5]]+Calculations[[#This Row],[C2 total]]+Calculations[[#This Row],[C3 total]]+Calculations[[#This Row],[C4 total]])*Calculations[[#This Row],[Replacements]],0)</f>
        <v>0</v>
      </c>
      <c r="S311" t="str">
        <f>IFERROR(VLOOKUP(Calculations[[#This Row],[Material (choose from dropdown]],MaterialData[#All],4,FALSE),"")</f>
        <v/>
      </c>
      <c r="T311" s="322" cm="1">
        <f t="array" ref="T311">IFERROR(VLOOKUP(Calculations[[#This Row],[Waste 1]],WasteScenario[#All],2,FALSE)*'Stage assumptions'!$C$225*WasteTransportMethod[Emissions Factor
kgCO2e/kg.km]*Calculations[[#This Row],[Total Kg]],0)</f>
        <v>0</v>
      </c>
      <c r="U311" s="322" cm="1">
        <f t="array" ref="U311">IFERROR(VLOOKUP(Calculations[[#This Row],[Waste 1]],WasteScenario[#All],3,FALSE)*'Stage assumptions'!$C$224*WasteTransportMethod[Emissions Factor
kgCO2e/kg.km]*Calculations[[#This Row],[Total Kg]],0)</f>
        <v>0</v>
      </c>
      <c r="V311" s="322" cm="1">
        <f t="array" ref="V311">IFERROR(VLOOKUP(Calculations[[#This Row],[Waste 1]],WasteScenario[#All],4,FALSE)*'Stage assumptions'!$C$223*WasteTransportMethod[Emissions Factor
kgCO2e/kg.km]*Calculations[[#This Row],[Total Kg]],0)</f>
        <v>0</v>
      </c>
      <c r="W311" s="322" cm="1">
        <f t="array" ref="W311">IFERROR(VLOOKUP(Calculations[[#This Row],[Waste 1]],WasteScenario[#All],5,FALSE)*'Stage assumptions'!$C$226*WasteTransportMethod[Emissions Factor
kgCO2e/kg.km]*Calculations[[#This Row],[Total Kg]],0)</f>
        <v>0</v>
      </c>
      <c r="X311" s="322">
        <f>SUM(Calculations[[#This Row],[C2 Recycle]:[C2 Reuse]])</f>
        <v>0</v>
      </c>
      <c r="Y311" t="str">
        <f>IFERROR(VLOOKUP(Calculations[[#This Row],[Material (choose from dropdown]],MaterialData[#All],5,FALSE),"")</f>
        <v/>
      </c>
      <c r="Z311" s="322">
        <f>IFERROR(((VLOOKUP(Calculations[[#This Row],[Waste type 2]],WasteDisposalEmissions[#All],2,FALSE))*Calculations[[#This Row],[Total Kg]])*VLOOKUP(Calculations[[#This Row],[Waste 1]],WasteScenario[#All],2,FALSE),0)</f>
        <v>0</v>
      </c>
      <c r="AA311" s="322">
        <f>IFERROR((VLOOKUP(Calculations[[#This Row],[Waste type 2]],WasteDisposalEmissions[#All],3,FALSE))*Calculations[[#This Row],[Total Kg]]*VLOOKUP(Calculations[[#This Row],[Waste 1]],WasteScenario[#All],3,FALSE),0)</f>
        <v>0</v>
      </c>
      <c r="AB311" s="322">
        <f>SUM(Calculations[[#This Row],[C3 recyc]:[C3 incin]])</f>
        <v>0</v>
      </c>
      <c r="AC311" s="334">
        <f>IFERROR((VLOOKUP(Calculations[[#This Row],[Waste type 2]],WasteLandfillEmissions[#All],2,FALSE))*Calculations[[#This Row],[Total Kg]]*VLOOKUP(Calculations[[#This Row],[Waste 1]],WasteScenario[#All],4,FALSE),0)</f>
        <v>0</v>
      </c>
      <c r="AD311" s="322">
        <f>IFERROR((VLOOKUP(Calculations[[#This Row],[Waste type 2]],WasteLandfillEmissions[#All],3,FALSE))*Calculations[[#This Row],[Total Kg]]*VLOOKUP(Calculations[[#This Row],[Waste 1]],WasteScenario[#All],4,FALSE),0)</f>
        <v>0</v>
      </c>
      <c r="AE311" s="322">
        <f>SUM(Calculations[[#This Row],[C4 landfill]:[C4 re-use]])</f>
        <v>0</v>
      </c>
      <c r="AF311" s="322">
        <f>IFERROR(VLOOKUP(Calculations[[#This Row],[Material (choose from dropdown]],MaterialData[#All],8,FALSE),0)</f>
        <v>0</v>
      </c>
      <c r="AG311" s="322">
        <f>IFERROR(Calculations[[#This Row],[Total Kg]]*Calculations[[#This Row],[Seq factor]],0)</f>
        <v>0</v>
      </c>
      <c r="AI311" s="322">
        <f>Calculations[[#This Row],[A1-3]]+Calculations[[#This Row],[A4]]+Calculations[[#This Row],[A5]]+Calculations[[#This Row],[B4]]+Calculations[[#This Row],[C2 total]]+Calculations[[#This Row],[C3 total]]+Calculations[[#This Row],[C4 total]]</f>
        <v>0</v>
      </c>
      <c r="AJ311" s="2">
        <f>IFERROR(VLOOKUP(Calculations[[#This Row],[Material (choose from dropdown]],MaterialData[[#Headers],[#Data]],9,FALSE),0)</f>
        <v>0</v>
      </c>
      <c r="AK311" s="4">
        <f>IFERROR(VLOOKUP(Calculations[[#This Row],[Material (choose from dropdown]],MaterialData[[#Headers],[#Data]],10,FALSE),0)</f>
        <v>0</v>
      </c>
      <c r="AL311" s="322">
        <f>IFERROR(Calculations[[#This Row],[Data Quality Score]]*Calculations[[#This Row],[Total Kg]],0)</f>
        <v>0</v>
      </c>
    </row>
    <row r="312" spans="1:38" x14ac:dyDescent="0.3">
      <c r="A312" s="6">
        <f>IFERROR(MaterialsBoQ[[#This Row],[Scope Element]],0)</f>
        <v>0</v>
      </c>
      <c r="B312" t="str">
        <f>IFERROR(MaterialsBoQ[[#This Row],[Material ]],"")</f>
        <v/>
      </c>
      <c r="C312" t="str">
        <f>IFERROR(MaterialsBoQ[[#This Row],[Unit]],"")</f>
        <v/>
      </c>
      <c r="D312" s="322">
        <f>IFERROR(MaterialsBoQ[[#This Row],[Number]],0)</f>
        <v>0</v>
      </c>
      <c r="E312" s="322">
        <f>IFERROR(MaterialsBoQ[[#This Row],[Kg per unit]],0)</f>
        <v>0</v>
      </c>
      <c r="F312" s="322">
        <f>IFERROR(Calculations[[#This Row],[Number]]*Calculations[[#This Row],[Conversion factor]],0)</f>
        <v>0</v>
      </c>
      <c r="G312" s="322">
        <f>IFERROR(VLOOKUP(Calculations[[#This Row],[Material (choose from dropdown]],MaterialData[#All],7,FALSE),0)</f>
        <v>0</v>
      </c>
      <c r="H312" s="322">
        <f>Calculations[[#This Row],[Total Kg]]*Calculations[[#This Row],[Carbon Factor]]</f>
        <v>0</v>
      </c>
      <c r="I312" t="str">
        <f>IFERROR(VLOOKUP(Calculations[[#This Row],[Material (choose from dropdown]],MaterialData[#All],2,FALSE),"")</f>
        <v/>
      </c>
      <c r="J312" s="322">
        <f>IFERROR(((VLOOKUP(Calculations[[#This Row],[TransportSource]],TransportDistance[],2,FALSE)*'Stage assumptions'!$C$11)+VLOOKUP(Calculations[[#This Row],[TransportSource]],TransportDistance[],3,FALSE)*'Stage assumptions'!$C$12)*Calculations[[#This Row],[Total Kg]],0)</f>
        <v>0</v>
      </c>
      <c r="K312">
        <f>IFERROR(VLOOKUP(Calculations[[#This Row],[Material (choose from dropdown]], MaterialData[#All],3, FALSE),0)</f>
        <v>0</v>
      </c>
      <c r="L312" s="322">
        <f>IFERROR(VLOOKUP(Calculations[[#This Row],[A5type]],A5WastageRate[#All],2,FALSE)*Calculations[[#This Row],[A1-3]],0)</f>
        <v>0</v>
      </c>
      <c r="N312">
        <f>IFERROR(ROUNDUP(50/VLOOKUP(Calculations[[#This Row],[Scope Element]],B4referenceServiceLife[[Tier 2 element]:[Default Service Life]],2, FALSE)-1,0),0)</f>
        <v>0</v>
      </c>
      <c r="O312" s="322">
        <f>IFERROR((Calculations[[#This Row],[A1-3]]+Calculations[[#This Row],[A4]]+Calculations[[#This Row],[A5]]+Calculations[[#This Row],[C2 total]]+Calculations[[#This Row],[C3 total]]+Calculations[[#This Row],[C4 total]])*Calculations[[#This Row],[Replacements]],0)</f>
        <v>0</v>
      </c>
      <c r="S312" t="str">
        <f>IFERROR(VLOOKUP(Calculations[[#This Row],[Material (choose from dropdown]],MaterialData[#All],4,FALSE),"")</f>
        <v/>
      </c>
      <c r="T312" s="322" cm="1">
        <f t="array" ref="T312">IFERROR(VLOOKUP(Calculations[[#This Row],[Waste 1]],WasteScenario[#All],2,FALSE)*'Stage assumptions'!$C$225*WasteTransportMethod[Emissions Factor
kgCO2e/kg.km]*Calculations[[#This Row],[Total Kg]],0)</f>
        <v>0</v>
      </c>
      <c r="U312" s="322" cm="1">
        <f t="array" ref="U312">IFERROR(VLOOKUP(Calculations[[#This Row],[Waste 1]],WasteScenario[#All],3,FALSE)*'Stage assumptions'!$C$224*WasteTransportMethod[Emissions Factor
kgCO2e/kg.km]*Calculations[[#This Row],[Total Kg]],0)</f>
        <v>0</v>
      </c>
      <c r="V312" s="322" cm="1">
        <f t="array" ref="V312">IFERROR(VLOOKUP(Calculations[[#This Row],[Waste 1]],WasteScenario[#All],4,FALSE)*'Stage assumptions'!$C$223*WasteTransportMethod[Emissions Factor
kgCO2e/kg.km]*Calculations[[#This Row],[Total Kg]],0)</f>
        <v>0</v>
      </c>
      <c r="W312" s="322" cm="1">
        <f t="array" ref="W312">IFERROR(VLOOKUP(Calculations[[#This Row],[Waste 1]],WasteScenario[#All],5,FALSE)*'Stage assumptions'!$C$226*WasteTransportMethod[Emissions Factor
kgCO2e/kg.km]*Calculations[[#This Row],[Total Kg]],0)</f>
        <v>0</v>
      </c>
      <c r="X312" s="322">
        <f>SUM(Calculations[[#This Row],[C2 Recycle]:[C2 Reuse]])</f>
        <v>0</v>
      </c>
      <c r="Y312" t="str">
        <f>IFERROR(VLOOKUP(Calculations[[#This Row],[Material (choose from dropdown]],MaterialData[#All],5,FALSE),"")</f>
        <v/>
      </c>
      <c r="Z312" s="322">
        <f>IFERROR(((VLOOKUP(Calculations[[#This Row],[Waste type 2]],WasteDisposalEmissions[#All],2,FALSE))*Calculations[[#This Row],[Total Kg]])*VLOOKUP(Calculations[[#This Row],[Waste 1]],WasteScenario[#All],2,FALSE),0)</f>
        <v>0</v>
      </c>
      <c r="AA312" s="322">
        <f>IFERROR((VLOOKUP(Calculations[[#This Row],[Waste type 2]],WasteDisposalEmissions[#All],3,FALSE))*Calculations[[#This Row],[Total Kg]]*VLOOKUP(Calculations[[#This Row],[Waste 1]],WasteScenario[#All],3,FALSE),0)</f>
        <v>0</v>
      </c>
      <c r="AB312" s="322">
        <f>SUM(Calculations[[#This Row],[C3 recyc]:[C3 incin]])</f>
        <v>0</v>
      </c>
      <c r="AC312" s="334">
        <f>IFERROR((VLOOKUP(Calculations[[#This Row],[Waste type 2]],WasteLandfillEmissions[#All],2,FALSE))*Calculations[[#This Row],[Total Kg]]*VLOOKUP(Calculations[[#This Row],[Waste 1]],WasteScenario[#All],4,FALSE),0)</f>
        <v>0</v>
      </c>
      <c r="AD312" s="322">
        <f>IFERROR((VLOOKUP(Calculations[[#This Row],[Waste type 2]],WasteLandfillEmissions[#All],3,FALSE))*Calculations[[#This Row],[Total Kg]]*VLOOKUP(Calculations[[#This Row],[Waste 1]],WasteScenario[#All],4,FALSE),0)</f>
        <v>0</v>
      </c>
      <c r="AE312" s="322">
        <f>SUM(Calculations[[#This Row],[C4 landfill]:[C4 re-use]])</f>
        <v>0</v>
      </c>
      <c r="AF312" s="322">
        <f>IFERROR(VLOOKUP(Calculations[[#This Row],[Material (choose from dropdown]],MaterialData[#All],8,FALSE),0)</f>
        <v>0</v>
      </c>
      <c r="AG312" s="322">
        <f>IFERROR(Calculations[[#This Row],[Total Kg]]*Calculations[[#This Row],[Seq factor]],0)</f>
        <v>0</v>
      </c>
      <c r="AI312" s="322">
        <f>Calculations[[#This Row],[A1-3]]+Calculations[[#This Row],[A4]]+Calculations[[#This Row],[A5]]+Calculations[[#This Row],[B4]]+Calculations[[#This Row],[C2 total]]+Calculations[[#This Row],[C3 total]]+Calculations[[#This Row],[C4 total]]</f>
        <v>0</v>
      </c>
      <c r="AJ312" s="2">
        <f>IFERROR(VLOOKUP(Calculations[[#This Row],[Material (choose from dropdown]],MaterialData[[#Headers],[#Data]],9,FALSE),0)</f>
        <v>0</v>
      </c>
      <c r="AK312" s="4">
        <f>IFERROR(VLOOKUP(Calculations[[#This Row],[Material (choose from dropdown]],MaterialData[[#Headers],[#Data]],10,FALSE),0)</f>
        <v>0</v>
      </c>
      <c r="AL312" s="322">
        <f>IFERROR(Calculations[[#This Row],[Data Quality Score]]*Calculations[[#This Row],[Total Kg]],0)</f>
        <v>0</v>
      </c>
    </row>
    <row r="313" spans="1:38" x14ac:dyDescent="0.3">
      <c r="A313" s="6">
        <f>IFERROR(MaterialsBoQ[[#This Row],[Scope Element]],0)</f>
        <v>0</v>
      </c>
      <c r="B313" t="str">
        <f>IFERROR(MaterialsBoQ[[#This Row],[Material ]],"")</f>
        <v/>
      </c>
      <c r="C313" t="str">
        <f>IFERROR(MaterialsBoQ[[#This Row],[Unit]],"")</f>
        <v/>
      </c>
      <c r="D313" s="322">
        <f>IFERROR(MaterialsBoQ[[#This Row],[Number]],0)</f>
        <v>0</v>
      </c>
      <c r="E313" s="322">
        <f>IFERROR(MaterialsBoQ[[#This Row],[Kg per unit]],0)</f>
        <v>0</v>
      </c>
      <c r="F313" s="322">
        <f>IFERROR(Calculations[[#This Row],[Number]]*Calculations[[#This Row],[Conversion factor]],0)</f>
        <v>0</v>
      </c>
      <c r="G313" s="322">
        <f>IFERROR(VLOOKUP(Calculations[[#This Row],[Material (choose from dropdown]],MaterialData[#All],7,FALSE),0)</f>
        <v>0</v>
      </c>
      <c r="H313" s="322">
        <f>Calculations[[#This Row],[Total Kg]]*Calculations[[#This Row],[Carbon Factor]]</f>
        <v>0</v>
      </c>
      <c r="I313" t="str">
        <f>IFERROR(VLOOKUP(Calculations[[#This Row],[Material (choose from dropdown]],MaterialData[#All],2,FALSE),"")</f>
        <v/>
      </c>
      <c r="J313" s="322">
        <f>IFERROR(((VLOOKUP(Calculations[[#This Row],[TransportSource]],TransportDistance[],2,FALSE)*'Stage assumptions'!$C$11)+VLOOKUP(Calculations[[#This Row],[TransportSource]],TransportDistance[],3,FALSE)*'Stage assumptions'!$C$12)*Calculations[[#This Row],[Total Kg]],0)</f>
        <v>0</v>
      </c>
      <c r="K313">
        <f>IFERROR(VLOOKUP(Calculations[[#This Row],[Material (choose from dropdown]], MaterialData[#All],3, FALSE),0)</f>
        <v>0</v>
      </c>
      <c r="L313" s="322">
        <f>IFERROR(VLOOKUP(Calculations[[#This Row],[A5type]],A5WastageRate[#All],2,FALSE)*Calculations[[#This Row],[A1-3]],0)</f>
        <v>0</v>
      </c>
      <c r="N313">
        <f>IFERROR(ROUNDUP(50/VLOOKUP(Calculations[[#This Row],[Scope Element]],B4referenceServiceLife[[Tier 2 element]:[Default Service Life]],2, FALSE)-1,0),0)</f>
        <v>0</v>
      </c>
      <c r="O313" s="322">
        <f>IFERROR((Calculations[[#This Row],[A1-3]]+Calculations[[#This Row],[A4]]+Calculations[[#This Row],[A5]]+Calculations[[#This Row],[C2 total]]+Calculations[[#This Row],[C3 total]]+Calculations[[#This Row],[C4 total]])*Calculations[[#This Row],[Replacements]],0)</f>
        <v>0</v>
      </c>
      <c r="S313" t="str">
        <f>IFERROR(VLOOKUP(Calculations[[#This Row],[Material (choose from dropdown]],MaterialData[#All],4,FALSE),"")</f>
        <v/>
      </c>
      <c r="T313" s="322" cm="1">
        <f t="array" ref="T313">IFERROR(VLOOKUP(Calculations[[#This Row],[Waste 1]],WasteScenario[#All],2,FALSE)*'Stage assumptions'!$C$225*WasteTransportMethod[Emissions Factor
kgCO2e/kg.km]*Calculations[[#This Row],[Total Kg]],0)</f>
        <v>0</v>
      </c>
      <c r="U313" s="322" cm="1">
        <f t="array" ref="U313">IFERROR(VLOOKUP(Calculations[[#This Row],[Waste 1]],WasteScenario[#All],3,FALSE)*'Stage assumptions'!$C$224*WasteTransportMethod[Emissions Factor
kgCO2e/kg.km]*Calculations[[#This Row],[Total Kg]],0)</f>
        <v>0</v>
      </c>
      <c r="V313" s="322" cm="1">
        <f t="array" ref="V313">IFERROR(VLOOKUP(Calculations[[#This Row],[Waste 1]],WasteScenario[#All],4,FALSE)*'Stage assumptions'!$C$223*WasteTransportMethod[Emissions Factor
kgCO2e/kg.km]*Calculations[[#This Row],[Total Kg]],0)</f>
        <v>0</v>
      </c>
      <c r="W313" s="322" cm="1">
        <f t="array" ref="W313">IFERROR(VLOOKUP(Calculations[[#This Row],[Waste 1]],WasteScenario[#All],5,FALSE)*'Stage assumptions'!$C$226*WasteTransportMethod[Emissions Factor
kgCO2e/kg.km]*Calculations[[#This Row],[Total Kg]],0)</f>
        <v>0</v>
      </c>
      <c r="X313" s="322">
        <f>SUM(Calculations[[#This Row],[C2 Recycle]:[C2 Reuse]])</f>
        <v>0</v>
      </c>
      <c r="Y313" t="str">
        <f>IFERROR(VLOOKUP(Calculations[[#This Row],[Material (choose from dropdown]],MaterialData[#All],5,FALSE),"")</f>
        <v/>
      </c>
      <c r="Z313" s="322">
        <f>IFERROR(((VLOOKUP(Calculations[[#This Row],[Waste type 2]],WasteDisposalEmissions[#All],2,FALSE))*Calculations[[#This Row],[Total Kg]])*VLOOKUP(Calculations[[#This Row],[Waste 1]],WasteScenario[#All],2,FALSE),0)</f>
        <v>0</v>
      </c>
      <c r="AA313" s="322">
        <f>IFERROR((VLOOKUP(Calculations[[#This Row],[Waste type 2]],WasteDisposalEmissions[#All],3,FALSE))*Calculations[[#This Row],[Total Kg]]*VLOOKUP(Calculations[[#This Row],[Waste 1]],WasteScenario[#All],3,FALSE),0)</f>
        <v>0</v>
      </c>
      <c r="AB313" s="322">
        <f>SUM(Calculations[[#This Row],[C3 recyc]:[C3 incin]])</f>
        <v>0</v>
      </c>
      <c r="AC313" s="334">
        <f>IFERROR((VLOOKUP(Calculations[[#This Row],[Waste type 2]],WasteLandfillEmissions[#All],2,FALSE))*Calculations[[#This Row],[Total Kg]]*VLOOKUP(Calculations[[#This Row],[Waste 1]],WasteScenario[#All],4,FALSE),0)</f>
        <v>0</v>
      </c>
      <c r="AD313" s="322">
        <f>IFERROR((VLOOKUP(Calculations[[#This Row],[Waste type 2]],WasteLandfillEmissions[#All],3,FALSE))*Calculations[[#This Row],[Total Kg]]*VLOOKUP(Calculations[[#This Row],[Waste 1]],WasteScenario[#All],4,FALSE),0)</f>
        <v>0</v>
      </c>
      <c r="AE313" s="322">
        <f>SUM(Calculations[[#This Row],[C4 landfill]:[C4 re-use]])</f>
        <v>0</v>
      </c>
      <c r="AF313" s="322">
        <f>IFERROR(VLOOKUP(Calculations[[#This Row],[Material (choose from dropdown]],MaterialData[#All],8,FALSE),0)</f>
        <v>0</v>
      </c>
      <c r="AG313" s="322">
        <f>IFERROR(Calculations[[#This Row],[Total Kg]]*Calculations[[#This Row],[Seq factor]],0)</f>
        <v>0</v>
      </c>
      <c r="AI313" s="322">
        <f>Calculations[[#This Row],[A1-3]]+Calculations[[#This Row],[A4]]+Calculations[[#This Row],[A5]]+Calculations[[#This Row],[B4]]+Calculations[[#This Row],[C2 total]]+Calculations[[#This Row],[C3 total]]+Calculations[[#This Row],[C4 total]]</f>
        <v>0</v>
      </c>
      <c r="AJ313" s="2">
        <f>IFERROR(VLOOKUP(Calculations[[#This Row],[Material (choose from dropdown]],MaterialData[[#Headers],[#Data]],9,FALSE),0)</f>
        <v>0</v>
      </c>
      <c r="AK313" s="4">
        <f>IFERROR(VLOOKUP(Calculations[[#This Row],[Material (choose from dropdown]],MaterialData[[#Headers],[#Data]],10,FALSE),0)</f>
        <v>0</v>
      </c>
      <c r="AL313" s="322">
        <f>IFERROR(Calculations[[#This Row],[Data Quality Score]]*Calculations[[#This Row],[Total Kg]],0)</f>
        <v>0</v>
      </c>
    </row>
    <row r="314" spans="1:38" x14ac:dyDescent="0.3">
      <c r="A314" s="6">
        <f>IFERROR(MaterialsBoQ[[#This Row],[Scope Element]],0)</f>
        <v>0</v>
      </c>
      <c r="B314" t="str">
        <f>IFERROR(MaterialsBoQ[[#This Row],[Material ]],"")</f>
        <v/>
      </c>
      <c r="C314" t="str">
        <f>IFERROR(MaterialsBoQ[[#This Row],[Unit]],"")</f>
        <v/>
      </c>
      <c r="D314" s="322">
        <f>IFERROR(MaterialsBoQ[[#This Row],[Number]],0)</f>
        <v>0</v>
      </c>
      <c r="E314" s="322">
        <f>IFERROR(MaterialsBoQ[[#This Row],[Kg per unit]],0)</f>
        <v>0</v>
      </c>
      <c r="F314" s="322">
        <f>IFERROR(Calculations[[#This Row],[Number]]*Calculations[[#This Row],[Conversion factor]],0)</f>
        <v>0</v>
      </c>
      <c r="G314" s="322">
        <f>IFERROR(VLOOKUP(Calculations[[#This Row],[Material (choose from dropdown]],MaterialData[#All],7,FALSE),0)</f>
        <v>0</v>
      </c>
      <c r="H314" s="322">
        <f>Calculations[[#This Row],[Total Kg]]*Calculations[[#This Row],[Carbon Factor]]</f>
        <v>0</v>
      </c>
      <c r="I314" t="str">
        <f>IFERROR(VLOOKUP(Calculations[[#This Row],[Material (choose from dropdown]],MaterialData[#All],2,FALSE),"")</f>
        <v/>
      </c>
      <c r="J314" s="322">
        <f>IFERROR(((VLOOKUP(Calculations[[#This Row],[TransportSource]],TransportDistance[],2,FALSE)*'Stage assumptions'!$C$11)+VLOOKUP(Calculations[[#This Row],[TransportSource]],TransportDistance[],3,FALSE)*'Stage assumptions'!$C$12)*Calculations[[#This Row],[Total Kg]],0)</f>
        <v>0</v>
      </c>
      <c r="K314">
        <f>IFERROR(VLOOKUP(Calculations[[#This Row],[Material (choose from dropdown]], MaterialData[#All],3, FALSE),0)</f>
        <v>0</v>
      </c>
      <c r="L314" s="322">
        <f>IFERROR(VLOOKUP(Calculations[[#This Row],[A5type]],A5WastageRate[#All],2,FALSE)*Calculations[[#This Row],[A1-3]],0)</f>
        <v>0</v>
      </c>
      <c r="N314">
        <f>IFERROR(ROUNDUP(50/VLOOKUP(Calculations[[#This Row],[Scope Element]],B4referenceServiceLife[[Tier 2 element]:[Default Service Life]],2, FALSE)-1,0),0)</f>
        <v>0</v>
      </c>
      <c r="O314" s="322">
        <f>IFERROR((Calculations[[#This Row],[A1-3]]+Calculations[[#This Row],[A4]]+Calculations[[#This Row],[A5]]+Calculations[[#This Row],[C2 total]]+Calculations[[#This Row],[C3 total]]+Calculations[[#This Row],[C4 total]])*Calculations[[#This Row],[Replacements]],0)</f>
        <v>0</v>
      </c>
      <c r="S314" t="str">
        <f>IFERROR(VLOOKUP(Calculations[[#This Row],[Material (choose from dropdown]],MaterialData[#All],4,FALSE),"")</f>
        <v/>
      </c>
      <c r="T314" s="322" cm="1">
        <f t="array" ref="T314">IFERROR(VLOOKUP(Calculations[[#This Row],[Waste 1]],WasteScenario[#All],2,FALSE)*'Stage assumptions'!$C$225*WasteTransportMethod[Emissions Factor
kgCO2e/kg.km]*Calculations[[#This Row],[Total Kg]],0)</f>
        <v>0</v>
      </c>
      <c r="U314" s="322" cm="1">
        <f t="array" ref="U314">IFERROR(VLOOKUP(Calculations[[#This Row],[Waste 1]],WasteScenario[#All],3,FALSE)*'Stage assumptions'!$C$224*WasteTransportMethod[Emissions Factor
kgCO2e/kg.km]*Calculations[[#This Row],[Total Kg]],0)</f>
        <v>0</v>
      </c>
      <c r="V314" s="322" cm="1">
        <f t="array" ref="V314">IFERROR(VLOOKUP(Calculations[[#This Row],[Waste 1]],WasteScenario[#All],4,FALSE)*'Stage assumptions'!$C$223*WasteTransportMethod[Emissions Factor
kgCO2e/kg.km]*Calculations[[#This Row],[Total Kg]],0)</f>
        <v>0</v>
      </c>
      <c r="W314" s="322" cm="1">
        <f t="array" ref="W314">IFERROR(VLOOKUP(Calculations[[#This Row],[Waste 1]],WasteScenario[#All],5,FALSE)*'Stage assumptions'!$C$226*WasteTransportMethod[Emissions Factor
kgCO2e/kg.km]*Calculations[[#This Row],[Total Kg]],0)</f>
        <v>0</v>
      </c>
      <c r="X314" s="322">
        <f>SUM(Calculations[[#This Row],[C2 Recycle]:[C2 Reuse]])</f>
        <v>0</v>
      </c>
      <c r="Y314" t="str">
        <f>IFERROR(VLOOKUP(Calculations[[#This Row],[Material (choose from dropdown]],MaterialData[#All],5,FALSE),"")</f>
        <v/>
      </c>
      <c r="Z314" s="322">
        <f>IFERROR(((VLOOKUP(Calculations[[#This Row],[Waste type 2]],WasteDisposalEmissions[#All],2,FALSE))*Calculations[[#This Row],[Total Kg]])*VLOOKUP(Calculations[[#This Row],[Waste 1]],WasteScenario[#All],2,FALSE),0)</f>
        <v>0</v>
      </c>
      <c r="AA314" s="322">
        <f>IFERROR((VLOOKUP(Calculations[[#This Row],[Waste type 2]],WasteDisposalEmissions[#All],3,FALSE))*Calculations[[#This Row],[Total Kg]]*VLOOKUP(Calculations[[#This Row],[Waste 1]],WasteScenario[#All],3,FALSE),0)</f>
        <v>0</v>
      </c>
      <c r="AB314" s="322">
        <f>SUM(Calculations[[#This Row],[C3 recyc]:[C3 incin]])</f>
        <v>0</v>
      </c>
      <c r="AC314" s="334">
        <f>IFERROR((VLOOKUP(Calculations[[#This Row],[Waste type 2]],WasteLandfillEmissions[#All],2,FALSE))*Calculations[[#This Row],[Total Kg]]*VLOOKUP(Calculations[[#This Row],[Waste 1]],WasteScenario[#All],4,FALSE),0)</f>
        <v>0</v>
      </c>
      <c r="AD314" s="322">
        <f>IFERROR((VLOOKUP(Calculations[[#This Row],[Waste type 2]],WasteLandfillEmissions[#All],3,FALSE))*Calculations[[#This Row],[Total Kg]]*VLOOKUP(Calculations[[#This Row],[Waste 1]],WasteScenario[#All],4,FALSE),0)</f>
        <v>0</v>
      </c>
      <c r="AE314" s="322">
        <f>SUM(Calculations[[#This Row],[C4 landfill]:[C4 re-use]])</f>
        <v>0</v>
      </c>
      <c r="AF314" s="322">
        <f>IFERROR(VLOOKUP(Calculations[[#This Row],[Material (choose from dropdown]],MaterialData[#All],8,FALSE),0)</f>
        <v>0</v>
      </c>
      <c r="AG314" s="322">
        <f>IFERROR(Calculations[[#This Row],[Total Kg]]*Calculations[[#This Row],[Seq factor]],0)</f>
        <v>0</v>
      </c>
      <c r="AI314" s="322">
        <f>Calculations[[#This Row],[A1-3]]+Calculations[[#This Row],[A4]]+Calculations[[#This Row],[A5]]+Calculations[[#This Row],[B4]]+Calculations[[#This Row],[C2 total]]+Calculations[[#This Row],[C3 total]]+Calculations[[#This Row],[C4 total]]</f>
        <v>0</v>
      </c>
      <c r="AJ314" s="2">
        <f>IFERROR(VLOOKUP(Calculations[[#This Row],[Material (choose from dropdown]],MaterialData[[#Headers],[#Data]],9,FALSE),0)</f>
        <v>0</v>
      </c>
      <c r="AK314" s="4">
        <f>IFERROR(VLOOKUP(Calculations[[#This Row],[Material (choose from dropdown]],MaterialData[[#Headers],[#Data]],10,FALSE),0)</f>
        <v>0</v>
      </c>
      <c r="AL314" s="322">
        <f>IFERROR(Calculations[[#This Row],[Data Quality Score]]*Calculations[[#This Row],[Total Kg]],0)</f>
        <v>0</v>
      </c>
    </row>
    <row r="315" spans="1:38" x14ac:dyDescent="0.3">
      <c r="A315" s="6">
        <f>IFERROR(MaterialsBoQ[[#This Row],[Scope Element]],0)</f>
        <v>0</v>
      </c>
      <c r="B315" t="str">
        <f>IFERROR(MaterialsBoQ[[#This Row],[Material ]],"")</f>
        <v/>
      </c>
      <c r="C315" t="str">
        <f>IFERROR(MaterialsBoQ[[#This Row],[Unit]],"")</f>
        <v/>
      </c>
      <c r="D315" s="322">
        <f>IFERROR(MaterialsBoQ[[#This Row],[Number]],0)</f>
        <v>0</v>
      </c>
      <c r="E315" s="322">
        <f>IFERROR(MaterialsBoQ[[#This Row],[Kg per unit]],0)</f>
        <v>0</v>
      </c>
      <c r="F315" s="322">
        <f>IFERROR(Calculations[[#This Row],[Number]]*Calculations[[#This Row],[Conversion factor]],0)</f>
        <v>0</v>
      </c>
      <c r="G315" s="322">
        <f>IFERROR(VLOOKUP(Calculations[[#This Row],[Material (choose from dropdown]],MaterialData[#All],7,FALSE),0)</f>
        <v>0</v>
      </c>
      <c r="H315" s="322">
        <f>Calculations[[#This Row],[Total Kg]]*Calculations[[#This Row],[Carbon Factor]]</f>
        <v>0</v>
      </c>
      <c r="I315" t="str">
        <f>IFERROR(VLOOKUP(Calculations[[#This Row],[Material (choose from dropdown]],MaterialData[#All],2,FALSE),"")</f>
        <v/>
      </c>
      <c r="J315" s="322">
        <f>IFERROR(((VLOOKUP(Calculations[[#This Row],[TransportSource]],TransportDistance[],2,FALSE)*'Stage assumptions'!$C$11)+VLOOKUP(Calculations[[#This Row],[TransportSource]],TransportDistance[],3,FALSE)*'Stage assumptions'!$C$12)*Calculations[[#This Row],[Total Kg]],0)</f>
        <v>0</v>
      </c>
      <c r="K315">
        <f>IFERROR(VLOOKUP(Calculations[[#This Row],[Material (choose from dropdown]], MaterialData[#All],3, FALSE),0)</f>
        <v>0</v>
      </c>
      <c r="L315" s="322">
        <f>IFERROR(VLOOKUP(Calculations[[#This Row],[A5type]],A5WastageRate[#All],2,FALSE)*Calculations[[#This Row],[A1-3]],0)</f>
        <v>0</v>
      </c>
      <c r="N315">
        <f>IFERROR(ROUNDUP(50/VLOOKUP(Calculations[[#This Row],[Scope Element]],B4referenceServiceLife[[Tier 2 element]:[Default Service Life]],2, FALSE)-1,0),0)</f>
        <v>0</v>
      </c>
      <c r="O315" s="322">
        <f>IFERROR((Calculations[[#This Row],[A1-3]]+Calculations[[#This Row],[A4]]+Calculations[[#This Row],[A5]]+Calculations[[#This Row],[C2 total]]+Calculations[[#This Row],[C3 total]]+Calculations[[#This Row],[C4 total]])*Calculations[[#This Row],[Replacements]],0)</f>
        <v>0</v>
      </c>
      <c r="S315" t="str">
        <f>IFERROR(VLOOKUP(Calculations[[#This Row],[Material (choose from dropdown]],MaterialData[#All],4,FALSE),"")</f>
        <v/>
      </c>
      <c r="T315" s="322" cm="1">
        <f t="array" ref="T315">IFERROR(VLOOKUP(Calculations[[#This Row],[Waste 1]],WasteScenario[#All],2,FALSE)*'Stage assumptions'!$C$225*WasteTransportMethod[Emissions Factor
kgCO2e/kg.km]*Calculations[[#This Row],[Total Kg]],0)</f>
        <v>0</v>
      </c>
      <c r="U315" s="322" cm="1">
        <f t="array" ref="U315">IFERROR(VLOOKUP(Calculations[[#This Row],[Waste 1]],WasteScenario[#All],3,FALSE)*'Stage assumptions'!$C$224*WasteTransportMethod[Emissions Factor
kgCO2e/kg.km]*Calculations[[#This Row],[Total Kg]],0)</f>
        <v>0</v>
      </c>
      <c r="V315" s="322" cm="1">
        <f t="array" ref="V315">IFERROR(VLOOKUP(Calculations[[#This Row],[Waste 1]],WasteScenario[#All],4,FALSE)*'Stage assumptions'!$C$223*WasteTransportMethod[Emissions Factor
kgCO2e/kg.km]*Calculations[[#This Row],[Total Kg]],0)</f>
        <v>0</v>
      </c>
      <c r="W315" s="322" cm="1">
        <f t="array" ref="W315">IFERROR(VLOOKUP(Calculations[[#This Row],[Waste 1]],WasteScenario[#All],5,FALSE)*'Stage assumptions'!$C$226*WasteTransportMethod[Emissions Factor
kgCO2e/kg.km]*Calculations[[#This Row],[Total Kg]],0)</f>
        <v>0</v>
      </c>
      <c r="X315" s="322">
        <f>SUM(Calculations[[#This Row],[C2 Recycle]:[C2 Reuse]])</f>
        <v>0</v>
      </c>
      <c r="Y315" t="str">
        <f>IFERROR(VLOOKUP(Calculations[[#This Row],[Material (choose from dropdown]],MaterialData[#All],5,FALSE),"")</f>
        <v/>
      </c>
      <c r="Z315" s="322">
        <f>IFERROR(((VLOOKUP(Calculations[[#This Row],[Waste type 2]],WasteDisposalEmissions[#All],2,FALSE))*Calculations[[#This Row],[Total Kg]])*VLOOKUP(Calculations[[#This Row],[Waste 1]],WasteScenario[#All],2,FALSE),0)</f>
        <v>0</v>
      </c>
      <c r="AA315" s="322">
        <f>IFERROR((VLOOKUP(Calculations[[#This Row],[Waste type 2]],WasteDisposalEmissions[#All],3,FALSE))*Calculations[[#This Row],[Total Kg]]*VLOOKUP(Calculations[[#This Row],[Waste 1]],WasteScenario[#All],3,FALSE),0)</f>
        <v>0</v>
      </c>
      <c r="AB315" s="322">
        <f>SUM(Calculations[[#This Row],[C3 recyc]:[C3 incin]])</f>
        <v>0</v>
      </c>
      <c r="AC315" s="334">
        <f>IFERROR((VLOOKUP(Calculations[[#This Row],[Waste type 2]],WasteLandfillEmissions[#All],2,FALSE))*Calculations[[#This Row],[Total Kg]]*VLOOKUP(Calculations[[#This Row],[Waste 1]],WasteScenario[#All],4,FALSE),0)</f>
        <v>0</v>
      </c>
      <c r="AD315" s="322">
        <f>IFERROR((VLOOKUP(Calculations[[#This Row],[Waste type 2]],WasteLandfillEmissions[#All],3,FALSE))*Calculations[[#This Row],[Total Kg]]*VLOOKUP(Calculations[[#This Row],[Waste 1]],WasteScenario[#All],4,FALSE),0)</f>
        <v>0</v>
      </c>
      <c r="AE315" s="322">
        <f>SUM(Calculations[[#This Row],[C4 landfill]:[C4 re-use]])</f>
        <v>0</v>
      </c>
      <c r="AF315" s="322">
        <f>IFERROR(VLOOKUP(Calculations[[#This Row],[Material (choose from dropdown]],MaterialData[#All],8,FALSE),0)</f>
        <v>0</v>
      </c>
      <c r="AG315" s="322">
        <f>IFERROR(Calculations[[#This Row],[Total Kg]]*Calculations[[#This Row],[Seq factor]],0)</f>
        <v>0</v>
      </c>
      <c r="AI315" s="322">
        <f>Calculations[[#This Row],[A1-3]]+Calculations[[#This Row],[A4]]+Calculations[[#This Row],[A5]]+Calculations[[#This Row],[B4]]+Calculations[[#This Row],[C2 total]]+Calculations[[#This Row],[C3 total]]+Calculations[[#This Row],[C4 total]]</f>
        <v>0</v>
      </c>
      <c r="AJ315" s="2">
        <f>IFERROR(VLOOKUP(Calculations[[#This Row],[Material (choose from dropdown]],MaterialData[[#Headers],[#Data]],9,FALSE),0)</f>
        <v>0</v>
      </c>
      <c r="AK315" s="4">
        <f>IFERROR(VLOOKUP(Calculations[[#This Row],[Material (choose from dropdown]],MaterialData[[#Headers],[#Data]],10,FALSE),0)</f>
        <v>0</v>
      </c>
      <c r="AL315" s="322">
        <f>IFERROR(Calculations[[#This Row],[Data Quality Score]]*Calculations[[#This Row],[Total Kg]],0)</f>
        <v>0</v>
      </c>
    </row>
    <row r="316" spans="1:38" x14ac:dyDescent="0.3">
      <c r="A316" s="6">
        <f>IFERROR(MaterialsBoQ[[#This Row],[Scope Element]],0)</f>
        <v>0</v>
      </c>
      <c r="B316" t="str">
        <f>IFERROR(MaterialsBoQ[[#This Row],[Material ]],"")</f>
        <v/>
      </c>
      <c r="C316" t="str">
        <f>IFERROR(MaterialsBoQ[[#This Row],[Unit]],"")</f>
        <v/>
      </c>
      <c r="D316" s="322">
        <f>IFERROR(MaterialsBoQ[[#This Row],[Number]],0)</f>
        <v>0</v>
      </c>
      <c r="E316" s="322">
        <f>IFERROR(MaterialsBoQ[[#This Row],[Kg per unit]],0)</f>
        <v>0</v>
      </c>
      <c r="F316" s="322">
        <f>IFERROR(Calculations[[#This Row],[Number]]*Calculations[[#This Row],[Conversion factor]],0)</f>
        <v>0</v>
      </c>
      <c r="G316" s="322">
        <f>IFERROR(VLOOKUP(Calculations[[#This Row],[Material (choose from dropdown]],MaterialData[#All],7,FALSE),0)</f>
        <v>0</v>
      </c>
      <c r="H316" s="322">
        <f>Calculations[[#This Row],[Total Kg]]*Calculations[[#This Row],[Carbon Factor]]</f>
        <v>0</v>
      </c>
      <c r="I316" t="str">
        <f>IFERROR(VLOOKUP(Calculations[[#This Row],[Material (choose from dropdown]],MaterialData[#All],2,FALSE),"")</f>
        <v/>
      </c>
      <c r="J316" s="322">
        <f>IFERROR(((VLOOKUP(Calculations[[#This Row],[TransportSource]],TransportDistance[],2,FALSE)*'Stage assumptions'!$C$11)+VLOOKUP(Calculations[[#This Row],[TransportSource]],TransportDistance[],3,FALSE)*'Stage assumptions'!$C$12)*Calculations[[#This Row],[Total Kg]],0)</f>
        <v>0</v>
      </c>
      <c r="K316">
        <f>IFERROR(VLOOKUP(Calculations[[#This Row],[Material (choose from dropdown]], MaterialData[#All],3, FALSE),0)</f>
        <v>0</v>
      </c>
      <c r="L316" s="322">
        <f>IFERROR(VLOOKUP(Calculations[[#This Row],[A5type]],A5WastageRate[#All],2,FALSE)*Calculations[[#This Row],[A1-3]],0)</f>
        <v>0</v>
      </c>
      <c r="N316">
        <f>IFERROR(ROUNDUP(50/VLOOKUP(Calculations[[#This Row],[Scope Element]],B4referenceServiceLife[[Tier 2 element]:[Default Service Life]],2, FALSE)-1,0),0)</f>
        <v>0</v>
      </c>
      <c r="O316" s="322">
        <f>IFERROR((Calculations[[#This Row],[A1-3]]+Calculations[[#This Row],[A4]]+Calculations[[#This Row],[A5]]+Calculations[[#This Row],[C2 total]]+Calculations[[#This Row],[C3 total]]+Calculations[[#This Row],[C4 total]])*Calculations[[#This Row],[Replacements]],0)</f>
        <v>0</v>
      </c>
      <c r="S316" t="str">
        <f>IFERROR(VLOOKUP(Calculations[[#This Row],[Material (choose from dropdown]],MaterialData[#All],4,FALSE),"")</f>
        <v/>
      </c>
      <c r="T316" s="322" cm="1">
        <f t="array" ref="T316">IFERROR(VLOOKUP(Calculations[[#This Row],[Waste 1]],WasteScenario[#All],2,FALSE)*'Stage assumptions'!$C$225*WasteTransportMethod[Emissions Factor
kgCO2e/kg.km]*Calculations[[#This Row],[Total Kg]],0)</f>
        <v>0</v>
      </c>
      <c r="U316" s="322" cm="1">
        <f t="array" ref="U316">IFERROR(VLOOKUP(Calculations[[#This Row],[Waste 1]],WasteScenario[#All],3,FALSE)*'Stage assumptions'!$C$224*WasteTransportMethod[Emissions Factor
kgCO2e/kg.km]*Calculations[[#This Row],[Total Kg]],0)</f>
        <v>0</v>
      </c>
      <c r="V316" s="322" cm="1">
        <f t="array" ref="V316">IFERROR(VLOOKUP(Calculations[[#This Row],[Waste 1]],WasteScenario[#All],4,FALSE)*'Stage assumptions'!$C$223*WasteTransportMethod[Emissions Factor
kgCO2e/kg.km]*Calculations[[#This Row],[Total Kg]],0)</f>
        <v>0</v>
      </c>
      <c r="W316" s="322" cm="1">
        <f t="array" ref="W316">IFERROR(VLOOKUP(Calculations[[#This Row],[Waste 1]],WasteScenario[#All],5,FALSE)*'Stage assumptions'!$C$226*WasteTransportMethod[Emissions Factor
kgCO2e/kg.km]*Calculations[[#This Row],[Total Kg]],0)</f>
        <v>0</v>
      </c>
      <c r="X316" s="322">
        <f>SUM(Calculations[[#This Row],[C2 Recycle]:[C2 Reuse]])</f>
        <v>0</v>
      </c>
      <c r="Y316" t="str">
        <f>IFERROR(VLOOKUP(Calculations[[#This Row],[Material (choose from dropdown]],MaterialData[#All],5,FALSE),"")</f>
        <v/>
      </c>
      <c r="Z316" s="322">
        <f>IFERROR(((VLOOKUP(Calculations[[#This Row],[Waste type 2]],WasteDisposalEmissions[#All],2,FALSE))*Calculations[[#This Row],[Total Kg]])*VLOOKUP(Calculations[[#This Row],[Waste 1]],WasteScenario[#All],2,FALSE),0)</f>
        <v>0</v>
      </c>
      <c r="AA316" s="322">
        <f>IFERROR((VLOOKUP(Calculations[[#This Row],[Waste type 2]],WasteDisposalEmissions[#All],3,FALSE))*Calculations[[#This Row],[Total Kg]]*VLOOKUP(Calculations[[#This Row],[Waste 1]],WasteScenario[#All],3,FALSE),0)</f>
        <v>0</v>
      </c>
      <c r="AB316" s="322">
        <f>SUM(Calculations[[#This Row],[C3 recyc]:[C3 incin]])</f>
        <v>0</v>
      </c>
      <c r="AC316" s="334">
        <f>IFERROR((VLOOKUP(Calculations[[#This Row],[Waste type 2]],WasteLandfillEmissions[#All],2,FALSE))*Calculations[[#This Row],[Total Kg]]*VLOOKUP(Calculations[[#This Row],[Waste 1]],WasteScenario[#All],4,FALSE),0)</f>
        <v>0</v>
      </c>
      <c r="AD316" s="322">
        <f>IFERROR((VLOOKUP(Calculations[[#This Row],[Waste type 2]],WasteLandfillEmissions[#All],3,FALSE))*Calculations[[#This Row],[Total Kg]]*VLOOKUP(Calculations[[#This Row],[Waste 1]],WasteScenario[#All],4,FALSE),0)</f>
        <v>0</v>
      </c>
      <c r="AE316" s="322">
        <f>SUM(Calculations[[#This Row],[C4 landfill]:[C4 re-use]])</f>
        <v>0</v>
      </c>
      <c r="AF316" s="322">
        <f>IFERROR(VLOOKUP(Calculations[[#This Row],[Material (choose from dropdown]],MaterialData[#All],8,FALSE),0)</f>
        <v>0</v>
      </c>
      <c r="AG316" s="322">
        <f>IFERROR(Calculations[[#This Row],[Total Kg]]*Calculations[[#This Row],[Seq factor]],0)</f>
        <v>0</v>
      </c>
      <c r="AI316" s="322">
        <f>Calculations[[#This Row],[A1-3]]+Calculations[[#This Row],[A4]]+Calculations[[#This Row],[A5]]+Calculations[[#This Row],[B4]]+Calculations[[#This Row],[C2 total]]+Calculations[[#This Row],[C3 total]]+Calculations[[#This Row],[C4 total]]</f>
        <v>0</v>
      </c>
      <c r="AJ316" s="2">
        <f>IFERROR(VLOOKUP(Calculations[[#This Row],[Material (choose from dropdown]],MaterialData[[#Headers],[#Data]],9,FALSE),0)</f>
        <v>0</v>
      </c>
      <c r="AK316" s="4">
        <f>IFERROR(VLOOKUP(Calculations[[#This Row],[Material (choose from dropdown]],MaterialData[[#Headers],[#Data]],10,FALSE),0)</f>
        <v>0</v>
      </c>
      <c r="AL316" s="322">
        <f>IFERROR(Calculations[[#This Row],[Data Quality Score]]*Calculations[[#This Row],[Total Kg]],0)</f>
        <v>0</v>
      </c>
    </row>
    <row r="317" spans="1:38" x14ac:dyDescent="0.3">
      <c r="A317" s="6">
        <f>IFERROR(MaterialsBoQ[[#This Row],[Scope Element]],0)</f>
        <v>0</v>
      </c>
      <c r="B317" t="str">
        <f>IFERROR(MaterialsBoQ[[#This Row],[Material ]],"")</f>
        <v/>
      </c>
      <c r="C317" t="str">
        <f>IFERROR(MaterialsBoQ[[#This Row],[Unit]],"")</f>
        <v/>
      </c>
      <c r="D317" s="322">
        <f>IFERROR(MaterialsBoQ[[#This Row],[Number]],0)</f>
        <v>0</v>
      </c>
      <c r="E317" s="322">
        <f>IFERROR(MaterialsBoQ[[#This Row],[Kg per unit]],0)</f>
        <v>0</v>
      </c>
      <c r="F317" s="322">
        <f>IFERROR(Calculations[[#This Row],[Number]]*Calculations[[#This Row],[Conversion factor]],0)</f>
        <v>0</v>
      </c>
      <c r="G317" s="322">
        <f>IFERROR(VLOOKUP(Calculations[[#This Row],[Material (choose from dropdown]],MaterialData[#All],7,FALSE),0)</f>
        <v>0</v>
      </c>
      <c r="H317" s="322">
        <f>Calculations[[#This Row],[Total Kg]]*Calculations[[#This Row],[Carbon Factor]]</f>
        <v>0</v>
      </c>
      <c r="I317" t="str">
        <f>IFERROR(VLOOKUP(Calculations[[#This Row],[Material (choose from dropdown]],MaterialData[#All],2,FALSE),"")</f>
        <v/>
      </c>
      <c r="J317" s="322">
        <f>IFERROR(((VLOOKUP(Calculations[[#This Row],[TransportSource]],TransportDistance[],2,FALSE)*'Stage assumptions'!$C$11)+VLOOKUP(Calculations[[#This Row],[TransportSource]],TransportDistance[],3,FALSE)*'Stage assumptions'!$C$12)*Calculations[[#This Row],[Total Kg]],0)</f>
        <v>0</v>
      </c>
      <c r="K317">
        <f>IFERROR(VLOOKUP(Calculations[[#This Row],[Material (choose from dropdown]], MaterialData[#All],3, FALSE),0)</f>
        <v>0</v>
      </c>
      <c r="L317" s="322">
        <f>IFERROR(VLOOKUP(Calculations[[#This Row],[A5type]],A5WastageRate[#All],2,FALSE)*Calculations[[#This Row],[A1-3]],0)</f>
        <v>0</v>
      </c>
      <c r="N317">
        <f>IFERROR(ROUNDUP(50/VLOOKUP(Calculations[[#This Row],[Scope Element]],B4referenceServiceLife[[Tier 2 element]:[Default Service Life]],2, FALSE)-1,0),0)</f>
        <v>0</v>
      </c>
      <c r="O317" s="322">
        <f>IFERROR((Calculations[[#This Row],[A1-3]]+Calculations[[#This Row],[A4]]+Calculations[[#This Row],[A5]]+Calculations[[#This Row],[C2 total]]+Calculations[[#This Row],[C3 total]]+Calculations[[#This Row],[C4 total]])*Calculations[[#This Row],[Replacements]],0)</f>
        <v>0</v>
      </c>
      <c r="S317" t="str">
        <f>IFERROR(VLOOKUP(Calculations[[#This Row],[Material (choose from dropdown]],MaterialData[#All],4,FALSE),"")</f>
        <v/>
      </c>
      <c r="T317" s="322" cm="1">
        <f t="array" ref="T317">IFERROR(VLOOKUP(Calculations[[#This Row],[Waste 1]],WasteScenario[#All],2,FALSE)*'Stage assumptions'!$C$225*WasteTransportMethod[Emissions Factor
kgCO2e/kg.km]*Calculations[[#This Row],[Total Kg]],0)</f>
        <v>0</v>
      </c>
      <c r="U317" s="322" cm="1">
        <f t="array" ref="U317">IFERROR(VLOOKUP(Calculations[[#This Row],[Waste 1]],WasteScenario[#All],3,FALSE)*'Stage assumptions'!$C$224*WasteTransportMethod[Emissions Factor
kgCO2e/kg.km]*Calculations[[#This Row],[Total Kg]],0)</f>
        <v>0</v>
      </c>
      <c r="V317" s="322" cm="1">
        <f t="array" ref="V317">IFERROR(VLOOKUP(Calculations[[#This Row],[Waste 1]],WasteScenario[#All],4,FALSE)*'Stage assumptions'!$C$223*WasteTransportMethod[Emissions Factor
kgCO2e/kg.km]*Calculations[[#This Row],[Total Kg]],0)</f>
        <v>0</v>
      </c>
      <c r="W317" s="322" cm="1">
        <f t="array" ref="W317">IFERROR(VLOOKUP(Calculations[[#This Row],[Waste 1]],WasteScenario[#All],5,FALSE)*'Stage assumptions'!$C$226*WasteTransportMethod[Emissions Factor
kgCO2e/kg.km]*Calculations[[#This Row],[Total Kg]],0)</f>
        <v>0</v>
      </c>
      <c r="X317" s="322">
        <f>SUM(Calculations[[#This Row],[C2 Recycle]:[C2 Reuse]])</f>
        <v>0</v>
      </c>
      <c r="Y317" t="str">
        <f>IFERROR(VLOOKUP(Calculations[[#This Row],[Material (choose from dropdown]],MaterialData[#All],5,FALSE),"")</f>
        <v/>
      </c>
      <c r="Z317" s="322">
        <f>IFERROR(((VLOOKUP(Calculations[[#This Row],[Waste type 2]],WasteDisposalEmissions[#All],2,FALSE))*Calculations[[#This Row],[Total Kg]])*VLOOKUP(Calculations[[#This Row],[Waste 1]],WasteScenario[#All],2,FALSE),0)</f>
        <v>0</v>
      </c>
      <c r="AA317" s="322">
        <f>IFERROR((VLOOKUP(Calculations[[#This Row],[Waste type 2]],WasteDisposalEmissions[#All],3,FALSE))*Calculations[[#This Row],[Total Kg]]*VLOOKUP(Calculations[[#This Row],[Waste 1]],WasteScenario[#All],3,FALSE),0)</f>
        <v>0</v>
      </c>
      <c r="AB317" s="322">
        <f>SUM(Calculations[[#This Row],[C3 recyc]:[C3 incin]])</f>
        <v>0</v>
      </c>
      <c r="AC317" s="334">
        <f>IFERROR((VLOOKUP(Calculations[[#This Row],[Waste type 2]],WasteLandfillEmissions[#All],2,FALSE))*Calculations[[#This Row],[Total Kg]]*VLOOKUP(Calculations[[#This Row],[Waste 1]],WasteScenario[#All],4,FALSE),0)</f>
        <v>0</v>
      </c>
      <c r="AD317" s="322">
        <f>IFERROR((VLOOKUP(Calculations[[#This Row],[Waste type 2]],WasteLandfillEmissions[#All],3,FALSE))*Calculations[[#This Row],[Total Kg]]*VLOOKUP(Calculations[[#This Row],[Waste 1]],WasteScenario[#All],4,FALSE),0)</f>
        <v>0</v>
      </c>
      <c r="AE317" s="322">
        <f>SUM(Calculations[[#This Row],[C4 landfill]:[C4 re-use]])</f>
        <v>0</v>
      </c>
      <c r="AF317" s="322">
        <f>IFERROR(VLOOKUP(Calculations[[#This Row],[Material (choose from dropdown]],MaterialData[#All],8,FALSE),0)</f>
        <v>0</v>
      </c>
      <c r="AG317" s="322">
        <f>IFERROR(Calculations[[#This Row],[Total Kg]]*Calculations[[#This Row],[Seq factor]],0)</f>
        <v>0</v>
      </c>
      <c r="AI317" s="322">
        <f>Calculations[[#This Row],[A1-3]]+Calculations[[#This Row],[A4]]+Calculations[[#This Row],[A5]]+Calculations[[#This Row],[B4]]+Calculations[[#This Row],[C2 total]]+Calculations[[#This Row],[C3 total]]+Calculations[[#This Row],[C4 total]]</f>
        <v>0</v>
      </c>
      <c r="AJ317" s="2">
        <f>IFERROR(VLOOKUP(Calculations[[#This Row],[Material (choose from dropdown]],MaterialData[[#Headers],[#Data]],9,FALSE),0)</f>
        <v>0</v>
      </c>
      <c r="AK317" s="4">
        <f>IFERROR(VLOOKUP(Calculations[[#This Row],[Material (choose from dropdown]],MaterialData[[#Headers],[#Data]],10,FALSE),0)</f>
        <v>0</v>
      </c>
      <c r="AL317" s="322">
        <f>IFERROR(Calculations[[#This Row],[Data Quality Score]]*Calculations[[#This Row],[Total Kg]],0)</f>
        <v>0</v>
      </c>
    </row>
    <row r="318" spans="1:38" x14ac:dyDescent="0.3">
      <c r="A318" s="6">
        <f>IFERROR(MaterialsBoQ[[#This Row],[Scope Element]],0)</f>
        <v>0</v>
      </c>
      <c r="B318" t="str">
        <f>IFERROR(MaterialsBoQ[[#This Row],[Material ]],"")</f>
        <v/>
      </c>
      <c r="C318" t="str">
        <f>IFERROR(MaterialsBoQ[[#This Row],[Unit]],"")</f>
        <v/>
      </c>
      <c r="D318" s="322">
        <f>IFERROR(MaterialsBoQ[[#This Row],[Number]],0)</f>
        <v>0</v>
      </c>
      <c r="E318" s="322">
        <f>IFERROR(MaterialsBoQ[[#This Row],[Kg per unit]],0)</f>
        <v>0</v>
      </c>
      <c r="F318" s="322">
        <f>IFERROR(Calculations[[#This Row],[Number]]*Calculations[[#This Row],[Conversion factor]],0)</f>
        <v>0</v>
      </c>
      <c r="G318" s="322">
        <f>IFERROR(VLOOKUP(Calculations[[#This Row],[Material (choose from dropdown]],MaterialData[#All],7,FALSE),0)</f>
        <v>0</v>
      </c>
      <c r="H318" s="322">
        <f>Calculations[[#This Row],[Total Kg]]*Calculations[[#This Row],[Carbon Factor]]</f>
        <v>0</v>
      </c>
      <c r="I318" t="str">
        <f>IFERROR(VLOOKUP(Calculations[[#This Row],[Material (choose from dropdown]],MaterialData[#All],2,FALSE),"")</f>
        <v/>
      </c>
      <c r="J318" s="322">
        <f>IFERROR(((VLOOKUP(Calculations[[#This Row],[TransportSource]],TransportDistance[],2,FALSE)*'Stage assumptions'!$C$11)+VLOOKUP(Calculations[[#This Row],[TransportSource]],TransportDistance[],3,FALSE)*'Stage assumptions'!$C$12)*Calculations[[#This Row],[Total Kg]],0)</f>
        <v>0</v>
      </c>
      <c r="K318">
        <f>IFERROR(VLOOKUP(Calculations[[#This Row],[Material (choose from dropdown]], MaterialData[#All],3, FALSE),0)</f>
        <v>0</v>
      </c>
      <c r="L318" s="322">
        <f>IFERROR(VLOOKUP(Calculations[[#This Row],[A5type]],A5WastageRate[#All],2,FALSE)*Calculations[[#This Row],[A1-3]],0)</f>
        <v>0</v>
      </c>
      <c r="N318">
        <f>IFERROR(ROUNDUP(50/VLOOKUP(Calculations[[#This Row],[Scope Element]],B4referenceServiceLife[[Tier 2 element]:[Default Service Life]],2, FALSE)-1,0),0)</f>
        <v>0</v>
      </c>
      <c r="O318" s="322">
        <f>IFERROR((Calculations[[#This Row],[A1-3]]+Calculations[[#This Row],[A4]]+Calculations[[#This Row],[A5]]+Calculations[[#This Row],[C2 total]]+Calculations[[#This Row],[C3 total]]+Calculations[[#This Row],[C4 total]])*Calculations[[#This Row],[Replacements]],0)</f>
        <v>0</v>
      </c>
      <c r="S318" t="str">
        <f>IFERROR(VLOOKUP(Calculations[[#This Row],[Material (choose from dropdown]],MaterialData[#All],4,FALSE),"")</f>
        <v/>
      </c>
      <c r="T318" s="322" cm="1">
        <f t="array" ref="T318">IFERROR(VLOOKUP(Calculations[[#This Row],[Waste 1]],WasteScenario[#All],2,FALSE)*'Stage assumptions'!$C$225*WasteTransportMethod[Emissions Factor
kgCO2e/kg.km]*Calculations[[#This Row],[Total Kg]],0)</f>
        <v>0</v>
      </c>
      <c r="U318" s="322" cm="1">
        <f t="array" ref="U318">IFERROR(VLOOKUP(Calculations[[#This Row],[Waste 1]],WasteScenario[#All],3,FALSE)*'Stage assumptions'!$C$224*WasteTransportMethod[Emissions Factor
kgCO2e/kg.km]*Calculations[[#This Row],[Total Kg]],0)</f>
        <v>0</v>
      </c>
      <c r="V318" s="322" cm="1">
        <f t="array" ref="V318">IFERROR(VLOOKUP(Calculations[[#This Row],[Waste 1]],WasteScenario[#All],4,FALSE)*'Stage assumptions'!$C$223*WasteTransportMethod[Emissions Factor
kgCO2e/kg.km]*Calculations[[#This Row],[Total Kg]],0)</f>
        <v>0</v>
      </c>
      <c r="W318" s="322" cm="1">
        <f t="array" ref="W318">IFERROR(VLOOKUP(Calculations[[#This Row],[Waste 1]],WasteScenario[#All],5,FALSE)*'Stage assumptions'!$C$226*WasteTransportMethod[Emissions Factor
kgCO2e/kg.km]*Calculations[[#This Row],[Total Kg]],0)</f>
        <v>0</v>
      </c>
      <c r="X318" s="322">
        <f>SUM(Calculations[[#This Row],[C2 Recycle]:[C2 Reuse]])</f>
        <v>0</v>
      </c>
      <c r="Y318" t="str">
        <f>IFERROR(VLOOKUP(Calculations[[#This Row],[Material (choose from dropdown]],MaterialData[#All],5,FALSE),"")</f>
        <v/>
      </c>
      <c r="Z318" s="322">
        <f>IFERROR(((VLOOKUP(Calculations[[#This Row],[Waste type 2]],WasteDisposalEmissions[#All],2,FALSE))*Calculations[[#This Row],[Total Kg]])*VLOOKUP(Calculations[[#This Row],[Waste 1]],WasteScenario[#All],2,FALSE),0)</f>
        <v>0</v>
      </c>
      <c r="AA318" s="322">
        <f>IFERROR((VLOOKUP(Calculations[[#This Row],[Waste type 2]],WasteDisposalEmissions[#All],3,FALSE))*Calculations[[#This Row],[Total Kg]]*VLOOKUP(Calculations[[#This Row],[Waste 1]],WasteScenario[#All],3,FALSE),0)</f>
        <v>0</v>
      </c>
      <c r="AB318" s="322">
        <f>SUM(Calculations[[#This Row],[C3 recyc]:[C3 incin]])</f>
        <v>0</v>
      </c>
      <c r="AC318" s="334">
        <f>IFERROR((VLOOKUP(Calculations[[#This Row],[Waste type 2]],WasteLandfillEmissions[#All],2,FALSE))*Calculations[[#This Row],[Total Kg]]*VLOOKUP(Calculations[[#This Row],[Waste 1]],WasteScenario[#All],4,FALSE),0)</f>
        <v>0</v>
      </c>
      <c r="AD318" s="322">
        <f>IFERROR((VLOOKUP(Calculations[[#This Row],[Waste type 2]],WasteLandfillEmissions[#All],3,FALSE))*Calculations[[#This Row],[Total Kg]]*VLOOKUP(Calculations[[#This Row],[Waste 1]],WasteScenario[#All],4,FALSE),0)</f>
        <v>0</v>
      </c>
      <c r="AE318" s="322">
        <f>SUM(Calculations[[#This Row],[C4 landfill]:[C4 re-use]])</f>
        <v>0</v>
      </c>
      <c r="AF318" s="322">
        <f>IFERROR(VLOOKUP(Calculations[[#This Row],[Material (choose from dropdown]],MaterialData[#All],8,FALSE),0)</f>
        <v>0</v>
      </c>
      <c r="AG318" s="322">
        <f>IFERROR(Calculations[[#This Row],[Total Kg]]*Calculations[[#This Row],[Seq factor]],0)</f>
        <v>0</v>
      </c>
      <c r="AI318" s="322">
        <f>Calculations[[#This Row],[A1-3]]+Calculations[[#This Row],[A4]]+Calculations[[#This Row],[A5]]+Calculations[[#This Row],[B4]]+Calculations[[#This Row],[C2 total]]+Calculations[[#This Row],[C3 total]]+Calculations[[#This Row],[C4 total]]</f>
        <v>0</v>
      </c>
      <c r="AJ318" s="2">
        <f>IFERROR(VLOOKUP(Calculations[[#This Row],[Material (choose from dropdown]],MaterialData[[#Headers],[#Data]],9,FALSE),0)</f>
        <v>0</v>
      </c>
      <c r="AK318" s="4">
        <f>IFERROR(VLOOKUP(Calculations[[#This Row],[Material (choose from dropdown]],MaterialData[[#Headers],[#Data]],10,FALSE),0)</f>
        <v>0</v>
      </c>
      <c r="AL318" s="322">
        <f>IFERROR(Calculations[[#This Row],[Data Quality Score]]*Calculations[[#This Row],[Total Kg]],0)</f>
        <v>0</v>
      </c>
    </row>
    <row r="319" spans="1:38" x14ac:dyDescent="0.3">
      <c r="A319" s="6">
        <f>IFERROR(MaterialsBoQ[[#This Row],[Scope Element]],0)</f>
        <v>0</v>
      </c>
      <c r="B319" t="str">
        <f>IFERROR(MaterialsBoQ[[#This Row],[Material ]],"")</f>
        <v/>
      </c>
      <c r="C319" t="str">
        <f>IFERROR(MaterialsBoQ[[#This Row],[Unit]],"")</f>
        <v/>
      </c>
      <c r="D319" s="322">
        <f>IFERROR(MaterialsBoQ[[#This Row],[Number]],0)</f>
        <v>0</v>
      </c>
      <c r="E319" s="322">
        <f>IFERROR(MaterialsBoQ[[#This Row],[Kg per unit]],0)</f>
        <v>0</v>
      </c>
      <c r="F319" s="322">
        <f>IFERROR(Calculations[[#This Row],[Number]]*Calculations[[#This Row],[Conversion factor]],0)</f>
        <v>0</v>
      </c>
      <c r="G319" s="322">
        <f>IFERROR(VLOOKUP(Calculations[[#This Row],[Material (choose from dropdown]],MaterialData[#All],7,FALSE),0)</f>
        <v>0</v>
      </c>
      <c r="H319" s="322">
        <f>Calculations[[#This Row],[Total Kg]]*Calculations[[#This Row],[Carbon Factor]]</f>
        <v>0</v>
      </c>
      <c r="I319" t="str">
        <f>IFERROR(VLOOKUP(Calculations[[#This Row],[Material (choose from dropdown]],MaterialData[#All],2,FALSE),"")</f>
        <v/>
      </c>
      <c r="J319" s="322">
        <f>IFERROR(((VLOOKUP(Calculations[[#This Row],[TransportSource]],TransportDistance[],2,FALSE)*'Stage assumptions'!$C$11)+VLOOKUP(Calculations[[#This Row],[TransportSource]],TransportDistance[],3,FALSE)*'Stage assumptions'!$C$12)*Calculations[[#This Row],[Total Kg]],0)</f>
        <v>0</v>
      </c>
      <c r="K319">
        <f>IFERROR(VLOOKUP(Calculations[[#This Row],[Material (choose from dropdown]], MaterialData[#All],3, FALSE),0)</f>
        <v>0</v>
      </c>
      <c r="L319" s="322">
        <f>IFERROR(VLOOKUP(Calculations[[#This Row],[A5type]],A5WastageRate[#All],2,FALSE)*Calculations[[#This Row],[A1-3]],0)</f>
        <v>0</v>
      </c>
      <c r="N319">
        <f>IFERROR(ROUNDUP(50/VLOOKUP(Calculations[[#This Row],[Scope Element]],B4referenceServiceLife[[Tier 2 element]:[Default Service Life]],2, FALSE)-1,0),0)</f>
        <v>0</v>
      </c>
      <c r="O319" s="322">
        <f>IFERROR((Calculations[[#This Row],[A1-3]]+Calculations[[#This Row],[A4]]+Calculations[[#This Row],[A5]]+Calculations[[#This Row],[C2 total]]+Calculations[[#This Row],[C3 total]]+Calculations[[#This Row],[C4 total]])*Calculations[[#This Row],[Replacements]],0)</f>
        <v>0</v>
      </c>
      <c r="S319" t="str">
        <f>IFERROR(VLOOKUP(Calculations[[#This Row],[Material (choose from dropdown]],MaterialData[#All],4,FALSE),"")</f>
        <v/>
      </c>
      <c r="T319" s="322" cm="1">
        <f t="array" ref="T319">IFERROR(VLOOKUP(Calculations[[#This Row],[Waste 1]],WasteScenario[#All],2,FALSE)*'Stage assumptions'!$C$225*WasteTransportMethod[Emissions Factor
kgCO2e/kg.km]*Calculations[[#This Row],[Total Kg]],0)</f>
        <v>0</v>
      </c>
      <c r="U319" s="322" cm="1">
        <f t="array" ref="U319">IFERROR(VLOOKUP(Calculations[[#This Row],[Waste 1]],WasteScenario[#All],3,FALSE)*'Stage assumptions'!$C$224*WasteTransportMethod[Emissions Factor
kgCO2e/kg.km]*Calculations[[#This Row],[Total Kg]],0)</f>
        <v>0</v>
      </c>
      <c r="V319" s="322" cm="1">
        <f t="array" ref="V319">IFERROR(VLOOKUP(Calculations[[#This Row],[Waste 1]],WasteScenario[#All],4,FALSE)*'Stage assumptions'!$C$223*WasteTransportMethod[Emissions Factor
kgCO2e/kg.km]*Calculations[[#This Row],[Total Kg]],0)</f>
        <v>0</v>
      </c>
      <c r="W319" s="322" cm="1">
        <f t="array" ref="W319">IFERROR(VLOOKUP(Calculations[[#This Row],[Waste 1]],WasteScenario[#All],5,FALSE)*'Stage assumptions'!$C$226*WasteTransportMethod[Emissions Factor
kgCO2e/kg.km]*Calculations[[#This Row],[Total Kg]],0)</f>
        <v>0</v>
      </c>
      <c r="X319" s="322">
        <f>SUM(Calculations[[#This Row],[C2 Recycle]:[C2 Reuse]])</f>
        <v>0</v>
      </c>
      <c r="Y319" t="str">
        <f>IFERROR(VLOOKUP(Calculations[[#This Row],[Material (choose from dropdown]],MaterialData[#All],5,FALSE),"")</f>
        <v/>
      </c>
      <c r="Z319" s="322">
        <f>IFERROR(((VLOOKUP(Calculations[[#This Row],[Waste type 2]],WasteDisposalEmissions[#All],2,FALSE))*Calculations[[#This Row],[Total Kg]])*VLOOKUP(Calculations[[#This Row],[Waste 1]],WasteScenario[#All],2,FALSE),0)</f>
        <v>0</v>
      </c>
      <c r="AA319" s="322">
        <f>IFERROR((VLOOKUP(Calculations[[#This Row],[Waste type 2]],WasteDisposalEmissions[#All],3,FALSE))*Calculations[[#This Row],[Total Kg]]*VLOOKUP(Calculations[[#This Row],[Waste 1]],WasteScenario[#All],3,FALSE),0)</f>
        <v>0</v>
      </c>
      <c r="AB319" s="322">
        <f>SUM(Calculations[[#This Row],[C3 recyc]:[C3 incin]])</f>
        <v>0</v>
      </c>
      <c r="AC319" s="334">
        <f>IFERROR((VLOOKUP(Calculations[[#This Row],[Waste type 2]],WasteLandfillEmissions[#All],2,FALSE))*Calculations[[#This Row],[Total Kg]]*VLOOKUP(Calculations[[#This Row],[Waste 1]],WasteScenario[#All],4,FALSE),0)</f>
        <v>0</v>
      </c>
      <c r="AD319" s="322">
        <f>IFERROR((VLOOKUP(Calculations[[#This Row],[Waste type 2]],WasteLandfillEmissions[#All],3,FALSE))*Calculations[[#This Row],[Total Kg]]*VLOOKUP(Calculations[[#This Row],[Waste 1]],WasteScenario[#All],4,FALSE),0)</f>
        <v>0</v>
      </c>
      <c r="AE319" s="322">
        <f>SUM(Calculations[[#This Row],[C4 landfill]:[C4 re-use]])</f>
        <v>0</v>
      </c>
      <c r="AF319" s="322">
        <f>IFERROR(VLOOKUP(Calculations[[#This Row],[Material (choose from dropdown]],MaterialData[#All],8,FALSE),0)</f>
        <v>0</v>
      </c>
      <c r="AG319" s="322">
        <f>IFERROR(Calculations[[#This Row],[Total Kg]]*Calculations[[#This Row],[Seq factor]],0)</f>
        <v>0</v>
      </c>
      <c r="AI319" s="322">
        <f>Calculations[[#This Row],[A1-3]]+Calculations[[#This Row],[A4]]+Calculations[[#This Row],[A5]]+Calculations[[#This Row],[B4]]+Calculations[[#This Row],[C2 total]]+Calculations[[#This Row],[C3 total]]+Calculations[[#This Row],[C4 total]]</f>
        <v>0</v>
      </c>
      <c r="AJ319" s="2">
        <f>IFERROR(VLOOKUP(Calculations[[#This Row],[Material (choose from dropdown]],MaterialData[[#Headers],[#Data]],9,FALSE),0)</f>
        <v>0</v>
      </c>
      <c r="AK319" s="4">
        <f>IFERROR(VLOOKUP(Calculations[[#This Row],[Material (choose from dropdown]],MaterialData[[#Headers],[#Data]],10,FALSE),0)</f>
        <v>0</v>
      </c>
      <c r="AL319" s="322">
        <f>IFERROR(Calculations[[#This Row],[Data Quality Score]]*Calculations[[#This Row],[Total Kg]],0)</f>
        <v>0</v>
      </c>
    </row>
    <row r="320" spans="1:38" x14ac:dyDescent="0.3">
      <c r="A320" s="6">
        <f>IFERROR(MaterialsBoQ[[#This Row],[Scope Element]],0)</f>
        <v>0</v>
      </c>
      <c r="B320" t="str">
        <f>IFERROR(MaterialsBoQ[[#This Row],[Material ]],"")</f>
        <v/>
      </c>
      <c r="C320" t="str">
        <f>IFERROR(MaterialsBoQ[[#This Row],[Unit]],"")</f>
        <v/>
      </c>
      <c r="D320" s="322">
        <f>IFERROR(MaterialsBoQ[[#This Row],[Number]],0)</f>
        <v>0</v>
      </c>
      <c r="E320" s="322">
        <f>IFERROR(MaterialsBoQ[[#This Row],[Kg per unit]],0)</f>
        <v>0</v>
      </c>
      <c r="F320" s="322">
        <f>IFERROR(Calculations[[#This Row],[Number]]*Calculations[[#This Row],[Conversion factor]],0)</f>
        <v>0</v>
      </c>
      <c r="G320" s="322">
        <f>IFERROR(VLOOKUP(Calculations[[#This Row],[Material (choose from dropdown]],MaterialData[#All],7,FALSE),0)</f>
        <v>0</v>
      </c>
      <c r="H320" s="322">
        <f>Calculations[[#This Row],[Total Kg]]*Calculations[[#This Row],[Carbon Factor]]</f>
        <v>0</v>
      </c>
      <c r="I320" t="str">
        <f>IFERROR(VLOOKUP(Calculations[[#This Row],[Material (choose from dropdown]],MaterialData[#All],2,FALSE),"")</f>
        <v/>
      </c>
      <c r="J320" s="322">
        <f>IFERROR(((VLOOKUP(Calculations[[#This Row],[TransportSource]],TransportDistance[],2,FALSE)*'Stage assumptions'!$C$11)+VLOOKUP(Calculations[[#This Row],[TransportSource]],TransportDistance[],3,FALSE)*'Stage assumptions'!$C$12)*Calculations[[#This Row],[Total Kg]],0)</f>
        <v>0</v>
      </c>
      <c r="K320">
        <f>IFERROR(VLOOKUP(Calculations[[#This Row],[Material (choose from dropdown]], MaterialData[#All],3, FALSE),0)</f>
        <v>0</v>
      </c>
      <c r="L320" s="322">
        <f>IFERROR(VLOOKUP(Calculations[[#This Row],[A5type]],A5WastageRate[#All],2,FALSE)*Calculations[[#This Row],[A1-3]],0)</f>
        <v>0</v>
      </c>
      <c r="N320">
        <f>IFERROR(ROUNDUP(50/VLOOKUP(Calculations[[#This Row],[Scope Element]],B4referenceServiceLife[[Tier 2 element]:[Default Service Life]],2, FALSE)-1,0),0)</f>
        <v>0</v>
      </c>
      <c r="O320" s="322">
        <f>IFERROR((Calculations[[#This Row],[A1-3]]+Calculations[[#This Row],[A4]]+Calculations[[#This Row],[A5]]+Calculations[[#This Row],[C2 total]]+Calculations[[#This Row],[C3 total]]+Calculations[[#This Row],[C4 total]])*Calculations[[#This Row],[Replacements]],0)</f>
        <v>0</v>
      </c>
      <c r="S320" t="str">
        <f>IFERROR(VLOOKUP(Calculations[[#This Row],[Material (choose from dropdown]],MaterialData[#All],4,FALSE),"")</f>
        <v/>
      </c>
      <c r="T320" s="322" cm="1">
        <f t="array" ref="T320">IFERROR(VLOOKUP(Calculations[[#This Row],[Waste 1]],WasteScenario[#All],2,FALSE)*'Stage assumptions'!$C$225*WasteTransportMethod[Emissions Factor
kgCO2e/kg.km]*Calculations[[#This Row],[Total Kg]],0)</f>
        <v>0</v>
      </c>
      <c r="U320" s="322" cm="1">
        <f t="array" ref="U320">IFERROR(VLOOKUP(Calculations[[#This Row],[Waste 1]],WasteScenario[#All],3,FALSE)*'Stage assumptions'!$C$224*WasteTransportMethod[Emissions Factor
kgCO2e/kg.km]*Calculations[[#This Row],[Total Kg]],0)</f>
        <v>0</v>
      </c>
      <c r="V320" s="322" cm="1">
        <f t="array" ref="V320">IFERROR(VLOOKUP(Calculations[[#This Row],[Waste 1]],WasteScenario[#All],4,FALSE)*'Stage assumptions'!$C$223*WasteTransportMethod[Emissions Factor
kgCO2e/kg.km]*Calculations[[#This Row],[Total Kg]],0)</f>
        <v>0</v>
      </c>
      <c r="W320" s="322" cm="1">
        <f t="array" ref="W320">IFERROR(VLOOKUP(Calculations[[#This Row],[Waste 1]],WasteScenario[#All],5,FALSE)*'Stage assumptions'!$C$226*WasteTransportMethod[Emissions Factor
kgCO2e/kg.km]*Calculations[[#This Row],[Total Kg]],0)</f>
        <v>0</v>
      </c>
      <c r="X320" s="322">
        <f>SUM(Calculations[[#This Row],[C2 Recycle]:[C2 Reuse]])</f>
        <v>0</v>
      </c>
      <c r="Y320" t="str">
        <f>IFERROR(VLOOKUP(Calculations[[#This Row],[Material (choose from dropdown]],MaterialData[#All],5,FALSE),"")</f>
        <v/>
      </c>
      <c r="Z320" s="322">
        <f>IFERROR(((VLOOKUP(Calculations[[#This Row],[Waste type 2]],WasteDisposalEmissions[#All],2,FALSE))*Calculations[[#This Row],[Total Kg]])*VLOOKUP(Calculations[[#This Row],[Waste 1]],WasteScenario[#All],2,FALSE),0)</f>
        <v>0</v>
      </c>
      <c r="AA320" s="322">
        <f>IFERROR((VLOOKUP(Calculations[[#This Row],[Waste type 2]],WasteDisposalEmissions[#All],3,FALSE))*Calculations[[#This Row],[Total Kg]]*VLOOKUP(Calculations[[#This Row],[Waste 1]],WasteScenario[#All],3,FALSE),0)</f>
        <v>0</v>
      </c>
      <c r="AB320" s="322">
        <f>SUM(Calculations[[#This Row],[C3 recyc]:[C3 incin]])</f>
        <v>0</v>
      </c>
      <c r="AC320" s="334">
        <f>IFERROR((VLOOKUP(Calculations[[#This Row],[Waste type 2]],WasteLandfillEmissions[#All],2,FALSE))*Calculations[[#This Row],[Total Kg]]*VLOOKUP(Calculations[[#This Row],[Waste 1]],WasteScenario[#All],4,FALSE),0)</f>
        <v>0</v>
      </c>
      <c r="AD320" s="322">
        <f>IFERROR((VLOOKUP(Calculations[[#This Row],[Waste type 2]],WasteLandfillEmissions[#All],3,FALSE))*Calculations[[#This Row],[Total Kg]]*VLOOKUP(Calculations[[#This Row],[Waste 1]],WasteScenario[#All],4,FALSE),0)</f>
        <v>0</v>
      </c>
      <c r="AE320" s="322">
        <f>SUM(Calculations[[#This Row],[C4 landfill]:[C4 re-use]])</f>
        <v>0</v>
      </c>
      <c r="AF320" s="322">
        <f>IFERROR(VLOOKUP(Calculations[[#This Row],[Material (choose from dropdown]],MaterialData[#All],8,FALSE),0)</f>
        <v>0</v>
      </c>
      <c r="AG320" s="322">
        <f>IFERROR(Calculations[[#This Row],[Total Kg]]*Calculations[[#This Row],[Seq factor]],0)</f>
        <v>0</v>
      </c>
      <c r="AI320" s="322">
        <f>Calculations[[#This Row],[A1-3]]+Calculations[[#This Row],[A4]]+Calculations[[#This Row],[A5]]+Calculations[[#This Row],[B4]]+Calculations[[#This Row],[C2 total]]+Calculations[[#This Row],[C3 total]]+Calculations[[#This Row],[C4 total]]</f>
        <v>0</v>
      </c>
      <c r="AJ320" s="2">
        <f>IFERROR(VLOOKUP(Calculations[[#This Row],[Material (choose from dropdown]],MaterialData[[#Headers],[#Data]],9,FALSE),0)</f>
        <v>0</v>
      </c>
      <c r="AK320" s="4">
        <f>IFERROR(VLOOKUP(Calculations[[#This Row],[Material (choose from dropdown]],MaterialData[[#Headers],[#Data]],10,FALSE),0)</f>
        <v>0</v>
      </c>
      <c r="AL320" s="322">
        <f>IFERROR(Calculations[[#This Row],[Data Quality Score]]*Calculations[[#This Row],[Total Kg]],0)</f>
        <v>0</v>
      </c>
    </row>
    <row r="321" spans="1:38" x14ac:dyDescent="0.3">
      <c r="A321" s="6">
        <f>IFERROR(MaterialsBoQ[[#This Row],[Scope Element]],0)</f>
        <v>0</v>
      </c>
      <c r="B321" t="str">
        <f>IFERROR(MaterialsBoQ[[#This Row],[Material ]],"")</f>
        <v/>
      </c>
      <c r="C321" t="str">
        <f>IFERROR(MaterialsBoQ[[#This Row],[Unit]],"")</f>
        <v/>
      </c>
      <c r="D321" s="322">
        <f>IFERROR(MaterialsBoQ[[#This Row],[Number]],0)</f>
        <v>0</v>
      </c>
      <c r="E321" s="322">
        <f>IFERROR(MaterialsBoQ[[#This Row],[Kg per unit]],0)</f>
        <v>0</v>
      </c>
      <c r="F321" s="322">
        <f>IFERROR(Calculations[[#This Row],[Number]]*Calculations[[#This Row],[Conversion factor]],0)</f>
        <v>0</v>
      </c>
      <c r="G321" s="322">
        <f>IFERROR(VLOOKUP(Calculations[[#This Row],[Material (choose from dropdown]],MaterialData[#All],7,FALSE),0)</f>
        <v>0</v>
      </c>
      <c r="H321" s="322">
        <f>Calculations[[#This Row],[Total Kg]]*Calculations[[#This Row],[Carbon Factor]]</f>
        <v>0</v>
      </c>
      <c r="I321" t="str">
        <f>IFERROR(VLOOKUP(Calculations[[#This Row],[Material (choose from dropdown]],MaterialData[#All],2,FALSE),"")</f>
        <v/>
      </c>
      <c r="J321" s="322">
        <f>IFERROR(((VLOOKUP(Calculations[[#This Row],[TransportSource]],TransportDistance[],2,FALSE)*'Stage assumptions'!$C$11)+VLOOKUP(Calculations[[#This Row],[TransportSource]],TransportDistance[],3,FALSE)*'Stage assumptions'!$C$12)*Calculations[[#This Row],[Total Kg]],0)</f>
        <v>0</v>
      </c>
      <c r="K321">
        <f>IFERROR(VLOOKUP(Calculations[[#This Row],[Material (choose from dropdown]], MaterialData[#All],3, FALSE),0)</f>
        <v>0</v>
      </c>
      <c r="L321" s="322">
        <f>IFERROR(VLOOKUP(Calculations[[#This Row],[A5type]],A5WastageRate[#All],2,FALSE)*Calculations[[#This Row],[A1-3]],0)</f>
        <v>0</v>
      </c>
      <c r="N321">
        <f>IFERROR(ROUNDUP(50/VLOOKUP(Calculations[[#This Row],[Scope Element]],B4referenceServiceLife[[Tier 2 element]:[Default Service Life]],2, FALSE)-1,0),0)</f>
        <v>0</v>
      </c>
      <c r="O321" s="322">
        <f>IFERROR((Calculations[[#This Row],[A1-3]]+Calculations[[#This Row],[A4]]+Calculations[[#This Row],[A5]]+Calculations[[#This Row],[C2 total]]+Calculations[[#This Row],[C3 total]]+Calculations[[#This Row],[C4 total]])*Calculations[[#This Row],[Replacements]],0)</f>
        <v>0</v>
      </c>
      <c r="S321" t="str">
        <f>IFERROR(VLOOKUP(Calculations[[#This Row],[Material (choose from dropdown]],MaterialData[#All],4,FALSE),"")</f>
        <v/>
      </c>
      <c r="T321" s="322" cm="1">
        <f t="array" ref="T321">IFERROR(VLOOKUP(Calculations[[#This Row],[Waste 1]],WasteScenario[#All],2,FALSE)*'Stage assumptions'!$C$225*WasteTransportMethod[Emissions Factor
kgCO2e/kg.km]*Calculations[[#This Row],[Total Kg]],0)</f>
        <v>0</v>
      </c>
      <c r="U321" s="322" cm="1">
        <f t="array" ref="U321">IFERROR(VLOOKUP(Calculations[[#This Row],[Waste 1]],WasteScenario[#All],3,FALSE)*'Stage assumptions'!$C$224*WasteTransportMethod[Emissions Factor
kgCO2e/kg.km]*Calculations[[#This Row],[Total Kg]],0)</f>
        <v>0</v>
      </c>
      <c r="V321" s="322" cm="1">
        <f t="array" ref="V321">IFERROR(VLOOKUP(Calculations[[#This Row],[Waste 1]],WasteScenario[#All],4,FALSE)*'Stage assumptions'!$C$223*WasteTransportMethod[Emissions Factor
kgCO2e/kg.km]*Calculations[[#This Row],[Total Kg]],0)</f>
        <v>0</v>
      </c>
      <c r="W321" s="322" cm="1">
        <f t="array" ref="W321">IFERROR(VLOOKUP(Calculations[[#This Row],[Waste 1]],WasteScenario[#All],5,FALSE)*'Stage assumptions'!$C$226*WasteTransportMethod[Emissions Factor
kgCO2e/kg.km]*Calculations[[#This Row],[Total Kg]],0)</f>
        <v>0</v>
      </c>
      <c r="X321" s="322">
        <f>SUM(Calculations[[#This Row],[C2 Recycle]:[C2 Reuse]])</f>
        <v>0</v>
      </c>
      <c r="Y321" t="str">
        <f>IFERROR(VLOOKUP(Calculations[[#This Row],[Material (choose from dropdown]],MaterialData[#All],5,FALSE),"")</f>
        <v/>
      </c>
      <c r="Z321" s="322">
        <f>IFERROR(((VLOOKUP(Calculations[[#This Row],[Waste type 2]],WasteDisposalEmissions[#All],2,FALSE))*Calculations[[#This Row],[Total Kg]])*VLOOKUP(Calculations[[#This Row],[Waste 1]],WasteScenario[#All],2,FALSE),0)</f>
        <v>0</v>
      </c>
      <c r="AA321" s="322">
        <f>IFERROR((VLOOKUP(Calculations[[#This Row],[Waste type 2]],WasteDisposalEmissions[#All],3,FALSE))*Calculations[[#This Row],[Total Kg]]*VLOOKUP(Calculations[[#This Row],[Waste 1]],WasteScenario[#All],3,FALSE),0)</f>
        <v>0</v>
      </c>
      <c r="AB321" s="322">
        <f>SUM(Calculations[[#This Row],[C3 recyc]:[C3 incin]])</f>
        <v>0</v>
      </c>
      <c r="AC321" s="334">
        <f>IFERROR((VLOOKUP(Calculations[[#This Row],[Waste type 2]],WasteLandfillEmissions[#All],2,FALSE))*Calculations[[#This Row],[Total Kg]]*VLOOKUP(Calculations[[#This Row],[Waste 1]],WasteScenario[#All],4,FALSE),0)</f>
        <v>0</v>
      </c>
      <c r="AD321" s="322">
        <f>IFERROR((VLOOKUP(Calculations[[#This Row],[Waste type 2]],WasteLandfillEmissions[#All],3,FALSE))*Calculations[[#This Row],[Total Kg]]*VLOOKUP(Calculations[[#This Row],[Waste 1]],WasteScenario[#All],4,FALSE),0)</f>
        <v>0</v>
      </c>
      <c r="AE321" s="322">
        <f>SUM(Calculations[[#This Row],[C4 landfill]:[C4 re-use]])</f>
        <v>0</v>
      </c>
      <c r="AF321" s="322">
        <f>IFERROR(VLOOKUP(Calculations[[#This Row],[Material (choose from dropdown]],MaterialData[#All],8,FALSE),0)</f>
        <v>0</v>
      </c>
      <c r="AG321" s="322">
        <f>IFERROR(Calculations[[#This Row],[Total Kg]]*Calculations[[#This Row],[Seq factor]],0)</f>
        <v>0</v>
      </c>
      <c r="AI321" s="322">
        <f>Calculations[[#This Row],[A1-3]]+Calculations[[#This Row],[A4]]+Calculations[[#This Row],[A5]]+Calculations[[#This Row],[B4]]+Calculations[[#This Row],[C2 total]]+Calculations[[#This Row],[C3 total]]+Calculations[[#This Row],[C4 total]]</f>
        <v>0</v>
      </c>
      <c r="AJ321" s="2">
        <f>IFERROR(VLOOKUP(Calculations[[#This Row],[Material (choose from dropdown]],MaterialData[[#Headers],[#Data]],9,FALSE),0)</f>
        <v>0</v>
      </c>
      <c r="AK321" s="4">
        <f>IFERROR(VLOOKUP(Calculations[[#This Row],[Material (choose from dropdown]],MaterialData[[#Headers],[#Data]],10,FALSE),0)</f>
        <v>0</v>
      </c>
      <c r="AL321" s="322">
        <f>IFERROR(Calculations[[#This Row],[Data Quality Score]]*Calculations[[#This Row],[Total Kg]],0)</f>
        <v>0</v>
      </c>
    </row>
    <row r="322" spans="1:38" x14ac:dyDescent="0.3">
      <c r="A322" s="6">
        <f>IFERROR(MaterialsBoQ[[#This Row],[Scope Element]],0)</f>
        <v>0</v>
      </c>
      <c r="B322" t="str">
        <f>IFERROR(MaterialsBoQ[[#This Row],[Material ]],"")</f>
        <v/>
      </c>
      <c r="C322" t="str">
        <f>IFERROR(MaterialsBoQ[[#This Row],[Unit]],"")</f>
        <v/>
      </c>
      <c r="D322" s="322">
        <f>IFERROR(MaterialsBoQ[[#This Row],[Number]],0)</f>
        <v>0</v>
      </c>
      <c r="E322" s="322">
        <f>IFERROR(MaterialsBoQ[[#This Row],[Kg per unit]],0)</f>
        <v>0</v>
      </c>
      <c r="F322" s="322">
        <f>IFERROR(Calculations[[#This Row],[Number]]*Calculations[[#This Row],[Conversion factor]],0)</f>
        <v>0</v>
      </c>
      <c r="G322" s="322">
        <f>IFERROR(VLOOKUP(Calculations[[#This Row],[Material (choose from dropdown]],MaterialData[#All],7,FALSE),0)</f>
        <v>0</v>
      </c>
      <c r="H322" s="322">
        <f>Calculations[[#This Row],[Total Kg]]*Calculations[[#This Row],[Carbon Factor]]</f>
        <v>0</v>
      </c>
      <c r="I322" t="str">
        <f>IFERROR(VLOOKUP(Calculations[[#This Row],[Material (choose from dropdown]],MaterialData[#All],2,FALSE),"")</f>
        <v/>
      </c>
      <c r="J322" s="322">
        <f>IFERROR(((VLOOKUP(Calculations[[#This Row],[TransportSource]],TransportDistance[],2,FALSE)*'Stage assumptions'!$C$11)+VLOOKUP(Calculations[[#This Row],[TransportSource]],TransportDistance[],3,FALSE)*'Stage assumptions'!$C$12)*Calculations[[#This Row],[Total Kg]],0)</f>
        <v>0</v>
      </c>
      <c r="K322">
        <f>IFERROR(VLOOKUP(Calculations[[#This Row],[Material (choose from dropdown]], MaterialData[#All],3, FALSE),0)</f>
        <v>0</v>
      </c>
      <c r="L322" s="322">
        <f>IFERROR(VLOOKUP(Calculations[[#This Row],[A5type]],A5WastageRate[#All],2,FALSE)*Calculations[[#This Row],[A1-3]],0)</f>
        <v>0</v>
      </c>
      <c r="N322">
        <f>IFERROR(ROUNDUP(50/VLOOKUP(Calculations[[#This Row],[Scope Element]],B4referenceServiceLife[[Tier 2 element]:[Default Service Life]],2, FALSE)-1,0),0)</f>
        <v>0</v>
      </c>
      <c r="O322" s="322">
        <f>IFERROR((Calculations[[#This Row],[A1-3]]+Calculations[[#This Row],[A4]]+Calculations[[#This Row],[A5]]+Calculations[[#This Row],[C2 total]]+Calculations[[#This Row],[C3 total]]+Calculations[[#This Row],[C4 total]])*Calculations[[#This Row],[Replacements]],0)</f>
        <v>0</v>
      </c>
      <c r="S322" t="str">
        <f>IFERROR(VLOOKUP(Calculations[[#This Row],[Material (choose from dropdown]],MaterialData[#All],4,FALSE),"")</f>
        <v/>
      </c>
      <c r="T322" s="322" cm="1">
        <f t="array" ref="T322">IFERROR(VLOOKUP(Calculations[[#This Row],[Waste 1]],WasteScenario[#All],2,FALSE)*'Stage assumptions'!$C$225*WasteTransportMethod[Emissions Factor
kgCO2e/kg.km]*Calculations[[#This Row],[Total Kg]],0)</f>
        <v>0</v>
      </c>
      <c r="U322" s="322" cm="1">
        <f t="array" ref="U322">IFERROR(VLOOKUP(Calculations[[#This Row],[Waste 1]],WasteScenario[#All],3,FALSE)*'Stage assumptions'!$C$224*WasteTransportMethod[Emissions Factor
kgCO2e/kg.km]*Calculations[[#This Row],[Total Kg]],0)</f>
        <v>0</v>
      </c>
      <c r="V322" s="322" cm="1">
        <f t="array" ref="V322">IFERROR(VLOOKUP(Calculations[[#This Row],[Waste 1]],WasteScenario[#All],4,FALSE)*'Stage assumptions'!$C$223*WasteTransportMethod[Emissions Factor
kgCO2e/kg.km]*Calculations[[#This Row],[Total Kg]],0)</f>
        <v>0</v>
      </c>
      <c r="W322" s="322" cm="1">
        <f t="array" ref="W322">IFERROR(VLOOKUP(Calculations[[#This Row],[Waste 1]],WasteScenario[#All],5,FALSE)*'Stage assumptions'!$C$226*WasteTransportMethod[Emissions Factor
kgCO2e/kg.km]*Calculations[[#This Row],[Total Kg]],0)</f>
        <v>0</v>
      </c>
      <c r="X322" s="322">
        <f>SUM(Calculations[[#This Row],[C2 Recycle]:[C2 Reuse]])</f>
        <v>0</v>
      </c>
      <c r="Y322" t="str">
        <f>IFERROR(VLOOKUP(Calculations[[#This Row],[Material (choose from dropdown]],MaterialData[#All],5,FALSE),"")</f>
        <v/>
      </c>
      <c r="Z322" s="322">
        <f>IFERROR(((VLOOKUP(Calculations[[#This Row],[Waste type 2]],WasteDisposalEmissions[#All],2,FALSE))*Calculations[[#This Row],[Total Kg]])*VLOOKUP(Calculations[[#This Row],[Waste 1]],WasteScenario[#All],2,FALSE),0)</f>
        <v>0</v>
      </c>
      <c r="AA322" s="322">
        <f>IFERROR((VLOOKUP(Calculations[[#This Row],[Waste type 2]],WasteDisposalEmissions[#All],3,FALSE))*Calculations[[#This Row],[Total Kg]]*VLOOKUP(Calculations[[#This Row],[Waste 1]],WasteScenario[#All],3,FALSE),0)</f>
        <v>0</v>
      </c>
      <c r="AB322" s="322">
        <f>SUM(Calculations[[#This Row],[C3 recyc]:[C3 incin]])</f>
        <v>0</v>
      </c>
      <c r="AC322" s="334">
        <f>IFERROR((VLOOKUP(Calculations[[#This Row],[Waste type 2]],WasteLandfillEmissions[#All],2,FALSE))*Calculations[[#This Row],[Total Kg]]*VLOOKUP(Calculations[[#This Row],[Waste 1]],WasteScenario[#All],4,FALSE),0)</f>
        <v>0</v>
      </c>
      <c r="AD322" s="322">
        <f>IFERROR((VLOOKUP(Calculations[[#This Row],[Waste type 2]],WasteLandfillEmissions[#All],3,FALSE))*Calculations[[#This Row],[Total Kg]]*VLOOKUP(Calculations[[#This Row],[Waste 1]],WasteScenario[#All],4,FALSE),0)</f>
        <v>0</v>
      </c>
      <c r="AE322" s="322">
        <f>SUM(Calculations[[#This Row],[C4 landfill]:[C4 re-use]])</f>
        <v>0</v>
      </c>
      <c r="AF322" s="322">
        <f>IFERROR(VLOOKUP(Calculations[[#This Row],[Material (choose from dropdown]],MaterialData[#All],8,FALSE),0)</f>
        <v>0</v>
      </c>
      <c r="AG322" s="322">
        <f>IFERROR(Calculations[[#This Row],[Total Kg]]*Calculations[[#This Row],[Seq factor]],0)</f>
        <v>0</v>
      </c>
      <c r="AI322" s="322">
        <f>Calculations[[#This Row],[A1-3]]+Calculations[[#This Row],[A4]]+Calculations[[#This Row],[A5]]+Calculations[[#This Row],[B4]]+Calculations[[#This Row],[C2 total]]+Calculations[[#This Row],[C3 total]]+Calculations[[#This Row],[C4 total]]</f>
        <v>0</v>
      </c>
      <c r="AJ322" s="2">
        <f>IFERROR(VLOOKUP(Calculations[[#This Row],[Material (choose from dropdown]],MaterialData[[#Headers],[#Data]],9,FALSE),0)</f>
        <v>0</v>
      </c>
      <c r="AK322" s="4">
        <f>IFERROR(VLOOKUP(Calculations[[#This Row],[Material (choose from dropdown]],MaterialData[[#Headers],[#Data]],10,FALSE),0)</f>
        <v>0</v>
      </c>
      <c r="AL322" s="322">
        <f>IFERROR(Calculations[[#This Row],[Data Quality Score]]*Calculations[[#This Row],[Total Kg]],0)</f>
        <v>0</v>
      </c>
    </row>
    <row r="323" spans="1:38" x14ac:dyDescent="0.3">
      <c r="A323" s="6">
        <f>IFERROR(MaterialsBoQ[[#This Row],[Scope Element]],0)</f>
        <v>0</v>
      </c>
      <c r="B323" t="str">
        <f>IFERROR(MaterialsBoQ[[#This Row],[Material ]],"")</f>
        <v/>
      </c>
      <c r="C323" t="str">
        <f>IFERROR(MaterialsBoQ[[#This Row],[Unit]],"")</f>
        <v/>
      </c>
      <c r="D323" s="322">
        <f>IFERROR(MaterialsBoQ[[#This Row],[Number]],0)</f>
        <v>0</v>
      </c>
      <c r="E323" s="322">
        <f>IFERROR(MaterialsBoQ[[#This Row],[Kg per unit]],0)</f>
        <v>0</v>
      </c>
      <c r="F323" s="322">
        <f>IFERROR(Calculations[[#This Row],[Number]]*Calculations[[#This Row],[Conversion factor]],0)</f>
        <v>0</v>
      </c>
      <c r="G323" s="322">
        <f>IFERROR(VLOOKUP(Calculations[[#This Row],[Material (choose from dropdown]],MaterialData[#All],7,FALSE),0)</f>
        <v>0</v>
      </c>
      <c r="H323" s="322">
        <f>Calculations[[#This Row],[Total Kg]]*Calculations[[#This Row],[Carbon Factor]]</f>
        <v>0</v>
      </c>
      <c r="I323" t="str">
        <f>IFERROR(VLOOKUP(Calculations[[#This Row],[Material (choose from dropdown]],MaterialData[#All],2,FALSE),"")</f>
        <v/>
      </c>
      <c r="J323" s="322">
        <f>IFERROR(((VLOOKUP(Calculations[[#This Row],[TransportSource]],TransportDistance[],2,FALSE)*'Stage assumptions'!$C$11)+VLOOKUP(Calculations[[#This Row],[TransportSource]],TransportDistance[],3,FALSE)*'Stage assumptions'!$C$12)*Calculations[[#This Row],[Total Kg]],0)</f>
        <v>0</v>
      </c>
      <c r="K323">
        <f>IFERROR(VLOOKUP(Calculations[[#This Row],[Material (choose from dropdown]], MaterialData[#All],3, FALSE),0)</f>
        <v>0</v>
      </c>
      <c r="L323" s="322">
        <f>IFERROR(VLOOKUP(Calculations[[#This Row],[A5type]],A5WastageRate[#All],2,FALSE)*Calculations[[#This Row],[A1-3]],0)</f>
        <v>0</v>
      </c>
      <c r="N323">
        <f>IFERROR(ROUNDUP(50/VLOOKUP(Calculations[[#This Row],[Scope Element]],B4referenceServiceLife[[Tier 2 element]:[Default Service Life]],2, FALSE)-1,0),0)</f>
        <v>0</v>
      </c>
      <c r="O323" s="322">
        <f>IFERROR((Calculations[[#This Row],[A1-3]]+Calculations[[#This Row],[A4]]+Calculations[[#This Row],[A5]]+Calculations[[#This Row],[C2 total]]+Calculations[[#This Row],[C3 total]]+Calculations[[#This Row],[C4 total]])*Calculations[[#This Row],[Replacements]],0)</f>
        <v>0</v>
      </c>
      <c r="S323" t="str">
        <f>IFERROR(VLOOKUP(Calculations[[#This Row],[Material (choose from dropdown]],MaterialData[#All],4,FALSE),"")</f>
        <v/>
      </c>
      <c r="T323" s="322" cm="1">
        <f t="array" ref="T323">IFERROR(VLOOKUP(Calculations[[#This Row],[Waste 1]],WasteScenario[#All],2,FALSE)*'Stage assumptions'!$C$225*WasteTransportMethod[Emissions Factor
kgCO2e/kg.km]*Calculations[[#This Row],[Total Kg]],0)</f>
        <v>0</v>
      </c>
      <c r="U323" s="322" cm="1">
        <f t="array" ref="U323">IFERROR(VLOOKUP(Calculations[[#This Row],[Waste 1]],WasteScenario[#All],3,FALSE)*'Stage assumptions'!$C$224*WasteTransportMethod[Emissions Factor
kgCO2e/kg.km]*Calculations[[#This Row],[Total Kg]],0)</f>
        <v>0</v>
      </c>
      <c r="V323" s="322" cm="1">
        <f t="array" ref="V323">IFERROR(VLOOKUP(Calculations[[#This Row],[Waste 1]],WasteScenario[#All],4,FALSE)*'Stage assumptions'!$C$223*WasteTransportMethod[Emissions Factor
kgCO2e/kg.km]*Calculations[[#This Row],[Total Kg]],0)</f>
        <v>0</v>
      </c>
      <c r="W323" s="322" cm="1">
        <f t="array" ref="W323">IFERROR(VLOOKUP(Calculations[[#This Row],[Waste 1]],WasteScenario[#All],5,FALSE)*'Stage assumptions'!$C$226*WasteTransportMethod[Emissions Factor
kgCO2e/kg.km]*Calculations[[#This Row],[Total Kg]],0)</f>
        <v>0</v>
      </c>
      <c r="X323" s="322">
        <f>SUM(Calculations[[#This Row],[C2 Recycle]:[C2 Reuse]])</f>
        <v>0</v>
      </c>
      <c r="Y323" t="str">
        <f>IFERROR(VLOOKUP(Calculations[[#This Row],[Material (choose from dropdown]],MaterialData[#All],5,FALSE),"")</f>
        <v/>
      </c>
      <c r="Z323" s="322">
        <f>IFERROR(((VLOOKUP(Calculations[[#This Row],[Waste type 2]],WasteDisposalEmissions[#All],2,FALSE))*Calculations[[#This Row],[Total Kg]])*VLOOKUP(Calculations[[#This Row],[Waste 1]],WasteScenario[#All],2,FALSE),0)</f>
        <v>0</v>
      </c>
      <c r="AA323" s="322">
        <f>IFERROR((VLOOKUP(Calculations[[#This Row],[Waste type 2]],WasteDisposalEmissions[#All],3,FALSE))*Calculations[[#This Row],[Total Kg]]*VLOOKUP(Calculations[[#This Row],[Waste 1]],WasteScenario[#All],3,FALSE),0)</f>
        <v>0</v>
      </c>
      <c r="AB323" s="322">
        <f>SUM(Calculations[[#This Row],[C3 recyc]:[C3 incin]])</f>
        <v>0</v>
      </c>
      <c r="AC323" s="334">
        <f>IFERROR((VLOOKUP(Calculations[[#This Row],[Waste type 2]],WasteLandfillEmissions[#All],2,FALSE))*Calculations[[#This Row],[Total Kg]]*VLOOKUP(Calculations[[#This Row],[Waste 1]],WasteScenario[#All],4,FALSE),0)</f>
        <v>0</v>
      </c>
      <c r="AD323" s="322">
        <f>IFERROR((VLOOKUP(Calculations[[#This Row],[Waste type 2]],WasteLandfillEmissions[#All],3,FALSE))*Calculations[[#This Row],[Total Kg]]*VLOOKUP(Calculations[[#This Row],[Waste 1]],WasteScenario[#All],4,FALSE),0)</f>
        <v>0</v>
      </c>
      <c r="AE323" s="322">
        <f>SUM(Calculations[[#This Row],[C4 landfill]:[C4 re-use]])</f>
        <v>0</v>
      </c>
      <c r="AF323" s="322">
        <f>IFERROR(VLOOKUP(Calculations[[#This Row],[Material (choose from dropdown]],MaterialData[#All],8,FALSE),0)</f>
        <v>0</v>
      </c>
      <c r="AG323" s="322">
        <f>IFERROR(Calculations[[#This Row],[Total Kg]]*Calculations[[#This Row],[Seq factor]],0)</f>
        <v>0</v>
      </c>
      <c r="AI323" s="322">
        <f>Calculations[[#This Row],[A1-3]]+Calculations[[#This Row],[A4]]+Calculations[[#This Row],[A5]]+Calculations[[#This Row],[B4]]+Calculations[[#This Row],[C2 total]]+Calculations[[#This Row],[C3 total]]+Calculations[[#This Row],[C4 total]]</f>
        <v>0</v>
      </c>
      <c r="AJ323" s="2">
        <f>IFERROR(VLOOKUP(Calculations[[#This Row],[Material (choose from dropdown]],MaterialData[[#Headers],[#Data]],9,FALSE),0)</f>
        <v>0</v>
      </c>
      <c r="AK323" s="4">
        <f>IFERROR(VLOOKUP(Calculations[[#This Row],[Material (choose from dropdown]],MaterialData[[#Headers],[#Data]],10,FALSE),0)</f>
        <v>0</v>
      </c>
      <c r="AL323" s="322">
        <f>IFERROR(Calculations[[#This Row],[Data Quality Score]]*Calculations[[#This Row],[Total Kg]],0)</f>
        <v>0</v>
      </c>
    </row>
    <row r="324" spans="1:38" x14ac:dyDescent="0.3">
      <c r="A324" s="6">
        <f>IFERROR(MaterialsBoQ[[#This Row],[Scope Element]],0)</f>
        <v>0</v>
      </c>
      <c r="B324" t="str">
        <f>IFERROR(MaterialsBoQ[[#This Row],[Material ]],"")</f>
        <v/>
      </c>
      <c r="C324" t="str">
        <f>IFERROR(MaterialsBoQ[[#This Row],[Unit]],"")</f>
        <v/>
      </c>
      <c r="D324" s="322">
        <f>IFERROR(MaterialsBoQ[[#This Row],[Number]],0)</f>
        <v>0</v>
      </c>
      <c r="E324" s="322">
        <f>IFERROR(MaterialsBoQ[[#This Row],[Kg per unit]],0)</f>
        <v>0</v>
      </c>
      <c r="F324" s="322">
        <f>IFERROR(Calculations[[#This Row],[Number]]*Calculations[[#This Row],[Conversion factor]],0)</f>
        <v>0</v>
      </c>
      <c r="G324" s="322">
        <f>IFERROR(VLOOKUP(Calculations[[#This Row],[Material (choose from dropdown]],MaterialData[#All],7,FALSE),0)</f>
        <v>0</v>
      </c>
      <c r="H324" s="322">
        <f>Calculations[[#This Row],[Total Kg]]*Calculations[[#This Row],[Carbon Factor]]</f>
        <v>0</v>
      </c>
      <c r="I324" t="str">
        <f>IFERROR(VLOOKUP(Calculations[[#This Row],[Material (choose from dropdown]],MaterialData[#All],2,FALSE),"")</f>
        <v/>
      </c>
      <c r="J324" s="322">
        <f>IFERROR(((VLOOKUP(Calculations[[#This Row],[TransportSource]],TransportDistance[],2,FALSE)*'Stage assumptions'!$C$11)+VLOOKUP(Calculations[[#This Row],[TransportSource]],TransportDistance[],3,FALSE)*'Stage assumptions'!$C$12)*Calculations[[#This Row],[Total Kg]],0)</f>
        <v>0</v>
      </c>
      <c r="K324">
        <f>IFERROR(VLOOKUP(Calculations[[#This Row],[Material (choose from dropdown]], MaterialData[#All],3, FALSE),0)</f>
        <v>0</v>
      </c>
      <c r="L324" s="322">
        <f>IFERROR(VLOOKUP(Calculations[[#This Row],[A5type]],A5WastageRate[#All],2,FALSE)*Calculations[[#This Row],[A1-3]],0)</f>
        <v>0</v>
      </c>
      <c r="N324">
        <f>IFERROR(ROUNDUP(50/VLOOKUP(Calculations[[#This Row],[Scope Element]],B4referenceServiceLife[[Tier 2 element]:[Default Service Life]],2, FALSE)-1,0),0)</f>
        <v>0</v>
      </c>
      <c r="O324" s="322">
        <f>IFERROR((Calculations[[#This Row],[A1-3]]+Calculations[[#This Row],[A4]]+Calculations[[#This Row],[A5]]+Calculations[[#This Row],[C2 total]]+Calculations[[#This Row],[C3 total]]+Calculations[[#This Row],[C4 total]])*Calculations[[#This Row],[Replacements]],0)</f>
        <v>0</v>
      </c>
      <c r="S324" t="str">
        <f>IFERROR(VLOOKUP(Calculations[[#This Row],[Material (choose from dropdown]],MaterialData[#All],4,FALSE),"")</f>
        <v/>
      </c>
      <c r="T324" s="322" cm="1">
        <f t="array" ref="T324">IFERROR(VLOOKUP(Calculations[[#This Row],[Waste 1]],WasteScenario[#All],2,FALSE)*'Stage assumptions'!$C$225*WasteTransportMethod[Emissions Factor
kgCO2e/kg.km]*Calculations[[#This Row],[Total Kg]],0)</f>
        <v>0</v>
      </c>
      <c r="U324" s="322" cm="1">
        <f t="array" ref="U324">IFERROR(VLOOKUP(Calculations[[#This Row],[Waste 1]],WasteScenario[#All],3,FALSE)*'Stage assumptions'!$C$224*WasteTransportMethod[Emissions Factor
kgCO2e/kg.km]*Calculations[[#This Row],[Total Kg]],0)</f>
        <v>0</v>
      </c>
      <c r="V324" s="322" cm="1">
        <f t="array" ref="V324">IFERROR(VLOOKUP(Calculations[[#This Row],[Waste 1]],WasteScenario[#All],4,FALSE)*'Stage assumptions'!$C$223*WasteTransportMethod[Emissions Factor
kgCO2e/kg.km]*Calculations[[#This Row],[Total Kg]],0)</f>
        <v>0</v>
      </c>
      <c r="W324" s="322" cm="1">
        <f t="array" ref="W324">IFERROR(VLOOKUP(Calculations[[#This Row],[Waste 1]],WasteScenario[#All],5,FALSE)*'Stage assumptions'!$C$226*WasteTransportMethod[Emissions Factor
kgCO2e/kg.km]*Calculations[[#This Row],[Total Kg]],0)</f>
        <v>0</v>
      </c>
      <c r="X324" s="322">
        <f>SUM(Calculations[[#This Row],[C2 Recycle]:[C2 Reuse]])</f>
        <v>0</v>
      </c>
      <c r="Y324" t="str">
        <f>IFERROR(VLOOKUP(Calculations[[#This Row],[Material (choose from dropdown]],MaterialData[#All],5,FALSE),"")</f>
        <v/>
      </c>
      <c r="Z324" s="322">
        <f>IFERROR(((VLOOKUP(Calculations[[#This Row],[Waste type 2]],WasteDisposalEmissions[#All],2,FALSE))*Calculations[[#This Row],[Total Kg]])*VLOOKUP(Calculations[[#This Row],[Waste 1]],WasteScenario[#All],2,FALSE),0)</f>
        <v>0</v>
      </c>
      <c r="AA324" s="322">
        <f>IFERROR((VLOOKUP(Calculations[[#This Row],[Waste type 2]],WasteDisposalEmissions[#All],3,FALSE))*Calculations[[#This Row],[Total Kg]]*VLOOKUP(Calculations[[#This Row],[Waste 1]],WasteScenario[#All],3,FALSE),0)</f>
        <v>0</v>
      </c>
      <c r="AB324" s="322">
        <f>SUM(Calculations[[#This Row],[C3 recyc]:[C3 incin]])</f>
        <v>0</v>
      </c>
      <c r="AC324" s="334">
        <f>IFERROR((VLOOKUP(Calculations[[#This Row],[Waste type 2]],WasteLandfillEmissions[#All],2,FALSE))*Calculations[[#This Row],[Total Kg]]*VLOOKUP(Calculations[[#This Row],[Waste 1]],WasteScenario[#All],4,FALSE),0)</f>
        <v>0</v>
      </c>
      <c r="AD324" s="322">
        <f>IFERROR((VLOOKUP(Calculations[[#This Row],[Waste type 2]],WasteLandfillEmissions[#All],3,FALSE))*Calculations[[#This Row],[Total Kg]]*VLOOKUP(Calculations[[#This Row],[Waste 1]],WasteScenario[#All],4,FALSE),0)</f>
        <v>0</v>
      </c>
      <c r="AE324" s="322">
        <f>SUM(Calculations[[#This Row],[C4 landfill]:[C4 re-use]])</f>
        <v>0</v>
      </c>
      <c r="AF324" s="322">
        <f>IFERROR(VLOOKUP(Calculations[[#This Row],[Material (choose from dropdown]],MaterialData[#All],8,FALSE),0)</f>
        <v>0</v>
      </c>
      <c r="AG324" s="322">
        <f>IFERROR(Calculations[[#This Row],[Total Kg]]*Calculations[[#This Row],[Seq factor]],0)</f>
        <v>0</v>
      </c>
      <c r="AI324" s="322">
        <f>Calculations[[#This Row],[A1-3]]+Calculations[[#This Row],[A4]]+Calculations[[#This Row],[A5]]+Calculations[[#This Row],[B4]]+Calculations[[#This Row],[C2 total]]+Calculations[[#This Row],[C3 total]]+Calculations[[#This Row],[C4 total]]</f>
        <v>0</v>
      </c>
      <c r="AJ324" s="2">
        <f>IFERROR(VLOOKUP(Calculations[[#This Row],[Material (choose from dropdown]],MaterialData[[#Headers],[#Data]],9,FALSE),0)</f>
        <v>0</v>
      </c>
      <c r="AK324" s="4">
        <f>IFERROR(VLOOKUP(Calculations[[#This Row],[Material (choose from dropdown]],MaterialData[[#Headers],[#Data]],10,FALSE),0)</f>
        <v>0</v>
      </c>
      <c r="AL324" s="322">
        <f>IFERROR(Calculations[[#This Row],[Data Quality Score]]*Calculations[[#This Row],[Total Kg]],0)</f>
        <v>0</v>
      </c>
    </row>
    <row r="325" spans="1:38" x14ac:dyDescent="0.3">
      <c r="A325" s="6">
        <f>IFERROR(MaterialsBoQ[[#This Row],[Scope Element]],0)</f>
        <v>0</v>
      </c>
      <c r="B325" t="str">
        <f>IFERROR(MaterialsBoQ[[#This Row],[Material ]],"")</f>
        <v/>
      </c>
      <c r="C325" t="str">
        <f>IFERROR(MaterialsBoQ[[#This Row],[Unit]],"")</f>
        <v/>
      </c>
      <c r="D325" s="322">
        <f>IFERROR(MaterialsBoQ[[#This Row],[Number]],0)</f>
        <v>0</v>
      </c>
      <c r="E325" s="322">
        <f>IFERROR(MaterialsBoQ[[#This Row],[Kg per unit]],0)</f>
        <v>0</v>
      </c>
      <c r="F325" s="322">
        <f>IFERROR(Calculations[[#This Row],[Number]]*Calculations[[#This Row],[Conversion factor]],0)</f>
        <v>0</v>
      </c>
      <c r="G325" s="322">
        <f>IFERROR(VLOOKUP(Calculations[[#This Row],[Material (choose from dropdown]],MaterialData[#All],7,FALSE),0)</f>
        <v>0</v>
      </c>
      <c r="H325" s="322">
        <f>Calculations[[#This Row],[Total Kg]]*Calculations[[#This Row],[Carbon Factor]]</f>
        <v>0</v>
      </c>
      <c r="I325" t="str">
        <f>IFERROR(VLOOKUP(Calculations[[#This Row],[Material (choose from dropdown]],MaterialData[#All],2,FALSE),"")</f>
        <v/>
      </c>
      <c r="J325" s="322">
        <f>IFERROR(((VLOOKUP(Calculations[[#This Row],[TransportSource]],TransportDistance[],2,FALSE)*'Stage assumptions'!$C$11)+VLOOKUP(Calculations[[#This Row],[TransportSource]],TransportDistance[],3,FALSE)*'Stage assumptions'!$C$12)*Calculations[[#This Row],[Total Kg]],0)</f>
        <v>0</v>
      </c>
      <c r="K325">
        <f>IFERROR(VLOOKUP(Calculations[[#This Row],[Material (choose from dropdown]], MaterialData[#All],3, FALSE),0)</f>
        <v>0</v>
      </c>
      <c r="L325" s="322">
        <f>IFERROR(VLOOKUP(Calculations[[#This Row],[A5type]],A5WastageRate[#All],2,FALSE)*Calculations[[#This Row],[A1-3]],0)</f>
        <v>0</v>
      </c>
      <c r="N325">
        <f>IFERROR(ROUNDUP(50/VLOOKUP(Calculations[[#This Row],[Scope Element]],B4referenceServiceLife[[Tier 2 element]:[Default Service Life]],2, FALSE)-1,0),0)</f>
        <v>0</v>
      </c>
      <c r="O325" s="322">
        <f>IFERROR((Calculations[[#This Row],[A1-3]]+Calculations[[#This Row],[A4]]+Calculations[[#This Row],[A5]]+Calculations[[#This Row],[C2 total]]+Calculations[[#This Row],[C3 total]]+Calculations[[#This Row],[C4 total]])*Calculations[[#This Row],[Replacements]],0)</f>
        <v>0</v>
      </c>
      <c r="S325" t="str">
        <f>IFERROR(VLOOKUP(Calculations[[#This Row],[Material (choose from dropdown]],MaterialData[#All],4,FALSE),"")</f>
        <v/>
      </c>
      <c r="T325" s="322" cm="1">
        <f t="array" ref="T325">IFERROR(VLOOKUP(Calculations[[#This Row],[Waste 1]],WasteScenario[#All],2,FALSE)*'Stage assumptions'!$C$225*WasteTransportMethod[Emissions Factor
kgCO2e/kg.km]*Calculations[[#This Row],[Total Kg]],0)</f>
        <v>0</v>
      </c>
      <c r="U325" s="322" cm="1">
        <f t="array" ref="U325">IFERROR(VLOOKUP(Calculations[[#This Row],[Waste 1]],WasteScenario[#All],3,FALSE)*'Stage assumptions'!$C$224*WasteTransportMethod[Emissions Factor
kgCO2e/kg.km]*Calculations[[#This Row],[Total Kg]],0)</f>
        <v>0</v>
      </c>
      <c r="V325" s="322" cm="1">
        <f t="array" ref="V325">IFERROR(VLOOKUP(Calculations[[#This Row],[Waste 1]],WasteScenario[#All],4,FALSE)*'Stage assumptions'!$C$223*WasteTransportMethod[Emissions Factor
kgCO2e/kg.km]*Calculations[[#This Row],[Total Kg]],0)</f>
        <v>0</v>
      </c>
      <c r="W325" s="322" cm="1">
        <f t="array" ref="W325">IFERROR(VLOOKUP(Calculations[[#This Row],[Waste 1]],WasteScenario[#All],5,FALSE)*'Stage assumptions'!$C$226*WasteTransportMethod[Emissions Factor
kgCO2e/kg.km]*Calculations[[#This Row],[Total Kg]],0)</f>
        <v>0</v>
      </c>
      <c r="X325" s="322">
        <f>SUM(Calculations[[#This Row],[C2 Recycle]:[C2 Reuse]])</f>
        <v>0</v>
      </c>
      <c r="Y325" t="str">
        <f>IFERROR(VLOOKUP(Calculations[[#This Row],[Material (choose from dropdown]],MaterialData[#All],5,FALSE),"")</f>
        <v/>
      </c>
      <c r="Z325" s="322">
        <f>IFERROR(((VLOOKUP(Calculations[[#This Row],[Waste type 2]],WasteDisposalEmissions[#All],2,FALSE))*Calculations[[#This Row],[Total Kg]])*VLOOKUP(Calculations[[#This Row],[Waste 1]],WasteScenario[#All],2,FALSE),0)</f>
        <v>0</v>
      </c>
      <c r="AA325" s="322">
        <f>IFERROR((VLOOKUP(Calculations[[#This Row],[Waste type 2]],WasteDisposalEmissions[#All],3,FALSE))*Calculations[[#This Row],[Total Kg]]*VLOOKUP(Calculations[[#This Row],[Waste 1]],WasteScenario[#All],3,FALSE),0)</f>
        <v>0</v>
      </c>
      <c r="AB325" s="322">
        <f>SUM(Calculations[[#This Row],[C3 recyc]:[C3 incin]])</f>
        <v>0</v>
      </c>
      <c r="AC325" s="334">
        <f>IFERROR((VLOOKUP(Calculations[[#This Row],[Waste type 2]],WasteLandfillEmissions[#All],2,FALSE))*Calculations[[#This Row],[Total Kg]]*VLOOKUP(Calculations[[#This Row],[Waste 1]],WasteScenario[#All],4,FALSE),0)</f>
        <v>0</v>
      </c>
      <c r="AD325" s="322">
        <f>IFERROR((VLOOKUP(Calculations[[#This Row],[Waste type 2]],WasteLandfillEmissions[#All],3,FALSE))*Calculations[[#This Row],[Total Kg]]*VLOOKUP(Calculations[[#This Row],[Waste 1]],WasteScenario[#All],4,FALSE),0)</f>
        <v>0</v>
      </c>
      <c r="AE325" s="322">
        <f>SUM(Calculations[[#This Row],[C4 landfill]:[C4 re-use]])</f>
        <v>0</v>
      </c>
      <c r="AF325" s="322">
        <f>IFERROR(VLOOKUP(Calculations[[#This Row],[Material (choose from dropdown]],MaterialData[#All],8,FALSE),0)</f>
        <v>0</v>
      </c>
      <c r="AG325" s="322">
        <f>IFERROR(Calculations[[#This Row],[Total Kg]]*Calculations[[#This Row],[Seq factor]],0)</f>
        <v>0</v>
      </c>
      <c r="AI325" s="322">
        <f>Calculations[[#This Row],[A1-3]]+Calculations[[#This Row],[A4]]+Calculations[[#This Row],[A5]]+Calculations[[#This Row],[B4]]+Calculations[[#This Row],[C2 total]]+Calculations[[#This Row],[C3 total]]+Calculations[[#This Row],[C4 total]]</f>
        <v>0</v>
      </c>
      <c r="AJ325" s="2">
        <f>IFERROR(VLOOKUP(Calculations[[#This Row],[Material (choose from dropdown]],MaterialData[[#Headers],[#Data]],9,FALSE),0)</f>
        <v>0</v>
      </c>
      <c r="AK325" s="4">
        <f>IFERROR(VLOOKUP(Calculations[[#This Row],[Material (choose from dropdown]],MaterialData[[#Headers],[#Data]],10,FALSE),0)</f>
        <v>0</v>
      </c>
      <c r="AL325" s="322">
        <f>IFERROR(Calculations[[#This Row],[Data Quality Score]]*Calculations[[#This Row],[Total Kg]],0)</f>
        <v>0</v>
      </c>
    </row>
    <row r="326" spans="1:38" x14ac:dyDescent="0.3">
      <c r="A326" s="6">
        <f>IFERROR(MaterialsBoQ[[#This Row],[Scope Element]],0)</f>
        <v>0</v>
      </c>
      <c r="B326" t="str">
        <f>IFERROR(MaterialsBoQ[[#This Row],[Material ]],"")</f>
        <v/>
      </c>
      <c r="C326" t="str">
        <f>IFERROR(MaterialsBoQ[[#This Row],[Unit]],"")</f>
        <v/>
      </c>
      <c r="D326" s="322">
        <f>IFERROR(MaterialsBoQ[[#This Row],[Number]],0)</f>
        <v>0</v>
      </c>
      <c r="E326" s="322">
        <f>IFERROR(MaterialsBoQ[[#This Row],[Kg per unit]],0)</f>
        <v>0</v>
      </c>
      <c r="F326" s="322">
        <f>IFERROR(Calculations[[#This Row],[Number]]*Calculations[[#This Row],[Conversion factor]],0)</f>
        <v>0</v>
      </c>
      <c r="G326" s="322">
        <f>IFERROR(VLOOKUP(Calculations[[#This Row],[Material (choose from dropdown]],MaterialData[#All],7,FALSE),0)</f>
        <v>0</v>
      </c>
      <c r="H326" s="322">
        <f>Calculations[[#This Row],[Total Kg]]*Calculations[[#This Row],[Carbon Factor]]</f>
        <v>0</v>
      </c>
      <c r="I326" t="str">
        <f>IFERROR(VLOOKUP(Calculations[[#This Row],[Material (choose from dropdown]],MaterialData[#All],2,FALSE),"")</f>
        <v/>
      </c>
      <c r="J326" s="322">
        <f>IFERROR(((VLOOKUP(Calculations[[#This Row],[TransportSource]],TransportDistance[],2,FALSE)*'Stage assumptions'!$C$11)+VLOOKUP(Calculations[[#This Row],[TransportSource]],TransportDistance[],3,FALSE)*'Stage assumptions'!$C$12)*Calculations[[#This Row],[Total Kg]],0)</f>
        <v>0</v>
      </c>
      <c r="K326">
        <f>IFERROR(VLOOKUP(Calculations[[#This Row],[Material (choose from dropdown]], MaterialData[#All],3, FALSE),0)</f>
        <v>0</v>
      </c>
      <c r="L326" s="322">
        <f>IFERROR(VLOOKUP(Calculations[[#This Row],[A5type]],A5WastageRate[#All],2,FALSE)*Calculations[[#This Row],[A1-3]],0)</f>
        <v>0</v>
      </c>
      <c r="N326">
        <f>IFERROR(ROUNDUP(50/VLOOKUP(Calculations[[#This Row],[Scope Element]],B4referenceServiceLife[[Tier 2 element]:[Default Service Life]],2, FALSE)-1,0),0)</f>
        <v>0</v>
      </c>
      <c r="O326" s="322">
        <f>IFERROR((Calculations[[#This Row],[A1-3]]+Calculations[[#This Row],[A4]]+Calculations[[#This Row],[A5]]+Calculations[[#This Row],[C2 total]]+Calculations[[#This Row],[C3 total]]+Calculations[[#This Row],[C4 total]])*Calculations[[#This Row],[Replacements]],0)</f>
        <v>0</v>
      </c>
      <c r="S326" t="str">
        <f>IFERROR(VLOOKUP(Calculations[[#This Row],[Material (choose from dropdown]],MaterialData[#All],4,FALSE),"")</f>
        <v/>
      </c>
      <c r="T326" s="322" cm="1">
        <f t="array" ref="T326">IFERROR(VLOOKUP(Calculations[[#This Row],[Waste 1]],WasteScenario[#All],2,FALSE)*'Stage assumptions'!$C$225*WasteTransportMethod[Emissions Factor
kgCO2e/kg.km]*Calculations[[#This Row],[Total Kg]],0)</f>
        <v>0</v>
      </c>
      <c r="U326" s="322" cm="1">
        <f t="array" ref="U326">IFERROR(VLOOKUP(Calculations[[#This Row],[Waste 1]],WasteScenario[#All],3,FALSE)*'Stage assumptions'!$C$224*WasteTransportMethod[Emissions Factor
kgCO2e/kg.km]*Calculations[[#This Row],[Total Kg]],0)</f>
        <v>0</v>
      </c>
      <c r="V326" s="322" cm="1">
        <f t="array" ref="V326">IFERROR(VLOOKUP(Calculations[[#This Row],[Waste 1]],WasteScenario[#All],4,FALSE)*'Stage assumptions'!$C$223*WasteTransportMethod[Emissions Factor
kgCO2e/kg.km]*Calculations[[#This Row],[Total Kg]],0)</f>
        <v>0</v>
      </c>
      <c r="W326" s="322" cm="1">
        <f t="array" ref="W326">IFERROR(VLOOKUP(Calculations[[#This Row],[Waste 1]],WasteScenario[#All],5,FALSE)*'Stage assumptions'!$C$226*WasteTransportMethod[Emissions Factor
kgCO2e/kg.km]*Calculations[[#This Row],[Total Kg]],0)</f>
        <v>0</v>
      </c>
      <c r="X326" s="322">
        <f>SUM(Calculations[[#This Row],[C2 Recycle]:[C2 Reuse]])</f>
        <v>0</v>
      </c>
      <c r="Y326" t="str">
        <f>IFERROR(VLOOKUP(Calculations[[#This Row],[Material (choose from dropdown]],MaterialData[#All],5,FALSE),"")</f>
        <v/>
      </c>
      <c r="Z326" s="322">
        <f>IFERROR(((VLOOKUP(Calculations[[#This Row],[Waste type 2]],WasteDisposalEmissions[#All],2,FALSE))*Calculations[[#This Row],[Total Kg]])*VLOOKUP(Calculations[[#This Row],[Waste 1]],WasteScenario[#All],2,FALSE),0)</f>
        <v>0</v>
      </c>
      <c r="AA326" s="322">
        <f>IFERROR((VLOOKUP(Calculations[[#This Row],[Waste type 2]],WasteDisposalEmissions[#All],3,FALSE))*Calculations[[#This Row],[Total Kg]]*VLOOKUP(Calculations[[#This Row],[Waste 1]],WasteScenario[#All],3,FALSE),0)</f>
        <v>0</v>
      </c>
      <c r="AB326" s="322">
        <f>SUM(Calculations[[#This Row],[C3 recyc]:[C3 incin]])</f>
        <v>0</v>
      </c>
      <c r="AC326" s="334">
        <f>IFERROR((VLOOKUP(Calculations[[#This Row],[Waste type 2]],WasteLandfillEmissions[#All],2,FALSE))*Calculations[[#This Row],[Total Kg]]*VLOOKUP(Calculations[[#This Row],[Waste 1]],WasteScenario[#All],4,FALSE),0)</f>
        <v>0</v>
      </c>
      <c r="AD326" s="322">
        <f>IFERROR((VLOOKUP(Calculations[[#This Row],[Waste type 2]],WasteLandfillEmissions[#All],3,FALSE))*Calculations[[#This Row],[Total Kg]]*VLOOKUP(Calculations[[#This Row],[Waste 1]],WasteScenario[#All],4,FALSE),0)</f>
        <v>0</v>
      </c>
      <c r="AE326" s="322">
        <f>SUM(Calculations[[#This Row],[C4 landfill]:[C4 re-use]])</f>
        <v>0</v>
      </c>
      <c r="AF326" s="322">
        <f>IFERROR(VLOOKUP(Calculations[[#This Row],[Material (choose from dropdown]],MaterialData[#All],8,FALSE),0)</f>
        <v>0</v>
      </c>
      <c r="AG326" s="322">
        <f>IFERROR(Calculations[[#This Row],[Total Kg]]*Calculations[[#This Row],[Seq factor]],0)</f>
        <v>0</v>
      </c>
      <c r="AI326" s="322">
        <f>Calculations[[#This Row],[A1-3]]+Calculations[[#This Row],[A4]]+Calculations[[#This Row],[A5]]+Calculations[[#This Row],[B4]]+Calculations[[#This Row],[C2 total]]+Calculations[[#This Row],[C3 total]]+Calculations[[#This Row],[C4 total]]</f>
        <v>0</v>
      </c>
      <c r="AJ326" s="2">
        <f>IFERROR(VLOOKUP(Calculations[[#This Row],[Material (choose from dropdown]],MaterialData[[#Headers],[#Data]],9,FALSE),0)</f>
        <v>0</v>
      </c>
      <c r="AK326" s="4">
        <f>IFERROR(VLOOKUP(Calculations[[#This Row],[Material (choose from dropdown]],MaterialData[[#Headers],[#Data]],10,FALSE),0)</f>
        <v>0</v>
      </c>
      <c r="AL326" s="322">
        <f>IFERROR(Calculations[[#This Row],[Data Quality Score]]*Calculations[[#This Row],[Total Kg]],0)</f>
        <v>0</v>
      </c>
    </row>
    <row r="327" spans="1:38" x14ac:dyDescent="0.3">
      <c r="A327" s="6">
        <f>IFERROR(MaterialsBoQ[[#This Row],[Scope Element]],0)</f>
        <v>0</v>
      </c>
      <c r="B327" t="str">
        <f>IFERROR(MaterialsBoQ[[#This Row],[Material ]],"")</f>
        <v/>
      </c>
      <c r="C327" t="str">
        <f>IFERROR(MaterialsBoQ[[#This Row],[Unit]],"")</f>
        <v/>
      </c>
      <c r="D327" s="322">
        <f>IFERROR(MaterialsBoQ[[#This Row],[Number]],0)</f>
        <v>0</v>
      </c>
      <c r="E327" s="322">
        <f>IFERROR(MaterialsBoQ[[#This Row],[Kg per unit]],0)</f>
        <v>0</v>
      </c>
      <c r="F327" s="322">
        <f>IFERROR(Calculations[[#This Row],[Number]]*Calculations[[#This Row],[Conversion factor]],0)</f>
        <v>0</v>
      </c>
      <c r="G327" s="322">
        <f>IFERROR(VLOOKUP(Calculations[[#This Row],[Material (choose from dropdown]],MaterialData[#All],7,FALSE),0)</f>
        <v>0</v>
      </c>
      <c r="H327" s="322">
        <f>Calculations[[#This Row],[Total Kg]]*Calculations[[#This Row],[Carbon Factor]]</f>
        <v>0</v>
      </c>
      <c r="I327" t="str">
        <f>IFERROR(VLOOKUP(Calculations[[#This Row],[Material (choose from dropdown]],MaterialData[#All],2,FALSE),"")</f>
        <v/>
      </c>
      <c r="J327" s="322">
        <f>IFERROR(((VLOOKUP(Calculations[[#This Row],[TransportSource]],TransportDistance[],2,FALSE)*'Stage assumptions'!$C$11)+VLOOKUP(Calculations[[#This Row],[TransportSource]],TransportDistance[],3,FALSE)*'Stage assumptions'!$C$12)*Calculations[[#This Row],[Total Kg]],0)</f>
        <v>0</v>
      </c>
      <c r="K327">
        <f>IFERROR(VLOOKUP(Calculations[[#This Row],[Material (choose from dropdown]], MaterialData[#All],3, FALSE),0)</f>
        <v>0</v>
      </c>
      <c r="L327" s="322">
        <f>IFERROR(VLOOKUP(Calculations[[#This Row],[A5type]],A5WastageRate[#All],2,FALSE)*Calculations[[#This Row],[A1-3]],0)</f>
        <v>0</v>
      </c>
      <c r="N327">
        <f>IFERROR(ROUNDUP(50/VLOOKUP(Calculations[[#This Row],[Scope Element]],B4referenceServiceLife[[Tier 2 element]:[Default Service Life]],2, FALSE)-1,0),0)</f>
        <v>0</v>
      </c>
      <c r="O327" s="322">
        <f>IFERROR((Calculations[[#This Row],[A1-3]]+Calculations[[#This Row],[A4]]+Calculations[[#This Row],[A5]]+Calculations[[#This Row],[C2 total]]+Calculations[[#This Row],[C3 total]]+Calculations[[#This Row],[C4 total]])*Calculations[[#This Row],[Replacements]],0)</f>
        <v>0</v>
      </c>
      <c r="S327" t="str">
        <f>IFERROR(VLOOKUP(Calculations[[#This Row],[Material (choose from dropdown]],MaterialData[#All],4,FALSE),"")</f>
        <v/>
      </c>
      <c r="T327" s="322" cm="1">
        <f t="array" ref="T327">IFERROR(VLOOKUP(Calculations[[#This Row],[Waste 1]],WasteScenario[#All],2,FALSE)*'Stage assumptions'!$C$225*WasteTransportMethod[Emissions Factor
kgCO2e/kg.km]*Calculations[[#This Row],[Total Kg]],0)</f>
        <v>0</v>
      </c>
      <c r="U327" s="322" cm="1">
        <f t="array" ref="U327">IFERROR(VLOOKUP(Calculations[[#This Row],[Waste 1]],WasteScenario[#All],3,FALSE)*'Stage assumptions'!$C$224*WasteTransportMethod[Emissions Factor
kgCO2e/kg.km]*Calculations[[#This Row],[Total Kg]],0)</f>
        <v>0</v>
      </c>
      <c r="V327" s="322" cm="1">
        <f t="array" ref="V327">IFERROR(VLOOKUP(Calculations[[#This Row],[Waste 1]],WasteScenario[#All],4,FALSE)*'Stage assumptions'!$C$223*WasteTransportMethod[Emissions Factor
kgCO2e/kg.km]*Calculations[[#This Row],[Total Kg]],0)</f>
        <v>0</v>
      </c>
      <c r="W327" s="322" cm="1">
        <f t="array" ref="W327">IFERROR(VLOOKUP(Calculations[[#This Row],[Waste 1]],WasteScenario[#All],5,FALSE)*'Stage assumptions'!$C$226*WasteTransportMethod[Emissions Factor
kgCO2e/kg.km]*Calculations[[#This Row],[Total Kg]],0)</f>
        <v>0</v>
      </c>
      <c r="X327" s="322">
        <f>SUM(Calculations[[#This Row],[C2 Recycle]:[C2 Reuse]])</f>
        <v>0</v>
      </c>
      <c r="Y327" t="str">
        <f>IFERROR(VLOOKUP(Calculations[[#This Row],[Material (choose from dropdown]],MaterialData[#All],5,FALSE),"")</f>
        <v/>
      </c>
      <c r="Z327" s="322">
        <f>IFERROR(((VLOOKUP(Calculations[[#This Row],[Waste type 2]],WasteDisposalEmissions[#All],2,FALSE))*Calculations[[#This Row],[Total Kg]])*VLOOKUP(Calculations[[#This Row],[Waste 1]],WasteScenario[#All],2,FALSE),0)</f>
        <v>0</v>
      </c>
      <c r="AA327" s="322">
        <f>IFERROR((VLOOKUP(Calculations[[#This Row],[Waste type 2]],WasteDisposalEmissions[#All],3,FALSE))*Calculations[[#This Row],[Total Kg]]*VLOOKUP(Calculations[[#This Row],[Waste 1]],WasteScenario[#All],3,FALSE),0)</f>
        <v>0</v>
      </c>
      <c r="AB327" s="322">
        <f>SUM(Calculations[[#This Row],[C3 recyc]:[C3 incin]])</f>
        <v>0</v>
      </c>
      <c r="AC327" s="334">
        <f>IFERROR((VLOOKUP(Calculations[[#This Row],[Waste type 2]],WasteLandfillEmissions[#All],2,FALSE))*Calculations[[#This Row],[Total Kg]]*VLOOKUP(Calculations[[#This Row],[Waste 1]],WasteScenario[#All],4,FALSE),0)</f>
        <v>0</v>
      </c>
      <c r="AD327" s="322">
        <f>IFERROR((VLOOKUP(Calculations[[#This Row],[Waste type 2]],WasteLandfillEmissions[#All],3,FALSE))*Calculations[[#This Row],[Total Kg]]*VLOOKUP(Calculations[[#This Row],[Waste 1]],WasteScenario[#All],4,FALSE),0)</f>
        <v>0</v>
      </c>
      <c r="AE327" s="322">
        <f>SUM(Calculations[[#This Row],[C4 landfill]:[C4 re-use]])</f>
        <v>0</v>
      </c>
      <c r="AF327" s="322">
        <f>IFERROR(VLOOKUP(Calculations[[#This Row],[Material (choose from dropdown]],MaterialData[#All],8,FALSE),0)</f>
        <v>0</v>
      </c>
      <c r="AG327" s="322">
        <f>IFERROR(Calculations[[#This Row],[Total Kg]]*Calculations[[#This Row],[Seq factor]],0)</f>
        <v>0</v>
      </c>
      <c r="AI327" s="322">
        <f>Calculations[[#This Row],[A1-3]]+Calculations[[#This Row],[A4]]+Calculations[[#This Row],[A5]]+Calculations[[#This Row],[B4]]+Calculations[[#This Row],[C2 total]]+Calculations[[#This Row],[C3 total]]+Calculations[[#This Row],[C4 total]]</f>
        <v>0</v>
      </c>
      <c r="AJ327" s="2">
        <f>IFERROR(VLOOKUP(Calculations[[#This Row],[Material (choose from dropdown]],MaterialData[[#Headers],[#Data]],9,FALSE),0)</f>
        <v>0</v>
      </c>
      <c r="AK327" s="4">
        <f>IFERROR(VLOOKUP(Calculations[[#This Row],[Material (choose from dropdown]],MaterialData[[#Headers],[#Data]],10,FALSE),0)</f>
        <v>0</v>
      </c>
      <c r="AL327" s="322">
        <f>IFERROR(Calculations[[#This Row],[Data Quality Score]]*Calculations[[#This Row],[Total Kg]],0)</f>
        <v>0</v>
      </c>
    </row>
    <row r="328" spans="1:38" x14ac:dyDescent="0.3">
      <c r="A328" s="6">
        <f>IFERROR(MaterialsBoQ[[#This Row],[Scope Element]],0)</f>
        <v>0</v>
      </c>
      <c r="B328" t="str">
        <f>IFERROR(MaterialsBoQ[[#This Row],[Material ]],"")</f>
        <v/>
      </c>
      <c r="C328" t="str">
        <f>IFERROR(MaterialsBoQ[[#This Row],[Unit]],"")</f>
        <v/>
      </c>
      <c r="D328" s="322">
        <f>IFERROR(MaterialsBoQ[[#This Row],[Number]],0)</f>
        <v>0</v>
      </c>
      <c r="E328" s="322">
        <f>IFERROR(MaterialsBoQ[[#This Row],[Kg per unit]],0)</f>
        <v>0</v>
      </c>
      <c r="F328" s="322">
        <f>IFERROR(Calculations[[#This Row],[Number]]*Calculations[[#This Row],[Conversion factor]],0)</f>
        <v>0</v>
      </c>
      <c r="G328" s="322">
        <f>IFERROR(VLOOKUP(Calculations[[#This Row],[Material (choose from dropdown]],MaterialData[#All],7,FALSE),0)</f>
        <v>0</v>
      </c>
      <c r="H328" s="322">
        <f>Calculations[[#This Row],[Total Kg]]*Calculations[[#This Row],[Carbon Factor]]</f>
        <v>0</v>
      </c>
      <c r="I328" t="str">
        <f>IFERROR(VLOOKUP(Calculations[[#This Row],[Material (choose from dropdown]],MaterialData[#All],2,FALSE),"")</f>
        <v/>
      </c>
      <c r="J328" s="322">
        <f>IFERROR(((VLOOKUP(Calculations[[#This Row],[TransportSource]],TransportDistance[],2,FALSE)*'Stage assumptions'!$C$11)+VLOOKUP(Calculations[[#This Row],[TransportSource]],TransportDistance[],3,FALSE)*'Stage assumptions'!$C$12)*Calculations[[#This Row],[Total Kg]],0)</f>
        <v>0</v>
      </c>
      <c r="K328">
        <f>IFERROR(VLOOKUP(Calculations[[#This Row],[Material (choose from dropdown]], MaterialData[#All],3, FALSE),0)</f>
        <v>0</v>
      </c>
      <c r="L328" s="322">
        <f>IFERROR(VLOOKUP(Calculations[[#This Row],[A5type]],A5WastageRate[#All],2,FALSE)*Calculations[[#This Row],[A1-3]],0)</f>
        <v>0</v>
      </c>
      <c r="N328">
        <f>IFERROR(ROUNDUP(50/VLOOKUP(Calculations[[#This Row],[Scope Element]],B4referenceServiceLife[[Tier 2 element]:[Default Service Life]],2, FALSE)-1,0),0)</f>
        <v>0</v>
      </c>
      <c r="O328" s="322">
        <f>IFERROR((Calculations[[#This Row],[A1-3]]+Calculations[[#This Row],[A4]]+Calculations[[#This Row],[A5]]+Calculations[[#This Row],[C2 total]]+Calculations[[#This Row],[C3 total]]+Calculations[[#This Row],[C4 total]])*Calculations[[#This Row],[Replacements]],0)</f>
        <v>0</v>
      </c>
      <c r="S328" t="str">
        <f>IFERROR(VLOOKUP(Calculations[[#This Row],[Material (choose from dropdown]],MaterialData[#All],4,FALSE),"")</f>
        <v/>
      </c>
      <c r="T328" s="322" cm="1">
        <f t="array" ref="T328">IFERROR(VLOOKUP(Calculations[[#This Row],[Waste 1]],WasteScenario[#All],2,FALSE)*'Stage assumptions'!$C$225*WasteTransportMethod[Emissions Factor
kgCO2e/kg.km]*Calculations[[#This Row],[Total Kg]],0)</f>
        <v>0</v>
      </c>
      <c r="U328" s="322" cm="1">
        <f t="array" ref="U328">IFERROR(VLOOKUP(Calculations[[#This Row],[Waste 1]],WasteScenario[#All],3,FALSE)*'Stage assumptions'!$C$224*WasteTransportMethod[Emissions Factor
kgCO2e/kg.km]*Calculations[[#This Row],[Total Kg]],0)</f>
        <v>0</v>
      </c>
      <c r="V328" s="322" cm="1">
        <f t="array" ref="V328">IFERROR(VLOOKUP(Calculations[[#This Row],[Waste 1]],WasteScenario[#All],4,FALSE)*'Stage assumptions'!$C$223*WasteTransportMethod[Emissions Factor
kgCO2e/kg.km]*Calculations[[#This Row],[Total Kg]],0)</f>
        <v>0</v>
      </c>
      <c r="W328" s="322" cm="1">
        <f t="array" ref="W328">IFERROR(VLOOKUP(Calculations[[#This Row],[Waste 1]],WasteScenario[#All],5,FALSE)*'Stage assumptions'!$C$226*WasteTransportMethod[Emissions Factor
kgCO2e/kg.km]*Calculations[[#This Row],[Total Kg]],0)</f>
        <v>0</v>
      </c>
      <c r="X328" s="322">
        <f>SUM(Calculations[[#This Row],[C2 Recycle]:[C2 Reuse]])</f>
        <v>0</v>
      </c>
      <c r="Y328" t="str">
        <f>IFERROR(VLOOKUP(Calculations[[#This Row],[Material (choose from dropdown]],MaterialData[#All],5,FALSE),"")</f>
        <v/>
      </c>
      <c r="Z328" s="322">
        <f>IFERROR(((VLOOKUP(Calculations[[#This Row],[Waste type 2]],WasteDisposalEmissions[#All],2,FALSE))*Calculations[[#This Row],[Total Kg]])*VLOOKUP(Calculations[[#This Row],[Waste 1]],WasteScenario[#All],2,FALSE),0)</f>
        <v>0</v>
      </c>
      <c r="AA328" s="322">
        <f>IFERROR((VLOOKUP(Calculations[[#This Row],[Waste type 2]],WasteDisposalEmissions[#All],3,FALSE))*Calculations[[#This Row],[Total Kg]]*VLOOKUP(Calculations[[#This Row],[Waste 1]],WasteScenario[#All],3,FALSE),0)</f>
        <v>0</v>
      </c>
      <c r="AB328" s="322">
        <f>SUM(Calculations[[#This Row],[C3 recyc]:[C3 incin]])</f>
        <v>0</v>
      </c>
      <c r="AC328" s="334">
        <f>IFERROR((VLOOKUP(Calculations[[#This Row],[Waste type 2]],WasteLandfillEmissions[#All],2,FALSE))*Calculations[[#This Row],[Total Kg]]*VLOOKUP(Calculations[[#This Row],[Waste 1]],WasteScenario[#All],4,FALSE),0)</f>
        <v>0</v>
      </c>
      <c r="AD328" s="322">
        <f>IFERROR((VLOOKUP(Calculations[[#This Row],[Waste type 2]],WasteLandfillEmissions[#All],3,FALSE))*Calculations[[#This Row],[Total Kg]]*VLOOKUP(Calculations[[#This Row],[Waste 1]],WasteScenario[#All],4,FALSE),0)</f>
        <v>0</v>
      </c>
      <c r="AE328" s="322">
        <f>SUM(Calculations[[#This Row],[C4 landfill]:[C4 re-use]])</f>
        <v>0</v>
      </c>
      <c r="AF328" s="322">
        <f>IFERROR(VLOOKUP(Calculations[[#This Row],[Material (choose from dropdown]],MaterialData[#All],8,FALSE),0)</f>
        <v>0</v>
      </c>
      <c r="AG328" s="322">
        <f>IFERROR(Calculations[[#This Row],[Total Kg]]*Calculations[[#This Row],[Seq factor]],0)</f>
        <v>0</v>
      </c>
      <c r="AI328" s="322">
        <f>Calculations[[#This Row],[A1-3]]+Calculations[[#This Row],[A4]]+Calculations[[#This Row],[A5]]+Calculations[[#This Row],[B4]]+Calculations[[#This Row],[C2 total]]+Calculations[[#This Row],[C3 total]]+Calculations[[#This Row],[C4 total]]</f>
        <v>0</v>
      </c>
      <c r="AJ328" s="2">
        <f>IFERROR(VLOOKUP(Calculations[[#This Row],[Material (choose from dropdown]],MaterialData[[#Headers],[#Data]],9,FALSE),0)</f>
        <v>0</v>
      </c>
      <c r="AK328" s="4">
        <f>IFERROR(VLOOKUP(Calculations[[#This Row],[Material (choose from dropdown]],MaterialData[[#Headers],[#Data]],10,FALSE),0)</f>
        <v>0</v>
      </c>
      <c r="AL328" s="322">
        <f>IFERROR(Calculations[[#This Row],[Data Quality Score]]*Calculations[[#This Row],[Total Kg]],0)</f>
        <v>0</v>
      </c>
    </row>
    <row r="329" spans="1:38" x14ac:dyDescent="0.3">
      <c r="A329" s="6">
        <f>IFERROR(MaterialsBoQ[[#This Row],[Scope Element]],0)</f>
        <v>0</v>
      </c>
      <c r="B329" t="str">
        <f>IFERROR(MaterialsBoQ[[#This Row],[Material ]],"")</f>
        <v/>
      </c>
      <c r="C329" t="str">
        <f>IFERROR(MaterialsBoQ[[#This Row],[Unit]],"")</f>
        <v/>
      </c>
      <c r="D329" s="322">
        <f>IFERROR(MaterialsBoQ[[#This Row],[Number]],0)</f>
        <v>0</v>
      </c>
      <c r="E329" s="322">
        <f>IFERROR(MaterialsBoQ[[#This Row],[Kg per unit]],0)</f>
        <v>0</v>
      </c>
      <c r="F329" s="322">
        <f>IFERROR(Calculations[[#This Row],[Number]]*Calculations[[#This Row],[Conversion factor]],0)</f>
        <v>0</v>
      </c>
      <c r="G329" s="322">
        <f>IFERROR(VLOOKUP(Calculations[[#This Row],[Material (choose from dropdown]],MaterialData[#All],7,FALSE),0)</f>
        <v>0</v>
      </c>
      <c r="H329" s="322">
        <f>Calculations[[#This Row],[Total Kg]]*Calculations[[#This Row],[Carbon Factor]]</f>
        <v>0</v>
      </c>
      <c r="I329" t="str">
        <f>IFERROR(VLOOKUP(Calculations[[#This Row],[Material (choose from dropdown]],MaterialData[#All],2,FALSE),"")</f>
        <v/>
      </c>
      <c r="J329" s="322">
        <f>IFERROR(((VLOOKUP(Calculations[[#This Row],[TransportSource]],TransportDistance[],2,FALSE)*'Stage assumptions'!$C$11)+VLOOKUP(Calculations[[#This Row],[TransportSource]],TransportDistance[],3,FALSE)*'Stage assumptions'!$C$12)*Calculations[[#This Row],[Total Kg]],0)</f>
        <v>0</v>
      </c>
      <c r="K329">
        <f>IFERROR(VLOOKUP(Calculations[[#This Row],[Material (choose from dropdown]], MaterialData[#All],3, FALSE),0)</f>
        <v>0</v>
      </c>
      <c r="L329" s="322">
        <f>IFERROR(VLOOKUP(Calculations[[#This Row],[A5type]],A5WastageRate[#All],2,FALSE)*Calculations[[#This Row],[A1-3]],0)</f>
        <v>0</v>
      </c>
      <c r="N329">
        <f>IFERROR(ROUNDUP(50/VLOOKUP(Calculations[[#This Row],[Scope Element]],B4referenceServiceLife[[Tier 2 element]:[Default Service Life]],2, FALSE)-1,0),0)</f>
        <v>0</v>
      </c>
      <c r="O329" s="322">
        <f>IFERROR((Calculations[[#This Row],[A1-3]]+Calculations[[#This Row],[A4]]+Calculations[[#This Row],[A5]]+Calculations[[#This Row],[C2 total]]+Calculations[[#This Row],[C3 total]]+Calculations[[#This Row],[C4 total]])*Calculations[[#This Row],[Replacements]],0)</f>
        <v>0</v>
      </c>
      <c r="S329" t="str">
        <f>IFERROR(VLOOKUP(Calculations[[#This Row],[Material (choose from dropdown]],MaterialData[#All],4,FALSE),"")</f>
        <v/>
      </c>
      <c r="T329" s="322" cm="1">
        <f t="array" ref="T329">IFERROR(VLOOKUP(Calculations[[#This Row],[Waste 1]],WasteScenario[#All],2,FALSE)*'Stage assumptions'!$C$225*WasteTransportMethod[Emissions Factor
kgCO2e/kg.km]*Calculations[[#This Row],[Total Kg]],0)</f>
        <v>0</v>
      </c>
      <c r="U329" s="322" cm="1">
        <f t="array" ref="U329">IFERROR(VLOOKUP(Calculations[[#This Row],[Waste 1]],WasteScenario[#All],3,FALSE)*'Stage assumptions'!$C$224*WasteTransportMethod[Emissions Factor
kgCO2e/kg.km]*Calculations[[#This Row],[Total Kg]],0)</f>
        <v>0</v>
      </c>
      <c r="V329" s="322" cm="1">
        <f t="array" ref="V329">IFERROR(VLOOKUP(Calculations[[#This Row],[Waste 1]],WasteScenario[#All],4,FALSE)*'Stage assumptions'!$C$223*WasteTransportMethod[Emissions Factor
kgCO2e/kg.km]*Calculations[[#This Row],[Total Kg]],0)</f>
        <v>0</v>
      </c>
      <c r="W329" s="322" cm="1">
        <f t="array" ref="W329">IFERROR(VLOOKUP(Calculations[[#This Row],[Waste 1]],WasteScenario[#All],5,FALSE)*'Stage assumptions'!$C$226*WasteTransportMethod[Emissions Factor
kgCO2e/kg.km]*Calculations[[#This Row],[Total Kg]],0)</f>
        <v>0</v>
      </c>
      <c r="X329" s="322">
        <f>SUM(Calculations[[#This Row],[C2 Recycle]:[C2 Reuse]])</f>
        <v>0</v>
      </c>
      <c r="Y329" t="str">
        <f>IFERROR(VLOOKUP(Calculations[[#This Row],[Material (choose from dropdown]],MaterialData[#All],5,FALSE),"")</f>
        <v/>
      </c>
      <c r="Z329" s="322">
        <f>IFERROR(((VLOOKUP(Calculations[[#This Row],[Waste type 2]],WasteDisposalEmissions[#All],2,FALSE))*Calculations[[#This Row],[Total Kg]])*VLOOKUP(Calculations[[#This Row],[Waste 1]],WasteScenario[#All],2,FALSE),0)</f>
        <v>0</v>
      </c>
      <c r="AA329" s="322">
        <f>IFERROR((VLOOKUP(Calculations[[#This Row],[Waste type 2]],WasteDisposalEmissions[#All],3,FALSE))*Calculations[[#This Row],[Total Kg]]*VLOOKUP(Calculations[[#This Row],[Waste 1]],WasteScenario[#All],3,FALSE),0)</f>
        <v>0</v>
      </c>
      <c r="AB329" s="322">
        <f>SUM(Calculations[[#This Row],[C3 recyc]:[C3 incin]])</f>
        <v>0</v>
      </c>
      <c r="AC329" s="334">
        <f>IFERROR((VLOOKUP(Calculations[[#This Row],[Waste type 2]],WasteLandfillEmissions[#All],2,FALSE))*Calculations[[#This Row],[Total Kg]]*VLOOKUP(Calculations[[#This Row],[Waste 1]],WasteScenario[#All],4,FALSE),0)</f>
        <v>0</v>
      </c>
      <c r="AD329" s="322">
        <f>IFERROR((VLOOKUP(Calculations[[#This Row],[Waste type 2]],WasteLandfillEmissions[#All],3,FALSE))*Calculations[[#This Row],[Total Kg]]*VLOOKUP(Calculations[[#This Row],[Waste 1]],WasteScenario[#All],4,FALSE),0)</f>
        <v>0</v>
      </c>
      <c r="AE329" s="322">
        <f>SUM(Calculations[[#This Row],[C4 landfill]:[C4 re-use]])</f>
        <v>0</v>
      </c>
      <c r="AF329" s="322">
        <f>IFERROR(VLOOKUP(Calculations[[#This Row],[Material (choose from dropdown]],MaterialData[#All],8,FALSE),0)</f>
        <v>0</v>
      </c>
      <c r="AG329" s="322">
        <f>IFERROR(Calculations[[#This Row],[Total Kg]]*Calculations[[#This Row],[Seq factor]],0)</f>
        <v>0</v>
      </c>
      <c r="AI329" s="322">
        <f>Calculations[[#This Row],[A1-3]]+Calculations[[#This Row],[A4]]+Calculations[[#This Row],[A5]]+Calculations[[#This Row],[B4]]+Calculations[[#This Row],[C2 total]]+Calculations[[#This Row],[C3 total]]+Calculations[[#This Row],[C4 total]]</f>
        <v>0</v>
      </c>
      <c r="AJ329" s="2">
        <f>IFERROR(VLOOKUP(Calculations[[#This Row],[Material (choose from dropdown]],MaterialData[[#Headers],[#Data]],9,FALSE),0)</f>
        <v>0</v>
      </c>
      <c r="AK329" s="4">
        <f>IFERROR(VLOOKUP(Calculations[[#This Row],[Material (choose from dropdown]],MaterialData[[#Headers],[#Data]],10,FALSE),0)</f>
        <v>0</v>
      </c>
      <c r="AL329" s="322">
        <f>IFERROR(Calculations[[#This Row],[Data Quality Score]]*Calculations[[#This Row],[Total Kg]],0)</f>
        <v>0</v>
      </c>
    </row>
    <row r="330" spans="1:38" x14ac:dyDescent="0.3">
      <c r="A330" s="6">
        <f>IFERROR(MaterialsBoQ[[#This Row],[Scope Element]],0)</f>
        <v>0</v>
      </c>
      <c r="B330" t="str">
        <f>IFERROR(MaterialsBoQ[[#This Row],[Material ]],"")</f>
        <v/>
      </c>
      <c r="C330" t="str">
        <f>IFERROR(MaterialsBoQ[[#This Row],[Unit]],"")</f>
        <v/>
      </c>
      <c r="D330" s="322">
        <f>IFERROR(MaterialsBoQ[[#This Row],[Number]],0)</f>
        <v>0</v>
      </c>
      <c r="E330" s="322">
        <f>IFERROR(MaterialsBoQ[[#This Row],[Kg per unit]],0)</f>
        <v>0</v>
      </c>
      <c r="F330" s="322">
        <f>IFERROR(Calculations[[#This Row],[Number]]*Calculations[[#This Row],[Conversion factor]],0)</f>
        <v>0</v>
      </c>
      <c r="G330" s="322">
        <f>IFERROR(VLOOKUP(Calculations[[#This Row],[Material (choose from dropdown]],MaterialData[#All],7,FALSE),0)</f>
        <v>0</v>
      </c>
      <c r="H330" s="322">
        <f>Calculations[[#This Row],[Total Kg]]*Calculations[[#This Row],[Carbon Factor]]</f>
        <v>0</v>
      </c>
      <c r="I330" t="str">
        <f>IFERROR(VLOOKUP(Calculations[[#This Row],[Material (choose from dropdown]],MaterialData[#All],2,FALSE),"")</f>
        <v/>
      </c>
      <c r="J330" s="322">
        <f>IFERROR(((VLOOKUP(Calculations[[#This Row],[TransportSource]],TransportDistance[],2,FALSE)*'Stage assumptions'!$C$11)+VLOOKUP(Calculations[[#This Row],[TransportSource]],TransportDistance[],3,FALSE)*'Stage assumptions'!$C$12)*Calculations[[#This Row],[Total Kg]],0)</f>
        <v>0</v>
      </c>
      <c r="K330">
        <f>IFERROR(VLOOKUP(Calculations[[#This Row],[Material (choose from dropdown]], MaterialData[#All],3, FALSE),0)</f>
        <v>0</v>
      </c>
      <c r="L330" s="322">
        <f>IFERROR(VLOOKUP(Calculations[[#This Row],[A5type]],A5WastageRate[#All],2,FALSE)*Calculations[[#This Row],[A1-3]],0)</f>
        <v>0</v>
      </c>
      <c r="N330">
        <f>IFERROR(ROUNDUP(50/VLOOKUP(Calculations[[#This Row],[Scope Element]],B4referenceServiceLife[[Tier 2 element]:[Default Service Life]],2, FALSE)-1,0),0)</f>
        <v>0</v>
      </c>
      <c r="O330" s="322">
        <f>IFERROR((Calculations[[#This Row],[A1-3]]+Calculations[[#This Row],[A4]]+Calculations[[#This Row],[A5]]+Calculations[[#This Row],[C2 total]]+Calculations[[#This Row],[C3 total]]+Calculations[[#This Row],[C4 total]])*Calculations[[#This Row],[Replacements]],0)</f>
        <v>0</v>
      </c>
      <c r="S330" t="str">
        <f>IFERROR(VLOOKUP(Calculations[[#This Row],[Material (choose from dropdown]],MaterialData[#All],4,FALSE),"")</f>
        <v/>
      </c>
      <c r="T330" s="322" cm="1">
        <f t="array" ref="T330">IFERROR(VLOOKUP(Calculations[[#This Row],[Waste 1]],WasteScenario[#All],2,FALSE)*'Stage assumptions'!$C$225*WasteTransportMethod[Emissions Factor
kgCO2e/kg.km]*Calculations[[#This Row],[Total Kg]],0)</f>
        <v>0</v>
      </c>
      <c r="U330" s="322" cm="1">
        <f t="array" ref="U330">IFERROR(VLOOKUP(Calculations[[#This Row],[Waste 1]],WasteScenario[#All],3,FALSE)*'Stage assumptions'!$C$224*WasteTransportMethod[Emissions Factor
kgCO2e/kg.km]*Calculations[[#This Row],[Total Kg]],0)</f>
        <v>0</v>
      </c>
      <c r="V330" s="322" cm="1">
        <f t="array" ref="V330">IFERROR(VLOOKUP(Calculations[[#This Row],[Waste 1]],WasteScenario[#All],4,FALSE)*'Stage assumptions'!$C$223*WasteTransportMethod[Emissions Factor
kgCO2e/kg.km]*Calculations[[#This Row],[Total Kg]],0)</f>
        <v>0</v>
      </c>
      <c r="W330" s="322" cm="1">
        <f t="array" ref="W330">IFERROR(VLOOKUP(Calculations[[#This Row],[Waste 1]],WasteScenario[#All],5,FALSE)*'Stage assumptions'!$C$226*WasteTransportMethod[Emissions Factor
kgCO2e/kg.km]*Calculations[[#This Row],[Total Kg]],0)</f>
        <v>0</v>
      </c>
      <c r="X330" s="322">
        <f>SUM(Calculations[[#This Row],[C2 Recycle]:[C2 Reuse]])</f>
        <v>0</v>
      </c>
      <c r="Y330" t="str">
        <f>IFERROR(VLOOKUP(Calculations[[#This Row],[Material (choose from dropdown]],MaterialData[#All],5,FALSE),"")</f>
        <v/>
      </c>
      <c r="Z330" s="322">
        <f>IFERROR(((VLOOKUP(Calculations[[#This Row],[Waste type 2]],WasteDisposalEmissions[#All],2,FALSE))*Calculations[[#This Row],[Total Kg]])*VLOOKUP(Calculations[[#This Row],[Waste 1]],WasteScenario[#All],2,FALSE),0)</f>
        <v>0</v>
      </c>
      <c r="AA330" s="322">
        <f>IFERROR((VLOOKUP(Calculations[[#This Row],[Waste type 2]],WasteDisposalEmissions[#All],3,FALSE))*Calculations[[#This Row],[Total Kg]]*VLOOKUP(Calculations[[#This Row],[Waste 1]],WasteScenario[#All],3,FALSE),0)</f>
        <v>0</v>
      </c>
      <c r="AB330" s="322">
        <f>SUM(Calculations[[#This Row],[C3 recyc]:[C3 incin]])</f>
        <v>0</v>
      </c>
      <c r="AC330" s="334">
        <f>IFERROR((VLOOKUP(Calculations[[#This Row],[Waste type 2]],WasteLandfillEmissions[#All],2,FALSE))*Calculations[[#This Row],[Total Kg]]*VLOOKUP(Calculations[[#This Row],[Waste 1]],WasteScenario[#All],4,FALSE),0)</f>
        <v>0</v>
      </c>
      <c r="AD330" s="322">
        <f>IFERROR((VLOOKUP(Calculations[[#This Row],[Waste type 2]],WasteLandfillEmissions[#All],3,FALSE))*Calculations[[#This Row],[Total Kg]]*VLOOKUP(Calculations[[#This Row],[Waste 1]],WasteScenario[#All],4,FALSE),0)</f>
        <v>0</v>
      </c>
      <c r="AE330" s="322">
        <f>SUM(Calculations[[#This Row],[C4 landfill]:[C4 re-use]])</f>
        <v>0</v>
      </c>
      <c r="AF330" s="322">
        <f>IFERROR(VLOOKUP(Calculations[[#This Row],[Material (choose from dropdown]],MaterialData[#All],8,FALSE),0)</f>
        <v>0</v>
      </c>
      <c r="AG330" s="322">
        <f>IFERROR(Calculations[[#This Row],[Total Kg]]*Calculations[[#This Row],[Seq factor]],0)</f>
        <v>0</v>
      </c>
      <c r="AI330" s="322">
        <f>Calculations[[#This Row],[A1-3]]+Calculations[[#This Row],[A4]]+Calculations[[#This Row],[A5]]+Calculations[[#This Row],[B4]]+Calculations[[#This Row],[C2 total]]+Calculations[[#This Row],[C3 total]]+Calculations[[#This Row],[C4 total]]</f>
        <v>0</v>
      </c>
      <c r="AJ330" s="2">
        <f>IFERROR(VLOOKUP(Calculations[[#This Row],[Material (choose from dropdown]],MaterialData[[#Headers],[#Data]],9,FALSE),0)</f>
        <v>0</v>
      </c>
      <c r="AK330" s="4">
        <f>IFERROR(VLOOKUP(Calculations[[#This Row],[Material (choose from dropdown]],MaterialData[[#Headers],[#Data]],10,FALSE),0)</f>
        <v>0</v>
      </c>
      <c r="AL330" s="322">
        <f>IFERROR(Calculations[[#This Row],[Data Quality Score]]*Calculations[[#This Row],[Total Kg]],0)</f>
        <v>0</v>
      </c>
    </row>
    <row r="331" spans="1:38" x14ac:dyDescent="0.3">
      <c r="A331" s="6">
        <f>IFERROR(MaterialsBoQ[[#This Row],[Scope Element]],0)</f>
        <v>0</v>
      </c>
      <c r="B331" t="str">
        <f>IFERROR(MaterialsBoQ[[#This Row],[Material ]],"")</f>
        <v/>
      </c>
      <c r="C331" t="str">
        <f>IFERROR(MaterialsBoQ[[#This Row],[Unit]],"")</f>
        <v/>
      </c>
      <c r="D331" s="322">
        <f>IFERROR(MaterialsBoQ[[#This Row],[Number]],0)</f>
        <v>0</v>
      </c>
      <c r="E331" s="322">
        <f>IFERROR(MaterialsBoQ[[#This Row],[Kg per unit]],0)</f>
        <v>0</v>
      </c>
      <c r="F331" s="322">
        <f>IFERROR(Calculations[[#This Row],[Number]]*Calculations[[#This Row],[Conversion factor]],0)</f>
        <v>0</v>
      </c>
      <c r="G331" s="322">
        <f>IFERROR(VLOOKUP(Calculations[[#This Row],[Material (choose from dropdown]],MaterialData[#All],7,FALSE),0)</f>
        <v>0</v>
      </c>
      <c r="H331" s="322">
        <f>Calculations[[#This Row],[Total Kg]]*Calculations[[#This Row],[Carbon Factor]]</f>
        <v>0</v>
      </c>
      <c r="I331" t="str">
        <f>IFERROR(VLOOKUP(Calculations[[#This Row],[Material (choose from dropdown]],MaterialData[#All],2,FALSE),"")</f>
        <v/>
      </c>
      <c r="J331" s="322">
        <f>IFERROR(((VLOOKUP(Calculations[[#This Row],[TransportSource]],TransportDistance[],2,FALSE)*'Stage assumptions'!$C$11)+VLOOKUP(Calculations[[#This Row],[TransportSource]],TransportDistance[],3,FALSE)*'Stage assumptions'!$C$12)*Calculations[[#This Row],[Total Kg]],0)</f>
        <v>0</v>
      </c>
      <c r="K331">
        <f>IFERROR(VLOOKUP(Calculations[[#This Row],[Material (choose from dropdown]], MaterialData[#All],3, FALSE),0)</f>
        <v>0</v>
      </c>
      <c r="L331" s="322">
        <f>IFERROR(VLOOKUP(Calculations[[#This Row],[A5type]],A5WastageRate[#All],2,FALSE)*Calculations[[#This Row],[A1-3]],0)</f>
        <v>0</v>
      </c>
      <c r="N331">
        <f>IFERROR(ROUNDUP(50/VLOOKUP(Calculations[[#This Row],[Scope Element]],B4referenceServiceLife[[Tier 2 element]:[Default Service Life]],2, FALSE)-1,0),0)</f>
        <v>0</v>
      </c>
      <c r="O331" s="322">
        <f>IFERROR((Calculations[[#This Row],[A1-3]]+Calculations[[#This Row],[A4]]+Calculations[[#This Row],[A5]]+Calculations[[#This Row],[C2 total]]+Calculations[[#This Row],[C3 total]]+Calculations[[#This Row],[C4 total]])*Calculations[[#This Row],[Replacements]],0)</f>
        <v>0</v>
      </c>
      <c r="S331" t="str">
        <f>IFERROR(VLOOKUP(Calculations[[#This Row],[Material (choose from dropdown]],MaterialData[#All],4,FALSE),"")</f>
        <v/>
      </c>
      <c r="T331" s="322" cm="1">
        <f t="array" ref="T331">IFERROR(VLOOKUP(Calculations[[#This Row],[Waste 1]],WasteScenario[#All],2,FALSE)*'Stage assumptions'!$C$225*WasteTransportMethod[Emissions Factor
kgCO2e/kg.km]*Calculations[[#This Row],[Total Kg]],0)</f>
        <v>0</v>
      </c>
      <c r="U331" s="322" cm="1">
        <f t="array" ref="U331">IFERROR(VLOOKUP(Calculations[[#This Row],[Waste 1]],WasteScenario[#All],3,FALSE)*'Stage assumptions'!$C$224*WasteTransportMethod[Emissions Factor
kgCO2e/kg.km]*Calculations[[#This Row],[Total Kg]],0)</f>
        <v>0</v>
      </c>
      <c r="V331" s="322" cm="1">
        <f t="array" ref="V331">IFERROR(VLOOKUP(Calculations[[#This Row],[Waste 1]],WasteScenario[#All],4,FALSE)*'Stage assumptions'!$C$223*WasteTransportMethod[Emissions Factor
kgCO2e/kg.km]*Calculations[[#This Row],[Total Kg]],0)</f>
        <v>0</v>
      </c>
      <c r="W331" s="322" cm="1">
        <f t="array" ref="W331">IFERROR(VLOOKUP(Calculations[[#This Row],[Waste 1]],WasteScenario[#All],5,FALSE)*'Stage assumptions'!$C$226*WasteTransportMethod[Emissions Factor
kgCO2e/kg.km]*Calculations[[#This Row],[Total Kg]],0)</f>
        <v>0</v>
      </c>
      <c r="X331" s="322">
        <f>SUM(Calculations[[#This Row],[C2 Recycle]:[C2 Reuse]])</f>
        <v>0</v>
      </c>
      <c r="Y331" t="str">
        <f>IFERROR(VLOOKUP(Calculations[[#This Row],[Material (choose from dropdown]],MaterialData[#All],5,FALSE),"")</f>
        <v/>
      </c>
      <c r="Z331" s="322">
        <f>IFERROR(((VLOOKUP(Calculations[[#This Row],[Waste type 2]],WasteDisposalEmissions[#All],2,FALSE))*Calculations[[#This Row],[Total Kg]])*VLOOKUP(Calculations[[#This Row],[Waste 1]],WasteScenario[#All],2,FALSE),0)</f>
        <v>0</v>
      </c>
      <c r="AA331" s="322">
        <f>IFERROR((VLOOKUP(Calculations[[#This Row],[Waste type 2]],WasteDisposalEmissions[#All],3,FALSE))*Calculations[[#This Row],[Total Kg]]*VLOOKUP(Calculations[[#This Row],[Waste 1]],WasteScenario[#All],3,FALSE),0)</f>
        <v>0</v>
      </c>
      <c r="AB331" s="322">
        <f>SUM(Calculations[[#This Row],[C3 recyc]:[C3 incin]])</f>
        <v>0</v>
      </c>
      <c r="AC331" s="334">
        <f>IFERROR((VLOOKUP(Calculations[[#This Row],[Waste type 2]],WasteLandfillEmissions[#All],2,FALSE))*Calculations[[#This Row],[Total Kg]]*VLOOKUP(Calculations[[#This Row],[Waste 1]],WasteScenario[#All],4,FALSE),0)</f>
        <v>0</v>
      </c>
      <c r="AD331" s="322">
        <f>IFERROR((VLOOKUP(Calculations[[#This Row],[Waste type 2]],WasteLandfillEmissions[#All],3,FALSE))*Calculations[[#This Row],[Total Kg]]*VLOOKUP(Calculations[[#This Row],[Waste 1]],WasteScenario[#All],4,FALSE),0)</f>
        <v>0</v>
      </c>
      <c r="AE331" s="322">
        <f>SUM(Calculations[[#This Row],[C4 landfill]:[C4 re-use]])</f>
        <v>0</v>
      </c>
      <c r="AF331" s="322">
        <f>IFERROR(VLOOKUP(Calculations[[#This Row],[Material (choose from dropdown]],MaterialData[#All],8,FALSE),0)</f>
        <v>0</v>
      </c>
      <c r="AG331" s="322">
        <f>IFERROR(Calculations[[#This Row],[Total Kg]]*Calculations[[#This Row],[Seq factor]],0)</f>
        <v>0</v>
      </c>
      <c r="AI331" s="322">
        <f>Calculations[[#This Row],[A1-3]]+Calculations[[#This Row],[A4]]+Calculations[[#This Row],[A5]]+Calculations[[#This Row],[B4]]+Calculations[[#This Row],[C2 total]]+Calculations[[#This Row],[C3 total]]+Calculations[[#This Row],[C4 total]]</f>
        <v>0</v>
      </c>
      <c r="AJ331" s="2">
        <f>IFERROR(VLOOKUP(Calculations[[#This Row],[Material (choose from dropdown]],MaterialData[[#Headers],[#Data]],9,FALSE),0)</f>
        <v>0</v>
      </c>
      <c r="AK331" s="4">
        <f>IFERROR(VLOOKUP(Calculations[[#This Row],[Material (choose from dropdown]],MaterialData[[#Headers],[#Data]],10,FALSE),0)</f>
        <v>0</v>
      </c>
      <c r="AL331" s="322">
        <f>IFERROR(Calculations[[#This Row],[Data Quality Score]]*Calculations[[#This Row],[Total Kg]],0)</f>
        <v>0</v>
      </c>
    </row>
    <row r="332" spans="1:38" x14ac:dyDescent="0.3">
      <c r="A332" s="6">
        <f>IFERROR(MaterialsBoQ[[#This Row],[Scope Element]],0)</f>
        <v>0</v>
      </c>
      <c r="B332" t="str">
        <f>IFERROR(MaterialsBoQ[[#This Row],[Material ]],"")</f>
        <v/>
      </c>
      <c r="C332" t="str">
        <f>IFERROR(MaterialsBoQ[[#This Row],[Unit]],"")</f>
        <v/>
      </c>
      <c r="D332" s="322">
        <f>IFERROR(MaterialsBoQ[[#This Row],[Number]],0)</f>
        <v>0</v>
      </c>
      <c r="E332" s="322">
        <f>IFERROR(MaterialsBoQ[[#This Row],[Kg per unit]],0)</f>
        <v>0</v>
      </c>
      <c r="F332" s="322">
        <f>IFERROR(Calculations[[#This Row],[Number]]*Calculations[[#This Row],[Conversion factor]],0)</f>
        <v>0</v>
      </c>
      <c r="G332" s="322">
        <f>IFERROR(VLOOKUP(Calculations[[#This Row],[Material (choose from dropdown]],MaterialData[#All],7,FALSE),0)</f>
        <v>0</v>
      </c>
      <c r="H332" s="322">
        <f>Calculations[[#This Row],[Total Kg]]*Calculations[[#This Row],[Carbon Factor]]</f>
        <v>0</v>
      </c>
      <c r="I332" t="str">
        <f>IFERROR(VLOOKUP(Calculations[[#This Row],[Material (choose from dropdown]],MaterialData[#All],2,FALSE),"")</f>
        <v/>
      </c>
      <c r="J332" s="322">
        <f>IFERROR(((VLOOKUP(Calculations[[#This Row],[TransportSource]],TransportDistance[],2,FALSE)*'Stage assumptions'!$C$11)+VLOOKUP(Calculations[[#This Row],[TransportSource]],TransportDistance[],3,FALSE)*'Stage assumptions'!$C$12)*Calculations[[#This Row],[Total Kg]],0)</f>
        <v>0</v>
      </c>
      <c r="K332">
        <f>IFERROR(VLOOKUP(Calculations[[#This Row],[Material (choose from dropdown]], MaterialData[#All],3, FALSE),0)</f>
        <v>0</v>
      </c>
      <c r="L332" s="322">
        <f>IFERROR(VLOOKUP(Calculations[[#This Row],[A5type]],A5WastageRate[#All],2,FALSE)*Calculations[[#This Row],[A1-3]],0)</f>
        <v>0</v>
      </c>
      <c r="N332">
        <f>IFERROR(ROUNDUP(50/VLOOKUP(Calculations[[#This Row],[Scope Element]],B4referenceServiceLife[[Tier 2 element]:[Default Service Life]],2, FALSE)-1,0),0)</f>
        <v>0</v>
      </c>
      <c r="O332" s="322">
        <f>IFERROR((Calculations[[#This Row],[A1-3]]+Calculations[[#This Row],[A4]]+Calculations[[#This Row],[A5]]+Calculations[[#This Row],[C2 total]]+Calculations[[#This Row],[C3 total]]+Calculations[[#This Row],[C4 total]])*Calculations[[#This Row],[Replacements]],0)</f>
        <v>0</v>
      </c>
      <c r="S332" t="str">
        <f>IFERROR(VLOOKUP(Calculations[[#This Row],[Material (choose from dropdown]],MaterialData[#All],4,FALSE),"")</f>
        <v/>
      </c>
      <c r="T332" s="322" cm="1">
        <f t="array" ref="T332">IFERROR(VLOOKUP(Calculations[[#This Row],[Waste 1]],WasteScenario[#All],2,FALSE)*'Stage assumptions'!$C$225*WasteTransportMethod[Emissions Factor
kgCO2e/kg.km]*Calculations[[#This Row],[Total Kg]],0)</f>
        <v>0</v>
      </c>
      <c r="U332" s="322" cm="1">
        <f t="array" ref="U332">IFERROR(VLOOKUP(Calculations[[#This Row],[Waste 1]],WasteScenario[#All],3,FALSE)*'Stage assumptions'!$C$224*WasteTransportMethod[Emissions Factor
kgCO2e/kg.km]*Calculations[[#This Row],[Total Kg]],0)</f>
        <v>0</v>
      </c>
      <c r="V332" s="322" cm="1">
        <f t="array" ref="V332">IFERROR(VLOOKUP(Calculations[[#This Row],[Waste 1]],WasteScenario[#All],4,FALSE)*'Stage assumptions'!$C$223*WasteTransportMethod[Emissions Factor
kgCO2e/kg.km]*Calculations[[#This Row],[Total Kg]],0)</f>
        <v>0</v>
      </c>
      <c r="W332" s="322" cm="1">
        <f t="array" ref="W332">IFERROR(VLOOKUP(Calculations[[#This Row],[Waste 1]],WasteScenario[#All],5,FALSE)*'Stage assumptions'!$C$226*WasteTransportMethod[Emissions Factor
kgCO2e/kg.km]*Calculations[[#This Row],[Total Kg]],0)</f>
        <v>0</v>
      </c>
      <c r="X332" s="322">
        <f>SUM(Calculations[[#This Row],[C2 Recycle]:[C2 Reuse]])</f>
        <v>0</v>
      </c>
      <c r="Y332" t="str">
        <f>IFERROR(VLOOKUP(Calculations[[#This Row],[Material (choose from dropdown]],MaterialData[#All],5,FALSE),"")</f>
        <v/>
      </c>
      <c r="Z332" s="322">
        <f>IFERROR(((VLOOKUP(Calculations[[#This Row],[Waste type 2]],WasteDisposalEmissions[#All],2,FALSE))*Calculations[[#This Row],[Total Kg]])*VLOOKUP(Calculations[[#This Row],[Waste 1]],WasteScenario[#All],2,FALSE),0)</f>
        <v>0</v>
      </c>
      <c r="AA332" s="322">
        <f>IFERROR((VLOOKUP(Calculations[[#This Row],[Waste type 2]],WasteDisposalEmissions[#All],3,FALSE))*Calculations[[#This Row],[Total Kg]]*VLOOKUP(Calculations[[#This Row],[Waste 1]],WasteScenario[#All],3,FALSE),0)</f>
        <v>0</v>
      </c>
      <c r="AB332" s="322">
        <f>SUM(Calculations[[#This Row],[C3 recyc]:[C3 incin]])</f>
        <v>0</v>
      </c>
      <c r="AC332" s="334">
        <f>IFERROR((VLOOKUP(Calculations[[#This Row],[Waste type 2]],WasteLandfillEmissions[#All],2,FALSE))*Calculations[[#This Row],[Total Kg]]*VLOOKUP(Calculations[[#This Row],[Waste 1]],WasteScenario[#All],4,FALSE),0)</f>
        <v>0</v>
      </c>
      <c r="AD332" s="322">
        <f>IFERROR((VLOOKUP(Calculations[[#This Row],[Waste type 2]],WasteLandfillEmissions[#All],3,FALSE))*Calculations[[#This Row],[Total Kg]]*VLOOKUP(Calculations[[#This Row],[Waste 1]],WasteScenario[#All],4,FALSE),0)</f>
        <v>0</v>
      </c>
      <c r="AE332" s="322">
        <f>SUM(Calculations[[#This Row],[C4 landfill]:[C4 re-use]])</f>
        <v>0</v>
      </c>
      <c r="AF332" s="322">
        <f>IFERROR(VLOOKUP(Calculations[[#This Row],[Material (choose from dropdown]],MaterialData[#All],8,FALSE),0)</f>
        <v>0</v>
      </c>
      <c r="AG332" s="322">
        <f>IFERROR(Calculations[[#This Row],[Total Kg]]*Calculations[[#This Row],[Seq factor]],0)</f>
        <v>0</v>
      </c>
      <c r="AI332" s="322">
        <f>Calculations[[#This Row],[A1-3]]+Calculations[[#This Row],[A4]]+Calculations[[#This Row],[A5]]+Calculations[[#This Row],[B4]]+Calculations[[#This Row],[C2 total]]+Calculations[[#This Row],[C3 total]]+Calculations[[#This Row],[C4 total]]</f>
        <v>0</v>
      </c>
      <c r="AJ332" s="2">
        <f>IFERROR(VLOOKUP(Calculations[[#This Row],[Material (choose from dropdown]],MaterialData[[#Headers],[#Data]],9,FALSE),0)</f>
        <v>0</v>
      </c>
      <c r="AK332" s="4">
        <f>IFERROR(VLOOKUP(Calculations[[#This Row],[Material (choose from dropdown]],MaterialData[[#Headers],[#Data]],10,FALSE),0)</f>
        <v>0</v>
      </c>
      <c r="AL332" s="322">
        <f>IFERROR(Calculations[[#This Row],[Data Quality Score]]*Calculations[[#This Row],[Total Kg]],0)</f>
        <v>0</v>
      </c>
    </row>
    <row r="333" spans="1:38" x14ac:dyDescent="0.3">
      <c r="A333" s="6">
        <f>IFERROR(MaterialsBoQ[[#This Row],[Scope Element]],0)</f>
        <v>0</v>
      </c>
      <c r="B333" t="str">
        <f>IFERROR(MaterialsBoQ[[#This Row],[Material ]],"")</f>
        <v/>
      </c>
      <c r="C333" t="str">
        <f>IFERROR(MaterialsBoQ[[#This Row],[Unit]],"")</f>
        <v/>
      </c>
      <c r="D333" s="322">
        <f>IFERROR(MaterialsBoQ[[#This Row],[Number]],0)</f>
        <v>0</v>
      </c>
      <c r="E333" s="322">
        <f>IFERROR(MaterialsBoQ[[#This Row],[Kg per unit]],0)</f>
        <v>0</v>
      </c>
      <c r="F333" s="322">
        <f>IFERROR(Calculations[[#This Row],[Number]]*Calculations[[#This Row],[Conversion factor]],0)</f>
        <v>0</v>
      </c>
      <c r="G333" s="322">
        <f>IFERROR(VLOOKUP(Calculations[[#This Row],[Material (choose from dropdown]],MaterialData[#All],7,FALSE),0)</f>
        <v>0</v>
      </c>
      <c r="H333" s="322">
        <f>Calculations[[#This Row],[Total Kg]]*Calculations[[#This Row],[Carbon Factor]]</f>
        <v>0</v>
      </c>
      <c r="I333" t="str">
        <f>IFERROR(VLOOKUP(Calculations[[#This Row],[Material (choose from dropdown]],MaterialData[#All],2,FALSE),"")</f>
        <v/>
      </c>
      <c r="J333" s="322">
        <f>IFERROR(((VLOOKUP(Calculations[[#This Row],[TransportSource]],TransportDistance[],2,FALSE)*'Stage assumptions'!$C$11)+VLOOKUP(Calculations[[#This Row],[TransportSource]],TransportDistance[],3,FALSE)*'Stage assumptions'!$C$12)*Calculations[[#This Row],[Total Kg]],0)</f>
        <v>0</v>
      </c>
      <c r="K333">
        <f>IFERROR(VLOOKUP(Calculations[[#This Row],[Material (choose from dropdown]], MaterialData[#All],3, FALSE),0)</f>
        <v>0</v>
      </c>
      <c r="L333" s="322">
        <f>IFERROR(VLOOKUP(Calculations[[#This Row],[A5type]],A5WastageRate[#All],2,FALSE)*Calculations[[#This Row],[A1-3]],0)</f>
        <v>0</v>
      </c>
      <c r="N333">
        <f>IFERROR(ROUNDUP(50/VLOOKUP(Calculations[[#This Row],[Scope Element]],B4referenceServiceLife[[Tier 2 element]:[Default Service Life]],2, FALSE)-1,0),0)</f>
        <v>0</v>
      </c>
      <c r="O333" s="322">
        <f>IFERROR((Calculations[[#This Row],[A1-3]]+Calculations[[#This Row],[A4]]+Calculations[[#This Row],[A5]]+Calculations[[#This Row],[C2 total]]+Calculations[[#This Row],[C3 total]]+Calculations[[#This Row],[C4 total]])*Calculations[[#This Row],[Replacements]],0)</f>
        <v>0</v>
      </c>
      <c r="S333" t="str">
        <f>IFERROR(VLOOKUP(Calculations[[#This Row],[Material (choose from dropdown]],MaterialData[#All],4,FALSE),"")</f>
        <v/>
      </c>
      <c r="T333" s="322" cm="1">
        <f t="array" ref="T333">IFERROR(VLOOKUP(Calculations[[#This Row],[Waste 1]],WasteScenario[#All],2,FALSE)*'Stage assumptions'!$C$225*WasteTransportMethod[Emissions Factor
kgCO2e/kg.km]*Calculations[[#This Row],[Total Kg]],0)</f>
        <v>0</v>
      </c>
      <c r="U333" s="322" cm="1">
        <f t="array" ref="U333">IFERROR(VLOOKUP(Calculations[[#This Row],[Waste 1]],WasteScenario[#All],3,FALSE)*'Stage assumptions'!$C$224*WasteTransportMethod[Emissions Factor
kgCO2e/kg.km]*Calculations[[#This Row],[Total Kg]],0)</f>
        <v>0</v>
      </c>
      <c r="V333" s="322" cm="1">
        <f t="array" ref="V333">IFERROR(VLOOKUP(Calculations[[#This Row],[Waste 1]],WasteScenario[#All],4,FALSE)*'Stage assumptions'!$C$223*WasteTransportMethod[Emissions Factor
kgCO2e/kg.km]*Calculations[[#This Row],[Total Kg]],0)</f>
        <v>0</v>
      </c>
      <c r="W333" s="322" cm="1">
        <f t="array" ref="W333">IFERROR(VLOOKUP(Calculations[[#This Row],[Waste 1]],WasteScenario[#All],5,FALSE)*'Stage assumptions'!$C$226*WasteTransportMethod[Emissions Factor
kgCO2e/kg.km]*Calculations[[#This Row],[Total Kg]],0)</f>
        <v>0</v>
      </c>
      <c r="X333" s="322">
        <f>SUM(Calculations[[#This Row],[C2 Recycle]:[C2 Reuse]])</f>
        <v>0</v>
      </c>
      <c r="Y333" t="str">
        <f>IFERROR(VLOOKUP(Calculations[[#This Row],[Material (choose from dropdown]],MaterialData[#All],5,FALSE),"")</f>
        <v/>
      </c>
      <c r="Z333" s="322">
        <f>IFERROR(((VLOOKUP(Calculations[[#This Row],[Waste type 2]],WasteDisposalEmissions[#All],2,FALSE))*Calculations[[#This Row],[Total Kg]])*VLOOKUP(Calculations[[#This Row],[Waste 1]],WasteScenario[#All],2,FALSE),0)</f>
        <v>0</v>
      </c>
      <c r="AA333" s="322">
        <f>IFERROR((VLOOKUP(Calculations[[#This Row],[Waste type 2]],WasteDisposalEmissions[#All],3,FALSE))*Calculations[[#This Row],[Total Kg]]*VLOOKUP(Calculations[[#This Row],[Waste 1]],WasteScenario[#All],3,FALSE),0)</f>
        <v>0</v>
      </c>
      <c r="AB333" s="322">
        <f>SUM(Calculations[[#This Row],[C3 recyc]:[C3 incin]])</f>
        <v>0</v>
      </c>
      <c r="AC333" s="334">
        <f>IFERROR((VLOOKUP(Calculations[[#This Row],[Waste type 2]],WasteLandfillEmissions[#All],2,FALSE))*Calculations[[#This Row],[Total Kg]]*VLOOKUP(Calculations[[#This Row],[Waste 1]],WasteScenario[#All],4,FALSE),0)</f>
        <v>0</v>
      </c>
      <c r="AD333" s="322">
        <f>IFERROR((VLOOKUP(Calculations[[#This Row],[Waste type 2]],WasteLandfillEmissions[#All],3,FALSE))*Calculations[[#This Row],[Total Kg]]*VLOOKUP(Calculations[[#This Row],[Waste 1]],WasteScenario[#All],4,FALSE),0)</f>
        <v>0</v>
      </c>
      <c r="AE333" s="322">
        <f>SUM(Calculations[[#This Row],[C4 landfill]:[C4 re-use]])</f>
        <v>0</v>
      </c>
      <c r="AF333" s="322">
        <f>IFERROR(VLOOKUP(Calculations[[#This Row],[Material (choose from dropdown]],MaterialData[#All],8,FALSE),0)</f>
        <v>0</v>
      </c>
      <c r="AG333" s="322">
        <f>IFERROR(Calculations[[#This Row],[Total Kg]]*Calculations[[#This Row],[Seq factor]],0)</f>
        <v>0</v>
      </c>
      <c r="AI333" s="322">
        <f>Calculations[[#This Row],[A1-3]]+Calculations[[#This Row],[A4]]+Calculations[[#This Row],[A5]]+Calculations[[#This Row],[B4]]+Calculations[[#This Row],[C2 total]]+Calculations[[#This Row],[C3 total]]+Calculations[[#This Row],[C4 total]]</f>
        <v>0</v>
      </c>
      <c r="AJ333" s="2">
        <f>IFERROR(VLOOKUP(Calculations[[#This Row],[Material (choose from dropdown]],MaterialData[[#Headers],[#Data]],9,FALSE),0)</f>
        <v>0</v>
      </c>
      <c r="AK333" s="4">
        <f>IFERROR(VLOOKUP(Calculations[[#This Row],[Material (choose from dropdown]],MaterialData[[#Headers],[#Data]],10,FALSE),0)</f>
        <v>0</v>
      </c>
      <c r="AL333" s="322">
        <f>IFERROR(Calculations[[#This Row],[Data Quality Score]]*Calculations[[#This Row],[Total Kg]],0)</f>
        <v>0</v>
      </c>
    </row>
    <row r="334" spans="1:38" x14ac:dyDescent="0.3">
      <c r="A334" s="6">
        <f>IFERROR(MaterialsBoQ[[#This Row],[Scope Element]],0)</f>
        <v>0</v>
      </c>
      <c r="B334" t="str">
        <f>IFERROR(MaterialsBoQ[[#This Row],[Material ]],"")</f>
        <v/>
      </c>
      <c r="C334" t="str">
        <f>IFERROR(MaterialsBoQ[[#This Row],[Unit]],"")</f>
        <v/>
      </c>
      <c r="D334" s="322">
        <f>IFERROR(MaterialsBoQ[[#This Row],[Number]],0)</f>
        <v>0</v>
      </c>
      <c r="E334" s="322">
        <f>IFERROR(MaterialsBoQ[[#This Row],[Kg per unit]],0)</f>
        <v>0</v>
      </c>
      <c r="F334" s="322">
        <f>IFERROR(Calculations[[#This Row],[Number]]*Calculations[[#This Row],[Conversion factor]],0)</f>
        <v>0</v>
      </c>
      <c r="G334" s="322">
        <f>IFERROR(VLOOKUP(Calculations[[#This Row],[Material (choose from dropdown]],MaterialData[#All],7,FALSE),0)</f>
        <v>0</v>
      </c>
      <c r="H334" s="322">
        <f>Calculations[[#This Row],[Total Kg]]*Calculations[[#This Row],[Carbon Factor]]</f>
        <v>0</v>
      </c>
      <c r="I334" t="str">
        <f>IFERROR(VLOOKUP(Calculations[[#This Row],[Material (choose from dropdown]],MaterialData[#All],2,FALSE),"")</f>
        <v/>
      </c>
      <c r="J334" s="322">
        <f>IFERROR(((VLOOKUP(Calculations[[#This Row],[TransportSource]],TransportDistance[],2,FALSE)*'Stage assumptions'!$C$11)+VLOOKUP(Calculations[[#This Row],[TransportSource]],TransportDistance[],3,FALSE)*'Stage assumptions'!$C$12)*Calculations[[#This Row],[Total Kg]],0)</f>
        <v>0</v>
      </c>
      <c r="K334">
        <f>IFERROR(VLOOKUP(Calculations[[#This Row],[Material (choose from dropdown]], MaterialData[#All],3, FALSE),0)</f>
        <v>0</v>
      </c>
      <c r="L334" s="322">
        <f>IFERROR(VLOOKUP(Calculations[[#This Row],[A5type]],A5WastageRate[#All],2,FALSE)*Calculations[[#This Row],[A1-3]],0)</f>
        <v>0</v>
      </c>
      <c r="N334">
        <f>IFERROR(ROUNDUP(50/VLOOKUP(Calculations[[#This Row],[Scope Element]],B4referenceServiceLife[[Tier 2 element]:[Default Service Life]],2, FALSE)-1,0),0)</f>
        <v>0</v>
      </c>
      <c r="O334" s="322">
        <f>IFERROR((Calculations[[#This Row],[A1-3]]+Calculations[[#This Row],[A4]]+Calculations[[#This Row],[A5]]+Calculations[[#This Row],[C2 total]]+Calculations[[#This Row],[C3 total]]+Calculations[[#This Row],[C4 total]])*Calculations[[#This Row],[Replacements]],0)</f>
        <v>0</v>
      </c>
      <c r="S334" t="str">
        <f>IFERROR(VLOOKUP(Calculations[[#This Row],[Material (choose from dropdown]],MaterialData[#All],4,FALSE),"")</f>
        <v/>
      </c>
      <c r="T334" s="322" cm="1">
        <f t="array" ref="T334">IFERROR(VLOOKUP(Calculations[[#This Row],[Waste 1]],WasteScenario[#All],2,FALSE)*'Stage assumptions'!$C$225*WasteTransportMethod[Emissions Factor
kgCO2e/kg.km]*Calculations[[#This Row],[Total Kg]],0)</f>
        <v>0</v>
      </c>
      <c r="U334" s="322" cm="1">
        <f t="array" ref="U334">IFERROR(VLOOKUP(Calculations[[#This Row],[Waste 1]],WasteScenario[#All],3,FALSE)*'Stage assumptions'!$C$224*WasteTransportMethod[Emissions Factor
kgCO2e/kg.km]*Calculations[[#This Row],[Total Kg]],0)</f>
        <v>0</v>
      </c>
      <c r="V334" s="322" cm="1">
        <f t="array" ref="V334">IFERROR(VLOOKUP(Calculations[[#This Row],[Waste 1]],WasteScenario[#All],4,FALSE)*'Stage assumptions'!$C$223*WasteTransportMethod[Emissions Factor
kgCO2e/kg.km]*Calculations[[#This Row],[Total Kg]],0)</f>
        <v>0</v>
      </c>
      <c r="W334" s="322" cm="1">
        <f t="array" ref="W334">IFERROR(VLOOKUP(Calculations[[#This Row],[Waste 1]],WasteScenario[#All],5,FALSE)*'Stage assumptions'!$C$226*WasteTransportMethod[Emissions Factor
kgCO2e/kg.km]*Calculations[[#This Row],[Total Kg]],0)</f>
        <v>0</v>
      </c>
      <c r="X334" s="322">
        <f>SUM(Calculations[[#This Row],[C2 Recycle]:[C2 Reuse]])</f>
        <v>0</v>
      </c>
      <c r="Y334" t="str">
        <f>IFERROR(VLOOKUP(Calculations[[#This Row],[Material (choose from dropdown]],MaterialData[#All],5,FALSE),"")</f>
        <v/>
      </c>
      <c r="Z334" s="322">
        <f>IFERROR(((VLOOKUP(Calculations[[#This Row],[Waste type 2]],WasteDisposalEmissions[#All],2,FALSE))*Calculations[[#This Row],[Total Kg]])*VLOOKUP(Calculations[[#This Row],[Waste 1]],WasteScenario[#All],2,FALSE),0)</f>
        <v>0</v>
      </c>
      <c r="AA334" s="322">
        <f>IFERROR((VLOOKUP(Calculations[[#This Row],[Waste type 2]],WasteDisposalEmissions[#All],3,FALSE))*Calculations[[#This Row],[Total Kg]]*VLOOKUP(Calculations[[#This Row],[Waste 1]],WasteScenario[#All],3,FALSE),0)</f>
        <v>0</v>
      </c>
      <c r="AB334" s="322">
        <f>SUM(Calculations[[#This Row],[C3 recyc]:[C3 incin]])</f>
        <v>0</v>
      </c>
      <c r="AC334" s="334">
        <f>IFERROR((VLOOKUP(Calculations[[#This Row],[Waste type 2]],WasteLandfillEmissions[#All],2,FALSE))*Calculations[[#This Row],[Total Kg]]*VLOOKUP(Calculations[[#This Row],[Waste 1]],WasteScenario[#All],4,FALSE),0)</f>
        <v>0</v>
      </c>
      <c r="AD334" s="322">
        <f>IFERROR((VLOOKUP(Calculations[[#This Row],[Waste type 2]],WasteLandfillEmissions[#All],3,FALSE))*Calculations[[#This Row],[Total Kg]]*VLOOKUP(Calculations[[#This Row],[Waste 1]],WasteScenario[#All],4,FALSE),0)</f>
        <v>0</v>
      </c>
      <c r="AE334" s="322">
        <f>SUM(Calculations[[#This Row],[C4 landfill]:[C4 re-use]])</f>
        <v>0</v>
      </c>
      <c r="AF334" s="322">
        <f>IFERROR(VLOOKUP(Calculations[[#This Row],[Material (choose from dropdown]],MaterialData[#All],8,FALSE),0)</f>
        <v>0</v>
      </c>
      <c r="AG334" s="322">
        <f>IFERROR(Calculations[[#This Row],[Total Kg]]*Calculations[[#This Row],[Seq factor]],0)</f>
        <v>0</v>
      </c>
      <c r="AI334" s="322">
        <f>Calculations[[#This Row],[A1-3]]+Calculations[[#This Row],[A4]]+Calculations[[#This Row],[A5]]+Calculations[[#This Row],[B4]]+Calculations[[#This Row],[C2 total]]+Calculations[[#This Row],[C3 total]]+Calculations[[#This Row],[C4 total]]</f>
        <v>0</v>
      </c>
      <c r="AJ334" s="2">
        <f>IFERROR(VLOOKUP(Calculations[[#This Row],[Material (choose from dropdown]],MaterialData[[#Headers],[#Data]],9,FALSE),0)</f>
        <v>0</v>
      </c>
      <c r="AK334" s="4">
        <f>IFERROR(VLOOKUP(Calculations[[#This Row],[Material (choose from dropdown]],MaterialData[[#Headers],[#Data]],10,FALSE),0)</f>
        <v>0</v>
      </c>
      <c r="AL334" s="322">
        <f>IFERROR(Calculations[[#This Row],[Data Quality Score]]*Calculations[[#This Row],[Total Kg]],0)</f>
        <v>0</v>
      </c>
    </row>
    <row r="335" spans="1:38" x14ac:dyDescent="0.3">
      <c r="A335" s="6">
        <f>IFERROR(MaterialsBoQ[[#This Row],[Scope Element]],0)</f>
        <v>0</v>
      </c>
      <c r="B335" t="str">
        <f>IFERROR(MaterialsBoQ[[#This Row],[Material ]],"")</f>
        <v/>
      </c>
      <c r="C335" t="str">
        <f>IFERROR(MaterialsBoQ[[#This Row],[Unit]],"")</f>
        <v/>
      </c>
      <c r="D335" s="322">
        <f>IFERROR(MaterialsBoQ[[#This Row],[Number]],0)</f>
        <v>0</v>
      </c>
      <c r="E335" s="322">
        <f>IFERROR(MaterialsBoQ[[#This Row],[Kg per unit]],0)</f>
        <v>0</v>
      </c>
      <c r="F335" s="322">
        <f>IFERROR(Calculations[[#This Row],[Number]]*Calculations[[#This Row],[Conversion factor]],0)</f>
        <v>0</v>
      </c>
      <c r="G335" s="322">
        <f>IFERROR(VLOOKUP(Calculations[[#This Row],[Material (choose from dropdown]],MaterialData[#All],7,FALSE),0)</f>
        <v>0</v>
      </c>
      <c r="H335" s="322">
        <f>Calculations[[#This Row],[Total Kg]]*Calculations[[#This Row],[Carbon Factor]]</f>
        <v>0</v>
      </c>
      <c r="I335" t="str">
        <f>IFERROR(VLOOKUP(Calculations[[#This Row],[Material (choose from dropdown]],MaterialData[#All],2,FALSE),"")</f>
        <v/>
      </c>
      <c r="J335" s="322">
        <f>IFERROR(((VLOOKUP(Calculations[[#This Row],[TransportSource]],TransportDistance[],2,FALSE)*'Stage assumptions'!$C$11)+VLOOKUP(Calculations[[#This Row],[TransportSource]],TransportDistance[],3,FALSE)*'Stage assumptions'!$C$12)*Calculations[[#This Row],[Total Kg]],0)</f>
        <v>0</v>
      </c>
      <c r="K335">
        <f>IFERROR(VLOOKUP(Calculations[[#This Row],[Material (choose from dropdown]], MaterialData[#All],3, FALSE),0)</f>
        <v>0</v>
      </c>
      <c r="L335" s="322">
        <f>IFERROR(VLOOKUP(Calculations[[#This Row],[A5type]],A5WastageRate[#All],2,FALSE)*Calculations[[#This Row],[A1-3]],0)</f>
        <v>0</v>
      </c>
      <c r="N335">
        <f>IFERROR(ROUNDUP(50/VLOOKUP(Calculations[[#This Row],[Scope Element]],B4referenceServiceLife[[Tier 2 element]:[Default Service Life]],2, FALSE)-1,0),0)</f>
        <v>0</v>
      </c>
      <c r="O335" s="322">
        <f>IFERROR((Calculations[[#This Row],[A1-3]]+Calculations[[#This Row],[A4]]+Calculations[[#This Row],[A5]]+Calculations[[#This Row],[C2 total]]+Calculations[[#This Row],[C3 total]]+Calculations[[#This Row],[C4 total]])*Calculations[[#This Row],[Replacements]],0)</f>
        <v>0</v>
      </c>
      <c r="S335" t="str">
        <f>IFERROR(VLOOKUP(Calculations[[#This Row],[Material (choose from dropdown]],MaterialData[#All],4,FALSE),"")</f>
        <v/>
      </c>
      <c r="T335" s="322" cm="1">
        <f t="array" ref="T335">IFERROR(VLOOKUP(Calculations[[#This Row],[Waste 1]],WasteScenario[#All],2,FALSE)*'Stage assumptions'!$C$225*WasteTransportMethod[Emissions Factor
kgCO2e/kg.km]*Calculations[[#This Row],[Total Kg]],0)</f>
        <v>0</v>
      </c>
      <c r="U335" s="322" cm="1">
        <f t="array" ref="U335">IFERROR(VLOOKUP(Calculations[[#This Row],[Waste 1]],WasteScenario[#All],3,FALSE)*'Stage assumptions'!$C$224*WasteTransportMethod[Emissions Factor
kgCO2e/kg.km]*Calculations[[#This Row],[Total Kg]],0)</f>
        <v>0</v>
      </c>
      <c r="V335" s="322" cm="1">
        <f t="array" ref="V335">IFERROR(VLOOKUP(Calculations[[#This Row],[Waste 1]],WasteScenario[#All],4,FALSE)*'Stage assumptions'!$C$223*WasteTransportMethod[Emissions Factor
kgCO2e/kg.km]*Calculations[[#This Row],[Total Kg]],0)</f>
        <v>0</v>
      </c>
      <c r="W335" s="322" cm="1">
        <f t="array" ref="W335">IFERROR(VLOOKUP(Calculations[[#This Row],[Waste 1]],WasteScenario[#All],5,FALSE)*'Stage assumptions'!$C$226*WasteTransportMethod[Emissions Factor
kgCO2e/kg.km]*Calculations[[#This Row],[Total Kg]],0)</f>
        <v>0</v>
      </c>
      <c r="X335" s="322">
        <f>SUM(Calculations[[#This Row],[C2 Recycle]:[C2 Reuse]])</f>
        <v>0</v>
      </c>
      <c r="Y335" t="str">
        <f>IFERROR(VLOOKUP(Calculations[[#This Row],[Material (choose from dropdown]],MaterialData[#All],5,FALSE),"")</f>
        <v/>
      </c>
      <c r="Z335" s="322">
        <f>IFERROR(((VLOOKUP(Calculations[[#This Row],[Waste type 2]],WasteDisposalEmissions[#All],2,FALSE))*Calculations[[#This Row],[Total Kg]])*VLOOKUP(Calculations[[#This Row],[Waste 1]],WasteScenario[#All],2,FALSE),0)</f>
        <v>0</v>
      </c>
      <c r="AA335" s="322">
        <f>IFERROR((VLOOKUP(Calculations[[#This Row],[Waste type 2]],WasteDisposalEmissions[#All],3,FALSE))*Calculations[[#This Row],[Total Kg]]*VLOOKUP(Calculations[[#This Row],[Waste 1]],WasteScenario[#All],3,FALSE),0)</f>
        <v>0</v>
      </c>
      <c r="AB335" s="322">
        <f>SUM(Calculations[[#This Row],[C3 recyc]:[C3 incin]])</f>
        <v>0</v>
      </c>
      <c r="AC335" s="334">
        <f>IFERROR((VLOOKUP(Calculations[[#This Row],[Waste type 2]],WasteLandfillEmissions[#All],2,FALSE))*Calculations[[#This Row],[Total Kg]]*VLOOKUP(Calculations[[#This Row],[Waste 1]],WasteScenario[#All],4,FALSE),0)</f>
        <v>0</v>
      </c>
      <c r="AD335" s="322">
        <f>IFERROR((VLOOKUP(Calculations[[#This Row],[Waste type 2]],WasteLandfillEmissions[#All],3,FALSE))*Calculations[[#This Row],[Total Kg]]*VLOOKUP(Calculations[[#This Row],[Waste 1]],WasteScenario[#All],4,FALSE),0)</f>
        <v>0</v>
      </c>
      <c r="AE335" s="322">
        <f>SUM(Calculations[[#This Row],[C4 landfill]:[C4 re-use]])</f>
        <v>0</v>
      </c>
      <c r="AF335" s="322">
        <f>IFERROR(VLOOKUP(Calculations[[#This Row],[Material (choose from dropdown]],MaterialData[#All],8,FALSE),0)</f>
        <v>0</v>
      </c>
      <c r="AG335" s="322">
        <f>IFERROR(Calculations[[#This Row],[Total Kg]]*Calculations[[#This Row],[Seq factor]],0)</f>
        <v>0</v>
      </c>
      <c r="AI335" s="322">
        <f>Calculations[[#This Row],[A1-3]]+Calculations[[#This Row],[A4]]+Calculations[[#This Row],[A5]]+Calculations[[#This Row],[B4]]+Calculations[[#This Row],[C2 total]]+Calculations[[#This Row],[C3 total]]+Calculations[[#This Row],[C4 total]]</f>
        <v>0</v>
      </c>
      <c r="AJ335" s="2">
        <f>IFERROR(VLOOKUP(Calculations[[#This Row],[Material (choose from dropdown]],MaterialData[[#Headers],[#Data]],9,FALSE),0)</f>
        <v>0</v>
      </c>
      <c r="AK335" s="4">
        <f>IFERROR(VLOOKUP(Calculations[[#This Row],[Material (choose from dropdown]],MaterialData[[#Headers],[#Data]],10,FALSE),0)</f>
        <v>0</v>
      </c>
      <c r="AL335" s="322">
        <f>IFERROR(Calculations[[#This Row],[Data Quality Score]]*Calculations[[#This Row],[Total Kg]],0)</f>
        <v>0</v>
      </c>
    </row>
    <row r="336" spans="1:38" x14ac:dyDescent="0.3">
      <c r="A336" s="6">
        <f>IFERROR(MaterialsBoQ[[#This Row],[Scope Element]],0)</f>
        <v>0</v>
      </c>
      <c r="B336" t="str">
        <f>IFERROR(MaterialsBoQ[[#This Row],[Material ]],"")</f>
        <v/>
      </c>
      <c r="C336" t="str">
        <f>IFERROR(MaterialsBoQ[[#This Row],[Unit]],"")</f>
        <v/>
      </c>
      <c r="D336" s="322">
        <f>IFERROR(MaterialsBoQ[[#This Row],[Number]],0)</f>
        <v>0</v>
      </c>
      <c r="E336" s="322">
        <f>IFERROR(MaterialsBoQ[[#This Row],[Kg per unit]],0)</f>
        <v>0</v>
      </c>
      <c r="F336" s="322">
        <f>IFERROR(Calculations[[#This Row],[Number]]*Calculations[[#This Row],[Conversion factor]],0)</f>
        <v>0</v>
      </c>
      <c r="G336" s="322">
        <f>IFERROR(VLOOKUP(Calculations[[#This Row],[Material (choose from dropdown]],MaterialData[#All],7,FALSE),0)</f>
        <v>0</v>
      </c>
      <c r="H336" s="322">
        <f>Calculations[[#This Row],[Total Kg]]*Calculations[[#This Row],[Carbon Factor]]</f>
        <v>0</v>
      </c>
      <c r="I336" t="str">
        <f>IFERROR(VLOOKUP(Calculations[[#This Row],[Material (choose from dropdown]],MaterialData[#All],2,FALSE),"")</f>
        <v/>
      </c>
      <c r="J336" s="322">
        <f>IFERROR(((VLOOKUP(Calculations[[#This Row],[TransportSource]],TransportDistance[],2,FALSE)*'Stage assumptions'!$C$11)+VLOOKUP(Calculations[[#This Row],[TransportSource]],TransportDistance[],3,FALSE)*'Stage assumptions'!$C$12)*Calculations[[#This Row],[Total Kg]],0)</f>
        <v>0</v>
      </c>
      <c r="K336">
        <f>IFERROR(VLOOKUP(Calculations[[#This Row],[Material (choose from dropdown]], MaterialData[#All],3, FALSE),0)</f>
        <v>0</v>
      </c>
      <c r="L336" s="322">
        <f>IFERROR(VLOOKUP(Calculations[[#This Row],[A5type]],A5WastageRate[#All],2,FALSE)*Calculations[[#This Row],[A1-3]],0)</f>
        <v>0</v>
      </c>
      <c r="N336">
        <f>IFERROR(ROUNDUP(50/VLOOKUP(Calculations[[#This Row],[Scope Element]],B4referenceServiceLife[[Tier 2 element]:[Default Service Life]],2, FALSE)-1,0),0)</f>
        <v>0</v>
      </c>
      <c r="O336" s="322">
        <f>IFERROR((Calculations[[#This Row],[A1-3]]+Calculations[[#This Row],[A4]]+Calculations[[#This Row],[A5]]+Calculations[[#This Row],[C2 total]]+Calculations[[#This Row],[C3 total]]+Calculations[[#This Row],[C4 total]])*Calculations[[#This Row],[Replacements]],0)</f>
        <v>0</v>
      </c>
      <c r="S336" t="str">
        <f>IFERROR(VLOOKUP(Calculations[[#This Row],[Material (choose from dropdown]],MaterialData[#All],4,FALSE),"")</f>
        <v/>
      </c>
      <c r="T336" s="322" cm="1">
        <f t="array" ref="T336">IFERROR(VLOOKUP(Calculations[[#This Row],[Waste 1]],WasteScenario[#All],2,FALSE)*'Stage assumptions'!$C$225*WasteTransportMethod[Emissions Factor
kgCO2e/kg.km]*Calculations[[#This Row],[Total Kg]],0)</f>
        <v>0</v>
      </c>
      <c r="U336" s="322" cm="1">
        <f t="array" ref="U336">IFERROR(VLOOKUP(Calculations[[#This Row],[Waste 1]],WasteScenario[#All],3,FALSE)*'Stage assumptions'!$C$224*WasteTransportMethod[Emissions Factor
kgCO2e/kg.km]*Calculations[[#This Row],[Total Kg]],0)</f>
        <v>0</v>
      </c>
      <c r="V336" s="322" cm="1">
        <f t="array" ref="V336">IFERROR(VLOOKUP(Calculations[[#This Row],[Waste 1]],WasteScenario[#All],4,FALSE)*'Stage assumptions'!$C$223*WasteTransportMethod[Emissions Factor
kgCO2e/kg.km]*Calculations[[#This Row],[Total Kg]],0)</f>
        <v>0</v>
      </c>
      <c r="W336" s="322" cm="1">
        <f t="array" ref="W336">IFERROR(VLOOKUP(Calculations[[#This Row],[Waste 1]],WasteScenario[#All],5,FALSE)*'Stage assumptions'!$C$226*WasteTransportMethod[Emissions Factor
kgCO2e/kg.km]*Calculations[[#This Row],[Total Kg]],0)</f>
        <v>0</v>
      </c>
      <c r="X336" s="322">
        <f>SUM(Calculations[[#This Row],[C2 Recycle]:[C2 Reuse]])</f>
        <v>0</v>
      </c>
      <c r="Y336" t="str">
        <f>IFERROR(VLOOKUP(Calculations[[#This Row],[Material (choose from dropdown]],MaterialData[#All],5,FALSE),"")</f>
        <v/>
      </c>
      <c r="Z336" s="322">
        <f>IFERROR(((VLOOKUP(Calculations[[#This Row],[Waste type 2]],WasteDisposalEmissions[#All],2,FALSE))*Calculations[[#This Row],[Total Kg]])*VLOOKUP(Calculations[[#This Row],[Waste 1]],WasteScenario[#All],2,FALSE),0)</f>
        <v>0</v>
      </c>
      <c r="AA336" s="322">
        <f>IFERROR((VLOOKUP(Calculations[[#This Row],[Waste type 2]],WasteDisposalEmissions[#All],3,FALSE))*Calculations[[#This Row],[Total Kg]]*VLOOKUP(Calculations[[#This Row],[Waste 1]],WasteScenario[#All],3,FALSE),0)</f>
        <v>0</v>
      </c>
      <c r="AB336" s="322">
        <f>SUM(Calculations[[#This Row],[C3 recyc]:[C3 incin]])</f>
        <v>0</v>
      </c>
      <c r="AC336" s="334">
        <f>IFERROR((VLOOKUP(Calculations[[#This Row],[Waste type 2]],WasteLandfillEmissions[#All],2,FALSE))*Calculations[[#This Row],[Total Kg]]*VLOOKUP(Calculations[[#This Row],[Waste 1]],WasteScenario[#All],4,FALSE),0)</f>
        <v>0</v>
      </c>
      <c r="AD336" s="322">
        <f>IFERROR((VLOOKUP(Calculations[[#This Row],[Waste type 2]],WasteLandfillEmissions[#All],3,FALSE))*Calculations[[#This Row],[Total Kg]]*VLOOKUP(Calculations[[#This Row],[Waste 1]],WasteScenario[#All],4,FALSE),0)</f>
        <v>0</v>
      </c>
      <c r="AE336" s="322">
        <f>SUM(Calculations[[#This Row],[C4 landfill]:[C4 re-use]])</f>
        <v>0</v>
      </c>
      <c r="AF336" s="322">
        <f>IFERROR(VLOOKUP(Calculations[[#This Row],[Material (choose from dropdown]],MaterialData[#All],8,FALSE),0)</f>
        <v>0</v>
      </c>
      <c r="AG336" s="322">
        <f>IFERROR(Calculations[[#This Row],[Total Kg]]*Calculations[[#This Row],[Seq factor]],0)</f>
        <v>0</v>
      </c>
      <c r="AI336" s="322">
        <f>Calculations[[#This Row],[A1-3]]+Calculations[[#This Row],[A4]]+Calculations[[#This Row],[A5]]+Calculations[[#This Row],[B4]]+Calculations[[#This Row],[C2 total]]+Calculations[[#This Row],[C3 total]]+Calculations[[#This Row],[C4 total]]</f>
        <v>0</v>
      </c>
      <c r="AJ336" s="2">
        <f>IFERROR(VLOOKUP(Calculations[[#This Row],[Material (choose from dropdown]],MaterialData[[#Headers],[#Data]],9,FALSE),0)</f>
        <v>0</v>
      </c>
      <c r="AK336" s="4">
        <f>IFERROR(VLOOKUP(Calculations[[#This Row],[Material (choose from dropdown]],MaterialData[[#Headers],[#Data]],10,FALSE),0)</f>
        <v>0</v>
      </c>
      <c r="AL336" s="322">
        <f>IFERROR(Calculations[[#This Row],[Data Quality Score]]*Calculations[[#This Row],[Total Kg]],0)</f>
        <v>0</v>
      </c>
    </row>
    <row r="337" spans="1:38" x14ac:dyDescent="0.3">
      <c r="A337" s="6">
        <f>IFERROR(MaterialsBoQ[[#This Row],[Scope Element]],0)</f>
        <v>0</v>
      </c>
      <c r="B337" t="str">
        <f>IFERROR(MaterialsBoQ[[#This Row],[Material ]],"")</f>
        <v/>
      </c>
      <c r="C337" t="str">
        <f>IFERROR(MaterialsBoQ[[#This Row],[Unit]],"")</f>
        <v/>
      </c>
      <c r="D337" s="322">
        <f>IFERROR(MaterialsBoQ[[#This Row],[Number]],0)</f>
        <v>0</v>
      </c>
      <c r="E337" s="322">
        <f>IFERROR(MaterialsBoQ[[#This Row],[Kg per unit]],0)</f>
        <v>0</v>
      </c>
      <c r="F337" s="322">
        <f>IFERROR(Calculations[[#This Row],[Number]]*Calculations[[#This Row],[Conversion factor]],0)</f>
        <v>0</v>
      </c>
      <c r="G337" s="322">
        <f>IFERROR(VLOOKUP(Calculations[[#This Row],[Material (choose from dropdown]],MaterialData[#All],7,FALSE),0)</f>
        <v>0</v>
      </c>
      <c r="H337" s="322">
        <f>Calculations[[#This Row],[Total Kg]]*Calculations[[#This Row],[Carbon Factor]]</f>
        <v>0</v>
      </c>
      <c r="I337" t="str">
        <f>IFERROR(VLOOKUP(Calculations[[#This Row],[Material (choose from dropdown]],MaterialData[#All],2,FALSE),"")</f>
        <v/>
      </c>
      <c r="J337" s="322">
        <f>IFERROR(((VLOOKUP(Calculations[[#This Row],[TransportSource]],TransportDistance[],2,FALSE)*'Stage assumptions'!$C$11)+VLOOKUP(Calculations[[#This Row],[TransportSource]],TransportDistance[],3,FALSE)*'Stage assumptions'!$C$12)*Calculations[[#This Row],[Total Kg]],0)</f>
        <v>0</v>
      </c>
      <c r="K337">
        <f>IFERROR(VLOOKUP(Calculations[[#This Row],[Material (choose from dropdown]], MaterialData[#All],3, FALSE),0)</f>
        <v>0</v>
      </c>
      <c r="L337" s="322">
        <f>IFERROR(VLOOKUP(Calculations[[#This Row],[A5type]],A5WastageRate[#All],2,FALSE)*Calculations[[#This Row],[A1-3]],0)</f>
        <v>0</v>
      </c>
      <c r="N337">
        <f>IFERROR(ROUNDUP(50/VLOOKUP(Calculations[[#This Row],[Scope Element]],B4referenceServiceLife[[Tier 2 element]:[Default Service Life]],2, FALSE)-1,0),0)</f>
        <v>0</v>
      </c>
      <c r="O337" s="322">
        <f>IFERROR((Calculations[[#This Row],[A1-3]]+Calculations[[#This Row],[A4]]+Calculations[[#This Row],[A5]]+Calculations[[#This Row],[C2 total]]+Calculations[[#This Row],[C3 total]]+Calculations[[#This Row],[C4 total]])*Calculations[[#This Row],[Replacements]],0)</f>
        <v>0</v>
      </c>
      <c r="S337" t="str">
        <f>IFERROR(VLOOKUP(Calculations[[#This Row],[Material (choose from dropdown]],MaterialData[#All],4,FALSE),"")</f>
        <v/>
      </c>
      <c r="T337" s="322" cm="1">
        <f t="array" ref="T337">IFERROR(VLOOKUP(Calculations[[#This Row],[Waste 1]],WasteScenario[#All],2,FALSE)*'Stage assumptions'!$C$225*WasteTransportMethod[Emissions Factor
kgCO2e/kg.km]*Calculations[[#This Row],[Total Kg]],0)</f>
        <v>0</v>
      </c>
      <c r="U337" s="322" cm="1">
        <f t="array" ref="U337">IFERROR(VLOOKUP(Calculations[[#This Row],[Waste 1]],WasteScenario[#All],3,FALSE)*'Stage assumptions'!$C$224*WasteTransportMethod[Emissions Factor
kgCO2e/kg.km]*Calculations[[#This Row],[Total Kg]],0)</f>
        <v>0</v>
      </c>
      <c r="V337" s="322" cm="1">
        <f t="array" ref="V337">IFERROR(VLOOKUP(Calculations[[#This Row],[Waste 1]],WasteScenario[#All],4,FALSE)*'Stage assumptions'!$C$223*WasteTransportMethod[Emissions Factor
kgCO2e/kg.km]*Calculations[[#This Row],[Total Kg]],0)</f>
        <v>0</v>
      </c>
      <c r="W337" s="322" cm="1">
        <f t="array" ref="W337">IFERROR(VLOOKUP(Calculations[[#This Row],[Waste 1]],WasteScenario[#All],5,FALSE)*'Stage assumptions'!$C$226*WasteTransportMethod[Emissions Factor
kgCO2e/kg.km]*Calculations[[#This Row],[Total Kg]],0)</f>
        <v>0</v>
      </c>
      <c r="X337" s="322">
        <f>SUM(Calculations[[#This Row],[C2 Recycle]:[C2 Reuse]])</f>
        <v>0</v>
      </c>
      <c r="Y337" t="str">
        <f>IFERROR(VLOOKUP(Calculations[[#This Row],[Material (choose from dropdown]],MaterialData[#All],5,FALSE),"")</f>
        <v/>
      </c>
      <c r="Z337" s="322">
        <f>IFERROR(((VLOOKUP(Calculations[[#This Row],[Waste type 2]],WasteDisposalEmissions[#All],2,FALSE))*Calculations[[#This Row],[Total Kg]])*VLOOKUP(Calculations[[#This Row],[Waste 1]],WasteScenario[#All],2,FALSE),0)</f>
        <v>0</v>
      </c>
      <c r="AA337" s="322">
        <f>IFERROR((VLOOKUP(Calculations[[#This Row],[Waste type 2]],WasteDisposalEmissions[#All],3,FALSE))*Calculations[[#This Row],[Total Kg]]*VLOOKUP(Calculations[[#This Row],[Waste 1]],WasteScenario[#All],3,FALSE),0)</f>
        <v>0</v>
      </c>
      <c r="AB337" s="322">
        <f>SUM(Calculations[[#This Row],[C3 recyc]:[C3 incin]])</f>
        <v>0</v>
      </c>
      <c r="AC337" s="334">
        <f>IFERROR((VLOOKUP(Calculations[[#This Row],[Waste type 2]],WasteLandfillEmissions[#All],2,FALSE))*Calculations[[#This Row],[Total Kg]]*VLOOKUP(Calculations[[#This Row],[Waste 1]],WasteScenario[#All],4,FALSE),0)</f>
        <v>0</v>
      </c>
      <c r="AD337" s="322">
        <f>IFERROR((VLOOKUP(Calculations[[#This Row],[Waste type 2]],WasteLandfillEmissions[#All],3,FALSE))*Calculations[[#This Row],[Total Kg]]*VLOOKUP(Calculations[[#This Row],[Waste 1]],WasteScenario[#All],4,FALSE),0)</f>
        <v>0</v>
      </c>
      <c r="AE337" s="322">
        <f>SUM(Calculations[[#This Row],[C4 landfill]:[C4 re-use]])</f>
        <v>0</v>
      </c>
      <c r="AF337" s="322">
        <f>IFERROR(VLOOKUP(Calculations[[#This Row],[Material (choose from dropdown]],MaterialData[#All],8,FALSE),0)</f>
        <v>0</v>
      </c>
      <c r="AG337" s="322">
        <f>IFERROR(Calculations[[#This Row],[Total Kg]]*Calculations[[#This Row],[Seq factor]],0)</f>
        <v>0</v>
      </c>
      <c r="AI337" s="322">
        <f>Calculations[[#This Row],[A1-3]]+Calculations[[#This Row],[A4]]+Calculations[[#This Row],[A5]]+Calculations[[#This Row],[B4]]+Calculations[[#This Row],[C2 total]]+Calculations[[#This Row],[C3 total]]+Calculations[[#This Row],[C4 total]]</f>
        <v>0</v>
      </c>
      <c r="AJ337" s="2">
        <f>IFERROR(VLOOKUP(Calculations[[#This Row],[Material (choose from dropdown]],MaterialData[[#Headers],[#Data]],9,FALSE),0)</f>
        <v>0</v>
      </c>
      <c r="AK337" s="4">
        <f>IFERROR(VLOOKUP(Calculations[[#This Row],[Material (choose from dropdown]],MaterialData[[#Headers],[#Data]],10,FALSE),0)</f>
        <v>0</v>
      </c>
      <c r="AL337" s="322">
        <f>IFERROR(Calculations[[#This Row],[Data Quality Score]]*Calculations[[#This Row],[Total Kg]],0)</f>
        <v>0</v>
      </c>
    </row>
    <row r="338" spans="1:38" x14ac:dyDescent="0.3">
      <c r="A338" s="6">
        <f>IFERROR(MaterialsBoQ[[#This Row],[Scope Element]],0)</f>
        <v>0</v>
      </c>
      <c r="B338" t="str">
        <f>IFERROR(MaterialsBoQ[[#This Row],[Material ]],"")</f>
        <v/>
      </c>
      <c r="C338" t="str">
        <f>IFERROR(MaterialsBoQ[[#This Row],[Unit]],"")</f>
        <v/>
      </c>
      <c r="D338" s="322">
        <f>IFERROR(MaterialsBoQ[[#This Row],[Number]],0)</f>
        <v>0</v>
      </c>
      <c r="E338" s="322">
        <f>IFERROR(MaterialsBoQ[[#This Row],[Kg per unit]],0)</f>
        <v>0</v>
      </c>
      <c r="F338" s="322">
        <f>IFERROR(Calculations[[#This Row],[Number]]*Calculations[[#This Row],[Conversion factor]],0)</f>
        <v>0</v>
      </c>
      <c r="G338" s="322">
        <f>IFERROR(VLOOKUP(Calculations[[#This Row],[Material (choose from dropdown]],MaterialData[#All],7,FALSE),0)</f>
        <v>0</v>
      </c>
      <c r="H338" s="322">
        <f>Calculations[[#This Row],[Total Kg]]*Calculations[[#This Row],[Carbon Factor]]</f>
        <v>0</v>
      </c>
      <c r="I338" t="str">
        <f>IFERROR(VLOOKUP(Calculations[[#This Row],[Material (choose from dropdown]],MaterialData[#All],2,FALSE),"")</f>
        <v/>
      </c>
      <c r="J338" s="322">
        <f>IFERROR(((VLOOKUP(Calculations[[#This Row],[TransportSource]],TransportDistance[],2,FALSE)*'Stage assumptions'!$C$11)+VLOOKUP(Calculations[[#This Row],[TransportSource]],TransportDistance[],3,FALSE)*'Stage assumptions'!$C$12)*Calculations[[#This Row],[Total Kg]],0)</f>
        <v>0</v>
      </c>
      <c r="K338">
        <f>IFERROR(VLOOKUP(Calculations[[#This Row],[Material (choose from dropdown]], MaterialData[#All],3, FALSE),0)</f>
        <v>0</v>
      </c>
      <c r="L338" s="322">
        <f>IFERROR(VLOOKUP(Calculations[[#This Row],[A5type]],A5WastageRate[#All],2,FALSE)*Calculations[[#This Row],[A1-3]],0)</f>
        <v>0</v>
      </c>
      <c r="N338">
        <f>IFERROR(ROUNDUP(50/VLOOKUP(Calculations[[#This Row],[Scope Element]],B4referenceServiceLife[[Tier 2 element]:[Default Service Life]],2, FALSE)-1,0),0)</f>
        <v>0</v>
      </c>
      <c r="O338" s="322">
        <f>IFERROR((Calculations[[#This Row],[A1-3]]+Calculations[[#This Row],[A4]]+Calculations[[#This Row],[A5]]+Calculations[[#This Row],[C2 total]]+Calculations[[#This Row],[C3 total]]+Calculations[[#This Row],[C4 total]])*Calculations[[#This Row],[Replacements]],0)</f>
        <v>0</v>
      </c>
      <c r="S338" t="str">
        <f>IFERROR(VLOOKUP(Calculations[[#This Row],[Material (choose from dropdown]],MaterialData[#All],4,FALSE),"")</f>
        <v/>
      </c>
      <c r="T338" s="322" cm="1">
        <f t="array" ref="T338">IFERROR(VLOOKUP(Calculations[[#This Row],[Waste 1]],WasteScenario[#All],2,FALSE)*'Stage assumptions'!$C$225*WasteTransportMethod[Emissions Factor
kgCO2e/kg.km]*Calculations[[#This Row],[Total Kg]],0)</f>
        <v>0</v>
      </c>
      <c r="U338" s="322" cm="1">
        <f t="array" ref="U338">IFERROR(VLOOKUP(Calculations[[#This Row],[Waste 1]],WasteScenario[#All],3,FALSE)*'Stage assumptions'!$C$224*WasteTransportMethod[Emissions Factor
kgCO2e/kg.km]*Calculations[[#This Row],[Total Kg]],0)</f>
        <v>0</v>
      </c>
      <c r="V338" s="322" cm="1">
        <f t="array" ref="V338">IFERROR(VLOOKUP(Calculations[[#This Row],[Waste 1]],WasteScenario[#All],4,FALSE)*'Stage assumptions'!$C$223*WasteTransportMethod[Emissions Factor
kgCO2e/kg.km]*Calculations[[#This Row],[Total Kg]],0)</f>
        <v>0</v>
      </c>
      <c r="W338" s="322" cm="1">
        <f t="array" ref="W338">IFERROR(VLOOKUP(Calculations[[#This Row],[Waste 1]],WasteScenario[#All],5,FALSE)*'Stage assumptions'!$C$226*WasteTransportMethod[Emissions Factor
kgCO2e/kg.km]*Calculations[[#This Row],[Total Kg]],0)</f>
        <v>0</v>
      </c>
      <c r="X338" s="322">
        <f>SUM(Calculations[[#This Row],[C2 Recycle]:[C2 Reuse]])</f>
        <v>0</v>
      </c>
      <c r="Y338" t="str">
        <f>IFERROR(VLOOKUP(Calculations[[#This Row],[Material (choose from dropdown]],MaterialData[#All],5,FALSE),"")</f>
        <v/>
      </c>
      <c r="Z338" s="322">
        <f>IFERROR(((VLOOKUP(Calculations[[#This Row],[Waste type 2]],WasteDisposalEmissions[#All],2,FALSE))*Calculations[[#This Row],[Total Kg]])*VLOOKUP(Calculations[[#This Row],[Waste 1]],WasteScenario[#All],2,FALSE),0)</f>
        <v>0</v>
      </c>
      <c r="AA338" s="322">
        <f>IFERROR((VLOOKUP(Calculations[[#This Row],[Waste type 2]],WasteDisposalEmissions[#All],3,FALSE))*Calculations[[#This Row],[Total Kg]]*VLOOKUP(Calculations[[#This Row],[Waste 1]],WasteScenario[#All],3,FALSE),0)</f>
        <v>0</v>
      </c>
      <c r="AB338" s="322">
        <f>SUM(Calculations[[#This Row],[C3 recyc]:[C3 incin]])</f>
        <v>0</v>
      </c>
      <c r="AC338" s="334">
        <f>IFERROR((VLOOKUP(Calculations[[#This Row],[Waste type 2]],WasteLandfillEmissions[#All],2,FALSE))*Calculations[[#This Row],[Total Kg]]*VLOOKUP(Calculations[[#This Row],[Waste 1]],WasteScenario[#All],4,FALSE),0)</f>
        <v>0</v>
      </c>
      <c r="AD338" s="322">
        <f>IFERROR((VLOOKUP(Calculations[[#This Row],[Waste type 2]],WasteLandfillEmissions[#All],3,FALSE))*Calculations[[#This Row],[Total Kg]]*VLOOKUP(Calculations[[#This Row],[Waste 1]],WasteScenario[#All],4,FALSE),0)</f>
        <v>0</v>
      </c>
      <c r="AE338" s="322">
        <f>SUM(Calculations[[#This Row],[C4 landfill]:[C4 re-use]])</f>
        <v>0</v>
      </c>
      <c r="AF338" s="322">
        <f>IFERROR(VLOOKUP(Calculations[[#This Row],[Material (choose from dropdown]],MaterialData[#All],8,FALSE),0)</f>
        <v>0</v>
      </c>
      <c r="AG338" s="322">
        <f>IFERROR(Calculations[[#This Row],[Total Kg]]*Calculations[[#This Row],[Seq factor]],0)</f>
        <v>0</v>
      </c>
      <c r="AI338" s="322">
        <f>Calculations[[#This Row],[A1-3]]+Calculations[[#This Row],[A4]]+Calculations[[#This Row],[A5]]+Calculations[[#This Row],[B4]]+Calculations[[#This Row],[C2 total]]+Calculations[[#This Row],[C3 total]]+Calculations[[#This Row],[C4 total]]</f>
        <v>0</v>
      </c>
      <c r="AJ338" s="2">
        <f>IFERROR(VLOOKUP(Calculations[[#This Row],[Material (choose from dropdown]],MaterialData[[#Headers],[#Data]],9,FALSE),0)</f>
        <v>0</v>
      </c>
      <c r="AK338" s="4">
        <f>IFERROR(VLOOKUP(Calculations[[#This Row],[Material (choose from dropdown]],MaterialData[[#Headers],[#Data]],10,FALSE),0)</f>
        <v>0</v>
      </c>
      <c r="AL338" s="322">
        <f>IFERROR(Calculations[[#This Row],[Data Quality Score]]*Calculations[[#This Row],[Total Kg]],0)</f>
        <v>0</v>
      </c>
    </row>
    <row r="339" spans="1:38" x14ac:dyDescent="0.3">
      <c r="A339" s="6">
        <f>IFERROR(MaterialsBoQ[[#This Row],[Scope Element]],0)</f>
        <v>0</v>
      </c>
      <c r="B339" t="str">
        <f>IFERROR(MaterialsBoQ[[#This Row],[Material ]],"")</f>
        <v/>
      </c>
      <c r="C339" t="str">
        <f>IFERROR(MaterialsBoQ[[#This Row],[Unit]],"")</f>
        <v/>
      </c>
      <c r="D339" s="322">
        <f>IFERROR(MaterialsBoQ[[#This Row],[Number]],0)</f>
        <v>0</v>
      </c>
      <c r="E339" s="322">
        <f>IFERROR(MaterialsBoQ[[#This Row],[Kg per unit]],0)</f>
        <v>0</v>
      </c>
      <c r="F339" s="322">
        <f>IFERROR(Calculations[[#This Row],[Number]]*Calculations[[#This Row],[Conversion factor]],0)</f>
        <v>0</v>
      </c>
      <c r="G339" s="322">
        <f>IFERROR(VLOOKUP(Calculations[[#This Row],[Material (choose from dropdown]],MaterialData[#All],7,FALSE),0)</f>
        <v>0</v>
      </c>
      <c r="H339" s="322">
        <f>Calculations[[#This Row],[Total Kg]]*Calculations[[#This Row],[Carbon Factor]]</f>
        <v>0</v>
      </c>
      <c r="I339" t="str">
        <f>IFERROR(VLOOKUP(Calculations[[#This Row],[Material (choose from dropdown]],MaterialData[#All],2,FALSE),"")</f>
        <v/>
      </c>
      <c r="J339" s="322">
        <f>IFERROR(((VLOOKUP(Calculations[[#This Row],[TransportSource]],TransportDistance[],2,FALSE)*'Stage assumptions'!$C$11)+VLOOKUP(Calculations[[#This Row],[TransportSource]],TransportDistance[],3,FALSE)*'Stage assumptions'!$C$12)*Calculations[[#This Row],[Total Kg]],0)</f>
        <v>0</v>
      </c>
      <c r="K339">
        <f>IFERROR(VLOOKUP(Calculations[[#This Row],[Material (choose from dropdown]], MaterialData[#All],3, FALSE),0)</f>
        <v>0</v>
      </c>
      <c r="L339" s="322">
        <f>IFERROR(VLOOKUP(Calculations[[#This Row],[A5type]],A5WastageRate[#All],2,FALSE)*Calculations[[#This Row],[A1-3]],0)</f>
        <v>0</v>
      </c>
      <c r="N339">
        <f>IFERROR(ROUNDUP(50/VLOOKUP(Calculations[[#This Row],[Scope Element]],B4referenceServiceLife[[Tier 2 element]:[Default Service Life]],2, FALSE)-1,0),0)</f>
        <v>0</v>
      </c>
      <c r="O339" s="322">
        <f>IFERROR((Calculations[[#This Row],[A1-3]]+Calculations[[#This Row],[A4]]+Calculations[[#This Row],[A5]]+Calculations[[#This Row],[C2 total]]+Calculations[[#This Row],[C3 total]]+Calculations[[#This Row],[C4 total]])*Calculations[[#This Row],[Replacements]],0)</f>
        <v>0</v>
      </c>
      <c r="S339" t="str">
        <f>IFERROR(VLOOKUP(Calculations[[#This Row],[Material (choose from dropdown]],MaterialData[#All],4,FALSE),"")</f>
        <v/>
      </c>
      <c r="T339" s="322" cm="1">
        <f t="array" ref="T339">IFERROR(VLOOKUP(Calculations[[#This Row],[Waste 1]],WasteScenario[#All],2,FALSE)*'Stage assumptions'!$C$225*WasteTransportMethod[Emissions Factor
kgCO2e/kg.km]*Calculations[[#This Row],[Total Kg]],0)</f>
        <v>0</v>
      </c>
      <c r="U339" s="322" cm="1">
        <f t="array" ref="U339">IFERROR(VLOOKUP(Calculations[[#This Row],[Waste 1]],WasteScenario[#All],3,FALSE)*'Stage assumptions'!$C$224*WasteTransportMethod[Emissions Factor
kgCO2e/kg.km]*Calculations[[#This Row],[Total Kg]],0)</f>
        <v>0</v>
      </c>
      <c r="V339" s="322" cm="1">
        <f t="array" ref="V339">IFERROR(VLOOKUP(Calculations[[#This Row],[Waste 1]],WasteScenario[#All],4,FALSE)*'Stage assumptions'!$C$223*WasteTransportMethod[Emissions Factor
kgCO2e/kg.km]*Calculations[[#This Row],[Total Kg]],0)</f>
        <v>0</v>
      </c>
      <c r="W339" s="322" cm="1">
        <f t="array" ref="W339">IFERROR(VLOOKUP(Calculations[[#This Row],[Waste 1]],WasteScenario[#All],5,FALSE)*'Stage assumptions'!$C$226*WasteTransportMethod[Emissions Factor
kgCO2e/kg.km]*Calculations[[#This Row],[Total Kg]],0)</f>
        <v>0</v>
      </c>
      <c r="X339" s="322">
        <f>SUM(Calculations[[#This Row],[C2 Recycle]:[C2 Reuse]])</f>
        <v>0</v>
      </c>
      <c r="Y339" t="str">
        <f>IFERROR(VLOOKUP(Calculations[[#This Row],[Material (choose from dropdown]],MaterialData[#All],5,FALSE),"")</f>
        <v/>
      </c>
      <c r="Z339" s="322">
        <f>IFERROR(((VLOOKUP(Calculations[[#This Row],[Waste type 2]],WasteDisposalEmissions[#All],2,FALSE))*Calculations[[#This Row],[Total Kg]])*VLOOKUP(Calculations[[#This Row],[Waste 1]],WasteScenario[#All],2,FALSE),0)</f>
        <v>0</v>
      </c>
      <c r="AA339" s="322">
        <f>IFERROR((VLOOKUP(Calculations[[#This Row],[Waste type 2]],WasteDisposalEmissions[#All],3,FALSE))*Calculations[[#This Row],[Total Kg]]*VLOOKUP(Calculations[[#This Row],[Waste 1]],WasteScenario[#All],3,FALSE),0)</f>
        <v>0</v>
      </c>
      <c r="AB339" s="322">
        <f>SUM(Calculations[[#This Row],[C3 recyc]:[C3 incin]])</f>
        <v>0</v>
      </c>
      <c r="AC339" s="334">
        <f>IFERROR((VLOOKUP(Calculations[[#This Row],[Waste type 2]],WasteLandfillEmissions[#All],2,FALSE))*Calculations[[#This Row],[Total Kg]]*VLOOKUP(Calculations[[#This Row],[Waste 1]],WasteScenario[#All],4,FALSE),0)</f>
        <v>0</v>
      </c>
      <c r="AD339" s="322">
        <f>IFERROR((VLOOKUP(Calculations[[#This Row],[Waste type 2]],WasteLandfillEmissions[#All],3,FALSE))*Calculations[[#This Row],[Total Kg]]*VLOOKUP(Calculations[[#This Row],[Waste 1]],WasteScenario[#All],4,FALSE),0)</f>
        <v>0</v>
      </c>
      <c r="AE339" s="322">
        <f>SUM(Calculations[[#This Row],[C4 landfill]:[C4 re-use]])</f>
        <v>0</v>
      </c>
      <c r="AF339" s="322">
        <f>IFERROR(VLOOKUP(Calculations[[#This Row],[Material (choose from dropdown]],MaterialData[#All],8,FALSE),0)</f>
        <v>0</v>
      </c>
      <c r="AG339" s="322">
        <f>IFERROR(Calculations[[#This Row],[Total Kg]]*Calculations[[#This Row],[Seq factor]],0)</f>
        <v>0</v>
      </c>
      <c r="AI339" s="322">
        <f>Calculations[[#This Row],[A1-3]]+Calculations[[#This Row],[A4]]+Calculations[[#This Row],[A5]]+Calculations[[#This Row],[B4]]+Calculations[[#This Row],[C2 total]]+Calculations[[#This Row],[C3 total]]+Calculations[[#This Row],[C4 total]]</f>
        <v>0</v>
      </c>
      <c r="AJ339" s="2">
        <f>IFERROR(VLOOKUP(Calculations[[#This Row],[Material (choose from dropdown]],MaterialData[[#Headers],[#Data]],9,FALSE),0)</f>
        <v>0</v>
      </c>
      <c r="AK339" s="4">
        <f>IFERROR(VLOOKUP(Calculations[[#This Row],[Material (choose from dropdown]],MaterialData[[#Headers],[#Data]],10,FALSE),0)</f>
        <v>0</v>
      </c>
      <c r="AL339" s="322">
        <f>IFERROR(Calculations[[#This Row],[Data Quality Score]]*Calculations[[#This Row],[Total Kg]],0)</f>
        <v>0</v>
      </c>
    </row>
    <row r="340" spans="1:38" x14ac:dyDescent="0.3">
      <c r="A340" s="6">
        <f>IFERROR(MaterialsBoQ[[#This Row],[Scope Element]],0)</f>
        <v>0</v>
      </c>
      <c r="B340" t="str">
        <f>IFERROR(MaterialsBoQ[[#This Row],[Material ]],"")</f>
        <v/>
      </c>
      <c r="C340" t="str">
        <f>IFERROR(MaterialsBoQ[[#This Row],[Unit]],"")</f>
        <v/>
      </c>
      <c r="D340" s="322">
        <f>IFERROR(MaterialsBoQ[[#This Row],[Number]],0)</f>
        <v>0</v>
      </c>
      <c r="E340" s="322">
        <f>IFERROR(MaterialsBoQ[[#This Row],[Kg per unit]],0)</f>
        <v>0</v>
      </c>
      <c r="F340" s="322">
        <f>IFERROR(Calculations[[#This Row],[Number]]*Calculations[[#This Row],[Conversion factor]],0)</f>
        <v>0</v>
      </c>
      <c r="G340" s="322">
        <f>IFERROR(VLOOKUP(Calculations[[#This Row],[Material (choose from dropdown]],MaterialData[#All],7,FALSE),0)</f>
        <v>0</v>
      </c>
      <c r="H340" s="322">
        <f>Calculations[[#This Row],[Total Kg]]*Calculations[[#This Row],[Carbon Factor]]</f>
        <v>0</v>
      </c>
      <c r="I340" t="str">
        <f>IFERROR(VLOOKUP(Calculations[[#This Row],[Material (choose from dropdown]],MaterialData[#All],2,FALSE),"")</f>
        <v/>
      </c>
      <c r="J340" s="322">
        <f>IFERROR(((VLOOKUP(Calculations[[#This Row],[TransportSource]],TransportDistance[],2,FALSE)*'Stage assumptions'!$C$11)+VLOOKUP(Calculations[[#This Row],[TransportSource]],TransportDistance[],3,FALSE)*'Stage assumptions'!$C$12)*Calculations[[#This Row],[Total Kg]],0)</f>
        <v>0</v>
      </c>
      <c r="K340">
        <f>IFERROR(VLOOKUP(Calculations[[#This Row],[Material (choose from dropdown]], MaterialData[#All],3, FALSE),0)</f>
        <v>0</v>
      </c>
      <c r="L340" s="322">
        <f>IFERROR(VLOOKUP(Calculations[[#This Row],[A5type]],A5WastageRate[#All],2,FALSE)*Calculations[[#This Row],[A1-3]],0)</f>
        <v>0</v>
      </c>
      <c r="N340">
        <f>IFERROR(ROUNDUP(50/VLOOKUP(Calculations[[#This Row],[Scope Element]],B4referenceServiceLife[[Tier 2 element]:[Default Service Life]],2, FALSE)-1,0),0)</f>
        <v>0</v>
      </c>
      <c r="O340" s="322">
        <f>IFERROR((Calculations[[#This Row],[A1-3]]+Calculations[[#This Row],[A4]]+Calculations[[#This Row],[A5]]+Calculations[[#This Row],[C2 total]]+Calculations[[#This Row],[C3 total]]+Calculations[[#This Row],[C4 total]])*Calculations[[#This Row],[Replacements]],0)</f>
        <v>0</v>
      </c>
      <c r="S340" t="str">
        <f>IFERROR(VLOOKUP(Calculations[[#This Row],[Material (choose from dropdown]],MaterialData[#All],4,FALSE),"")</f>
        <v/>
      </c>
      <c r="T340" s="322" cm="1">
        <f t="array" ref="T340">IFERROR(VLOOKUP(Calculations[[#This Row],[Waste 1]],WasteScenario[#All],2,FALSE)*'Stage assumptions'!$C$225*WasteTransportMethod[Emissions Factor
kgCO2e/kg.km]*Calculations[[#This Row],[Total Kg]],0)</f>
        <v>0</v>
      </c>
      <c r="U340" s="322" cm="1">
        <f t="array" ref="U340">IFERROR(VLOOKUP(Calculations[[#This Row],[Waste 1]],WasteScenario[#All],3,FALSE)*'Stage assumptions'!$C$224*WasteTransportMethod[Emissions Factor
kgCO2e/kg.km]*Calculations[[#This Row],[Total Kg]],0)</f>
        <v>0</v>
      </c>
      <c r="V340" s="322" cm="1">
        <f t="array" ref="V340">IFERROR(VLOOKUP(Calculations[[#This Row],[Waste 1]],WasteScenario[#All],4,FALSE)*'Stage assumptions'!$C$223*WasteTransportMethod[Emissions Factor
kgCO2e/kg.km]*Calculations[[#This Row],[Total Kg]],0)</f>
        <v>0</v>
      </c>
      <c r="W340" s="322" cm="1">
        <f t="array" ref="W340">IFERROR(VLOOKUP(Calculations[[#This Row],[Waste 1]],WasteScenario[#All],5,FALSE)*'Stage assumptions'!$C$226*WasteTransportMethod[Emissions Factor
kgCO2e/kg.km]*Calculations[[#This Row],[Total Kg]],0)</f>
        <v>0</v>
      </c>
      <c r="X340" s="322">
        <f>SUM(Calculations[[#This Row],[C2 Recycle]:[C2 Reuse]])</f>
        <v>0</v>
      </c>
      <c r="Y340" t="str">
        <f>IFERROR(VLOOKUP(Calculations[[#This Row],[Material (choose from dropdown]],MaterialData[#All],5,FALSE),"")</f>
        <v/>
      </c>
      <c r="Z340" s="322">
        <f>IFERROR(((VLOOKUP(Calculations[[#This Row],[Waste type 2]],WasteDisposalEmissions[#All],2,FALSE))*Calculations[[#This Row],[Total Kg]])*VLOOKUP(Calculations[[#This Row],[Waste 1]],WasteScenario[#All],2,FALSE),0)</f>
        <v>0</v>
      </c>
      <c r="AA340" s="322">
        <f>IFERROR((VLOOKUP(Calculations[[#This Row],[Waste type 2]],WasteDisposalEmissions[#All],3,FALSE))*Calculations[[#This Row],[Total Kg]]*VLOOKUP(Calculations[[#This Row],[Waste 1]],WasteScenario[#All],3,FALSE),0)</f>
        <v>0</v>
      </c>
      <c r="AB340" s="322">
        <f>SUM(Calculations[[#This Row],[C3 recyc]:[C3 incin]])</f>
        <v>0</v>
      </c>
      <c r="AC340" s="334">
        <f>IFERROR((VLOOKUP(Calculations[[#This Row],[Waste type 2]],WasteLandfillEmissions[#All],2,FALSE))*Calculations[[#This Row],[Total Kg]]*VLOOKUP(Calculations[[#This Row],[Waste 1]],WasteScenario[#All],4,FALSE),0)</f>
        <v>0</v>
      </c>
      <c r="AD340" s="322">
        <f>IFERROR((VLOOKUP(Calculations[[#This Row],[Waste type 2]],WasteLandfillEmissions[#All],3,FALSE))*Calculations[[#This Row],[Total Kg]]*VLOOKUP(Calculations[[#This Row],[Waste 1]],WasteScenario[#All],4,FALSE),0)</f>
        <v>0</v>
      </c>
      <c r="AE340" s="322">
        <f>SUM(Calculations[[#This Row],[C4 landfill]:[C4 re-use]])</f>
        <v>0</v>
      </c>
      <c r="AF340" s="322">
        <f>IFERROR(VLOOKUP(Calculations[[#This Row],[Material (choose from dropdown]],MaterialData[#All],8,FALSE),0)</f>
        <v>0</v>
      </c>
      <c r="AG340" s="322">
        <f>IFERROR(Calculations[[#This Row],[Total Kg]]*Calculations[[#This Row],[Seq factor]],0)</f>
        <v>0</v>
      </c>
      <c r="AI340" s="322">
        <f>Calculations[[#This Row],[A1-3]]+Calculations[[#This Row],[A4]]+Calculations[[#This Row],[A5]]+Calculations[[#This Row],[B4]]+Calculations[[#This Row],[C2 total]]+Calculations[[#This Row],[C3 total]]+Calculations[[#This Row],[C4 total]]</f>
        <v>0</v>
      </c>
      <c r="AJ340" s="2">
        <f>IFERROR(VLOOKUP(Calculations[[#This Row],[Material (choose from dropdown]],MaterialData[[#Headers],[#Data]],9,FALSE),0)</f>
        <v>0</v>
      </c>
      <c r="AK340" s="4">
        <f>IFERROR(VLOOKUP(Calculations[[#This Row],[Material (choose from dropdown]],MaterialData[[#Headers],[#Data]],10,FALSE),0)</f>
        <v>0</v>
      </c>
      <c r="AL340" s="322">
        <f>IFERROR(Calculations[[#This Row],[Data Quality Score]]*Calculations[[#This Row],[Total Kg]],0)</f>
        <v>0</v>
      </c>
    </row>
    <row r="341" spans="1:38" x14ac:dyDescent="0.3">
      <c r="A341" s="6">
        <f>IFERROR(MaterialsBoQ[[#This Row],[Scope Element]],0)</f>
        <v>0</v>
      </c>
      <c r="B341" t="str">
        <f>IFERROR(MaterialsBoQ[[#This Row],[Material ]],"")</f>
        <v/>
      </c>
      <c r="C341" t="str">
        <f>IFERROR(MaterialsBoQ[[#This Row],[Unit]],"")</f>
        <v/>
      </c>
      <c r="D341" s="322">
        <f>IFERROR(MaterialsBoQ[[#This Row],[Number]],0)</f>
        <v>0</v>
      </c>
      <c r="E341" s="322">
        <f>IFERROR(MaterialsBoQ[[#This Row],[Kg per unit]],0)</f>
        <v>0</v>
      </c>
      <c r="F341" s="322">
        <f>IFERROR(Calculations[[#This Row],[Number]]*Calculations[[#This Row],[Conversion factor]],0)</f>
        <v>0</v>
      </c>
      <c r="G341" s="322">
        <f>IFERROR(VLOOKUP(Calculations[[#This Row],[Material (choose from dropdown]],MaterialData[#All],7,FALSE),0)</f>
        <v>0</v>
      </c>
      <c r="H341" s="322">
        <f>Calculations[[#This Row],[Total Kg]]*Calculations[[#This Row],[Carbon Factor]]</f>
        <v>0</v>
      </c>
      <c r="I341" t="str">
        <f>IFERROR(VLOOKUP(Calculations[[#This Row],[Material (choose from dropdown]],MaterialData[#All],2,FALSE),"")</f>
        <v/>
      </c>
      <c r="J341" s="322">
        <f>IFERROR(((VLOOKUP(Calculations[[#This Row],[TransportSource]],TransportDistance[],2,FALSE)*'Stage assumptions'!$C$11)+VLOOKUP(Calculations[[#This Row],[TransportSource]],TransportDistance[],3,FALSE)*'Stage assumptions'!$C$12)*Calculations[[#This Row],[Total Kg]],0)</f>
        <v>0</v>
      </c>
      <c r="K341">
        <f>IFERROR(VLOOKUP(Calculations[[#This Row],[Material (choose from dropdown]], MaterialData[#All],3, FALSE),0)</f>
        <v>0</v>
      </c>
      <c r="L341" s="322">
        <f>IFERROR(VLOOKUP(Calculations[[#This Row],[A5type]],A5WastageRate[#All],2,FALSE)*Calculations[[#This Row],[A1-3]],0)</f>
        <v>0</v>
      </c>
      <c r="N341">
        <f>IFERROR(ROUNDUP(50/VLOOKUP(Calculations[[#This Row],[Scope Element]],B4referenceServiceLife[[Tier 2 element]:[Default Service Life]],2, FALSE)-1,0),0)</f>
        <v>0</v>
      </c>
      <c r="O341" s="322">
        <f>IFERROR((Calculations[[#This Row],[A1-3]]+Calculations[[#This Row],[A4]]+Calculations[[#This Row],[A5]]+Calculations[[#This Row],[C2 total]]+Calculations[[#This Row],[C3 total]]+Calculations[[#This Row],[C4 total]])*Calculations[[#This Row],[Replacements]],0)</f>
        <v>0</v>
      </c>
      <c r="S341" t="str">
        <f>IFERROR(VLOOKUP(Calculations[[#This Row],[Material (choose from dropdown]],MaterialData[#All],4,FALSE),"")</f>
        <v/>
      </c>
      <c r="T341" s="322" cm="1">
        <f t="array" ref="T341">IFERROR(VLOOKUP(Calculations[[#This Row],[Waste 1]],WasteScenario[#All],2,FALSE)*'Stage assumptions'!$C$225*WasteTransportMethod[Emissions Factor
kgCO2e/kg.km]*Calculations[[#This Row],[Total Kg]],0)</f>
        <v>0</v>
      </c>
      <c r="U341" s="322" cm="1">
        <f t="array" ref="U341">IFERROR(VLOOKUP(Calculations[[#This Row],[Waste 1]],WasteScenario[#All],3,FALSE)*'Stage assumptions'!$C$224*WasteTransportMethod[Emissions Factor
kgCO2e/kg.km]*Calculations[[#This Row],[Total Kg]],0)</f>
        <v>0</v>
      </c>
      <c r="V341" s="322" cm="1">
        <f t="array" ref="V341">IFERROR(VLOOKUP(Calculations[[#This Row],[Waste 1]],WasteScenario[#All],4,FALSE)*'Stage assumptions'!$C$223*WasteTransportMethod[Emissions Factor
kgCO2e/kg.km]*Calculations[[#This Row],[Total Kg]],0)</f>
        <v>0</v>
      </c>
      <c r="W341" s="322" cm="1">
        <f t="array" ref="W341">IFERROR(VLOOKUP(Calculations[[#This Row],[Waste 1]],WasteScenario[#All],5,FALSE)*'Stage assumptions'!$C$226*WasteTransportMethod[Emissions Factor
kgCO2e/kg.km]*Calculations[[#This Row],[Total Kg]],0)</f>
        <v>0</v>
      </c>
      <c r="X341" s="322">
        <f>SUM(Calculations[[#This Row],[C2 Recycle]:[C2 Reuse]])</f>
        <v>0</v>
      </c>
      <c r="Y341" t="str">
        <f>IFERROR(VLOOKUP(Calculations[[#This Row],[Material (choose from dropdown]],MaterialData[#All],5,FALSE),"")</f>
        <v/>
      </c>
      <c r="Z341" s="322">
        <f>IFERROR(((VLOOKUP(Calculations[[#This Row],[Waste type 2]],WasteDisposalEmissions[#All],2,FALSE))*Calculations[[#This Row],[Total Kg]])*VLOOKUP(Calculations[[#This Row],[Waste 1]],WasteScenario[#All],2,FALSE),0)</f>
        <v>0</v>
      </c>
      <c r="AA341" s="322">
        <f>IFERROR((VLOOKUP(Calculations[[#This Row],[Waste type 2]],WasteDisposalEmissions[#All],3,FALSE))*Calculations[[#This Row],[Total Kg]]*VLOOKUP(Calculations[[#This Row],[Waste 1]],WasteScenario[#All],3,FALSE),0)</f>
        <v>0</v>
      </c>
      <c r="AB341" s="322">
        <f>SUM(Calculations[[#This Row],[C3 recyc]:[C3 incin]])</f>
        <v>0</v>
      </c>
      <c r="AC341" s="334">
        <f>IFERROR((VLOOKUP(Calculations[[#This Row],[Waste type 2]],WasteLandfillEmissions[#All],2,FALSE))*Calculations[[#This Row],[Total Kg]]*VLOOKUP(Calculations[[#This Row],[Waste 1]],WasteScenario[#All],4,FALSE),0)</f>
        <v>0</v>
      </c>
      <c r="AD341" s="322">
        <f>IFERROR((VLOOKUP(Calculations[[#This Row],[Waste type 2]],WasteLandfillEmissions[#All],3,FALSE))*Calculations[[#This Row],[Total Kg]]*VLOOKUP(Calculations[[#This Row],[Waste 1]],WasteScenario[#All],4,FALSE),0)</f>
        <v>0</v>
      </c>
      <c r="AE341" s="322">
        <f>SUM(Calculations[[#This Row],[C4 landfill]:[C4 re-use]])</f>
        <v>0</v>
      </c>
      <c r="AF341" s="322">
        <f>IFERROR(VLOOKUP(Calculations[[#This Row],[Material (choose from dropdown]],MaterialData[#All],8,FALSE),0)</f>
        <v>0</v>
      </c>
      <c r="AG341" s="322">
        <f>IFERROR(Calculations[[#This Row],[Total Kg]]*Calculations[[#This Row],[Seq factor]],0)</f>
        <v>0</v>
      </c>
      <c r="AI341" s="322">
        <f>Calculations[[#This Row],[A1-3]]+Calculations[[#This Row],[A4]]+Calculations[[#This Row],[A5]]+Calculations[[#This Row],[B4]]+Calculations[[#This Row],[C2 total]]+Calculations[[#This Row],[C3 total]]+Calculations[[#This Row],[C4 total]]</f>
        <v>0</v>
      </c>
      <c r="AJ341" s="2">
        <f>IFERROR(VLOOKUP(Calculations[[#This Row],[Material (choose from dropdown]],MaterialData[[#Headers],[#Data]],9,FALSE),0)</f>
        <v>0</v>
      </c>
      <c r="AK341" s="4">
        <f>IFERROR(VLOOKUP(Calculations[[#This Row],[Material (choose from dropdown]],MaterialData[[#Headers],[#Data]],10,FALSE),0)</f>
        <v>0</v>
      </c>
      <c r="AL341" s="322">
        <f>IFERROR(Calculations[[#This Row],[Data Quality Score]]*Calculations[[#This Row],[Total Kg]],0)</f>
        <v>0</v>
      </c>
    </row>
    <row r="342" spans="1:38" x14ac:dyDescent="0.3">
      <c r="A342" s="6">
        <f>IFERROR(MaterialsBoQ[[#This Row],[Scope Element]],0)</f>
        <v>0</v>
      </c>
      <c r="B342" t="str">
        <f>IFERROR(MaterialsBoQ[[#This Row],[Material ]],"")</f>
        <v/>
      </c>
      <c r="C342" t="str">
        <f>IFERROR(MaterialsBoQ[[#This Row],[Unit]],"")</f>
        <v/>
      </c>
      <c r="D342" s="322">
        <f>IFERROR(MaterialsBoQ[[#This Row],[Number]],0)</f>
        <v>0</v>
      </c>
      <c r="E342" s="322">
        <f>IFERROR(MaterialsBoQ[[#This Row],[Kg per unit]],0)</f>
        <v>0</v>
      </c>
      <c r="F342" s="322">
        <f>IFERROR(Calculations[[#This Row],[Number]]*Calculations[[#This Row],[Conversion factor]],0)</f>
        <v>0</v>
      </c>
      <c r="G342" s="322">
        <f>IFERROR(VLOOKUP(Calculations[[#This Row],[Material (choose from dropdown]],MaterialData[#All],7,FALSE),0)</f>
        <v>0</v>
      </c>
      <c r="H342" s="322">
        <f>Calculations[[#This Row],[Total Kg]]*Calculations[[#This Row],[Carbon Factor]]</f>
        <v>0</v>
      </c>
      <c r="I342" t="str">
        <f>IFERROR(VLOOKUP(Calculations[[#This Row],[Material (choose from dropdown]],MaterialData[#All],2,FALSE),"")</f>
        <v/>
      </c>
      <c r="J342" s="322">
        <f>IFERROR(((VLOOKUP(Calculations[[#This Row],[TransportSource]],TransportDistance[],2,FALSE)*'Stage assumptions'!$C$11)+VLOOKUP(Calculations[[#This Row],[TransportSource]],TransportDistance[],3,FALSE)*'Stage assumptions'!$C$12)*Calculations[[#This Row],[Total Kg]],0)</f>
        <v>0</v>
      </c>
      <c r="K342">
        <f>IFERROR(VLOOKUP(Calculations[[#This Row],[Material (choose from dropdown]], MaterialData[#All],3, FALSE),0)</f>
        <v>0</v>
      </c>
      <c r="L342" s="322">
        <f>IFERROR(VLOOKUP(Calculations[[#This Row],[A5type]],A5WastageRate[#All],2,FALSE)*Calculations[[#This Row],[A1-3]],0)</f>
        <v>0</v>
      </c>
      <c r="N342">
        <f>IFERROR(ROUNDUP(50/VLOOKUP(Calculations[[#This Row],[Scope Element]],B4referenceServiceLife[[Tier 2 element]:[Default Service Life]],2, FALSE)-1,0),0)</f>
        <v>0</v>
      </c>
      <c r="O342" s="322">
        <f>IFERROR((Calculations[[#This Row],[A1-3]]+Calculations[[#This Row],[A4]]+Calculations[[#This Row],[A5]]+Calculations[[#This Row],[C2 total]]+Calculations[[#This Row],[C3 total]]+Calculations[[#This Row],[C4 total]])*Calculations[[#This Row],[Replacements]],0)</f>
        <v>0</v>
      </c>
      <c r="S342" t="str">
        <f>IFERROR(VLOOKUP(Calculations[[#This Row],[Material (choose from dropdown]],MaterialData[#All],4,FALSE),"")</f>
        <v/>
      </c>
      <c r="T342" s="322" cm="1">
        <f t="array" ref="T342">IFERROR(VLOOKUP(Calculations[[#This Row],[Waste 1]],WasteScenario[#All],2,FALSE)*'Stage assumptions'!$C$225*WasteTransportMethod[Emissions Factor
kgCO2e/kg.km]*Calculations[[#This Row],[Total Kg]],0)</f>
        <v>0</v>
      </c>
      <c r="U342" s="322" cm="1">
        <f t="array" ref="U342">IFERROR(VLOOKUP(Calculations[[#This Row],[Waste 1]],WasteScenario[#All],3,FALSE)*'Stage assumptions'!$C$224*WasteTransportMethod[Emissions Factor
kgCO2e/kg.km]*Calculations[[#This Row],[Total Kg]],0)</f>
        <v>0</v>
      </c>
      <c r="V342" s="322" cm="1">
        <f t="array" ref="V342">IFERROR(VLOOKUP(Calculations[[#This Row],[Waste 1]],WasteScenario[#All],4,FALSE)*'Stage assumptions'!$C$223*WasteTransportMethod[Emissions Factor
kgCO2e/kg.km]*Calculations[[#This Row],[Total Kg]],0)</f>
        <v>0</v>
      </c>
      <c r="W342" s="322" cm="1">
        <f t="array" ref="W342">IFERROR(VLOOKUP(Calculations[[#This Row],[Waste 1]],WasteScenario[#All],5,FALSE)*'Stage assumptions'!$C$226*WasteTransportMethod[Emissions Factor
kgCO2e/kg.km]*Calculations[[#This Row],[Total Kg]],0)</f>
        <v>0</v>
      </c>
      <c r="X342" s="322">
        <f>SUM(Calculations[[#This Row],[C2 Recycle]:[C2 Reuse]])</f>
        <v>0</v>
      </c>
      <c r="Y342" t="str">
        <f>IFERROR(VLOOKUP(Calculations[[#This Row],[Material (choose from dropdown]],MaterialData[#All],5,FALSE),"")</f>
        <v/>
      </c>
      <c r="Z342" s="322">
        <f>IFERROR(((VLOOKUP(Calculations[[#This Row],[Waste type 2]],WasteDisposalEmissions[#All],2,FALSE))*Calculations[[#This Row],[Total Kg]])*VLOOKUP(Calculations[[#This Row],[Waste 1]],WasteScenario[#All],2,FALSE),0)</f>
        <v>0</v>
      </c>
      <c r="AA342" s="322">
        <f>IFERROR((VLOOKUP(Calculations[[#This Row],[Waste type 2]],WasteDisposalEmissions[#All],3,FALSE))*Calculations[[#This Row],[Total Kg]]*VLOOKUP(Calculations[[#This Row],[Waste 1]],WasteScenario[#All],3,FALSE),0)</f>
        <v>0</v>
      </c>
      <c r="AB342" s="322">
        <f>SUM(Calculations[[#This Row],[C3 recyc]:[C3 incin]])</f>
        <v>0</v>
      </c>
      <c r="AC342" s="334">
        <f>IFERROR((VLOOKUP(Calculations[[#This Row],[Waste type 2]],WasteLandfillEmissions[#All],2,FALSE))*Calculations[[#This Row],[Total Kg]]*VLOOKUP(Calculations[[#This Row],[Waste 1]],WasteScenario[#All],4,FALSE),0)</f>
        <v>0</v>
      </c>
      <c r="AD342" s="322">
        <f>IFERROR((VLOOKUP(Calculations[[#This Row],[Waste type 2]],WasteLandfillEmissions[#All],3,FALSE))*Calculations[[#This Row],[Total Kg]]*VLOOKUP(Calculations[[#This Row],[Waste 1]],WasteScenario[#All],4,FALSE),0)</f>
        <v>0</v>
      </c>
      <c r="AE342" s="322">
        <f>SUM(Calculations[[#This Row],[C4 landfill]:[C4 re-use]])</f>
        <v>0</v>
      </c>
      <c r="AF342" s="322">
        <f>IFERROR(VLOOKUP(Calculations[[#This Row],[Material (choose from dropdown]],MaterialData[#All],8,FALSE),0)</f>
        <v>0</v>
      </c>
      <c r="AG342" s="322">
        <f>IFERROR(Calculations[[#This Row],[Total Kg]]*Calculations[[#This Row],[Seq factor]],0)</f>
        <v>0</v>
      </c>
      <c r="AI342" s="322">
        <f>Calculations[[#This Row],[A1-3]]+Calculations[[#This Row],[A4]]+Calculations[[#This Row],[A5]]+Calculations[[#This Row],[B4]]+Calculations[[#This Row],[C2 total]]+Calculations[[#This Row],[C3 total]]+Calculations[[#This Row],[C4 total]]</f>
        <v>0</v>
      </c>
      <c r="AJ342" s="2">
        <f>IFERROR(VLOOKUP(Calculations[[#This Row],[Material (choose from dropdown]],MaterialData[[#Headers],[#Data]],9,FALSE),0)</f>
        <v>0</v>
      </c>
      <c r="AK342" s="4">
        <f>IFERROR(VLOOKUP(Calculations[[#This Row],[Material (choose from dropdown]],MaterialData[[#Headers],[#Data]],10,FALSE),0)</f>
        <v>0</v>
      </c>
      <c r="AL342" s="322">
        <f>IFERROR(Calculations[[#This Row],[Data Quality Score]]*Calculations[[#This Row],[Total Kg]],0)</f>
        <v>0</v>
      </c>
    </row>
    <row r="343" spans="1:38" x14ac:dyDescent="0.3">
      <c r="A343" s="6">
        <f>IFERROR(MaterialsBoQ[[#This Row],[Scope Element]],0)</f>
        <v>0</v>
      </c>
      <c r="B343" t="str">
        <f>IFERROR(MaterialsBoQ[[#This Row],[Material ]],"")</f>
        <v/>
      </c>
      <c r="C343" t="str">
        <f>IFERROR(MaterialsBoQ[[#This Row],[Unit]],"")</f>
        <v/>
      </c>
      <c r="D343" s="322">
        <f>IFERROR(MaterialsBoQ[[#This Row],[Number]],0)</f>
        <v>0</v>
      </c>
      <c r="E343" s="322">
        <f>IFERROR(MaterialsBoQ[[#This Row],[Kg per unit]],0)</f>
        <v>0</v>
      </c>
      <c r="F343" s="322">
        <f>IFERROR(Calculations[[#This Row],[Number]]*Calculations[[#This Row],[Conversion factor]],0)</f>
        <v>0</v>
      </c>
      <c r="G343" s="322">
        <f>IFERROR(VLOOKUP(Calculations[[#This Row],[Material (choose from dropdown]],MaterialData[#All],7,FALSE),0)</f>
        <v>0</v>
      </c>
      <c r="H343" s="322">
        <f>Calculations[[#This Row],[Total Kg]]*Calculations[[#This Row],[Carbon Factor]]</f>
        <v>0</v>
      </c>
      <c r="I343" t="str">
        <f>IFERROR(VLOOKUP(Calculations[[#This Row],[Material (choose from dropdown]],MaterialData[#All],2,FALSE),"")</f>
        <v/>
      </c>
      <c r="J343" s="322">
        <f>IFERROR(((VLOOKUP(Calculations[[#This Row],[TransportSource]],TransportDistance[],2,FALSE)*'Stage assumptions'!$C$11)+VLOOKUP(Calculations[[#This Row],[TransportSource]],TransportDistance[],3,FALSE)*'Stage assumptions'!$C$12)*Calculations[[#This Row],[Total Kg]],0)</f>
        <v>0</v>
      </c>
      <c r="K343">
        <f>IFERROR(VLOOKUP(Calculations[[#This Row],[Material (choose from dropdown]], MaterialData[#All],3, FALSE),0)</f>
        <v>0</v>
      </c>
      <c r="L343" s="322">
        <f>IFERROR(VLOOKUP(Calculations[[#This Row],[A5type]],A5WastageRate[#All],2,FALSE)*Calculations[[#This Row],[A1-3]],0)</f>
        <v>0</v>
      </c>
      <c r="N343">
        <f>IFERROR(ROUNDUP(50/VLOOKUP(Calculations[[#This Row],[Scope Element]],B4referenceServiceLife[[Tier 2 element]:[Default Service Life]],2, FALSE)-1,0),0)</f>
        <v>0</v>
      </c>
      <c r="O343" s="322">
        <f>IFERROR((Calculations[[#This Row],[A1-3]]+Calculations[[#This Row],[A4]]+Calculations[[#This Row],[A5]]+Calculations[[#This Row],[C2 total]]+Calculations[[#This Row],[C3 total]]+Calculations[[#This Row],[C4 total]])*Calculations[[#This Row],[Replacements]],0)</f>
        <v>0</v>
      </c>
      <c r="S343" t="str">
        <f>IFERROR(VLOOKUP(Calculations[[#This Row],[Material (choose from dropdown]],MaterialData[#All],4,FALSE),"")</f>
        <v/>
      </c>
      <c r="T343" s="322" cm="1">
        <f t="array" ref="T343">IFERROR(VLOOKUP(Calculations[[#This Row],[Waste 1]],WasteScenario[#All],2,FALSE)*'Stage assumptions'!$C$225*WasteTransportMethod[Emissions Factor
kgCO2e/kg.km]*Calculations[[#This Row],[Total Kg]],0)</f>
        <v>0</v>
      </c>
      <c r="U343" s="322" cm="1">
        <f t="array" ref="U343">IFERROR(VLOOKUP(Calculations[[#This Row],[Waste 1]],WasteScenario[#All],3,FALSE)*'Stage assumptions'!$C$224*WasteTransportMethod[Emissions Factor
kgCO2e/kg.km]*Calculations[[#This Row],[Total Kg]],0)</f>
        <v>0</v>
      </c>
      <c r="V343" s="322" cm="1">
        <f t="array" ref="V343">IFERROR(VLOOKUP(Calculations[[#This Row],[Waste 1]],WasteScenario[#All],4,FALSE)*'Stage assumptions'!$C$223*WasteTransportMethod[Emissions Factor
kgCO2e/kg.km]*Calculations[[#This Row],[Total Kg]],0)</f>
        <v>0</v>
      </c>
      <c r="W343" s="322" cm="1">
        <f t="array" ref="W343">IFERROR(VLOOKUP(Calculations[[#This Row],[Waste 1]],WasteScenario[#All],5,FALSE)*'Stage assumptions'!$C$226*WasteTransportMethod[Emissions Factor
kgCO2e/kg.km]*Calculations[[#This Row],[Total Kg]],0)</f>
        <v>0</v>
      </c>
      <c r="X343" s="322">
        <f>SUM(Calculations[[#This Row],[C2 Recycle]:[C2 Reuse]])</f>
        <v>0</v>
      </c>
      <c r="Y343" t="str">
        <f>IFERROR(VLOOKUP(Calculations[[#This Row],[Material (choose from dropdown]],MaterialData[#All],5,FALSE),"")</f>
        <v/>
      </c>
      <c r="Z343" s="322">
        <f>IFERROR(((VLOOKUP(Calculations[[#This Row],[Waste type 2]],WasteDisposalEmissions[#All],2,FALSE))*Calculations[[#This Row],[Total Kg]])*VLOOKUP(Calculations[[#This Row],[Waste 1]],WasteScenario[#All],2,FALSE),0)</f>
        <v>0</v>
      </c>
      <c r="AA343" s="322">
        <f>IFERROR((VLOOKUP(Calculations[[#This Row],[Waste type 2]],WasteDisposalEmissions[#All],3,FALSE))*Calculations[[#This Row],[Total Kg]]*VLOOKUP(Calculations[[#This Row],[Waste 1]],WasteScenario[#All],3,FALSE),0)</f>
        <v>0</v>
      </c>
      <c r="AB343" s="322">
        <f>SUM(Calculations[[#This Row],[C3 recyc]:[C3 incin]])</f>
        <v>0</v>
      </c>
      <c r="AC343" s="334">
        <f>IFERROR((VLOOKUP(Calculations[[#This Row],[Waste type 2]],WasteLandfillEmissions[#All],2,FALSE))*Calculations[[#This Row],[Total Kg]]*VLOOKUP(Calculations[[#This Row],[Waste 1]],WasteScenario[#All],4,FALSE),0)</f>
        <v>0</v>
      </c>
      <c r="AD343" s="322">
        <f>IFERROR((VLOOKUP(Calculations[[#This Row],[Waste type 2]],WasteLandfillEmissions[#All],3,FALSE))*Calculations[[#This Row],[Total Kg]]*VLOOKUP(Calculations[[#This Row],[Waste 1]],WasteScenario[#All],4,FALSE),0)</f>
        <v>0</v>
      </c>
      <c r="AE343" s="322">
        <f>SUM(Calculations[[#This Row],[C4 landfill]:[C4 re-use]])</f>
        <v>0</v>
      </c>
      <c r="AF343" s="322">
        <f>IFERROR(VLOOKUP(Calculations[[#This Row],[Material (choose from dropdown]],MaterialData[#All],8,FALSE),0)</f>
        <v>0</v>
      </c>
      <c r="AG343" s="322">
        <f>IFERROR(Calculations[[#This Row],[Total Kg]]*Calculations[[#This Row],[Seq factor]],0)</f>
        <v>0</v>
      </c>
      <c r="AI343" s="322">
        <f>Calculations[[#This Row],[A1-3]]+Calculations[[#This Row],[A4]]+Calculations[[#This Row],[A5]]+Calculations[[#This Row],[B4]]+Calculations[[#This Row],[C2 total]]+Calculations[[#This Row],[C3 total]]+Calculations[[#This Row],[C4 total]]</f>
        <v>0</v>
      </c>
      <c r="AJ343" s="2">
        <f>IFERROR(VLOOKUP(Calculations[[#This Row],[Material (choose from dropdown]],MaterialData[[#Headers],[#Data]],9,FALSE),0)</f>
        <v>0</v>
      </c>
      <c r="AK343" s="4">
        <f>IFERROR(VLOOKUP(Calculations[[#This Row],[Material (choose from dropdown]],MaterialData[[#Headers],[#Data]],10,FALSE),0)</f>
        <v>0</v>
      </c>
      <c r="AL343" s="322">
        <f>IFERROR(Calculations[[#This Row],[Data Quality Score]]*Calculations[[#This Row],[Total Kg]],0)</f>
        <v>0</v>
      </c>
    </row>
    <row r="344" spans="1:38" x14ac:dyDescent="0.3">
      <c r="A344" s="6">
        <f>IFERROR(MaterialsBoQ[[#This Row],[Scope Element]],0)</f>
        <v>0</v>
      </c>
      <c r="B344" t="str">
        <f>IFERROR(MaterialsBoQ[[#This Row],[Material ]],"")</f>
        <v/>
      </c>
      <c r="C344" t="str">
        <f>IFERROR(MaterialsBoQ[[#This Row],[Unit]],"")</f>
        <v/>
      </c>
      <c r="D344" s="322">
        <f>IFERROR(MaterialsBoQ[[#This Row],[Number]],0)</f>
        <v>0</v>
      </c>
      <c r="E344" s="322">
        <f>IFERROR(MaterialsBoQ[[#This Row],[Kg per unit]],0)</f>
        <v>0</v>
      </c>
      <c r="F344" s="322">
        <f>IFERROR(Calculations[[#This Row],[Number]]*Calculations[[#This Row],[Conversion factor]],0)</f>
        <v>0</v>
      </c>
      <c r="G344" s="322">
        <f>IFERROR(VLOOKUP(Calculations[[#This Row],[Material (choose from dropdown]],MaterialData[#All],7,FALSE),0)</f>
        <v>0</v>
      </c>
      <c r="H344" s="322">
        <f>Calculations[[#This Row],[Total Kg]]*Calculations[[#This Row],[Carbon Factor]]</f>
        <v>0</v>
      </c>
      <c r="I344" t="str">
        <f>IFERROR(VLOOKUP(Calculations[[#This Row],[Material (choose from dropdown]],MaterialData[#All],2,FALSE),"")</f>
        <v/>
      </c>
      <c r="J344" s="322">
        <f>IFERROR(((VLOOKUP(Calculations[[#This Row],[TransportSource]],TransportDistance[],2,FALSE)*'Stage assumptions'!$C$11)+VLOOKUP(Calculations[[#This Row],[TransportSource]],TransportDistance[],3,FALSE)*'Stage assumptions'!$C$12)*Calculations[[#This Row],[Total Kg]],0)</f>
        <v>0</v>
      </c>
      <c r="K344">
        <f>IFERROR(VLOOKUP(Calculations[[#This Row],[Material (choose from dropdown]], MaterialData[#All],3, FALSE),0)</f>
        <v>0</v>
      </c>
      <c r="L344" s="322">
        <f>IFERROR(VLOOKUP(Calculations[[#This Row],[A5type]],A5WastageRate[#All],2,FALSE)*Calculations[[#This Row],[A1-3]],0)</f>
        <v>0</v>
      </c>
      <c r="N344">
        <f>IFERROR(ROUNDUP(50/VLOOKUP(Calculations[[#This Row],[Scope Element]],B4referenceServiceLife[[Tier 2 element]:[Default Service Life]],2, FALSE)-1,0),0)</f>
        <v>0</v>
      </c>
      <c r="O344" s="322">
        <f>IFERROR((Calculations[[#This Row],[A1-3]]+Calculations[[#This Row],[A4]]+Calculations[[#This Row],[A5]]+Calculations[[#This Row],[C2 total]]+Calculations[[#This Row],[C3 total]]+Calculations[[#This Row],[C4 total]])*Calculations[[#This Row],[Replacements]],0)</f>
        <v>0</v>
      </c>
      <c r="S344" t="str">
        <f>IFERROR(VLOOKUP(Calculations[[#This Row],[Material (choose from dropdown]],MaterialData[#All],4,FALSE),"")</f>
        <v/>
      </c>
      <c r="T344" s="322" cm="1">
        <f t="array" ref="T344">IFERROR(VLOOKUP(Calculations[[#This Row],[Waste 1]],WasteScenario[#All],2,FALSE)*'Stage assumptions'!$C$225*WasteTransportMethod[Emissions Factor
kgCO2e/kg.km]*Calculations[[#This Row],[Total Kg]],0)</f>
        <v>0</v>
      </c>
      <c r="U344" s="322" cm="1">
        <f t="array" ref="U344">IFERROR(VLOOKUP(Calculations[[#This Row],[Waste 1]],WasteScenario[#All],3,FALSE)*'Stage assumptions'!$C$224*WasteTransportMethod[Emissions Factor
kgCO2e/kg.km]*Calculations[[#This Row],[Total Kg]],0)</f>
        <v>0</v>
      </c>
      <c r="V344" s="322" cm="1">
        <f t="array" ref="V344">IFERROR(VLOOKUP(Calculations[[#This Row],[Waste 1]],WasteScenario[#All],4,FALSE)*'Stage assumptions'!$C$223*WasteTransportMethod[Emissions Factor
kgCO2e/kg.km]*Calculations[[#This Row],[Total Kg]],0)</f>
        <v>0</v>
      </c>
      <c r="W344" s="322" cm="1">
        <f t="array" ref="W344">IFERROR(VLOOKUP(Calculations[[#This Row],[Waste 1]],WasteScenario[#All],5,FALSE)*'Stage assumptions'!$C$226*WasteTransportMethod[Emissions Factor
kgCO2e/kg.km]*Calculations[[#This Row],[Total Kg]],0)</f>
        <v>0</v>
      </c>
      <c r="X344" s="322">
        <f>SUM(Calculations[[#This Row],[C2 Recycle]:[C2 Reuse]])</f>
        <v>0</v>
      </c>
      <c r="Y344" t="str">
        <f>IFERROR(VLOOKUP(Calculations[[#This Row],[Material (choose from dropdown]],MaterialData[#All],5,FALSE),"")</f>
        <v/>
      </c>
      <c r="Z344" s="322">
        <f>IFERROR(((VLOOKUP(Calculations[[#This Row],[Waste type 2]],WasteDisposalEmissions[#All],2,FALSE))*Calculations[[#This Row],[Total Kg]])*VLOOKUP(Calculations[[#This Row],[Waste 1]],WasteScenario[#All],2,FALSE),0)</f>
        <v>0</v>
      </c>
      <c r="AA344" s="322">
        <f>IFERROR((VLOOKUP(Calculations[[#This Row],[Waste type 2]],WasteDisposalEmissions[#All],3,FALSE))*Calculations[[#This Row],[Total Kg]]*VLOOKUP(Calculations[[#This Row],[Waste 1]],WasteScenario[#All],3,FALSE),0)</f>
        <v>0</v>
      </c>
      <c r="AB344" s="322">
        <f>SUM(Calculations[[#This Row],[C3 recyc]:[C3 incin]])</f>
        <v>0</v>
      </c>
      <c r="AC344" s="334">
        <f>IFERROR((VLOOKUP(Calculations[[#This Row],[Waste type 2]],WasteLandfillEmissions[#All],2,FALSE))*Calculations[[#This Row],[Total Kg]]*VLOOKUP(Calculations[[#This Row],[Waste 1]],WasteScenario[#All],4,FALSE),0)</f>
        <v>0</v>
      </c>
      <c r="AD344" s="322">
        <f>IFERROR((VLOOKUP(Calculations[[#This Row],[Waste type 2]],WasteLandfillEmissions[#All],3,FALSE))*Calculations[[#This Row],[Total Kg]]*VLOOKUP(Calculations[[#This Row],[Waste 1]],WasteScenario[#All],4,FALSE),0)</f>
        <v>0</v>
      </c>
      <c r="AE344" s="322">
        <f>SUM(Calculations[[#This Row],[C4 landfill]:[C4 re-use]])</f>
        <v>0</v>
      </c>
      <c r="AF344" s="322">
        <f>IFERROR(VLOOKUP(Calculations[[#This Row],[Material (choose from dropdown]],MaterialData[#All],8,FALSE),0)</f>
        <v>0</v>
      </c>
      <c r="AG344" s="322">
        <f>IFERROR(Calculations[[#This Row],[Total Kg]]*Calculations[[#This Row],[Seq factor]],0)</f>
        <v>0</v>
      </c>
      <c r="AI344" s="322">
        <f>Calculations[[#This Row],[A1-3]]+Calculations[[#This Row],[A4]]+Calculations[[#This Row],[A5]]+Calculations[[#This Row],[B4]]+Calculations[[#This Row],[C2 total]]+Calculations[[#This Row],[C3 total]]+Calculations[[#This Row],[C4 total]]</f>
        <v>0</v>
      </c>
      <c r="AJ344" s="2">
        <f>IFERROR(VLOOKUP(Calculations[[#This Row],[Material (choose from dropdown]],MaterialData[[#Headers],[#Data]],9,FALSE),0)</f>
        <v>0</v>
      </c>
      <c r="AK344" s="4">
        <f>IFERROR(VLOOKUP(Calculations[[#This Row],[Material (choose from dropdown]],MaterialData[[#Headers],[#Data]],10,FALSE),0)</f>
        <v>0</v>
      </c>
      <c r="AL344" s="322">
        <f>IFERROR(Calculations[[#This Row],[Data Quality Score]]*Calculations[[#This Row],[Total Kg]],0)</f>
        <v>0</v>
      </c>
    </row>
    <row r="345" spans="1:38" x14ac:dyDescent="0.3">
      <c r="A345" s="6">
        <f>IFERROR(MaterialsBoQ[[#This Row],[Scope Element]],0)</f>
        <v>0</v>
      </c>
      <c r="B345" t="str">
        <f>IFERROR(MaterialsBoQ[[#This Row],[Material ]],"")</f>
        <v/>
      </c>
      <c r="C345" t="str">
        <f>IFERROR(MaterialsBoQ[[#This Row],[Unit]],"")</f>
        <v/>
      </c>
      <c r="D345" s="322">
        <f>IFERROR(MaterialsBoQ[[#This Row],[Number]],0)</f>
        <v>0</v>
      </c>
      <c r="E345" s="322">
        <f>IFERROR(MaterialsBoQ[[#This Row],[Kg per unit]],0)</f>
        <v>0</v>
      </c>
      <c r="F345" s="322">
        <f>IFERROR(Calculations[[#This Row],[Number]]*Calculations[[#This Row],[Conversion factor]],0)</f>
        <v>0</v>
      </c>
      <c r="G345" s="322">
        <f>IFERROR(VLOOKUP(Calculations[[#This Row],[Material (choose from dropdown]],MaterialData[#All],7,FALSE),0)</f>
        <v>0</v>
      </c>
      <c r="H345" s="322">
        <f>Calculations[[#This Row],[Total Kg]]*Calculations[[#This Row],[Carbon Factor]]</f>
        <v>0</v>
      </c>
      <c r="I345" t="str">
        <f>IFERROR(VLOOKUP(Calculations[[#This Row],[Material (choose from dropdown]],MaterialData[#All],2,FALSE),"")</f>
        <v/>
      </c>
      <c r="J345" s="322">
        <f>IFERROR(((VLOOKUP(Calculations[[#This Row],[TransportSource]],TransportDistance[],2,FALSE)*'Stage assumptions'!$C$11)+VLOOKUP(Calculations[[#This Row],[TransportSource]],TransportDistance[],3,FALSE)*'Stage assumptions'!$C$12)*Calculations[[#This Row],[Total Kg]],0)</f>
        <v>0</v>
      </c>
      <c r="K345">
        <f>IFERROR(VLOOKUP(Calculations[[#This Row],[Material (choose from dropdown]], MaterialData[#All],3, FALSE),0)</f>
        <v>0</v>
      </c>
      <c r="L345" s="322">
        <f>IFERROR(VLOOKUP(Calculations[[#This Row],[A5type]],A5WastageRate[#All],2,FALSE)*Calculations[[#This Row],[A1-3]],0)</f>
        <v>0</v>
      </c>
      <c r="N345">
        <f>IFERROR(ROUNDUP(50/VLOOKUP(Calculations[[#This Row],[Scope Element]],B4referenceServiceLife[[Tier 2 element]:[Default Service Life]],2, FALSE)-1,0),0)</f>
        <v>0</v>
      </c>
      <c r="O345" s="322">
        <f>IFERROR((Calculations[[#This Row],[A1-3]]+Calculations[[#This Row],[A4]]+Calculations[[#This Row],[A5]]+Calculations[[#This Row],[C2 total]]+Calculations[[#This Row],[C3 total]]+Calculations[[#This Row],[C4 total]])*Calculations[[#This Row],[Replacements]],0)</f>
        <v>0</v>
      </c>
      <c r="S345" t="str">
        <f>IFERROR(VLOOKUP(Calculations[[#This Row],[Material (choose from dropdown]],MaterialData[#All],4,FALSE),"")</f>
        <v/>
      </c>
      <c r="T345" s="322" cm="1">
        <f t="array" ref="T345">IFERROR(VLOOKUP(Calculations[[#This Row],[Waste 1]],WasteScenario[#All],2,FALSE)*'Stage assumptions'!$C$225*WasteTransportMethod[Emissions Factor
kgCO2e/kg.km]*Calculations[[#This Row],[Total Kg]],0)</f>
        <v>0</v>
      </c>
      <c r="U345" s="322" cm="1">
        <f t="array" ref="U345">IFERROR(VLOOKUP(Calculations[[#This Row],[Waste 1]],WasteScenario[#All],3,FALSE)*'Stage assumptions'!$C$224*WasteTransportMethod[Emissions Factor
kgCO2e/kg.km]*Calculations[[#This Row],[Total Kg]],0)</f>
        <v>0</v>
      </c>
      <c r="V345" s="322" cm="1">
        <f t="array" ref="V345">IFERROR(VLOOKUP(Calculations[[#This Row],[Waste 1]],WasteScenario[#All],4,FALSE)*'Stage assumptions'!$C$223*WasteTransportMethod[Emissions Factor
kgCO2e/kg.km]*Calculations[[#This Row],[Total Kg]],0)</f>
        <v>0</v>
      </c>
      <c r="W345" s="322" cm="1">
        <f t="array" ref="W345">IFERROR(VLOOKUP(Calculations[[#This Row],[Waste 1]],WasteScenario[#All],5,FALSE)*'Stage assumptions'!$C$226*WasteTransportMethod[Emissions Factor
kgCO2e/kg.km]*Calculations[[#This Row],[Total Kg]],0)</f>
        <v>0</v>
      </c>
      <c r="X345" s="322">
        <f>SUM(Calculations[[#This Row],[C2 Recycle]:[C2 Reuse]])</f>
        <v>0</v>
      </c>
      <c r="Y345" t="str">
        <f>IFERROR(VLOOKUP(Calculations[[#This Row],[Material (choose from dropdown]],MaterialData[#All],5,FALSE),"")</f>
        <v/>
      </c>
      <c r="Z345" s="322">
        <f>IFERROR(((VLOOKUP(Calculations[[#This Row],[Waste type 2]],WasteDisposalEmissions[#All],2,FALSE))*Calculations[[#This Row],[Total Kg]])*VLOOKUP(Calculations[[#This Row],[Waste 1]],WasteScenario[#All],2,FALSE),0)</f>
        <v>0</v>
      </c>
      <c r="AA345" s="322">
        <f>IFERROR((VLOOKUP(Calculations[[#This Row],[Waste type 2]],WasteDisposalEmissions[#All],3,FALSE))*Calculations[[#This Row],[Total Kg]]*VLOOKUP(Calculations[[#This Row],[Waste 1]],WasteScenario[#All],3,FALSE),0)</f>
        <v>0</v>
      </c>
      <c r="AB345" s="322">
        <f>SUM(Calculations[[#This Row],[C3 recyc]:[C3 incin]])</f>
        <v>0</v>
      </c>
      <c r="AC345" s="334">
        <f>IFERROR((VLOOKUP(Calculations[[#This Row],[Waste type 2]],WasteLandfillEmissions[#All],2,FALSE))*Calculations[[#This Row],[Total Kg]]*VLOOKUP(Calculations[[#This Row],[Waste 1]],WasteScenario[#All],4,FALSE),0)</f>
        <v>0</v>
      </c>
      <c r="AD345" s="322">
        <f>IFERROR((VLOOKUP(Calculations[[#This Row],[Waste type 2]],WasteLandfillEmissions[#All],3,FALSE))*Calculations[[#This Row],[Total Kg]]*VLOOKUP(Calculations[[#This Row],[Waste 1]],WasteScenario[#All],4,FALSE),0)</f>
        <v>0</v>
      </c>
      <c r="AE345" s="322">
        <f>SUM(Calculations[[#This Row],[C4 landfill]:[C4 re-use]])</f>
        <v>0</v>
      </c>
      <c r="AF345" s="322">
        <f>IFERROR(VLOOKUP(Calculations[[#This Row],[Material (choose from dropdown]],MaterialData[#All],8,FALSE),0)</f>
        <v>0</v>
      </c>
      <c r="AG345" s="322">
        <f>IFERROR(Calculations[[#This Row],[Total Kg]]*Calculations[[#This Row],[Seq factor]],0)</f>
        <v>0</v>
      </c>
      <c r="AI345" s="322">
        <f>Calculations[[#This Row],[A1-3]]+Calculations[[#This Row],[A4]]+Calculations[[#This Row],[A5]]+Calculations[[#This Row],[B4]]+Calculations[[#This Row],[C2 total]]+Calculations[[#This Row],[C3 total]]+Calculations[[#This Row],[C4 total]]</f>
        <v>0</v>
      </c>
      <c r="AJ345" s="2">
        <f>IFERROR(VLOOKUP(Calculations[[#This Row],[Material (choose from dropdown]],MaterialData[[#Headers],[#Data]],9,FALSE),0)</f>
        <v>0</v>
      </c>
      <c r="AK345" s="4">
        <f>IFERROR(VLOOKUP(Calculations[[#This Row],[Material (choose from dropdown]],MaterialData[[#Headers],[#Data]],10,FALSE),0)</f>
        <v>0</v>
      </c>
      <c r="AL345" s="322">
        <f>IFERROR(Calculations[[#This Row],[Data Quality Score]]*Calculations[[#This Row],[Total Kg]],0)</f>
        <v>0</v>
      </c>
    </row>
    <row r="346" spans="1:38" x14ac:dyDescent="0.3">
      <c r="A346" s="6">
        <f>IFERROR(MaterialsBoQ[[#This Row],[Scope Element]],0)</f>
        <v>0</v>
      </c>
      <c r="B346" t="str">
        <f>IFERROR(MaterialsBoQ[[#This Row],[Material ]],"")</f>
        <v/>
      </c>
      <c r="C346" t="str">
        <f>IFERROR(MaterialsBoQ[[#This Row],[Unit]],"")</f>
        <v/>
      </c>
      <c r="D346" s="322">
        <f>IFERROR(MaterialsBoQ[[#This Row],[Number]],0)</f>
        <v>0</v>
      </c>
      <c r="E346" s="322">
        <f>IFERROR(MaterialsBoQ[[#This Row],[Kg per unit]],0)</f>
        <v>0</v>
      </c>
      <c r="F346" s="322">
        <f>IFERROR(Calculations[[#This Row],[Number]]*Calculations[[#This Row],[Conversion factor]],0)</f>
        <v>0</v>
      </c>
      <c r="G346" s="322">
        <f>IFERROR(VLOOKUP(Calculations[[#This Row],[Material (choose from dropdown]],MaterialData[#All],7,FALSE),0)</f>
        <v>0</v>
      </c>
      <c r="H346" s="322">
        <f>Calculations[[#This Row],[Total Kg]]*Calculations[[#This Row],[Carbon Factor]]</f>
        <v>0</v>
      </c>
      <c r="I346" t="str">
        <f>IFERROR(VLOOKUP(Calculations[[#This Row],[Material (choose from dropdown]],MaterialData[#All],2,FALSE),"")</f>
        <v/>
      </c>
      <c r="J346" s="322">
        <f>IFERROR(((VLOOKUP(Calculations[[#This Row],[TransportSource]],TransportDistance[],2,FALSE)*'Stage assumptions'!$C$11)+VLOOKUP(Calculations[[#This Row],[TransportSource]],TransportDistance[],3,FALSE)*'Stage assumptions'!$C$12)*Calculations[[#This Row],[Total Kg]],0)</f>
        <v>0</v>
      </c>
      <c r="K346">
        <f>IFERROR(VLOOKUP(Calculations[[#This Row],[Material (choose from dropdown]], MaterialData[#All],3, FALSE),0)</f>
        <v>0</v>
      </c>
      <c r="L346" s="322">
        <f>IFERROR(VLOOKUP(Calculations[[#This Row],[A5type]],A5WastageRate[#All],2,FALSE)*Calculations[[#This Row],[A1-3]],0)</f>
        <v>0</v>
      </c>
      <c r="N346">
        <f>IFERROR(ROUNDUP(50/VLOOKUP(Calculations[[#This Row],[Scope Element]],B4referenceServiceLife[[Tier 2 element]:[Default Service Life]],2, FALSE)-1,0),0)</f>
        <v>0</v>
      </c>
      <c r="O346" s="322">
        <f>IFERROR((Calculations[[#This Row],[A1-3]]+Calculations[[#This Row],[A4]]+Calculations[[#This Row],[A5]]+Calculations[[#This Row],[C2 total]]+Calculations[[#This Row],[C3 total]]+Calculations[[#This Row],[C4 total]])*Calculations[[#This Row],[Replacements]],0)</f>
        <v>0</v>
      </c>
      <c r="S346" t="str">
        <f>IFERROR(VLOOKUP(Calculations[[#This Row],[Material (choose from dropdown]],MaterialData[#All],4,FALSE),"")</f>
        <v/>
      </c>
      <c r="T346" s="322" cm="1">
        <f t="array" ref="T346">IFERROR(VLOOKUP(Calculations[[#This Row],[Waste 1]],WasteScenario[#All],2,FALSE)*'Stage assumptions'!$C$225*WasteTransportMethod[Emissions Factor
kgCO2e/kg.km]*Calculations[[#This Row],[Total Kg]],0)</f>
        <v>0</v>
      </c>
      <c r="U346" s="322" cm="1">
        <f t="array" ref="U346">IFERROR(VLOOKUP(Calculations[[#This Row],[Waste 1]],WasteScenario[#All],3,FALSE)*'Stage assumptions'!$C$224*WasteTransportMethod[Emissions Factor
kgCO2e/kg.km]*Calculations[[#This Row],[Total Kg]],0)</f>
        <v>0</v>
      </c>
      <c r="V346" s="322" cm="1">
        <f t="array" ref="V346">IFERROR(VLOOKUP(Calculations[[#This Row],[Waste 1]],WasteScenario[#All],4,FALSE)*'Stage assumptions'!$C$223*WasteTransportMethod[Emissions Factor
kgCO2e/kg.km]*Calculations[[#This Row],[Total Kg]],0)</f>
        <v>0</v>
      </c>
      <c r="W346" s="322" cm="1">
        <f t="array" ref="W346">IFERROR(VLOOKUP(Calculations[[#This Row],[Waste 1]],WasteScenario[#All],5,FALSE)*'Stage assumptions'!$C$226*WasteTransportMethod[Emissions Factor
kgCO2e/kg.km]*Calculations[[#This Row],[Total Kg]],0)</f>
        <v>0</v>
      </c>
      <c r="X346" s="322">
        <f>SUM(Calculations[[#This Row],[C2 Recycle]:[C2 Reuse]])</f>
        <v>0</v>
      </c>
      <c r="Y346" t="str">
        <f>IFERROR(VLOOKUP(Calculations[[#This Row],[Material (choose from dropdown]],MaterialData[#All],5,FALSE),"")</f>
        <v/>
      </c>
      <c r="Z346" s="322">
        <f>IFERROR(((VLOOKUP(Calculations[[#This Row],[Waste type 2]],WasteDisposalEmissions[#All],2,FALSE))*Calculations[[#This Row],[Total Kg]])*VLOOKUP(Calculations[[#This Row],[Waste 1]],WasteScenario[#All],2,FALSE),0)</f>
        <v>0</v>
      </c>
      <c r="AA346" s="322">
        <f>IFERROR((VLOOKUP(Calculations[[#This Row],[Waste type 2]],WasteDisposalEmissions[#All],3,FALSE))*Calculations[[#This Row],[Total Kg]]*VLOOKUP(Calculations[[#This Row],[Waste 1]],WasteScenario[#All],3,FALSE),0)</f>
        <v>0</v>
      </c>
      <c r="AB346" s="322">
        <f>SUM(Calculations[[#This Row],[C3 recyc]:[C3 incin]])</f>
        <v>0</v>
      </c>
      <c r="AC346" s="334">
        <f>IFERROR((VLOOKUP(Calculations[[#This Row],[Waste type 2]],WasteLandfillEmissions[#All],2,FALSE))*Calculations[[#This Row],[Total Kg]]*VLOOKUP(Calculations[[#This Row],[Waste 1]],WasteScenario[#All],4,FALSE),0)</f>
        <v>0</v>
      </c>
      <c r="AD346" s="322">
        <f>IFERROR((VLOOKUP(Calculations[[#This Row],[Waste type 2]],WasteLandfillEmissions[#All],3,FALSE))*Calculations[[#This Row],[Total Kg]]*VLOOKUP(Calculations[[#This Row],[Waste 1]],WasteScenario[#All],4,FALSE),0)</f>
        <v>0</v>
      </c>
      <c r="AE346" s="322">
        <f>SUM(Calculations[[#This Row],[C4 landfill]:[C4 re-use]])</f>
        <v>0</v>
      </c>
      <c r="AF346" s="322">
        <f>IFERROR(VLOOKUP(Calculations[[#This Row],[Material (choose from dropdown]],MaterialData[#All],8,FALSE),0)</f>
        <v>0</v>
      </c>
      <c r="AG346" s="322">
        <f>IFERROR(Calculations[[#This Row],[Total Kg]]*Calculations[[#This Row],[Seq factor]],0)</f>
        <v>0</v>
      </c>
      <c r="AI346" s="322">
        <f>Calculations[[#This Row],[A1-3]]+Calculations[[#This Row],[A4]]+Calculations[[#This Row],[A5]]+Calculations[[#This Row],[B4]]+Calculations[[#This Row],[C2 total]]+Calculations[[#This Row],[C3 total]]+Calculations[[#This Row],[C4 total]]</f>
        <v>0</v>
      </c>
      <c r="AJ346" s="2">
        <f>IFERROR(VLOOKUP(Calculations[[#This Row],[Material (choose from dropdown]],MaterialData[[#Headers],[#Data]],9,FALSE),0)</f>
        <v>0</v>
      </c>
      <c r="AK346" s="4">
        <f>IFERROR(VLOOKUP(Calculations[[#This Row],[Material (choose from dropdown]],MaterialData[[#Headers],[#Data]],10,FALSE),0)</f>
        <v>0</v>
      </c>
      <c r="AL346" s="322">
        <f>IFERROR(Calculations[[#This Row],[Data Quality Score]]*Calculations[[#This Row],[Total Kg]],0)</f>
        <v>0</v>
      </c>
    </row>
    <row r="347" spans="1:38" x14ac:dyDescent="0.3">
      <c r="A347" s="6">
        <f>IFERROR(MaterialsBoQ[[#This Row],[Scope Element]],0)</f>
        <v>0</v>
      </c>
      <c r="B347" t="str">
        <f>IFERROR(MaterialsBoQ[[#This Row],[Material ]],"")</f>
        <v/>
      </c>
      <c r="C347" t="str">
        <f>IFERROR(MaterialsBoQ[[#This Row],[Unit]],"")</f>
        <v/>
      </c>
      <c r="D347" s="322">
        <f>IFERROR(MaterialsBoQ[[#This Row],[Number]],0)</f>
        <v>0</v>
      </c>
      <c r="E347" s="322">
        <f>IFERROR(MaterialsBoQ[[#This Row],[Kg per unit]],0)</f>
        <v>0</v>
      </c>
      <c r="F347" s="322">
        <f>IFERROR(Calculations[[#This Row],[Number]]*Calculations[[#This Row],[Conversion factor]],0)</f>
        <v>0</v>
      </c>
      <c r="G347" s="322">
        <f>IFERROR(VLOOKUP(Calculations[[#This Row],[Material (choose from dropdown]],MaterialData[#All],7,FALSE),0)</f>
        <v>0</v>
      </c>
      <c r="H347" s="322">
        <f>Calculations[[#This Row],[Total Kg]]*Calculations[[#This Row],[Carbon Factor]]</f>
        <v>0</v>
      </c>
      <c r="I347" t="str">
        <f>IFERROR(VLOOKUP(Calculations[[#This Row],[Material (choose from dropdown]],MaterialData[#All],2,FALSE),"")</f>
        <v/>
      </c>
      <c r="J347" s="322">
        <f>IFERROR(((VLOOKUP(Calculations[[#This Row],[TransportSource]],TransportDistance[],2,FALSE)*'Stage assumptions'!$C$11)+VLOOKUP(Calculations[[#This Row],[TransportSource]],TransportDistance[],3,FALSE)*'Stage assumptions'!$C$12)*Calculations[[#This Row],[Total Kg]],0)</f>
        <v>0</v>
      </c>
      <c r="K347">
        <f>IFERROR(VLOOKUP(Calculations[[#This Row],[Material (choose from dropdown]], MaterialData[#All],3, FALSE),0)</f>
        <v>0</v>
      </c>
      <c r="L347" s="322">
        <f>IFERROR(VLOOKUP(Calculations[[#This Row],[A5type]],A5WastageRate[#All],2,FALSE)*Calculations[[#This Row],[A1-3]],0)</f>
        <v>0</v>
      </c>
      <c r="N347">
        <f>IFERROR(ROUNDUP(50/VLOOKUP(Calculations[[#This Row],[Scope Element]],B4referenceServiceLife[[Tier 2 element]:[Default Service Life]],2, FALSE)-1,0),0)</f>
        <v>0</v>
      </c>
      <c r="O347" s="322">
        <f>IFERROR((Calculations[[#This Row],[A1-3]]+Calculations[[#This Row],[A4]]+Calculations[[#This Row],[A5]]+Calculations[[#This Row],[C2 total]]+Calculations[[#This Row],[C3 total]]+Calculations[[#This Row],[C4 total]])*Calculations[[#This Row],[Replacements]],0)</f>
        <v>0</v>
      </c>
      <c r="S347" t="str">
        <f>IFERROR(VLOOKUP(Calculations[[#This Row],[Material (choose from dropdown]],MaterialData[#All],4,FALSE),"")</f>
        <v/>
      </c>
      <c r="T347" s="322" cm="1">
        <f t="array" ref="T347">IFERROR(VLOOKUP(Calculations[[#This Row],[Waste 1]],WasteScenario[#All],2,FALSE)*'Stage assumptions'!$C$225*WasteTransportMethod[Emissions Factor
kgCO2e/kg.km]*Calculations[[#This Row],[Total Kg]],0)</f>
        <v>0</v>
      </c>
      <c r="U347" s="322" cm="1">
        <f t="array" ref="U347">IFERROR(VLOOKUP(Calculations[[#This Row],[Waste 1]],WasteScenario[#All],3,FALSE)*'Stage assumptions'!$C$224*WasteTransportMethod[Emissions Factor
kgCO2e/kg.km]*Calculations[[#This Row],[Total Kg]],0)</f>
        <v>0</v>
      </c>
      <c r="V347" s="322" cm="1">
        <f t="array" ref="V347">IFERROR(VLOOKUP(Calculations[[#This Row],[Waste 1]],WasteScenario[#All],4,FALSE)*'Stage assumptions'!$C$223*WasteTransportMethod[Emissions Factor
kgCO2e/kg.km]*Calculations[[#This Row],[Total Kg]],0)</f>
        <v>0</v>
      </c>
      <c r="W347" s="322" cm="1">
        <f t="array" ref="W347">IFERROR(VLOOKUP(Calculations[[#This Row],[Waste 1]],WasteScenario[#All],5,FALSE)*'Stage assumptions'!$C$226*WasteTransportMethod[Emissions Factor
kgCO2e/kg.km]*Calculations[[#This Row],[Total Kg]],0)</f>
        <v>0</v>
      </c>
      <c r="X347" s="322">
        <f>SUM(Calculations[[#This Row],[C2 Recycle]:[C2 Reuse]])</f>
        <v>0</v>
      </c>
      <c r="Y347" t="str">
        <f>IFERROR(VLOOKUP(Calculations[[#This Row],[Material (choose from dropdown]],MaterialData[#All],5,FALSE),"")</f>
        <v/>
      </c>
      <c r="Z347" s="322">
        <f>IFERROR(((VLOOKUP(Calculations[[#This Row],[Waste type 2]],WasteDisposalEmissions[#All],2,FALSE))*Calculations[[#This Row],[Total Kg]])*VLOOKUP(Calculations[[#This Row],[Waste 1]],WasteScenario[#All],2,FALSE),0)</f>
        <v>0</v>
      </c>
      <c r="AA347" s="322">
        <f>IFERROR((VLOOKUP(Calculations[[#This Row],[Waste type 2]],WasteDisposalEmissions[#All],3,FALSE))*Calculations[[#This Row],[Total Kg]]*VLOOKUP(Calculations[[#This Row],[Waste 1]],WasteScenario[#All],3,FALSE),0)</f>
        <v>0</v>
      </c>
      <c r="AB347" s="322">
        <f>SUM(Calculations[[#This Row],[C3 recyc]:[C3 incin]])</f>
        <v>0</v>
      </c>
      <c r="AC347" s="334">
        <f>IFERROR((VLOOKUP(Calculations[[#This Row],[Waste type 2]],WasteLandfillEmissions[#All],2,FALSE))*Calculations[[#This Row],[Total Kg]]*VLOOKUP(Calculations[[#This Row],[Waste 1]],WasteScenario[#All],4,FALSE),0)</f>
        <v>0</v>
      </c>
      <c r="AD347" s="322">
        <f>IFERROR((VLOOKUP(Calculations[[#This Row],[Waste type 2]],WasteLandfillEmissions[#All],3,FALSE))*Calculations[[#This Row],[Total Kg]]*VLOOKUP(Calculations[[#This Row],[Waste 1]],WasteScenario[#All],4,FALSE),0)</f>
        <v>0</v>
      </c>
      <c r="AE347" s="322">
        <f>SUM(Calculations[[#This Row],[C4 landfill]:[C4 re-use]])</f>
        <v>0</v>
      </c>
      <c r="AF347" s="322">
        <f>IFERROR(VLOOKUP(Calculations[[#This Row],[Material (choose from dropdown]],MaterialData[#All],8,FALSE),0)</f>
        <v>0</v>
      </c>
      <c r="AG347" s="322">
        <f>IFERROR(Calculations[[#This Row],[Total Kg]]*Calculations[[#This Row],[Seq factor]],0)</f>
        <v>0</v>
      </c>
      <c r="AI347" s="322">
        <f>Calculations[[#This Row],[A1-3]]+Calculations[[#This Row],[A4]]+Calculations[[#This Row],[A5]]+Calculations[[#This Row],[B4]]+Calculations[[#This Row],[C2 total]]+Calculations[[#This Row],[C3 total]]+Calculations[[#This Row],[C4 total]]</f>
        <v>0</v>
      </c>
      <c r="AJ347" s="2">
        <f>IFERROR(VLOOKUP(Calculations[[#This Row],[Material (choose from dropdown]],MaterialData[[#Headers],[#Data]],9,FALSE),0)</f>
        <v>0</v>
      </c>
      <c r="AK347" s="4">
        <f>IFERROR(VLOOKUP(Calculations[[#This Row],[Material (choose from dropdown]],MaterialData[[#Headers],[#Data]],10,FALSE),0)</f>
        <v>0</v>
      </c>
      <c r="AL347" s="322">
        <f>IFERROR(Calculations[[#This Row],[Data Quality Score]]*Calculations[[#This Row],[Total Kg]],0)</f>
        <v>0</v>
      </c>
    </row>
    <row r="348" spans="1:38" x14ac:dyDescent="0.3">
      <c r="A348" s="6">
        <f>IFERROR(MaterialsBoQ[[#This Row],[Scope Element]],0)</f>
        <v>0</v>
      </c>
      <c r="B348" t="str">
        <f>IFERROR(MaterialsBoQ[[#This Row],[Material ]],"")</f>
        <v/>
      </c>
      <c r="C348" t="str">
        <f>IFERROR(MaterialsBoQ[[#This Row],[Unit]],"")</f>
        <v/>
      </c>
      <c r="D348" s="322">
        <f>IFERROR(MaterialsBoQ[[#This Row],[Number]],0)</f>
        <v>0</v>
      </c>
      <c r="E348" s="322">
        <f>IFERROR(MaterialsBoQ[[#This Row],[Kg per unit]],0)</f>
        <v>0</v>
      </c>
      <c r="F348" s="322">
        <f>IFERROR(Calculations[[#This Row],[Number]]*Calculations[[#This Row],[Conversion factor]],0)</f>
        <v>0</v>
      </c>
      <c r="G348" s="322">
        <f>IFERROR(VLOOKUP(Calculations[[#This Row],[Material (choose from dropdown]],MaterialData[#All],7,FALSE),0)</f>
        <v>0</v>
      </c>
      <c r="H348" s="322">
        <f>Calculations[[#This Row],[Total Kg]]*Calculations[[#This Row],[Carbon Factor]]</f>
        <v>0</v>
      </c>
      <c r="I348" t="str">
        <f>IFERROR(VLOOKUP(Calculations[[#This Row],[Material (choose from dropdown]],MaterialData[#All],2,FALSE),"")</f>
        <v/>
      </c>
      <c r="J348" s="322">
        <f>IFERROR(((VLOOKUP(Calculations[[#This Row],[TransportSource]],TransportDistance[],2,FALSE)*'Stage assumptions'!$C$11)+VLOOKUP(Calculations[[#This Row],[TransportSource]],TransportDistance[],3,FALSE)*'Stage assumptions'!$C$12)*Calculations[[#This Row],[Total Kg]],0)</f>
        <v>0</v>
      </c>
      <c r="K348">
        <f>IFERROR(VLOOKUP(Calculations[[#This Row],[Material (choose from dropdown]], MaterialData[#All],3, FALSE),0)</f>
        <v>0</v>
      </c>
      <c r="L348" s="322">
        <f>IFERROR(VLOOKUP(Calculations[[#This Row],[A5type]],A5WastageRate[#All],2,FALSE)*Calculations[[#This Row],[A1-3]],0)</f>
        <v>0</v>
      </c>
      <c r="N348">
        <f>IFERROR(ROUNDUP(50/VLOOKUP(Calculations[[#This Row],[Scope Element]],B4referenceServiceLife[[Tier 2 element]:[Default Service Life]],2, FALSE)-1,0),0)</f>
        <v>0</v>
      </c>
      <c r="O348" s="322">
        <f>IFERROR((Calculations[[#This Row],[A1-3]]+Calculations[[#This Row],[A4]]+Calculations[[#This Row],[A5]]+Calculations[[#This Row],[C2 total]]+Calculations[[#This Row],[C3 total]]+Calculations[[#This Row],[C4 total]])*Calculations[[#This Row],[Replacements]],0)</f>
        <v>0</v>
      </c>
      <c r="S348" t="str">
        <f>IFERROR(VLOOKUP(Calculations[[#This Row],[Material (choose from dropdown]],MaterialData[#All],4,FALSE),"")</f>
        <v/>
      </c>
      <c r="T348" s="322" cm="1">
        <f t="array" ref="T348">IFERROR(VLOOKUP(Calculations[[#This Row],[Waste 1]],WasteScenario[#All],2,FALSE)*'Stage assumptions'!$C$225*WasteTransportMethod[Emissions Factor
kgCO2e/kg.km]*Calculations[[#This Row],[Total Kg]],0)</f>
        <v>0</v>
      </c>
      <c r="U348" s="322" cm="1">
        <f t="array" ref="U348">IFERROR(VLOOKUP(Calculations[[#This Row],[Waste 1]],WasteScenario[#All],3,FALSE)*'Stage assumptions'!$C$224*WasteTransportMethod[Emissions Factor
kgCO2e/kg.km]*Calculations[[#This Row],[Total Kg]],0)</f>
        <v>0</v>
      </c>
      <c r="V348" s="322" cm="1">
        <f t="array" ref="V348">IFERROR(VLOOKUP(Calculations[[#This Row],[Waste 1]],WasteScenario[#All],4,FALSE)*'Stage assumptions'!$C$223*WasteTransportMethod[Emissions Factor
kgCO2e/kg.km]*Calculations[[#This Row],[Total Kg]],0)</f>
        <v>0</v>
      </c>
      <c r="W348" s="322" cm="1">
        <f t="array" ref="W348">IFERROR(VLOOKUP(Calculations[[#This Row],[Waste 1]],WasteScenario[#All],5,FALSE)*'Stage assumptions'!$C$226*WasteTransportMethod[Emissions Factor
kgCO2e/kg.km]*Calculations[[#This Row],[Total Kg]],0)</f>
        <v>0</v>
      </c>
      <c r="X348" s="322">
        <f>SUM(Calculations[[#This Row],[C2 Recycle]:[C2 Reuse]])</f>
        <v>0</v>
      </c>
      <c r="Y348" t="str">
        <f>IFERROR(VLOOKUP(Calculations[[#This Row],[Material (choose from dropdown]],MaterialData[#All],5,FALSE),"")</f>
        <v/>
      </c>
      <c r="Z348" s="322">
        <f>IFERROR(((VLOOKUP(Calculations[[#This Row],[Waste type 2]],WasteDisposalEmissions[#All],2,FALSE))*Calculations[[#This Row],[Total Kg]])*VLOOKUP(Calculations[[#This Row],[Waste 1]],WasteScenario[#All],2,FALSE),0)</f>
        <v>0</v>
      </c>
      <c r="AA348" s="322">
        <f>IFERROR((VLOOKUP(Calculations[[#This Row],[Waste type 2]],WasteDisposalEmissions[#All],3,FALSE))*Calculations[[#This Row],[Total Kg]]*VLOOKUP(Calculations[[#This Row],[Waste 1]],WasteScenario[#All],3,FALSE),0)</f>
        <v>0</v>
      </c>
      <c r="AB348" s="322">
        <f>SUM(Calculations[[#This Row],[C3 recyc]:[C3 incin]])</f>
        <v>0</v>
      </c>
      <c r="AC348" s="334">
        <f>IFERROR((VLOOKUP(Calculations[[#This Row],[Waste type 2]],WasteLandfillEmissions[#All],2,FALSE))*Calculations[[#This Row],[Total Kg]]*VLOOKUP(Calculations[[#This Row],[Waste 1]],WasteScenario[#All],4,FALSE),0)</f>
        <v>0</v>
      </c>
      <c r="AD348" s="322">
        <f>IFERROR((VLOOKUP(Calculations[[#This Row],[Waste type 2]],WasteLandfillEmissions[#All],3,FALSE))*Calculations[[#This Row],[Total Kg]]*VLOOKUP(Calculations[[#This Row],[Waste 1]],WasteScenario[#All],4,FALSE),0)</f>
        <v>0</v>
      </c>
      <c r="AE348" s="322">
        <f>SUM(Calculations[[#This Row],[C4 landfill]:[C4 re-use]])</f>
        <v>0</v>
      </c>
      <c r="AF348" s="322">
        <f>IFERROR(VLOOKUP(Calculations[[#This Row],[Material (choose from dropdown]],MaterialData[#All],8,FALSE),0)</f>
        <v>0</v>
      </c>
      <c r="AG348" s="322">
        <f>IFERROR(Calculations[[#This Row],[Total Kg]]*Calculations[[#This Row],[Seq factor]],0)</f>
        <v>0</v>
      </c>
      <c r="AI348" s="322">
        <f>Calculations[[#This Row],[A1-3]]+Calculations[[#This Row],[A4]]+Calculations[[#This Row],[A5]]+Calculations[[#This Row],[B4]]+Calculations[[#This Row],[C2 total]]+Calculations[[#This Row],[C3 total]]+Calculations[[#This Row],[C4 total]]</f>
        <v>0</v>
      </c>
      <c r="AJ348" s="2">
        <f>IFERROR(VLOOKUP(Calculations[[#This Row],[Material (choose from dropdown]],MaterialData[[#Headers],[#Data]],9,FALSE),0)</f>
        <v>0</v>
      </c>
      <c r="AK348" s="4">
        <f>IFERROR(VLOOKUP(Calculations[[#This Row],[Material (choose from dropdown]],MaterialData[[#Headers],[#Data]],10,FALSE),0)</f>
        <v>0</v>
      </c>
      <c r="AL348" s="322">
        <f>IFERROR(Calculations[[#This Row],[Data Quality Score]]*Calculations[[#This Row],[Total Kg]],0)</f>
        <v>0</v>
      </c>
    </row>
    <row r="349" spans="1:38" x14ac:dyDescent="0.3">
      <c r="A349" s="6">
        <f>IFERROR(MaterialsBoQ[[#This Row],[Scope Element]],0)</f>
        <v>0</v>
      </c>
      <c r="B349" t="str">
        <f>IFERROR(MaterialsBoQ[[#This Row],[Material ]],"")</f>
        <v/>
      </c>
      <c r="C349" t="str">
        <f>IFERROR(MaterialsBoQ[[#This Row],[Unit]],"")</f>
        <v/>
      </c>
      <c r="D349" s="322">
        <f>IFERROR(MaterialsBoQ[[#This Row],[Number]],0)</f>
        <v>0</v>
      </c>
      <c r="E349" s="322">
        <f>IFERROR(MaterialsBoQ[[#This Row],[Kg per unit]],0)</f>
        <v>0</v>
      </c>
      <c r="F349" s="322">
        <f>IFERROR(Calculations[[#This Row],[Number]]*Calculations[[#This Row],[Conversion factor]],0)</f>
        <v>0</v>
      </c>
      <c r="G349" s="322">
        <f>IFERROR(VLOOKUP(Calculations[[#This Row],[Material (choose from dropdown]],MaterialData[#All],7,FALSE),0)</f>
        <v>0</v>
      </c>
      <c r="H349" s="322">
        <f>Calculations[[#This Row],[Total Kg]]*Calculations[[#This Row],[Carbon Factor]]</f>
        <v>0</v>
      </c>
      <c r="I349" t="str">
        <f>IFERROR(VLOOKUP(Calculations[[#This Row],[Material (choose from dropdown]],MaterialData[#All],2,FALSE),"")</f>
        <v/>
      </c>
      <c r="J349" s="322">
        <f>IFERROR(((VLOOKUP(Calculations[[#This Row],[TransportSource]],TransportDistance[],2,FALSE)*'Stage assumptions'!$C$11)+VLOOKUP(Calculations[[#This Row],[TransportSource]],TransportDistance[],3,FALSE)*'Stage assumptions'!$C$12)*Calculations[[#This Row],[Total Kg]],0)</f>
        <v>0</v>
      </c>
      <c r="K349">
        <f>IFERROR(VLOOKUP(Calculations[[#This Row],[Material (choose from dropdown]], MaterialData[#All],3, FALSE),0)</f>
        <v>0</v>
      </c>
      <c r="L349" s="322">
        <f>IFERROR(VLOOKUP(Calculations[[#This Row],[A5type]],A5WastageRate[#All],2,FALSE)*Calculations[[#This Row],[A1-3]],0)</f>
        <v>0</v>
      </c>
      <c r="N349">
        <f>IFERROR(ROUNDUP(50/VLOOKUP(Calculations[[#This Row],[Scope Element]],B4referenceServiceLife[[Tier 2 element]:[Default Service Life]],2, FALSE)-1,0),0)</f>
        <v>0</v>
      </c>
      <c r="O349" s="322">
        <f>IFERROR((Calculations[[#This Row],[A1-3]]+Calculations[[#This Row],[A4]]+Calculations[[#This Row],[A5]]+Calculations[[#This Row],[C2 total]]+Calculations[[#This Row],[C3 total]]+Calculations[[#This Row],[C4 total]])*Calculations[[#This Row],[Replacements]],0)</f>
        <v>0</v>
      </c>
      <c r="S349" t="str">
        <f>IFERROR(VLOOKUP(Calculations[[#This Row],[Material (choose from dropdown]],MaterialData[#All],4,FALSE),"")</f>
        <v/>
      </c>
      <c r="T349" s="322" cm="1">
        <f t="array" ref="T349">IFERROR(VLOOKUP(Calculations[[#This Row],[Waste 1]],WasteScenario[#All],2,FALSE)*'Stage assumptions'!$C$225*WasteTransportMethod[Emissions Factor
kgCO2e/kg.km]*Calculations[[#This Row],[Total Kg]],0)</f>
        <v>0</v>
      </c>
      <c r="U349" s="322" cm="1">
        <f t="array" ref="U349">IFERROR(VLOOKUP(Calculations[[#This Row],[Waste 1]],WasteScenario[#All],3,FALSE)*'Stage assumptions'!$C$224*WasteTransportMethod[Emissions Factor
kgCO2e/kg.km]*Calculations[[#This Row],[Total Kg]],0)</f>
        <v>0</v>
      </c>
      <c r="V349" s="322" cm="1">
        <f t="array" ref="V349">IFERROR(VLOOKUP(Calculations[[#This Row],[Waste 1]],WasteScenario[#All],4,FALSE)*'Stage assumptions'!$C$223*WasteTransportMethod[Emissions Factor
kgCO2e/kg.km]*Calculations[[#This Row],[Total Kg]],0)</f>
        <v>0</v>
      </c>
      <c r="W349" s="322" cm="1">
        <f t="array" ref="W349">IFERROR(VLOOKUP(Calculations[[#This Row],[Waste 1]],WasteScenario[#All],5,FALSE)*'Stage assumptions'!$C$226*WasteTransportMethod[Emissions Factor
kgCO2e/kg.km]*Calculations[[#This Row],[Total Kg]],0)</f>
        <v>0</v>
      </c>
      <c r="X349" s="322">
        <f>SUM(Calculations[[#This Row],[C2 Recycle]:[C2 Reuse]])</f>
        <v>0</v>
      </c>
      <c r="Y349" t="str">
        <f>IFERROR(VLOOKUP(Calculations[[#This Row],[Material (choose from dropdown]],MaterialData[#All],5,FALSE),"")</f>
        <v/>
      </c>
      <c r="Z349" s="322">
        <f>IFERROR(((VLOOKUP(Calculations[[#This Row],[Waste type 2]],WasteDisposalEmissions[#All],2,FALSE))*Calculations[[#This Row],[Total Kg]])*VLOOKUP(Calculations[[#This Row],[Waste 1]],WasteScenario[#All],2,FALSE),0)</f>
        <v>0</v>
      </c>
      <c r="AA349" s="322">
        <f>IFERROR((VLOOKUP(Calculations[[#This Row],[Waste type 2]],WasteDisposalEmissions[#All],3,FALSE))*Calculations[[#This Row],[Total Kg]]*VLOOKUP(Calculations[[#This Row],[Waste 1]],WasteScenario[#All],3,FALSE),0)</f>
        <v>0</v>
      </c>
      <c r="AB349" s="322">
        <f>SUM(Calculations[[#This Row],[C3 recyc]:[C3 incin]])</f>
        <v>0</v>
      </c>
      <c r="AC349" s="334">
        <f>IFERROR((VLOOKUP(Calculations[[#This Row],[Waste type 2]],WasteLandfillEmissions[#All],2,FALSE))*Calculations[[#This Row],[Total Kg]]*VLOOKUP(Calculations[[#This Row],[Waste 1]],WasteScenario[#All],4,FALSE),0)</f>
        <v>0</v>
      </c>
      <c r="AD349" s="322">
        <f>IFERROR((VLOOKUP(Calculations[[#This Row],[Waste type 2]],WasteLandfillEmissions[#All],3,FALSE))*Calculations[[#This Row],[Total Kg]]*VLOOKUP(Calculations[[#This Row],[Waste 1]],WasteScenario[#All],4,FALSE),0)</f>
        <v>0</v>
      </c>
      <c r="AE349" s="322">
        <f>SUM(Calculations[[#This Row],[C4 landfill]:[C4 re-use]])</f>
        <v>0</v>
      </c>
      <c r="AF349" s="322">
        <f>IFERROR(VLOOKUP(Calculations[[#This Row],[Material (choose from dropdown]],MaterialData[#All],8,FALSE),0)</f>
        <v>0</v>
      </c>
      <c r="AG349" s="322">
        <f>IFERROR(Calculations[[#This Row],[Total Kg]]*Calculations[[#This Row],[Seq factor]],0)</f>
        <v>0</v>
      </c>
      <c r="AI349" s="322">
        <f>Calculations[[#This Row],[A1-3]]+Calculations[[#This Row],[A4]]+Calculations[[#This Row],[A5]]+Calculations[[#This Row],[B4]]+Calculations[[#This Row],[C2 total]]+Calculations[[#This Row],[C3 total]]+Calculations[[#This Row],[C4 total]]</f>
        <v>0</v>
      </c>
      <c r="AJ349" s="2">
        <f>IFERROR(VLOOKUP(Calculations[[#This Row],[Material (choose from dropdown]],MaterialData[[#Headers],[#Data]],9,FALSE),0)</f>
        <v>0</v>
      </c>
      <c r="AK349" s="4">
        <f>IFERROR(VLOOKUP(Calculations[[#This Row],[Material (choose from dropdown]],MaterialData[[#Headers],[#Data]],10,FALSE),0)</f>
        <v>0</v>
      </c>
      <c r="AL349" s="322">
        <f>IFERROR(Calculations[[#This Row],[Data Quality Score]]*Calculations[[#This Row],[Total Kg]],0)</f>
        <v>0</v>
      </c>
    </row>
    <row r="350" spans="1:38" x14ac:dyDescent="0.3">
      <c r="A350" s="6">
        <f>IFERROR(MaterialsBoQ[[#This Row],[Scope Element]],0)</f>
        <v>0</v>
      </c>
      <c r="B350" t="str">
        <f>IFERROR(MaterialsBoQ[[#This Row],[Material ]],"")</f>
        <v/>
      </c>
      <c r="C350" t="str">
        <f>IFERROR(MaterialsBoQ[[#This Row],[Unit]],"")</f>
        <v/>
      </c>
      <c r="D350" s="322">
        <f>IFERROR(MaterialsBoQ[[#This Row],[Number]],0)</f>
        <v>0</v>
      </c>
      <c r="E350" s="322">
        <f>IFERROR(MaterialsBoQ[[#This Row],[Kg per unit]],0)</f>
        <v>0</v>
      </c>
      <c r="F350" s="322">
        <f>IFERROR(Calculations[[#This Row],[Number]]*Calculations[[#This Row],[Conversion factor]],0)</f>
        <v>0</v>
      </c>
      <c r="G350" s="322">
        <f>IFERROR(VLOOKUP(Calculations[[#This Row],[Material (choose from dropdown]],MaterialData[#All],7,FALSE),0)</f>
        <v>0</v>
      </c>
      <c r="H350" s="322">
        <f>Calculations[[#This Row],[Total Kg]]*Calculations[[#This Row],[Carbon Factor]]</f>
        <v>0</v>
      </c>
      <c r="I350" t="str">
        <f>IFERROR(VLOOKUP(Calculations[[#This Row],[Material (choose from dropdown]],MaterialData[#All],2,FALSE),"")</f>
        <v/>
      </c>
      <c r="J350" s="322">
        <f>IFERROR(((VLOOKUP(Calculations[[#This Row],[TransportSource]],TransportDistance[],2,FALSE)*'Stage assumptions'!$C$11)+VLOOKUP(Calculations[[#This Row],[TransportSource]],TransportDistance[],3,FALSE)*'Stage assumptions'!$C$12)*Calculations[[#This Row],[Total Kg]],0)</f>
        <v>0</v>
      </c>
      <c r="K350">
        <f>IFERROR(VLOOKUP(Calculations[[#This Row],[Material (choose from dropdown]], MaterialData[#All],3, FALSE),0)</f>
        <v>0</v>
      </c>
      <c r="L350" s="322">
        <f>IFERROR(VLOOKUP(Calculations[[#This Row],[A5type]],A5WastageRate[#All],2,FALSE)*Calculations[[#This Row],[A1-3]],0)</f>
        <v>0</v>
      </c>
      <c r="N350">
        <f>IFERROR(ROUNDUP(50/VLOOKUP(Calculations[[#This Row],[Scope Element]],B4referenceServiceLife[[Tier 2 element]:[Default Service Life]],2, FALSE)-1,0),0)</f>
        <v>0</v>
      </c>
      <c r="O350" s="322">
        <f>IFERROR((Calculations[[#This Row],[A1-3]]+Calculations[[#This Row],[A4]]+Calculations[[#This Row],[A5]]+Calculations[[#This Row],[C2 total]]+Calculations[[#This Row],[C3 total]]+Calculations[[#This Row],[C4 total]])*Calculations[[#This Row],[Replacements]],0)</f>
        <v>0</v>
      </c>
      <c r="S350" t="str">
        <f>IFERROR(VLOOKUP(Calculations[[#This Row],[Material (choose from dropdown]],MaterialData[#All],4,FALSE),"")</f>
        <v/>
      </c>
      <c r="T350" s="322" cm="1">
        <f t="array" ref="T350">IFERROR(VLOOKUP(Calculations[[#This Row],[Waste 1]],WasteScenario[#All],2,FALSE)*'Stage assumptions'!$C$225*WasteTransportMethod[Emissions Factor
kgCO2e/kg.km]*Calculations[[#This Row],[Total Kg]],0)</f>
        <v>0</v>
      </c>
      <c r="U350" s="322" cm="1">
        <f t="array" ref="U350">IFERROR(VLOOKUP(Calculations[[#This Row],[Waste 1]],WasteScenario[#All],3,FALSE)*'Stage assumptions'!$C$224*WasteTransportMethod[Emissions Factor
kgCO2e/kg.km]*Calculations[[#This Row],[Total Kg]],0)</f>
        <v>0</v>
      </c>
      <c r="V350" s="322" cm="1">
        <f t="array" ref="V350">IFERROR(VLOOKUP(Calculations[[#This Row],[Waste 1]],WasteScenario[#All],4,FALSE)*'Stage assumptions'!$C$223*WasteTransportMethod[Emissions Factor
kgCO2e/kg.km]*Calculations[[#This Row],[Total Kg]],0)</f>
        <v>0</v>
      </c>
      <c r="W350" s="322" cm="1">
        <f t="array" ref="W350">IFERROR(VLOOKUP(Calculations[[#This Row],[Waste 1]],WasteScenario[#All],5,FALSE)*'Stage assumptions'!$C$226*WasteTransportMethod[Emissions Factor
kgCO2e/kg.km]*Calculations[[#This Row],[Total Kg]],0)</f>
        <v>0</v>
      </c>
      <c r="X350" s="322">
        <f>SUM(Calculations[[#This Row],[C2 Recycle]:[C2 Reuse]])</f>
        <v>0</v>
      </c>
      <c r="Y350" t="str">
        <f>IFERROR(VLOOKUP(Calculations[[#This Row],[Material (choose from dropdown]],MaterialData[#All],5,FALSE),"")</f>
        <v/>
      </c>
      <c r="Z350" s="322">
        <f>IFERROR(((VLOOKUP(Calculations[[#This Row],[Waste type 2]],WasteDisposalEmissions[#All],2,FALSE))*Calculations[[#This Row],[Total Kg]])*VLOOKUP(Calculations[[#This Row],[Waste 1]],WasteScenario[#All],2,FALSE),0)</f>
        <v>0</v>
      </c>
      <c r="AA350" s="322">
        <f>IFERROR((VLOOKUP(Calculations[[#This Row],[Waste type 2]],WasteDisposalEmissions[#All],3,FALSE))*Calculations[[#This Row],[Total Kg]]*VLOOKUP(Calculations[[#This Row],[Waste 1]],WasteScenario[#All],3,FALSE),0)</f>
        <v>0</v>
      </c>
      <c r="AB350" s="322">
        <f>SUM(Calculations[[#This Row],[C3 recyc]:[C3 incin]])</f>
        <v>0</v>
      </c>
      <c r="AC350" s="334">
        <f>IFERROR((VLOOKUP(Calculations[[#This Row],[Waste type 2]],WasteLandfillEmissions[#All],2,FALSE))*Calculations[[#This Row],[Total Kg]]*VLOOKUP(Calculations[[#This Row],[Waste 1]],WasteScenario[#All],4,FALSE),0)</f>
        <v>0</v>
      </c>
      <c r="AD350" s="322">
        <f>IFERROR((VLOOKUP(Calculations[[#This Row],[Waste type 2]],WasteLandfillEmissions[#All],3,FALSE))*Calculations[[#This Row],[Total Kg]]*VLOOKUP(Calculations[[#This Row],[Waste 1]],WasteScenario[#All],4,FALSE),0)</f>
        <v>0</v>
      </c>
      <c r="AE350" s="322">
        <f>SUM(Calculations[[#This Row],[C4 landfill]:[C4 re-use]])</f>
        <v>0</v>
      </c>
      <c r="AF350" s="322">
        <f>IFERROR(VLOOKUP(Calculations[[#This Row],[Material (choose from dropdown]],MaterialData[#All],8,FALSE),0)</f>
        <v>0</v>
      </c>
      <c r="AG350" s="322">
        <f>IFERROR(Calculations[[#This Row],[Total Kg]]*Calculations[[#This Row],[Seq factor]],0)</f>
        <v>0</v>
      </c>
      <c r="AI350" s="322">
        <f>Calculations[[#This Row],[A1-3]]+Calculations[[#This Row],[A4]]+Calculations[[#This Row],[A5]]+Calculations[[#This Row],[B4]]+Calculations[[#This Row],[C2 total]]+Calculations[[#This Row],[C3 total]]+Calculations[[#This Row],[C4 total]]</f>
        <v>0</v>
      </c>
      <c r="AJ350" s="2">
        <f>IFERROR(VLOOKUP(Calculations[[#This Row],[Material (choose from dropdown]],MaterialData[[#Headers],[#Data]],9,FALSE),0)</f>
        <v>0</v>
      </c>
      <c r="AK350" s="4">
        <f>IFERROR(VLOOKUP(Calculations[[#This Row],[Material (choose from dropdown]],MaterialData[[#Headers],[#Data]],10,FALSE),0)</f>
        <v>0</v>
      </c>
      <c r="AL350" s="322">
        <f>IFERROR(Calculations[[#This Row],[Data Quality Score]]*Calculations[[#This Row],[Total Kg]],0)</f>
        <v>0</v>
      </c>
    </row>
    <row r="351" spans="1:38" x14ac:dyDescent="0.3">
      <c r="A351" s="6">
        <f>IFERROR(MaterialsBoQ[[#This Row],[Scope Element]],0)</f>
        <v>0</v>
      </c>
      <c r="B351" t="str">
        <f>IFERROR(MaterialsBoQ[[#This Row],[Material ]],"")</f>
        <v/>
      </c>
      <c r="C351" t="str">
        <f>IFERROR(MaterialsBoQ[[#This Row],[Unit]],"")</f>
        <v/>
      </c>
      <c r="D351" s="322">
        <f>IFERROR(MaterialsBoQ[[#This Row],[Number]],0)</f>
        <v>0</v>
      </c>
      <c r="E351" s="322">
        <f>IFERROR(MaterialsBoQ[[#This Row],[Kg per unit]],0)</f>
        <v>0</v>
      </c>
      <c r="F351" s="322">
        <f>IFERROR(Calculations[[#This Row],[Number]]*Calculations[[#This Row],[Conversion factor]],0)</f>
        <v>0</v>
      </c>
      <c r="G351" s="322">
        <f>IFERROR(VLOOKUP(Calculations[[#This Row],[Material (choose from dropdown]],MaterialData[#All],7,FALSE),0)</f>
        <v>0</v>
      </c>
      <c r="H351" s="322">
        <f>Calculations[[#This Row],[Total Kg]]*Calculations[[#This Row],[Carbon Factor]]</f>
        <v>0</v>
      </c>
      <c r="I351" t="str">
        <f>IFERROR(VLOOKUP(Calculations[[#This Row],[Material (choose from dropdown]],MaterialData[#All],2,FALSE),"")</f>
        <v/>
      </c>
      <c r="J351" s="322">
        <f>IFERROR(((VLOOKUP(Calculations[[#This Row],[TransportSource]],TransportDistance[],2,FALSE)*'Stage assumptions'!$C$11)+VLOOKUP(Calculations[[#This Row],[TransportSource]],TransportDistance[],3,FALSE)*'Stage assumptions'!$C$12)*Calculations[[#This Row],[Total Kg]],0)</f>
        <v>0</v>
      </c>
      <c r="K351">
        <f>IFERROR(VLOOKUP(Calculations[[#This Row],[Material (choose from dropdown]], MaterialData[#All],3, FALSE),0)</f>
        <v>0</v>
      </c>
      <c r="L351" s="322">
        <f>IFERROR(VLOOKUP(Calculations[[#This Row],[A5type]],A5WastageRate[#All],2,FALSE)*Calculations[[#This Row],[A1-3]],0)</f>
        <v>0</v>
      </c>
      <c r="N351">
        <f>IFERROR(ROUNDUP(50/VLOOKUP(Calculations[[#This Row],[Scope Element]],B4referenceServiceLife[[Tier 2 element]:[Default Service Life]],2, FALSE)-1,0),0)</f>
        <v>0</v>
      </c>
      <c r="O351" s="322">
        <f>IFERROR((Calculations[[#This Row],[A1-3]]+Calculations[[#This Row],[A4]]+Calculations[[#This Row],[A5]]+Calculations[[#This Row],[C2 total]]+Calculations[[#This Row],[C3 total]]+Calculations[[#This Row],[C4 total]])*Calculations[[#This Row],[Replacements]],0)</f>
        <v>0</v>
      </c>
      <c r="S351" t="str">
        <f>IFERROR(VLOOKUP(Calculations[[#This Row],[Material (choose from dropdown]],MaterialData[#All],4,FALSE),"")</f>
        <v/>
      </c>
      <c r="T351" s="322" cm="1">
        <f t="array" ref="T351">IFERROR(VLOOKUP(Calculations[[#This Row],[Waste 1]],WasteScenario[#All],2,FALSE)*'Stage assumptions'!$C$225*WasteTransportMethod[Emissions Factor
kgCO2e/kg.km]*Calculations[[#This Row],[Total Kg]],0)</f>
        <v>0</v>
      </c>
      <c r="U351" s="322" cm="1">
        <f t="array" ref="U351">IFERROR(VLOOKUP(Calculations[[#This Row],[Waste 1]],WasteScenario[#All],3,FALSE)*'Stage assumptions'!$C$224*WasteTransportMethod[Emissions Factor
kgCO2e/kg.km]*Calculations[[#This Row],[Total Kg]],0)</f>
        <v>0</v>
      </c>
      <c r="V351" s="322" cm="1">
        <f t="array" ref="V351">IFERROR(VLOOKUP(Calculations[[#This Row],[Waste 1]],WasteScenario[#All],4,FALSE)*'Stage assumptions'!$C$223*WasteTransportMethod[Emissions Factor
kgCO2e/kg.km]*Calculations[[#This Row],[Total Kg]],0)</f>
        <v>0</v>
      </c>
      <c r="W351" s="322" cm="1">
        <f t="array" ref="W351">IFERROR(VLOOKUP(Calculations[[#This Row],[Waste 1]],WasteScenario[#All],5,FALSE)*'Stage assumptions'!$C$226*WasteTransportMethod[Emissions Factor
kgCO2e/kg.km]*Calculations[[#This Row],[Total Kg]],0)</f>
        <v>0</v>
      </c>
      <c r="X351" s="322">
        <f>SUM(Calculations[[#This Row],[C2 Recycle]:[C2 Reuse]])</f>
        <v>0</v>
      </c>
      <c r="Y351" t="str">
        <f>IFERROR(VLOOKUP(Calculations[[#This Row],[Material (choose from dropdown]],MaterialData[#All],5,FALSE),"")</f>
        <v/>
      </c>
      <c r="Z351" s="322">
        <f>IFERROR(((VLOOKUP(Calculations[[#This Row],[Waste type 2]],WasteDisposalEmissions[#All],2,FALSE))*Calculations[[#This Row],[Total Kg]])*VLOOKUP(Calculations[[#This Row],[Waste 1]],WasteScenario[#All],2,FALSE),0)</f>
        <v>0</v>
      </c>
      <c r="AA351" s="322">
        <f>IFERROR((VLOOKUP(Calculations[[#This Row],[Waste type 2]],WasteDisposalEmissions[#All],3,FALSE))*Calculations[[#This Row],[Total Kg]]*VLOOKUP(Calculations[[#This Row],[Waste 1]],WasteScenario[#All],3,FALSE),0)</f>
        <v>0</v>
      </c>
      <c r="AB351" s="322">
        <f>SUM(Calculations[[#This Row],[C3 recyc]:[C3 incin]])</f>
        <v>0</v>
      </c>
      <c r="AC351" s="334">
        <f>IFERROR((VLOOKUP(Calculations[[#This Row],[Waste type 2]],WasteLandfillEmissions[#All],2,FALSE))*Calculations[[#This Row],[Total Kg]]*VLOOKUP(Calculations[[#This Row],[Waste 1]],WasteScenario[#All],4,FALSE),0)</f>
        <v>0</v>
      </c>
      <c r="AD351" s="322">
        <f>IFERROR((VLOOKUP(Calculations[[#This Row],[Waste type 2]],WasteLandfillEmissions[#All],3,FALSE))*Calculations[[#This Row],[Total Kg]]*VLOOKUP(Calculations[[#This Row],[Waste 1]],WasteScenario[#All],4,FALSE),0)</f>
        <v>0</v>
      </c>
      <c r="AE351" s="322">
        <f>SUM(Calculations[[#This Row],[C4 landfill]:[C4 re-use]])</f>
        <v>0</v>
      </c>
      <c r="AF351" s="322">
        <f>IFERROR(VLOOKUP(Calculations[[#This Row],[Material (choose from dropdown]],MaterialData[#All],8,FALSE),0)</f>
        <v>0</v>
      </c>
      <c r="AG351" s="322">
        <f>IFERROR(Calculations[[#This Row],[Total Kg]]*Calculations[[#This Row],[Seq factor]],0)</f>
        <v>0</v>
      </c>
      <c r="AI351" s="322">
        <f>Calculations[[#This Row],[A1-3]]+Calculations[[#This Row],[A4]]+Calculations[[#This Row],[A5]]+Calculations[[#This Row],[B4]]+Calculations[[#This Row],[C2 total]]+Calculations[[#This Row],[C3 total]]+Calculations[[#This Row],[C4 total]]</f>
        <v>0</v>
      </c>
      <c r="AJ351" s="2">
        <f>IFERROR(VLOOKUP(Calculations[[#This Row],[Material (choose from dropdown]],MaterialData[[#Headers],[#Data]],9,FALSE),0)</f>
        <v>0</v>
      </c>
      <c r="AK351" s="4">
        <f>IFERROR(VLOOKUP(Calculations[[#This Row],[Material (choose from dropdown]],MaterialData[[#Headers],[#Data]],10,FALSE),0)</f>
        <v>0</v>
      </c>
      <c r="AL351" s="322">
        <f>IFERROR(Calculations[[#This Row],[Data Quality Score]]*Calculations[[#This Row],[Total Kg]],0)</f>
        <v>0</v>
      </c>
    </row>
    <row r="352" spans="1:38" x14ac:dyDescent="0.3">
      <c r="A352" s="6">
        <f>IFERROR(MaterialsBoQ[[#This Row],[Scope Element]],0)</f>
        <v>0</v>
      </c>
      <c r="B352" t="str">
        <f>IFERROR(MaterialsBoQ[[#This Row],[Material ]],"")</f>
        <v/>
      </c>
      <c r="C352" t="str">
        <f>IFERROR(MaterialsBoQ[[#This Row],[Unit]],"")</f>
        <v/>
      </c>
      <c r="D352" s="322">
        <f>IFERROR(MaterialsBoQ[[#This Row],[Number]],0)</f>
        <v>0</v>
      </c>
      <c r="E352" s="322">
        <f>IFERROR(MaterialsBoQ[[#This Row],[Kg per unit]],0)</f>
        <v>0</v>
      </c>
      <c r="F352" s="322">
        <f>IFERROR(Calculations[[#This Row],[Number]]*Calculations[[#This Row],[Conversion factor]],0)</f>
        <v>0</v>
      </c>
      <c r="G352" s="322">
        <f>IFERROR(VLOOKUP(Calculations[[#This Row],[Material (choose from dropdown]],MaterialData[#All],7,FALSE),0)</f>
        <v>0</v>
      </c>
      <c r="H352" s="322">
        <f>Calculations[[#This Row],[Total Kg]]*Calculations[[#This Row],[Carbon Factor]]</f>
        <v>0</v>
      </c>
      <c r="I352" t="str">
        <f>IFERROR(VLOOKUP(Calculations[[#This Row],[Material (choose from dropdown]],MaterialData[#All],2,FALSE),"")</f>
        <v/>
      </c>
      <c r="J352" s="322">
        <f>IFERROR(((VLOOKUP(Calculations[[#This Row],[TransportSource]],TransportDistance[],2,FALSE)*'Stage assumptions'!$C$11)+VLOOKUP(Calculations[[#This Row],[TransportSource]],TransportDistance[],3,FALSE)*'Stage assumptions'!$C$12)*Calculations[[#This Row],[Total Kg]],0)</f>
        <v>0</v>
      </c>
      <c r="K352">
        <f>IFERROR(VLOOKUP(Calculations[[#This Row],[Material (choose from dropdown]], MaterialData[#All],3, FALSE),0)</f>
        <v>0</v>
      </c>
      <c r="L352" s="322">
        <f>IFERROR(VLOOKUP(Calculations[[#This Row],[A5type]],A5WastageRate[#All],2,FALSE)*Calculations[[#This Row],[A1-3]],0)</f>
        <v>0</v>
      </c>
      <c r="N352">
        <f>IFERROR(ROUNDUP(50/VLOOKUP(Calculations[[#This Row],[Scope Element]],B4referenceServiceLife[[Tier 2 element]:[Default Service Life]],2, FALSE)-1,0),0)</f>
        <v>0</v>
      </c>
      <c r="O352" s="322">
        <f>IFERROR((Calculations[[#This Row],[A1-3]]+Calculations[[#This Row],[A4]]+Calculations[[#This Row],[A5]]+Calculations[[#This Row],[C2 total]]+Calculations[[#This Row],[C3 total]]+Calculations[[#This Row],[C4 total]])*Calculations[[#This Row],[Replacements]],0)</f>
        <v>0</v>
      </c>
      <c r="S352" t="str">
        <f>IFERROR(VLOOKUP(Calculations[[#This Row],[Material (choose from dropdown]],MaterialData[#All],4,FALSE),"")</f>
        <v/>
      </c>
      <c r="T352" s="322" cm="1">
        <f t="array" ref="T352">IFERROR(VLOOKUP(Calculations[[#This Row],[Waste 1]],WasteScenario[#All],2,FALSE)*'Stage assumptions'!$C$225*WasteTransportMethod[Emissions Factor
kgCO2e/kg.km]*Calculations[[#This Row],[Total Kg]],0)</f>
        <v>0</v>
      </c>
      <c r="U352" s="322" cm="1">
        <f t="array" ref="U352">IFERROR(VLOOKUP(Calculations[[#This Row],[Waste 1]],WasteScenario[#All],3,FALSE)*'Stage assumptions'!$C$224*WasteTransportMethod[Emissions Factor
kgCO2e/kg.km]*Calculations[[#This Row],[Total Kg]],0)</f>
        <v>0</v>
      </c>
      <c r="V352" s="322" cm="1">
        <f t="array" ref="V352">IFERROR(VLOOKUP(Calculations[[#This Row],[Waste 1]],WasteScenario[#All],4,FALSE)*'Stage assumptions'!$C$223*WasteTransportMethod[Emissions Factor
kgCO2e/kg.km]*Calculations[[#This Row],[Total Kg]],0)</f>
        <v>0</v>
      </c>
      <c r="W352" s="322" cm="1">
        <f t="array" ref="W352">IFERROR(VLOOKUP(Calculations[[#This Row],[Waste 1]],WasteScenario[#All],5,FALSE)*'Stage assumptions'!$C$226*WasteTransportMethod[Emissions Factor
kgCO2e/kg.km]*Calculations[[#This Row],[Total Kg]],0)</f>
        <v>0</v>
      </c>
      <c r="X352" s="322">
        <f>SUM(Calculations[[#This Row],[C2 Recycle]:[C2 Reuse]])</f>
        <v>0</v>
      </c>
      <c r="Y352" t="str">
        <f>IFERROR(VLOOKUP(Calculations[[#This Row],[Material (choose from dropdown]],MaterialData[#All],5,FALSE),"")</f>
        <v/>
      </c>
      <c r="Z352" s="322">
        <f>IFERROR(((VLOOKUP(Calculations[[#This Row],[Waste type 2]],WasteDisposalEmissions[#All],2,FALSE))*Calculations[[#This Row],[Total Kg]])*VLOOKUP(Calculations[[#This Row],[Waste 1]],WasteScenario[#All],2,FALSE),0)</f>
        <v>0</v>
      </c>
      <c r="AA352" s="322">
        <f>IFERROR((VLOOKUP(Calculations[[#This Row],[Waste type 2]],WasteDisposalEmissions[#All],3,FALSE))*Calculations[[#This Row],[Total Kg]]*VLOOKUP(Calculations[[#This Row],[Waste 1]],WasteScenario[#All],3,FALSE),0)</f>
        <v>0</v>
      </c>
      <c r="AB352" s="322">
        <f>SUM(Calculations[[#This Row],[C3 recyc]:[C3 incin]])</f>
        <v>0</v>
      </c>
      <c r="AC352" s="334">
        <f>IFERROR((VLOOKUP(Calculations[[#This Row],[Waste type 2]],WasteLandfillEmissions[#All],2,FALSE))*Calculations[[#This Row],[Total Kg]]*VLOOKUP(Calculations[[#This Row],[Waste 1]],WasteScenario[#All],4,FALSE),0)</f>
        <v>0</v>
      </c>
      <c r="AD352" s="322">
        <f>IFERROR((VLOOKUP(Calculations[[#This Row],[Waste type 2]],WasteLandfillEmissions[#All],3,FALSE))*Calculations[[#This Row],[Total Kg]]*VLOOKUP(Calculations[[#This Row],[Waste 1]],WasteScenario[#All],4,FALSE),0)</f>
        <v>0</v>
      </c>
      <c r="AE352" s="322">
        <f>SUM(Calculations[[#This Row],[C4 landfill]:[C4 re-use]])</f>
        <v>0</v>
      </c>
      <c r="AF352" s="322">
        <f>IFERROR(VLOOKUP(Calculations[[#This Row],[Material (choose from dropdown]],MaterialData[#All],8,FALSE),0)</f>
        <v>0</v>
      </c>
      <c r="AG352" s="322">
        <f>IFERROR(Calculations[[#This Row],[Total Kg]]*Calculations[[#This Row],[Seq factor]],0)</f>
        <v>0</v>
      </c>
      <c r="AI352" s="322">
        <f>Calculations[[#This Row],[A1-3]]+Calculations[[#This Row],[A4]]+Calculations[[#This Row],[A5]]+Calculations[[#This Row],[B4]]+Calculations[[#This Row],[C2 total]]+Calculations[[#This Row],[C3 total]]+Calculations[[#This Row],[C4 total]]</f>
        <v>0</v>
      </c>
      <c r="AJ352" s="2">
        <f>IFERROR(VLOOKUP(Calculations[[#This Row],[Material (choose from dropdown]],MaterialData[[#Headers],[#Data]],9,FALSE),0)</f>
        <v>0</v>
      </c>
      <c r="AK352" s="4">
        <f>IFERROR(VLOOKUP(Calculations[[#This Row],[Material (choose from dropdown]],MaterialData[[#Headers],[#Data]],10,FALSE),0)</f>
        <v>0</v>
      </c>
      <c r="AL352" s="322">
        <f>IFERROR(Calculations[[#This Row],[Data Quality Score]]*Calculations[[#This Row],[Total Kg]],0)</f>
        <v>0</v>
      </c>
    </row>
    <row r="353" spans="1:38" x14ac:dyDescent="0.3">
      <c r="A353" s="6">
        <f>IFERROR(MaterialsBoQ[[#This Row],[Scope Element]],0)</f>
        <v>0</v>
      </c>
      <c r="B353" t="str">
        <f>IFERROR(MaterialsBoQ[[#This Row],[Material ]],"")</f>
        <v/>
      </c>
      <c r="C353" t="str">
        <f>IFERROR(MaterialsBoQ[[#This Row],[Unit]],"")</f>
        <v/>
      </c>
      <c r="D353" s="322">
        <f>IFERROR(MaterialsBoQ[[#This Row],[Number]],0)</f>
        <v>0</v>
      </c>
      <c r="E353" s="322">
        <f>IFERROR(MaterialsBoQ[[#This Row],[Kg per unit]],0)</f>
        <v>0</v>
      </c>
      <c r="F353" s="322">
        <f>IFERROR(Calculations[[#This Row],[Number]]*Calculations[[#This Row],[Conversion factor]],0)</f>
        <v>0</v>
      </c>
      <c r="G353" s="322">
        <f>IFERROR(VLOOKUP(Calculations[[#This Row],[Material (choose from dropdown]],MaterialData[#All],7,FALSE),0)</f>
        <v>0</v>
      </c>
      <c r="H353" s="322">
        <f>Calculations[[#This Row],[Total Kg]]*Calculations[[#This Row],[Carbon Factor]]</f>
        <v>0</v>
      </c>
      <c r="I353" t="str">
        <f>IFERROR(VLOOKUP(Calculations[[#This Row],[Material (choose from dropdown]],MaterialData[#All],2,FALSE),"")</f>
        <v/>
      </c>
      <c r="J353" s="322">
        <f>IFERROR(((VLOOKUP(Calculations[[#This Row],[TransportSource]],TransportDistance[],2,FALSE)*'Stage assumptions'!$C$11)+VLOOKUP(Calculations[[#This Row],[TransportSource]],TransportDistance[],3,FALSE)*'Stage assumptions'!$C$12)*Calculations[[#This Row],[Total Kg]],0)</f>
        <v>0</v>
      </c>
      <c r="K353">
        <f>IFERROR(VLOOKUP(Calculations[[#This Row],[Material (choose from dropdown]], MaterialData[#All],3, FALSE),0)</f>
        <v>0</v>
      </c>
      <c r="L353" s="322">
        <f>IFERROR(VLOOKUP(Calculations[[#This Row],[A5type]],A5WastageRate[#All],2,FALSE)*Calculations[[#This Row],[A1-3]],0)</f>
        <v>0</v>
      </c>
      <c r="N353">
        <f>IFERROR(ROUNDUP(50/VLOOKUP(Calculations[[#This Row],[Scope Element]],B4referenceServiceLife[[Tier 2 element]:[Default Service Life]],2, FALSE)-1,0),0)</f>
        <v>0</v>
      </c>
      <c r="O353" s="322">
        <f>IFERROR((Calculations[[#This Row],[A1-3]]+Calculations[[#This Row],[A4]]+Calculations[[#This Row],[A5]]+Calculations[[#This Row],[C2 total]]+Calculations[[#This Row],[C3 total]]+Calculations[[#This Row],[C4 total]])*Calculations[[#This Row],[Replacements]],0)</f>
        <v>0</v>
      </c>
      <c r="S353" t="str">
        <f>IFERROR(VLOOKUP(Calculations[[#This Row],[Material (choose from dropdown]],MaterialData[#All],4,FALSE),"")</f>
        <v/>
      </c>
      <c r="T353" s="322" cm="1">
        <f t="array" ref="T353">IFERROR(VLOOKUP(Calculations[[#This Row],[Waste 1]],WasteScenario[#All],2,FALSE)*'Stage assumptions'!$C$225*WasteTransportMethod[Emissions Factor
kgCO2e/kg.km]*Calculations[[#This Row],[Total Kg]],0)</f>
        <v>0</v>
      </c>
      <c r="U353" s="322" cm="1">
        <f t="array" ref="U353">IFERROR(VLOOKUP(Calculations[[#This Row],[Waste 1]],WasteScenario[#All],3,FALSE)*'Stage assumptions'!$C$224*WasteTransportMethod[Emissions Factor
kgCO2e/kg.km]*Calculations[[#This Row],[Total Kg]],0)</f>
        <v>0</v>
      </c>
      <c r="V353" s="322" cm="1">
        <f t="array" ref="V353">IFERROR(VLOOKUP(Calculations[[#This Row],[Waste 1]],WasteScenario[#All],4,FALSE)*'Stage assumptions'!$C$223*WasteTransportMethod[Emissions Factor
kgCO2e/kg.km]*Calculations[[#This Row],[Total Kg]],0)</f>
        <v>0</v>
      </c>
      <c r="W353" s="322" cm="1">
        <f t="array" ref="W353">IFERROR(VLOOKUP(Calculations[[#This Row],[Waste 1]],WasteScenario[#All],5,FALSE)*'Stage assumptions'!$C$226*WasteTransportMethod[Emissions Factor
kgCO2e/kg.km]*Calculations[[#This Row],[Total Kg]],0)</f>
        <v>0</v>
      </c>
      <c r="X353" s="322">
        <f>SUM(Calculations[[#This Row],[C2 Recycle]:[C2 Reuse]])</f>
        <v>0</v>
      </c>
      <c r="Y353" t="str">
        <f>IFERROR(VLOOKUP(Calculations[[#This Row],[Material (choose from dropdown]],MaterialData[#All],5,FALSE),"")</f>
        <v/>
      </c>
      <c r="Z353" s="322">
        <f>IFERROR(((VLOOKUP(Calculations[[#This Row],[Waste type 2]],WasteDisposalEmissions[#All],2,FALSE))*Calculations[[#This Row],[Total Kg]])*VLOOKUP(Calculations[[#This Row],[Waste 1]],WasteScenario[#All],2,FALSE),0)</f>
        <v>0</v>
      </c>
      <c r="AA353" s="322">
        <f>IFERROR((VLOOKUP(Calculations[[#This Row],[Waste type 2]],WasteDisposalEmissions[#All],3,FALSE))*Calculations[[#This Row],[Total Kg]]*VLOOKUP(Calculations[[#This Row],[Waste 1]],WasteScenario[#All],3,FALSE),0)</f>
        <v>0</v>
      </c>
      <c r="AB353" s="322">
        <f>SUM(Calculations[[#This Row],[C3 recyc]:[C3 incin]])</f>
        <v>0</v>
      </c>
      <c r="AC353" s="334">
        <f>IFERROR((VLOOKUP(Calculations[[#This Row],[Waste type 2]],WasteLandfillEmissions[#All],2,FALSE))*Calculations[[#This Row],[Total Kg]]*VLOOKUP(Calculations[[#This Row],[Waste 1]],WasteScenario[#All],4,FALSE),0)</f>
        <v>0</v>
      </c>
      <c r="AD353" s="322">
        <f>IFERROR((VLOOKUP(Calculations[[#This Row],[Waste type 2]],WasteLandfillEmissions[#All],3,FALSE))*Calculations[[#This Row],[Total Kg]]*VLOOKUP(Calculations[[#This Row],[Waste 1]],WasteScenario[#All],4,FALSE),0)</f>
        <v>0</v>
      </c>
      <c r="AE353" s="322">
        <f>SUM(Calculations[[#This Row],[C4 landfill]:[C4 re-use]])</f>
        <v>0</v>
      </c>
      <c r="AF353" s="322">
        <f>IFERROR(VLOOKUP(Calculations[[#This Row],[Material (choose from dropdown]],MaterialData[#All],8,FALSE),0)</f>
        <v>0</v>
      </c>
      <c r="AG353" s="322">
        <f>IFERROR(Calculations[[#This Row],[Total Kg]]*Calculations[[#This Row],[Seq factor]],0)</f>
        <v>0</v>
      </c>
      <c r="AI353" s="322">
        <f>Calculations[[#This Row],[A1-3]]+Calculations[[#This Row],[A4]]+Calculations[[#This Row],[A5]]+Calculations[[#This Row],[B4]]+Calculations[[#This Row],[C2 total]]+Calculations[[#This Row],[C3 total]]+Calculations[[#This Row],[C4 total]]</f>
        <v>0</v>
      </c>
      <c r="AJ353" s="2">
        <f>IFERROR(VLOOKUP(Calculations[[#This Row],[Material (choose from dropdown]],MaterialData[[#Headers],[#Data]],9,FALSE),0)</f>
        <v>0</v>
      </c>
      <c r="AK353" s="4">
        <f>IFERROR(VLOOKUP(Calculations[[#This Row],[Material (choose from dropdown]],MaterialData[[#Headers],[#Data]],10,FALSE),0)</f>
        <v>0</v>
      </c>
      <c r="AL353" s="322">
        <f>IFERROR(Calculations[[#This Row],[Data Quality Score]]*Calculations[[#This Row],[Total Kg]],0)</f>
        <v>0</v>
      </c>
    </row>
    <row r="354" spans="1:38" x14ac:dyDescent="0.3">
      <c r="A354" s="6">
        <f>IFERROR(MaterialsBoQ[[#This Row],[Scope Element]],0)</f>
        <v>0</v>
      </c>
      <c r="B354" t="str">
        <f>IFERROR(MaterialsBoQ[[#This Row],[Material ]],"")</f>
        <v/>
      </c>
      <c r="C354" t="str">
        <f>IFERROR(MaterialsBoQ[[#This Row],[Unit]],"")</f>
        <v/>
      </c>
      <c r="D354" s="322">
        <f>IFERROR(MaterialsBoQ[[#This Row],[Number]],0)</f>
        <v>0</v>
      </c>
      <c r="E354" s="322">
        <f>IFERROR(MaterialsBoQ[[#This Row],[Kg per unit]],0)</f>
        <v>0</v>
      </c>
      <c r="F354" s="322">
        <f>IFERROR(Calculations[[#This Row],[Number]]*Calculations[[#This Row],[Conversion factor]],0)</f>
        <v>0</v>
      </c>
      <c r="G354" s="322">
        <f>IFERROR(VLOOKUP(Calculations[[#This Row],[Material (choose from dropdown]],MaterialData[#All],7,FALSE),0)</f>
        <v>0</v>
      </c>
      <c r="H354" s="322">
        <f>Calculations[[#This Row],[Total Kg]]*Calculations[[#This Row],[Carbon Factor]]</f>
        <v>0</v>
      </c>
      <c r="I354" t="str">
        <f>IFERROR(VLOOKUP(Calculations[[#This Row],[Material (choose from dropdown]],MaterialData[#All],2,FALSE),"")</f>
        <v/>
      </c>
      <c r="J354" s="322">
        <f>IFERROR(((VLOOKUP(Calculations[[#This Row],[TransportSource]],TransportDistance[],2,FALSE)*'Stage assumptions'!$C$11)+VLOOKUP(Calculations[[#This Row],[TransportSource]],TransportDistance[],3,FALSE)*'Stage assumptions'!$C$12)*Calculations[[#This Row],[Total Kg]],0)</f>
        <v>0</v>
      </c>
      <c r="K354">
        <f>IFERROR(VLOOKUP(Calculations[[#This Row],[Material (choose from dropdown]], MaterialData[#All],3, FALSE),0)</f>
        <v>0</v>
      </c>
      <c r="L354" s="322">
        <f>IFERROR(VLOOKUP(Calculations[[#This Row],[A5type]],A5WastageRate[#All],2,FALSE)*Calculations[[#This Row],[A1-3]],0)</f>
        <v>0</v>
      </c>
      <c r="N354">
        <f>IFERROR(ROUNDUP(50/VLOOKUP(Calculations[[#This Row],[Scope Element]],B4referenceServiceLife[[Tier 2 element]:[Default Service Life]],2, FALSE)-1,0),0)</f>
        <v>0</v>
      </c>
      <c r="O354" s="322">
        <f>IFERROR((Calculations[[#This Row],[A1-3]]+Calculations[[#This Row],[A4]]+Calculations[[#This Row],[A5]]+Calculations[[#This Row],[C2 total]]+Calculations[[#This Row],[C3 total]]+Calculations[[#This Row],[C4 total]])*Calculations[[#This Row],[Replacements]],0)</f>
        <v>0</v>
      </c>
      <c r="S354" t="str">
        <f>IFERROR(VLOOKUP(Calculations[[#This Row],[Material (choose from dropdown]],MaterialData[#All],4,FALSE),"")</f>
        <v/>
      </c>
      <c r="T354" s="322" cm="1">
        <f t="array" ref="T354">IFERROR(VLOOKUP(Calculations[[#This Row],[Waste 1]],WasteScenario[#All],2,FALSE)*'Stage assumptions'!$C$225*WasteTransportMethod[Emissions Factor
kgCO2e/kg.km]*Calculations[[#This Row],[Total Kg]],0)</f>
        <v>0</v>
      </c>
      <c r="U354" s="322" cm="1">
        <f t="array" ref="U354">IFERROR(VLOOKUP(Calculations[[#This Row],[Waste 1]],WasteScenario[#All],3,FALSE)*'Stage assumptions'!$C$224*WasteTransportMethod[Emissions Factor
kgCO2e/kg.km]*Calculations[[#This Row],[Total Kg]],0)</f>
        <v>0</v>
      </c>
      <c r="V354" s="322" cm="1">
        <f t="array" ref="V354">IFERROR(VLOOKUP(Calculations[[#This Row],[Waste 1]],WasteScenario[#All],4,FALSE)*'Stage assumptions'!$C$223*WasteTransportMethod[Emissions Factor
kgCO2e/kg.km]*Calculations[[#This Row],[Total Kg]],0)</f>
        <v>0</v>
      </c>
      <c r="W354" s="322" cm="1">
        <f t="array" ref="W354">IFERROR(VLOOKUP(Calculations[[#This Row],[Waste 1]],WasteScenario[#All],5,FALSE)*'Stage assumptions'!$C$226*WasteTransportMethod[Emissions Factor
kgCO2e/kg.km]*Calculations[[#This Row],[Total Kg]],0)</f>
        <v>0</v>
      </c>
      <c r="X354" s="322">
        <f>SUM(Calculations[[#This Row],[C2 Recycle]:[C2 Reuse]])</f>
        <v>0</v>
      </c>
      <c r="Y354" t="str">
        <f>IFERROR(VLOOKUP(Calculations[[#This Row],[Material (choose from dropdown]],MaterialData[#All],5,FALSE),"")</f>
        <v/>
      </c>
      <c r="Z354" s="322">
        <f>IFERROR(((VLOOKUP(Calculations[[#This Row],[Waste type 2]],WasteDisposalEmissions[#All],2,FALSE))*Calculations[[#This Row],[Total Kg]])*VLOOKUP(Calculations[[#This Row],[Waste 1]],WasteScenario[#All],2,FALSE),0)</f>
        <v>0</v>
      </c>
      <c r="AA354" s="322">
        <f>IFERROR((VLOOKUP(Calculations[[#This Row],[Waste type 2]],WasteDisposalEmissions[#All],3,FALSE))*Calculations[[#This Row],[Total Kg]]*VLOOKUP(Calculations[[#This Row],[Waste 1]],WasteScenario[#All],3,FALSE),0)</f>
        <v>0</v>
      </c>
      <c r="AB354" s="322">
        <f>SUM(Calculations[[#This Row],[C3 recyc]:[C3 incin]])</f>
        <v>0</v>
      </c>
      <c r="AC354" s="334">
        <f>IFERROR((VLOOKUP(Calculations[[#This Row],[Waste type 2]],WasteLandfillEmissions[#All],2,FALSE))*Calculations[[#This Row],[Total Kg]]*VLOOKUP(Calculations[[#This Row],[Waste 1]],WasteScenario[#All],4,FALSE),0)</f>
        <v>0</v>
      </c>
      <c r="AD354" s="322">
        <f>IFERROR((VLOOKUP(Calculations[[#This Row],[Waste type 2]],WasteLandfillEmissions[#All],3,FALSE))*Calculations[[#This Row],[Total Kg]]*VLOOKUP(Calculations[[#This Row],[Waste 1]],WasteScenario[#All],4,FALSE),0)</f>
        <v>0</v>
      </c>
      <c r="AE354" s="322">
        <f>SUM(Calculations[[#This Row],[C4 landfill]:[C4 re-use]])</f>
        <v>0</v>
      </c>
      <c r="AF354" s="322">
        <f>IFERROR(VLOOKUP(Calculations[[#This Row],[Material (choose from dropdown]],MaterialData[#All],8,FALSE),0)</f>
        <v>0</v>
      </c>
      <c r="AG354" s="322">
        <f>IFERROR(Calculations[[#This Row],[Total Kg]]*Calculations[[#This Row],[Seq factor]],0)</f>
        <v>0</v>
      </c>
      <c r="AI354" s="322">
        <f>Calculations[[#This Row],[A1-3]]+Calculations[[#This Row],[A4]]+Calculations[[#This Row],[A5]]+Calculations[[#This Row],[B4]]+Calculations[[#This Row],[C2 total]]+Calculations[[#This Row],[C3 total]]+Calculations[[#This Row],[C4 total]]</f>
        <v>0</v>
      </c>
      <c r="AJ354" s="2">
        <f>IFERROR(VLOOKUP(Calculations[[#This Row],[Material (choose from dropdown]],MaterialData[[#Headers],[#Data]],9,FALSE),0)</f>
        <v>0</v>
      </c>
      <c r="AK354" s="4">
        <f>IFERROR(VLOOKUP(Calculations[[#This Row],[Material (choose from dropdown]],MaterialData[[#Headers],[#Data]],10,FALSE),0)</f>
        <v>0</v>
      </c>
      <c r="AL354" s="322">
        <f>IFERROR(Calculations[[#This Row],[Data Quality Score]]*Calculations[[#This Row],[Total Kg]],0)</f>
        <v>0</v>
      </c>
    </row>
    <row r="355" spans="1:38" x14ac:dyDescent="0.3">
      <c r="A355" s="6">
        <f>IFERROR(MaterialsBoQ[[#This Row],[Scope Element]],0)</f>
        <v>0</v>
      </c>
      <c r="B355" t="str">
        <f>IFERROR(MaterialsBoQ[[#This Row],[Material ]],"")</f>
        <v/>
      </c>
      <c r="C355" t="str">
        <f>IFERROR(MaterialsBoQ[[#This Row],[Unit]],"")</f>
        <v/>
      </c>
      <c r="D355" s="322">
        <f>IFERROR(MaterialsBoQ[[#This Row],[Number]],0)</f>
        <v>0</v>
      </c>
      <c r="E355" s="322">
        <f>IFERROR(MaterialsBoQ[[#This Row],[Kg per unit]],0)</f>
        <v>0</v>
      </c>
      <c r="F355" s="322">
        <f>IFERROR(Calculations[[#This Row],[Number]]*Calculations[[#This Row],[Conversion factor]],0)</f>
        <v>0</v>
      </c>
      <c r="G355" s="322">
        <f>IFERROR(VLOOKUP(Calculations[[#This Row],[Material (choose from dropdown]],MaterialData[#All],7,FALSE),0)</f>
        <v>0</v>
      </c>
      <c r="H355" s="322">
        <f>Calculations[[#This Row],[Total Kg]]*Calculations[[#This Row],[Carbon Factor]]</f>
        <v>0</v>
      </c>
      <c r="I355" t="str">
        <f>IFERROR(VLOOKUP(Calculations[[#This Row],[Material (choose from dropdown]],MaterialData[#All],2,FALSE),"")</f>
        <v/>
      </c>
      <c r="J355" s="322">
        <f>IFERROR(((VLOOKUP(Calculations[[#This Row],[TransportSource]],TransportDistance[],2,FALSE)*'Stage assumptions'!$C$11)+VLOOKUP(Calculations[[#This Row],[TransportSource]],TransportDistance[],3,FALSE)*'Stage assumptions'!$C$12)*Calculations[[#This Row],[Total Kg]],0)</f>
        <v>0</v>
      </c>
      <c r="K355">
        <f>IFERROR(VLOOKUP(Calculations[[#This Row],[Material (choose from dropdown]], MaterialData[#All],3, FALSE),0)</f>
        <v>0</v>
      </c>
      <c r="L355" s="322">
        <f>IFERROR(VLOOKUP(Calculations[[#This Row],[A5type]],A5WastageRate[#All],2,FALSE)*Calculations[[#This Row],[A1-3]],0)</f>
        <v>0</v>
      </c>
      <c r="N355">
        <f>IFERROR(ROUNDUP(50/VLOOKUP(Calculations[[#This Row],[Scope Element]],B4referenceServiceLife[[Tier 2 element]:[Default Service Life]],2, FALSE)-1,0),0)</f>
        <v>0</v>
      </c>
      <c r="O355" s="322">
        <f>IFERROR((Calculations[[#This Row],[A1-3]]+Calculations[[#This Row],[A4]]+Calculations[[#This Row],[A5]]+Calculations[[#This Row],[C2 total]]+Calculations[[#This Row],[C3 total]]+Calculations[[#This Row],[C4 total]])*Calculations[[#This Row],[Replacements]],0)</f>
        <v>0</v>
      </c>
      <c r="S355" t="str">
        <f>IFERROR(VLOOKUP(Calculations[[#This Row],[Material (choose from dropdown]],MaterialData[#All],4,FALSE),"")</f>
        <v/>
      </c>
      <c r="T355" s="322" cm="1">
        <f t="array" ref="T355">IFERROR(VLOOKUP(Calculations[[#This Row],[Waste 1]],WasteScenario[#All],2,FALSE)*'Stage assumptions'!$C$225*WasteTransportMethod[Emissions Factor
kgCO2e/kg.km]*Calculations[[#This Row],[Total Kg]],0)</f>
        <v>0</v>
      </c>
      <c r="U355" s="322" cm="1">
        <f t="array" ref="U355">IFERROR(VLOOKUP(Calculations[[#This Row],[Waste 1]],WasteScenario[#All],3,FALSE)*'Stage assumptions'!$C$224*WasteTransportMethod[Emissions Factor
kgCO2e/kg.km]*Calculations[[#This Row],[Total Kg]],0)</f>
        <v>0</v>
      </c>
      <c r="V355" s="322" cm="1">
        <f t="array" ref="V355">IFERROR(VLOOKUP(Calculations[[#This Row],[Waste 1]],WasteScenario[#All],4,FALSE)*'Stage assumptions'!$C$223*WasteTransportMethod[Emissions Factor
kgCO2e/kg.km]*Calculations[[#This Row],[Total Kg]],0)</f>
        <v>0</v>
      </c>
      <c r="W355" s="322" cm="1">
        <f t="array" ref="W355">IFERROR(VLOOKUP(Calculations[[#This Row],[Waste 1]],WasteScenario[#All],5,FALSE)*'Stage assumptions'!$C$226*WasteTransportMethod[Emissions Factor
kgCO2e/kg.km]*Calculations[[#This Row],[Total Kg]],0)</f>
        <v>0</v>
      </c>
      <c r="X355" s="322">
        <f>SUM(Calculations[[#This Row],[C2 Recycle]:[C2 Reuse]])</f>
        <v>0</v>
      </c>
      <c r="Y355" t="str">
        <f>IFERROR(VLOOKUP(Calculations[[#This Row],[Material (choose from dropdown]],MaterialData[#All],5,FALSE),"")</f>
        <v/>
      </c>
      <c r="Z355" s="322">
        <f>IFERROR(((VLOOKUP(Calculations[[#This Row],[Waste type 2]],WasteDisposalEmissions[#All],2,FALSE))*Calculations[[#This Row],[Total Kg]])*VLOOKUP(Calculations[[#This Row],[Waste 1]],WasteScenario[#All],2,FALSE),0)</f>
        <v>0</v>
      </c>
      <c r="AA355" s="322">
        <f>IFERROR((VLOOKUP(Calculations[[#This Row],[Waste type 2]],WasteDisposalEmissions[#All],3,FALSE))*Calculations[[#This Row],[Total Kg]]*VLOOKUP(Calculations[[#This Row],[Waste 1]],WasteScenario[#All],3,FALSE),0)</f>
        <v>0</v>
      </c>
      <c r="AB355" s="322">
        <f>SUM(Calculations[[#This Row],[C3 recyc]:[C3 incin]])</f>
        <v>0</v>
      </c>
      <c r="AC355" s="334">
        <f>IFERROR((VLOOKUP(Calculations[[#This Row],[Waste type 2]],WasteLandfillEmissions[#All],2,FALSE))*Calculations[[#This Row],[Total Kg]]*VLOOKUP(Calculations[[#This Row],[Waste 1]],WasteScenario[#All],4,FALSE),0)</f>
        <v>0</v>
      </c>
      <c r="AD355" s="322">
        <f>IFERROR((VLOOKUP(Calculations[[#This Row],[Waste type 2]],WasteLandfillEmissions[#All],3,FALSE))*Calculations[[#This Row],[Total Kg]]*VLOOKUP(Calculations[[#This Row],[Waste 1]],WasteScenario[#All],4,FALSE),0)</f>
        <v>0</v>
      </c>
      <c r="AE355" s="322">
        <f>SUM(Calculations[[#This Row],[C4 landfill]:[C4 re-use]])</f>
        <v>0</v>
      </c>
      <c r="AF355" s="322">
        <f>IFERROR(VLOOKUP(Calculations[[#This Row],[Material (choose from dropdown]],MaterialData[#All],8,FALSE),0)</f>
        <v>0</v>
      </c>
      <c r="AG355" s="322">
        <f>IFERROR(Calculations[[#This Row],[Total Kg]]*Calculations[[#This Row],[Seq factor]],0)</f>
        <v>0</v>
      </c>
      <c r="AI355" s="322">
        <f>Calculations[[#This Row],[A1-3]]+Calculations[[#This Row],[A4]]+Calculations[[#This Row],[A5]]+Calculations[[#This Row],[B4]]+Calculations[[#This Row],[C2 total]]+Calculations[[#This Row],[C3 total]]+Calculations[[#This Row],[C4 total]]</f>
        <v>0</v>
      </c>
      <c r="AJ355" s="2">
        <f>IFERROR(VLOOKUP(Calculations[[#This Row],[Material (choose from dropdown]],MaterialData[[#Headers],[#Data]],9,FALSE),0)</f>
        <v>0</v>
      </c>
      <c r="AK355" s="4">
        <f>IFERROR(VLOOKUP(Calculations[[#This Row],[Material (choose from dropdown]],MaterialData[[#Headers],[#Data]],10,FALSE),0)</f>
        <v>0</v>
      </c>
      <c r="AL355" s="322">
        <f>IFERROR(Calculations[[#This Row],[Data Quality Score]]*Calculations[[#This Row],[Total Kg]],0)</f>
        <v>0</v>
      </c>
    </row>
    <row r="356" spans="1:38" x14ac:dyDescent="0.3">
      <c r="A356" s="6">
        <f>IFERROR(MaterialsBoQ[[#This Row],[Scope Element]],0)</f>
        <v>0</v>
      </c>
      <c r="B356" t="str">
        <f>IFERROR(MaterialsBoQ[[#This Row],[Material ]],"")</f>
        <v/>
      </c>
      <c r="C356" t="str">
        <f>IFERROR(MaterialsBoQ[[#This Row],[Unit]],"")</f>
        <v/>
      </c>
      <c r="D356" s="322">
        <f>IFERROR(MaterialsBoQ[[#This Row],[Number]],0)</f>
        <v>0</v>
      </c>
      <c r="E356" s="322">
        <f>IFERROR(MaterialsBoQ[[#This Row],[Kg per unit]],0)</f>
        <v>0</v>
      </c>
      <c r="F356" s="322">
        <f>IFERROR(Calculations[[#This Row],[Number]]*Calculations[[#This Row],[Conversion factor]],0)</f>
        <v>0</v>
      </c>
      <c r="G356" s="322">
        <f>IFERROR(VLOOKUP(Calculations[[#This Row],[Material (choose from dropdown]],MaterialData[#All],7,FALSE),0)</f>
        <v>0</v>
      </c>
      <c r="H356" s="322">
        <f>Calculations[[#This Row],[Total Kg]]*Calculations[[#This Row],[Carbon Factor]]</f>
        <v>0</v>
      </c>
      <c r="I356" t="str">
        <f>IFERROR(VLOOKUP(Calculations[[#This Row],[Material (choose from dropdown]],MaterialData[#All],2,FALSE),"")</f>
        <v/>
      </c>
      <c r="J356" s="322">
        <f>IFERROR(((VLOOKUP(Calculations[[#This Row],[TransportSource]],TransportDistance[],2,FALSE)*'Stage assumptions'!$C$11)+VLOOKUP(Calculations[[#This Row],[TransportSource]],TransportDistance[],3,FALSE)*'Stage assumptions'!$C$12)*Calculations[[#This Row],[Total Kg]],0)</f>
        <v>0</v>
      </c>
      <c r="K356">
        <f>IFERROR(VLOOKUP(Calculations[[#This Row],[Material (choose from dropdown]], MaterialData[#All],3, FALSE),0)</f>
        <v>0</v>
      </c>
      <c r="L356" s="322">
        <f>IFERROR(VLOOKUP(Calculations[[#This Row],[A5type]],A5WastageRate[#All],2,FALSE)*Calculations[[#This Row],[A1-3]],0)</f>
        <v>0</v>
      </c>
      <c r="N356">
        <f>IFERROR(ROUNDUP(50/VLOOKUP(Calculations[[#This Row],[Scope Element]],B4referenceServiceLife[[Tier 2 element]:[Default Service Life]],2, FALSE)-1,0),0)</f>
        <v>0</v>
      </c>
      <c r="O356" s="322">
        <f>IFERROR((Calculations[[#This Row],[A1-3]]+Calculations[[#This Row],[A4]]+Calculations[[#This Row],[A5]]+Calculations[[#This Row],[C2 total]]+Calculations[[#This Row],[C3 total]]+Calculations[[#This Row],[C4 total]])*Calculations[[#This Row],[Replacements]],0)</f>
        <v>0</v>
      </c>
      <c r="S356" t="str">
        <f>IFERROR(VLOOKUP(Calculations[[#This Row],[Material (choose from dropdown]],MaterialData[#All],4,FALSE),"")</f>
        <v/>
      </c>
      <c r="T356" s="322" cm="1">
        <f t="array" ref="T356">IFERROR(VLOOKUP(Calculations[[#This Row],[Waste 1]],WasteScenario[#All],2,FALSE)*'Stage assumptions'!$C$225*WasteTransportMethod[Emissions Factor
kgCO2e/kg.km]*Calculations[[#This Row],[Total Kg]],0)</f>
        <v>0</v>
      </c>
      <c r="U356" s="322" cm="1">
        <f t="array" ref="U356">IFERROR(VLOOKUP(Calculations[[#This Row],[Waste 1]],WasteScenario[#All],3,FALSE)*'Stage assumptions'!$C$224*WasteTransportMethod[Emissions Factor
kgCO2e/kg.km]*Calculations[[#This Row],[Total Kg]],0)</f>
        <v>0</v>
      </c>
      <c r="V356" s="322" cm="1">
        <f t="array" ref="V356">IFERROR(VLOOKUP(Calculations[[#This Row],[Waste 1]],WasteScenario[#All],4,FALSE)*'Stage assumptions'!$C$223*WasteTransportMethod[Emissions Factor
kgCO2e/kg.km]*Calculations[[#This Row],[Total Kg]],0)</f>
        <v>0</v>
      </c>
      <c r="W356" s="322" cm="1">
        <f t="array" ref="W356">IFERROR(VLOOKUP(Calculations[[#This Row],[Waste 1]],WasteScenario[#All],5,FALSE)*'Stage assumptions'!$C$226*WasteTransportMethod[Emissions Factor
kgCO2e/kg.km]*Calculations[[#This Row],[Total Kg]],0)</f>
        <v>0</v>
      </c>
      <c r="X356" s="322">
        <f>SUM(Calculations[[#This Row],[C2 Recycle]:[C2 Reuse]])</f>
        <v>0</v>
      </c>
      <c r="Y356" t="str">
        <f>IFERROR(VLOOKUP(Calculations[[#This Row],[Material (choose from dropdown]],MaterialData[#All],5,FALSE),"")</f>
        <v/>
      </c>
      <c r="Z356" s="322">
        <f>IFERROR(((VLOOKUP(Calculations[[#This Row],[Waste type 2]],WasteDisposalEmissions[#All],2,FALSE))*Calculations[[#This Row],[Total Kg]])*VLOOKUP(Calculations[[#This Row],[Waste 1]],WasteScenario[#All],2,FALSE),0)</f>
        <v>0</v>
      </c>
      <c r="AA356" s="322">
        <f>IFERROR((VLOOKUP(Calculations[[#This Row],[Waste type 2]],WasteDisposalEmissions[#All],3,FALSE))*Calculations[[#This Row],[Total Kg]]*VLOOKUP(Calculations[[#This Row],[Waste 1]],WasteScenario[#All],3,FALSE),0)</f>
        <v>0</v>
      </c>
      <c r="AB356" s="322">
        <f>SUM(Calculations[[#This Row],[C3 recyc]:[C3 incin]])</f>
        <v>0</v>
      </c>
      <c r="AC356" s="334">
        <f>IFERROR((VLOOKUP(Calculations[[#This Row],[Waste type 2]],WasteLandfillEmissions[#All],2,FALSE))*Calculations[[#This Row],[Total Kg]]*VLOOKUP(Calculations[[#This Row],[Waste 1]],WasteScenario[#All],4,FALSE),0)</f>
        <v>0</v>
      </c>
      <c r="AD356" s="322">
        <f>IFERROR((VLOOKUP(Calculations[[#This Row],[Waste type 2]],WasteLandfillEmissions[#All],3,FALSE))*Calculations[[#This Row],[Total Kg]]*VLOOKUP(Calculations[[#This Row],[Waste 1]],WasteScenario[#All],4,FALSE),0)</f>
        <v>0</v>
      </c>
      <c r="AE356" s="322">
        <f>SUM(Calculations[[#This Row],[C4 landfill]:[C4 re-use]])</f>
        <v>0</v>
      </c>
      <c r="AF356" s="322">
        <f>IFERROR(VLOOKUP(Calculations[[#This Row],[Material (choose from dropdown]],MaterialData[#All],8,FALSE),0)</f>
        <v>0</v>
      </c>
      <c r="AG356" s="322">
        <f>IFERROR(Calculations[[#This Row],[Total Kg]]*Calculations[[#This Row],[Seq factor]],0)</f>
        <v>0</v>
      </c>
      <c r="AI356" s="322">
        <f>Calculations[[#This Row],[A1-3]]+Calculations[[#This Row],[A4]]+Calculations[[#This Row],[A5]]+Calculations[[#This Row],[B4]]+Calculations[[#This Row],[C2 total]]+Calculations[[#This Row],[C3 total]]+Calculations[[#This Row],[C4 total]]</f>
        <v>0</v>
      </c>
      <c r="AJ356" s="2">
        <f>IFERROR(VLOOKUP(Calculations[[#This Row],[Material (choose from dropdown]],MaterialData[[#Headers],[#Data]],9,FALSE),0)</f>
        <v>0</v>
      </c>
      <c r="AK356" s="4">
        <f>IFERROR(VLOOKUP(Calculations[[#This Row],[Material (choose from dropdown]],MaterialData[[#Headers],[#Data]],10,FALSE),0)</f>
        <v>0</v>
      </c>
      <c r="AL356" s="322">
        <f>IFERROR(Calculations[[#This Row],[Data Quality Score]]*Calculations[[#This Row],[Total Kg]],0)</f>
        <v>0</v>
      </c>
    </row>
    <row r="357" spans="1:38" x14ac:dyDescent="0.3">
      <c r="A357" s="6">
        <f>IFERROR(MaterialsBoQ[[#This Row],[Scope Element]],0)</f>
        <v>0</v>
      </c>
      <c r="B357" t="str">
        <f>IFERROR(MaterialsBoQ[[#This Row],[Material ]],"")</f>
        <v/>
      </c>
      <c r="C357" t="str">
        <f>IFERROR(MaterialsBoQ[[#This Row],[Unit]],"")</f>
        <v/>
      </c>
      <c r="D357" s="322">
        <f>IFERROR(MaterialsBoQ[[#This Row],[Number]],0)</f>
        <v>0</v>
      </c>
      <c r="E357" s="322">
        <f>IFERROR(MaterialsBoQ[[#This Row],[Kg per unit]],0)</f>
        <v>0</v>
      </c>
      <c r="F357" s="322">
        <f>IFERROR(Calculations[[#This Row],[Number]]*Calculations[[#This Row],[Conversion factor]],0)</f>
        <v>0</v>
      </c>
      <c r="G357" s="322">
        <f>IFERROR(VLOOKUP(Calculations[[#This Row],[Material (choose from dropdown]],MaterialData[#All],7,FALSE),0)</f>
        <v>0</v>
      </c>
      <c r="H357" s="322">
        <f>Calculations[[#This Row],[Total Kg]]*Calculations[[#This Row],[Carbon Factor]]</f>
        <v>0</v>
      </c>
      <c r="I357" t="str">
        <f>IFERROR(VLOOKUP(Calculations[[#This Row],[Material (choose from dropdown]],MaterialData[#All],2,FALSE),"")</f>
        <v/>
      </c>
      <c r="J357" s="322">
        <f>IFERROR(((VLOOKUP(Calculations[[#This Row],[TransportSource]],TransportDistance[],2,FALSE)*'Stage assumptions'!$C$11)+VLOOKUP(Calculations[[#This Row],[TransportSource]],TransportDistance[],3,FALSE)*'Stage assumptions'!$C$12)*Calculations[[#This Row],[Total Kg]],0)</f>
        <v>0</v>
      </c>
      <c r="K357">
        <f>IFERROR(VLOOKUP(Calculations[[#This Row],[Material (choose from dropdown]], MaterialData[#All],3, FALSE),0)</f>
        <v>0</v>
      </c>
      <c r="L357" s="322">
        <f>IFERROR(VLOOKUP(Calculations[[#This Row],[A5type]],A5WastageRate[#All],2,FALSE)*Calculations[[#This Row],[A1-3]],0)</f>
        <v>0</v>
      </c>
      <c r="N357">
        <f>IFERROR(ROUNDUP(50/VLOOKUP(Calculations[[#This Row],[Scope Element]],B4referenceServiceLife[[Tier 2 element]:[Default Service Life]],2, FALSE)-1,0),0)</f>
        <v>0</v>
      </c>
      <c r="O357" s="322">
        <f>IFERROR((Calculations[[#This Row],[A1-3]]+Calculations[[#This Row],[A4]]+Calculations[[#This Row],[A5]]+Calculations[[#This Row],[C2 total]]+Calculations[[#This Row],[C3 total]]+Calculations[[#This Row],[C4 total]])*Calculations[[#This Row],[Replacements]],0)</f>
        <v>0</v>
      </c>
      <c r="S357" t="str">
        <f>IFERROR(VLOOKUP(Calculations[[#This Row],[Material (choose from dropdown]],MaterialData[#All],4,FALSE),"")</f>
        <v/>
      </c>
      <c r="T357" s="322" cm="1">
        <f t="array" ref="T357">IFERROR(VLOOKUP(Calculations[[#This Row],[Waste 1]],WasteScenario[#All],2,FALSE)*'Stage assumptions'!$C$225*WasteTransportMethod[Emissions Factor
kgCO2e/kg.km]*Calculations[[#This Row],[Total Kg]],0)</f>
        <v>0</v>
      </c>
      <c r="U357" s="322" cm="1">
        <f t="array" ref="U357">IFERROR(VLOOKUP(Calculations[[#This Row],[Waste 1]],WasteScenario[#All],3,FALSE)*'Stage assumptions'!$C$224*WasteTransportMethod[Emissions Factor
kgCO2e/kg.km]*Calculations[[#This Row],[Total Kg]],0)</f>
        <v>0</v>
      </c>
      <c r="V357" s="322" cm="1">
        <f t="array" ref="V357">IFERROR(VLOOKUP(Calculations[[#This Row],[Waste 1]],WasteScenario[#All],4,FALSE)*'Stage assumptions'!$C$223*WasteTransportMethod[Emissions Factor
kgCO2e/kg.km]*Calculations[[#This Row],[Total Kg]],0)</f>
        <v>0</v>
      </c>
      <c r="W357" s="322" cm="1">
        <f t="array" ref="W357">IFERROR(VLOOKUP(Calculations[[#This Row],[Waste 1]],WasteScenario[#All],5,FALSE)*'Stage assumptions'!$C$226*WasteTransportMethod[Emissions Factor
kgCO2e/kg.km]*Calculations[[#This Row],[Total Kg]],0)</f>
        <v>0</v>
      </c>
      <c r="X357" s="322">
        <f>SUM(Calculations[[#This Row],[C2 Recycle]:[C2 Reuse]])</f>
        <v>0</v>
      </c>
      <c r="Y357" t="str">
        <f>IFERROR(VLOOKUP(Calculations[[#This Row],[Material (choose from dropdown]],MaterialData[#All],5,FALSE),"")</f>
        <v/>
      </c>
      <c r="Z357" s="322">
        <f>IFERROR(((VLOOKUP(Calculations[[#This Row],[Waste type 2]],WasteDisposalEmissions[#All],2,FALSE))*Calculations[[#This Row],[Total Kg]])*VLOOKUP(Calculations[[#This Row],[Waste 1]],WasteScenario[#All],2,FALSE),0)</f>
        <v>0</v>
      </c>
      <c r="AA357" s="322">
        <f>IFERROR((VLOOKUP(Calculations[[#This Row],[Waste type 2]],WasteDisposalEmissions[#All],3,FALSE))*Calculations[[#This Row],[Total Kg]]*VLOOKUP(Calculations[[#This Row],[Waste 1]],WasteScenario[#All],3,FALSE),0)</f>
        <v>0</v>
      </c>
      <c r="AB357" s="322">
        <f>SUM(Calculations[[#This Row],[C3 recyc]:[C3 incin]])</f>
        <v>0</v>
      </c>
      <c r="AC357" s="334">
        <f>IFERROR((VLOOKUP(Calculations[[#This Row],[Waste type 2]],WasteLandfillEmissions[#All],2,FALSE))*Calculations[[#This Row],[Total Kg]]*VLOOKUP(Calculations[[#This Row],[Waste 1]],WasteScenario[#All],4,FALSE),0)</f>
        <v>0</v>
      </c>
      <c r="AD357" s="322">
        <f>IFERROR((VLOOKUP(Calculations[[#This Row],[Waste type 2]],WasteLandfillEmissions[#All],3,FALSE))*Calculations[[#This Row],[Total Kg]]*VLOOKUP(Calculations[[#This Row],[Waste 1]],WasteScenario[#All],4,FALSE),0)</f>
        <v>0</v>
      </c>
      <c r="AE357" s="322">
        <f>SUM(Calculations[[#This Row],[C4 landfill]:[C4 re-use]])</f>
        <v>0</v>
      </c>
      <c r="AF357" s="322">
        <f>IFERROR(VLOOKUP(Calculations[[#This Row],[Material (choose from dropdown]],MaterialData[#All],8,FALSE),0)</f>
        <v>0</v>
      </c>
      <c r="AG357" s="322">
        <f>IFERROR(Calculations[[#This Row],[Total Kg]]*Calculations[[#This Row],[Seq factor]],0)</f>
        <v>0</v>
      </c>
      <c r="AI357" s="322">
        <f>Calculations[[#This Row],[A1-3]]+Calculations[[#This Row],[A4]]+Calculations[[#This Row],[A5]]+Calculations[[#This Row],[B4]]+Calculations[[#This Row],[C2 total]]+Calculations[[#This Row],[C3 total]]+Calculations[[#This Row],[C4 total]]</f>
        <v>0</v>
      </c>
      <c r="AJ357" s="2">
        <f>IFERROR(VLOOKUP(Calculations[[#This Row],[Material (choose from dropdown]],MaterialData[[#Headers],[#Data]],9,FALSE),0)</f>
        <v>0</v>
      </c>
      <c r="AK357" s="4">
        <f>IFERROR(VLOOKUP(Calculations[[#This Row],[Material (choose from dropdown]],MaterialData[[#Headers],[#Data]],10,FALSE),0)</f>
        <v>0</v>
      </c>
      <c r="AL357" s="322">
        <f>IFERROR(Calculations[[#This Row],[Data Quality Score]]*Calculations[[#This Row],[Total Kg]],0)</f>
        <v>0</v>
      </c>
    </row>
    <row r="358" spans="1:38" x14ac:dyDescent="0.3">
      <c r="A358" s="6">
        <f>IFERROR(MaterialsBoQ[[#This Row],[Scope Element]],0)</f>
        <v>0</v>
      </c>
      <c r="B358" t="str">
        <f>IFERROR(MaterialsBoQ[[#This Row],[Material ]],"")</f>
        <v/>
      </c>
      <c r="C358" t="str">
        <f>IFERROR(MaterialsBoQ[[#This Row],[Unit]],"")</f>
        <v/>
      </c>
      <c r="D358" s="322">
        <f>IFERROR(MaterialsBoQ[[#This Row],[Number]],0)</f>
        <v>0</v>
      </c>
      <c r="E358" s="322">
        <f>IFERROR(MaterialsBoQ[[#This Row],[Kg per unit]],0)</f>
        <v>0</v>
      </c>
      <c r="F358" s="322">
        <f>IFERROR(Calculations[[#This Row],[Number]]*Calculations[[#This Row],[Conversion factor]],0)</f>
        <v>0</v>
      </c>
      <c r="G358" s="322">
        <f>IFERROR(VLOOKUP(Calculations[[#This Row],[Material (choose from dropdown]],MaterialData[#All],7,FALSE),0)</f>
        <v>0</v>
      </c>
      <c r="H358" s="322">
        <f>Calculations[[#This Row],[Total Kg]]*Calculations[[#This Row],[Carbon Factor]]</f>
        <v>0</v>
      </c>
      <c r="I358" t="str">
        <f>IFERROR(VLOOKUP(Calculations[[#This Row],[Material (choose from dropdown]],MaterialData[#All],2,FALSE),"")</f>
        <v/>
      </c>
      <c r="J358" s="322">
        <f>IFERROR(((VLOOKUP(Calculations[[#This Row],[TransportSource]],TransportDistance[],2,FALSE)*'Stage assumptions'!$C$11)+VLOOKUP(Calculations[[#This Row],[TransportSource]],TransportDistance[],3,FALSE)*'Stage assumptions'!$C$12)*Calculations[[#This Row],[Total Kg]],0)</f>
        <v>0</v>
      </c>
      <c r="K358">
        <f>IFERROR(VLOOKUP(Calculations[[#This Row],[Material (choose from dropdown]], MaterialData[#All],3, FALSE),0)</f>
        <v>0</v>
      </c>
      <c r="L358" s="322">
        <f>IFERROR(VLOOKUP(Calculations[[#This Row],[A5type]],A5WastageRate[#All],2,FALSE)*Calculations[[#This Row],[A1-3]],0)</f>
        <v>0</v>
      </c>
      <c r="N358">
        <f>IFERROR(ROUNDUP(50/VLOOKUP(Calculations[[#This Row],[Scope Element]],B4referenceServiceLife[[Tier 2 element]:[Default Service Life]],2, FALSE)-1,0),0)</f>
        <v>0</v>
      </c>
      <c r="O358" s="322">
        <f>IFERROR((Calculations[[#This Row],[A1-3]]+Calculations[[#This Row],[A4]]+Calculations[[#This Row],[A5]]+Calculations[[#This Row],[C2 total]]+Calculations[[#This Row],[C3 total]]+Calculations[[#This Row],[C4 total]])*Calculations[[#This Row],[Replacements]],0)</f>
        <v>0</v>
      </c>
      <c r="S358" t="str">
        <f>IFERROR(VLOOKUP(Calculations[[#This Row],[Material (choose from dropdown]],MaterialData[#All],4,FALSE),"")</f>
        <v/>
      </c>
      <c r="T358" s="322" cm="1">
        <f t="array" ref="T358">IFERROR(VLOOKUP(Calculations[[#This Row],[Waste 1]],WasteScenario[#All],2,FALSE)*'Stage assumptions'!$C$225*WasteTransportMethod[Emissions Factor
kgCO2e/kg.km]*Calculations[[#This Row],[Total Kg]],0)</f>
        <v>0</v>
      </c>
      <c r="U358" s="322" cm="1">
        <f t="array" ref="U358">IFERROR(VLOOKUP(Calculations[[#This Row],[Waste 1]],WasteScenario[#All],3,FALSE)*'Stage assumptions'!$C$224*WasteTransportMethod[Emissions Factor
kgCO2e/kg.km]*Calculations[[#This Row],[Total Kg]],0)</f>
        <v>0</v>
      </c>
      <c r="V358" s="322" cm="1">
        <f t="array" ref="V358">IFERROR(VLOOKUP(Calculations[[#This Row],[Waste 1]],WasteScenario[#All],4,FALSE)*'Stage assumptions'!$C$223*WasteTransportMethod[Emissions Factor
kgCO2e/kg.km]*Calculations[[#This Row],[Total Kg]],0)</f>
        <v>0</v>
      </c>
      <c r="W358" s="322" cm="1">
        <f t="array" ref="W358">IFERROR(VLOOKUP(Calculations[[#This Row],[Waste 1]],WasteScenario[#All],5,FALSE)*'Stage assumptions'!$C$226*WasteTransportMethod[Emissions Factor
kgCO2e/kg.km]*Calculations[[#This Row],[Total Kg]],0)</f>
        <v>0</v>
      </c>
      <c r="X358" s="322">
        <f>SUM(Calculations[[#This Row],[C2 Recycle]:[C2 Reuse]])</f>
        <v>0</v>
      </c>
      <c r="Y358" t="str">
        <f>IFERROR(VLOOKUP(Calculations[[#This Row],[Material (choose from dropdown]],MaterialData[#All],5,FALSE),"")</f>
        <v/>
      </c>
      <c r="Z358" s="322">
        <f>IFERROR(((VLOOKUP(Calculations[[#This Row],[Waste type 2]],WasteDisposalEmissions[#All],2,FALSE))*Calculations[[#This Row],[Total Kg]])*VLOOKUP(Calculations[[#This Row],[Waste 1]],WasteScenario[#All],2,FALSE),0)</f>
        <v>0</v>
      </c>
      <c r="AA358" s="322">
        <f>IFERROR((VLOOKUP(Calculations[[#This Row],[Waste type 2]],WasteDisposalEmissions[#All],3,FALSE))*Calculations[[#This Row],[Total Kg]]*VLOOKUP(Calculations[[#This Row],[Waste 1]],WasteScenario[#All],3,FALSE),0)</f>
        <v>0</v>
      </c>
      <c r="AB358" s="322">
        <f>SUM(Calculations[[#This Row],[C3 recyc]:[C3 incin]])</f>
        <v>0</v>
      </c>
      <c r="AC358" s="334">
        <f>IFERROR((VLOOKUP(Calculations[[#This Row],[Waste type 2]],WasteLandfillEmissions[#All],2,FALSE))*Calculations[[#This Row],[Total Kg]]*VLOOKUP(Calculations[[#This Row],[Waste 1]],WasteScenario[#All],4,FALSE),0)</f>
        <v>0</v>
      </c>
      <c r="AD358" s="322">
        <f>IFERROR((VLOOKUP(Calculations[[#This Row],[Waste type 2]],WasteLandfillEmissions[#All],3,FALSE))*Calculations[[#This Row],[Total Kg]]*VLOOKUP(Calculations[[#This Row],[Waste 1]],WasteScenario[#All],4,FALSE),0)</f>
        <v>0</v>
      </c>
      <c r="AE358" s="322">
        <f>SUM(Calculations[[#This Row],[C4 landfill]:[C4 re-use]])</f>
        <v>0</v>
      </c>
      <c r="AF358" s="322">
        <f>IFERROR(VLOOKUP(Calculations[[#This Row],[Material (choose from dropdown]],MaterialData[#All],8,FALSE),0)</f>
        <v>0</v>
      </c>
      <c r="AG358" s="322">
        <f>IFERROR(Calculations[[#This Row],[Total Kg]]*Calculations[[#This Row],[Seq factor]],0)</f>
        <v>0</v>
      </c>
      <c r="AI358" s="322">
        <f>Calculations[[#This Row],[A1-3]]+Calculations[[#This Row],[A4]]+Calculations[[#This Row],[A5]]+Calculations[[#This Row],[B4]]+Calculations[[#This Row],[C2 total]]+Calculations[[#This Row],[C3 total]]+Calculations[[#This Row],[C4 total]]</f>
        <v>0</v>
      </c>
      <c r="AJ358" s="2">
        <f>IFERROR(VLOOKUP(Calculations[[#This Row],[Material (choose from dropdown]],MaterialData[[#Headers],[#Data]],9,FALSE),0)</f>
        <v>0</v>
      </c>
      <c r="AK358" s="4">
        <f>IFERROR(VLOOKUP(Calculations[[#This Row],[Material (choose from dropdown]],MaterialData[[#Headers],[#Data]],10,FALSE),0)</f>
        <v>0</v>
      </c>
      <c r="AL358" s="322">
        <f>IFERROR(Calculations[[#This Row],[Data Quality Score]]*Calculations[[#This Row],[Total Kg]],0)</f>
        <v>0</v>
      </c>
    </row>
    <row r="359" spans="1:38" x14ac:dyDescent="0.3">
      <c r="A359" s="6">
        <f>IFERROR(MaterialsBoQ[[#This Row],[Scope Element]],0)</f>
        <v>0</v>
      </c>
      <c r="B359" t="str">
        <f>IFERROR(MaterialsBoQ[[#This Row],[Material ]],"")</f>
        <v/>
      </c>
      <c r="C359" t="str">
        <f>IFERROR(MaterialsBoQ[[#This Row],[Unit]],"")</f>
        <v/>
      </c>
      <c r="D359" s="322">
        <f>IFERROR(MaterialsBoQ[[#This Row],[Number]],0)</f>
        <v>0</v>
      </c>
      <c r="E359" s="322">
        <f>IFERROR(MaterialsBoQ[[#This Row],[Kg per unit]],0)</f>
        <v>0</v>
      </c>
      <c r="F359" s="322">
        <f>IFERROR(Calculations[[#This Row],[Number]]*Calculations[[#This Row],[Conversion factor]],0)</f>
        <v>0</v>
      </c>
      <c r="G359" s="322">
        <f>IFERROR(VLOOKUP(Calculations[[#This Row],[Material (choose from dropdown]],MaterialData[#All],7,FALSE),0)</f>
        <v>0</v>
      </c>
      <c r="H359" s="322">
        <f>Calculations[[#This Row],[Total Kg]]*Calculations[[#This Row],[Carbon Factor]]</f>
        <v>0</v>
      </c>
      <c r="I359" t="str">
        <f>IFERROR(VLOOKUP(Calculations[[#This Row],[Material (choose from dropdown]],MaterialData[#All],2,FALSE),"")</f>
        <v/>
      </c>
      <c r="J359" s="322">
        <f>IFERROR(((VLOOKUP(Calculations[[#This Row],[TransportSource]],TransportDistance[],2,FALSE)*'Stage assumptions'!$C$11)+VLOOKUP(Calculations[[#This Row],[TransportSource]],TransportDistance[],3,FALSE)*'Stage assumptions'!$C$12)*Calculations[[#This Row],[Total Kg]],0)</f>
        <v>0</v>
      </c>
      <c r="K359">
        <f>IFERROR(VLOOKUP(Calculations[[#This Row],[Material (choose from dropdown]], MaterialData[#All],3, FALSE),0)</f>
        <v>0</v>
      </c>
      <c r="L359" s="322">
        <f>IFERROR(VLOOKUP(Calculations[[#This Row],[A5type]],A5WastageRate[#All],2,FALSE)*Calculations[[#This Row],[A1-3]],0)</f>
        <v>0</v>
      </c>
      <c r="N359">
        <f>IFERROR(ROUNDUP(50/VLOOKUP(Calculations[[#This Row],[Scope Element]],B4referenceServiceLife[[Tier 2 element]:[Default Service Life]],2, FALSE)-1,0),0)</f>
        <v>0</v>
      </c>
      <c r="O359" s="322">
        <f>IFERROR((Calculations[[#This Row],[A1-3]]+Calculations[[#This Row],[A4]]+Calculations[[#This Row],[A5]]+Calculations[[#This Row],[C2 total]]+Calculations[[#This Row],[C3 total]]+Calculations[[#This Row],[C4 total]])*Calculations[[#This Row],[Replacements]],0)</f>
        <v>0</v>
      </c>
      <c r="S359" t="str">
        <f>IFERROR(VLOOKUP(Calculations[[#This Row],[Material (choose from dropdown]],MaterialData[#All],4,FALSE),"")</f>
        <v/>
      </c>
      <c r="T359" s="322" cm="1">
        <f t="array" ref="T359">IFERROR(VLOOKUP(Calculations[[#This Row],[Waste 1]],WasteScenario[#All],2,FALSE)*'Stage assumptions'!$C$225*WasteTransportMethod[Emissions Factor
kgCO2e/kg.km]*Calculations[[#This Row],[Total Kg]],0)</f>
        <v>0</v>
      </c>
      <c r="U359" s="322" cm="1">
        <f t="array" ref="U359">IFERROR(VLOOKUP(Calculations[[#This Row],[Waste 1]],WasteScenario[#All],3,FALSE)*'Stage assumptions'!$C$224*WasteTransportMethod[Emissions Factor
kgCO2e/kg.km]*Calculations[[#This Row],[Total Kg]],0)</f>
        <v>0</v>
      </c>
      <c r="V359" s="322" cm="1">
        <f t="array" ref="V359">IFERROR(VLOOKUP(Calculations[[#This Row],[Waste 1]],WasteScenario[#All],4,FALSE)*'Stage assumptions'!$C$223*WasteTransportMethod[Emissions Factor
kgCO2e/kg.km]*Calculations[[#This Row],[Total Kg]],0)</f>
        <v>0</v>
      </c>
      <c r="W359" s="322" cm="1">
        <f t="array" ref="W359">IFERROR(VLOOKUP(Calculations[[#This Row],[Waste 1]],WasteScenario[#All],5,FALSE)*'Stage assumptions'!$C$226*WasteTransportMethod[Emissions Factor
kgCO2e/kg.km]*Calculations[[#This Row],[Total Kg]],0)</f>
        <v>0</v>
      </c>
      <c r="X359" s="322">
        <f>SUM(Calculations[[#This Row],[C2 Recycle]:[C2 Reuse]])</f>
        <v>0</v>
      </c>
      <c r="Y359" t="str">
        <f>IFERROR(VLOOKUP(Calculations[[#This Row],[Material (choose from dropdown]],MaterialData[#All],5,FALSE),"")</f>
        <v/>
      </c>
      <c r="Z359" s="322">
        <f>IFERROR(((VLOOKUP(Calculations[[#This Row],[Waste type 2]],WasteDisposalEmissions[#All],2,FALSE))*Calculations[[#This Row],[Total Kg]])*VLOOKUP(Calculations[[#This Row],[Waste 1]],WasteScenario[#All],2,FALSE),0)</f>
        <v>0</v>
      </c>
      <c r="AA359" s="322">
        <f>IFERROR((VLOOKUP(Calculations[[#This Row],[Waste type 2]],WasteDisposalEmissions[#All],3,FALSE))*Calculations[[#This Row],[Total Kg]]*VLOOKUP(Calculations[[#This Row],[Waste 1]],WasteScenario[#All],3,FALSE),0)</f>
        <v>0</v>
      </c>
      <c r="AB359" s="322">
        <f>SUM(Calculations[[#This Row],[C3 recyc]:[C3 incin]])</f>
        <v>0</v>
      </c>
      <c r="AC359" s="334">
        <f>IFERROR((VLOOKUP(Calculations[[#This Row],[Waste type 2]],WasteLandfillEmissions[#All],2,FALSE))*Calculations[[#This Row],[Total Kg]]*VLOOKUP(Calculations[[#This Row],[Waste 1]],WasteScenario[#All],4,FALSE),0)</f>
        <v>0</v>
      </c>
      <c r="AD359" s="322">
        <f>IFERROR((VLOOKUP(Calculations[[#This Row],[Waste type 2]],WasteLandfillEmissions[#All],3,FALSE))*Calculations[[#This Row],[Total Kg]]*VLOOKUP(Calculations[[#This Row],[Waste 1]],WasteScenario[#All],4,FALSE),0)</f>
        <v>0</v>
      </c>
      <c r="AE359" s="322">
        <f>SUM(Calculations[[#This Row],[C4 landfill]:[C4 re-use]])</f>
        <v>0</v>
      </c>
      <c r="AF359" s="322">
        <f>IFERROR(VLOOKUP(Calculations[[#This Row],[Material (choose from dropdown]],MaterialData[#All],8,FALSE),0)</f>
        <v>0</v>
      </c>
      <c r="AG359" s="322">
        <f>IFERROR(Calculations[[#This Row],[Total Kg]]*Calculations[[#This Row],[Seq factor]],0)</f>
        <v>0</v>
      </c>
      <c r="AI359" s="322">
        <f>Calculations[[#This Row],[A1-3]]+Calculations[[#This Row],[A4]]+Calculations[[#This Row],[A5]]+Calculations[[#This Row],[B4]]+Calculations[[#This Row],[C2 total]]+Calculations[[#This Row],[C3 total]]+Calculations[[#This Row],[C4 total]]</f>
        <v>0</v>
      </c>
      <c r="AJ359" s="2">
        <f>IFERROR(VLOOKUP(Calculations[[#This Row],[Material (choose from dropdown]],MaterialData[[#Headers],[#Data]],9,FALSE),0)</f>
        <v>0</v>
      </c>
      <c r="AK359" s="4">
        <f>IFERROR(VLOOKUP(Calculations[[#This Row],[Material (choose from dropdown]],MaterialData[[#Headers],[#Data]],10,FALSE),0)</f>
        <v>0</v>
      </c>
      <c r="AL359" s="322">
        <f>IFERROR(Calculations[[#This Row],[Data Quality Score]]*Calculations[[#This Row],[Total Kg]],0)</f>
        <v>0</v>
      </c>
    </row>
    <row r="360" spans="1:38" x14ac:dyDescent="0.3">
      <c r="A360" s="6">
        <f>IFERROR(MaterialsBoQ[[#This Row],[Scope Element]],0)</f>
        <v>0</v>
      </c>
      <c r="B360" t="str">
        <f>IFERROR(MaterialsBoQ[[#This Row],[Material ]],"")</f>
        <v/>
      </c>
      <c r="C360" t="str">
        <f>IFERROR(MaterialsBoQ[[#This Row],[Unit]],"")</f>
        <v/>
      </c>
      <c r="D360" s="322">
        <f>IFERROR(MaterialsBoQ[[#This Row],[Number]],0)</f>
        <v>0</v>
      </c>
      <c r="E360" s="322">
        <f>IFERROR(MaterialsBoQ[[#This Row],[Kg per unit]],0)</f>
        <v>0</v>
      </c>
      <c r="F360" s="322">
        <f>IFERROR(Calculations[[#This Row],[Number]]*Calculations[[#This Row],[Conversion factor]],0)</f>
        <v>0</v>
      </c>
      <c r="G360" s="322">
        <f>IFERROR(VLOOKUP(Calculations[[#This Row],[Material (choose from dropdown]],MaterialData[#All],7,FALSE),0)</f>
        <v>0</v>
      </c>
      <c r="H360" s="322">
        <f>Calculations[[#This Row],[Total Kg]]*Calculations[[#This Row],[Carbon Factor]]</f>
        <v>0</v>
      </c>
      <c r="I360" t="str">
        <f>IFERROR(VLOOKUP(Calculations[[#This Row],[Material (choose from dropdown]],MaterialData[#All],2,FALSE),"")</f>
        <v/>
      </c>
      <c r="J360" s="322">
        <f>IFERROR(((VLOOKUP(Calculations[[#This Row],[TransportSource]],TransportDistance[],2,FALSE)*'Stage assumptions'!$C$11)+VLOOKUP(Calculations[[#This Row],[TransportSource]],TransportDistance[],3,FALSE)*'Stage assumptions'!$C$12)*Calculations[[#This Row],[Total Kg]],0)</f>
        <v>0</v>
      </c>
      <c r="K360">
        <f>IFERROR(VLOOKUP(Calculations[[#This Row],[Material (choose from dropdown]], MaterialData[#All],3, FALSE),0)</f>
        <v>0</v>
      </c>
      <c r="L360" s="322">
        <f>IFERROR(VLOOKUP(Calculations[[#This Row],[A5type]],A5WastageRate[#All],2,FALSE)*Calculations[[#This Row],[A1-3]],0)</f>
        <v>0</v>
      </c>
      <c r="N360">
        <f>IFERROR(ROUNDUP(50/VLOOKUP(Calculations[[#This Row],[Scope Element]],B4referenceServiceLife[[Tier 2 element]:[Default Service Life]],2, FALSE)-1,0),0)</f>
        <v>0</v>
      </c>
      <c r="O360" s="322">
        <f>IFERROR((Calculations[[#This Row],[A1-3]]+Calculations[[#This Row],[A4]]+Calculations[[#This Row],[A5]]+Calculations[[#This Row],[C2 total]]+Calculations[[#This Row],[C3 total]]+Calculations[[#This Row],[C4 total]])*Calculations[[#This Row],[Replacements]],0)</f>
        <v>0</v>
      </c>
      <c r="S360" t="str">
        <f>IFERROR(VLOOKUP(Calculations[[#This Row],[Material (choose from dropdown]],MaterialData[#All],4,FALSE),"")</f>
        <v/>
      </c>
      <c r="T360" s="322" cm="1">
        <f t="array" ref="T360">IFERROR(VLOOKUP(Calculations[[#This Row],[Waste 1]],WasteScenario[#All],2,FALSE)*'Stage assumptions'!$C$225*WasteTransportMethod[Emissions Factor
kgCO2e/kg.km]*Calculations[[#This Row],[Total Kg]],0)</f>
        <v>0</v>
      </c>
      <c r="U360" s="322" cm="1">
        <f t="array" ref="U360">IFERROR(VLOOKUP(Calculations[[#This Row],[Waste 1]],WasteScenario[#All],3,FALSE)*'Stage assumptions'!$C$224*WasteTransportMethod[Emissions Factor
kgCO2e/kg.km]*Calculations[[#This Row],[Total Kg]],0)</f>
        <v>0</v>
      </c>
      <c r="V360" s="322" cm="1">
        <f t="array" ref="V360">IFERROR(VLOOKUP(Calculations[[#This Row],[Waste 1]],WasteScenario[#All],4,FALSE)*'Stage assumptions'!$C$223*WasteTransportMethod[Emissions Factor
kgCO2e/kg.km]*Calculations[[#This Row],[Total Kg]],0)</f>
        <v>0</v>
      </c>
      <c r="W360" s="322" cm="1">
        <f t="array" ref="W360">IFERROR(VLOOKUP(Calculations[[#This Row],[Waste 1]],WasteScenario[#All],5,FALSE)*'Stage assumptions'!$C$226*WasteTransportMethod[Emissions Factor
kgCO2e/kg.km]*Calculations[[#This Row],[Total Kg]],0)</f>
        <v>0</v>
      </c>
      <c r="X360" s="322">
        <f>SUM(Calculations[[#This Row],[C2 Recycle]:[C2 Reuse]])</f>
        <v>0</v>
      </c>
      <c r="Y360" t="str">
        <f>IFERROR(VLOOKUP(Calculations[[#This Row],[Material (choose from dropdown]],MaterialData[#All],5,FALSE),"")</f>
        <v/>
      </c>
      <c r="Z360" s="322">
        <f>IFERROR(((VLOOKUP(Calculations[[#This Row],[Waste type 2]],WasteDisposalEmissions[#All],2,FALSE))*Calculations[[#This Row],[Total Kg]])*VLOOKUP(Calculations[[#This Row],[Waste 1]],WasteScenario[#All],2,FALSE),0)</f>
        <v>0</v>
      </c>
      <c r="AA360" s="322">
        <f>IFERROR((VLOOKUP(Calculations[[#This Row],[Waste type 2]],WasteDisposalEmissions[#All],3,FALSE))*Calculations[[#This Row],[Total Kg]]*VLOOKUP(Calculations[[#This Row],[Waste 1]],WasteScenario[#All],3,FALSE),0)</f>
        <v>0</v>
      </c>
      <c r="AB360" s="322">
        <f>SUM(Calculations[[#This Row],[C3 recyc]:[C3 incin]])</f>
        <v>0</v>
      </c>
      <c r="AC360" s="334">
        <f>IFERROR((VLOOKUP(Calculations[[#This Row],[Waste type 2]],WasteLandfillEmissions[#All],2,FALSE))*Calculations[[#This Row],[Total Kg]]*VLOOKUP(Calculations[[#This Row],[Waste 1]],WasteScenario[#All],4,FALSE),0)</f>
        <v>0</v>
      </c>
      <c r="AD360" s="322">
        <f>IFERROR((VLOOKUP(Calculations[[#This Row],[Waste type 2]],WasteLandfillEmissions[#All],3,FALSE))*Calculations[[#This Row],[Total Kg]]*VLOOKUP(Calculations[[#This Row],[Waste 1]],WasteScenario[#All],4,FALSE),0)</f>
        <v>0</v>
      </c>
      <c r="AE360" s="322">
        <f>SUM(Calculations[[#This Row],[C4 landfill]:[C4 re-use]])</f>
        <v>0</v>
      </c>
      <c r="AF360" s="322">
        <f>IFERROR(VLOOKUP(Calculations[[#This Row],[Material (choose from dropdown]],MaterialData[#All],8,FALSE),0)</f>
        <v>0</v>
      </c>
      <c r="AG360" s="322">
        <f>IFERROR(Calculations[[#This Row],[Total Kg]]*Calculations[[#This Row],[Seq factor]],0)</f>
        <v>0</v>
      </c>
      <c r="AI360" s="322">
        <f>Calculations[[#This Row],[A1-3]]+Calculations[[#This Row],[A4]]+Calculations[[#This Row],[A5]]+Calculations[[#This Row],[B4]]+Calculations[[#This Row],[C2 total]]+Calculations[[#This Row],[C3 total]]+Calculations[[#This Row],[C4 total]]</f>
        <v>0</v>
      </c>
      <c r="AJ360" s="2">
        <f>IFERROR(VLOOKUP(Calculations[[#This Row],[Material (choose from dropdown]],MaterialData[[#Headers],[#Data]],9,FALSE),0)</f>
        <v>0</v>
      </c>
      <c r="AK360" s="4">
        <f>IFERROR(VLOOKUP(Calculations[[#This Row],[Material (choose from dropdown]],MaterialData[[#Headers],[#Data]],10,FALSE),0)</f>
        <v>0</v>
      </c>
      <c r="AL360" s="322">
        <f>IFERROR(Calculations[[#This Row],[Data Quality Score]]*Calculations[[#This Row],[Total Kg]],0)</f>
        <v>0</v>
      </c>
    </row>
    <row r="361" spans="1:38" x14ac:dyDescent="0.3">
      <c r="A361" s="6">
        <f>IFERROR(MaterialsBoQ[[#This Row],[Scope Element]],0)</f>
        <v>0</v>
      </c>
      <c r="B361" t="str">
        <f>IFERROR(MaterialsBoQ[[#This Row],[Material ]],"")</f>
        <v/>
      </c>
      <c r="C361" t="str">
        <f>IFERROR(MaterialsBoQ[[#This Row],[Unit]],"")</f>
        <v/>
      </c>
      <c r="D361" s="322">
        <f>IFERROR(MaterialsBoQ[[#This Row],[Number]],0)</f>
        <v>0</v>
      </c>
      <c r="E361" s="322">
        <f>IFERROR(MaterialsBoQ[[#This Row],[Kg per unit]],0)</f>
        <v>0</v>
      </c>
      <c r="F361" s="322">
        <f>IFERROR(Calculations[[#This Row],[Number]]*Calculations[[#This Row],[Conversion factor]],0)</f>
        <v>0</v>
      </c>
      <c r="G361" s="322">
        <f>IFERROR(VLOOKUP(Calculations[[#This Row],[Material (choose from dropdown]],MaterialData[#All],7,FALSE),0)</f>
        <v>0</v>
      </c>
      <c r="H361" s="322">
        <f>Calculations[[#This Row],[Total Kg]]*Calculations[[#This Row],[Carbon Factor]]</f>
        <v>0</v>
      </c>
      <c r="I361" t="str">
        <f>IFERROR(VLOOKUP(Calculations[[#This Row],[Material (choose from dropdown]],MaterialData[#All],2,FALSE),"")</f>
        <v/>
      </c>
      <c r="J361" s="322">
        <f>IFERROR(((VLOOKUP(Calculations[[#This Row],[TransportSource]],TransportDistance[],2,FALSE)*'Stage assumptions'!$C$11)+VLOOKUP(Calculations[[#This Row],[TransportSource]],TransportDistance[],3,FALSE)*'Stage assumptions'!$C$12)*Calculations[[#This Row],[Total Kg]],0)</f>
        <v>0</v>
      </c>
      <c r="K361">
        <f>IFERROR(VLOOKUP(Calculations[[#This Row],[Material (choose from dropdown]], MaterialData[#All],3, FALSE),0)</f>
        <v>0</v>
      </c>
      <c r="L361" s="322">
        <f>IFERROR(VLOOKUP(Calculations[[#This Row],[A5type]],A5WastageRate[#All],2,FALSE)*Calculations[[#This Row],[A1-3]],0)</f>
        <v>0</v>
      </c>
      <c r="N361">
        <f>IFERROR(ROUNDUP(50/VLOOKUP(Calculations[[#This Row],[Scope Element]],B4referenceServiceLife[[Tier 2 element]:[Default Service Life]],2, FALSE)-1,0),0)</f>
        <v>0</v>
      </c>
      <c r="O361" s="322">
        <f>IFERROR((Calculations[[#This Row],[A1-3]]+Calculations[[#This Row],[A4]]+Calculations[[#This Row],[A5]]+Calculations[[#This Row],[C2 total]]+Calculations[[#This Row],[C3 total]]+Calculations[[#This Row],[C4 total]])*Calculations[[#This Row],[Replacements]],0)</f>
        <v>0</v>
      </c>
      <c r="S361" t="str">
        <f>IFERROR(VLOOKUP(Calculations[[#This Row],[Material (choose from dropdown]],MaterialData[#All],4,FALSE),"")</f>
        <v/>
      </c>
      <c r="T361" s="322" cm="1">
        <f t="array" ref="T361">IFERROR(VLOOKUP(Calculations[[#This Row],[Waste 1]],WasteScenario[#All],2,FALSE)*'Stage assumptions'!$C$225*WasteTransportMethod[Emissions Factor
kgCO2e/kg.km]*Calculations[[#This Row],[Total Kg]],0)</f>
        <v>0</v>
      </c>
      <c r="U361" s="322" cm="1">
        <f t="array" ref="U361">IFERROR(VLOOKUP(Calculations[[#This Row],[Waste 1]],WasteScenario[#All],3,FALSE)*'Stage assumptions'!$C$224*WasteTransportMethod[Emissions Factor
kgCO2e/kg.km]*Calculations[[#This Row],[Total Kg]],0)</f>
        <v>0</v>
      </c>
      <c r="V361" s="322" cm="1">
        <f t="array" ref="V361">IFERROR(VLOOKUP(Calculations[[#This Row],[Waste 1]],WasteScenario[#All],4,FALSE)*'Stage assumptions'!$C$223*WasteTransportMethod[Emissions Factor
kgCO2e/kg.km]*Calculations[[#This Row],[Total Kg]],0)</f>
        <v>0</v>
      </c>
      <c r="W361" s="322" cm="1">
        <f t="array" ref="W361">IFERROR(VLOOKUP(Calculations[[#This Row],[Waste 1]],WasteScenario[#All],5,FALSE)*'Stage assumptions'!$C$226*WasteTransportMethod[Emissions Factor
kgCO2e/kg.km]*Calculations[[#This Row],[Total Kg]],0)</f>
        <v>0</v>
      </c>
      <c r="X361" s="322">
        <f>SUM(Calculations[[#This Row],[C2 Recycle]:[C2 Reuse]])</f>
        <v>0</v>
      </c>
      <c r="Y361" t="str">
        <f>IFERROR(VLOOKUP(Calculations[[#This Row],[Material (choose from dropdown]],MaterialData[#All],5,FALSE),"")</f>
        <v/>
      </c>
      <c r="Z361" s="322">
        <f>IFERROR(((VLOOKUP(Calculations[[#This Row],[Waste type 2]],WasteDisposalEmissions[#All],2,FALSE))*Calculations[[#This Row],[Total Kg]])*VLOOKUP(Calculations[[#This Row],[Waste 1]],WasteScenario[#All],2,FALSE),0)</f>
        <v>0</v>
      </c>
      <c r="AA361" s="322">
        <f>IFERROR((VLOOKUP(Calculations[[#This Row],[Waste type 2]],WasteDisposalEmissions[#All],3,FALSE))*Calculations[[#This Row],[Total Kg]]*VLOOKUP(Calculations[[#This Row],[Waste 1]],WasteScenario[#All],3,FALSE),0)</f>
        <v>0</v>
      </c>
      <c r="AB361" s="322">
        <f>SUM(Calculations[[#This Row],[C3 recyc]:[C3 incin]])</f>
        <v>0</v>
      </c>
      <c r="AC361" s="334">
        <f>IFERROR((VLOOKUP(Calculations[[#This Row],[Waste type 2]],WasteLandfillEmissions[#All],2,FALSE))*Calculations[[#This Row],[Total Kg]]*VLOOKUP(Calculations[[#This Row],[Waste 1]],WasteScenario[#All],4,FALSE),0)</f>
        <v>0</v>
      </c>
      <c r="AD361" s="322">
        <f>IFERROR((VLOOKUP(Calculations[[#This Row],[Waste type 2]],WasteLandfillEmissions[#All],3,FALSE))*Calculations[[#This Row],[Total Kg]]*VLOOKUP(Calculations[[#This Row],[Waste 1]],WasteScenario[#All],4,FALSE),0)</f>
        <v>0</v>
      </c>
      <c r="AE361" s="322">
        <f>SUM(Calculations[[#This Row],[C4 landfill]:[C4 re-use]])</f>
        <v>0</v>
      </c>
      <c r="AF361" s="322">
        <f>IFERROR(VLOOKUP(Calculations[[#This Row],[Material (choose from dropdown]],MaterialData[#All],8,FALSE),0)</f>
        <v>0</v>
      </c>
      <c r="AG361" s="322">
        <f>IFERROR(Calculations[[#This Row],[Total Kg]]*Calculations[[#This Row],[Seq factor]],0)</f>
        <v>0</v>
      </c>
      <c r="AI361" s="322">
        <f>Calculations[[#This Row],[A1-3]]+Calculations[[#This Row],[A4]]+Calculations[[#This Row],[A5]]+Calculations[[#This Row],[B4]]+Calculations[[#This Row],[C2 total]]+Calculations[[#This Row],[C3 total]]+Calculations[[#This Row],[C4 total]]</f>
        <v>0</v>
      </c>
      <c r="AJ361" s="2">
        <f>IFERROR(VLOOKUP(Calculations[[#This Row],[Material (choose from dropdown]],MaterialData[[#Headers],[#Data]],9,FALSE),0)</f>
        <v>0</v>
      </c>
      <c r="AK361" s="4">
        <f>IFERROR(VLOOKUP(Calculations[[#This Row],[Material (choose from dropdown]],MaterialData[[#Headers],[#Data]],10,FALSE),0)</f>
        <v>0</v>
      </c>
      <c r="AL361" s="322">
        <f>IFERROR(Calculations[[#This Row],[Data Quality Score]]*Calculations[[#This Row],[Total Kg]],0)</f>
        <v>0</v>
      </c>
    </row>
    <row r="362" spans="1:38" x14ac:dyDescent="0.3">
      <c r="A362" s="6">
        <f>IFERROR(MaterialsBoQ[[#This Row],[Scope Element]],0)</f>
        <v>0</v>
      </c>
      <c r="B362" t="str">
        <f>IFERROR(MaterialsBoQ[[#This Row],[Material ]],"")</f>
        <v/>
      </c>
      <c r="C362" t="str">
        <f>IFERROR(MaterialsBoQ[[#This Row],[Unit]],"")</f>
        <v/>
      </c>
      <c r="D362" s="322">
        <f>IFERROR(MaterialsBoQ[[#This Row],[Number]],0)</f>
        <v>0</v>
      </c>
      <c r="E362" s="322">
        <f>IFERROR(MaterialsBoQ[[#This Row],[Kg per unit]],0)</f>
        <v>0</v>
      </c>
      <c r="F362" s="322">
        <f>IFERROR(Calculations[[#This Row],[Number]]*Calculations[[#This Row],[Conversion factor]],0)</f>
        <v>0</v>
      </c>
      <c r="G362" s="322">
        <f>IFERROR(VLOOKUP(Calculations[[#This Row],[Material (choose from dropdown]],MaterialData[#All],7,FALSE),0)</f>
        <v>0</v>
      </c>
      <c r="H362" s="322">
        <f>Calculations[[#This Row],[Total Kg]]*Calculations[[#This Row],[Carbon Factor]]</f>
        <v>0</v>
      </c>
      <c r="I362" t="str">
        <f>IFERROR(VLOOKUP(Calculations[[#This Row],[Material (choose from dropdown]],MaterialData[#All],2,FALSE),"")</f>
        <v/>
      </c>
      <c r="J362" s="322">
        <f>IFERROR(((VLOOKUP(Calculations[[#This Row],[TransportSource]],TransportDistance[],2,FALSE)*'Stage assumptions'!$C$11)+VLOOKUP(Calculations[[#This Row],[TransportSource]],TransportDistance[],3,FALSE)*'Stage assumptions'!$C$12)*Calculations[[#This Row],[Total Kg]],0)</f>
        <v>0</v>
      </c>
      <c r="K362">
        <f>IFERROR(VLOOKUP(Calculations[[#This Row],[Material (choose from dropdown]], MaterialData[#All],3, FALSE),0)</f>
        <v>0</v>
      </c>
      <c r="L362" s="322">
        <f>IFERROR(VLOOKUP(Calculations[[#This Row],[A5type]],A5WastageRate[#All],2,FALSE)*Calculations[[#This Row],[A1-3]],0)</f>
        <v>0</v>
      </c>
      <c r="N362">
        <f>IFERROR(ROUNDUP(50/VLOOKUP(Calculations[[#This Row],[Scope Element]],B4referenceServiceLife[[Tier 2 element]:[Default Service Life]],2, FALSE)-1,0),0)</f>
        <v>0</v>
      </c>
      <c r="O362" s="322">
        <f>IFERROR((Calculations[[#This Row],[A1-3]]+Calculations[[#This Row],[A4]]+Calculations[[#This Row],[A5]]+Calculations[[#This Row],[C2 total]]+Calculations[[#This Row],[C3 total]]+Calculations[[#This Row],[C4 total]])*Calculations[[#This Row],[Replacements]],0)</f>
        <v>0</v>
      </c>
      <c r="S362" t="str">
        <f>IFERROR(VLOOKUP(Calculations[[#This Row],[Material (choose from dropdown]],MaterialData[#All],4,FALSE),"")</f>
        <v/>
      </c>
      <c r="T362" s="322" cm="1">
        <f t="array" ref="T362">IFERROR(VLOOKUP(Calculations[[#This Row],[Waste 1]],WasteScenario[#All],2,FALSE)*'Stage assumptions'!$C$225*WasteTransportMethod[Emissions Factor
kgCO2e/kg.km]*Calculations[[#This Row],[Total Kg]],0)</f>
        <v>0</v>
      </c>
      <c r="U362" s="322" cm="1">
        <f t="array" ref="U362">IFERROR(VLOOKUP(Calculations[[#This Row],[Waste 1]],WasteScenario[#All],3,FALSE)*'Stage assumptions'!$C$224*WasteTransportMethod[Emissions Factor
kgCO2e/kg.km]*Calculations[[#This Row],[Total Kg]],0)</f>
        <v>0</v>
      </c>
      <c r="V362" s="322" cm="1">
        <f t="array" ref="V362">IFERROR(VLOOKUP(Calculations[[#This Row],[Waste 1]],WasteScenario[#All],4,FALSE)*'Stage assumptions'!$C$223*WasteTransportMethod[Emissions Factor
kgCO2e/kg.km]*Calculations[[#This Row],[Total Kg]],0)</f>
        <v>0</v>
      </c>
      <c r="W362" s="322" cm="1">
        <f t="array" ref="W362">IFERROR(VLOOKUP(Calculations[[#This Row],[Waste 1]],WasteScenario[#All],5,FALSE)*'Stage assumptions'!$C$226*WasteTransportMethod[Emissions Factor
kgCO2e/kg.km]*Calculations[[#This Row],[Total Kg]],0)</f>
        <v>0</v>
      </c>
      <c r="X362" s="322">
        <f>SUM(Calculations[[#This Row],[C2 Recycle]:[C2 Reuse]])</f>
        <v>0</v>
      </c>
      <c r="Y362" t="str">
        <f>IFERROR(VLOOKUP(Calculations[[#This Row],[Material (choose from dropdown]],MaterialData[#All],5,FALSE),"")</f>
        <v/>
      </c>
      <c r="Z362" s="322">
        <f>IFERROR(((VLOOKUP(Calculations[[#This Row],[Waste type 2]],WasteDisposalEmissions[#All],2,FALSE))*Calculations[[#This Row],[Total Kg]])*VLOOKUP(Calculations[[#This Row],[Waste 1]],WasteScenario[#All],2,FALSE),0)</f>
        <v>0</v>
      </c>
      <c r="AA362" s="322">
        <f>IFERROR((VLOOKUP(Calculations[[#This Row],[Waste type 2]],WasteDisposalEmissions[#All],3,FALSE))*Calculations[[#This Row],[Total Kg]]*VLOOKUP(Calculations[[#This Row],[Waste 1]],WasteScenario[#All],3,FALSE),0)</f>
        <v>0</v>
      </c>
      <c r="AB362" s="322">
        <f>SUM(Calculations[[#This Row],[C3 recyc]:[C3 incin]])</f>
        <v>0</v>
      </c>
      <c r="AC362" s="334">
        <f>IFERROR((VLOOKUP(Calculations[[#This Row],[Waste type 2]],WasteLandfillEmissions[#All],2,FALSE))*Calculations[[#This Row],[Total Kg]]*VLOOKUP(Calculations[[#This Row],[Waste 1]],WasteScenario[#All],4,FALSE),0)</f>
        <v>0</v>
      </c>
      <c r="AD362" s="322">
        <f>IFERROR((VLOOKUP(Calculations[[#This Row],[Waste type 2]],WasteLandfillEmissions[#All],3,FALSE))*Calculations[[#This Row],[Total Kg]]*VLOOKUP(Calculations[[#This Row],[Waste 1]],WasteScenario[#All],4,FALSE),0)</f>
        <v>0</v>
      </c>
      <c r="AE362" s="322">
        <f>SUM(Calculations[[#This Row],[C4 landfill]:[C4 re-use]])</f>
        <v>0</v>
      </c>
      <c r="AF362" s="322">
        <f>IFERROR(VLOOKUP(Calculations[[#This Row],[Material (choose from dropdown]],MaterialData[#All],8,FALSE),0)</f>
        <v>0</v>
      </c>
      <c r="AG362" s="322">
        <f>IFERROR(Calculations[[#This Row],[Total Kg]]*Calculations[[#This Row],[Seq factor]],0)</f>
        <v>0</v>
      </c>
      <c r="AI362" s="322">
        <f>Calculations[[#This Row],[A1-3]]+Calculations[[#This Row],[A4]]+Calculations[[#This Row],[A5]]+Calculations[[#This Row],[B4]]+Calculations[[#This Row],[C2 total]]+Calculations[[#This Row],[C3 total]]+Calculations[[#This Row],[C4 total]]</f>
        <v>0</v>
      </c>
      <c r="AJ362" s="2">
        <f>IFERROR(VLOOKUP(Calculations[[#This Row],[Material (choose from dropdown]],MaterialData[[#Headers],[#Data]],9,FALSE),0)</f>
        <v>0</v>
      </c>
      <c r="AK362" s="4">
        <f>IFERROR(VLOOKUP(Calculations[[#This Row],[Material (choose from dropdown]],MaterialData[[#Headers],[#Data]],10,FALSE),0)</f>
        <v>0</v>
      </c>
      <c r="AL362" s="322">
        <f>IFERROR(Calculations[[#This Row],[Data Quality Score]]*Calculations[[#This Row],[Total Kg]],0)</f>
        <v>0</v>
      </c>
    </row>
    <row r="363" spans="1:38" x14ac:dyDescent="0.3">
      <c r="A363" s="6">
        <f>IFERROR(MaterialsBoQ[[#This Row],[Scope Element]],0)</f>
        <v>0</v>
      </c>
      <c r="B363" t="str">
        <f>IFERROR(MaterialsBoQ[[#This Row],[Material ]],"")</f>
        <v/>
      </c>
      <c r="C363" t="str">
        <f>IFERROR(MaterialsBoQ[[#This Row],[Unit]],"")</f>
        <v/>
      </c>
      <c r="D363" s="322">
        <f>IFERROR(MaterialsBoQ[[#This Row],[Number]],0)</f>
        <v>0</v>
      </c>
      <c r="E363" s="322">
        <f>IFERROR(MaterialsBoQ[[#This Row],[Kg per unit]],0)</f>
        <v>0</v>
      </c>
      <c r="F363" s="322">
        <f>IFERROR(Calculations[[#This Row],[Number]]*Calculations[[#This Row],[Conversion factor]],0)</f>
        <v>0</v>
      </c>
      <c r="G363" s="322">
        <f>IFERROR(VLOOKUP(Calculations[[#This Row],[Material (choose from dropdown]],MaterialData[#All],7,FALSE),0)</f>
        <v>0</v>
      </c>
      <c r="H363" s="322">
        <f>Calculations[[#This Row],[Total Kg]]*Calculations[[#This Row],[Carbon Factor]]</f>
        <v>0</v>
      </c>
      <c r="I363" t="str">
        <f>IFERROR(VLOOKUP(Calculations[[#This Row],[Material (choose from dropdown]],MaterialData[#All],2,FALSE),"")</f>
        <v/>
      </c>
      <c r="J363" s="322">
        <f>IFERROR(((VLOOKUP(Calculations[[#This Row],[TransportSource]],TransportDistance[],2,FALSE)*'Stage assumptions'!$C$11)+VLOOKUP(Calculations[[#This Row],[TransportSource]],TransportDistance[],3,FALSE)*'Stage assumptions'!$C$12)*Calculations[[#This Row],[Total Kg]],0)</f>
        <v>0</v>
      </c>
      <c r="K363">
        <f>IFERROR(VLOOKUP(Calculations[[#This Row],[Material (choose from dropdown]], MaterialData[#All],3, FALSE),0)</f>
        <v>0</v>
      </c>
      <c r="L363" s="322">
        <f>IFERROR(VLOOKUP(Calculations[[#This Row],[A5type]],A5WastageRate[#All],2,FALSE)*Calculations[[#This Row],[A1-3]],0)</f>
        <v>0</v>
      </c>
      <c r="N363">
        <f>IFERROR(ROUNDUP(50/VLOOKUP(Calculations[[#This Row],[Scope Element]],B4referenceServiceLife[[Tier 2 element]:[Default Service Life]],2, FALSE)-1,0),0)</f>
        <v>0</v>
      </c>
      <c r="O363" s="322">
        <f>IFERROR((Calculations[[#This Row],[A1-3]]+Calculations[[#This Row],[A4]]+Calculations[[#This Row],[A5]]+Calculations[[#This Row],[C2 total]]+Calculations[[#This Row],[C3 total]]+Calculations[[#This Row],[C4 total]])*Calculations[[#This Row],[Replacements]],0)</f>
        <v>0</v>
      </c>
      <c r="S363" t="str">
        <f>IFERROR(VLOOKUP(Calculations[[#This Row],[Material (choose from dropdown]],MaterialData[#All],4,FALSE),"")</f>
        <v/>
      </c>
      <c r="T363" s="322" cm="1">
        <f t="array" ref="T363">IFERROR(VLOOKUP(Calculations[[#This Row],[Waste 1]],WasteScenario[#All],2,FALSE)*'Stage assumptions'!$C$225*WasteTransportMethod[Emissions Factor
kgCO2e/kg.km]*Calculations[[#This Row],[Total Kg]],0)</f>
        <v>0</v>
      </c>
      <c r="U363" s="322" cm="1">
        <f t="array" ref="U363">IFERROR(VLOOKUP(Calculations[[#This Row],[Waste 1]],WasteScenario[#All],3,FALSE)*'Stage assumptions'!$C$224*WasteTransportMethod[Emissions Factor
kgCO2e/kg.km]*Calculations[[#This Row],[Total Kg]],0)</f>
        <v>0</v>
      </c>
      <c r="V363" s="322" cm="1">
        <f t="array" ref="V363">IFERROR(VLOOKUP(Calculations[[#This Row],[Waste 1]],WasteScenario[#All],4,FALSE)*'Stage assumptions'!$C$223*WasteTransportMethod[Emissions Factor
kgCO2e/kg.km]*Calculations[[#This Row],[Total Kg]],0)</f>
        <v>0</v>
      </c>
      <c r="W363" s="322" cm="1">
        <f t="array" ref="W363">IFERROR(VLOOKUP(Calculations[[#This Row],[Waste 1]],WasteScenario[#All],5,FALSE)*'Stage assumptions'!$C$226*WasteTransportMethod[Emissions Factor
kgCO2e/kg.km]*Calculations[[#This Row],[Total Kg]],0)</f>
        <v>0</v>
      </c>
      <c r="X363" s="322">
        <f>SUM(Calculations[[#This Row],[C2 Recycle]:[C2 Reuse]])</f>
        <v>0</v>
      </c>
      <c r="Y363" t="str">
        <f>IFERROR(VLOOKUP(Calculations[[#This Row],[Material (choose from dropdown]],MaterialData[#All],5,FALSE),"")</f>
        <v/>
      </c>
      <c r="Z363" s="322">
        <f>IFERROR(((VLOOKUP(Calculations[[#This Row],[Waste type 2]],WasteDisposalEmissions[#All],2,FALSE))*Calculations[[#This Row],[Total Kg]])*VLOOKUP(Calculations[[#This Row],[Waste 1]],WasteScenario[#All],2,FALSE),0)</f>
        <v>0</v>
      </c>
      <c r="AA363" s="322">
        <f>IFERROR((VLOOKUP(Calculations[[#This Row],[Waste type 2]],WasteDisposalEmissions[#All],3,FALSE))*Calculations[[#This Row],[Total Kg]]*VLOOKUP(Calculations[[#This Row],[Waste 1]],WasteScenario[#All],3,FALSE),0)</f>
        <v>0</v>
      </c>
      <c r="AB363" s="322">
        <f>SUM(Calculations[[#This Row],[C3 recyc]:[C3 incin]])</f>
        <v>0</v>
      </c>
      <c r="AC363" s="334">
        <f>IFERROR((VLOOKUP(Calculations[[#This Row],[Waste type 2]],WasteLandfillEmissions[#All],2,FALSE))*Calculations[[#This Row],[Total Kg]]*VLOOKUP(Calculations[[#This Row],[Waste 1]],WasteScenario[#All],4,FALSE),0)</f>
        <v>0</v>
      </c>
      <c r="AD363" s="322">
        <f>IFERROR((VLOOKUP(Calculations[[#This Row],[Waste type 2]],WasteLandfillEmissions[#All],3,FALSE))*Calculations[[#This Row],[Total Kg]]*VLOOKUP(Calculations[[#This Row],[Waste 1]],WasteScenario[#All],4,FALSE),0)</f>
        <v>0</v>
      </c>
      <c r="AE363" s="322">
        <f>SUM(Calculations[[#This Row],[C4 landfill]:[C4 re-use]])</f>
        <v>0</v>
      </c>
      <c r="AF363" s="322">
        <f>IFERROR(VLOOKUP(Calculations[[#This Row],[Material (choose from dropdown]],MaterialData[#All],8,FALSE),0)</f>
        <v>0</v>
      </c>
      <c r="AG363" s="322">
        <f>IFERROR(Calculations[[#This Row],[Total Kg]]*Calculations[[#This Row],[Seq factor]],0)</f>
        <v>0</v>
      </c>
      <c r="AI363" s="322">
        <f>Calculations[[#This Row],[A1-3]]+Calculations[[#This Row],[A4]]+Calculations[[#This Row],[A5]]+Calculations[[#This Row],[B4]]+Calculations[[#This Row],[C2 total]]+Calculations[[#This Row],[C3 total]]+Calculations[[#This Row],[C4 total]]</f>
        <v>0</v>
      </c>
      <c r="AJ363" s="2">
        <f>IFERROR(VLOOKUP(Calculations[[#This Row],[Material (choose from dropdown]],MaterialData[[#Headers],[#Data]],9,FALSE),0)</f>
        <v>0</v>
      </c>
      <c r="AK363" s="4">
        <f>IFERROR(VLOOKUP(Calculations[[#This Row],[Material (choose from dropdown]],MaterialData[[#Headers],[#Data]],10,FALSE),0)</f>
        <v>0</v>
      </c>
      <c r="AL363" s="322">
        <f>IFERROR(Calculations[[#This Row],[Data Quality Score]]*Calculations[[#This Row],[Total Kg]],0)</f>
        <v>0</v>
      </c>
    </row>
    <row r="364" spans="1:38" x14ac:dyDescent="0.3">
      <c r="A364" s="6">
        <f>IFERROR(MaterialsBoQ[[#This Row],[Scope Element]],0)</f>
        <v>0</v>
      </c>
      <c r="B364" t="str">
        <f>IFERROR(MaterialsBoQ[[#This Row],[Material ]],"")</f>
        <v/>
      </c>
      <c r="C364" t="str">
        <f>IFERROR(MaterialsBoQ[[#This Row],[Unit]],"")</f>
        <v/>
      </c>
      <c r="D364" s="322">
        <f>IFERROR(MaterialsBoQ[[#This Row],[Number]],0)</f>
        <v>0</v>
      </c>
      <c r="E364" s="322">
        <f>IFERROR(MaterialsBoQ[[#This Row],[Kg per unit]],0)</f>
        <v>0</v>
      </c>
      <c r="F364" s="322">
        <f>IFERROR(Calculations[[#This Row],[Number]]*Calculations[[#This Row],[Conversion factor]],0)</f>
        <v>0</v>
      </c>
      <c r="G364" s="322">
        <f>IFERROR(VLOOKUP(Calculations[[#This Row],[Material (choose from dropdown]],MaterialData[#All],7,FALSE),0)</f>
        <v>0</v>
      </c>
      <c r="H364" s="322">
        <f>Calculations[[#This Row],[Total Kg]]*Calculations[[#This Row],[Carbon Factor]]</f>
        <v>0</v>
      </c>
      <c r="I364" t="str">
        <f>IFERROR(VLOOKUP(Calculations[[#This Row],[Material (choose from dropdown]],MaterialData[#All],2,FALSE),"")</f>
        <v/>
      </c>
      <c r="J364" s="322">
        <f>IFERROR(((VLOOKUP(Calculations[[#This Row],[TransportSource]],TransportDistance[],2,FALSE)*'Stage assumptions'!$C$11)+VLOOKUP(Calculations[[#This Row],[TransportSource]],TransportDistance[],3,FALSE)*'Stage assumptions'!$C$12)*Calculations[[#This Row],[Total Kg]],0)</f>
        <v>0</v>
      </c>
      <c r="K364">
        <f>IFERROR(VLOOKUP(Calculations[[#This Row],[Material (choose from dropdown]], MaterialData[#All],3, FALSE),0)</f>
        <v>0</v>
      </c>
      <c r="L364" s="322">
        <f>IFERROR(VLOOKUP(Calculations[[#This Row],[A5type]],A5WastageRate[#All],2,FALSE)*Calculations[[#This Row],[A1-3]],0)</f>
        <v>0</v>
      </c>
      <c r="N364">
        <f>IFERROR(ROUNDUP(50/VLOOKUP(Calculations[[#This Row],[Scope Element]],B4referenceServiceLife[[Tier 2 element]:[Default Service Life]],2, FALSE)-1,0),0)</f>
        <v>0</v>
      </c>
      <c r="O364" s="322">
        <f>IFERROR((Calculations[[#This Row],[A1-3]]+Calculations[[#This Row],[A4]]+Calculations[[#This Row],[A5]]+Calculations[[#This Row],[C2 total]]+Calculations[[#This Row],[C3 total]]+Calculations[[#This Row],[C4 total]])*Calculations[[#This Row],[Replacements]],0)</f>
        <v>0</v>
      </c>
      <c r="S364" t="str">
        <f>IFERROR(VLOOKUP(Calculations[[#This Row],[Material (choose from dropdown]],MaterialData[#All],4,FALSE),"")</f>
        <v/>
      </c>
      <c r="T364" s="322" cm="1">
        <f t="array" ref="T364">IFERROR(VLOOKUP(Calculations[[#This Row],[Waste 1]],WasteScenario[#All],2,FALSE)*'Stage assumptions'!$C$225*WasteTransportMethod[Emissions Factor
kgCO2e/kg.km]*Calculations[[#This Row],[Total Kg]],0)</f>
        <v>0</v>
      </c>
      <c r="U364" s="322" cm="1">
        <f t="array" ref="U364">IFERROR(VLOOKUP(Calculations[[#This Row],[Waste 1]],WasteScenario[#All],3,FALSE)*'Stage assumptions'!$C$224*WasteTransportMethod[Emissions Factor
kgCO2e/kg.km]*Calculations[[#This Row],[Total Kg]],0)</f>
        <v>0</v>
      </c>
      <c r="V364" s="322" cm="1">
        <f t="array" ref="V364">IFERROR(VLOOKUP(Calculations[[#This Row],[Waste 1]],WasteScenario[#All],4,FALSE)*'Stage assumptions'!$C$223*WasteTransportMethod[Emissions Factor
kgCO2e/kg.km]*Calculations[[#This Row],[Total Kg]],0)</f>
        <v>0</v>
      </c>
      <c r="W364" s="322" cm="1">
        <f t="array" ref="W364">IFERROR(VLOOKUP(Calculations[[#This Row],[Waste 1]],WasteScenario[#All],5,FALSE)*'Stage assumptions'!$C$226*WasteTransportMethod[Emissions Factor
kgCO2e/kg.km]*Calculations[[#This Row],[Total Kg]],0)</f>
        <v>0</v>
      </c>
      <c r="X364" s="322">
        <f>SUM(Calculations[[#This Row],[C2 Recycle]:[C2 Reuse]])</f>
        <v>0</v>
      </c>
      <c r="Y364" t="str">
        <f>IFERROR(VLOOKUP(Calculations[[#This Row],[Material (choose from dropdown]],MaterialData[#All],5,FALSE),"")</f>
        <v/>
      </c>
      <c r="Z364" s="322">
        <f>IFERROR(((VLOOKUP(Calculations[[#This Row],[Waste type 2]],WasteDisposalEmissions[#All],2,FALSE))*Calculations[[#This Row],[Total Kg]])*VLOOKUP(Calculations[[#This Row],[Waste 1]],WasteScenario[#All],2,FALSE),0)</f>
        <v>0</v>
      </c>
      <c r="AA364" s="322">
        <f>IFERROR((VLOOKUP(Calculations[[#This Row],[Waste type 2]],WasteDisposalEmissions[#All],3,FALSE))*Calculations[[#This Row],[Total Kg]]*VLOOKUP(Calculations[[#This Row],[Waste 1]],WasteScenario[#All],3,FALSE),0)</f>
        <v>0</v>
      </c>
      <c r="AB364" s="322">
        <f>SUM(Calculations[[#This Row],[C3 recyc]:[C3 incin]])</f>
        <v>0</v>
      </c>
      <c r="AC364" s="334">
        <f>IFERROR((VLOOKUP(Calculations[[#This Row],[Waste type 2]],WasteLandfillEmissions[#All],2,FALSE))*Calculations[[#This Row],[Total Kg]]*VLOOKUP(Calculations[[#This Row],[Waste 1]],WasteScenario[#All],4,FALSE),0)</f>
        <v>0</v>
      </c>
      <c r="AD364" s="322">
        <f>IFERROR((VLOOKUP(Calculations[[#This Row],[Waste type 2]],WasteLandfillEmissions[#All],3,FALSE))*Calculations[[#This Row],[Total Kg]]*VLOOKUP(Calculations[[#This Row],[Waste 1]],WasteScenario[#All],4,FALSE),0)</f>
        <v>0</v>
      </c>
      <c r="AE364" s="322">
        <f>SUM(Calculations[[#This Row],[C4 landfill]:[C4 re-use]])</f>
        <v>0</v>
      </c>
      <c r="AF364" s="322">
        <f>IFERROR(VLOOKUP(Calculations[[#This Row],[Material (choose from dropdown]],MaterialData[#All],8,FALSE),0)</f>
        <v>0</v>
      </c>
      <c r="AG364" s="322">
        <f>IFERROR(Calculations[[#This Row],[Total Kg]]*Calculations[[#This Row],[Seq factor]],0)</f>
        <v>0</v>
      </c>
      <c r="AI364" s="322">
        <f>Calculations[[#This Row],[A1-3]]+Calculations[[#This Row],[A4]]+Calculations[[#This Row],[A5]]+Calculations[[#This Row],[B4]]+Calculations[[#This Row],[C2 total]]+Calculations[[#This Row],[C3 total]]+Calculations[[#This Row],[C4 total]]</f>
        <v>0</v>
      </c>
      <c r="AJ364" s="2">
        <f>IFERROR(VLOOKUP(Calculations[[#This Row],[Material (choose from dropdown]],MaterialData[[#Headers],[#Data]],9,FALSE),0)</f>
        <v>0</v>
      </c>
      <c r="AK364" s="4">
        <f>IFERROR(VLOOKUP(Calculations[[#This Row],[Material (choose from dropdown]],MaterialData[[#Headers],[#Data]],10,FALSE),0)</f>
        <v>0</v>
      </c>
      <c r="AL364" s="322">
        <f>IFERROR(Calculations[[#This Row],[Data Quality Score]]*Calculations[[#This Row],[Total Kg]],0)</f>
        <v>0</v>
      </c>
    </row>
    <row r="365" spans="1:38" x14ac:dyDescent="0.3">
      <c r="A365" s="6">
        <f>IFERROR(MaterialsBoQ[[#This Row],[Scope Element]],0)</f>
        <v>0</v>
      </c>
      <c r="B365" t="str">
        <f>IFERROR(MaterialsBoQ[[#This Row],[Material ]],"")</f>
        <v/>
      </c>
      <c r="C365" t="str">
        <f>IFERROR(MaterialsBoQ[[#This Row],[Unit]],"")</f>
        <v/>
      </c>
      <c r="D365" s="322">
        <f>IFERROR(MaterialsBoQ[[#This Row],[Number]],0)</f>
        <v>0</v>
      </c>
      <c r="E365" s="322">
        <f>IFERROR(MaterialsBoQ[[#This Row],[Kg per unit]],0)</f>
        <v>0</v>
      </c>
      <c r="F365" s="322">
        <f>IFERROR(Calculations[[#This Row],[Number]]*Calculations[[#This Row],[Conversion factor]],0)</f>
        <v>0</v>
      </c>
      <c r="G365" s="322">
        <f>IFERROR(VLOOKUP(Calculations[[#This Row],[Material (choose from dropdown]],MaterialData[#All],7,FALSE),0)</f>
        <v>0</v>
      </c>
      <c r="H365" s="322">
        <f>Calculations[[#This Row],[Total Kg]]*Calculations[[#This Row],[Carbon Factor]]</f>
        <v>0</v>
      </c>
      <c r="I365" t="str">
        <f>IFERROR(VLOOKUP(Calculations[[#This Row],[Material (choose from dropdown]],MaterialData[#All],2,FALSE),"")</f>
        <v/>
      </c>
      <c r="J365" s="322">
        <f>IFERROR(((VLOOKUP(Calculations[[#This Row],[TransportSource]],TransportDistance[],2,FALSE)*'Stage assumptions'!$C$11)+VLOOKUP(Calculations[[#This Row],[TransportSource]],TransportDistance[],3,FALSE)*'Stage assumptions'!$C$12)*Calculations[[#This Row],[Total Kg]],0)</f>
        <v>0</v>
      </c>
      <c r="K365">
        <f>IFERROR(VLOOKUP(Calculations[[#This Row],[Material (choose from dropdown]], MaterialData[#All],3, FALSE),0)</f>
        <v>0</v>
      </c>
      <c r="L365" s="322">
        <f>IFERROR(VLOOKUP(Calculations[[#This Row],[A5type]],A5WastageRate[#All],2,FALSE)*Calculations[[#This Row],[A1-3]],0)</f>
        <v>0</v>
      </c>
      <c r="N365">
        <f>IFERROR(ROUNDUP(50/VLOOKUP(Calculations[[#This Row],[Scope Element]],B4referenceServiceLife[[Tier 2 element]:[Default Service Life]],2, FALSE)-1,0),0)</f>
        <v>0</v>
      </c>
      <c r="O365" s="322">
        <f>IFERROR((Calculations[[#This Row],[A1-3]]+Calculations[[#This Row],[A4]]+Calculations[[#This Row],[A5]]+Calculations[[#This Row],[C2 total]]+Calculations[[#This Row],[C3 total]]+Calculations[[#This Row],[C4 total]])*Calculations[[#This Row],[Replacements]],0)</f>
        <v>0</v>
      </c>
      <c r="S365" t="str">
        <f>IFERROR(VLOOKUP(Calculations[[#This Row],[Material (choose from dropdown]],MaterialData[#All],4,FALSE),"")</f>
        <v/>
      </c>
      <c r="T365" s="322" cm="1">
        <f t="array" ref="T365">IFERROR(VLOOKUP(Calculations[[#This Row],[Waste 1]],WasteScenario[#All],2,FALSE)*'Stage assumptions'!$C$225*WasteTransportMethod[Emissions Factor
kgCO2e/kg.km]*Calculations[[#This Row],[Total Kg]],0)</f>
        <v>0</v>
      </c>
      <c r="U365" s="322" cm="1">
        <f t="array" ref="U365">IFERROR(VLOOKUP(Calculations[[#This Row],[Waste 1]],WasteScenario[#All],3,FALSE)*'Stage assumptions'!$C$224*WasteTransportMethod[Emissions Factor
kgCO2e/kg.km]*Calculations[[#This Row],[Total Kg]],0)</f>
        <v>0</v>
      </c>
      <c r="V365" s="322" cm="1">
        <f t="array" ref="V365">IFERROR(VLOOKUP(Calculations[[#This Row],[Waste 1]],WasteScenario[#All],4,FALSE)*'Stage assumptions'!$C$223*WasteTransportMethod[Emissions Factor
kgCO2e/kg.km]*Calculations[[#This Row],[Total Kg]],0)</f>
        <v>0</v>
      </c>
      <c r="W365" s="322" cm="1">
        <f t="array" ref="W365">IFERROR(VLOOKUP(Calculations[[#This Row],[Waste 1]],WasteScenario[#All],5,FALSE)*'Stage assumptions'!$C$226*WasteTransportMethod[Emissions Factor
kgCO2e/kg.km]*Calculations[[#This Row],[Total Kg]],0)</f>
        <v>0</v>
      </c>
      <c r="X365" s="322">
        <f>SUM(Calculations[[#This Row],[C2 Recycle]:[C2 Reuse]])</f>
        <v>0</v>
      </c>
      <c r="Y365" t="str">
        <f>IFERROR(VLOOKUP(Calculations[[#This Row],[Material (choose from dropdown]],MaterialData[#All],5,FALSE),"")</f>
        <v/>
      </c>
      <c r="Z365" s="322">
        <f>IFERROR(((VLOOKUP(Calculations[[#This Row],[Waste type 2]],WasteDisposalEmissions[#All],2,FALSE))*Calculations[[#This Row],[Total Kg]])*VLOOKUP(Calculations[[#This Row],[Waste 1]],WasteScenario[#All],2,FALSE),0)</f>
        <v>0</v>
      </c>
      <c r="AA365" s="322">
        <f>IFERROR((VLOOKUP(Calculations[[#This Row],[Waste type 2]],WasteDisposalEmissions[#All],3,FALSE))*Calculations[[#This Row],[Total Kg]]*VLOOKUP(Calculations[[#This Row],[Waste 1]],WasteScenario[#All],3,FALSE),0)</f>
        <v>0</v>
      </c>
      <c r="AB365" s="322">
        <f>SUM(Calculations[[#This Row],[C3 recyc]:[C3 incin]])</f>
        <v>0</v>
      </c>
      <c r="AC365" s="334">
        <f>IFERROR((VLOOKUP(Calculations[[#This Row],[Waste type 2]],WasteLandfillEmissions[#All],2,FALSE))*Calculations[[#This Row],[Total Kg]]*VLOOKUP(Calculations[[#This Row],[Waste 1]],WasteScenario[#All],4,FALSE),0)</f>
        <v>0</v>
      </c>
      <c r="AD365" s="322">
        <f>IFERROR((VLOOKUP(Calculations[[#This Row],[Waste type 2]],WasteLandfillEmissions[#All],3,FALSE))*Calculations[[#This Row],[Total Kg]]*VLOOKUP(Calculations[[#This Row],[Waste 1]],WasteScenario[#All],4,FALSE),0)</f>
        <v>0</v>
      </c>
      <c r="AE365" s="322">
        <f>SUM(Calculations[[#This Row],[C4 landfill]:[C4 re-use]])</f>
        <v>0</v>
      </c>
      <c r="AF365" s="322">
        <f>IFERROR(VLOOKUP(Calculations[[#This Row],[Material (choose from dropdown]],MaterialData[#All],8,FALSE),0)</f>
        <v>0</v>
      </c>
      <c r="AG365" s="322">
        <f>IFERROR(Calculations[[#This Row],[Total Kg]]*Calculations[[#This Row],[Seq factor]],0)</f>
        <v>0</v>
      </c>
      <c r="AI365" s="322">
        <f>Calculations[[#This Row],[A1-3]]+Calculations[[#This Row],[A4]]+Calculations[[#This Row],[A5]]+Calculations[[#This Row],[B4]]+Calculations[[#This Row],[C2 total]]+Calculations[[#This Row],[C3 total]]+Calculations[[#This Row],[C4 total]]</f>
        <v>0</v>
      </c>
      <c r="AJ365" s="2">
        <f>IFERROR(VLOOKUP(Calculations[[#This Row],[Material (choose from dropdown]],MaterialData[[#Headers],[#Data]],9,FALSE),0)</f>
        <v>0</v>
      </c>
      <c r="AK365" s="4">
        <f>IFERROR(VLOOKUP(Calculations[[#This Row],[Material (choose from dropdown]],MaterialData[[#Headers],[#Data]],10,FALSE),0)</f>
        <v>0</v>
      </c>
      <c r="AL365" s="322">
        <f>IFERROR(Calculations[[#This Row],[Data Quality Score]]*Calculations[[#This Row],[Total Kg]],0)</f>
        <v>0</v>
      </c>
    </row>
    <row r="366" spans="1:38" x14ac:dyDescent="0.3">
      <c r="A366" s="6">
        <f>IFERROR(MaterialsBoQ[[#This Row],[Scope Element]],0)</f>
        <v>0</v>
      </c>
      <c r="B366" t="str">
        <f>IFERROR(MaterialsBoQ[[#This Row],[Material ]],"")</f>
        <v/>
      </c>
      <c r="C366" t="str">
        <f>IFERROR(MaterialsBoQ[[#This Row],[Unit]],"")</f>
        <v/>
      </c>
      <c r="D366" s="322">
        <f>IFERROR(MaterialsBoQ[[#This Row],[Number]],0)</f>
        <v>0</v>
      </c>
      <c r="E366" s="322">
        <f>IFERROR(MaterialsBoQ[[#This Row],[Kg per unit]],0)</f>
        <v>0</v>
      </c>
      <c r="F366" s="322">
        <f>IFERROR(Calculations[[#This Row],[Number]]*Calculations[[#This Row],[Conversion factor]],0)</f>
        <v>0</v>
      </c>
      <c r="G366" s="322">
        <f>IFERROR(VLOOKUP(Calculations[[#This Row],[Material (choose from dropdown]],MaterialData[#All],7,FALSE),0)</f>
        <v>0</v>
      </c>
      <c r="H366" s="322">
        <f>Calculations[[#This Row],[Total Kg]]*Calculations[[#This Row],[Carbon Factor]]</f>
        <v>0</v>
      </c>
      <c r="I366" t="str">
        <f>IFERROR(VLOOKUP(Calculations[[#This Row],[Material (choose from dropdown]],MaterialData[#All],2,FALSE),"")</f>
        <v/>
      </c>
      <c r="J366" s="322">
        <f>IFERROR(((VLOOKUP(Calculations[[#This Row],[TransportSource]],TransportDistance[],2,FALSE)*'Stage assumptions'!$C$11)+VLOOKUP(Calculations[[#This Row],[TransportSource]],TransportDistance[],3,FALSE)*'Stage assumptions'!$C$12)*Calculations[[#This Row],[Total Kg]],0)</f>
        <v>0</v>
      </c>
      <c r="K366">
        <f>IFERROR(VLOOKUP(Calculations[[#This Row],[Material (choose from dropdown]], MaterialData[#All],3, FALSE),0)</f>
        <v>0</v>
      </c>
      <c r="L366" s="322">
        <f>IFERROR(VLOOKUP(Calculations[[#This Row],[A5type]],A5WastageRate[#All],2,FALSE)*Calculations[[#This Row],[A1-3]],0)</f>
        <v>0</v>
      </c>
      <c r="N366">
        <f>IFERROR(ROUNDUP(50/VLOOKUP(Calculations[[#This Row],[Scope Element]],B4referenceServiceLife[[Tier 2 element]:[Default Service Life]],2, FALSE)-1,0),0)</f>
        <v>0</v>
      </c>
      <c r="O366" s="322">
        <f>IFERROR((Calculations[[#This Row],[A1-3]]+Calculations[[#This Row],[A4]]+Calculations[[#This Row],[A5]]+Calculations[[#This Row],[C2 total]]+Calculations[[#This Row],[C3 total]]+Calculations[[#This Row],[C4 total]])*Calculations[[#This Row],[Replacements]],0)</f>
        <v>0</v>
      </c>
      <c r="S366" t="str">
        <f>IFERROR(VLOOKUP(Calculations[[#This Row],[Material (choose from dropdown]],MaterialData[#All],4,FALSE),"")</f>
        <v/>
      </c>
      <c r="T366" s="322" cm="1">
        <f t="array" ref="T366">IFERROR(VLOOKUP(Calculations[[#This Row],[Waste 1]],WasteScenario[#All],2,FALSE)*'Stage assumptions'!$C$225*WasteTransportMethod[Emissions Factor
kgCO2e/kg.km]*Calculations[[#This Row],[Total Kg]],0)</f>
        <v>0</v>
      </c>
      <c r="U366" s="322" cm="1">
        <f t="array" ref="U366">IFERROR(VLOOKUP(Calculations[[#This Row],[Waste 1]],WasteScenario[#All],3,FALSE)*'Stage assumptions'!$C$224*WasteTransportMethod[Emissions Factor
kgCO2e/kg.km]*Calculations[[#This Row],[Total Kg]],0)</f>
        <v>0</v>
      </c>
      <c r="V366" s="322" cm="1">
        <f t="array" ref="V366">IFERROR(VLOOKUP(Calculations[[#This Row],[Waste 1]],WasteScenario[#All],4,FALSE)*'Stage assumptions'!$C$223*WasteTransportMethod[Emissions Factor
kgCO2e/kg.km]*Calculations[[#This Row],[Total Kg]],0)</f>
        <v>0</v>
      </c>
      <c r="W366" s="322" cm="1">
        <f t="array" ref="W366">IFERROR(VLOOKUP(Calculations[[#This Row],[Waste 1]],WasteScenario[#All],5,FALSE)*'Stage assumptions'!$C$226*WasteTransportMethod[Emissions Factor
kgCO2e/kg.km]*Calculations[[#This Row],[Total Kg]],0)</f>
        <v>0</v>
      </c>
      <c r="X366" s="322">
        <f>SUM(Calculations[[#This Row],[C2 Recycle]:[C2 Reuse]])</f>
        <v>0</v>
      </c>
      <c r="Y366" t="str">
        <f>IFERROR(VLOOKUP(Calculations[[#This Row],[Material (choose from dropdown]],MaterialData[#All],5,FALSE),"")</f>
        <v/>
      </c>
      <c r="Z366" s="322">
        <f>IFERROR(((VLOOKUP(Calculations[[#This Row],[Waste type 2]],WasteDisposalEmissions[#All],2,FALSE))*Calculations[[#This Row],[Total Kg]])*VLOOKUP(Calculations[[#This Row],[Waste 1]],WasteScenario[#All],2,FALSE),0)</f>
        <v>0</v>
      </c>
      <c r="AA366" s="322">
        <f>IFERROR((VLOOKUP(Calculations[[#This Row],[Waste type 2]],WasteDisposalEmissions[#All],3,FALSE))*Calculations[[#This Row],[Total Kg]]*VLOOKUP(Calculations[[#This Row],[Waste 1]],WasteScenario[#All],3,FALSE),0)</f>
        <v>0</v>
      </c>
      <c r="AB366" s="322">
        <f>SUM(Calculations[[#This Row],[C3 recyc]:[C3 incin]])</f>
        <v>0</v>
      </c>
      <c r="AC366" s="334">
        <f>IFERROR((VLOOKUP(Calculations[[#This Row],[Waste type 2]],WasteLandfillEmissions[#All],2,FALSE))*Calculations[[#This Row],[Total Kg]]*VLOOKUP(Calculations[[#This Row],[Waste 1]],WasteScenario[#All],4,FALSE),0)</f>
        <v>0</v>
      </c>
      <c r="AD366" s="322">
        <f>IFERROR((VLOOKUP(Calculations[[#This Row],[Waste type 2]],WasteLandfillEmissions[#All],3,FALSE))*Calculations[[#This Row],[Total Kg]]*VLOOKUP(Calculations[[#This Row],[Waste 1]],WasteScenario[#All],4,FALSE),0)</f>
        <v>0</v>
      </c>
      <c r="AE366" s="322">
        <f>SUM(Calculations[[#This Row],[C4 landfill]:[C4 re-use]])</f>
        <v>0</v>
      </c>
      <c r="AF366" s="322">
        <f>IFERROR(VLOOKUP(Calculations[[#This Row],[Material (choose from dropdown]],MaterialData[#All],8,FALSE),0)</f>
        <v>0</v>
      </c>
      <c r="AG366" s="322">
        <f>IFERROR(Calculations[[#This Row],[Total Kg]]*Calculations[[#This Row],[Seq factor]],0)</f>
        <v>0</v>
      </c>
      <c r="AI366" s="322">
        <f>Calculations[[#This Row],[A1-3]]+Calculations[[#This Row],[A4]]+Calculations[[#This Row],[A5]]+Calculations[[#This Row],[B4]]+Calculations[[#This Row],[C2 total]]+Calculations[[#This Row],[C3 total]]+Calculations[[#This Row],[C4 total]]</f>
        <v>0</v>
      </c>
      <c r="AJ366" s="2">
        <f>IFERROR(VLOOKUP(Calculations[[#This Row],[Material (choose from dropdown]],MaterialData[[#Headers],[#Data]],9,FALSE),0)</f>
        <v>0</v>
      </c>
      <c r="AK366" s="4">
        <f>IFERROR(VLOOKUP(Calculations[[#This Row],[Material (choose from dropdown]],MaterialData[[#Headers],[#Data]],10,FALSE),0)</f>
        <v>0</v>
      </c>
      <c r="AL366" s="322">
        <f>IFERROR(Calculations[[#This Row],[Data Quality Score]]*Calculations[[#This Row],[Total Kg]],0)</f>
        <v>0</v>
      </c>
    </row>
    <row r="367" spans="1:38" x14ac:dyDescent="0.3">
      <c r="A367" s="6">
        <f>IFERROR(MaterialsBoQ[[#This Row],[Scope Element]],0)</f>
        <v>0</v>
      </c>
      <c r="B367" t="str">
        <f>IFERROR(MaterialsBoQ[[#This Row],[Material ]],"")</f>
        <v/>
      </c>
      <c r="C367" t="str">
        <f>IFERROR(MaterialsBoQ[[#This Row],[Unit]],"")</f>
        <v/>
      </c>
      <c r="D367" s="322">
        <f>IFERROR(MaterialsBoQ[[#This Row],[Number]],0)</f>
        <v>0</v>
      </c>
      <c r="E367" s="322">
        <f>IFERROR(MaterialsBoQ[[#This Row],[Kg per unit]],0)</f>
        <v>0</v>
      </c>
      <c r="F367" s="322">
        <f>IFERROR(Calculations[[#This Row],[Number]]*Calculations[[#This Row],[Conversion factor]],0)</f>
        <v>0</v>
      </c>
      <c r="G367" s="322">
        <f>IFERROR(VLOOKUP(Calculations[[#This Row],[Material (choose from dropdown]],MaterialData[#All],7,FALSE),0)</f>
        <v>0</v>
      </c>
      <c r="H367" s="322">
        <f>Calculations[[#This Row],[Total Kg]]*Calculations[[#This Row],[Carbon Factor]]</f>
        <v>0</v>
      </c>
      <c r="I367" t="str">
        <f>IFERROR(VLOOKUP(Calculations[[#This Row],[Material (choose from dropdown]],MaterialData[#All],2,FALSE),"")</f>
        <v/>
      </c>
      <c r="J367" s="322">
        <f>IFERROR(((VLOOKUP(Calculations[[#This Row],[TransportSource]],TransportDistance[],2,FALSE)*'Stage assumptions'!$C$11)+VLOOKUP(Calculations[[#This Row],[TransportSource]],TransportDistance[],3,FALSE)*'Stage assumptions'!$C$12)*Calculations[[#This Row],[Total Kg]],0)</f>
        <v>0</v>
      </c>
      <c r="K367">
        <f>IFERROR(VLOOKUP(Calculations[[#This Row],[Material (choose from dropdown]], MaterialData[#All],3, FALSE),0)</f>
        <v>0</v>
      </c>
      <c r="L367" s="322">
        <f>IFERROR(VLOOKUP(Calculations[[#This Row],[A5type]],A5WastageRate[#All],2,FALSE)*Calculations[[#This Row],[A1-3]],0)</f>
        <v>0</v>
      </c>
      <c r="N367">
        <f>IFERROR(ROUNDUP(50/VLOOKUP(Calculations[[#This Row],[Scope Element]],B4referenceServiceLife[[Tier 2 element]:[Default Service Life]],2, FALSE)-1,0),0)</f>
        <v>0</v>
      </c>
      <c r="O367" s="322">
        <f>IFERROR((Calculations[[#This Row],[A1-3]]+Calculations[[#This Row],[A4]]+Calculations[[#This Row],[A5]]+Calculations[[#This Row],[C2 total]]+Calculations[[#This Row],[C3 total]]+Calculations[[#This Row],[C4 total]])*Calculations[[#This Row],[Replacements]],0)</f>
        <v>0</v>
      </c>
      <c r="S367" t="str">
        <f>IFERROR(VLOOKUP(Calculations[[#This Row],[Material (choose from dropdown]],MaterialData[#All],4,FALSE),"")</f>
        <v/>
      </c>
      <c r="T367" s="322" cm="1">
        <f t="array" ref="T367">IFERROR(VLOOKUP(Calculations[[#This Row],[Waste 1]],WasteScenario[#All],2,FALSE)*'Stage assumptions'!$C$225*WasteTransportMethod[Emissions Factor
kgCO2e/kg.km]*Calculations[[#This Row],[Total Kg]],0)</f>
        <v>0</v>
      </c>
      <c r="U367" s="322" cm="1">
        <f t="array" ref="U367">IFERROR(VLOOKUP(Calculations[[#This Row],[Waste 1]],WasteScenario[#All],3,FALSE)*'Stage assumptions'!$C$224*WasteTransportMethod[Emissions Factor
kgCO2e/kg.km]*Calculations[[#This Row],[Total Kg]],0)</f>
        <v>0</v>
      </c>
      <c r="V367" s="322" cm="1">
        <f t="array" ref="V367">IFERROR(VLOOKUP(Calculations[[#This Row],[Waste 1]],WasteScenario[#All],4,FALSE)*'Stage assumptions'!$C$223*WasteTransportMethod[Emissions Factor
kgCO2e/kg.km]*Calculations[[#This Row],[Total Kg]],0)</f>
        <v>0</v>
      </c>
      <c r="W367" s="322" cm="1">
        <f t="array" ref="W367">IFERROR(VLOOKUP(Calculations[[#This Row],[Waste 1]],WasteScenario[#All],5,FALSE)*'Stage assumptions'!$C$226*WasteTransportMethod[Emissions Factor
kgCO2e/kg.km]*Calculations[[#This Row],[Total Kg]],0)</f>
        <v>0</v>
      </c>
      <c r="X367" s="322">
        <f>SUM(Calculations[[#This Row],[C2 Recycle]:[C2 Reuse]])</f>
        <v>0</v>
      </c>
      <c r="Y367" t="str">
        <f>IFERROR(VLOOKUP(Calculations[[#This Row],[Material (choose from dropdown]],MaterialData[#All],5,FALSE),"")</f>
        <v/>
      </c>
      <c r="Z367" s="322">
        <f>IFERROR(((VLOOKUP(Calculations[[#This Row],[Waste type 2]],WasteDisposalEmissions[#All],2,FALSE))*Calculations[[#This Row],[Total Kg]])*VLOOKUP(Calculations[[#This Row],[Waste 1]],WasteScenario[#All],2,FALSE),0)</f>
        <v>0</v>
      </c>
      <c r="AA367" s="322">
        <f>IFERROR((VLOOKUP(Calculations[[#This Row],[Waste type 2]],WasteDisposalEmissions[#All],3,FALSE))*Calculations[[#This Row],[Total Kg]]*VLOOKUP(Calculations[[#This Row],[Waste 1]],WasteScenario[#All],3,FALSE),0)</f>
        <v>0</v>
      </c>
      <c r="AB367" s="322">
        <f>SUM(Calculations[[#This Row],[C3 recyc]:[C3 incin]])</f>
        <v>0</v>
      </c>
      <c r="AC367" s="334">
        <f>IFERROR((VLOOKUP(Calculations[[#This Row],[Waste type 2]],WasteLandfillEmissions[#All],2,FALSE))*Calculations[[#This Row],[Total Kg]]*VLOOKUP(Calculations[[#This Row],[Waste 1]],WasteScenario[#All],4,FALSE),0)</f>
        <v>0</v>
      </c>
      <c r="AD367" s="322">
        <f>IFERROR((VLOOKUP(Calculations[[#This Row],[Waste type 2]],WasteLandfillEmissions[#All],3,FALSE))*Calculations[[#This Row],[Total Kg]]*VLOOKUP(Calculations[[#This Row],[Waste 1]],WasteScenario[#All],4,FALSE),0)</f>
        <v>0</v>
      </c>
      <c r="AE367" s="322">
        <f>SUM(Calculations[[#This Row],[C4 landfill]:[C4 re-use]])</f>
        <v>0</v>
      </c>
      <c r="AF367" s="322">
        <f>IFERROR(VLOOKUP(Calculations[[#This Row],[Material (choose from dropdown]],MaterialData[#All],8,FALSE),0)</f>
        <v>0</v>
      </c>
      <c r="AG367" s="322">
        <f>IFERROR(Calculations[[#This Row],[Total Kg]]*Calculations[[#This Row],[Seq factor]],0)</f>
        <v>0</v>
      </c>
      <c r="AI367" s="322">
        <f>Calculations[[#This Row],[A1-3]]+Calculations[[#This Row],[A4]]+Calculations[[#This Row],[A5]]+Calculations[[#This Row],[B4]]+Calculations[[#This Row],[C2 total]]+Calculations[[#This Row],[C3 total]]+Calculations[[#This Row],[C4 total]]</f>
        <v>0</v>
      </c>
      <c r="AJ367" s="2">
        <f>IFERROR(VLOOKUP(Calculations[[#This Row],[Material (choose from dropdown]],MaterialData[[#Headers],[#Data]],9,FALSE),0)</f>
        <v>0</v>
      </c>
      <c r="AK367" s="4">
        <f>IFERROR(VLOOKUP(Calculations[[#This Row],[Material (choose from dropdown]],MaterialData[[#Headers],[#Data]],10,FALSE),0)</f>
        <v>0</v>
      </c>
      <c r="AL367" s="322">
        <f>IFERROR(Calculations[[#This Row],[Data Quality Score]]*Calculations[[#This Row],[Total Kg]],0)</f>
        <v>0</v>
      </c>
    </row>
    <row r="368" spans="1:38" x14ac:dyDescent="0.3">
      <c r="A368" s="6">
        <f>IFERROR(MaterialsBoQ[[#This Row],[Scope Element]],0)</f>
        <v>0</v>
      </c>
      <c r="B368" t="str">
        <f>IFERROR(MaterialsBoQ[[#This Row],[Material ]],"")</f>
        <v/>
      </c>
      <c r="C368" t="str">
        <f>IFERROR(MaterialsBoQ[[#This Row],[Unit]],"")</f>
        <v/>
      </c>
      <c r="D368" s="322">
        <f>IFERROR(MaterialsBoQ[[#This Row],[Number]],0)</f>
        <v>0</v>
      </c>
      <c r="E368" s="322">
        <f>IFERROR(MaterialsBoQ[[#This Row],[Kg per unit]],0)</f>
        <v>0</v>
      </c>
      <c r="F368" s="322">
        <f>IFERROR(Calculations[[#This Row],[Number]]*Calculations[[#This Row],[Conversion factor]],0)</f>
        <v>0</v>
      </c>
      <c r="G368" s="322">
        <f>IFERROR(VLOOKUP(Calculations[[#This Row],[Material (choose from dropdown]],MaterialData[#All],7,FALSE),0)</f>
        <v>0</v>
      </c>
      <c r="H368" s="322">
        <f>Calculations[[#This Row],[Total Kg]]*Calculations[[#This Row],[Carbon Factor]]</f>
        <v>0</v>
      </c>
      <c r="I368" t="str">
        <f>IFERROR(VLOOKUP(Calculations[[#This Row],[Material (choose from dropdown]],MaterialData[#All],2,FALSE),"")</f>
        <v/>
      </c>
      <c r="J368" s="322">
        <f>IFERROR(((VLOOKUP(Calculations[[#This Row],[TransportSource]],TransportDistance[],2,FALSE)*'Stage assumptions'!$C$11)+VLOOKUP(Calculations[[#This Row],[TransportSource]],TransportDistance[],3,FALSE)*'Stage assumptions'!$C$12)*Calculations[[#This Row],[Total Kg]],0)</f>
        <v>0</v>
      </c>
      <c r="K368">
        <f>IFERROR(VLOOKUP(Calculations[[#This Row],[Material (choose from dropdown]], MaterialData[#All],3, FALSE),0)</f>
        <v>0</v>
      </c>
      <c r="L368" s="322">
        <f>IFERROR(VLOOKUP(Calculations[[#This Row],[A5type]],A5WastageRate[#All],2,FALSE)*Calculations[[#This Row],[A1-3]],0)</f>
        <v>0</v>
      </c>
      <c r="N368">
        <f>IFERROR(ROUNDUP(50/VLOOKUP(Calculations[[#This Row],[Scope Element]],B4referenceServiceLife[[Tier 2 element]:[Default Service Life]],2, FALSE)-1,0),0)</f>
        <v>0</v>
      </c>
      <c r="O368" s="322">
        <f>IFERROR((Calculations[[#This Row],[A1-3]]+Calculations[[#This Row],[A4]]+Calculations[[#This Row],[A5]]+Calculations[[#This Row],[C2 total]]+Calculations[[#This Row],[C3 total]]+Calculations[[#This Row],[C4 total]])*Calculations[[#This Row],[Replacements]],0)</f>
        <v>0</v>
      </c>
      <c r="S368" t="str">
        <f>IFERROR(VLOOKUP(Calculations[[#This Row],[Material (choose from dropdown]],MaterialData[#All],4,FALSE),"")</f>
        <v/>
      </c>
      <c r="T368" s="322" cm="1">
        <f t="array" ref="T368">IFERROR(VLOOKUP(Calculations[[#This Row],[Waste 1]],WasteScenario[#All],2,FALSE)*'Stage assumptions'!$C$225*WasteTransportMethod[Emissions Factor
kgCO2e/kg.km]*Calculations[[#This Row],[Total Kg]],0)</f>
        <v>0</v>
      </c>
      <c r="U368" s="322" cm="1">
        <f t="array" ref="U368">IFERROR(VLOOKUP(Calculations[[#This Row],[Waste 1]],WasteScenario[#All],3,FALSE)*'Stage assumptions'!$C$224*WasteTransportMethod[Emissions Factor
kgCO2e/kg.km]*Calculations[[#This Row],[Total Kg]],0)</f>
        <v>0</v>
      </c>
      <c r="V368" s="322" cm="1">
        <f t="array" ref="V368">IFERROR(VLOOKUP(Calculations[[#This Row],[Waste 1]],WasteScenario[#All],4,FALSE)*'Stage assumptions'!$C$223*WasteTransportMethod[Emissions Factor
kgCO2e/kg.km]*Calculations[[#This Row],[Total Kg]],0)</f>
        <v>0</v>
      </c>
      <c r="W368" s="322" cm="1">
        <f t="array" ref="W368">IFERROR(VLOOKUP(Calculations[[#This Row],[Waste 1]],WasteScenario[#All],5,FALSE)*'Stage assumptions'!$C$226*WasteTransportMethod[Emissions Factor
kgCO2e/kg.km]*Calculations[[#This Row],[Total Kg]],0)</f>
        <v>0</v>
      </c>
      <c r="X368" s="322">
        <f>SUM(Calculations[[#This Row],[C2 Recycle]:[C2 Reuse]])</f>
        <v>0</v>
      </c>
      <c r="Y368" t="str">
        <f>IFERROR(VLOOKUP(Calculations[[#This Row],[Material (choose from dropdown]],MaterialData[#All],5,FALSE),"")</f>
        <v/>
      </c>
      <c r="Z368" s="322">
        <f>IFERROR(((VLOOKUP(Calculations[[#This Row],[Waste type 2]],WasteDisposalEmissions[#All],2,FALSE))*Calculations[[#This Row],[Total Kg]])*VLOOKUP(Calculations[[#This Row],[Waste 1]],WasteScenario[#All],2,FALSE),0)</f>
        <v>0</v>
      </c>
      <c r="AA368" s="322">
        <f>IFERROR((VLOOKUP(Calculations[[#This Row],[Waste type 2]],WasteDisposalEmissions[#All],3,FALSE))*Calculations[[#This Row],[Total Kg]]*VLOOKUP(Calculations[[#This Row],[Waste 1]],WasteScenario[#All],3,FALSE),0)</f>
        <v>0</v>
      </c>
      <c r="AB368" s="322">
        <f>SUM(Calculations[[#This Row],[C3 recyc]:[C3 incin]])</f>
        <v>0</v>
      </c>
      <c r="AC368" s="334">
        <f>IFERROR((VLOOKUP(Calculations[[#This Row],[Waste type 2]],WasteLandfillEmissions[#All],2,FALSE))*Calculations[[#This Row],[Total Kg]]*VLOOKUP(Calculations[[#This Row],[Waste 1]],WasteScenario[#All],4,FALSE),0)</f>
        <v>0</v>
      </c>
      <c r="AD368" s="322">
        <f>IFERROR((VLOOKUP(Calculations[[#This Row],[Waste type 2]],WasteLandfillEmissions[#All],3,FALSE))*Calculations[[#This Row],[Total Kg]]*VLOOKUP(Calculations[[#This Row],[Waste 1]],WasteScenario[#All],4,FALSE),0)</f>
        <v>0</v>
      </c>
      <c r="AE368" s="322">
        <f>SUM(Calculations[[#This Row],[C4 landfill]:[C4 re-use]])</f>
        <v>0</v>
      </c>
      <c r="AF368" s="322">
        <f>IFERROR(VLOOKUP(Calculations[[#This Row],[Material (choose from dropdown]],MaterialData[#All],8,FALSE),0)</f>
        <v>0</v>
      </c>
      <c r="AG368" s="322">
        <f>IFERROR(Calculations[[#This Row],[Total Kg]]*Calculations[[#This Row],[Seq factor]],0)</f>
        <v>0</v>
      </c>
      <c r="AI368" s="322">
        <f>Calculations[[#This Row],[A1-3]]+Calculations[[#This Row],[A4]]+Calculations[[#This Row],[A5]]+Calculations[[#This Row],[B4]]+Calculations[[#This Row],[C2 total]]+Calculations[[#This Row],[C3 total]]+Calculations[[#This Row],[C4 total]]</f>
        <v>0</v>
      </c>
      <c r="AJ368" s="2">
        <f>IFERROR(VLOOKUP(Calculations[[#This Row],[Material (choose from dropdown]],MaterialData[[#Headers],[#Data]],9,FALSE),0)</f>
        <v>0</v>
      </c>
      <c r="AK368" s="4">
        <f>IFERROR(VLOOKUP(Calculations[[#This Row],[Material (choose from dropdown]],MaterialData[[#Headers],[#Data]],10,FALSE),0)</f>
        <v>0</v>
      </c>
      <c r="AL368" s="322">
        <f>IFERROR(Calculations[[#This Row],[Data Quality Score]]*Calculations[[#This Row],[Total Kg]],0)</f>
        <v>0</v>
      </c>
    </row>
    <row r="369" spans="1:38" x14ac:dyDescent="0.3">
      <c r="A369" s="6">
        <f>IFERROR(MaterialsBoQ[[#This Row],[Scope Element]],0)</f>
        <v>0</v>
      </c>
      <c r="B369" t="str">
        <f>IFERROR(MaterialsBoQ[[#This Row],[Material ]],"")</f>
        <v/>
      </c>
      <c r="C369" t="str">
        <f>IFERROR(MaterialsBoQ[[#This Row],[Unit]],"")</f>
        <v/>
      </c>
      <c r="D369" s="322">
        <f>IFERROR(MaterialsBoQ[[#This Row],[Number]],0)</f>
        <v>0</v>
      </c>
      <c r="E369" s="322">
        <f>IFERROR(MaterialsBoQ[[#This Row],[Kg per unit]],0)</f>
        <v>0</v>
      </c>
      <c r="F369" s="322">
        <f>IFERROR(Calculations[[#This Row],[Number]]*Calculations[[#This Row],[Conversion factor]],0)</f>
        <v>0</v>
      </c>
      <c r="G369" s="322">
        <f>IFERROR(VLOOKUP(Calculations[[#This Row],[Material (choose from dropdown]],MaterialData[#All],7,FALSE),0)</f>
        <v>0</v>
      </c>
      <c r="H369" s="322">
        <f>Calculations[[#This Row],[Total Kg]]*Calculations[[#This Row],[Carbon Factor]]</f>
        <v>0</v>
      </c>
      <c r="I369" t="str">
        <f>IFERROR(VLOOKUP(Calculations[[#This Row],[Material (choose from dropdown]],MaterialData[#All],2,FALSE),"")</f>
        <v/>
      </c>
      <c r="J369" s="322">
        <f>IFERROR(((VLOOKUP(Calculations[[#This Row],[TransportSource]],TransportDistance[],2,FALSE)*'Stage assumptions'!$C$11)+VLOOKUP(Calculations[[#This Row],[TransportSource]],TransportDistance[],3,FALSE)*'Stage assumptions'!$C$12)*Calculations[[#This Row],[Total Kg]],0)</f>
        <v>0</v>
      </c>
      <c r="K369">
        <f>IFERROR(VLOOKUP(Calculations[[#This Row],[Material (choose from dropdown]], MaterialData[#All],3, FALSE),0)</f>
        <v>0</v>
      </c>
      <c r="L369" s="322">
        <f>IFERROR(VLOOKUP(Calculations[[#This Row],[A5type]],A5WastageRate[#All],2,FALSE)*Calculations[[#This Row],[A1-3]],0)</f>
        <v>0</v>
      </c>
      <c r="N369">
        <f>IFERROR(ROUNDUP(50/VLOOKUP(Calculations[[#This Row],[Scope Element]],B4referenceServiceLife[[Tier 2 element]:[Default Service Life]],2, FALSE)-1,0),0)</f>
        <v>0</v>
      </c>
      <c r="O369" s="322">
        <f>IFERROR((Calculations[[#This Row],[A1-3]]+Calculations[[#This Row],[A4]]+Calculations[[#This Row],[A5]]+Calculations[[#This Row],[C2 total]]+Calculations[[#This Row],[C3 total]]+Calculations[[#This Row],[C4 total]])*Calculations[[#This Row],[Replacements]],0)</f>
        <v>0</v>
      </c>
      <c r="S369" t="str">
        <f>IFERROR(VLOOKUP(Calculations[[#This Row],[Material (choose from dropdown]],MaterialData[#All],4,FALSE),"")</f>
        <v/>
      </c>
      <c r="T369" s="322" cm="1">
        <f t="array" ref="T369">IFERROR(VLOOKUP(Calculations[[#This Row],[Waste 1]],WasteScenario[#All],2,FALSE)*'Stage assumptions'!$C$225*WasteTransportMethod[Emissions Factor
kgCO2e/kg.km]*Calculations[[#This Row],[Total Kg]],0)</f>
        <v>0</v>
      </c>
      <c r="U369" s="322" cm="1">
        <f t="array" ref="U369">IFERROR(VLOOKUP(Calculations[[#This Row],[Waste 1]],WasteScenario[#All],3,FALSE)*'Stage assumptions'!$C$224*WasteTransportMethod[Emissions Factor
kgCO2e/kg.km]*Calculations[[#This Row],[Total Kg]],0)</f>
        <v>0</v>
      </c>
      <c r="V369" s="322" cm="1">
        <f t="array" ref="V369">IFERROR(VLOOKUP(Calculations[[#This Row],[Waste 1]],WasteScenario[#All],4,FALSE)*'Stage assumptions'!$C$223*WasteTransportMethod[Emissions Factor
kgCO2e/kg.km]*Calculations[[#This Row],[Total Kg]],0)</f>
        <v>0</v>
      </c>
      <c r="W369" s="322" cm="1">
        <f t="array" ref="W369">IFERROR(VLOOKUP(Calculations[[#This Row],[Waste 1]],WasteScenario[#All],5,FALSE)*'Stage assumptions'!$C$226*WasteTransportMethod[Emissions Factor
kgCO2e/kg.km]*Calculations[[#This Row],[Total Kg]],0)</f>
        <v>0</v>
      </c>
      <c r="X369" s="322">
        <f>SUM(Calculations[[#This Row],[C2 Recycle]:[C2 Reuse]])</f>
        <v>0</v>
      </c>
      <c r="Y369" t="str">
        <f>IFERROR(VLOOKUP(Calculations[[#This Row],[Material (choose from dropdown]],MaterialData[#All],5,FALSE),"")</f>
        <v/>
      </c>
      <c r="Z369" s="322">
        <f>IFERROR(((VLOOKUP(Calculations[[#This Row],[Waste type 2]],WasteDisposalEmissions[#All],2,FALSE))*Calculations[[#This Row],[Total Kg]])*VLOOKUP(Calculations[[#This Row],[Waste 1]],WasteScenario[#All],2,FALSE),0)</f>
        <v>0</v>
      </c>
      <c r="AA369" s="322">
        <f>IFERROR((VLOOKUP(Calculations[[#This Row],[Waste type 2]],WasteDisposalEmissions[#All],3,FALSE))*Calculations[[#This Row],[Total Kg]]*VLOOKUP(Calculations[[#This Row],[Waste 1]],WasteScenario[#All],3,FALSE),0)</f>
        <v>0</v>
      </c>
      <c r="AB369" s="322">
        <f>SUM(Calculations[[#This Row],[C3 recyc]:[C3 incin]])</f>
        <v>0</v>
      </c>
      <c r="AC369" s="334">
        <f>IFERROR((VLOOKUP(Calculations[[#This Row],[Waste type 2]],WasteLandfillEmissions[#All],2,FALSE))*Calculations[[#This Row],[Total Kg]]*VLOOKUP(Calculations[[#This Row],[Waste 1]],WasteScenario[#All],4,FALSE),0)</f>
        <v>0</v>
      </c>
      <c r="AD369" s="322">
        <f>IFERROR((VLOOKUP(Calculations[[#This Row],[Waste type 2]],WasteLandfillEmissions[#All],3,FALSE))*Calculations[[#This Row],[Total Kg]]*VLOOKUP(Calculations[[#This Row],[Waste 1]],WasteScenario[#All],4,FALSE),0)</f>
        <v>0</v>
      </c>
      <c r="AE369" s="322">
        <f>SUM(Calculations[[#This Row],[C4 landfill]:[C4 re-use]])</f>
        <v>0</v>
      </c>
      <c r="AF369" s="322">
        <f>IFERROR(VLOOKUP(Calculations[[#This Row],[Material (choose from dropdown]],MaterialData[#All],8,FALSE),0)</f>
        <v>0</v>
      </c>
      <c r="AG369" s="322">
        <f>IFERROR(Calculations[[#This Row],[Total Kg]]*Calculations[[#This Row],[Seq factor]],0)</f>
        <v>0</v>
      </c>
      <c r="AI369" s="322">
        <f>Calculations[[#This Row],[A1-3]]+Calculations[[#This Row],[A4]]+Calculations[[#This Row],[A5]]+Calculations[[#This Row],[B4]]+Calculations[[#This Row],[C2 total]]+Calculations[[#This Row],[C3 total]]+Calculations[[#This Row],[C4 total]]</f>
        <v>0</v>
      </c>
      <c r="AJ369" s="2">
        <f>IFERROR(VLOOKUP(Calculations[[#This Row],[Material (choose from dropdown]],MaterialData[[#Headers],[#Data]],9,FALSE),0)</f>
        <v>0</v>
      </c>
      <c r="AK369" s="4">
        <f>IFERROR(VLOOKUP(Calculations[[#This Row],[Material (choose from dropdown]],MaterialData[[#Headers],[#Data]],10,FALSE),0)</f>
        <v>0</v>
      </c>
      <c r="AL369" s="322">
        <f>IFERROR(Calculations[[#This Row],[Data Quality Score]]*Calculations[[#This Row],[Total Kg]],0)</f>
        <v>0</v>
      </c>
    </row>
    <row r="370" spans="1:38" x14ac:dyDescent="0.3">
      <c r="A370" s="6">
        <f>IFERROR(MaterialsBoQ[[#This Row],[Scope Element]],0)</f>
        <v>0</v>
      </c>
      <c r="B370" t="str">
        <f>IFERROR(MaterialsBoQ[[#This Row],[Material ]],"")</f>
        <v/>
      </c>
      <c r="C370" t="str">
        <f>IFERROR(MaterialsBoQ[[#This Row],[Unit]],"")</f>
        <v/>
      </c>
      <c r="D370" s="322">
        <f>IFERROR(MaterialsBoQ[[#This Row],[Number]],0)</f>
        <v>0</v>
      </c>
      <c r="E370" s="322">
        <f>IFERROR(MaterialsBoQ[[#This Row],[Kg per unit]],0)</f>
        <v>0</v>
      </c>
      <c r="F370" s="322">
        <f>IFERROR(Calculations[[#This Row],[Number]]*Calculations[[#This Row],[Conversion factor]],0)</f>
        <v>0</v>
      </c>
      <c r="G370" s="322">
        <f>IFERROR(VLOOKUP(Calculations[[#This Row],[Material (choose from dropdown]],MaterialData[#All],7,FALSE),0)</f>
        <v>0</v>
      </c>
      <c r="H370" s="322">
        <f>Calculations[[#This Row],[Total Kg]]*Calculations[[#This Row],[Carbon Factor]]</f>
        <v>0</v>
      </c>
      <c r="I370" t="str">
        <f>IFERROR(VLOOKUP(Calculations[[#This Row],[Material (choose from dropdown]],MaterialData[#All],2,FALSE),"")</f>
        <v/>
      </c>
      <c r="J370" s="322">
        <f>IFERROR(((VLOOKUP(Calculations[[#This Row],[TransportSource]],TransportDistance[],2,FALSE)*'Stage assumptions'!$C$11)+VLOOKUP(Calculations[[#This Row],[TransportSource]],TransportDistance[],3,FALSE)*'Stage assumptions'!$C$12)*Calculations[[#This Row],[Total Kg]],0)</f>
        <v>0</v>
      </c>
      <c r="K370">
        <f>IFERROR(VLOOKUP(Calculations[[#This Row],[Material (choose from dropdown]], MaterialData[#All],3, FALSE),0)</f>
        <v>0</v>
      </c>
      <c r="L370" s="322">
        <f>IFERROR(VLOOKUP(Calculations[[#This Row],[A5type]],A5WastageRate[#All],2,FALSE)*Calculations[[#This Row],[A1-3]],0)</f>
        <v>0</v>
      </c>
      <c r="N370">
        <f>IFERROR(ROUNDUP(50/VLOOKUP(Calculations[[#This Row],[Scope Element]],B4referenceServiceLife[[Tier 2 element]:[Default Service Life]],2, FALSE)-1,0),0)</f>
        <v>0</v>
      </c>
      <c r="O370" s="322">
        <f>IFERROR((Calculations[[#This Row],[A1-3]]+Calculations[[#This Row],[A4]]+Calculations[[#This Row],[A5]]+Calculations[[#This Row],[C2 total]]+Calculations[[#This Row],[C3 total]]+Calculations[[#This Row],[C4 total]])*Calculations[[#This Row],[Replacements]],0)</f>
        <v>0</v>
      </c>
      <c r="S370" t="str">
        <f>IFERROR(VLOOKUP(Calculations[[#This Row],[Material (choose from dropdown]],MaterialData[#All],4,FALSE),"")</f>
        <v/>
      </c>
      <c r="T370" s="322" cm="1">
        <f t="array" ref="T370">IFERROR(VLOOKUP(Calculations[[#This Row],[Waste 1]],WasteScenario[#All],2,FALSE)*'Stage assumptions'!$C$225*WasteTransportMethod[Emissions Factor
kgCO2e/kg.km]*Calculations[[#This Row],[Total Kg]],0)</f>
        <v>0</v>
      </c>
      <c r="U370" s="322" cm="1">
        <f t="array" ref="U370">IFERROR(VLOOKUP(Calculations[[#This Row],[Waste 1]],WasteScenario[#All],3,FALSE)*'Stage assumptions'!$C$224*WasteTransportMethod[Emissions Factor
kgCO2e/kg.km]*Calculations[[#This Row],[Total Kg]],0)</f>
        <v>0</v>
      </c>
      <c r="V370" s="322" cm="1">
        <f t="array" ref="V370">IFERROR(VLOOKUP(Calculations[[#This Row],[Waste 1]],WasteScenario[#All],4,FALSE)*'Stage assumptions'!$C$223*WasteTransportMethod[Emissions Factor
kgCO2e/kg.km]*Calculations[[#This Row],[Total Kg]],0)</f>
        <v>0</v>
      </c>
      <c r="W370" s="322" cm="1">
        <f t="array" ref="W370">IFERROR(VLOOKUP(Calculations[[#This Row],[Waste 1]],WasteScenario[#All],5,FALSE)*'Stage assumptions'!$C$226*WasteTransportMethod[Emissions Factor
kgCO2e/kg.km]*Calculations[[#This Row],[Total Kg]],0)</f>
        <v>0</v>
      </c>
      <c r="X370" s="322">
        <f>SUM(Calculations[[#This Row],[C2 Recycle]:[C2 Reuse]])</f>
        <v>0</v>
      </c>
      <c r="Y370" t="str">
        <f>IFERROR(VLOOKUP(Calculations[[#This Row],[Material (choose from dropdown]],MaterialData[#All],5,FALSE),"")</f>
        <v/>
      </c>
      <c r="Z370" s="322">
        <f>IFERROR(((VLOOKUP(Calculations[[#This Row],[Waste type 2]],WasteDisposalEmissions[#All],2,FALSE))*Calculations[[#This Row],[Total Kg]])*VLOOKUP(Calculations[[#This Row],[Waste 1]],WasteScenario[#All],2,FALSE),0)</f>
        <v>0</v>
      </c>
      <c r="AA370" s="322">
        <f>IFERROR((VLOOKUP(Calculations[[#This Row],[Waste type 2]],WasteDisposalEmissions[#All],3,FALSE))*Calculations[[#This Row],[Total Kg]]*VLOOKUP(Calculations[[#This Row],[Waste 1]],WasteScenario[#All],3,FALSE),0)</f>
        <v>0</v>
      </c>
      <c r="AB370" s="322">
        <f>SUM(Calculations[[#This Row],[C3 recyc]:[C3 incin]])</f>
        <v>0</v>
      </c>
      <c r="AC370" s="334">
        <f>IFERROR((VLOOKUP(Calculations[[#This Row],[Waste type 2]],WasteLandfillEmissions[#All],2,FALSE))*Calculations[[#This Row],[Total Kg]]*VLOOKUP(Calculations[[#This Row],[Waste 1]],WasteScenario[#All],4,FALSE),0)</f>
        <v>0</v>
      </c>
      <c r="AD370" s="322">
        <f>IFERROR((VLOOKUP(Calculations[[#This Row],[Waste type 2]],WasteLandfillEmissions[#All],3,FALSE))*Calculations[[#This Row],[Total Kg]]*VLOOKUP(Calculations[[#This Row],[Waste 1]],WasteScenario[#All],4,FALSE),0)</f>
        <v>0</v>
      </c>
      <c r="AE370" s="322">
        <f>SUM(Calculations[[#This Row],[C4 landfill]:[C4 re-use]])</f>
        <v>0</v>
      </c>
      <c r="AF370" s="322">
        <f>IFERROR(VLOOKUP(Calculations[[#This Row],[Material (choose from dropdown]],MaterialData[#All],8,FALSE),0)</f>
        <v>0</v>
      </c>
      <c r="AG370" s="322">
        <f>IFERROR(Calculations[[#This Row],[Total Kg]]*Calculations[[#This Row],[Seq factor]],0)</f>
        <v>0</v>
      </c>
      <c r="AI370" s="322">
        <f>Calculations[[#This Row],[A1-3]]+Calculations[[#This Row],[A4]]+Calculations[[#This Row],[A5]]+Calculations[[#This Row],[B4]]+Calculations[[#This Row],[C2 total]]+Calculations[[#This Row],[C3 total]]+Calculations[[#This Row],[C4 total]]</f>
        <v>0</v>
      </c>
      <c r="AJ370" s="2">
        <f>IFERROR(VLOOKUP(Calculations[[#This Row],[Material (choose from dropdown]],MaterialData[[#Headers],[#Data]],9,FALSE),0)</f>
        <v>0</v>
      </c>
      <c r="AK370" s="4">
        <f>IFERROR(VLOOKUP(Calculations[[#This Row],[Material (choose from dropdown]],MaterialData[[#Headers],[#Data]],10,FALSE),0)</f>
        <v>0</v>
      </c>
      <c r="AL370" s="322">
        <f>IFERROR(Calculations[[#This Row],[Data Quality Score]]*Calculations[[#This Row],[Total Kg]],0)</f>
        <v>0</v>
      </c>
    </row>
    <row r="371" spans="1:38" x14ac:dyDescent="0.3">
      <c r="A371" s="6">
        <f>IFERROR(MaterialsBoQ[[#This Row],[Scope Element]],0)</f>
        <v>0</v>
      </c>
      <c r="B371" t="str">
        <f>IFERROR(MaterialsBoQ[[#This Row],[Material ]],"")</f>
        <v/>
      </c>
      <c r="C371" t="str">
        <f>IFERROR(MaterialsBoQ[[#This Row],[Unit]],"")</f>
        <v/>
      </c>
      <c r="D371" s="322">
        <f>IFERROR(MaterialsBoQ[[#This Row],[Number]],0)</f>
        <v>0</v>
      </c>
      <c r="E371" s="322">
        <f>IFERROR(MaterialsBoQ[[#This Row],[Kg per unit]],0)</f>
        <v>0</v>
      </c>
      <c r="F371" s="322">
        <f>IFERROR(Calculations[[#This Row],[Number]]*Calculations[[#This Row],[Conversion factor]],0)</f>
        <v>0</v>
      </c>
      <c r="G371" s="322">
        <f>IFERROR(VLOOKUP(Calculations[[#This Row],[Material (choose from dropdown]],MaterialData[#All],7,FALSE),0)</f>
        <v>0</v>
      </c>
      <c r="H371" s="322">
        <f>Calculations[[#This Row],[Total Kg]]*Calculations[[#This Row],[Carbon Factor]]</f>
        <v>0</v>
      </c>
      <c r="I371" t="str">
        <f>IFERROR(VLOOKUP(Calculations[[#This Row],[Material (choose from dropdown]],MaterialData[#All],2,FALSE),"")</f>
        <v/>
      </c>
      <c r="J371" s="322">
        <f>IFERROR(((VLOOKUP(Calculations[[#This Row],[TransportSource]],TransportDistance[],2,FALSE)*'Stage assumptions'!$C$11)+VLOOKUP(Calculations[[#This Row],[TransportSource]],TransportDistance[],3,FALSE)*'Stage assumptions'!$C$12)*Calculations[[#This Row],[Total Kg]],0)</f>
        <v>0</v>
      </c>
      <c r="K371">
        <f>IFERROR(VLOOKUP(Calculations[[#This Row],[Material (choose from dropdown]], MaterialData[#All],3, FALSE),0)</f>
        <v>0</v>
      </c>
      <c r="L371" s="322">
        <f>IFERROR(VLOOKUP(Calculations[[#This Row],[A5type]],A5WastageRate[#All],2,FALSE)*Calculations[[#This Row],[A1-3]],0)</f>
        <v>0</v>
      </c>
      <c r="N371">
        <f>IFERROR(ROUNDUP(50/VLOOKUP(Calculations[[#This Row],[Scope Element]],B4referenceServiceLife[[Tier 2 element]:[Default Service Life]],2, FALSE)-1,0),0)</f>
        <v>0</v>
      </c>
      <c r="O371" s="322">
        <f>IFERROR((Calculations[[#This Row],[A1-3]]+Calculations[[#This Row],[A4]]+Calculations[[#This Row],[A5]]+Calculations[[#This Row],[C2 total]]+Calculations[[#This Row],[C3 total]]+Calculations[[#This Row],[C4 total]])*Calculations[[#This Row],[Replacements]],0)</f>
        <v>0</v>
      </c>
      <c r="S371" t="str">
        <f>IFERROR(VLOOKUP(Calculations[[#This Row],[Material (choose from dropdown]],MaterialData[#All],4,FALSE),"")</f>
        <v/>
      </c>
      <c r="T371" s="322" cm="1">
        <f t="array" ref="T371">IFERROR(VLOOKUP(Calculations[[#This Row],[Waste 1]],WasteScenario[#All],2,FALSE)*'Stage assumptions'!$C$225*WasteTransportMethod[Emissions Factor
kgCO2e/kg.km]*Calculations[[#This Row],[Total Kg]],0)</f>
        <v>0</v>
      </c>
      <c r="U371" s="322" cm="1">
        <f t="array" ref="U371">IFERROR(VLOOKUP(Calculations[[#This Row],[Waste 1]],WasteScenario[#All],3,FALSE)*'Stage assumptions'!$C$224*WasteTransportMethod[Emissions Factor
kgCO2e/kg.km]*Calculations[[#This Row],[Total Kg]],0)</f>
        <v>0</v>
      </c>
      <c r="V371" s="322" cm="1">
        <f t="array" ref="V371">IFERROR(VLOOKUP(Calculations[[#This Row],[Waste 1]],WasteScenario[#All],4,FALSE)*'Stage assumptions'!$C$223*WasteTransportMethod[Emissions Factor
kgCO2e/kg.km]*Calculations[[#This Row],[Total Kg]],0)</f>
        <v>0</v>
      </c>
      <c r="W371" s="322" cm="1">
        <f t="array" ref="W371">IFERROR(VLOOKUP(Calculations[[#This Row],[Waste 1]],WasteScenario[#All],5,FALSE)*'Stage assumptions'!$C$226*WasteTransportMethod[Emissions Factor
kgCO2e/kg.km]*Calculations[[#This Row],[Total Kg]],0)</f>
        <v>0</v>
      </c>
      <c r="X371" s="322">
        <f>SUM(Calculations[[#This Row],[C2 Recycle]:[C2 Reuse]])</f>
        <v>0</v>
      </c>
      <c r="Y371" t="str">
        <f>IFERROR(VLOOKUP(Calculations[[#This Row],[Material (choose from dropdown]],MaterialData[#All],5,FALSE),"")</f>
        <v/>
      </c>
      <c r="Z371" s="322">
        <f>IFERROR(((VLOOKUP(Calculations[[#This Row],[Waste type 2]],WasteDisposalEmissions[#All],2,FALSE))*Calculations[[#This Row],[Total Kg]])*VLOOKUP(Calculations[[#This Row],[Waste 1]],WasteScenario[#All],2,FALSE),0)</f>
        <v>0</v>
      </c>
      <c r="AA371" s="322">
        <f>IFERROR((VLOOKUP(Calculations[[#This Row],[Waste type 2]],WasteDisposalEmissions[#All],3,FALSE))*Calculations[[#This Row],[Total Kg]]*VLOOKUP(Calculations[[#This Row],[Waste 1]],WasteScenario[#All],3,FALSE),0)</f>
        <v>0</v>
      </c>
      <c r="AB371" s="322">
        <f>SUM(Calculations[[#This Row],[C3 recyc]:[C3 incin]])</f>
        <v>0</v>
      </c>
      <c r="AC371" s="334">
        <f>IFERROR((VLOOKUP(Calculations[[#This Row],[Waste type 2]],WasteLandfillEmissions[#All],2,FALSE))*Calculations[[#This Row],[Total Kg]]*VLOOKUP(Calculations[[#This Row],[Waste 1]],WasteScenario[#All],4,FALSE),0)</f>
        <v>0</v>
      </c>
      <c r="AD371" s="322">
        <f>IFERROR((VLOOKUP(Calculations[[#This Row],[Waste type 2]],WasteLandfillEmissions[#All],3,FALSE))*Calculations[[#This Row],[Total Kg]]*VLOOKUP(Calculations[[#This Row],[Waste 1]],WasteScenario[#All],4,FALSE),0)</f>
        <v>0</v>
      </c>
      <c r="AE371" s="322">
        <f>SUM(Calculations[[#This Row],[C4 landfill]:[C4 re-use]])</f>
        <v>0</v>
      </c>
      <c r="AF371" s="322">
        <f>IFERROR(VLOOKUP(Calculations[[#This Row],[Material (choose from dropdown]],MaterialData[#All],8,FALSE),0)</f>
        <v>0</v>
      </c>
      <c r="AG371" s="322">
        <f>IFERROR(Calculations[[#This Row],[Total Kg]]*Calculations[[#This Row],[Seq factor]],0)</f>
        <v>0</v>
      </c>
      <c r="AI371" s="322">
        <f>Calculations[[#This Row],[A1-3]]+Calculations[[#This Row],[A4]]+Calculations[[#This Row],[A5]]+Calculations[[#This Row],[B4]]+Calculations[[#This Row],[C2 total]]+Calculations[[#This Row],[C3 total]]+Calculations[[#This Row],[C4 total]]</f>
        <v>0</v>
      </c>
      <c r="AJ371" s="2">
        <f>IFERROR(VLOOKUP(Calculations[[#This Row],[Material (choose from dropdown]],MaterialData[[#Headers],[#Data]],9,FALSE),0)</f>
        <v>0</v>
      </c>
      <c r="AK371" s="4">
        <f>IFERROR(VLOOKUP(Calculations[[#This Row],[Material (choose from dropdown]],MaterialData[[#Headers],[#Data]],10,FALSE),0)</f>
        <v>0</v>
      </c>
      <c r="AL371" s="322">
        <f>IFERROR(Calculations[[#This Row],[Data Quality Score]]*Calculations[[#This Row],[Total Kg]],0)</f>
        <v>0</v>
      </c>
    </row>
    <row r="372" spans="1:38" x14ac:dyDescent="0.3">
      <c r="A372" s="6">
        <f>IFERROR(MaterialsBoQ[[#This Row],[Scope Element]],0)</f>
        <v>0</v>
      </c>
      <c r="B372" t="str">
        <f>IFERROR(MaterialsBoQ[[#This Row],[Material ]],"")</f>
        <v/>
      </c>
      <c r="C372" t="str">
        <f>IFERROR(MaterialsBoQ[[#This Row],[Unit]],"")</f>
        <v/>
      </c>
      <c r="D372" s="322">
        <f>IFERROR(MaterialsBoQ[[#This Row],[Number]],0)</f>
        <v>0</v>
      </c>
      <c r="E372" s="322">
        <f>IFERROR(MaterialsBoQ[[#This Row],[Kg per unit]],0)</f>
        <v>0</v>
      </c>
      <c r="F372" s="322">
        <f>IFERROR(Calculations[[#This Row],[Number]]*Calculations[[#This Row],[Conversion factor]],0)</f>
        <v>0</v>
      </c>
      <c r="G372" s="322">
        <f>IFERROR(VLOOKUP(Calculations[[#This Row],[Material (choose from dropdown]],MaterialData[#All],7,FALSE),0)</f>
        <v>0</v>
      </c>
      <c r="H372" s="322">
        <f>Calculations[[#This Row],[Total Kg]]*Calculations[[#This Row],[Carbon Factor]]</f>
        <v>0</v>
      </c>
      <c r="I372" t="str">
        <f>IFERROR(VLOOKUP(Calculations[[#This Row],[Material (choose from dropdown]],MaterialData[#All],2,FALSE),"")</f>
        <v/>
      </c>
      <c r="J372" s="322">
        <f>IFERROR(((VLOOKUP(Calculations[[#This Row],[TransportSource]],TransportDistance[],2,FALSE)*'Stage assumptions'!$C$11)+VLOOKUP(Calculations[[#This Row],[TransportSource]],TransportDistance[],3,FALSE)*'Stage assumptions'!$C$12)*Calculations[[#This Row],[Total Kg]],0)</f>
        <v>0</v>
      </c>
      <c r="K372">
        <f>IFERROR(VLOOKUP(Calculations[[#This Row],[Material (choose from dropdown]], MaterialData[#All],3, FALSE),0)</f>
        <v>0</v>
      </c>
      <c r="L372" s="322">
        <f>IFERROR(VLOOKUP(Calculations[[#This Row],[A5type]],A5WastageRate[#All],2,FALSE)*Calculations[[#This Row],[A1-3]],0)</f>
        <v>0</v>
      </c>
      <c r="N372">
        <f>IFERROR(ROUNDUP(50/VLOOKUP(Calculations[[#This Row],[Scope Element]],B4referenceServiceLife[[Tier 2 element]:[Default Service Life]],2, FALSE)-1,0),0)</f>
        <v>0</v>
      </c>
      <c r="O372" s="322">
        <f>IFERROR((Calculations[[#This Row],[A1-3]]+Calculations[[#This Row],[A4]]+Calculations[[#This Row],[A5]]+Calculations[[#This Row],[C2 total]]+Calculations[[#This Row],[C3 total]]+Calculations[[#This Row],[C4 total]])*Calculations[[#This Row],[Replacements]],0)</f>
        <v>0</v>
      </c>
      <c r="S372" t="str">
        <f>IFERROR(VLOOKUP(Calculations[[#This Row],[Material (choose from dropdown]],MaterialData[#All],4,FALSE),"")</f>
        <v/>
      </c>
      <c r="T372" s="322" cm="1">
        <f t="array" ref="T372">IFERROR(VLOOKUP(Calculations[[#This Row],[Waste 1]],WasteScenario[#All],2,FALSE)*'Stage assumptions'!$C$225*WasteTransportMethod[Emissions Factor
kgCO2e/kg.km]*Calculations[[#This Row],[Total Kg]],0)</f>
        <v>0</v>
      </c>
      <c r="U372" s="322" cm="1">
        <f t="array" ref="U372">IFERROR(VLOOKUP(Calculations[[#This Row],[Waste 1]],WasteScenario[#All],3,FALSE)*'Stage assumptions'!$C$224*WasteTransportMethod[Emissions Factor
kgCO2e/kg.km]*Calculations[[#This Row],[Total Kg]],0)</f>
        <v>0</v>
      </c>
      <c r="V372" s="322" cm="1">
        <f t="array" ref="V372">IFERROR(VLOOKUP(Calculations[[#This Row],[Waste 1]],WasteScenario[#All],4,FALSE)*'Stage assumptions'!$C$223*WasteTransportMethod[Emissions Factor
kgCO2e/kg.km]*Calculations[[#This Row],[Total Kg]],0)</f>
        <v>0</v>
      </c>
      <c r="W372" s="322" cm="1">
        <f t="array" ref="W372">IFERROR(VLOOKUP(Calculations[[#This Row],[Waste 1]],WasteScenario[#All],5,FALSE)*'Stage assumptions'!$C$226*WasteTransportMethod[Emissions Factor
kgCO2e/kg.km]*Calculations[[#This Row],[Total Kg]],0)</f>
        <v>0</v>
      </c>
      <c r="X372" s="322">
        <f>SUM(Calculations[[#This Row],[C2 Recycle]:[C2 Reuse]])</f>
        <v>0</v>
      </c>
      <c r="Y372" t="str">
        <f>IFERROR(VLOOKUP(Calculations[[#This Row],[Material (choose from dropdown]],MaterialData[#All],5,FALSE),"")</f>
        <v/>
      </c>
      <c r="Z372" s="322">
        <f>IFERROR(((VLOOKUP(Calculations[[#This Row],[Waste type 2]],WasteDisposalEmissions[#All],2,FALSE))*Calculations[[#This Row],[Total Kg]])*VLOOKUP(Calculations[[#This Row],[Waste 1]],WasteScenario[#All],2,FALSE),0)</f>
        <v>0</v>
      </c>
      <c r="AA372" s="322">
        <f>IFERROR((VLOOKUP(Calculations[[#This Row],[Waste type 2]],WasteDisposalEmissions[#All],3,FALSE))*Calculations[[#This Row],[Total Kg]]*VLOOKUP(Calculations[[#This Row],[Waste 1]],WasteScenario[#All],3,FALSE),0)</f>
        <v>0</v>
      </c>
      <c r="AB372" s="322">
        <f>SUM(Calculations[[#This Row],[C3 recyc]:[C3 incin]])</f>
        <v>0</v>
      </c>
      <c r="AC372" s="334">
        <f>IFERROR((VLOOKUP(Calculations[[#This Row],[Waste type 2]],WasteLandfillEmissions[#All],2,FALSE))*Calculations[[#This Row],[Total Kg]]*VLOOKUP(Calculations[[#This Row],[Waste 1]],WasteScenario[#All],4,FALSE),0)</f>
        <v>0</v>
      </c>
      <c r="AD372" s="322">
        <f>IFERROR((VLOOKUP(Calculations[[#This Row],[Waste type 2]],WasteLandfillEmissions[#All],3,FALSE))*Calculations[[#This Row],[Total Kg]]*VLOOKUP(Calculations[[#This Row],[Waste 1]],WasteScenario[#All],4,FALSE),0)</f>
        <v>0</v>
      </c>
      <c r="AE372" s="322">
        <f>SUM(Calculations[[#This Row],[C4 landfill]:[C4 re-use]])</f>
        <v>0</v>
      </c>
      <c r="AF372" s="322">
        <f>IFERROR(VLOOKUP(Calculations[[#This Row],[Material (choose from dropdown]],MaterialData[#All],8,FALSE),0)</f>
        <v>0</v>
      </c>
      <c r="AG372" s="322">
        <f>IFERROR(Calculations[[#This Row],[Total Kg]]*Calculations[[#This Row],[Seq factor]],0)</f>
        <v>0</v>
      </c>
      <c r="AI372" s="322">
        <f>Calculations[[#This Row],[A1-3]]+Calculations[[#This Row],[A4]]+Calculations[[#This Row],[A5]]+Calculations[[#This Row],[B4]]+Calculations[[#This Row],[C2 total]]+Calculations[[#This Row],[C3 total]]+Calculations[[#This Row],[C4 total]]</f>
        <v>0</v>
      </c>
      <c r="AJ372" s="2">
        <f>IFERROR(VLOOKUP(Calculations[[#This Row],[Material (choose from dropdown]],MaterialData[[#Headers],[#Data]],9,FALSE),0)</f>
        <v>0</v>
      </c>
      <c r="AK372" s="4">
        <f>IFERROR(VLOOKUP(Calculations[[#This Row],[Material (choose from dropdown]],MaterialData[[#Headers],[#Data]],10,FALSE),0)</f>
        <v>0</v>
      </c>
      <c r="AL372" s="322">
        <f>IFERROR(Calculations[[#This Row],[Data Quality Score]]*Calculations[[#This Row],[Total Kg]],0)</f>
        <v>0</v>
      </c>
    </row>
    <row r="373" spans="1:38" x14ac:dyDescent="0.3">
      <c r="A373" s="6">
        <f>IFERROR(MaterialsBoQ[[#This Row],[Scope Element]],0)</f>
        <v>0</v>
      </c>
      <c r="B373" t="str">
        <f>IFERROR(MaterialsBoQ[[#This Row],[Material ]],"")</f>
        <v/>
      </c>
      <c r="C373" t="str">
        <f>IFERROR(MaterialsBoQ[[#This Row],[Unit]],"")</f>
        <v/>
      </c>
      <c r="D373" s="322">
        <f>IFERROR(MaterialsBoQ[[#This Row],[Number]],0)</f>
        <v>0</v>
      </c>
      <c r="E373" s="322">
        <f>IFERROR(MaterialsBoQ[[#This Row],[Kg per unit]],0)</f>
        <v>0</v>
      </c>
      <c r="F373" s="322">
        <f>IFERROR(Calculations[[#This Row],[Number]]*Calculations[[#This Row],[Conversion factor]],0)</f>
        <v>0</v>
      </c>
      <c r="G373" s="322">
        <f>IFERROR(VLOOKUP(Calculations[[#This Row],[Material (choose from dropdown]],MaterialData[#All],7,FALSE),0)</f>
        <v>0</v>
      </c>
      <c r="H373" s="322">
        <f>Calculations[[#This Row],[Total Kg]]*Calculations[[#This Row],[Carbon Factor]]</f>
        <v>0</v>
      </c>
      <c r="I373" t="str">
        <f>IFERROR(VLOOKUP(Calculations[[#This Row],[Material (choose from dropdown]],MaterialData[#All],2,FALSE),"")</f>
        <v/>
      </c>
      <c r="J373" s="322">
        <f>IFERROR(((VLOOKUP(Calculations[[#This Row],[TransportSource]],TransportDistance[],2,FALSE)*'Stage assumptions'!$C$11)+VLOOKUP(Calculations[[#This Row],[TransportSource]],TransportDistance[],3,FALSE)*'Stage assumptions'!$C$12)*Calculations[[#This Row],[Total Kg]],0)</f>
        <v>0</v>
      </c>
      <c r="K373">
        <f>IFERROR(VLOOKUP(Calculations[[#This Row],[Material (choose from dropdown]], MaterialData[#All],3, FALSE),0)</f>
        <v>0</v>
      </c>
      <c r="L373" s="322">
        <f>IFERROR(VLOOKUP(Calculations[[#This Row],[A5type]],A5WastageRate[#All],2,FALSE)*Calculations[[#This Row],[A1-3]],0)</f>
        <v>0</v>
      </c>
      <c r="N373">
        <f>IFERROR(ROUNDUP(50/VLOOKUP(Calculations[[#This Row],[Scope Element]],B4referenceServiceLife[[Tier 2 element]:[Default Service Life]],2, FALSE)-1,0),0)</f>
        <v>0</v>
      </c>
      <c r="O373" s="322">
        <f>IFERROR((Calculations[[#This Row],[A1-3]]+Calculations[[#This Row],[A4]]+Calculations[[#This Row],[A5]]+Calculations[[#This Row],[C2 total]]+Calculations[[#This Row],[C3 total]]+Calculations[[#This Row],[C4 total]])*Calculations[[#This Row],[Replacements]],0)</f>
        <v>0</v>
      </c>
      <c r="S373" t="str">
        <f>IFERROR(VLOOKUP(Calculations[[#This Row],[Material (choose from dropdown]],MaterialData[#All],4,FALSE),"")</f>
        <v/>
      </c>
      <c r="T373" s="322" cm="1">
        <f t="array" ref="T373">IFERROR(VLOOKUP(Calculations[[#This Row],[Waste 1]],WasteScenario[#All],2,FALSE)*'Stage assumptions'!$C$225*WasteTransportMethod[Emissions Factor
kgCO2e/kg.km]*Calculations[[#This Row],[Total Kg]],0)</f>
        <v>0</v>
      </c>
      <c r="U373" s="322" cm="1">
        <f t="array" ref="U373">IFERROR(VLOOKUP(Calculations[[#This Row],[Waste 1]],WasteScenario[#All],3,FALSE)*'Stage assumptions'!$C$224*WasteTransportMethod[Emissions Factor
kgCO2e/kg.km]*Calculations[[#This Row],[Total Kg]],0)</f>
        <v>0</v>
      </c>
      <c r="V373" s="322" cm="1">
        <f t="array" ref="V373">IFERROR(VLOOKUP(Calculations[[#This Row],[Waste 1]],WasteScenario[#All],4,FALSE)*'Stage assumptions'!$C$223*WasteTransportMethod[Emissions Factor
kgCO2e/kg.km]*Calculations[[#This Row],[Total Kg]],0)</f>
        <v>0</v>
      </c>
      <c r="W373" s="322" cm="1">
        <f t="array" ref="W373">IFERROR(VLOOKUP(Calculations[[#This Row],[Waste 1]],WasteScenario[#All],5,FALSE)*'Stage assumptions'!$C$226*WasteTransportMethod[Emissions Factor
kgCO2e/kg.km]*Calculations[[#This Row],[Total Kg]],0)</f>
        <v>0</v>
      </c>
      <c r="X373" s="322">
        <f>SUM(Calculations[[#This Row],[C2 Recycle]:[C2 Reuse]])</f>
        <v>0</v>
      </c>
      <c r="Y373" t="str">
        <f>IFERROR(VLOOKUP(Calculations[[#This Row],[Material (choose from dropdown]],MaterialData[#All],5,FALSE),"")</f>
        <v/>
      </c>
      <c r="Z373" s="322">
        <f>IFERROR(((VLOOKUP(Calculations[[#This Row],[Waste type 2]],WasteDisposalEmissions[#All],2,FALSE))*Calculations[[#This Row],[Total Kg]])*VLOOKUP(Calculations[[#This Row],[Waste 1]],WasteScenario[#All],2,FALSE),0)</f>
        <v>0</v>
      </c>
      <c r="AA373" s="322">
        <f>IFERROR((VLOOKUP(Calculations[[#This Row],[Waste type 2]],WasteDisposalEmissions[#All],3,FALSE))*Calculations[[#This Row],[Total Kg]]*VLOOKUP(Calculations[[#This Row],[Waste 1]],WasteScenario[#All],3,FALSE),0)</f>
        <v>0</v>
      </c>
      <c r="AB373" s="322">
        <f>SUM(Calculations[[#This Row],[C3 recyc]:[C3 incin]])</f>
        <v>0</v>
      </c>
      <c r="AC373" s="334">
        <f>IFERROR((VLOOKUP(Calculations[[#This Row],[Waste type 2]],WasteLandfillEmissions[#All],2,FALSE))*Calculations[[#This Row],[Total Kg]]*VLOOKUP(Calculations[[#This Row],[Waste 1]],WasteScenario[#All],4,FALSE),0)</f>
        <v>0</v>
      </c>
      <c r="AD373" s="322">
        <f>IFERROR((VLOOKUP(Calculations[[#This Row],[Waste type 2]],WasteLandfillEmissions[#All],3,FALSE))*Calculations[[#This Row],[Total Kg]]*VLOOKUP(Calculations[[#This Row],[Waste 1]],WasteScenario[#All],4,FALSE),0)</f>
        <v>0</v>
      </c>
      <c r="AE373" s="322">
        <f>SUM(Calculations[[#This Row],[C4 landfill]:[C4 re-use]])</f>
        <v>0</v>
      </c>
      <c r="AF373" s="322">
        <f>IFERROR(VLOOKUP(Calculations[[#This Row],[Material (choose from dropdown]],MaterialData[#All],8,FALSE),0)</f>
        <v>0</v>
      </c>
      <c r="AG373" s="322">
        <f>IFERROR(Calculations[[#This Row],[Total Kg]]*Calculations[[#This Row],[Seq factor]],0)</f>
        <v>0</v>
      </c>
      <c r="AI373" s="322">
        <f>Calculations[[#This Row],[A1-3]]+Calculations[[#This Row],[A4]]+Calculations[[#This Row],[A5]]+Calculations[[#This Row],[B4]]+Calculations[[#This Row],[C2 total]]+Calculations[[#This Row],[C3 total]]+Calculations[[#This Row],[C4 total]]</f>
        <v>0</v>
      </c>
      <c r="AJ373" s="2">
        <f>IFERROR(VLOOKUP(Calculations[[#This Row],[Material (choose from dropdown]],MaterialData[[#Headers],[#Data]],9,FALSE),0)</f>
        <v>0</v>
      </c>
      <c r="AK373" s="4">
        <f>IFERROR(VLOOKUP(Calculations[[#This Row],[Material (choose from dropdown]],MaterialData[[#Headers],[#Data]],10,FALSE),0)</f>
        <v>0</v>
      </c>
      <c r="AL373" s="322">
        <f>IFERROR(Calculations[[#This Row],[Data Quality Score]]*Calculations[[#This Row],[Total Kg]],0)</f>
        <v>0</v>
      </c>
    </row>
    <row r="374" spans="1:38" x14ac:dyDescent="0.3">
      <c r="A374" s="6">
        <f>IFERROR(MaterialsBoQ[[#This Row],[Scope Element]],0)</f>
        <v>0</v>
      </c>
      <c r="B374" t="str">
        <f>IFERROR(MaterialsBoQ[[#This Row],[Material ]],"")</f>
        <v/>
      </c>
      <c r="C374" t="str">
        <f>IFERROR(MaterialsBoQ[[#This Row],[Unit]],"")</f>
        <v/>
      </c>
      <c r="D374" s="322">
        <f>IFERROR(MaterialsBoQ[[#This Row],[Number]],0)</f>
        <v>0</v>
      </c>
      <c r="E374" s="322">
        <f>IFERROR(MaterialsBoQ[[#This Row],[Kg per unit]],0)</f>
        <v>0</v>
      </c>
      <c r="F374" s="322">
        <f>IFERROR(Calculations[[#This Row],[Number]]*Calculations[[#This Row],[Conversion factor]],0)</f>
        <v>0</v>
      </c>
      <c r="G374" s="322">
        <f>IFERROR(VLOOKUP(Calculations[[#This Row],[Material (choose from dropdown]],MaterialData[#All],7,FALSE),0)</f>
        <v>0</v>
      </c>
      <c r="H374" s="322">
        <f>Calculations[[#This Row],[Total Kg]]*Calculations[[#This Row],[Carbon Factor]]</f>
        <v>0</v>
      </c>
      <c r="I374" t="str">
        <f>IFERROR(VLOOKUP(Calculations[[#This Row],[Material (choose from dropdown]],MaterialData[#All],2,FALSE),"")</f>
        <v/>
      </c>
      <c r="J374" s="322">
        <f>IFERROR(((VLOOKUP(Calculations[[#This Row],[TransportSource]],TransportDistance[],2,FALSE)*'Stage assumptions'!$C$11)+VLOOKUP(Calculations[[#This Row],[TransportSource]],TransportDistance[],3,FALSE)*'Stage assumptions'!$C$12)*Calculations[[#This Row],[Total Kg]],0)</f>
        <v>0</v>
      </c>
      <c r="K374">
        <f>IFERROR(VLOOKUP(Calculations[[#This Row],[Material (choose from dropdown]], MaterialData[#All],3, FALSE),0)</f>
        <v>0</v>
      </c>
      <c r="L374" s="322">
        <f>IFERROR(VLOOKUP(Calculations[[#This Row],[A5type]],A5WastageRate[#All],2,FALSE)*Calculations[[#This Row],[A1-3]],0)</f>
        <v>0</v>
      </c>
      <c r="N374">
        <f>IFERROR(ROUNDUP(50/VLOOKUP(Calculations[[#This Row],[Scope Element]],B4referenceServiceLife[[Tier 2 element]:[Default Service Life]],2, FALSE)-1,0),0)</f>
        <v>0</v>
      </c>
      <c r="O374" s="322">
        <f>IFERROR((Calculations[[#This Row],[A1-3]]+Calculations[[#This Row],[A4]]+Calculations[[#This Row],[A5]]+Calculations[[#This Row],[C2 total]]+Calculations[[#This Row],[C3 total]]+Calculations[[#This Row],[C4 total]])*Calculations[[#This Row],[Replacements]],0)</f>
        <v>0</v>
      </c>
      <c r="S374" t="str">
        <f>IFERROR(VLOOKUP(Calculations[[#This Row],[Material (choose from dropdown]],MaterialData[#All],4,FALSE),"")</f>
        <v/>
      </c>
      <c r="T374" s="322" cm="1">
        <f t="array" ref="T374">IFERROR(VLOOKUP(Calculations[[#This Row],[Waste 1]],WasteScenario[#All],2,FALSE)*'Stage assumptions'!$C$225*WasteTransportMethod[Emissions Factor
kgCO2e/kg.km]*Calculations[[#This Row],[Total Kg]],0)</f>
        <v>0</v>
      </c>
      <c r="U374" s="322" cm="1">
        <f t="array" ref="U374">IFERROR(VLOOKUP(Calculations[[#This Row],[Waste 1]],WasteScenario[#All],3,FALSE)*'Stage assumptions'!$C$224*WasteTransportMethod[Emissions Factor
kgCO2e/kg.km]*Calculations[[#This Row],[Total Kg]],0)</f>
        <v>0</v>
      </c>
      <c r="V374" s="322" cm="1">
        <f t="array" ref="V374">IFERROR(VLOOKUP(Calculations[[#This Row],[Waste 1]],WasteScenario[#All],4,FALSE)*'Stage assumptions'!$C$223*WasteTransportMethod[Emissions Factor
kgCO2e/kg.km]*Calculations[[#This Row],[Total Kg]],0)</f>
        <v>0</v>
      </c>
      <c r="W374" s="322" cm="1">
        <f t="array" ref="W374">IFERROR(VLOOKUP(Calculations[[#This Row],[Waste 1]],WasteScenario[#All],5,FALSE)*'Stage assumptions'!$C$226*WasteTransportMethod[Emissions Factor
kgCO2e/kg.km]*Calculations[[#This Row],[Total Kg]],0)</f>
        <v>0</v>
      </c>
      <c r="X374" s="322">
        <f>SUM(Calculations[[#This Row],[C2 Recycle]:[C2 Reuse]])</f>
        <v>0</v>
      </c>
      <c r="Y374" t="str">
        <f>IFERROR(VLOOKUP(Calculations[[#This Row],[Material (choose from dropdown]],MaterialData[#All],5,FALSE),"")</f>
        <v/>
      </c>
      <c r="Z374" s="322">
        <f>IFERROR(((VLOOKUP(Calculations[[#This Row],[Waste type 2]],WasteDisposalEmissions[#All],2,FALSE))*Calculations[[#This Row],[Total Kg]])*VLOOKUP(Calculations[[#This Row],[Waste 1]],WasteScenario[#All],2,FALSE),0)</f>
        <v>0</v>
      </c>
      <c r="AA374" s="322">
        <f>IFERROR((VLOOKUP(Calculations[[#This Row],[Waste type 2]],WasteDisposalEmissions[#All],3,FALSE))*Calculations[[#This Row],[Total Kg]]*VLOOKUP(Calculations[[#This Row],[Waste 1]],WasteScenario[#All],3,FALSE),0)</f>
        <v>0</v>
      </c>
      <c r="AB374" s="322">
        <f>SUM(Calculations[[#This Row],[C3 recyc]:[C3 incin]])</f>
        <v>0</v>
      </c>
      <c r="AC374" s="334">
        <f>IFERROR((VLOOKUP(Calculations[[#This Row],[Waste type 2]],WasteLandfillEmissions[#All],2,FALSE))*Calculations[[#This Row],[Total Kg]]*VLOOKUP(Calculations[[#This Row],[Waste 1]],WasteScenario[#All],4,FALSE),0)</f>
        <v>0</v>
      </c>
      <c r="AD374" s="322">
        <f>IFERROR((VLOOKUP(Calculations[[#This Row],[Waste type 2]],WasteLandfillEmissions[#All],3,FALSE))*Calculations[[#This Row],[Total Kg]]*VLOOKUP(Calculations[[#This Row],[Waste 1]],WasteScenario[#All],4,FALSE),0)</f>
        <v>0</v>
      </c>
      <c r="AE374" s="322">
        <f>SUM(Calculations[[#This Row],[C4 landfill]:[C4 re-use]])</f>
        <v>0</v>
      </c>
      <c r="AF374" s="322">
        <f>IFERROR(VLOOKUP(Calculations[[#This Row],[Material (choose from dropdown]],MaterialData[#All],8,FALSE),0)</f>
        <v>0</v>
      </c>
      <c r="AG374" s="322">
        <f>IFERROR(Calculations[[#This Row],[Total Kg]]*Calculations[[#This Row],[Seq factor]],0)</f>
        <v>0</v>
      </c>
      <c r="AI374" s="322">
        <f>Calculations[[#This Row],[A1-3]]+Calculations[[#This Row],[A4]]+Calculations[[#This Row],[A5]]+Calculations[[#This Row],[B4]]+Calculations[[#This Row],[C2 total]]+Calculations[[#This Row],[C3 total]]+Calculations[[#This Row],[C4 total]]</f>
        <v>0</v>
      </c>
      <c r="AJ374" s="2">
        <f>IFERROR(VLOOKUP(Calculations[[#This Row],[Material (choose from dropdown]],MaterialData[[#Headers],[#Data]],9,FALSE),0)</f>
        <v>0</v>
      </c>
      <c r="AK374" s="4">
        <f>IFERROR(VLOOKUP(Calculations[[#This Row],[Material (choose from dropdown]],MaterialData[[#Headers],[#Data]],10,FALSE),0)</f>
        <v>0</v>
      </c>
      <c r="AL374" s="322">
        <f>IFERROR(Calculations[[#This Row],[Data Quality Score]]*Calculations[[#This Row],[Total Kg]],0)</f>
        <v>0</v>
      </c>
    </row>
    <row r="375" spans="1:38" x14ac:dyDescent="0.3">
      <c r="A375" s="6">
        <f>IFERROR(MaterialsBoQ[[#This Row],[Scope Element]],0)</f>
        <v>0</v>
      </c>
      <c r="B375" t="str">
        <f>IFERROR(MaterialsBoQ[[#This Row],[Material ]],"")</f>
        <v/>
      </c>
      <c r="C375" t="str">
        <f>IFERROR(MaterialsBoQ[[#This Row],[Unit]],"")</f>
        <v/>
      </c>
      <c r="D375" s="322">
        <f>IFERROR(MaterialsBoQ[[#This Row],[Number]],0)</f>
        <v>0</v>
      </c>
      <c r="E375" s="322">
        <f>IFERROR(MaterialsBoQ[[#This Row],[Kg per unit]],0)</f>
        <v>0</v>
      </c>
      <c r="F375" s="322">
        <f>IFERROR(Calculations[[#This Row],[Number]]*Calculations[[#This Row],[Conversion factor]],0)</f>
        <v>0</v>
      </c>
      <c r="G375" s="322">
        <f>IFERROR(VLOOKUP(Calculations[[#This Row],[Material (choose from dropdown]],MaterialData[#All],7,FALSE),0)</f>
        <v>0</v>
      </c>
      <c r="H375" s="322">
        <f>Calculations[[#This Row],[Total Kg]]*Calculations[[#This Row],[Carbon Factor]]</f>
        <v>0</v>
      </c>
      <c r="I375" t="str">
        <f>IFERROR(VLOOKUP(Calculations[[#This Row],[Material (choose from dropdown]],MaterialData[#All],2,FALSE),"")</f>
        <v/>
      </c>
      <c r="J375" s="322">
        <f>IFERROR(((VLOOKUP(Calculations[[#This Row],[TransportSource]],TransportDistance[],2,FALSE)*'Stage assumptions'!$C$11)+VLOOKUP(Calculations[[#This Row],[TransportSource]],TransportDistance[],3,FALSE)*'Stage assumptions'!$C$12)*Calculations[[#This Row],[Total Kg]],0)</f>
        <v>0</v>
      </c>
      <c r="K375">
        <f>IFERROR(VLOOKUP(Calculations[[#This Row],[Material (choose from dropdown]], MaterialData[#All],3, FALSE),0)</f>
        <v>0</v>
      </c>
      <c r="L375" s="322">
        <f>IFERROR(VLOOKUP(Calculations[[#This Row],[A5type]],A5WastageRate[#All],2,FALSE)*Calculations[[#This Row],[A1-3]],0)</f>
        <v>0</v>
      </c>
      <c r="N375">
        <f>IFERROR(ROUNDUP(50/VLOOKUP(Calculations[[#This Row],[Scope Element]],B4referenceServiceLife[[Tier 2 element]:[Default Service Life]],2, FALSE)-1,0),0)</f>
        <v>0</v>
      </c>
      <c r="O375" s="322">
        <f>IFERROR((Calculations[[#This Row],[A1-3]]+Calculations[[#This Row],[A4]]+Calculations[[#This Row],[A5]]+Calculations[[#This Row],[C2 total]]+Calculations[[#This Row],[C3 total]]+Calculations[[#This Row],[C4 total]])*Calculations[[#This Row],[Replacements]],0)</f>
        <v>0</v>
      </c>
      <c r="S375" t="str">
        <f>IFERROR(VLOOKUP(Calculations[[#This Row],[Material (choose from dropdown]],MaterialData[#All],4,FALSE),"")</f>
        <v/>
      </c>
      <c r="T375" s="322" cm="1">
        <f t="array" ref="T375">IFERROR(VLOOKUP(Calculations[[#This Row],[Waste 1]],WasteScenario[#All],2,FALSE)*'Stage assumptions'!$C$225*WasteTransportMethod[Emissions Factor
kgCO2e/kg.km]*Calculations[[#This Row],[Total Kg]],0)</f>
        <v>0</v>
      </c>
      <c r="U375" s="322" cm="1">
        <f t="array" ref="U375">IFERROR(VLOOKUP(Calculations[[#This Row],[Waste 1]],WasteScenario[#All],3,FALSE)*'Stage assumptions'!$C$224*WasteTransportMethod[Emissions Factor
kgCO2e/kg.km]*Calculations[[#This Row],[Total Kg]],0)</f>
        <v>0</v>
      </c>
      <c r="V375" s="322" cm="1">
        <f t="array" ref="V375">IFERROR(VLOOKUP(Calculations[[#This Row],[Waste 1]],WasteScenario[#All],4,FALSE)*'Stage assumptions'!$C$223*WasteTransportMethod[Emissions Factor
kgCO2e/kg.km]*Calculations[[#This Row],[Total Kg]],0)</f>
        <v>0</v>
      </c>
      <c r="W375" s="322" cm="1">
        <f t="array" ref="W375">IFERROR(VLOOKUP(Calculations[[#This Row],[Waste 1]],WasteScenario[#All],5,FALSE)*'Stage assumptions'!$C$226*WasteTransportMethod[Emissions Factor
kgCO2e/kg.km]*Calculations[[#This Row],[Total Kg]],0)</f>
        <v>0</v>
      </c>
      <c r="X375" s="322">
        <f>SUM(Calculations[[#This Row],[C2 Recycle]:[C2 Reuse]])</f>
        <v>0</v>
      </c>
      <c r="Y375" t="str">
        <f>IFERROR(VLOOKUP(Calculations[[#This Row],[Material (choose from dropdown]],MaterialData[#All],5,FALSE),"")</f>
        <v/>
      </c>
      <c r="Z375" s="322">
        <f>IFERROR(((VLOOKUP(Calculations[[#This Row],[Waste type 2]],WasteDisposalEmissions[#All],2,FALSE))*Calculations[[#This Row],[Total Kg]])*VLOOKUP(Calculations[[#This Row],[Waste 1]],WasteScenario[#All],2,FALSE),0)</f>
        <v>0</v>
      </c>
      <c r="AA375" s="322">
        <f>IFERROR((VLOOKUP(Calculations[[#This Row],[Waste type 2]],WasteDisposalEmissions[#All],3,FALSE))*Calculations[[#This Row],[Total Kg]]*VLOOKUP(Calculations[[#This Row],[Waste 1]],WasteScenario[#All],3,FALSE),0)</f>
        <v>0</v>
      </c>
      <c r="AB375" s="322">
        <f>SUM(Calculations[[#This Row],[C3 recyc]:[C3 incin]])</f>
        <v>0</v>
      </c>
      <c r="AC375" s="334">
        <f>IFERROR((VLOOKUP(Calculations[[#This Row],[Waste type 2]],WasteLandfillEmissions[#All],2,FALSE))*Calculations[[#This Row],[Total Kg]]*VLOOKUP(Calculations[[#This Row],[Waste 1]],WasteScenario[#All],4,FALSE),0)</f>
        <v>0</v>
      </c>
      <c r="AD375" s="322">
        <f>IFERROR((VLOOKUP(Calculations[[#This Row],[Waste type 2]],WasteLandfillEmissions[#All],3,FALSE))*Calculations[[#This Row],[Total Kg]]*VLOOKUP(Calculations[[#This Row],[Waste 1]],WasteScenario[#All],4,FALSE),0)</f>
        <v>0</v>
      </c>
      <c r="AE375" s="322">
        <f>SUM(Calculations[[#This Row],[C4 landfill]:[C4 re-use]])</f>
        <v>0</v>
      </c>
      <c r="AF375" s="322">
        <f>IFERROR(VLOOKUP(Calculations[[#This Row],[Material (choose from dropdown]],MaterialData[#All],8,FALSE),0)</f>
        <v>0</v>
      </c>
      <c r="AG375" s="322">
        <f>IFERROR(Calculations[[#This Row],[Total Kg]]*Calculations[[#This Row],[Seq factor]],0)</f>
        <v>0</v>
      </c>
      <c r="AI375" s="322">
        <f>Calculations[[#This Row],[A1-3]]+Calculations[[#This Row],[A4]]+Calculations[[#This Row],[A5]]+Calculations[[#This Row],[B4]]+Calculations[[#This Row],[C2 total]]+Calculations[[#This Row],[C3 total]]+Calculations[[#This Row],[C4 total]]</f>
        <v>0</v>
      </c>
      <c r="AJ375" s="2">
        <f>IFERROR(VLOOKUP(Calculations[[#This Row],[Material (choose from dropdown]],MaterialData[[#Headers],[#Data]],9,FALSE),0)</f>
        <v>0</v>
      </c>
      <c r="AK375" s="4">
        <f>IFERROR(VLOOKUP(Calculations[[#This Row],[Material (choose from dropdown]],MaterialData[[#Headers],[#Data]],10,FALSE),0)</f>
        <v>0</v>
      </c>
      <c r="AL375" s="322">
        <f>IFERROR(Calculations[[#This Row],[Data Quality Score]]*Calculations[[#This Row],[Total Kg]],0)</f>
        <v>0</v>
      </c>
    </row>
    <row r="376" spans="1:38" x14ac:dyDescent="0.3">
      <c r="A376" s="6">
        <f>IFERROR(MaterialsBoQ[[#This Row],[Scope Element]],0)</f>
        <v>0</v>
      </c>
      <c r="B376" t="str">
        <f>IFERROR(MaterialsBoQ[[#This Row],[Material ]],"")</f>
        <v/>
      </c>
      <c r="C376" t="str">
        <f>IFERROR(MaterialsBoQ[[#This Row],[Unit]],"")</f>
        <v/>
      </c>
      <c r="D376" s="322">
        <f>IFERROR(MaterialsBoQ[[#This Row],[Number]],0)</f>
        <v>0</v>
      </c>
      <c r="E376" s="322">
        <f>IFERROR(MaterialsBoQ[[#This Row],[Kg per unit]],0)</f>
        <v>0</v>
      </c>
      <c r="F376" s="322">
        <f>IFERROR(Calculations[[#This Row],[Number]]*Calculations[[#This Row],[Conversion factor]],0)</f>
        <v>0</v>
      </c>
      <c r="G376" s="322">
        <f>IFERROR(VLOOKUP(Calculations[[#This Row],[Material (choose from dropdown]],MaterialData[#All],7,FALSE),0)</f>
        <v>0</v>
      </c>
      <c r="H376" s="322">
        <f>Calculations[[#This Row],[Total Kg]]*Calculations[[#This Row],[Carbon Factor]]</f>
        <v>0</v>
      </c>
      <c r="I376" t="str">
        <f>IFERROR(VLOOKUP(Calculations[[#This Row],[Material (choose from dropdown]],MaterialData[#All],2,FALSE),"")</f>
        <v/>
      </c>
      <c r="J376" s="322">
        <f>IFERROR(((VLOOKUP(Calculations[[#This Row],[TransportSource]],TransportDistance[],2,FALSE)*'Stage assumptions'!$C$11)+VLOOKUP(Calculations[[#This Row],[TransportSource]],TransportDistance[],3,FALSE)*'Stage assumptions'!$C$12)*Calculations[[#This Row],[Total Kg]],0)</f>
        <v>0</v>
      </c>
      <c r="K376">
        <f>IFERROR(VLOOKUP(Calculations[[#This Row],[Material (choose from dropdown]], MaterialData[#All],3, FALSE),0)</f>
        <v>0</v>
      </c>
      <c r="L376" s="322">
        <f>IFERROR(VLOOKUP(Calculations[[#This Row],[A5type]],A5WastageRate[#All],2,FALSE)*Calculations[[#This Row],[A1-3]],0)</f>
        <v>0</v>
      </c>
      <c r="N376">
        <f>IFERROR(ROUNDUP(50/VLOOKUP(Calculations[[#This Row],[Scope Element]],B4referenceServiceLife[[Tier 2 element]:[Default Service Life]],2, FALSE)-1,0),0)</f>
        <v>0</v>
      </c>
      <c r="O376" s="322">
        <f>IFERROR((Calculations[[#This Row],[A1-3]]+Calculations[[#This Row],[A4]]+Calculations[[#This Row],[A5]]+Calculations[[#This Row],[C2 total]]+Calculations[[#This Row],[C3 total]]+Calculations[[#This Row],[C4 total]])*Calculations[[#This Row],[Replacements]],0)</f>
        <v>0</v>
      </c>
      <c r="S376" t="str">
        <f>IFERROR(VLOOKUP(Calculations[[#This Row],[Material (choose from dropdown]],MaterialData[#All],4,FALSE),"")</f>
        <v/>
      </c>
      <c r="T376" s="322" cm="1">
        <f t="array" ref="T376">IFERROR(VLOOKUP(Calculations[[#This Row],[Waste 1]],WasteScenario[#All],2,FALSE)*'Stage assumptions'!$C$225*WasteTransportMethod[Emissions Factor
kgCO2e/kg.km]*Calculations[[#This Row],[Total Kg]],0)</f>
        <v>0</v>
      </c>
      <c r="U376" s="322" cm="1">
        <f t="array" ref="U376">IFERROR(VLOOKUP(Calculations[[#This Row],[Waste 1]],WasteScenario[#All],3,FALSE)*'Stage assumptions'!$C$224*WasteTransportMethod[Emissions Factor
kgCO2e/kg.km]*Calculations[[#This Row],[Total Kg]],0)</f>
        <v>0</v>
      </c>
      <c r="V376" s="322" cm="1">
        <f t="array" ref="V376">IFERROR(VLOOKUP(Calculations[[#This Row],[Waste 1]],WasteScenario[#All],4,FALSE)*'Stage assumptions'!$C$223*WasteTransportMethod[Emissions Factor
kgCO2e/kg.km]*Calculations[[#This Row],[Total Kg]],0)</f>
        <v>0</v>
      </c>
      <c r="W376" s="322" cm="1">
        <f t="array" ref="W376">IFERROR(VLOOKUP(Calculations[[#This Row],[Waste 1]],WasteScenario[#All],5,FALSE)*'Stage assumptions'!$C$226*WasteTransportMethod[Emissions Factor
kgCO2e/kg.km]*Calculations[[#This Row],[Total Kg]],0)</f>
        <v>0</v>
      </c>
      <c r="X376" s="322">
        <f>SUM(Calculations[[#This Row],[C2 Recycle]:[C2 Reuse]])</f>
        <v>0</v>
      </c>
      <c r="Y376" t="str">
        <f>IFERROR(VLOOKUP(Calculations[[#This Row],[Material (choose from dropdown]],MaterialData[#All],5,FALSE),"")</f>
        <v/>
      </c>
      <c r="Z376" s="322">
        <f>IFERROR(((VLOOKUP(Calculations[[#This Row],[Waste type 2]],WasteDisposalEmissions[#All],2,FALSE))*Calculations[[#This Row],[Total Kg]])*VLOOKUP(Calculations[[#This Row],[Waste 1]],WasteScenario[#All],2,FALSE),0)</f>
        <v>0</v>
      </c>
      <c r="AA376" s="322">
        <f>IFERROR((VLOOKUP(Calculations[[#This Row],[Waste type 2]],WasteDisposalEmissions[#All],3,FALSE))*Calculations[[#This Row],[Total Kg]]*VLOOKUP(Calculations[[#This Row],[Waste 1]],WasteScenario[#All],3,FALSE),0)</f>
        <v>0</v>
      </c>
      <c r="AB376" s="322">
        <f>SUM(Calculations[[#This Row],[C3 recyc]:[C3 incin]])</f>
        <v>0</v>
      </c>
      <c r="AC376" s="334">
        <f>IFERROR((VLOOKUP(Calculations[[#This Row],[Waste type 2]],WasteLandfillEmissions[#All],2,FALSE))*Calculations[[#This Row],[Total Kg]]*VLOOKUP(Calculations[[#This Row],[Waste 1]],WasteScenario[#All],4,FALSE),0)</f>
        <v>0</v>
      </c>
      <c r="AD376" s="322">
        <f>IFERROR((VLOOKUP(Calculations[[#This Row],[Waste type 2]],WasteLandfillEmissions[#All],3,FALSE))*Calculations[[#This Row],[Total Kg]]*VLOOKUP(Calculations[[#This Row],[Waste 1]],WasteScenario[#All],4,FALSE),0)</f>
        <v>0</v>
      </c>
      <c r="AE376" s="322">
        <f>SUM(Calculations[[#This Row],[C4 landfill]:[C4 re-use]])</f>
        <v>0</v>
      </c>
      <c r="AF376" s="322">
        <f>IFERROR(VLOOKUP(Calculations[[#This Row],[Material (choose from dropdown]],MaterialData[#All],8,FALSE),0)</f>
        <v>0</v>
      </c>
      <c r="AG376" s="322">
        <f>IFERROR(Calculations[[#This Row],[Total Kg]]*Calculations[[#This Row],[Seq factor]],0)</f>
        <v>0</v>
      </c>
      <c r="AI376" s="322">
        <f>Calculations[[#This Row],[A1-3]]+Calculations[[#This Row],[A4]]+Calculations[[#This Row],[A5]]+Calculations[[#This Row],[B4]]+Calculations[[#This Row],[C2 total]]+Calculations[[#This Row],[C3 total]]+Calculations[[#This Row],[C4 total]]</f>
        <v>0</v>
      </c>
      <c r="AJ376" s="2">
        <f>IFERROR(VLOOKUP(Calculations[[#This Row],[Material (choose from dropdown]],MaterialData[[#Headers],[#Data]],9,FALSE),0)</f>
        <v>0</v>
      </c>
      <c r="AK376" s="4">
        <f>IFERROR(VLOOKUP(Calculations[[#This Row],[Material (choose from dropdown]],MaterialData[[#Headers],[#Data]],10,FALSE),0)</f>
        <v>0</v>
      </c>
      <c r="AL376" s="322">
        <f>IFERROR(Calculations[[#This Row],[Data Quality Score]]*Calculations[[#This Row],[Total Kg]],0)</f>
        <v>0</v>
      </c>
    </row>
    <row r="377" spans="1:38" x14ac:dyDescent="0.3">
      <c r="A377" s="6">
        <f>IFERROR(MaterialsBoQ[[#This Row],[Scope Element]],0)</f>
        <v>0</v>
      </c>
      <c r="B377" t="str">
        <f>IFERROR(MaterialsBoQ[[#This Row],[Material ]],"")</f>
        <v/>
      </c>
      <c r="C377" t="str">
        <f>IFERROR(MaterialsBoQ[[#This Row],[Unit]],"")</f>
        <v/>
      </c>
      <c r="D377" s="322">
        <f>IFERROR(MaterialsBoQ[[#This Row],[Number]],0)</f>
        <v>0</v>
      </c>
      <c r="E377" s="322">
        <f>IFERROR(MaterialsBoQ[[#This Row],[Kg per unit]],0)</f>
        <v>0</v>
      </c>
      <c r="F377" s="322">
        <f>IFERROR(Calculations[[#This Row],[Number]]*Calculations[[#This Row],[Conversion factor]],0)</f>
        <v>0</v>
      </c>
      <c r="G377" s="322">
        <f>IFERROR(VLOOKUP(Calculations[[#This Row],[Material (choose from dropdown]],MaterialData[#All],7,FALSE),0)</f>
        <v>0</v>
      </c>
      <c r="H377" s="322">
        <f>Calculations[[#This Row],[Total Kg]]*Calculations[[#This Row],[Carbon Factor]]</f>
        <v>0</v>
      </c>
      <c r="I377" t="str">
        <f>IFERROR(VLOOKUP(Calculations[[#This Row],[Material (choose from dropdown]],MaterialData[#All],2,FALSE),"")</f>
        <v/>
      </c>
      <c r="J377" s="322">
        <f>IFERROR(((VLOOKUP(Calculations[[#This Row],[TransportSource]],TransportDistance[],2,FALSE)*'Stage assumptions'!$C$11)+VLOOKUP(Calculations[[#This Row],[TransportSource]],TransportDistance[],3,FALSE)*'Stage assumptions'!$C$12)*Calculations[[#This Row],[Total Kg]],0)</f>
        <v>0</v>
      </c>
      <c r="K377">
        <f>IFERROR(VLOOKUP(Calculations[[#This Row],[Material (choose from dropdown]], MaterialData[#All],3, FALSE),0)</f>
        <v>0</v>
      </c>
      <c r="L377" s="322">
        <f>IFERROR(VLOOKUP(Calculations[[#This Row],[A5type]],A5WastageRate[#All],2,FALSE)*Calculations[[#This Row],[A1-3]],0)</f>
        <v>0</v>
      </c>
      <c r="N377">
        <f>IFERROR(ROUNDUP(50/VLOOKUP(Calculations[[#This Row],[Scope Element]],B4referenceServiceLife[[Tier 2 element]:[Default Service Life]],2, FALSE)-1,0),0)</f>
        <v>0</v>
      </c>
      <c r="O377" s="322">
        <f>IFERROR((Calculations[[#This Row],[A1-3]]+Calculations[[#This Row],[A4]]+Calculations[[#This Row],[A5]]+Calculations[[#This Row],[C2 total]]+Calculations[[#This Row],[C3 total]]+Calculations[[#This Row],[C4 total]])*Calculations[[#This Row],[Replacements]],0)</f>
        <v>0</v>
      </c>
      <c r="S377" t="str">
        <f>IFERROR(VLOOKUP(Calculations[[#This Row],[Material (choose from dropdown]],MaterialData[#All],4,FALSE),"")</f>
        <v/>
      </c>
      <c r="T377" s="322" cm="1">
        <f t="array" ref="T377">IFERROR(VLOOKUP(Calculations[[#This Row],[Waste 1]],WasteScenario[#All],2,FALSE)*'Stage assumptions'!$C$225*WasteTransportMethod[Emissions Factor
kgCO2e/kg.km]*Calculations[[#This Row],[Total Kg]],0)</f>
        <v>0</v>
      </c>
      <c r="U377" s="322" cm="1">
        <f t="array" ref="U377">IFERROR(VLOOKUP(Calculations[[#This Row],[Waste 1]],WasteScenario[#All],3,FALSE)*'Stage assumptions'!$C$224*WasteTransportMethod[Emissions Factor
kgCO2e/kg.km]*Calculations[[#This Row],[Total Kg]],0)</f>
        <v>0</v>
      </c>
      <c r="V377" s="322" cm="1">
        <f t="array" ref="V377">IFERROR(VLOOKUP(Calculations[[#This Row],[Waste 1]],WasteScenario[#All],4,FALSE)*'Stage assumptions'!$C$223*WasteTransportMethod[Emissions Factor
kgCO2e/kg.km]*Calculations[[#This Row],[Total Kg]],0)</f>
        <v>0</v>
      </c>
      <c r="W377" s="322" cm="1">
        <f t="array" ref="W377">IFERROR(VLOOKUP(Calculations[[#This Row],[Waste 1]],WasteScenario[#All],5,FALSE)*'Stage assumptions'!$C$226*WasteTransportMethod[Emissions Factor
kgCO2e/kg.km]*Calculations[[#This Row],[Total Kg]],0)</f>
        <v>0</v>
      </c>
      <c r="X377" s="322">
        <f>SUM(Calculations[[#This Row],[C2 Recycle]:[C2 Reuse]])</f>
        <v>0</v>
      </c>
      <c r="Y377" t="str">
        <f>IFERROR(VLOOKUP(Calculations[[#This Row],[Material (choose from dropdown]],MaterialData[#All],5,FALSE),"")</f>
        <v/>
      </c>
      <c r="Z377" s="322">
        <f>IFERROR(((VLOOKUP(Calculations[[#This Row],[Waste type 2]],WasteDisposalEmissions[#All],2,FALSE))*Calculations[[#This Row],[Total Kg]])*VLOOKUP(Calculations[[#This Row],[Waste 1]],WasteScenario[#All],2,FALSE),0)</f>
        <v>0</v>
      </c>
      <c r="AA377" s="322">
        <f>IFERROR((VLOOKUP(Calculations[[#This Row],[Waste type 2]],WasteDisposalEmissions[#All],3,FALSE))*Calculations[[#This Row],[Total Kg]]*VLOOKUP(Calculations[[#This Row],[Waste 1]],WasteScenario[#All],3,FALSE),0)</f>
        <v>0</v>
      </c>
      <c r="AB377" s="322">
        <f>SUM(Calculations[[#This Row],[C3 recyc]:[C3 incin]])</f>
        <v>0</v>
      </c>
      <c r="AC377" s="334">
        <f>IFERROR((VLOOKUP(Calculations[[#This Row],[Waste type 2]],WasteLandfillEmissions[#All],2,FALSE))*Calculations[[#This Row],[Total Kg]]*VLOOKUP(Calculations[[#This Row],[Waste 1]],WasteScenario[#All],4,FALSE),0)</f>
        <v>0</v>
      </c>
      <c r="AD377" s="322">
        <f>IFERROR((VLOOKUP(Calculations[[#This Row],[Waste type 2]],WasteLandfillEmissions[#All],3,FALSE))*Calculations[[#This Row],[Total Kg]]*VLOOKUP(Calculations[[#This Row],[Waste 1]],WasteScenario[#All],4,FALSE),0)</f>
        <v>0</v>
      </c>
      <c r="AE377" s="322">
        <f>SUM(Calculations[[#This Row],[C4 landfill]:[C4 re-use]])</f>
        <v>0</v>
      </c>
      <c r="AF377" s="322">
        <f>IFERROR(VLOOKUP(Calculations[[#This Row],[Material (choose from dropdown]],MaterialData[#All],8,FALSE),0)</f>
        <v>0</v>
      </c>
      <c r="AG377" s="322">
        <f>IFERROR(Calculations[[#This Row],[Total Kg]]*Calculations[[#This Row],[Seq factor]],0)</f>
        <v>0</v>
      </c>
      <c r="AI377" s="322">
        <f>Calculations[[#This Row],[A1-3]]+Calculations[[#This Row],[A4]]+Calculations[[#This Row],[A5]]+Calculations[[#This Row],[B4]]+Calculations[[#This Row],[C2 total]]+Calculations[[#This Row],[C3 total]]+Calculations[[#This Row],[C4 total]]</f>
        <v>0</v>
      </c>
      <c r="AJ377" s="2">
        <f>IFERROR(VLOOKUP(Calculations[[#This Row],[Material (choose from dropdown]],MaterialData[[#Headers],[#Data]],9,FALSE),0)</f>
        <v>0</v>
      </c>
      <c r="AK377" s="4">
        <f>IFERROR(VLOOKUP(Calculations[[#This Row],[Material (choose from dropdown]],MaterialData[[#Headers],[#Data]],10,FALSE),0)</f>
        <v>0</v>
      </c>
      <c r="AL377" s="322">
        <f>IFERROR(Calculations[[#This Row],[Data Quality Score]]*Calculations[[#This Row],[Total Kg]],0)</f>
        <v>0</v>
      </c>
    </row>
    <row r="378" spans="1:38" x14ac:dyDescent="0.3">
      <c r="A378" s="6">
        <f>IFERROR(MaterialsBoQ[[#This Row],[Scope Element]],0)</f>
        <v>0</v>
      </c>
      <c r="B378" t="str">
        <f>IFERROR(MaterialsBoQ[[#This Row],[Material ]],"")</f>
        <v/>
      </c>
      <c r="C378" t="str">
        <f>IFERROR(MaterialsBoQ[[#This Row],[Unit]],"")</f>
        <v/>
      </c>
      <c r="D378" s="322">
        <f>IFERROR(MaterialsBoQ[[#This Row],[Number]],0)</f>
        <v>0</v>
      </c>
      <c r="E378" s="322">
        <f>IFERROR(MaterialsBoQ[[#This Row],[Kg per unit]],0)</f>
        <v>0</v>
      </c>
      <c r="F378" s="322">
        <f>IFERROR(Calculations[[#This Row],[Number]]*Calculations[[#This Row],[Conversion factor]],0)</f>
        <v>0</v>
      </c>
      <c r="G378" s="322">
        <f>IFERROR(VLOOKUP(Calculations[[#This Row],[Material (choose from dropdown]],MaterialData[#All],7,FALSE),0)</f>
        <v>0</v>
      </c>
      <c r="H378" s="322">
        <f>Calculations[[#This Row],[Total Kg]]*Calculations[[#This Row],[Carbon Factor]]</f>
        <v>0</v>
      </c>
      <c r="I378" t="str">
        <f>IFERROR(VLOOKUP(Calculations[[#This Row],[Material (choose from dropdown]],MaterialData[#All],2,FALSE),"")</f>
        <v/>
      </c>
      <c r="J378" s="322">
        <f>IFERROR(((VLOOKUP(Calculations[[#This Row],[TransportSource]],TransportDistance[],2,FALSE)*'Stage assumptions'!$C$11)+VLOOKUP(Calculations[[#This Row],[TransportSource]],TransportDistance[],3,FALSE)*'Stage assumptions'!$C$12)*Calculations[[#This Row],[Total Kg]],0)</f>
        <v>0</v>
      </c>
      <c r="K378">
        <f>IFERROR(VLOOKUP(Calculations[[#This Row],[Material (choose from dropdown]], MaterialData[#All],3, FALSE),0)</f>
        <v>0</v>
      </c>
      <c r="L378" s="322">
        <f>IFERROR(VLOOKUP(Calculations[[#This Row],[A5type]],A5WastageRate[#All],2,FALSE)*Calculations[[#This Row],[A1-3]],0)</f>
        <v>0</v>
      </c>
      <c r="N378">
        <f>IFERROR(ROUNDUP(50/VLOOKUP(Calculations[[#This Row],[Scope Element]],B4referenceServiceLife[[Tier 2 element]:[Default Service Life]],2, FALSE)-1,0),0)</f>
        <v>0</v>
      </c>
      <c r="O378" s="322">
        <f>IFERROR((Calculations[[#This Row],[A1-3]]+Calculations[[#This Row],[A4]]+Calculations[[#This Row],[A5]]+Calculations[[#This Row],[C2 total]]+Calculations[[#This Row],[C3 total]]+Calculations[[#This Row],[C4 total]])*Calculations[[#This Row],[Replacements]],0)</f>
        <v>0</v>
      </c>
      <c r="S378" t="str">
        <f>IFERROR(VLOOKUP(Calculations[[#This Row],[Material (choose from dropdown]],MaterialData[#All],4,FALSE),"")</f>
        <v/>
      </c>
      <c r="T378" s="322" cm="1">
        <f t="array" ref="T378">IFERROR(VLOOKUP(Calculations[[#This Row],[Waste 1]],WasteScenario[#All],2,FALSE)*'Stage assumptions'!$C$225*WasteTransportMethod[Emissions Factor
kgCO2e/kg.km]*Calculations[[#This Row],[Total Kg]],0)</f>
        <v>0</v>
      </c>
      <c r="U378" s="322" cm="1">
        <f t="array" ref="U378">IFERROR(VLOOKUP(Calculations[[#This Row],[Waste 1]],WasteScenario[#All],3,FALSE)*'Stage assumptions'!$C$224*WasteTransportMethod[Emissions Factor
kgCO2e/kg.km]*Calculations[[#This Row],[Total Kg]],0)</f>
        <v>0</v>
      </c>
      <c r="V378" s="322" cm="1">
        <f t="array" ref="V378">IFERROR(VLOOKUP(Calculations[[#This Row],[Waste 1]],WasteScenario[#All],4,FALSE)*'Stage assumptions'!$C$223*WasteTransportMethod[Emissions Factor
kgCO2e/kg.km]*Calculations[[#This Row],[Total Kg]],0)</f>
        <v>0</v>
      </c>
      <c r="W378" s="322" cm="1">
        <f t="array" ref="W378">IFERROR(VLOOKUP(Calculations[[#This Row],[Waste 1]],WasteScenario[#All],5,FALSE)*'Stage assumptions'!$C$226*WasteTransportMethod[Emissions Factor
kgCO2e/kg.km]*Calculations[[#This Row],[Total Kg]],0)</f>
        <v>0</v>
      </c>
      <c r="X378" s="322">
        <f>SUM(Calculations[[#This Row],[C2 Recycle]:[C2 Reuse]])</f>
        <v>0</v>
      </c>
      <c r="Y378" t="str">
        <f>IFERROR(VLOOKUP(Calculations[[#This Row],[Material (choose from dropdown]],MaterialData[#All],5,FALSE),"")</f>
        <v/>
      </c>
      <c r="Z378" s="322">
        <f>IFERROR(((VLOOKUP(Calculations[[#This Row],[Waste type 2]],WasteDisposalEmissions[#All],2,FALSE))*Calculations[[#This Row],[Total Kg]])*VLOOKUP(Calculations[[#This Row],[Waste 1]],WasteScenario[#All],2,FALSE),0)</f>
        <v>0</v>
      </c>
      <c r="AA378" s="322">
        <f>IFERROR((VLOOKUP(Calculations[[#This Row],[Waste type 2]],WasteDisposalEmissions[#All],3,FALSE))*Calculations[[#This Row],[Total Kg]]*VLOOKUP(Calculations[[#This Row],[Waste 1]],WasteScenario[#All],3,FALSE),0)</f>
        <v>0</v>
      </c>
      <c r="AB378" s="322">
        <f>SUM(Calculations[[#This Row],[C3 recyc]:[C3 incin]])</f>
        <v>0</v>
      </c>
      <c r="AC378" s="334">
        <f>IFERROR((VLOOKUP(Calculations[[#This Row],[Waste type 2]],WasteLandfillEmissions[#All],2,FALSE))*Calculations[[#This Row],[Total Kg]]*VLOOKUP(Calculations[[#This Row],[Waste 1]],WasteScenario[#All],4,FALSE),0)</f>
        <v>0</v>
      </c>
      <c r="AD378" s="322">
        <f>IFERROR((VLOOKUP(Calculations[[#This Row],[Waste type 2]],WasteLandfillEmissions[#All],3,FALSE))*Calculations[[#This Row],[Total Kg]]*VLOOKUP(Calculations[[#This Row],[Waste 1]],WasteScenario[#All],4,FALSE),0)</f>
        <v>0</v>
      </c>
      <c r="AE378" s="322">
        <f>SUM(Calculations[[#This Row],[C4 landfill]:[C4 re-use]])</f>
        <v>0</v>
      </c>
      <c r="AF378" s="322">
        <f>IFERROR(VLOOKUP(Calculations[[#This Row],[Material (choose from dropdown]],MaterialData[#All],8,FALSE),0)</f>
        <v>0</v>
      </c>
      <c r="AG378" s="322">
        <f>IFERROR(Calculations[[#This Row],[Total Kg]]*Calculations[[#This Row],[Seq factor]],0)</f>
        <v>0</v>
      </c>
      <c r="AI378" s="322">
        <f>Calculations[[#This Row],[A1-3]]+Calculations[[#This Row],[A4]]+Calculations[[#This Row],[A5]]+Calculations[[#This Row],[B4]]+Calculations[[#This Row],[C2 total]]+Calculations[[#This Row],[C3 total]]+Calculations[[#This Row],[C4 total]]</f>
        <v>0</v>
      </c>
      <c r="AJ378" s="2">
        <f>IFERROR(VLOOKUP(Calculations[[#This Row],[Material (choose from dropdown]],MaterialData[[#Headers],[#Data]],9,FALSE),0)</f>
        <v>0</v>
      </c>
      <c r="AK378" s="4">
        <f>IFERROR(VLOOKUP(Calculations[[#This Row],[Material (choose from dropdown]],MaterialData[[#Headers],[#Data]],10,FALSE),0)</f>
        <v>0</v>
      </c>
      <c r="AL378" s="322">
        <f>IFERROR(Calculations[[#This Row],[Data Quality Score]]*Calculations[[#This Row],[Total Kg]],0)</f>
        <v>0</v>
      </c>
    </row>
    <row r="379" spans="1:38" x14ac:dyDescent="0.3">
      <c r="A379" s="6">
        <f>IFERROR(MaterialsBoQ[[#This Row],[Scope Element]],0)</f>
        <v>0</v>
      </c>
      <c r="B379" t="str">
        <f>IFERROR(MaterialsBoQ[[#This Row],[Material ]],"")</f>
        <v/>
      </c>
      <c r="C379" t="str">
        <f>IFERROR(MaterialsBoQ[[#This Row],[Unit]],"")</f>
        <v/>
      </c>
      <c r="D379" s="322">
        <f>IFERROR(MaterialsBoQ[[#This Row],[Number]],0)</f>
        <v>0</v>
      </c>
      <c r="E379" s="322">
        <f>IFERROR(MaterialsBoQ[[#This Row],[Kg per unit]],0)</f>
        <v>0</v>
      </c>
      <c r="F379" s="322">
        <f>IFERROR(Calculations[[#This Row],[Number]]*Calculations[[#This Row],[Conversion factor]],0)</f>
        <v>0</v>
      </c>
      <c r="G379" s="322">
        <f>IFERROR(VLOOKUP(Calculations[[#This Row],[Material (choose from dropdown]],MaterialData[#All],7,FALSE),0)</f>
        <v>0</v>
      </c>
      <c r="H379" s="322">
        <f>Calculations[[#This Row],[Total Kg]]*Calculations[[#This Row],[Carbon Factor]]</f>
        <v>0</v>
      </c>
      <c r="I379" t="str">
        <f>IFERROR(VLOOKUP(Calculations[[#This Row],[Material (choose from dropdown]],MaterialData[#All],2,FALSE),"")</f>
        <v/>
      </c>
      <c r="J379" s="322">
        <f>IFERROR(((VLOOKUP(Calculations[[#This Row],[TransportSource]],TransportDistance[],2,FALSE)*'Stage assumptions'!$C$11)+VLOOKUP(Calculations[[#This Row],[TransportSource]],TransportDistance[],3,FALSE)*'Stage assumptions'!$C$12)*Calculations[[#This Row],[Total Kg]],0)</f>
        <v>0</v>
      </c>
      <c r="K379">
        <f>IFERROR(VLOOKUP(Calculations[[#This Row],[Material (choose from dropdown]], MaterialData[#All],3, FALSE),0)</f>
        <v>0</v>
      </c>
      <c r="L379" s="322">
        <f>IFERROR(VLOOKUP(Calculations[[#This Row],[A5type]],A5WastageRate[#All],2,FALSE)*Calculations[[#This Row],[A1-3]],0)</f>
        <v>0</v>
      </c>
      <c r="N379">
        <f>IFERROR(ROUNDUP(50/VLOOKUP(Calculations[[#This Row],[Scope Element]],B4referenceServiceLife[[Tier 2 element]:[Default Service Life]],2, FALSE)-1,0),0)</f>
        <v>0</v>
      </c>
      <c r="O379" s="322">
        <f>IFERROR((Calculations[[#This Row],[A1-3]]+Calculations[[#This Row],[A4]]+Calculations[[#This Row],[A5]]+Calculations[[#This Row],[C2 total]]+Calculations[[#This Row],[C3 total]]+Calculations[[#This Row],[C4 total]])*Calculations[[#This Row],[Replacements]],0)</f>
        <v>0</v>
      </c>
      <c r="S379" t="str">
        <f>IFERROR(VLOOKUP(Calculations[[#This Row],[Material (choose from dropdown]],MaterialData[#All],4,FALSE),"")</f>
        <v/>
      </c>
      <c r="T379" s="322" cm="1">
        <f t="array" ref="T379">IFERROR(VLOOKUP(Calculations[[#This Row],[Waste 1]],WasteScenario[#All],2,FALSE)*'Stage assumptions'!$C$225*WasteTransportMethod[Emissions Factor
kgCO2e/kg.km]*Calculations[[#This Row],[Total Kg]],0)</f>
        <v>0</v>
      </c>
      <c r="U379" s="322" cm="1">
        <f t="array" ref="U379">IFERROR(VLOOKUP(Calculations[[#This Row],[Waste 1]],WasteScenario[#All],3,FALSE)*'Stage assumptions'!$C$224*WasteTransportMethod[Emissions Factor
kgCO2e/kg.km]*Calculations[[#This Row],[Total Kg]],0)</f>
        <v>0</v>
      </c>
      <c r="V379" s="322" cm="1">
        <f t="array" ref="V379">IFERROR(VLOOKUP(Calculations[[#This Row],[Waste 1]],WasteScenario[#All],4,FALSE)*'Stage assumptions'!$C$223*WasteTransportMethod[Emissions Factor
kgCO2e/kg.km]*Calculations[[#This Row],[Total Kg]],0)</f>
        <v>0</v>
      </c>
      <c r="W379" s="322" cm="1">
        <f t="array" ref="W379">IFERROR(VLOOKUP(Calculations[[#This Row],[Waste 1]],WasteScenario[#All],5,FALSE)*'Stage assumptions'!$C$226*WasteTransportMethod[Emissions Factor
kgCO2e/kg.km]*Calculations[[#This Row],[Total Kg]],0)</f>
        <v>0</v>
      </c>
      <c r="X379" s="322">
        <f>SUM(Calculations[[#This Row],[C2 Recycle]:[C2 Reuse]])</f>
        <v>0</v>
      </c>
      <c r="Y379" t="str">
        <f>IFERROR(VLOOKUP(Calculations[[#This Row],[Material (choose from dropdown]],MaterialData[#All],5,FALSE),"")</f>
        <v/>
      </c>
      <c r="Z379" s="322">
        <f>IFERROR(((VLOOKUP(Calculations[[#This Row],[Waste type 2]],WasteDisposalEmissions[#All],2,FALSE))*Calculations[[#This Row],[Total Kg]])*VLOOKUP(Calculations[[#This Row],[Waste 1]],WasteScenario[#All],2,FALSE),0)</f>
        <v>0</v>
      </c>
      <c r="AA379" s="322">
        <f>IFERROR((VLOOKUP(Calculations[[#This Row],[Waste type 2]],WasteDisposalEmissions[#All],3,FALSE))*Calculations[[#This Row],[Total Kg]]*VLOOKUP(Calculations[[#This Row],[Waste 1]],WasteScenario[#All],3,FALSE),0)</f>
        <v>0</v>
      </c>
      <c r="AB379" s="322">
        <f>SUM(Calculations[[#This Row],[C3 recyc]:[C3 incin]])</f>
        <v>0</v>
      </c>
      <c r="AC379" s="334">
        <f>IFERROR((VLOOKUP(Calculations[[#This Row],[Waste type 2]],WasteLandfillEmissions[#All],2,FALSE))*Calculations[[#This Row],[Total Kg]]*VLOOKUP(Calculations[[#This Row],[Waste 1]],WasteScenario[#All],4,FALSE),0)</f>
        <v>0</v>
      </c>
      <c r="AD379" s="322">
        <f>IFERROR((VLOOKUP(Calculations[[#This Row],[Waste type 2]],WasteLandfillEmissions[#All],3,FALSE))*Calculations[[#This Row],[Total Kg]]*VLOOKUP(Calculations[[#This Row],[Waste 1]],WasteScenario[#All],4,FALSE),0)</f>
        <v>0</v>
      </c>
      <c r="AE379" s="322">
        <f>SUM(Calculations[[#This Row],[C4 landfill]:[C4 re-use]])</f>
        <v>0</v>
      </c>
      <c r="AF379" s="322">
        <f>IFERROR(VLOOKUP(Calculations[[#This Row],[Material (choose from dropdown]],MaterialData[#All],8,FALSE),0)</f>
        <v>0</v>
      </c>
      <c r="AG379" s="322">
        <f>IFERROR(Calculations[[#This Row],[Total Kg]]*Calculations[[#This Row],[Seq factor]],0)</f>
        <v>0</v>
      </c>
      <c r="AI379" s="322">
        <f>Calculations[[#This Row],[A1-3]]+Calculations[[#This Row],[A4]]+Calculations[[#This Row],[A5]]+Calculations[[#This Row],[B4]]+Calculations[[#This Row],[C2 total]]+Calculations[[#This Row],[C3 total]]+Calculations[[#This Row],[C4 total]]</f>
        <v>0</v>
      </c>
      <c r="AJ379" s="2">
        <f>IFERROR(VLOOKUP(Calculations[[#This Row],[Material (choose from dropdown]],MaterialData[[#Headers],[#Data]],9,FALSE),0)</f>
        <v>0</v>
      </c>
      <c r="AK379" s="4">
        <f>IFERROR(VLOOKUP(Calculations[[#This Row],[Material (choose from dropdown]],MaterialData[[#Headers],[#Data]],10,FALSE),0)</f>
        <v>0</v>
      </c>
      <c r="AL379" s="322">
        <f>IFERROR(Calculations[[#This Row],[Data Quality Score]]*Calculations[[#This Row],[Total Kg]],0)</f>
        <v>0</v>
      </c>
    </row>
    <row r="380" spans="1:38" x14ac:dyDescent="0.3">
      <c r="A380" s="6">
        <f>IFERROR(MaterialsBoQ[[#This Row],[Scope Element]],0)</f>
        <v>0</v>
      </c>
      <c r="B380" t="str">
        <f>IFERROR(MaterialsBoQ[[#This Row],[Material ]],"")</f>
        <v/>
      </c>
      <c r="C380" t="str">
        <f>IFERROR(MaterialsBoQ[[#This Row],[Unit]],"")</f>
        <v/>
      </c>
      <c r="D380" s="322">
        <f>IFERROR(MaterialsBoQ[[#This Row],[Number]],0)</f>
        <v>0</v>
      </c>
      <c r="E380" s="322">
        <f>IFERROR(MaterialsBoQ[[#This Row],[Kg per unit]],0)</f>
        <v>0</v>
      </c>
      <c r="F380" s="322">
        <f>IFERROR(Calculations[[#This Row],[Number]]*Calculations[[#This Row],[Conversion factor]],0)</f>
        <v>0</v>
      </c>
      <c r="G380" s="322">
        <f>IFERROR(VLOOKUP(Calculations[[#This Row],[Material (choose from dropdown]],MaterialData[#All],7,FALSE),0)</f>
        <v>0</v>
      </c>
      <c r="H380" s="322">
        <f>Calculations[[#This Row],[Total Kg]]*Calculations[[#This Row],[Carbon Factor]]</f>
        <v>0</v>
      </c>
      <c r="I380" t="str">
        <f>IFERROR(VLOOKUP(Calculations[[#This Row],[Material (choose from dropdown]],MaterialData[#All],2,FALSE),"")</f>
        <v/>
      </c>
      <c r="J380" s="322">
        <f>IFERROR(((VLOOKUP(Calculations[[#This Row],[TransportSource]],TransportDistance[],2,FALSE)*'Stage assumptions'!$C$11)+VLOOKUP(Calculations[[#This Row],[TransportSource]],TransportDistance[],3,FALSE)*'Stage assumptions'!$C$12)*Calculations[[#This Row],[Total Kg]],0)</f>
        <v>0</v>
      </c>
      <c r="K380">
        <f>IFERROR(VLOOKUP(Calculations[[#This Row],[Material (choose from dropdown]], MaterialData[#All],3, FALSE),0)</f>
        <v>0</v>
      </c>
      <c r="L380" s="322">
        <f>IFERROR(VLOOKUP(Calculations[[#This Row],[A5type]],A5WastageRate[#All],2,FALSE)*Calculations[[#This Row],[A1-3]],0)</f>
        <v>0</v>
      </c>
      <c r="N380">
        <f>IFERROR(ROUNDUP(50/VLOOKUP(Calculations[[#This Row],[Scope Element]],B4referenceServiceLife[[Tier 2 element]:[Default Service Life]],2, FALSE)-1,0),0)</f>
        <v>0</v>
      </c>
      <c r="O380" s="322">
        <f>IFERROR((Calculations[[#This Row],[A1-3]]+Calculations[[#This Row],[A4]]+Calculations[[#This Row],[A5]]+Calculations[[#This Row],[C2 total]]+Calculations[[#This Row],[C3 total]]+Calculations[[#This Row],[C4 total]])*Calculations[[#This Row],[Replacements]],0)</f>
        <v>0</v>
      </c>
      <c r="S380" t="str">
        <f>IFERROR(VLOOKUP(Calculations[[#This Row],[Material (choose from dropdown]],MaterialData[#All],4,FALSE),"")</f>
        <v/>
      </c>
      <c r="T380" s="322" cm="1">
        <f t="array" ref="T380">IFERROR(VLOOKUP(Calculations[[#This Row],[Waste 1]],WasteScenario[#All],2,FALSE)*'Stage assumptions'!$C$225*WasteTransportMethod[Emissions Factor
kgCO2e/kg.km]*Calculations[[#This Row],[Total Kg]],0)</f>
        <v>0</v>
      </c>
      <c r="U380" s="322" cm="1">
        <f t="array" ref="U380">IFERROR(VLOOKUP(Calculations[[#This Row],[Waste 1]],WasteScenario[#All],3,FALSE)*'Stage assumptions'!$C$224*WasteTransportMethod[Emissions Factor
kgCO2e/kg.km]*Calculations[[#This Row],[Total Kg]],0)</f>
        <v>0</v>
      </c>
      <c r="V380" s="322" cm="1">
        <f t="array" ref="V380">IFERROR(VLOOKUP(Calculations[[#This Row],[Waste 1]],WasteScenario[#All],4,FALSE)*'Stage assumptions'!$C$223*WasteTransportMethod[Emissions Factor
kgCO2e/kg.km]*Calculations[[#This Row],[Total Kg]],0)</f>
        <v>0</v>
      </c>
      <c r="W380" s="322" cm="1">
        <f t="array" ref="W380">IFERROR(VLOOKUP(Calculations[[#This Row],[Waste 1]],WasteScenario[#All],5,FALSE)*'Stage assumptions'!$C$226*WasteTransportMethod[Emissions Factor
kgCO2e/kg.km]*Calculations[[#This Row],[Total Kg]],0)</f>
        <v>0</v>
      </c>
      <c r="X380" s="322">
        <f>SUM(Calculations[[#This Row],[C2 Recycle]:[C2 Reuse]])</f>
        <v>0</v>
      </c>
      <c r="Y380" t="str">
        <f>IFERROR(VLOOKUP(Calculations[[#This Row],[Material (choose from dropdown]],MaterialData[#All],5,FALSE),"")</f>
        <v/>
      </c>
      <c r="Z380" s="322">
        <f>IFERROR(((VLOOKUP(Calculations[[#This Row],[Waste type 2]],WasteDisposalEmissions[#All],2,FALSE))*Calculations[[#This Row],[Total Kg]])*VLOOKUP(Calculations[[#This Row],[Waste 1]],WasteScenario[#All],2,FALSE),0)</f>
        <v>0</v>
      </c>
      <c r="AA380" s="322">
        <f>IFERROR((VLOOKUP(Calculations[[#This Row],[Waste type 2]],WasteDisposalEmissions[#All],3,FALSE))*Calculations[[#This Row],[Total Kg]]*VLOOKUP(Calculations[[#This Row],[Waste 1]],WasteScenario[#All],3,FALSE),0)</f>
        <v>0</v>
      </c>
      <c r="AB380" s="322">
        <f>SUM(Calculations[[#This Row],[C3 recyc]:[C3 incin]])</f>
        <v>0</v>
      </c>
      <c r="AC380" s="334">
        <f>IFERROR((VLOOKUP(Calculations[[#This Row],[Waste type 2]],WasteLandfillEmissions[#All],2,FALSE))*Calculations[[#This Row],[Total Kg]]*VLOOKUP(Calculations[[#This Row],[Waste 1]],WasteScenario[#All],4,FALSE),0)</f>
        <v>0</v>
      </c>
      <c r="AD380" s="322">
        <f>IFERROR((VLOOKUP(Calculations[[#This Row],[Waste type 2]],WasteLandfillEmissions[#All],3,FALSE))*Calculations[[#This Row],[Total Kg]]*VLOOKUP(Calculations[[#This Row],[Waste 1]],WasteScenario[#All],4,FALSE),0)</f>
        <v>0</v>
      </c>
      <c r="AE380" s="322">
        <f>SUM(Calculations[[#This Row],[C4 landfill]:[C4 re-use]])</f>
        <v>0</v>
      </c>
      <c r="AF380" s="322">
        <f>IFERROR(VLOOKUP(Calculations[[#This Row],[Material (choose from dropdown]],MaterialData[#All],8,FALSE),0)</f>
        <v>0</v>
      </c>
      <c r="AG380" s="322">
        <f>IFERROR(Calculations[[#This Row],[Total Kg]]*Calculations[[#This Row],[Seq factor]],0)</f>
        <v>0</v>
      </c>
      <c r="AI380" s="322">
        <f>Calculations[[#This Row],[A1-3]]+Calculations[[#This Row],[A4]]+Calculations[[#This Row],[A5]]+Calculations[[#This Row],[B4]]+Calculations[[#This Row],[C2 total]]+Calculations[[#This Row],[C3 total]]+Calculations[[#This Row],[C4 total]]</f>
        <v>0</v>
      </c>
      <c r="AJ380" s="2">
        <f>IFERROR(VLOOKUP(Calculations[[#This Row],[Material (choose from dropdown]],MaterialData[[#Headers],[#Data]],9,FALSE),0)</f>
        <v>0</v>
      </c>
      <c r="AK380" s="4">
        <f>IFERROR(VLOOKUP(Calculations[[#This Row],[Material (choose from dropdown]],MaterialData[[#Headers],[#Data]],10,FALSE),0)</f>
        <v>0</v>
      </c>
      <c r="AL380" s="322">
        <f>IFERROR(Calculations[[#This Row],[Data Quality Score]]*Calculations[[#This Row],[Total Kg]],0)</f>
        <v>0</v>
      </c>
    </row>
    <row r="381" spans="1:38" x14ac:dyDescent="0.3">
      <c r="A381" s="6">
        <f>IFERROR(MaterialsBoQ[[#This Row],[Scope Element]],0)</f>
        <v>0</v>
      </c>
      <c r="B381" t="str">
        <f>IFERROR(MaterialsBoQ[[#This Row],[Material ]],"")</f>
        <v/>
      </c>
      <c r="C381" t="str">
        <f>IFERROR(MaterialsBoQ[[#This Row],[Unit]],"")</f>
        <v/>
      </c>
      <c r="D381" s="322">
        <f>IFERROR(MaterialsBoQ[[#This Row],[Number]],0)</f>
        <v>0</v>
      </c>
      <c r="E381" s="322">
        <f>IFERROR(MaterialsBoQ[[#This Row],[Kg per unit]],0)</f>
        <v>0</v>
      </c>
      <c r="F381" s="322">
        <f>IFERROR(Calculations[[#This Row],[Number]]*Calculations[[#This Row],[Conversion factor]],0)</f>
        <v>0</v>
      </c>
      <c r="G381" s="322">
        <f>IFERROR(VLOOKUP(Calculations[[#This Row],[Material (choose from dropdown]],MaterialData[#All],7,FALSE),0)</f>
        <v>0</v>
      </c>
      <c r="H381" s="322">
        <f>Calculations[[#This Row],[Total Kg]]*Calculations[[#This Row],[Carbon Factor]]</f>
        <v>0</v>
      </c>
      <c r="I381" t="str">
        <f>IFERROR(VLOOKUP(Calculations[[#This Row],[Material (choose from dropdown]],MaterialData[#All],2,FALSE),"")</f>
        <v/>
      </c>
      <c r="J381" s="322">
        <f>IFERROR(((VLOOKUP(Calculations[[#This Row],[TransportSource]],TransportDistance[],2,FALSE)*'Stage assumptions'!$C$11)+VLOOKUP(Calculations[[#This Row],[TransportSource]],TransportDistance[],3,FALSE)*'Stage assumptions'!$C$12)*Calculations[[#This Row],[Total Kg]],0)</f>
        <v>0</v>
      </c>
      <c r="K381">
        <f>IFERROR(VLOOKUP(Calculations[[#This Row],[Material (choose from dropdown]], MaterialData[#All],3, FALSE),0)</f>
        <v>0</v>
      </c>
      <c r="L381" s="322">
        <f>IFERROR(VLOOKUP(Calculations[[#This Row],[A5type]],A5WastageRate[#All],2,FALSE)*Calculations[[#This Row],[A1-3]],0)</f>
        <v>0</v>
      </c>
      <c r="N381">
        <f>IFERROR(ROUNDUP(50/VLOOKUP(Calculations[[#This Row],[Scope Element]],B4referenceServiceLife[[Tier 2 element]:[Default Service Life]],2, FALSE)-1,0),0)</f>
        <v>0</v>
      </c>
      <c r="O381" s="322">
        <f>IFERROR((Calculations[[#This Row],[A1-3]]+Calculations[[#This Row],[A4]]+Calculations[[#This Row],[A5]]+Calculations[[#This Row],[C2 total]]+Calculations[[#This Row],[C3 total]]+Calculations[[#This Row],[C4 total]])*Calculations[[#This Row],[Replacements]],0)</f>
        <v>0</v>
      </c>
      <c r="S381" t="str">
        <f>IFERROR(VLOOKUP(Calculations[[#This Row],[Material (choose from dropdown]],MaterialData[#All],4,FALSE),"")</f>
        <v/>
      </c>
      <c r="T381" s="322" cm="1">
        <f t="array" ref="T381">IFERROR(VLOOKUP(Calculations[[#This Row],[Waste 1]],WasteScenario[#All],2,FALSE)*'Stage assumptions'!$C$225*WasteTransportMethod[Emissions Factor
kgCO2e/kg.km]*Calculations[[#This Row],[Total Kg]],0)</f>
        <v>0</v>
      </c>
      <c r="U381" s="322" cm="1">
        <f t="array" ref="U381">IFERROR(VLOOKUP(Calculations[[#This Row],[Waste 1]],WasteScenario[#All],3,FALSE)*'Stage assumptions'!$C$224*WasteTransportMethod[Emissions Factor
kgCO2e/kg.km]*Calculations[[#This Row],[Total Kg]],0)</f>
        <v>0</v>
      </c>
      <c r="V381" s="322" cm="1">
        <f t="array" ref="V381">IFERROR(VLOOKUP(Calculations[[#This Row],[Waste 1]],WasteScenario[#All],4,FALSE)*'Stage assumptions'!$C$223*WasteTransportMethod[Emissions Factor
kgCO2e/kg.km]*Calculations[[#This Row],[Total Kg]],0)</f>
        <v>0</v>
      </c>
      <c r="W381" s="322" cm="1">
        <f t="array" ref="W381">IFERROR(VLOOKUP(Calculations[[#This Row],[Waste 1]],WasteScenario[#All],5,FALSE)*'Stage assumptions'!$C$226*WasteTransportMethod[Emissions Factor
kgCO2e/kg.km]*Calculations[[#This Row],[Total Kg]],0)</f>
        <v>0</v>
      </c>
      <c r="X381" s="322">
        <f>SUM(Calculations[[#This Row],[C2 Recycle]:[C2 Reuse]])</f>
        <v>0</v>
      </c>
      <c r="Y381" t="str">
        <f>IFERROR(VLOOKUP(Calculations[[#This Row],[Material (choose from dropdown]],MaterialData[#All],5,FALSE),"")</f>
        <v/>
      </c>
      <c r="Z381" s="322">
        <f>IFERROR(((VLOOKUP(Calculations[[#This Row],[Waste type 2]],WasteDisposalEmissions[#All],2,FALSE))*Calculations[[#This Row],[Total Kg]])*VLOOKUP(Calculations[[#This Row],[Waste 1]],WasteScenario[#All],2,FALSE),0)</f>
        <v>0</v>
      </c>
      <c r="AA381" s="322">
        <f>IFERROR((VLOOKUP(Calculations[[#This Row],[Waste type 2]],WasteDisposalEmissions[#All],3,FALSE))*Calculations[[#This Row],[Total Kg]]*VLOOKUP(Calculations[[#This Row],[Waste 1]],WasteScenario[#All],3,FALSE),0)</f>
        <v>0</v>
      </c>
      <c r="AB381" s="322">
        <f>SUM(Calculations[[#This Row],[C3 recyc]:[C3 incin]])</f>
        <v>0</v>
      </c>
      <c r="AC381" s="334">
        <f>IFERROR((VLOOKUP(Calculations[[#This Row],[Waste type 2]],WasteLandfillEmissions[#All],2,FALSE))*Calculations[[#This Row],[Total Kg]]*VLOOKUP(Calculations[[#This Row],[Waste 1]],WasteScenario[#All],4,FALSE),0)</f>
        <v>0</v>
      </c>
      <c r="AD381" s="322">
        <f>IFERROR((VLOOKUP(Calculations[[#This Row],[Waste type 2]],WasteLandfillEmissions[#All],3,FALSE))*Calculations[[#This Row],[Total Kg]]*VLOOKUP(Calculations[[#This Row],[Waste 1]],WasteScenario[#All],4,FALSE),0)</f>
        <v>0</v>
      </c>
      <c r="AE381" s="322">
        <f>SUM(Calculations[[#This Row],[C4 landfill]:[C4 re-use]])</f>
        <v>0</v>
      </c>
      <c r="AF381" s="322">
        <f>IFERROR(VLOOKUP(Calculations[[#This Row],[Material (choose from dropdown]],MaterialData[#All],8,FALSE),0)</f>
        <v>0</v>
      </c>
      <c r="AG381" s="322">
        <f>IFERROR(Calculations[[#This Row],[Total Kg]]*Calculations[[#This Row],[Seq factor]],0)</f>
        <v>0</v>
      </c>
      <c r="AI381" s="322">
        <f>Calculations[[#This Row],[A1-3]]+Calculations[[#This Row],[A4]]+Calculations[[#This Row],[A5]]+Calculations[[#This Row],[B4]]+Calculations[[#This Row],[C2 total]]+Calculations[[#This Row],[C3 total]]+Calculations[[#This Row],[C4 total]]</f>
        <v>0</v>
      </c>
      <c r="AJ381" s="2">
        <f>IFERROR(VLOOKUP(Calculations[[#This Row],[Material (choose from dropdown]],MaterialData[[#Headers],[#Data]],9,FALSE),0)</f>
        <v>0</v>
      </c>
      <c r="AK381" s="4">
        <f>IFERROR(VLOOKUP(Calculations[[#This Row],[Material (choose from dropdown]],MaterialData[[#Headers],[#Data]],10,FALSE),0)</f>
        <v>0</v>
      </c>
      <c r="AL381" s="322">
        <f>IFERROR(Calculations[[#This Row],[Data Quality Score]]*Calculations[[#This Row],[Total Kg]],0)</f>
        <v>0</v>
      </c>
    </row>
    <row r="382" spans="1:38" x14ac:dyDescent="0.3">
      <c r="A382" s="6">
        <f>IFERROR(MaterialsBoQ[[#This Row],[Scope Element]],0)</f>
        <v>0</v>
      </c>
      <c r="B382" t="str">
        <f>IFERROR(MaterialsBoQ[[#This Row],[Material ]],"")</f>
        <v/>
      </c>
      <c r="C382" t="str">
        <f>IFERROR(MaterialsBoQ[[#This Row],[Unit]],"")</f>
        <v/>
      </c>
      <c r="D382" s="322">
        <f>IFERROR(MaterialsBoQ[[#This Row],[Number]],0)</f>
        <v>0</v>
      </c>
      <c r="E382" s="322">
        <f>IFERROR(MaterialsBoQ[[#This Row],[Kg per unit]],0)</f>
        <v>0</v>
      </c>
      <c r="F382" s="322">
        <f>IFERROR(Calculations[[#This Row],[Number]]*Calculations[[#This Row],[Conversion factor]],0)</f>
        <v>0</v>
      </c>
      <c r="G382" s="322">
        <f>IFERROR(VLOOKUP(Calculations[[#This Row],[Material (choose from dropdown]],MaterialData[#All],7,FALSE),0)</f>
        <v>0</v>
      </c>
      <c r="H382" s="322">
        <f>Calculations[[#This Row],[Total Kg]]*Calculations[[#This Row],[Carbon Factor]]</f>
        <v>0</v>
      </c>
      <c r="I382" t="str">
        <f>IFERROR(VLOOKUP(Calculations[[#This Row],[Material (choose from dropdown]],MaterialData[#All],2,FALSE),"")</f>
        <v/>
      </c>
      <c r="J382" s="322">
        <f>IFERROR(((VLOOKUP(Calculations[[#This Row],[TransportSource]],TransportDistance[],2,FALSE)*'Stage assumptions'!$C$11)+VLOOKUP(Calculations[[#This Row],[TransportSource]],TransportDistance[],3,FALSE)*'Stage assumptions'!$C$12)*Calculations[[#This Row],[Total Kg]],0)</f>
        <v>0</v>
      </c>
      <c r="K382">
        <f>IFERROR(VLOOKUP(Calculations[[#This Row],[Material (choose from dropdown]], MaterialData[#All],3, FALSE),0)</f>
        <v>0</v>
      </c>
      <c r="L382" s="322">
        <f>IFERROR(VLOOKUP(Calculations[[#This Row],[A5type]],A5WastageRate[#All],2,FALSE)*Calculations[[#This Row],[A1-3]],0)</f>
        <v>0</v>
      </c>
      <c r="N382">
        <f>IFERROR(ROUNDUP(50/VLOOKUP(Calculations[[#This Row],[Scope Element]],B4referenceServiceLife[[Tier 2 element]:[Default Service Life]],2, FALSE)-1,0),0)</f>
        <v>0</v>
      </c>
      <c r="O382" s="322">
        <f>IFERROR((Calculations[[#This Row],[A1-3]]+Calculations[[#This Row],[A4]]+Calculations[[#This Row],[A5]]+Calculations[[#This Row],[C2 total]]+Calculations[[#This Row],[C3 total]]+Calculations[[#This Row],[C4 total]])*Calculations[[#This Row],[Replacements]],0)</f>
        <v>0</v>
      </c>
      <c r="S382" t="str">
        <f>IFERROR(VLOOKUP(Calculations[[#This Row],[Material (choose from dropdown]],MaterialData[#All],4,FALSE),"")</f>
        <v/>
      </c>
      <c r="T382" s="322" cm="1">
        <f t="array" ref="T382">IFERROR(VLOOKUP(Calculations[[#This Row],[Waste 1]],WasteScenario[#All],2,FALSE)*'Stage assumptions'!$C$225*WasteTransportMethod[Emissions Factor
kgCO2e/kg.km]*Calculations[[#This Row],[Total Kg]],0)</f>
        <v>0</v>
      </c>
      <c r="U382" s="322" cm="1">
        <f t="array" ref="U382">IFERROR(VLOOKUP(Calculations[[#This Row],[Waste 1]],WasteScenario[#All],3,FALSE)*'Stage assumptions'!$C$224*WasteTransportMethod[Emissions Factor
kgCO2e/kg.km]*Calculations[[#This Row],[Total Kg]],0)</f>
        <v>0</v>
      </c>
      <c r="V382" s="322" cm="1">
        <f t="array" ref="V382">IFERROR(VLOOKUP(Calculations[[#This Row],[Waste 1]],WasteScenario[#All],4,FALSE)*'Stage assumptions'!$C$223*WasteTransportMethod[Emissions Factor
kgCO2e/kg.km]*Calculations[[#This Row],[Total Kg]],0)</f>
        <v>0</v>
      </c>
      <c r="W382" s="322" cm="1">
        <f t="array" ref="W382">IFERROR(VLOOKUP(Calculations[[#This Row],[Waste 1]],WasteScenario[#All],5,FALSE)*'Stage assumptions'!$C$226*WasteTransportMethod[Emissions Factor
kgCO2e/kg.km]*Calculations[[#This Row],[Total Kg]],0)</f>
        <v>0</v>
      </c>
      <c r="X382" s="322">
        <f>SUM(Calculations[[#This Row],[C2 Recycle]:[C2 Reuse]])</f>
        <v>0</v>
      </c>
      <c r="Y382" t="str">
        <f>IFERROR(VLOOKUP(Calculations[[#This Row],[Material (choose from dropdown]],MaterialData[#All],5,FALSE),"")</f>
        <v/>
      </c>
      <c r="Z382" s="322">
        <f>IFERROR(((VLOOKUP(Calculations[[#This Row],[Waste type 2]],WasteDisposalEmissions[#All],2,FALSE))*Calculations[[#This Row],[Total Kg]])*VLOOKUP(Calculations[[#This Row],[Waste 1]],WasteScenario[#All],2,FALSE),0)</f>
        <v>0</v>
      </c>
      <c r="AA382" s="322">
        <f>IFERROR((VLOOKUP(Calculations[[#This Row],[Waste type 2]],WasteDisposalEmissions[#All],3,FALSE))*Calculations[[#This Row],[Total Kg]]*VLOOKUP(Calculations[[#This Row],[Waste 1]],WasteScenario[#All],3,FALSE),0)</f>
        <v>0</v>
      </c>
      <c r="AB382" s="322">
        <f>SUM(Calculations[[#This Row],[C3 recyc]:[C3 incin]])</f>
        <v>0</v>
      </c>
      <c r="AC382" s="334">
        <f>IFERROR((VLOOKUP(Calculations[[#This Row],[Waste type 2]],WasteLandfillEmissions[#All],2,FALSE))*Calculations[[#This Row],[Total Kg]]*VLOOKUP(Calculations[[#This Row],[Waste 1]],WasteScenario[#All],4,FALSE),0)</f>
        <v>0</v>
      </c>
      <c r="AD382" s="322">
        <f>IFERROR((VLOOKUP(Calculations[[#This Row],[Waste type 2]],WasteLandfillEmissions[#All],3,FALSE))*Calculations[[#This Row],[Total Kg]]*VLOOKUP(Calculations[[#This Row],[Waste 1]],WasteScenario[#All],4,FALSE),0)</f>
        <v>0</v>
      </c>
      <c r="AE382" s="322">
        <f>SUM(Calculations[[#This Row],[C4 landfill]:[C4 re-use]])</f>
        <v>0</v>
      </c>
      <c r="AF382" s="322">
        <f>IFERROR(VLOOKUP(Calculations[[#This Row],[Material (choose from dropdown]],MaterialData[#All],8,FALSE),0)</f>
        <v>0</v>
      </c>
      <c r="AG382" s="322">
        <f>IFERROR(Calculations[[#This Row],[Total Kg]]*Calculations[[#This Row],[Seq factor]],0)</f>
        <v>0</v>
      </c>
      <c r="AI382" s="322">
        <f>Calculations[[#This Row],[A1-3]]+Calculations[[#This Row],[A4]]+Calculations[[#This Row],[A5]]+Calculations[[#This Row],[B4]]+Calculations[[#This Row],[C2 total]]+Calculations[[#This Row],[C3 total]]+Calculations[[#This Row],[C4 total]]</f>
        <v>0</v>
      </c>
      <c r="AJ382" s="2">
        <f>IFERROR(VLOOKUP(Calculations[[#This Row],[Material (choose from dropdown]],MaterialData[[#Headers],[#Data]],9,FALSE),0)</f>
        <v>0</v>
      </c>
      <c r="AK382" s="4">
        <f>IFERROR(VLOOKUP(Calculations[[#This Row],[Material (choose from dropdown]],MaterialData[[#Headers],[#Data]],10,FALSE),0)</f>
        <v>0</v>
      </c>
      <c r="AL382" s="322">
        <f>IFERROR(Calculations[[#This Row],[Data Quality Score]]*Calculations[[#This Row],[Total Kg]],0)</f>
        <v>0</v>
      </c>
    </row>
    <row r="383" spans="1:38" x14ac:dyDescent="0.3">
      <c r="A383" s="6">
        <f>IFERROR(MaterialsBoQ[[#This Row],[Scope Element]],0)</f>
        <v>0</v>
      </c>
      <c r="B383" t="str">
        <f>IFERROR(MaterialsBoQ[[#This Row],[Material ]],"")</f>
        <v/>
      </c>
      <c r="C383" t="str">
        <f>IFERROR(MaterialsBoQ[[#This Row],[Unit]],"")</f>
        <v/>
      </c>
      <c r="D383" s="322">
        <f>IFERROR(MaterialsBoQ[[#This Row],[Number]],0)</f>
        <v>0</v>
      </c>
      <c r="E383" s="322">
        <f>IFERROR(MaterialsBoQ[[#This Row],[Kg per unit]],0)</f>
        <v>0</v>
      </c>
      <c r="F383" s="322">
        <f>IFERROR(Calculations[[#This Row],[Number]]*Calculations[[#This Row],[Conversion factor]],0)</f>
        <v>0</v>
      </c>
      <c r="G383" s="322">
        <f>IFERROR(VLOOKUP(Calculations[[#This Row],[Material (choose from dropdown]],MaterialData[#All],7,FALSE),0)</f>
        <v>0</v>
      </c>
      <c r="H383" s="322">
        <f>Calculations[[#This Row],[Total Kg]]*Calculations[[#This Row],[Carbon Factor]]</f>
        <v>0</v>
      </c>
      <c r="I383" t="str">
        <f>IFERROR(VLOOKUP(Calculations[[#This Row],[Material (choose from dropdown]],MaterialData[#All],2,FALSE),"")</f>
        <v/>
      </c>
      <c r="J383" s="322">
        <f>IFERROR(((VLOOKUP(Calculations[[#This Row],[TransportSource]],TransportDistance[],2,FALSE)*'Stage assumptions'!$C$11)+VLOOKUP(Calculations[[#This Row],[TransportSource]],TransportDistance[],3,FALSE)*'Stage assumptions'!$C$12)*Calculations[[#This Row],[Total Kg]],0)</f>
        <v>0</v>
      </c>
      <c r="K383">
        <f>IFERROR(VLOOKUP(Calculations[[#This Row],[Material (choose from dropdown]], MaterialData[#All],3, FALSE),0)</f>
        <v>0</v>
      </c>
      <c r="L383" s="322">
        <f>IFERROR(VLOOKUP(Calculations[[#This Row],[A5type]],A5WastageRate[#All],2,FALSE)*Calculations[[#This Row],[A1-3]],0)</f>
        <v>0</v>
      </c>
      <c r="N383">
        <f>IFERROR(ROUNDUP(50/VLOOKUP(Calculations[[#This Row],[Scope Element]],B4referenceServiceLife[[Tier 2 element]:[Default Service Life]],2, FALSE)-1,0),0)</f>
        <v>0</v>
      </c>
      <c r="O383" s="322">
        <f>IFERROR((Calculations[[#This Row],[A1-3]]+Calculations[[#This Row],[A4]]+Calculations[[#This Row],[A5]]+Calculations[[#This Row],[C2 total]]+Calculations[[#This Row],[C3 total]]+Calculations[[#This Row],[C4 total]])*Calculations[[#This Row],[Replacements]],0)</f>
        <v>0</v>
      </c>
      <c r="S383" t="str">
        <f>IFERROR(VLOOKUP(Calculations[[#This Row],[Material (choose from dropdown]],MaterialData[#All],4,FALSE),"")</f>
        <v/>
      </c>
      <c r="T383" s="322" cm="1">
        <f t="array" ref="T383">IFERROR(VLOOKUP(Calculations[[#This Row],[Waste 1]],WasteScenario[#All],2,FALSE)*'Stage assumptions'!$C$225*WasteTransportMethod[Emissions Factor
kgCO2e/kg.km]*Calculations[[#This Row],[Total Kg]],0)</f>
        <v>0</v>
      </c>
      <c r="U383" s="322" cm="1">
        <f t="array" ref="U383">IFERROR(VLOOKUP(Calculations[[#This Row],[Waste 1]],WasteScenario[#All],3,FALSE)*'Stage assumptions'!$C$224*WasteTransportMethod[Emissions Factor
kgCO2e/kg.km]*Calculations[[#This Row],[Total Kg]],0)</f>
        <v>0</v>
      </c>
      <c r="V383" s="322" cm="1">
        <f t="array" ref="V383">IFERROR(VLOOKUP(Calculations[[#This Row],[Waste 1]],WasteScenario[#All],4,FALSE)*'Stage assumptions'!$C$223*WasteTransportMethod[Emissions Factor
kgCO2e/kg.km]*Calculations[[#This Row],[Total Kg]],0)</f>
        <v>0</v>
      </c>
      <c r="W383" s="322" cm="1">
        <f t="array" ref="W383">IFERROR(VLOOKUP(Calculations[[#This Row],[Waste 1]],WasteScenario[#All],5,FALSE)*'Stage assumptions'!$C$226*WasteTransportMethod[Emissions Factor
kgCO2e/kg.km]*Calculations[[#This Row],[Total Kg]],0)</f>
        <v>0</v>
      </c>
      <c r="X383" s="322">
        <f>SUM(Calculations[[#This Row],[C2 Recycle]:[C2 Reuse]])</f>
        <v>0</v>
      </c>
      <c r="Y383" t="str">
        <f>IFERROR(VLOOKUP(Calculations[[#This Row],[Material (choose from dropdown]],MaterialData[#All],5,FALSE),"")</f>
        <v/>
      </c>
      <c r="Z383" s="322">
        <f>IFERROR(((VLOOKUP(Calculations[[#This Row],[Waste type 2]],WasteDisposalEmissions[#All],2,FALSE))*Calculations[[#This Row],[Total Kg]])*VLOOKUP(Calculations[[#This Row],[Waste 1]],WasteScenario[#All],2,FALSE),0)</f>
        <v>0</v>
      </c>
      <c r="AA383" s="322">
        <f>IFERROR((VLOOKUP(Calculations[[#This Row],[Waste type 2]],WasteDisposalEmissions[#All],3,FALSE))*Calculations[[#This Row],[Total Kg]]*VLOOKUP(Calculations[[#This Row],[Waste 1]],WasteScenario[#All],3,FALSE),0)</f>
        <v>0</v>
      </c>
      <c r="AB383" s="322">
        <f>SUM(Calculations[[#This Row],[C3 recyc]:[C3 incin]])</f>
        <v>0</v>
      </c>
      <c r="AC383" s="334">
        <f>IFERROR((VLOOKUP(Calculations[[#This Row],[Waste type 2]],WasteLandfillEmissions[#All],2,FALSE))*Calculations[[#This Row],[Total Kg]]*VLOOKUP(Calculations[[#This Row],[Waste 1]],WasteScenario[#All],4,FALSE),0)</f>
        <v>0</v>
      </c>
      <c r="AD383" s="322">
        <f>IFERROR((VLOOKUP(Calculations[[#This Row],[Waste type 2]],WasteLandfillEmissions[#All],3,FALSE))*Calculations[[#This Row],[Total Kg]]*VLOOKUP(Calculations[[#This Row],[Waste 1]],WasteScenario[#All],4,FALSE),0)</f>
        <v>0</v>
      </c>
      <c r="AE383" s="322">
        <f>SUM(Calculations[[#This Row],[C4 landfill]:[C4 re-use]])</f>
        <v>0</v>
      </c>
      <c r="AF383" s="322">
        <f>IFERROR(VLOOKUP(Calculations[[#This Row],[Material (choose from dropdown]],MaterialData[#All],8,FALSE),0)</f>
        <v>0</v>
      </c>
      <c r="AG383" s="322">
        <f>IFERROR(Calculations[[#This Row],[Total Kg]]*Calculations[[#This Row],[Seq factor]],0)</f>
        <v>0</v>
      </c>
      <c r="AI383" s="322">
        <f>Calculations[[#This Row],[A1-3]]+Calculations[[#This Row],[A4]]+Calculations[[#This Row],[A5]]+Calculations[[#This Row],[B4]]+Calculations[[#This Row],[C2 total]]+Calculations[[#This Row],[C3 total]]+Calculations[[#This Row],[C4 total]]</f>
        <v>0</v>
      </c>
      <c r="AJ383" s="2">
        <f>IFERROR(VLOOKUP(Calculations[[#This Row],[Material (choose from dropdown]],MaterialData[[#Headers],[#Data]],9,FALSE),0)</f>
        <v>0</v>
      </c>
      <c r="AK383" s="4">
        <f>IFERROR(VLOOKUP(Calculations[[#This Row],[Material (choose from dropdown]],MaterialData[[#Headers],[#Data]],10,FALSE),0)</f>
        <v>0</v>
      </c>
      <c r="AL383" s="322">
        <f>IFERROR(Calculations[[#This Row],[Data Quality Score]]*Calculations[[#This Row],[Total Kg]],0)</f>
        <v>0</v>
      </c>
    </row>
    <row r="384" spans="1:38" x14ac:dyDescent="0.3">
      <c r="A384" s="6">
        <f>IFERROR(MaterialsBoQ[[#This Row],[Scope Element]],0)</f>
        <v>0</v>
      </c>
      <c r="B384" t="str">
        <f>IFERROR(MaterialsBoQ[[#This Row],[Material ]],"")</f>
        <v/>
      </c>
      <c r="C384" t="str">
        <f>IFERROR(MaterialsBoQ[[#This Row],[Unit]],"")</f>
        <v/>
      </c>
      <c r="D384" s="322">
        <f>IFERROR(MaterialsBoQ[[#This Row],[Number]],0)</f>
        <v>0</v>
      </c>
      <c r="E384" s="322">
        <f>IFERROR(MaterialsBoQ[[#This Row],[Kg per unit]],0)</f>
        <v>0</v>
      </c>
      <c r="F384" s="322">
        <f>IFERROR(Calculations[[#This Row],[Number]]*Calculations[[#This Row],[Conversion factor]],0)</f>
        <v>0</v>
      </c>
      <c r="G384" s="322">
        <f>IFERROR(VLOOKUP(Calculations[[#This Row],[Material (choose from dropdown]],MaterialData[#All],7,FALSE),0)</f>
        <v>0</v>
      </c>
      <c r="H384" s="322">
        <f>Calculations[[#This Row],[Total Kg]]*Calculations[[#This Row],[Carbon Factor]]</f>
        <v>0</v>
      </c>
      <c r="I384" t="str">
        <f>IFERROR(VLOOKUP(Calculations[[#This Row],[Material (choose from dropdown]],MaterialData[#All],2,FALSE),"")</f>
        <v/>
      </c>
      <c r="J384" s="322">
        <f>IFERROR(((VLOOKUP(Calculations[[#This Row],[TransportSource]],TransportDistance[],2,FALSE)*'Stage assumptions'!$C$11)+VLOOKUP(Calculations[[#This Row],[TransportSource]],TransportDistance[],3,FALSE)*'Stage assumptions'!$C$12)*Calculations[[#This Row],[Total Kg]],0)</f>
        <v>0</v>
      </c>
      <c r="K384">
        <f>IFERROR(VLOOKUP(Calculations[[#This Row],[Material (choose from dropdown]], MaterialData[#All],3, FALSE),0)</f>
        <v>0</v>
      </c>
      <c r="L384" s="322">
        <f>IFERROR(VLOOKUP(Calculations[[#This Row],[A5type]],A5WastageRate[#All],2,FALSE)*Calculations[[#This Row],[A1-3]],0)</f>
        <v>0</v>
      </c>
      <c r="N384">
        <f>IFERROR(ROUNDUP(50/VLOOKUP(Calculations[[#This Row],[Scope Element]],B4referenceServiceLife[[Tier 2 element]:[Default Service Life]],2, FALSE)-1,0),0)</f>
        <v>0</v>
      </c>
      <c r="O384" s="322">
        <f>IFERROR((Calculations[[#This Row],[A1-3]]+Calculations[[#This Row],[A4]]+Calculations[[#This Row],[A5]]+Calculations[[#This Row],[C2 total]]+Calculations[[#This Row],[C3 total]]+Calculations[[#This Row],[C4 total]])*Calculations[[#This Row],[Replacements]],0)</f>
        <v>0</v>
      </c>
      <c r="S384" t="str">
        <f>IFERROR(VLOOKUP(Calculations[[#This Row],[Material (choose from dropdown]],MaterialData[#All],4,FALSE),"")</f>
        <v/>
      </c>
      <c r="T384" s="322" cm="1">
        <f t="array" ref="T384">IFERROR(VLOOKUP(Calculations[[#This Row],[Waste 1]],WasteScenario[#All],2,FALSE)*'Stage assumptions'!$C$225*WasteTransportMethod[Emissions Factor
kgCO2e/kg.km]*Calculations[[#This Row],[Total Kg]],0)</f>
        <v>0</v>
      </c>
      <c r="U384" s="322" cm="1">
        <f t="array" ref="U384">IFERROR(VLOOKUP(Calculations[[#This Row],[Waste 1]],WasteScenario[#All],3,FALSE)*'Stage assumptions'!$C$224*WasteTransportMethod[Emissions Factor
kgCO2e/kg.km]*Calculations[[#This Row],[Total Kg]],0)</f>
        <v>0</v>
      </c>
      <c r="V384" s="322" cm="1">
        <f t="array" ref="V384">IFERROR(VLOOKUP(Calculations[[#This Row],[Waste 1]],WasteScenario[#All],4,FALSE)*'Stage assumptions'!$C$223*WasteTransportMethod[Emissions Factor
kgCO2e/kg.km]*Calculations[[#This Row],[Total Kg]],0)</f>
        <v>0</v>
      </c>
      <c r="W384" s="322" cm="1">
        <f t="array" ref="W384">IFERROR(VLOOKUP(Calculations[[#This Row],[Waste 1]],WasteScenario[#All],5,FALSE)*'Stage assumptions'!$C$226*WasteTransportMethod[Emissions Factor
kgCO2e/kg.km]*Calculations[[#This Row],[Total Kg]],0)</f>
        <v>0</v>
      </c>
      <c r="X384" s="322">
        <f>SUM(Calculations[[#This Row],[C2 Recycle]:[C2 Reuse]])</f>
        <v>0</v>
      </c>
      <c r="Y384" t="str">
        <f>IFERROR(VLOOKUP(Calculations[[#This Row],[Material (choose from dropdown]],MaterialData[#All],5,FALSE),"")</f>
        <v/>
      </c>
      <c r="Z384" s="322">
        <f>IFERROR(((VLOOKUP(Calculations[[#This Row],[Waste type 2]],WasteDisposalEmissions[#All],2,FALSE))*Calculations[[#This Row],[Total Kg]])*VLOOKUP(Calculations[[#This Row],[Waste 1]],WasteScenario[#All],2,FALSE),0)</f>
        <v>0</v>
      </c>
      <c r="AA384" s="322">
        <f>IFERROR((VLOOKUP(Calculations[[#This Row],[Waste type 2]],WasteDisposalEmissions[#All],3,FALSE))*Calculations[[#This Row],[Total Kg]]*VLOOKUP(Calculations[[#This Row],[Waste 1]],WasteScenario[#All],3,FALSE),0)</f>
        <v>0</v>
      </c>
      <c r="AB384" s="322">
        <f>SUM(Calculations[[#This Row],[C3 recyc]:[C3 incin]])</f>
        <v>0</v>
      </c>
      <c r="AC384" s="334">
        <f>IFERROR((VLOOKUP(Calculations[[#This Row],[Waste type 2]],WasteLandfillEmissions[#All],2,FALSE))*Calculations[[#This Row],[Total Kg]]*VLOOKUP(Calculations[[#This Row],[Waste 1]],WasteScenario[#All],4,FALSE),0)</f>
        <v>0</v>
      </c>
      <c r="AD384" s="322">
        <f>IFERROR((VLOOKUP(Calculations[[#This Row],[Waste type 2]],WasteLandfillEmissions[#All],3,FALSE))*Calculations[[#This Row],[Total Kg]]*VLOOKUP(Calculations[[#This Row],[Waste 1]],WasteScenario[#All],4,FALSE),0)</f>
        <v>0</v>
      </c>
      <c r="AE384" s="322">
        <f>SUM(Calculations[[#This Row],[C4 landfill]:[C4 re-use]])</f>
        <v>0</v>
      </c>
      <c r="AF384" s="322">
        <f>IFERROR(VLOOKUP(Calculations[[#This Row],[Material (choose from dropdown]],MaterialData[#All],8,FALSE),0)</f>
        <v>0</v>
      </c>
      <c r="AG384" s="322">
        <f>IFERROR(Calculations[[#This Row],[Total Kg]]*Calculations[[#This Row],[Seq factor]],0)</f>
        <v>0</v>
      </c>
      <c r="AI384" s="322">
        <f>Calculations[[#This Row],[A1-3]]+Calculations[[#This Row],[A4]]+Calculations[[#This Row],[A5]]+Calculations[[#This Row],[B4]]+Calculations[[#This Row],[C2 total]]+Calculations[[#This Row],[C3 total]]+Calculations[[#This Row],[C4 total]]</f>
        <v>0</v>
      </c>
      <c r="AJ384" s="2">
        <f>IFERROR(VLOOKUP(Calculations[[#This Row],[Material (choose from dropdown]],MaterialData[[#Headers],[#Data]],9,FALSE),0)</f>
        <v>0</v>
      </c>
      <c r="AK384" s="4">
        <f>IFERROR(VLOOKUP(Calculations[[#This Row],[Material (choose from dropdown]],MaterialData[[#Headers],[#Data]],10,FALSE),0)</f>
        <v>0</v>
      </c>
      <c r="AL384" s="322">
        <f>IFERROR(Calculations[[#This Row],[Data Quality Score]]*Calculations[[#This Row],[Total Kg]],0)</f>
        <v>0</v>
      </c>
    </row>
    <row r="385" spans="1:38" x14ac:dyDescent="0.3">
      <c r="A385" s="6">
        <f>IFERROR(MaterialsBoQ[[#This Row],[Scope Element]],0)</f>
        <v>0</v>
      </c>
      <c r="B385" t="str">
        <f>IFERROR(MaterialsBoQ[[#This Row],[Material ]],"")</f>
        <v/>
      </c>
      <c r="C385" t="str">
        <f>IFERROR(MaterialsBoQ[[#This Row],[Unit]],"")</f>
        <v/>
      </c>
      <c r="D385" s="322">
        <f>IFERROR(MaterialsBoQ[[#This Row],[Number]],0)</f>
        <v>0</v>
      </c>
      <c r="E385" s="322">
        <f>IFERROR(MaterialsBoQ[[#This Row],[Kg per unit]],0)</f>
        <v>0</v>
      </c>
      <c r="F385" s="322">
        <f>IFERROR(Calculations[[#This Row],[Number]]*Calculations[[#This Row],[Conversion factor]],0)</f>
        <v>0</v>
      </c>
      <c r="G385" s="322">
        <f>IFERROR(VLOOKUP(Calculations[[#This Row],[Material (choose from dropdown]],MaterialData[#All],7,FALSE),0)</f>
        <v>0</v>
      </c>
      <c r="H385" s="322">
        <f>Calculations[[#This Row],[Total Kg]]*Calculations[[#This Row],[Carbon Factor]]</f>
        <v>0</v>
      </c>
      <c r="I385" t="str">
        <f>IFERROR(VLOOKUP(Calculations[[#This Row],[Material (choose from dropdown]],MaterialData[#All],2,FALSE),"")</f>
        <v/>
      </c>
      <c r="J385" s="322">
        <f>IFERROR(((VLOOKUP(Calculations[[#This Row],[TransportSource]],TransportDistance[],2,FALSE)*'Stage assumptions'!$C$11)+VLOOKUP(Calculations[[#This Row],[TransportSource]],TransportDistance[],3,FALSE)*'Stage assumptions'!$C$12)*Calculations[[#This Row],[Total Kg]],0)</f>
        <v>0</v>
      </c>
      <c r="K385">
        <f>IFERROR(VLOOKUP(Calculations[[#This Row],[Material (choose from dropdown]], MaterialData[#All],3, FALSE),0)</f>
        <v>0</v>
      </c>
      <c r="L385" s="322">
        <f>IFERROR(VLOOKUP(Calculations[[#This Row],[A5type]],A5WastageRate[#All],2,FALSE)*Calculations[[#This Row],[A1-3]],0)</f>
        <v>0</v>
      </c>
      <c r="N385">
        <f>IFERROR(ROUNDUP(50/VLOOKUP(Calculations[[#This Row],[Scope Element]],B4referenceServiceLife[[Tier 2 element]:[Default Service Life]],2, FALSE)-1,0),0)</f>
        <v>0</v>
      </c>
      <c r="O385" s="322">
        <f>IFERROR((Calculations[[#This Row],[A1-3]]+Calculations[[#This Row],[A4]]+Calculations[[#This Row],[A5]]+Calculations[[#This Row],[C2 total]]+Calculations[[#This Row],[C3 total]]+Calculations[[#This Row],[C4 total]])*Calculations[[#This Row],[Replacements]],0)</f>
        <v>0</v>
      </c>
      <c r="S385" t="str">
        <f>IFERROR(VLOOKUP(Calculations[[#This Row],[Material (choose from dropdown]],MaterialData[#All],4,FALSE),"")</f>
        <v/>
      </c>
      <c r="T385" s="322" cm="1">
        <f t="array" ref="T385">IFERROR(VLOOKUP(Calculations[[#This Row],[Waste 1]],WasteScenario[#All],2,FALSE)*'Stage assumptions'!$C$225*WasteTransportMethod[Emissions Factor
kgCO2e/kg.km]*Calculations[[#This Row],[Total Kg]],0)</f>
        <v>0</v>
      </c>
      <c r="U385" s="322" cm="1">
        <f t="array" ref="U385">IFERROR(VLOOKUP(Calculations[[#This Row],[Waste 1]],WasteScenario[#All],3,FALSE)*'Stage assumptions'!$C$224*WasteTransportMethod[Emissions Factor
kgCO2e/kg.km]*Calculations[[#This Row],[Total Kg]],0)</f>
        <v>0</v>
      </c>
      <c r="V385" s="322" cm="1">
        <f t="array" ref="V385">IFERROR(VLOOKUP(Calculations[[#This Row],[Waste 1]],WasteScenario[#All],4,FALSE)*'Stage assumptions'!$C$223*WasteTransportMethod[Emissions Factor
kgCO2e/kg.km]*Calculations[[#This Row],[Total Kg]],0)</f>
        <v>0</v>
      </c>
      <c r="W385" s="322" cm="1">
        <f t="array" ref="W385">IFERROR(VLOOKUP(Calculations[[#This Row],[Waste 1]],WasteScenario[#All],5,FALSE)*'Stage assumptions'!$C$226*WasteTransportMethod[Emissions Factor
kgCO2e/kg.km]*Calculations[[#This Row],[Total Kg]],0)</f>
        <v>0</v>
      </c>
      <c r="X385" s="322">
        <f>SUM(Calculations[[#This Row],[C2 Recycle]:[C2 Reuse]])</f>
        <v>0</v>
      </c>
      <c r="Y385" t="str">
        <f>IFERROR(VLOOKUP(Calculations[[#This Row],[Material (choose from dropdown]],MaterialData[#All],5,FALSE),"")</f>
        <v/>
      </c>
      <c r="Z385" s="322">
        <f>IFERROR(((VLOOKUP(Calculations[[#This Row],[Waste type 2]],WasteDisposalEmissions[#All],2,FALSE))*Calculations[[#This Row],[Total Kg]])*VLOOKUP(Calculations[[#This Row],[Waste 1]],WasteScenario[#All],2,FALSE),0)</f>
        <v>0</v>
      </c>
      <c r="AA385" s="322">
        <f>IFERROR((VLOOKUP(Calculations[[#This Row],[Waste type 2]],WasteDisposalEmissions[#All],3,FALSE))*Calculations[[#This Row],[Total Kg]]*VLOOKUP(Calculations[[#This Row],[Waste 1]],WasteScenario[#All],3,FALSE),0)</f>
        <v>0</v>
      </c>
      <c r="AB385" s="322">
        <f>SUM(Calculations[[#This Row],[C3 recyc]:[C3 incin]])</f>
        <v>0</v>
      </c>
      <c r="AC385" s="334">
        <f>IFERROR((VLOOKUP(Calculations[[#This Row],[Waste type 2]],WasteLandfillEmissions[#All],2,FALSE))*Calculations[[#This Row],[Total Kg]]*VLOOKUP(Calculations[[#This Row],[Waste 1]],WasteScenario[#All],4,FALSE),0)</f>
        <v>0</v>
      </c>
      <c r="AD385" s="322">
        <f>IFERROR((VLOOKUP(Calculations[[#This Row],[Waste type 2]],WasteLandfillEmissions[#All],3,FALSE))*Calculations[[#This Row],[Total Kg]]*VLOOKUP(Calculations[[#This Row],[Waste 1]],WasteScenario[#All],4,FALSE),0)</f>
        <v>0</v>
      </c>
      <c r="AE385" s="322">
        <f>SUM(Calculations[[#This Row],[C4 landfill]:[C4 re-use]])</f>
        <v>0</v>
      </c>
      <c r="AF385" s="322">
        <f>IFERROR(VLOOKUP(Calculations[[#This Row],[Material (choose from dropdown]],MaterialData[#All],8,FALSE),0)</f>
        <v>0</v>
      </c>
      <c r="AG385" s="322">
        <f>IFERROR(Calculations[[#This Row],[Total Kg]]*Calculations[[#This Row],[Seq factor]],0)</f>
        <v>0</v>
      </c>
      <c r="AI385" s="322">
        <f>Calculations[[#This Row],[A1-3]]+Calculations[[#This Row],[A4]]+Calculations[[#This Row],[A5]]+Calculations[[#This Row],[B4]]+Calculations[[#This Row],[C2 total]]+Calculations[[#This Row],[C3 total]]+Calculations[[#This Row],[C4 total]]</f>
        <v>0</v>
      </c>
      <c r="AJ385" s="2">
        <f>IFERROR(VLOOKUP(Calculations[[#This Row],[Material (choose from dropdown]],MaterialData[[#Headers],[#Data]],9,FALSE),0)</f>
        <v>0</v>
      </c>
      <c r="AK385" s="4">
        <f>IFERROR(VLOOKUP(Calculations[[#This Row],[Material (choose from dropdown]],MaterialData[[#Headers],[#Data]],10,FALSE),0)</f>
        <v>0</v>
      </c>
      <c r="AL385" s="322">
        <f>IFERROR(Calculations[[#This Row],[Data Quality Score]]*Calculations[[#This Row],[Total Kg]],0)</f>
        <v>0</v>
      </c>
    </row>
    <row r="386" spans="1:38" x14ac:dyDescent="0.3">
      <c r="A386" s="6">
        <f>IFERROR(MaterialsBoQ[[#This Row],[Scope Element]],0)</f>
        <v>0</v>
      </c>
      <c r="B386" t="str">
        <f>IFERROR(MaterialsBoQ[[#This Row],[Material ]],"")</f>
        <v/>
      </c>
      <c r="C386" t="str">
        <f>IFERROR(MaterialsBoQ[[#This Row],[Unit]],"")</f>
        <v/>
      </c>
      <c r="D386" s="322">
        <f>IFERROR(MaterialsBoQ[[#This Row],[Number]],0)</f>
        <v>0</v>
      </c>
      <c r="E386" s="322">
        <f>IFERROR(MaterialsBoQ[[#This Row],[Kg per unit]],0)</f>
        <v>0</v>
      </c>
      <c r="F386" s="322">
        <f>IFERROR(Calculations[[#This Row],[Number]]*Calculations[[#This Row],[Conversion factor]],0)</f>
        <v>0</v>
      </c>
      <c r="G386" s="322">
        <f>IFERROR(VLOOKUP(Calculations[[#This Row],[Material (choose from dropdown]],MaterialData[#All],7,FALSE),0)</f>
        <v>0</v>
      </c>
      <c r="H386" s="322">
        <f>Calculations[[#This Row],[Total Kg]]*Calculations[[#This Row],[Carbon Factor]]</f>
        <v>0</v>
      </c>
      <c r="I386" t="str">
        <f>IFERROR(VLOOKUP(Calculations[[#This Row],[Material (choose from dropdown]],MaterialData[#All],2,FALSE),"")</f>
        <v/>
      </c>
      <c r="J386" s="322">
        <f>IFERROR(((VLOOKUP(Calculations[[#This Row],[TransportSource]],TransportDistance[],2,FALSE)*'Stage assumptions'!$C$11)+VLOOKUP(Calculations[[#This Row],[TransportSource]],TransportDistance[],3,FALSE)*'Stage assumptions'!$C$12)*Calculations[[#This Row],[Total Kg]],0)</f>
        <v>0</v>
      </c>
      <c r="K386">
        <f>IFERROR(VLOOKUP(Calculations[[#This Row],[Material (choose from dropdown]], MaterialData[#All],3, FALSE),0)</f>
        <v>0</v>
      </c>
      <c r="L386" s="322">
        <f>IFERROR(VLOOKUP(Calculations[[#This Row],[A5type]],A5WastageRate[#All],2,FALSE)*Calculations[[#This Row],[A1-3]],0)</f>
        <v>0</v>
      </c>
      <c r="N386">
        <f>IFERROR(ROUNDUP(50/VLOOKUP(Calculations[[#This Row],[Scope Element]],B4referenceServiceLife[[Tier 2 element]:[Default Service Life]],2, FALSE)-1,0),0)</f>
        <v>0</v>
      </c>
      <c r="O386" s="322">
        <f>IFERROR((Calculations[[#This Row],[A1-3]]+Calculations[[#This Row],[A4]]+Calculations[[#This Row],[A5]]+Calculations[[#This Row],[C2 total]]+Calculations[[#This Row],[C3 total]]+Calculations[[#This Row],[C4 total]])*Calculations[[#This Row],[Replacements]],0)</f>
        <v>0</v>
      </c>
      <c r="S386" t="str">
        <f>IFERROR(VLOOKUP(Calculations[[#This Row],[Material (choose from dropdown]],MaterialData[#All],4,FALSE),"")</f>
        <v/>
      </c>
      <c r="T386" s="322" cm="1">
        <f t="array" ref="T386">IFERROR(VLOOKUP(Calculations[[#This Row],[Waste 1]],WasteScenario[#All],2,FALSE)*'Stage assumptions'!$C$225*WasteTransportMethod[Emissions Factor
kgCO2e/kg.km]*Calculations[[#This Row],[Total Kg]],0)</f>
        <v>0</v>
      </c>
      <c r="U386" s="322" cm="1">
        <f t="array" ref="U386">IFERROR(VLOOKUP(Calculations[[#This Row],[Waste 1]],WasteScenario[#All],3,FALSE)*'Stage assumptions'!$C$224*WasteTransportMethod[Emissions Factor
kgCO2e/kg.km]*Calculations[[#This Row],[Total Kg]],0)</f>
        <v>0</v>
      </c>
      <c r="V386" s="322" cm="1">
        <f t="array" ref="V386">IFERROR(VLOOKUP(Calculations[[#This Row],[Waste 1]],WasteScenario[#All],4,FALSE)*'Stage assumptions'!$C$223*WasteTransportMethod[Emissions Factor
kgCO2e/kg.km]*Calculations[[#This Row],[Total Kg]],0)</f>
        <v>0</v>
      </c>
      <c r="W386" s="322" cm="1">
        <f t="array" ref="W386">IFERROR(VLOOKUP(Calculations[[#This Row],[Waste 1]],WasteScenario[#All],5,FALSE)*'Stage assumptions'!$C$226*WasteTransportMethod[Emissions Factor
kgCO2e/kg.km]*Calculations[[#This Row],[Total Kg]],0)</f>
        <v>0</v>
      </c>
      <c r="X386" s="322">
        <f>SUM(Calculations[[#This Row],[C2 Recycle]:[C2 Reuse]])</f>
        <v>0</v>
      </c>
      <c r="Y386" t="str">
        <f>IFERROR(VLOOKUP(Calculations[[#This Row],[Material (choose from dropdown]],MaterialData[#All],5,FALSE),"")</f>
        <v/>
      </c>
      <c r="Z386" s="322">
        <f>IFERROR(((VLOOKUP(Calculations[[#This Row],[Waste type 2]],WasteDisposalEmissions[#All],2,FALSE))*Calculations[[#This Row],[Total Kg]])*VLOOKUP(Calculations[[#This Row],[Waste 1]],WasteScenario[#All],2,FALSE),0)</f>
        <v>0</v>
      </c>
      <c r="AA386" s="322">
        <f>IFERROR((VLOOKUP(Calculations[[#This Row],[Waste type 2]],WasteDisposalEmissions[#All],3,FALSE))*Calculations[[#This Row],[Total Kg]]*VLOOKUP(Calculations[[#This Row],[Waste 1]],WasteScenario[#All],3,FALSE),0)</f>
        <v>0</v>
      </c>
      <c r="AB386" s="322">
        <f>SUM(Calculations[[#This Row],[C3 recyc]:[C3 incin]])</f>
        <v>0</v>
      </c>
      <c r="AC386" s="334">
        <f>IFERROR((VLOOKUP(Calculations[[#This Row],[Waste type 2]],WasteLandfillEmissions[#All],2,FALSE))*Calculations[[#This Row],[Total Kg]]*VLOOKUP(Calculations[[#This Row],[Waste 1]],WasteScenario[#All],4,FALSE),0)</f>
        <v>0</v>
      </c>
      <c r="AD386" s="322">
        <f>IFERROR((VLOOKUP(Calculations[[#This Row],[Waste type 2]],WasteLandfillEmissions[#All],3,FALSE))*Calculations[[#This Row],[Total Kg]]*VLOOKUP(Calculations[[#This Row],[Waste 1]],WasteScenario[#All],4,FALSE),0)</f>
        <v>0</v>
      </c>
      <c r="AE386" s="322">
        <f>SUM(Calculations[[#This Row],[C4 landfill]:[C4 re-use]])</f>
        <v>0</v>
      </c>
      <c r="AF386" s="322">
        <f>IFERROR(VLOOKUP(Calculations[[#This Row],[Material (choose from dropdown]],MaterialData[#All],8,FALSE),0)</f>
        <v>0</v>
      </c>
      <c r="AG386" s="322">
        <f>IFERROR(Calculations[[#This Row],[Total Kg]]*Calculations[[#This Row],[Seq factor]],0)</f>
        <v>0</v>
      </c>
      <c r="AI386" s="322">
        <f>Calculations[[#This Row],[A1-3]]+Calculations[[#This Row],[A4]]+Calculations[[#This Row],[A5]]+Calculations[[#This Row],[B4]]+Calculations[[#This Row],[C2 total]]+Calculations[[#This Row],[C3 total]]+Calculations[[#This Row],[C4 total]]</f>
        <v>0</v>
      </c>
      <c r="AJ386" s="2">
        <f>IFERROR(VLOOKUP(Calculations[[#This Row],[Material (choose from dropdown]],MaterialData[[#Headers],[#Data]],9,FALSE),0)</f>
        <v>0</v>
      </c>
      <c r="AK386" s="4">
        <f>IFERROR(VLOOKUP(Calculations[[#This Row],[Material (choose from dropdown]],MaterialData[[#Headers],[#Data]],10,FALSE),0)</f>
        <v>0</v>
      </c>
      <c r="AL386" s="322">
        <f>IFERROR(Calculations[[#This Row],[Data Quality Score]]*Calculations[[#This Row],[Total Kg]],0)</f>
        <v>0</v>
      </c>
    </row>
    <row r="387" spans="1:38" x14ac:dyDescent="0.3">
      <c r="A387" s="6">
        <f>IFERROR(MaterialsBoQ[[#This Row],[Scope Element]],0)</f>
        <v>0</v>
      </c>
      <c r="B387" t="str">
        <f>IFERROR(MaterialsBoQ[[#This Row],[Material ]],"")</f>
        <v/>
      </c>
      <c r="C387" t="str">
        <f>IFERROR(MaterialsBoQ[[#This Row],[Unit]],"")</f>
        <v/>
      </c>
      <c r="D387" s="322">
        <f>IFERROR(MaterialsBoQ[[#This Row],[Number]],0)</f>
        <v>0</v>
      </c>
      <c r="E387" s="322">
        <f>IFERROR(MaterialsBoQ[[#This Row],[Kg per unit]],0)</f>
        <v>0</v>
      </c>
      <c r="F387" s="322">
        <f>IFERROR(Calculations[[#This Row],[Number]]*Calculations[[#This Row],[Conversion factor]],0)</f>
        <v>0</v>
      </c>
      <c r="G387" s="322">
        <f>IFERROR(VLOOKUP(Calculations[[#This Row],[Material (choose from dropdown]],MaterialData[#All],7,FALSE),0)</f>
        <v>0</v>
      </c>
      <c r="H387" s="322">
        <f>Calculations[[#This Row],[Total Kg]]*Calculations[[#This Row],[Carbon Factor]]</f>
        <v>0</v>
      </c>
      <c r="I387" t="str">
        <f>IFERROR(VLOOKUP(Calculations[[#This Row],[Material (choose from dropdown]],MaterialData[#All],2,FALSE),"")</f>
        <v/>
      </c>
      <c r="J387" s="322">
        <f>IFERROR(((VLOOKUP(Calculations[[#This Row],[TransportSource]],TransportDistance[],2,FALSE)*'Stage assumptions'!$C$11)+VLOOKUP(Calculations[[#This Row],[TransportSource]],TransportDistance[],3,FALSE)*'Stage assumptions'!$C$12)*Calculations[[#This Row],[Total Kg]],0)</f>
        <v>0</v>
      </c>
      <c r="K387">
        <f>IFERROR(VLOOKUP(Calculations[[#This Row],[Material (choose from dropdown]], MaterialData[#All],3, FALSE),0)</f>
        <v>0</v>
      </c>
      <c r="L387" s="322">
        <f>IFERROR(VLOOKUP(Calculations[[#This Row],[A5type]],A5WastageRate[#All],2,FALSE)*Calculations[[#This Row],[A1-3]],0)</f>
        <v>0</v>
      </c>
      <c r="N387">
        <f>IFERROR(ROUNDUP(50/VLOOKUP(Calculations[[#This Row],[Scope Element]],B4referenceServiceLife[[Tier 2 element]:[Default Service Life]],2, FALSE)-1,0),0)</f>
        <v>0</v>
      </c>
      <c r="O387" s="322">
        <f>IFERROR((Calculations[[#This Row],[A1-3]]+Calculations[[#This Row],[A4]]+Calculations[[#This Row],[A5]]+Calculations[[#This Row],[C2 total]]+Calculations[[#This Row],[C3 total]]+Calculations[[#This Row],[C4 total]])*Calculations[[#This Row],[Replacements]],0)</f>
        <v>0</v>
      </c>
      <c r="S387" t="str">
        <f>IFERROR(VLOOKUP(Calculations[[#This Row],[Material (choose from dropdown]],MaterialData[#All],4,FALSE),"")</f>
        <v/>
      </c>
      <c r="T387" s="322" cm="1">
        <f t="array" ref="T387">IFERROR(VLOOKUP(Calculations[[#This Row],[Waste 1]],WasteScenario[#All],2,FALSE)*'Stage assumptions'!$C$225*WasteTransportMethod[Emissions Factor
kgCO2e/kg.km]*Calculations[[#This Row],[Total Kg]],0)</f>
        <v>0</v>
      </c>
      <c r="U387" s="322" cm="1">
        <f t="array" ref="U387">IFERROR(VLOOKUP(Calculations[[#This Row],[Waste 1]],WasteScenario[#All],3,FALSE)*'Stage assumptions'!$C$224*WasteTransportMethod[Emissions Factor
kgCO2e/kg.km]*Calculations[[#This Row],[Total Kg]],0)</f>
        <v>0</v>
      </c>
      <c r="V387" s="322" cm="1">
        <f t="array" ref="V387">IFERROR(VLOOKUP(Calculations[[#This Row],[Waste 1]],WasteScenario[#All],4,FALSE)*'Stage assumptions'!$C$223*WasteTransportMethod[Emissions Factor
kgCO2e/kg.km]*Calculations[[#This Row],[Total Kg]],0)</f>
        <v>0</v>
      </c>
      <c r="W387" s="322" cm="1">
        <f t="array" ref="W387">IFERROR(VLOOKUP(Calculations[[#This Row],[Waste 1]],WasteScenario[#All],5,FALSE)*'Stage assumptions'!$C$226*WasteTransportMethod[Emissions Factor
kgCO2e/kg.km]*Calculations[[#This Row],[Total Kg]],0)</f>
        <v>0</v>
      </c>
      <c r="X387" s="322">
        <f>SUM(Calculations[[#This Row],[C2 Recycle]:[C2 Reuse]])</f>
        <v>0</v>
      </c>
      <c r="Y387" t="str">
        <f>IFERROR(VLOOKUP(Calculations[[#This Row],[Material (choose from dropdown]],MaterialData[#All],5,FALSE),"")</f>
        <v/>
      </c>
      <c r="Z387" s="322">
        <f>IFERROR(((VLOOKUP(Calculations[[#This Row],[Waste type 2]],WasteDisposalEmissions[#All],2,FALSE))*Calculations[[#This Row],[Total Kg]])*VLOOKUP(Calculations[[#This Row],[Waste 1]],WasteScenario[#All],2,FALSE),0)</f>
        <v>0</v>
      </c>
      <c r="AA387" s="322">
        <f>IFERROR((VLOOKUP(Calculations[[#This Row],[Waste type 2]],WasteDisposalEmissions[#All],3,FALSE))*Calculations[[#This Row],[Total Kg]]*VLOOKUP(Calculations[[#This Row],[Waste 1]],WasteScenario[#All],3,FALSE),0)</f>
        <v>0</v>
      </c>
      <c r="AB387" s="322">
        <f>SUM(Calculations[[#This Row],[C3 recyc]:[C3 incin]])</f>
        <v>0</v>
      </c>
      <c r="AC387" s="334">
        <f>IFERROR((VLOOKUP(Calculations[[#This Row],[Waste type 2]],WasteLandfillEmissions[#All],2,FALSE))*Calculations[[#This Row],[Total Kg]]*VLOOKUP(Calculations[[#This Row],[Waste 1]],WasteScenario[#All],4,FALSE),0)</f>
        <v>0</v>
      </c>
      <c r="AD387" s="322">
        <f>IFERROR((VLOOKUP(Calculations[[#This Row],[Waste type 2]],WasteLandfillEmissions[#All],3,FALSE))*Calculations[[#This Row],[Total Kg]]*VLOOKUP(Calculations[[#This Row],[Waste 1]],WasteScenario[#All],4,FALSE),0)</f>
        <v>0</v>
      </c>
      <c r="AE387" s="322">
        <f>SUM(Calculations[[#This Row],[C4 landfill]:[C4 re-use]])</f>
        <v>0</v>
      </c>
      <c r="AF387" s="322">
        <f>IFERROR(VLOOKUP(Calculations[[#This Row],[Material (choose from dropdown]],MaterialData[#All],8,FALSE),0)</f>
        <v>0</v>
      </c>
      <c r="AG387" s="322">
        <f>IFERROR(Calculations[[#This Row],[Total Kg]]*Calculations[[#This Row],[Seq factor]],0)</f>
        <v>0</v>
      </c>
      <c r="AI387" s="322">
        <f>Calculations[[#This Row],[A1-3]]+Calculations[[#This Row],[A4]]+Calculations[[#This Row],[A5]]+Calculations[[#This Row],[B4]]+Calculations[[#This Row],[C2 total]]+Calculations[[#This Row],[C3 total]]+Calculations[[#This Row],[C4 total]]</f>
        <v>0</v>
      </c>
      <c r="AJ387" s="2">
        <f>IFERROR(VLOOKUP(Calculations[[#This Row],[Material (choose from dropdown]],MaterialData[[#Headers],[#Data]],9,FALSE),0)</f>
        <v>0</v>
      </c>
      <c r="AK387" s="4">
        <f>IFERROR(VLOOKUP(Calculations[[#This Row],[Material (choose from dropdown]],MaterialData[[#Headers],[#Data]],10,FALSE),0)</f>
        <v>0</v>
      </c>
      <c r="AL387" s="322">
        <f>IFERROR(Calculations[[#This Row],[Data Quality Score]]*Calculations[[#This Row],[Total Kg]],0)</f>
        <v>0</v>
      </c>
    </row>
    <row r="388" spans="1:38" x14ac:dyDescent="0.3">
      <c r="A388" s="6">
        <f>IFERROR(MaterialsBoQ[[#This Row],[Scope Element]],0)</f>
        <v>0</v>
      </c>
      <c r="B388" t="str">
        <f>IFERROR(MaterialsBoQ[[#This Row],[Material ]],"")</f>
        <v/>
      </c>
      <c r="C388" t="str">
        <f>IFERROR(MaterialsBoQ[[#This Row],[Unit]],"")</f>
        <v/>
      </c>
      <c r="D388" s="322">
        <f>IFERROR(MaterialsBoQ[[#This Row],[Number]],0)</f>
        <v>0</v>
      </c>
      <c r="E388" s="322">
        <f>IFERROR(MaterialsBoQ[[#This Row],[Kg per unit]],0)</f>
        <v>0</v>
      </c>
      <c r="F388" s="322">
        <f>IFERROR(Calculations[[#This Row],[Number]]*Calculations[[#This Row],[Conversion factor]],0)</f>
        <v>0</v>
      </c>
      <c r="G388" s="322">
        <f>IFERROR(VLOOKUP(Calculations[[#This Row],[Material (choose from dropdown]],MaterialData[#All],7,FALSE),0)</f>
        <v>0</v>
      </c>
      <c r="H388" s="322">
        <f>Calculations[[#This Row],[Total Kg]]*Calculations[[#This Row],[Carbon Factor]]</f>
        <v>0</v>
      </c>
      <c r="I388" t="str">
        <f>IFERROR(VLOOKUP(Calculations[[#This Row],[Material (choose from dropdown]],MaterialData[#All],2,FALSE),"")</f>
        <v/>
      </c>
      <c r="J388" s="322">
        <f>IFERROR(((VLOOKUP(Calculations[[#This Row],[TransportSource]],TransportDistance[],2,FALSE)*'Stage assumptions'!$C$11)+VLOOKUP(Calculations[[#This Row],[TransportSource]],TransportDistance[],3,FALSE)*'Stage assumptions'!$C$12)*Calculations[[#This Row],[Total Kg]],0)</f>
        <v>0</v>
      </c>
      <c r="K388">
        <f>IFERROR(VLOOKUP(Calculations[[#This Row],[Material (choose from dropdown]], MaterialData[#All],3, FALSE),0)</f>
        <v>0</v>
      </c>
      <c r="L388" s="322">
        <f>IFERROR(VLOOKUP(Calculations[[#This Row],[A5type]],A5WastageRate[#All],2,FALSE)*Calculations[[#This Row],[A1-3]],0)</f>
        <v>0</v>
      </c>
      <c r="N388">
        <f>IFERROR(ROUNDUP(50/VLOOKUP(Calculations[[#This Row],[Scope Element]],B4referenceServiceLife[[Tier 2 element]:[Default Service Life]],2, FALSE)-1,0),0)</f>
        <v>0</v>
      </c>
      <c r="O388" s="322">
        <f>IFERROR((Calculations[[#This Row],[A1-3]]+Calculations[[#This Row],[A4]]+Calculations[[#This Row],[A5]]+Calculations[[#This Row],[C2 total]]+Calculations[[#This Row],[C3 total]]+Calculations[[#This Row],[C4 total]])*Calculations[[#This Row],[Replacements]],0)</f>
        <v>0</v>
      </c>
      <c r="S388" t="str">
        <f>IFERROR(VLOOKUP(Calculations[[#This Row],[Material (choose from dropdown]],MaterialData[#All],4,FALSE),"")</f>
        <v/>
      </c>
      <c r="T388" s="322" cm="1">
        <f t="array" ref="T388">IFERROR(VLOOKUP(Calculations[[#This Row],[Waste 1]],WasteScenario[#All],2,FALSE)*'Stage assumptions'!$C$225*WasteTransportMethod[Emissions Factor
kgCO2e/kg.km]*Calculations[[#This Row],[Total Kg]],0)</f>
        <v>0</v>
      </c>
      <c r="U388" s="322" cm="1">
        <f t="array" ref="U388">IFERROR(VLOOKUP(Calculations[[#This Row],[Waste 1]],WasteScenario[#All],3,FALSE)*'Stage assumptions'!$C$224*WasteTransportMethod[Emissions Factor
kgCO2e/kg.km]*Calculations[[#This Row],[Total Kg]],0)</f>
        <v>0</v>
      </c>
      <c r="V388" s="322" cm="1">
        <f t="array" ref="V388">IFERROR(VLOOKUP(Calculations[[#This Row],[Waste 1]],WasteScenario[#All],4,FALSE)*'Stage assumptions'!$C$223*WasteTransportMethod[Emissions Factor
kgCO2e/kg.km]*Calculations[[#This Row],[Total Kg]],0)</f>
        <v>0</v>
      </c>
      <c r="W388" s="322" cm="1">
        <f t="array" ref="W388">IFERROR(VLOOKUP(Calculations[[#This Row],[Waste 1]],WasteScenario[#All],5,FALSE)*'Stage assumptions'!$C$226*WasteTransportMethod[Emissions Factor
kgCO2e/kg.km]*Calculations[[#This Row],[Total Kg]],0)</f>
        <v>0</v>
      </c>
      <c r="X388" s="322">
        <f>SUM(Calculations[[#This Row],[C2 Recycle]:[C2 Reuse]])</f>
        <v>0</v>
      </c>
      <c r="Y388" t="str">
        <f>IFERROR(VLOOKUP(Calculations[[#This Row],[Material (choose from dropdown]],MaterialData[#All],5,FALSE),"")</f>
        <v/>
      </c>
      <c r="Z388" s="322">
        <f>IFERROR(((VLOOKUP(Calculations[[#This Row],[Waste type 2]],WasteDisposalEmissions[#All],2,FALSE))*Calculations[[#This Row],[Total Kg]])*VLOOKUP(Calculations[[#This Row],[Waste 1]],WasteScenario[#All],2,FALSE),0)</f>
        <v>0</v>
      </c>
      <c r="AA388" s="322">
        <f>IFERROR((VLOOKUP(Calculations[[#This Row],[Waste type 2]],WasteDisposalEmissions[#All],3,FALSE))*Calculations[[#This Row],[Total Kg]]*VLOOKUP(Calculations[[#This Row],[Waste 1]],WasteScenario[#All],3,FALSE),0)</f>
        <v>0</v>
      </c>
      <c r="AB388" s="322">
        <f>SUM(Calculations[[#This Row],[C3 recyc]:[C3 incin]])</f>
        <v>0</v>
      </c>
      <c r="AC388" s="334">
        <f>IFERROR((VLOOKUP(Calculations[[#This Row],[Waste type 2]],WasteLandfillEmissions[#All],2,FALSE))*Calculations[[#This Row],[Total Kg]]*VLOOKUP(Calculations[[#This Row],[Waste 1]],WasteScenario[#All],4,FALSE),0)</f>
        <v>0</v>
      </c>
      <c r="AD388" s="322">
        <f>IFERROR((VLOOKUP(Calculations[[#This Row],[Waste type 2]],WasteLandfillEmissions[#All],3,FALSE))*Calculations[[#This Row],[Total Kg]]*VLOOKUP(Calculations[[#This Row],[Waste 1]],WasteScenario[#All],4,FALSE),0)</f>
        <v>0</v>
      </c>
      <c r="AE388" s="322">
        <f>SUM(Calculations[[#This Row],[C4 landfill]:[C4 re-use]])</f>
        <v>0</v>
      </c>
      <c r="AF388" s="322">
        <f>IFERROR(VLOOKUP(Calculations[[#This Row],[Material (choose from dropdown]],MaterialData[#All],8,FALSE),0)</f>
        <v>0</v>
      </c>
      <c r="AG388" s="322">
        <f>IFERROR(Calculations[[#This Row],[Total Kg]]*Calculations[[#This Row],[Seq factor]],0)</f>
        <v>0</v>
      </c>
      <c r="AI388" s="322">
        <f>Calculations[[#This Row],[A1-3]]+Calculations[[#This Row],[A4]]+Calculations[[#This Row],[A5]]+Calculations[[#This Row],[B4]]+Calculations[[#This Row],[C2 total]]+Calculations[[#This Row],[C3 total]]+Calculations[[#This Row],[C4 total]]</f>
        <v>0</v>
      </c>
      <c r="AJ388" s="2">
        <f>IFERROR(VLOOKUP(Calculations[[#This Row],[Material (choose from dropdown]],MaterialData[[#Headers],[#Data]],9,FALSE),0)</f>
        <v>0</v>
      </c>
      <c r="AK388" s="4">
        <f>IFERROR(VLOOKUP(Calculations[[#This Row],[Material (choose from dropdown]],MaterialData[[#Headers],[#Data]],10,FALSE),0)</f>
        <v>0</v>
      </c>
      <c r="AL388" s="322">
        <f>IFERROR(Calculations[[#This Row],[Data Quality Score]]*Calculations[[#This Row],[Total Kg]],0)</f>
        <v>0</v>
      </c>
    </row>
    <row r="389" spans="1:38" x14ac:dyDescent="0.3">
      <c r="A389" s="6">
        <f>IFERROR(MaterialsBoQ[[#This Row],[Scope Element]],0)</f>
        <v>0</v>
      </c>
      <c r="B389" t="str">
        <f>IFERROR(MaterialsBoQ[[#This Row],[Material ]],"")</f>
        <v/>
      </c>
      <c r="C389" t="str">
        <f>IFERROR(MaterialsBoQ[[#This Row],[Unit]],"")</f>
        <v/>
      </c>
      <c r="D389" s="322">
        <f>IFERROR(MaterialsBoQ[[#This Row],[Number]],0)</f>
        <v>0</v>
      </c>
      <c r="E389" s="322">
        <f>IFERROR(MaterialsBoQ[[#This Row],[Kg per unit]],0)</f>
        <v>0</v>
      </c>
      <c r="F389" s="322">
        <f>IFERROR(Calculations[[#This Row],[Number]]*Calculations[[#This Row],[Conversion factor]],0)</f>
        <v>0</v>
      </c>
      <c r="G389" s="322">
        <f>IFERROR(VLOOKUP(Calculations[[#This Row],[Material (choose from dropdown]],MaterialData[#All],7,FALSE),0)</f>
        <v>0</v>
      </c>
      <c r="H389" s="322">
        <f>Calculations[[#This Row],[Total Kg]]*Calculations[[#This Row],[Carbon Factor]]</f>
        <v>0</v>
      </c>
      <c r="I389" t="str">
        <f>IFERROR(VLOOKUP(Calculations[[#This Row],[Material (choose from dropdown]],MaterialData[#All],2,FALSE),"")</f>
        <v/>
      </c>
      <c r="J389" s="322">
        <f>IFERROR(((VLOOKUP(Calculations[[#This Row],[TransportSource]],TransportDistance[],2,FALSE)*'Stage assumptions'!$C$11)+VLOOKUP(Calculations[[#This Row],[TransportSource]],TransportDistance[],3,FALSE)*'Stage assumptions'!$C$12)*Calculations[[#This Row],[Total Kg]],0)</f>
        <v>0</v>
      </c>
      <c r="K389">
        <f>IFERROR(VLOOKUP(Calculations[[#This Row],[Material (choose from dropdown]], MaterialData[#All],3, FALSE),0)</f>
        <v>0</v>
      </c>
      <c r="L389" s="322">
        <f>IFERROR(VLOOKUP(Calculations[[#This Row],[A5type]],A5WastageRate[#All],2,FALSE)*Calculations[[#This Row],[A1-3]],0)</f>
        <v>0</v>
      </c>
      <c r="N389">
        <f>IFERROR(ROUNDUP(50/VLOOKUP(Calculations[[#This Row],[Scope Element]],B4referenceServiceLife[[Tier 2 element]:[Default Service Life]],2, FALSE)-1,0),0)</f>
        <v>0</v>
      </c>
      <c r="O389" s="322">
        <f>IFERROR((Calculations[[#This Row],[A1-3]]+Calculations[[#This Row],[A4]]+Calculations[[#This Row],[A5]]+Calculations[[#This Row],[C2 total]]+Calculations[[#This Row],[C3 total]]+Calculations[[#This Row],[C4 total]])*Calculations[[#This Row],[Replacements]],0)</f>
        <v>0</v>
      </c>
      <c r="S389" t="str">
        <f>IFERROR(VLOOKUP(Calculations[[#This Row],[Material (choose from dropdown]],MaterialData[#All],4,FALSE),"")</f>
        <v/>
      </c>
      <c r="T389" s="322" cm="1">
        <f t="array" ref="T389">IFERROR(VLOOKUP(Calculations[[#This Row],[Waste 1]],WasteScenario[#All],2,FALSE)*'Stage assumptions'!$C$225*WasteTransportMethod[Emissions Factor
kgCO2e/kg.km]*Calculations[[#This Row],[Total Kg]],0)</f>
        <v>0</v>
      </c>
      <c r="U389" s="322" cm="1">
        <f t="array" ref="U389">IFERROR(VLOOKUP(Calculations[[#This Row],[Waste 1]],WasteScenario[#All],3,FALSE)*'Stage assumptions'!$C$224*WasteTransportMethod[Emissions Factor
kgCO2e/kg.km]*Calculations[[#This Row],[Total Kg]],0)</f>
        <v>0</v>
      </c>
      <c r="V389" s="322" cm="1">
        <f t="array" ref="V389">IFERROR(VLOOKUP(Calculations[[#This Row],[Waste 1]],WasteScenario[#All],4,FALSE)*'Stage assumptions'!$C$223*WasteTransportMethod[Emissions Factor
kgCO2e/kg.km]*Calculations[[#This Row],[Total Kg]],0)</f>
        <v>0</v>
      </c>
      <c r="W389" s="322" cm="1">
        <f t="array" ref="W389">IFERROR(VLOOKUP(Calculations[[#This Row],[Waste 1]],WasteScenario[#All],5,FALSE)*'Stage assumptions'!$C$226*WasteTransportMethod[Emissions Factor
kgCO2e/kg.km]*Calculations[[#This Row],[Total Kg]],0)</f>
        <v>0</v>
      </c>
      <c r="X389" s="322">
        <f>SUM(Calculations[[#This Row],[C2 Recycle]:[C2 Reuse]])</f>
        <v>0</v>
      </c>
      <c r="Y389" t="str">
        <f>IFERROR(VLOOKUP(Calculations[[#This Row],[Material (choose from dropdown]],MaterialData[#All],5,FALSE),"")</f>
        <v/>
      </c>
      <c r="Z389" s="322">
        <f>IFERROR(((VLOOKUP(Calculations[[#This Row],[Waste type 2]],WasteDisposalEmissions[#All],2,FALSE))*Calculations[[#This Row],[Total Kg]])*VLOOKUP(Calculations[[#This Row],[Waste 1]],WasteScenario[#All],2,FALSE),0)</f>
        <v>0</v>
      </c>
      <c r="AA389" s="322">
        <f>IFERROR((VLOOKUP(Calculations[[#This Row],[Waste type 2]],WasteDisposalEmissions[#All],3,FALSE))*Calculations[[#This Row],[Total Kg]]*VLOOKUP(Calculations[[#This Row],[Waste 1]],WasteScenario[#All],3,FALSE),0)</f>
        <v>0</v>
      </c>
      <c r="AB389" s="322">
        <f>SUM(Calculations[[#This Row],[C3 recyc]:[C3 incin]])</f>
        <v>0</v>
      </c>
      <c r="AC389" s="334">
        <f>IFERROR((VLOOKUP(Calculations[[#This Row],[Waste type 2]],WasteLandfillEmissions[#All],2,FALSE))*Calculations[[#This Row],[Total Kg]]*VLOOKUP(Calculations[[#This Row],[Waste 1]],WasteScenario[#All],4,FALSE),0)</f>
        <v>0</v>
      </c>
      <c r="AD389" s="322">
        <f>IFERROR((VLOOKUP(Calculations[[#This Row],[Waste type 2]],WasteLandfillEmissions[#All],3,FALSE))*Calculations[[#This Row],[Total Kg]]*VLOOKUP(Calculations[[#This Row],[Waste 1]],WasteScenario[#All],4,FALSE),0)</f>
        <v>0</v>
      </c>
      <c r="AE389" s="322">
        <f>SUM(Calculations[[#This Row],[C4 landfill]:[C4 re-use]])</f>
        <v>0</v>
      </c>
      <c r="AF389" s="322">
        <f>IFERROR(VLOOKUP(Calculations[[#This Row],[Material (choose from dropdown]],MaterialData[#All],8,FALSE),0)</f>
        <v>0</v>
      </c>
      <c r="AG389" s="322">
        <f>IFERROR(Calculations[[#This Row],[Total Kg]]*Calculations[[#This Row],[Seq factor]],0)</f>
        <v>0</v>
      </c>
      <c r="AI389" s="322">
        <f>Calculations[[#This Row],[A1-3]]+Calculations[[#This Row],[A4]]+Calculations[[#This Row],[A5]]+Calculations[[#This Row],[B4]]+Calculations[[#This Row],[C2 total]]+Calculations[[#This Row],[C3 total]]+Calculations[[#This Row],[C4 total]]</f>
        <v>0</v>
      </c>
      <c r="AJ389" s="2">
        <f>IFERROR(VLOOKUP(Calculations[[#This Row],[Material (choose from dropdown]],MaterialData[[#Headers],[#Data]],9,FALSE),0)</f>
        <v>0</v>
      </c>
      <c r="AK389" s="4">
        <f>IFERROR(VLOOKUP(Calculations[[#This Row],[Material (choose from dropdown]],MaterialData[[#Headers],[#Data]],10,FALSE),0)</f>
        <v>0</v>
      </c>
      <c r="AL389" s="322">
        <f>IFERROR(Calculations[[#This Row],[Data Quality Score]]*Calculations[[#This Row],[Total Kg]],0)</f>
        <v>0</v>
      </c>
    </row>
    <row r="390" spans="1:38" x14ac:dyDescent="0.3">
      <c r="A390" s="6">
        <f>IFERROR(MaterialsBoQ[[#This Row],[Scope Element]],0)</f>
        <v>0</v>
      </c>
      <c r="B390" t="str">
        <f>IFERROR(MaterialsBoQ[[#This Row],[Material ]],"")</f>
        <v/>
      </c>
      <c r="C390" t="str">
        <f>IFERROR(MaterialsBoQ[[#This Row],[Unit]],"")</f>
        <v/>
      </c>
      <c r="D390" s="322">
        <f>IFERROR(MaterialsBoQ[[#This Row],[Number]],0)</f>
        <v>0</v>
      </c>
      <c r="E390" s="322">
        <f>IFERROR(MaterialsBoQ[[#This Row],[Kg per unit]],0)</f>
        <v>0</v>
      </c>
      <c r="F390" s="322">
        <f>IFERROR(Calculations[[#This Row],[Number]]*Calculations[[#This Row],[Conversion factor]],0)</f>
        <v>0</v>
      </c>
      <c r="G390" s="322">
        <f>IFERROR(VLOOKUP(Calculations[[#This Row],[Material (choose from dropdown]],MaterialData[#All],7,FALSE),0)</f>
        <v>0</v>
      </c>
      <c r="H390" s="322">
        <f>Calculations[[#This Row],[Total Kg]]*Calculations[[#This Row],[Carbon Factor]]</f>
        <v>0</v>
      </c>
      <c r="I390" t="str">
        <f>IFERROR(VLOOKUP(Calculations[[#This Row],[Material (choose from dropdown]],MaterialData[#All],2,FALSE),"")</f>
        <v/>
      </c>
      <c r="J390" s="322">
        <f>IFERROR(((VLOOKUP(Calculations[[#This Row],[TransportSource]],TransportDistance[],2,FALSE)*'Stage assumptions'!$C$11)+VLOOKUP(Calculations[[#This Row],[TransportSource]],TransportDistance[],3,FALSE)*'Stage assumptions'!$C$12)*Calculations[[#This Row],[Total Kg]],0)</f>
        <v>0</v>
      </c>
      <c r="K390">
        <f>IFERROR(VLOOKUP(Calculations[[#This Row],[Material (choose from dropdown]], MaterialData[#All],3, FALSE),0)</f>
        <v>0</v>
      </c>
      <c r="L390" s="322">
        <f>IFERROR(VLOOKUP(Calculations[[#This Row],[A5type]],A5WastageRate[#All],2,FALSE)*Calculations[[#This Row],[A1-3]],0)</f>
        <v>0</v>
      </c>
      <c r="N390">
        <f>IFERROR(ROUNDUP(50/VLOOKUP(Calculations[[#This Row],[Scope Element]],B4referenceServiceLife[[Tier 2 element]:[Default Service Life]],2, FALSE)-1,0),0)</f>
        <v>0</v>
      </c>
      <c r="O390" s="322">
        <f>IFERROR((Calculations[[#This Row],[A1-3]]+Calculations[[#This Row],[A4]]+Calculations[[#This Row],[A5]]+Calculations[[#This Row],[C2 total]]+Calculations[[#This Row],[C3 total]]+Calculations[[#This Row],[C4 total]])*Calculations[[#This Row],[Replacements]],0)</f>
        <v>0</v>
      </c>
      <c r="S390" t="str">
        <f>IFERROR(VLOOKUP(Calculations[[#This Row],[Material (choose from dropdown]],MaterialData[#All],4,FALSE),"")</f>
        <v/>
      </c>
      <c r="T390" s="322" cm="1">
        <f t="array" ref="T390">IFERROR(VLOOKUP(Calculations[[#This Row],[Waste 1]],WasteScenario[#All],2,FALSE)*'Stage assumptions'!$C$225*WasteTransportMethod[Emissions Factor
kgCO2e/kg.km]*Calculations[[#This Row],[Total Kg]],0)</f>
        <v>0</v>
      </c>
      <c r="U390" s="322" cm="1">
        <f t="array" ref="U390">IFERROR(VLOOKUP(Calculations[[#This Row],[Waste 1]],WasteScenario[#All],3,FALSE)*'Stage assumptions'!$C$224*WasteTransportMethod[Emissions Factor
kgCO2e/kg.km]*Calculations[[#This Row],[Total Kg]],0)</f>
        <v>0</v>
      </c>
      <c r="V390" s="322" cm="1">
        <f t="array" ref="V390">IFERROR(VLOOKUP(Calculations[[#This Row],[Waste 1]],WasteScenario[#All],4,FALSE)*'Stage assumptions'!$C$223*WasteTransportMethod[Emissions Factor
kgCO2e/kg.km]*Calculations[[#This Row],[Total Kg]],0)</f>
        <v>0</v>
      </c>
      <c r="W390" s="322" cm="1">
        <f t="array" ref="W390">IFERROR(VLOOKUP(Calculations[[#This Row],[Waste 1]],WasteScenario[#All],5,FALSE)*'Stage assumptions'!$C$226*WasteTransportMethod[Emissions Factor
kgCO2e/kg.km]*Calculations[[#This Row],[Total Kg]],0)</f>
        <v>0</v>
      </c>
      <c r="X390" s="322">
        <f>SUM(Calculations[[#This Row],[C2 Recycle]:[C2 Reuse]])</f>
        <v>0</v>
      </c>
      <c r="Y390" t="str">
        <f>IFERROR(VLOOKUP(Calculations[[#This Row],[Material (choose from dropdown]],MaterialData[#All],5,FALSE),"")</f>
        <v/>
      </c>
      <c r="Z390" s="322">
        <f>IFERROR(((VLOOKUP(Calculations[[#This Row],[Waste type 2]],WasteDisposalEmissions[#All],2,FALSE))*Calculations[[#This Row],[Total Kg]])*VLOOKUP(Calculations[[#This Row],[Waste 1]],WasteScenario[#All],2,FALSE),0)</f>
        <v>0</v>
      </c>
      <c r="AA390" s="322">
        <f>IFERROR((VLOOKUP(Calculations[[#This Row],[Waste type 2]],WasteDisposalEmissions[#All],3,FALSE))*Calculations[[#This Row],[Total Kg]]*VLOOKUP(Calculations[[#This Row],[Waste 1]],WasteScenario[#All],3,FALSE),0)</f>
        <v>0</v>
      </c>
      <c r="AB390" s="322">
        <f>SUM(Calculations[[#This Row],[C3 recyc]:[C3 incin]])</f>
        <v>0</v>
      </c>
      <c r="AC390" s="334">
        <f>IFERROR((VLOOKUP(Calculations[[#This Row],[Waste type 2]],WasteLandfillEmissions[#All],2,FALSE))*Calculations[[#This Row],[Total Kg]]*VLOOKUP(Calculations[[#This Row],[Waste 1]],WasteScenario[#All],4,FALSE),0)</f>
        <v>0</v>
      </c>
      <c r="AD390" s="322">
        <f>IFERROR((VLOOKUP(Calculations[[#This Row],[Waste type 2]],WasteLandfillEmissions[#All],3,FALSE))*Calculations[[#This Row],[Total Kg]]*VLOOKUP(Calculations[[#This Row],[Waste 1]],WasteScenario[#All],4,FALSE),0)</f>
        <v>0</v>
      </c>
      <c r="AE390" s="322">
        <f>SUM(Calculations[[#This Row],[C4 landfill]:[C4 re-use]])</f>
        <v>0</v>
      </c>
      <c r="AF390" s="322">
        <f>IFERROR(VLOOKUP(Calculations[[#This Row],[Material (choose from dropdown]],MaterialData[#All],8,FALSE),0)</f>
        <v>0</v>
      </c>
      <c r="AG390" s="322">
        <f>IFERROR(Calculations[[#This Row],[Total Kg]]*Calculations[[#This Row],[Seq factor]],0)</f>
        <v>0</v>
      </c>
      <c r="AI390" s="322">
        <f>Calculations[[#This Row],[A1-3]]+Calculations[[#This Row],[A4]]+Calculations[[#This Row],[A5]]+Calculations[[#This Row],[B4]]+Calculations[[#This Row],[C2 total]]+Calculations[[#This Row],[C3 total]]+Calculations[[#This Row],[C4 total]]</f>
        <v>0</v>
      </c>
      <c r="AJ390" s="2">
        <f>IFERROR(VLOOKUP(Calculations[[#This Row],[Material (choose from dropdown]],MaterialData[[#Headers],[#Data]],9,FALSE),0)</f>
        <v>0</v>
      </c>
      <c r="AK390" s="4">
        <f>IFERROR(VLOOKUP(Calculations[[#This Row],[Material (choose from dropdown]],MaterialData[[#Headers],[#Data]],10,FALSE),0)</f>
        <v>0</v>
      </c>
      <c r="AL390" s="322">
        <f>IFERROR(Calculations[[#This Row],[Data Quality Score]]*Calculations[[#This Row],[Total Kg]],0)</f>
        <v>0</v>
      </c>
    </row>
    <row r="391" spans="1:38" x14ac:dyDescent="0.3">
      <c r="A391" s="6">
        <f>IFERROR(MaterialsBoQ[[#This Row],[Scope Element]],0)</f>
        <v>0</v>
      </c>
      <c r="B391" t="str">
        <f>IFERROR(MaterialsBoQ[[#This Row],[Material ]],"")</f>
        <v/>
      </c>
      <c r="C391" t="str">
        <f>IFERROR(MaterialsBoQ[[#This Row],[Unit]],"")</f>
        <v/>
      </c>
      <c r="D391" s="322">
        <f>IFERROR(MaterialsBoQ[[#This Row],[Number]],0)</f>
        <v>0</v>
      </c>
      <c r="E391" s="322">
        <f>IFERROR(MaterialsBoQ[[#This Row],[Kg per unit]],0)</f>
        <v>0</v>
      </c>
      <c r="F391" s="322">
        <f>IFERROR(Calculations[[#This Row],[Number]]*Calculations[[#This Row],[Conversion factor]],0)</f>
        <v>0</v>
      </c>
      <c r="G391" s="322">
        <f>IFERROR(VLOOKUP(Calculations[[#This Row],[Material (choose from dropdown]],MaterialData[#All],7,FALSE),0)</f>
        <v>0</v>
      </c>
      <c r="H391" s="322">
        <f>Calculations[[#This Row],[Total Kg]]*Calculations[[#This Row],[Carbon Factor]]</f>
        <v>0</v>
      </c>
      <c r="I391" t="str">
        <f>IFERROR(VLOOKUP(Calculations[[#This Row],[Material (choose from dropdown]],MaterialData[#All],2,FALSE),"")</f>
        <v/>
      </c>
      <c r="J391" s="322">
        <f>IFERROR(((VLOOKUP(Calculations[[#This Row],[TransportSource]],TransportDistance[],2,FALSE)*'Stage assumptions'!$C$11)+VLOOKUP(Calculations[[#This Row],[TransportSource]],TransportDistance[],3,FALSE)*'Stage assumptions'!$C$12)*Calculations[[#This Row],[Total Kg]],0)</f>
        <v>0</v>
      </c>
      <c r="K391">
        <f>IFERROR(VLOOKUP(Calculations[[#This Row],[Material (choose from dropdown]], MaterialData[#All],3, FALSE),0)</f>
        <v>0</v>
      </c>
      <c r="L391" s="322">
        <f>IFERROR(VLOOKUP(Calculations[[#This Row],[A5type]],A5WastageRate[#All],2,FALSE)*Calculations[[#This Row],[A1-3]],0)</f>
        <v>0</v>
      </c>
      <c r="N391">
        <f>IFERROR(ROUNDUP(50/VLOOKUP(Calculations[[#This Row],[Scope Element]],B4referenceServiceLife[[Tier 2 element]:[Default Service Life]],2, FALSE)-1,0),0)</f>
        <v>0</v>
      </c>
      <c r="O391" s="322">
        <f>IFERROR((Calculations[[#This Row],[A1-3]]+Calculations[[#This Row],[A4]]+Calculations[[#This Row],[A5]]+Calculations[[#This Row],[C2 total]]+Calculations[[#This Row],[C3 total]]+Calculations[[#This Row],[C4 total]])*Calculations[[#This Row],[Replacements]],0)</f>
        <v>0</v>
      </c>
      <c r="S391" t="str">
        <f>IFERROR(VLOOKUP(Calculations[[#This Row],[Material (choose from dropdown]],MaterialData[#All],4,FALSE),"")</f>
        <v/>
      </c>
      <c r="T391" s="322" cm="1">
        <f t="array" ref="T391">IFERROR(VLOOKUP(Calculations[[#This Row],[Waste 1]],WasteScenario[#All],2,FALSE)*'Stage assumptions'!$C$225*WasteTransportMethod[Emissions Factor
kgCO2e/kg.km]*Calculations[[#This Row],[Total Kg]],0)</f>
        <v>0</v>
      </c>
      <c r="U391" s="322" cm="1">
        <f t="array" ref="U391">IFERROR(VLOOKUP(Calculations[[#This Row],[Waste 1]],WasteScenario[#All],3,FALSE)*'Stage assumptions'!$C$224*WasteTransportMethod[Emissions Factor
kgCO2e/kg.km]*Calculations[[#This Row],[Total Kg]],0)</f>
        <v>0</v>
      </c>
      <c r="V391" s="322" cm="1">
        <f t="array" ref="V391">IFERROR(VLOOKUP(Calculations[[#This Row],[Waste 1]],WasteScenario[#All],4,FALSE)*'Stage assumptions'!$C$223*WasteTransportMethod[Emissions Factor
kgCO2e/kg.km]*Calculations[[#This Row],[Total Kg]],0)</f>
        <v>0</v>
      </c>
      <c r="W391" s="322" cm="1">
        <f t="array" ref="W391">IFERROR(VLOOKUP(Calculations[[#This Row],[Waste 1]],WasteScenario[#All],5,FALSE)*'Stage assumptions'!$C$226*WasteTransportMethod[Emissions Factor
kgCO2e/kg.km]*Calculations[[#This Row],[Total Kg]],0)</f>
        <v>0</v>
      </c>
      <c r="X391" s="322">
        <f>SUM(Calculations[[#This Row],[C2 Recycle]:[C2 Reuse]])</f>
        <v>0</v>
      </c>
      <c r="Y391" t="str">
        <f>IFERROR(VLOOKUP(Calculations[[#This Row],[Material (choose from dropdown]],MaterialData[#All],5,FALSE),"")</f>
        <v/>
      </c>
      <c r="Z391" s="322">
        <f>IFERROR(((VLOOKUP(Calculations[[#This Row],[Waste type 2]],WasteDisposalEmissions[#All],2,FALSE))*Calculations[[#This Row],[Total Kg]])*VLOOKUP(Calculations[[#This Row],[Waste 1]],WasteScenario[#All],2,FALSE),0)</f>
        <v>0</v>
      </c>
      <c r="AA391" s="322">
        <f>IFERROR((VLOOKUP(Calculations[[#This Row],[Waste type 2]],WasteDisposalEmissions[#All],3,FALSE))*Calculations[[#This Row],[Total Kg]]*VLOOKUP(Calculations[[#This Row],[Waste 1]],WasteScenario[#All],3,FALSE),0)</f>
        <v>0</v>
      </c>
      <c r="AB391" s="322">
        <f>SUM(Calculations[[#This Row],[C3 recyc]:[C3 incin]])</f>
        <v>0</v>
      </c>
      <c r="AC391" s="334">
        <f>IFERROR((VLOOKUP(Calculations[[#This Row],[Waste type 2]],WasteLandfillEmissions[#All],2,FALSE))*Calculations[[#This Row],[Total Kg]]*VLOOKUP(Calculations[[#This Row],[Waste 1]],WasteScenario[#All],4,FALSE),0)</f>
        <v>0</v>
      </c>
      <c r="AD391" s="322">
        <f>IFERROR((VLOOKUP(Calculations[[#This Row],[Waste type 2]],WasteLandfillEmissions[#All],3,FALSE))*Calculations[[#This Row],[Total Kg]]*VLOOKUP(Calculations[[#This Row],[Waste 1]],WasteScenario[#All],4,FALSE),0)</f>
        <v>0</v>
      </c>
      <c r="AE391" s="322">
        <f>SUM(Calculations[[#This Row],[C4 landfill]:[C4 re-use]])</f>
        <v>0</v>
      </c>
      <c r="AF391" s="322">
        <f>IFERROR(VLOOKUP(Calculations[[#This Row],[Material (choose from dropdown]],MaterialData[#All],8,FALSE),0)</f>
        <v>0</v>
      </c>
      <c r="AG391" s="322">
        <f>IFERROR(Calculations[[#This Row],[Total Kg]]*Calculations[[#This Row],[Seq factor]],0)</f>
        <v>0</v>
      </c>
      <c r="AI391" s="322">
        <f>Calculations[[#This Row],[A1-3]]+Calculations[[#This Row],[A4]]+Calculations[[#This Row],[A5]]+Calculations[[#This Row],[B4]]+Calculations[[#This Row],[C2 total]]+Calculations[[#This Row],[C3 total]]+Calculations[[#This Row],[C4 total]]</f>
        <v>0</v>
      </c>
      <c r="AJ391" s="2">
        <f>IFERROR(VLOOKUP(Calculations[[#This Row],[Material (choose from dropdown]],MaterialData[[#Headers],[#Data]],9,FALSE),0)</f>
        <v>0</v>
      </c>
      <c r="AK391" s="4">
        <f>IFERROR(VLOOKUP(Calculations[[#This Row],[Material (choose from dropdown]],MaterialData[[#Headers],[#Data]],10,FALSE),0)</f>
        <v>0</v>
      </c>
      <c r="AL391" s="322">
        <f>IFERROR(Calculations[[#This Row],[Data Quality Score]]*Calculations[[#This Row],[Total Kg]],0)</f>
        <v>0</v>
      </c>
    </row>
    <row r="392" spans="1:38" x14ac:dyDescent="0.3">
      <c r="A392" s="6">
        <f>IFERROR(MaterialsBoQ[[#This Row],[Scope Element]],0)</f>
        <v>0</v>
      </c>
      <c r="B392" t="str">
        <f>IFERROR(MaterialsBoQ[[#This Row],[Material ]],"")</f>
        <v/>
      </c>
      <c r="C392" t="str">
        <f>IFERROR(MaterialsBoQ[[#This Row],[Unit]],"")</f>
        <v/>
      </c>
      <c r="D392" s="322">
        <f>IFERROR(MaterialsBoQ[[#This Row],[Number]],0)</f>
        <v>0</v>
      </c>
      <c r="E392" s="322">
        <f>IFERROR(MaterialsBoQ[[#This Row],[Kg per unit]],0)</f>
        <v>0</v>
      </c>
      <c r="F392" s="322">
        <f>IFERROR(Calculations[[#This Row],[Number]]*Calculations[[#This Row],[Conversion factor]],0)</f>
        <v>0</v>
      </c>
      <c r="G392" s="322">
        <f>IFERROR(VLOOKUP(Calculations[[#This Row],[Material (choose from dropdown]],MaterialData[#All],7,FALSE),0)</f>
        <v>0</v>
      </c>
      <c r="H392" s="322">
        <f>Calculations[[#This Row],[Total Kg]]*Calculations[[#This Row],[Carbon Factor]]</f>
        <v>0</v>
      </c>
      <c r="I392" t="str">
        <f>IFERROR(VLOOKUP(Calculations[[#This Row],[Material (choose from dropdown]],MaterialData[#All],2,FALSE),"")</f>
        <v/>
      </c>
      <c r="J392" s="322">
        <f>IFERROR(((VLOOKUP(Calculations[[#This Row],[TransportSource]],TransportDistance[],2,FALSE)*'Stage assumptions'!$C$11)+VLOOKUP(Calculations[[#This Row],[TransportSource]],TransportDistance[],3,FALSE)*'Stage assumptions'!$C$12)*Calculations[[#This Row],[Total Kg]],0)</f>
        <v>0</v>
      </c>
      <c r="K392">
        <f>IFERROR(VLOOKUP(Calculations[[#This Row],[Material (choose from dropdown]], MaterialData[#All],3, FALSE),0)</f>
        <v>0</v>
      </c>
      <c r="L392" s="322">
        <f>IFERROR(VLOOKUP(Calculations[[#This Row],[A5type]],A5WastageRate[#All],2,FALSE)*Calculations[[#This Row],[A1-3]],0)</f>
        <v>0</v>
      </c>
      <c r="N392">
        <f>IFERROR(ROUNDUP(50/VLOOKUP(Calculations[[#This Row],[Scope Element]],B4referenceServiceLife[[Tier 2 element]:[Default Service Life]],2, FALSE)-1,0),0)</f>
        <v>0</v>
      </c>
      <c r="O392" s="322">
        <f>IFERROR((Calculations[[#This Row],[A1-3]]+Calculations[[#This Row],[A4]]+Calculations[[#This Row],[A5]]+Calculations[[#This Row],[C2 total]]+Calculations[[#This Row],[C3 total]]+Calculations[[#This Row],[C4 total]])*Calculations[[#This Row],[Replacements]],0)</f>
        <v>0</v>
      </c>
      <c r="S392" t="str">
        <f>IFERROR(VLOOKUP(Calculations[[#This Row],[Material (choose from dropdown]],MaterialData[#All],4,FALSE),"")</f>
        <v/>
      </c>
      <c r="T392" s="322" cm="1">
        <f t="array" ref="T392">IFERROR(VLOOKUP(Calculations[[#This Row],[Waste 1]],WasteScenario[#All],2,FALSE)*'Stage assumptions'!$C$225*WasteTransportMethod[Emissions Factor
kgCO2e/kg.km]*Calculations[[#This Row],[Total Kg]],0)</f>
        <v>0</v>
      </c>
      <c r="U392" s="322" cm="1">
        <f t="array" ref="U392">IFERROR(VLOOKUP(Calculations[[#This Row],[Waste 1]],WasteScenario[#All],3,FALSE)*'Stage assumptions'!$C$224*WasteTransportMethod[Emissions Factor
kgCO2e/kg.km]*Calculations[[#This Row],[Total Kg]],0)</f>
        <v>0</v>
      </c>
      <c r="V392" s="322" cm="1">
        <f t="array" ref="V392">IFERROR(VLOOKUP(Calculations[[#This Row],[Waste 1]],WasteScenario[#All],4,FALSE)*'Stage assumptions'!$C$223*WasteTransportMethod[Emissions Factor
kgCO2e/kg.km]*Calculations[[#This Row],[Total Kg]],0)</f>
        <v>0</v>
      </c>
      <c r="W392" s="322" cm="1">
        <f t="array" ref="W392">IFERROR(VLOOKUP(Calculations[[#This Row],[Waste 1]],WasteScenario[#All],5,FALSE)*'Stage assumptions'!$C$226*WasteTransportMethod[Emissions Factor
kgCO2e/kg.km]*Calculations[[#This Row],[Total Kg]],0)</f>
        <v>0</v>
      </c>
      <c r="X392" s="322">
        <f>SUM(Calculations[[#This Row],[C2 Recycle]:[C2 Reuse]])</f>
        <v>0</v>
      </c>
      <c r="Y392" t="str">
        <f>IFERROR(VLOOKUP(Calculations[[#This Row],[Material (choose from dropdown]],MaterialData[#All],5,FALSE),"")</f>
        <v/>
      </c>
      <c r="Z392" s="322">
        <f>IFERROR(((VLOOKUP(Calculations[[#This Row],[Waste type 2]],WasteDisposalEmissions[#All],2,FALSE))*Calculations[[#This Row],[Total Kg]])*VLOOKUP(Calculations[[#This Row],[Waste 1]],WasteScenario[#All],2,FALSE),0)</f>
        <v>0</v>
      </c>
      <c r="AA392" s="322">
        <f>IFERROR((VLOOKUP(Calculations[[#This Row],[Waste type 2]],WasteDisposalEmissions[#All],3,FALSE))*Calculations[[#This Row],[Total Kg]]*VLOOKUP(Calculations[[#This Row],[Waste 1]],WasteScenario[#All],3,FALSE),0)</f>
        <v>0</v>
      </c>
      <c r="AB392" s="322">
        <f>SUM(Calculations[[#This Row],[C3 recyc]:[C3 incin]])</f>
        <v>0</v>
      </c>
      <c r="AC392" s="334">
        <f>IFERROR((VLOOKUP(Calculations[[#This Row],[Waste type 2]],WasteLandfillEmissions[#All],2,FALSE))*Calculations[[#This Row],[Total Kg]]*VLOOKUP(Calculations[[#This Row],[Waste 1]],WasteScenario[#All],4,FALSE),0)</f>
        <v>0</v>
      </c>
      <c r="AD392" s="322">
        <f>IFERROR((VLOOKUP(Calculations[[#This Row],[Waste type 2]],WasteLandfillEmissions[#All],3,FALSE))*Calculations[[#This Row],[Total Kg]]*VLOOKUP(Calculations[[#This Row],[Waste 1]],WasteScenario[#All],4,FALSE),0)</f>
        <v>0</v>
      </c>
      <c r="AE392" s="322">
        <f>SUM(Calculations[[#This Row],[C4 landfill]:[C4 re-use]])</f>
        <v>0</v>
      </c>
      <c r="AF392" s="322">
        <f>IFERROR(VLOOKUP(Calculations[[#This Row],[Material (choose from dropdown]],MaterialData[#All],8,FALSE),0)</f>
        <v>0</v>
      </c>
      <c r="AG392" s="322">
        <f>IFERROR(Calculations[[#This Row],[Total Kg]]*Calculations[[#This Row],[Seq factor]],0)</f>
        <v>0</v>
      </c>
      <c r="AI392" s="322">
        <f>Calculations[[#This Row],[A1-3]]+Calculations[[#This Row],[A4]]+Calculations[[#This Row],[A5]]+Calculations[[#This Row],[B4]]+Calculations[[#This Row],[C2 total]]+Calculations[[#This Row],[C3 total]]+Calculations[[#This Row],[C4 total]]</f>
        <v>0</v>
      </c>
      <c r="AJ392" s="2">
        <f>IFERROR(VLOOKUP(Calculations[[#This Row],[Material (choose from dropdown]],MaterialData[[#Headers],[#Data]],9,FALSE),0)</f>
        <v>0</v>
      </c>
      <c r="AK392" s="4">
        <f>IFERROR(VLOOKUP(Calculations[[#This Row],[Material (choose from dropdown]],MaterialData[[#Headers],[#Data]],10,FALSE),0)</f>
        <v>0</v>
      </c>
      <c r="AL392" s="322">
        <f>IFERROR(Calculations[[#This Row],[Data Quality Score]]*Calculations[[#This Row],[Total Kg]],0)</f>
        <v>0</v>
      </c>
    </row>
    <row r="393" spans="1:38" x14ac:dyDescent="0.3">
      <c r="A393" s="6">
        <f>IFERROR(MaterialsBoQ[[#This Row],[Scope Element]],0)</f>
        <v>0</v>
      </c>
      <c r="B393" t="str">
        <f>IFERROR(MaterialsBoQ[[#This Row],[Material ]],"")</f>
        <v/>
      </c>
      <c r="C393" t="str">
        <f>IFERROR(MaterialsBoQ[[#This Row],[Unit]],"")</f>
        <v/>
      </c>
      <c r="D393" s="322">
        <f>IFERROR(MaterialsBoQ[[#This Row],[Number]],0)</f>
        <v>0</v>
      </c>
      <c r="E393" s="322">
        <f>IFERROR(MaterialsBoQ[[#This Row],[Kg per unit]],0)</f>
        <v>0</v>
      </c>
      <c r="F393" s="322">
        <f>IFERROR(Calculations[[#This Row],[Number]]*Calculations[[#This Row],[Conversion factor]],0)</f>
        <v>0</v>
      </c>
      <c r="G393" s="322">
        <f>IFERROR(VLOOKUP(Calculations[[#This Row],[Material (choose from dropdown]],MaterialData[#All],7,FALSE),0)</f>
        <v>0</v>
      </c>
      <c r="H393" s="322">
        <f>Calculations[[#This Row],[Total Kg]]*Calculations[[#This Row],[Carbon Factor]]</f>
        <v>0</v>
      </c>
      <c r="I393" t="str">
        <f>IFERROR(VLOOKUP(Calculations[[#This Row],[Material (choose from dropdown]],MaterialData[#All],2,FALSE),"")</f>
        <v/>
      </c>
      <c r="J393" s="322">
        <f>IFERROR(((VLOOKUP(Calculations[[#This Row],[TransportSource]],TransportDistance[],2,FALSE)*'Stage assumptions'!$C$11)+VLOOKUP(Calculations[[#This Row],[TransportSource]],TransportDistance[],3,FALSE)*'Stage assumptions'!$C$12)*Calculations[[#This Row],[Total Kg]],0)</f>
        <v>0</v>
      </c>
      <c r="K393">
        <f>IFERROR(VLOOKUP(Calculations[[#This Row],[Material (choose from dropdown]], MaterialData[#All],3, FALSE),0)</f>
        <v>0</v>
      </c>
      <c r="L393" s="322">
        <f>IFERROR(VLOOKUP(Calculations[[#This Row],[A5type]],A5WastageRate[#All],2,FALSE)*Calculations[[#This Row],[A1-3]],0)</f>
        <v>0</v>
      </c>
      <c r="N393">
        <f>IFERROR(ROUNDUP(50/VLOOKUP(Calculations[[#This Row],[Scope Element]],B4referenceServiceLife[[Tier 2 element]:[Default Service Life]],2, FALSE)-1,0),0)</f>
        <v>0</v>
      </c>
      <c r="O393" s="322">
        <f>IFERROR((Calculations[[#This Row],[A1-3]]+Calculations[[#This Row],[A4]]+Calculations[[#This Row],[A5]]+Calculations[[#This Row],[C2 total]]+Calculations[[#This Row],[C3 total]]+Calculations[[#This Row],[C4 total]])*Calculations[[#This Row],[Replacements]],0)</f>
        <v>0</v>
      </c>
      <c r="S393" t="str">
        <f>IFERROR(VLOOKUP(Calculations[[#This Row],[Material (choose from dropdown]],MaterialData[#All],4,FALSE),"")</f>
        <v/>
      </c>
      <c r="T393" s="322" cm="1">
        <f t="array" ref="T393">IFERROR(VLOOKUP(Calculations[[#This Row],[Waste 1]],WasteScenario[#All],2,FALSE)*'Stage assumptions'!$C$225*WasteTransportMethod[Emissions Factor
kgCO2e/kg.km]*Calculations[[#This Row],[Total Kg]],0)</f>
        <v>0</v>
      </c>
      <c r="U393" s="322" cm="1">
        <f t="array" ref="U393">IFERROR(VLOOKUP(Calculations[[#This Row],[Waste 1]],WasteScenario[#All],3,FALSE)*'Stage assumptions'!$C$224*WasteTransportMethod[Emissions Factor
kgCO2e/kg.km]*Calculations[[#This Row],[Total Kg]],0)</f>
        <v>0</v>
      </c>
      <c r="V393" s="322" cm="1">
        <f t="array" ref="V393">IFERROR(VLOOKUP(Calculations[[#This Row],[Waste 1]],WasteScenario[#All],4,FALSE)*'Stage assumptions'!$C$223*WasteTransportMethod[Emissions Factor
kgCO2e/kg.km]*Calculations[[#This Row],[Total Kg]],0)</f>
        <v>0</v>
      </c>
      <c r="W393" s="322" cm="1">
        <f t="array" ref="W393">IFERROR(VLOOKUP(Calculations[[#This Row],[Waste 1]],WasteScenario[#All],5,FALSE)*'Stage assumptions'!$C$226*WasteTransportMethod[Emissions Factor
kgCO2e/kg.km]*Calculations[[#This Row],[Total Kg]],0)</f>
        <v>0</v>
      </c>
      <c r="X393" s="322">
        <f>SUM(Calculations[[#This Row],[C2 Recycle]:[C2 Reuse]])</f>
        <v>0</v>
      </c>
      <c r="Y393" t="str">
        <f>IFERROR(VLOOKUP(Calculations[[#This Row],[Material (choose from dropdown]],MaterialData[#All],5,FALSE),"")</f>
        <v/>
      </c>
      <c r="Z393" s="322">
        <f>IFERROR(((VLOOKUP(Calculations[[#This Row],[Waste type 2]],WasteDisposalEmissions[#All],2,FALSE))*Calculations[[#This Row],[Total Kg]])*VLOOKUP(Calculations[[#This Row],[Waste 1]],WasteScenario[#All],2,FALSE),0)</f>
        <v>0</v>
      </c>
      <c r="AA393" s="322">
        <f>IFERROR((VLOOKUP(Calculations[[#This Row],[Waste type 2]],WasteDisposalEmissions[#All],3,FALSE))*Calculations[[#This Row],[Total Kg]]*VLOOKUP(Calculations[[#This Row],[Waste 1]],WasteScenario[#All],3,FALSE),0)</f>
        <v>0</v>
      </c>
      <c r="AB393" s="322">
        <f>SUM(Calculations[[#This Row],[C3 recyc]:[C3 incin]])</f>
        <v>0</v>
      </c>
      <c r="AC393" s="334">
        <f>IFERROR((VLOOKUP(Calculations[[#This Row],[Waste type 2]],WasteLandfillEmissions[#All],2,FALSE))*Calculations[[#This Row],[Total Kg]]*VLOOKUP(Calculations[[#This Row],[Waste 1]],WasteScenario[#All],4,FALSE),0)</f>
        <v>0</v>
      </c>
      <c r="AD393" s="322">
        <f>IFERROR((VLOOKUP(Calculations[[#This Row],[Waste type 2]],WasteLandfillEmissions[#All],3,FALSE))*Calculations[[#This Row],[Total Kg]]*VLOOKUP(Calculations[[#This Row],[Waste 1]],WasteScenario[#All],4,FALSE),0)</f>
        <v>0</v>
      </c>
      <c r="AE393" s="322">
        <f>SUM(Calculations[[#This Row],[C4 landfill]:[C4 re-use]])</f>
        <v>0</v>
      </c>
      <c r="AF393" s="322">
        <f>IFERROR(VLOOKUP(Calculations[[#This Row],[Material (choose from dropdown]],MaterialData[#All],8,FALSE),0)</f>
        <v>0</v>
      </c>
      <c r="AG393" s="322">
        <f>IFERROR(Calculations[[#This Row],[Total Kg]]*Calculations[[#This Row],[Seq factor]],0)</f>
        <v>0</v>
      </c>
      <c r="AI393" s="322">
        <f>Calculations[[#This Row],[A1-3]]+Calculations[[#This Row],[A4]]+Calculations[[#This Row],[A5]]+Calculations[[#This Row],[B4]]+Calculations[[#This Row],[C2 total]]+Calculations[[#This Row],[C3 total]]+Calculations[[#This Row],[C4 total]]</f>
        <v>0</v>
      </c>
      <c r="AJ393" s="2">
        <f>IFERROR(VLOOKUP(Calculations[[#This Row],[Material (choose from dropdown]],MaterialData[[#Headers],[#Data]],9,FALSE),0)</f>
        <v>0</v>
      </c>
      <c r="AK393" s="4">
        <f>IFERROR(VLOOKUP(Calculations[[#This Row],[Material (choose from dropdown]],MaterialData[[#Headers],[#Data]],10,FALSE),0)</f>
        <v>0</v>
      </c>
      <c r="AL393" s="322">
        <f>IFERROR(Calculations[[#This Row],[Data Quality Score]]*Calculations[[#This Row],[Total Kg]],0)</f>
        <v>0</v>
      </c>
    </row>
    <row r="394" spans="1:38" x14ac:dyDescent="0.3">
      <c r="A394" s="6">
        <f>IFERROR(MaterialsBoQ[[#This Row],[Scope Element]],0)</f>
        <v>0</v>
      </c>
      <c r="B394" t="str">
        <f>IFERROR(MaterialsBoQ[[#This Row],[Material ]],"")</f>
        <v/>
      </c>
      <c r="C394" t="str">
        <f>IFERROR(MaterialsBoQ[[#This Row],[Unit]],"")</f>
        <v/>
      </c>
      <c r="D394" s="322">
        <f>IFERROR(MaterialsBoQ[[#This Row],[Number]],0)</f>
        <v>0</v>
      </c>
      <c r="E394" s="322">
        <f>IFERROR(MaterialsBoQ[[#This Row],[Kg per unit]],0)</f>
        <v>0</v>
      </c>
      <c r="F394" s="322">
        <f>IFERROR(Calculations[[#This Row],[Number]]*Calculations[[#This Row],[Conversion factor]],0)</f>
        <v>0</v>
      </c>
      <c r="G394" s="322">
        <f>IFERROR(VLOOKUP(Calculations[[#This Row],[Material (choose from dropdown]],MaterialData[#All],7,FALSE),0)</f>
        <v>0</v>
      </c>
      <c r="H394" s="322">
        <f>Calculations[[#This Row],[Total Kg]]*Calculations[[#This Row],[Carbon Factor]]</f>
        <v>0</v>
      </c>
      <c r="I394" t="str">
        <f>IFERROR(VLOOKUP(Calculations[[#This Row],[Material (choose from dropdown]],MaterialData[#All],2,FALSE),"")</f>
        <v/>
      </c>
      <c r="J394" s="322">
        <f>IFERROR(((VLOOKUP(Calculations[[#This Row],[TransportSource]],TransportDistance[],2,FALSE)*'Stage assumptions'!$C$11)+VLOOKUP(Calculations[[#This Row],[TransportSource]],TransportDistance[],3,FALSE)*'Stage assumptions'!$C$12)*Calculations[[#This Row],[Total Kg]],0)</f>
        <v>0</v>
      </c>
      <c r="K394">
        <f>IFERROR(VLOOKUP(Calculations[[#This Row],[Material (choose from dropdown]], MaterialData[#All],3, FALSE),0)</f>
        <v>0</v>
      </c>
      <c r="L394" s="322">
        <f>IFERROR(VLOOKUP(Calculations[[#This Row],[A5type]],A5WastageRate[#All],2,FALSE)*Calculations[[#This Row],[A1-3]],0)</f>
        <v>0</v>
      </c>
      <c r="N394">
        <f>IFERROR(ROUNDUP(50/VLOOKUP(Calculations[[#This Row],[Scope Element]],B4referenceServiceLife[[Tier 2 element]:[Default Service Life]],2, FALSE)-1,0),0)</f>
        <v>0</v>
      </c>
      <c r="O394" s="322">
        <f>IFERROR((Calculations[[#This Row],[A1-3]]+Calculations[[#This Row],[A4]]+Calculations[[#This Row],[A5]]+Calculations[[#This Row],[C2 total]]+Calculations[[#This Row],[C3 total]]+Calculations[[#This Row],[C4 total]])*Calculations[[#This Row],[Replacements]],0)</f>
        <v>0</v>
      </c>
      <c r="S394" t="str">
        <f>IFERROR(VLOOKUP(Calculations[[#This Row],[Material (choose from dropdown]],MaterialData[#All],4,FALSE),"")</f>
        <v/>
      </c>
      <c r="T394" s="322" cm="1">
        <f t="array" ref="T394">IFERROR(VLOOKUP(Calculations[[#This Row],[Waste 1]],WasteScenario[#All],2,FALSE)*'Stage assumptions'!$C$225*WasteTransportMethod[Emissions Factor
kgCO2e/kg.km]*Calculations[[#This Row],[Total Kg]],0)</f>
        <v>0</v>
      </c>
      <c r="U394" s="322" cm="1">
        <f t="array" ref="U394">IFERROR(VLOOKUP(Calculations[[#This Row],[Waste 1]],WasteScenario[#All],3,FALSE)*'Stage assumptions'!$C$224*WasteTransportMethod[Emissions Factor
kgCO2e/kg.km]*Calculations[[#This Row],[Total Kg]],0)</f>
        <v>0</v>
      </c>
      <c r="V394" s="322" cm="1">
        <f t="array" ref="V394">IFERROR(VLOOKUP(Calculations[[#This Row],[Waste 1]],WasteScenario[#All],4,FALSE)*'Stage assumptions'!$C$223*WasteTransportMethod[Emissions Factor
kgCO2e/kg.km]*Calculations[[#This Row],[Total Kg]],0)</f>
        <v>0</v>
      </c>
      <c r="W394" s="322" cm="1">
        <f t="array" ref="W394">IFERROR(VLOOKUP(Calculations[[#This Row],[Waste 1]],WasteScenario[#All],5,FALSE)*'Stage assumptions'!$C$226*WasteTransportMethod[Emissions Factor
kgCO2e/kg.km]*Calculations[[#This Row],[Total Kg]],0)</f>
        <v>0</v>
      </c>
      <c r="X394" s="322">
        <f>SUM(Calculations[[#This Row],[C2 Recycle]:[C2 Reuse]])</f>
        <v>0</v>
      </c>
      <c r="Y394" t="str">
        <f>IFERROR(VLOOKUP(Calculations[[#This Row],[Material (choose from dropdown]],MaterialData[#All],5,FALSE),"")</f>
        <v/>
      </c>
      <c r="Z394" s="322">
        <f>IFERROR(((VLOOKUP(Calculations[[#This Row],[Waste type 2]],WasteDisposalEmissions[#All],2,FALSE))*Calculations[[#This Row],[Total Kg]])*VLOOKUP(Calculations[[#This Row],[Waste 1]],WasteScenario[#All],2,FALSE),0)</f>
        <v>0</v>
      </c>
      <c r="AA394" s="322">
        <f>IFERROR((VLOOKUP(Calculations[[#This Row],[Waste type 2]],WasteDisposalEmissions[#All],3,FALSE))*Calculations[[#This Row],[Total Kg]]*VLOOKUP(Calculations[[#This Row],[Waste 1]],WasteScenario[#All],3,FALSE),0)</f>
        <v>0</v>
      </c>
      <c r="AB394" s="322">
        <f>SUM(Calculations[[#This Row],[C3 recyc]:[C3 incin]])</f>
        <v>0</v>
      </c>
      <c r="AC394" s="334">
        <f>IFERROR((VLOOKUP(Calculations[[#This Row],[Waste type 2]],WasteLandfillEmissions[#All],2,FALSE))*Calculations[[#This Row],[Total Kg]]*VLOOKUP(Calculations[[#This Row],[Waste 1]],WasteScenario[#All],4,FALSE),0)</f>
        <v>0</v>
      </c>
      <c r="AD394" s="322">
        <f>IFERROR((VLOOKUP(Calculations[[#This Row],[Waste type 2]],WasteLandfillEmissions[#All],3,FALSE))*Calculations[[#This Row],[Total Kg]]*VLOOKUP(Calculations[[#This Row],[Waste 1]],WasteScenario[#All],4,FALSE),0)</f>
        <v>0</v>
      </c>
      <c r="AE394" s="322">
        <f>SUM(Calculations[[#This Row],[C4 landfill]:[C4 re-use]])</f>
        <v>0</v>
      </c>
      <c r="AF394" s="322">
        <f>IFERROR(VLOOKUP(Calculations[[#This Row],[Material (choose from dropdown]],MaterialData[#All],8,FALSE),0)</f>
        <v>0</v>
      </c>
      <c r="AG394" s="322">
        <f>IFERROR(Calculations[[#This Row],[Total Kg]]*Calculations[[#This Row],[Seq factor]],0)</f>
        <v>0</v>
      </c>
      <c r="AI394" s="322">
        <f>Calculations[[#This Row],[A1-3]]+Calculations[[#This Row],[A4]]+Calculations[[#This Row],[A5]]+Calculations[[#This Row],[B4]]+Calculations[[#This Row],[C2 total]]+Calculations[[#This Row],[C3 total]]+Calculations[[#This Row],[C4 total]]</f>
        <v>0</v>
      </c>
      <c r="AJ394" s="2">
        <f>IFERROR(VLOOKUP(Calculations[[#This Row],[Material (choose from dropdown]],MaterialData[[#Headers],[#Data]],9,FALSE),0)</f>
        <v>0</v>
      </c>
      <c r="AK394" s="4">
        <f>IFERROR(VLOOKUP(Calculations[[#This Row],[Material (choose from dropdown]],MaterialData[[#Headers],[#Data]],10,FALSE),0)</f>
        <v>0</v>
      </c>
      <c r="AL394" s="322">
        <f>IFERROR(Calculations[[#This Row],[Data Quality Score]]*Calculations[[#This Row],[Total Kg]],0)</f>
        <v>0</v>
      </c>
    </row>
    <row r="395" spans="1:38" x14ac:dyDescent="0.3">
      <c r="A395" s="6">
        <f>IFERROR(MaterialsBoQ[[#This Row],[Scope Element]],0)</f>
        <v>0</v>
      </c>
      <c r="B395" t="str">
        <f>IFERROR(MaterialsBoQ[[#This Row],[Material ]],"")</f>
        <v/>
      </c>
      <c r="C395" t="str">
        <f>IFERROR(MaterialsBoQ[[#This Row],[Unit]],"")</f>
        <v/>
      </c>
      <c r="D395" s="322">
        <f>IFERROR(MaterialsBoQ[[#This Row],[Number]],0)</f>
        <v>0</v>
      </c>
      <c r="E395" s="322">
        <f>IFERROR(MaterialsBoQ[[#This Row],[Kg per unit]],0)</f>
        <v>0</v>
      </c>
      <c r="F395" s="322">
        <f>IFERROR(Calculations[[#This Row],[Number]]*Calculations[[#This Row],[Conversion factor]],0)</f>
        <v>0</v>
      </c>
      <c r="G395" s="322">
        <f>IFERROR(VLOOKUP(Calculations[[#This Row],[Material (choose from dropdown]],MaterialData[#All],7,FALSE),0)</f>
        <v>0</v>
      </c>
      <c r="H395" s="322">
        <f>Calculations[[#This Row],[Total Kg]]*Calculations[[#This Row],[Carbon Factor]]</f>
        <v>0</v>
      </c>
      <c r="I395" t="str">
        <f>IFERROR(VLOOKUP(Calculations[[#This Row],[Material (choose from dropdown]],MaterialData[#All],2,FALSE),"")</f>
        <v/>
      </c>
      <c r="J395" s="322">
        <f>IFERROR(((VLOOKUP(Calculations[[#This Row],[TransportSource]],TransportDistance[],2,FALSE)*'Stage assumptions'!$C$11)+VLOOKUP(Calculations[[#This Row],[TransportSource]],TransportDistance[],3,FALSE)*'Stage assumptions'!$C$12)*Calculations[[#This Row],[Total Kg]],0)</f>
        <v>0</v>
      </c>
      <c r="K395">
        <f>IFERROR(VLOOKUP(Calculations[[#This Row],[Material (choose from dropdown]], MaterialData[#All],3, FALSE),0)</f>
        <v>0</v>
      </c>
      <c r="L395" s="322">
        <f>IFERROR(VLOOKUP(Calculations[[#This Row],[A5type]],A5WastageRate[#All],2,FALSE)*Calculations[[#This Row],[A1-3]],0)</f>
        <v>0</v>
      </c>
      <c r="N395">
        <f>IFERROR(ROUNDUP(50/VLOOKUP(Calculations[[#This Row],[Scope Element]],B4referenceServiceLife[[Tier 2 element]:[Default Service Life]],2, FALSE)-1,0),0)</f>
        <v>0</v>
      </c>
      <c r="O395" s="322">
        <f>IFERROR((Calculations[[#This Row],[A1-3]]+Calculations[[#This Row],[A4]]+Calculations[[#This Row],[A5]]+Calculations[[#This Row],[C2 total]]+Calculations[[#This Row],[C3 total]]+Calculations[[#This Row],[C4 total]])*Calculations[[#This Row],[Replacements]],0)</f>
        <v>0</v>
      </c>
      <c r="S395" t="str">
        <f>IFERROR(VLOOKUP(Calculations[[#This Row],[Material (choose from dropdown]],MaterialData[#All],4,FALSE),"")</f>
        <v/>
      </c>
      <c r="T395" s="322" cm="1">
        <f t="array" ref="T395">IFERROR(VLOOKUP(Calculations[[#This Row],[Waste 1]],WasteScenario[#All],2,FALSE)*'Stage assumptions'!$C$225*WasteTransportMethod[Emissions Factor
kgCO2e/kg.km]*Calculations[[#This Row],[Total Kg]],0)</f>
        <v>0</v>
      </c>
      <c r="U395" s="322" cm="1">
        <f t="array" ref="U395">IFERROR(VLOOKUP(Calculations[[#This Row],[Waste 1]],WasteScenario[#All],3,FALSE)*'Stage assumptions'!$C$224*WasteTransportMethod[Emissions Factor
kgCO2e/kg.km]*Calculations[[#This Row],[Total Kg]],0)</f>
        <v>0</v>
      </c>
      <c r="V395" s="322" cm="1">
        <f t="array" ref="V395">IFERROR(VLOOKUP(Calculations[[#This Row],[Waste 1]],WasteScenario[#All],4,FALSE)*'Stage assumptions'!$C$223*WasteTransportMethod[Emissions Factor
kgCO2e/kg.km]*Calculations[[#This Row],[Total Kg]],0)</f>
        <v>0</v>
      </c>
      <c r="W395" s="322" cm="1">
        <f t="array" ref="W395">IFERROR(VLOOKUP(Calculations[[#This Row],[Waste 1]],WasteScenario[#All],5,FALSE)*'Stage assumptions'!$C$226*WasteTransportMethod[Emissions Factor
kgCO2e/kg.km]*Calculations[[#This Row],[Total Kg]],0)</f>
        <v>0</v>
      </c>
      <c r="X395" s="322">
        <f>SUM(Calculations[[#This Row],[C2 Recycle]:[C2 Reuse]])</f>
        <v>0</v>
      </c>
      <c r="Y395" t="str">
        <f>IFERROR(VLOOKUP(Calculations[[#This Row],[Material (choose from dropdown]],MaterialData[#All],5,FALSE),"")</f>
        <v/>
      </c>
      <c r="Z395" s="322">
        <f>IFERROR(((VLOOKUP(Calculations[[#This Row],[Waste type 2]],WasteDisposalEmissions[#All],2,FALSE))*Calculations[[#This Row],[Total Kg]])*VLOOKUP(Calculations[[#This Row],[Waste 1]],WasteScenario[#All],2,FALSE),0)</f>
        <v>0</v>
      </c>
      <c r="AA395" s="322">
        <f>IFERROR((VLOOKUP(Calculations[[#This Row],[Waste type 2]],WasteDisposalEmissions[#All],3,FALSE))*Calculations[[#This Row],[Total Kg]]*VLOOKUP(Calculations[[#This Row],[Waste 1]],WasteScenario[#All],3,FALSE),0)</f>
        <v>0</v>
      </c>
      <c r="AB395" s="322">
        <f>SUM(Calculations[[#This Row],[C3 recyc]:[C3 incin]])</f>
        <v>0</v>
      </c>
      <c r="AC395" s="334">
        <f>IFERROR((VLOOKUP(Calculations[[#This Row],[Waste type 2]],WasteLandfillEmissions[#All],2,FALSE))*Calculations[[#This Row],[Total Kg]]*VLOOKUP(Calculations[[#This Row],[Waste 1]],WasteScenario[#All],4,FALSE),0)</f>
        <v>0</v>
      </c>
      <c r="AD395" s="322">
        <f>IFERROR((VLOOKUP(Calculations[[#This Row],[Waste type 2]],WasteLandfillEmissions[#All],3,FALSE))*Calculations[[#This Row],[Total Kg]]*VLOOKUP(Calculations[[#This Row],[Waste 1]],WasteScenario[#All],4,FALSE),0)</f>
        <v>0</v>
      </c>
      <c r="AE395" s="322">
        <f>SUM(Calculations[[#This Row],[C4 landfill]:[C4 re-use]])</f>
        <v>0</v>
      </c>
      <c r="AF395" s="322">
        <f>IFERROR(VLOOKUP(Calculations[[#This Row],[Material (choose from dropdown]],MaterialData[#All],8,FALSE),0)</f>
        <v>0</v>
      </c>
      <c r="AG395" s="322">
        <f>IFERROR(Calculations[[#This Row],[Total Kg]]*Calculations[[#This Row],[Seq factor]],0)</f>
        <v>0</v>
      </c>
      <c r="AI395" s="322">
        <f>Calculations[[#This Row],[A1-3]]+Calculations[[#This Row],[A4]]+Calculations[[#This Row],[A5]]+Calculations[[#This Row],[B4]]+Calculations[[#This Row],[C2 total]]+Calculations[[#This Row],[C3 total]]+Calculations[[#This Row],[C4 total]]</f>
        <v>0</v>
      </c>
      <c r="AJ395" s="2">
        <f>IFERROR(VLOOKUP(Calculations[[#This Row],[Material (choose from dropdown]],MaterialData[[#Headers],[#Data]],9,FALSE),0)</f>
        <v>0</v>
      </c>
      <c r="AK395" s="4">
        <f>IFERROR(VLOOKUP(Calculations[[#This Row],[Material (choose from dropdown]],MaterialData[[#Headers],[#Data]],10,FALSE),0)</f>
        <v>0</v>
      </c>
      <c r="AL395" s="322">
        <f>IFERROR(Calculations[[#This Row],[Data Quality Score]]*Calculations[[#This Row],[Total Kg]],0)</f>
        <v>0</v>
      </c>
    </row>
    <row r="396" spans="1:38" x14ac:dyDescent="0.3">
      <c r="A396" s="6">
        <f>IFERROR(MaterialsBoQ[[#This Row],[Scope Element]],0)</f>
        <v>0</v>
      </c>
      <c r="B396" t="str">
        <f>IFERROR(MaterialsBoQ[[#This Row],[Material ]],"")</f>
        <v/>
      </c>
      <c r="C396" t="str">
        <f>IFERROR(MaterialsBoQ[[#This Row],[Unit]],"")</f>
        <v/>
      </c>
      <c r="D396" s="322">
        <f>IFERROR(MaterialsBoQ[[#This Row],[Number]],0)</f>
        <v>0</v>
      </c>
      <c r="E396" s="322">
        <f>IFERROR(MaterialsBoQ[[#This Row],[Kg per unit]],0)</f>
        <v>0</v>
      </c>
      <c r="F396" s="322">
        <f>IFERROR(Calculations[[#This Row],[Number]]*Calculations[[#This Row],[Conversion factor]],0)</f>
        <v>0</v>
      </c>
      <c r="G396" s="322">
        <f>IFERROR(VLOOKUP(Calculations[[#This Row],[Material (choose from dropdown]],MaterialData[#All],7,FALSE),0)</f>
        <v>0</v>
      </c>
      <c r="H396" s="322">
        <f>Calculations[[#This Row],[Total Kg]]*Calculations[[#This Row],[Carbon Factor]]</f>
        <v>0</v>
      </c>
      <c r="I396" t="str">
        <f>IFERROR(VLOOKUP(Calculations[[#This Row],[Material (choose from dropdown]],MaterialData[#All],2,FALSE),"")</f>
        <v/>
      </c>
      <c r="J396" s="322">
        <f>IFERROR(((VLOOKUP(Calculations[[#This Row],[TransportSource]],TransportDistance[],2,FALSE)*'Stage assumptions'!$C$11)+VLOOKUP(Calculations[[#This Row],[TransportSource]],TransportDistance[],3,FALSE)*'Stage assumptions'!$C$12)*Calculations[[#This Row],[Total Kg]],0)</f>
        <v>0</v>
      </c>
      <c r="K396">
        <f>IFERROR(VLOOKUP(Calculations[[#This Row],[Material (choose from dropdown]], MaterialData[#All],3, FALSE),0)</f>
        <v>0</v>
      </c>
      <c r="L396" s="322">
        <f>IFERROR(VLOOKUP(Calculations[[#This Row],[A5type]],A5WastageRate[#All],2,FALSE)*Calculations[[#This Row],[A1-3]],0)</f>
        <v>0</v>
      </c>
      <c r="N396">
        <f>IFERROR(ROUNDUP(50/VLOOKUP(Calculations[[#This Row],[Scope Element]],B4referenceServiceLife[[Tier 2 element]:[Default Service Life]],2, FALSE)-1,0),0)</f>
        <v>0</v>
      </c>
      <c r="O396" s="322">
        <f>IFERROR((Calculations[[#This Row],[A1-3]]+Calculations[[#This Row],[A4]]+Calculations[[#This Row],[A5]]+Calculations[[#This Row],[C2 total]]+Calculations[[#This Row],[C3 total]]+Calculations[[#This Row],[C4 total]])*Calculations[[#This Row],[Replacements]],0)</f>
        <v>0</v>
      </c>
      <c r="S396" t="str">
        <f>IFERROR(VLOOKUP(Calculations[[#This Row],[Material (choose from dropdown]],MaterialData[#All],4,FALSE),"")</f>
        <v/>
      </c>
      <c r="T396" s="322" cm="1">
        <f t="array" ref="T396">IFERROR(VLOOKUP(Calculations[[#This Row],[Waste 1]],WasteScenario[#All],2,FALSE)*'Stage assumptions'!$C$225*WasteTransportMethod[Emissions Factor
kgCO2e/kg.km]*Calculations[[#This Row],[Total Kg]],0)</f>
        <v>0</v>
      </c>
      <c r="U396" s="322" cm="1">
        <f t="array" ref="U396">IFERROR(VLOOKUP(Calculations[[#This Row],[Waste 1]],WasteScenario[#All],3,FALSE)*'Stage assumptions'!$C$224*WasteTransportMethod[Emissions Factor
kgCO2e/kg.km]*Calculations[[#This Row],[Total Kg]],0)</f>
        <v>0</v>
      </c>
      <c r="V396" s="322" cm="1">
        <f t="array" ref="V396">IFERROR(VLOOKUP(Calculations[[#This Row],[Waste 1]],WasteScenario[#All],4,FALSE)*'Stage assumptions'!$C$223*WasteTransportMethod[Emissions Factor
kgCO2e/kg.km]*Calculations[[#This Row],[Total Kg]],0)</f>
        <v>0</v>
      </c>
      <c r="W396" s="322" cm="1">
        <f t="array" ref="W396">IFERROR(VLOOKUP(Calculations[[#This Row],[Waste 1]],WasteScenario[#All],5,FALSE)*'Stage assumptions'!$C$226*WasteTransportMethod[Emissions Factor
kgCO2e/kg.km]*Calculations[[#This Row],[Total Kg]],0)</f>
        <v>0</v>
      </c>
      <c r="X396" s="322">
        <f>SUM(Calculations[[#This Row],[C2 Recycle]:[C2 Reuse]])</f>
        <v>0</v>
      </c>
      <c r="Y396" t="str">
        <f>IFERROR(VLOOKUP(Calculations[[#This Row],[Material (choose from dropdown]],MaterialData[#All],5,FALSE),"")</f>
        <v/>
      </c>
      <c r="Z396" s="322">
        <f>IFERROR(((VLOOKUP(Calculations[[#This Row],[Waste type 2]],WasteDisposalEmissions[#All],2,FALSE))*Calculations[[#This Row],[Total Kg]])*VLOOKUP(Calculations[[#This Row],[Waste 1]],WasteScenario[#All],2,FALSE),0)</f>
        <v>0</v>
      </c>
      <c r="AA396" s="322">
        <f>IFERROR((VLOOKUP(Calculations[[#This Row],[Waste type 2]],WasteDisposalEmissions[#All],3,FALSE))*Calculations[[#This Row],[Total Kg]]*VLOOKUP(Calculations[[#This Row],[Waste 1]],WasteScenario[#All],3,FALSE),0)</f>
        <v>0</v>
      </c>
      <c r="AB396" s="322">
        <f>SUM(Calculations[[#This Row],[C3 recyc]:[C3 incin]])</f>
        <v>0</v>
      </c>
      <c r="AC396" s="334">
        <f>IFERROR((VLOOKUP(Calculations[[#This Row],[Waste type 2]],WasteLandfillEmissions[#All],2,FALSE))*Calculations[[#This Row],[Total Kg]]*VLOOKUP(Calculations[[#This Row],[Waste 1]],WasteScenario[#All],4,FALSE),0)</f>
        <v>0</v>
      </c>
      <c r="AD396" s="322">
        <f>IFERROR((VLOOKUP(Calculations[[#This Row],[Waste type 2]],WasteLandfillEmissions[#All],3,FALSE))*Calculations[[#This Row],[Total Kg]]*VLOOKUP(Calculations[[#This Row],[Waste 1]],WasteScenario[#All],4,FALSE),0)</f>
        <v>0</v>
      </c>
      <c r="AE396" s="322">
        <f>SUM(Calculations[[#This Row],[C4 landfill]:[C4 re-use]])</f>
        <v>0</v>
      </c>
      <c r="AF396" s="322">
        <f>IFERROR(VLOOKUP(Calculations[[#This Row],[Material (choose from dropdown]],MaterialData[#All],8,FALSE),0)</f>
        <v>0</v>
      </c>
      <c r="AG396" s="322">
        <f>IFERROR(Calculations[[#This Row],[Total Kg]]*Calculations[[#This Row],[Seq factor]],0)</f>
        <v>0</v>
      </c>
      <c r="AI396" s="322">
        <f>Calculations[[#This Row],[A1-3]]+Calculations[[#This Row],[A4]]+Calculations[[#This Row],[A5]]+Calculations[[#This Row],[B4]]+Calculations[[#This Row],[C2 total]]+Calculations[[#This Row],[C3 total]]+Calculations[[#This Row],[C4 total]]</f>
        <v>0</v>
      </c>
      <c r="AJ396" s="2">
        <f>IFERROR(VLOOKUP(Calculations[[#This Row],[Material (choose from dropdown]],MaterialData[[#Headers],[#Data]],9,FALSE),0)</f>
        <v>0</v>
      </c>
      <c r="AK396" s="4">
        <f>IFERROR(VLOOKUP(Calculations[[#This Row],[Material (choose from dropdown]],MaterialData[[#Headers],[#Data]],10,FALSE),0)</f>
        <v>0</v>
      </c>
      <c r="AL396" s="322">
        <f>IFERROR(Calculations[[#This Row],[Data Quality Score]]*Calculations[[#This Row],[Total Kg]],0)</f>
        <v>0</v>
      </c>
    </row>
    <row r="397" spans="1:38" x14ac:dyDescent="0.3">
      <c r="A397" s="6">
        <f>IFERROR(MaterialsBoQ[[#This Row],[Scope Element]],0)</f>
        <v>0</v>
      </c>
      <c r="B397" t="str">
        <f>IFERROR(MaterialsBoQ[[#This Row],[Material ]],"")</f>
        <v/>
      </c>
      <c r="C397" t="str">
        <f>IFERROR(MaterialsBoQ[[#This Row],[Unit]],"")</f>
        <v/>
      </c>
      <c r="D397" s="322">
        <f>IFERROR(MaterialsBoQ[[#This Row],[Number]],0)</f>
        <v>0</v>
      </c>
      <c r="E397" s="322">
        <f>IFERROR(MaterialsBoQ[[#This Row],[Kg per unit]],0)</f>
        <v>0</v>
      </c>
      <c r="F397" s="322">
        <f>IFERROR(Calculations[[#This Row],[Number]]*Calculations[[#This Row],[Conversion factor]],0)</f>
        <v>0</v>
      </c>
      <c r="G397" s="322">
        <f>IFERROR(VLOOKUP(Calculations[[#This Row],[Material (choose from dropdown]],MaterialData[#All],7,FALSE),0)</f>
        <v>0</v>
      </c>
      <c r="H397" s="322">
        <f>Calculations[[#This Row],[Total Kg]]*Calculations[[#This Row],[Carbon Factor]]</f>
        <v>0</v>
      </c>
      <c r="I397" t="str">
        <f>IFERROR(VLOOKUP(Calculations[[#This Row],[Material (choose from dropdown]],MaterialData[#All],2,FALSE),"")</f>
        <v/>
      </c>
      <c r="J397" s="322">
        <f>IFERROR(((VLOOKUP(Calculations[[#This Row],[TransportSource]],TransportDistance[],2,FALSE)*'Stage assumptions'!$C$11)+VLOOKUP(Calculations[[#This Row],[TransportSource]],TransportDistance[],3,FALSE)*'Stage assumptions'!$C$12)*Calculations[[#This Row],[Total Kg]],0)</f>
        <v>0</v>
      </c>
      <c r="K397">
        <f>IFERROR(VLOOKUP(Calculations[[#This Row],[Material (choose from dropdown]], MaterialData[#All],3, FALSE),0)</f>
        <v>0</v>
      </c>
      <c r="L397" s="322">
        <f>IFERROR(VLOOKUP(Calculations[[#This Row],[A5type]],A5WastageRate[#All],2,FALSE)*Calculations[[#This Row],[A1-3]],0)</f>
        <v>0</v>
      </c>
      <c r="N397">
        <f>IFERROR(ROUNDUP(50/VLOOKUP(Calculations[[#This Row],[Scope Element]],B4referenceServiceLife[[Tier 2 element]:[Default Service Life]],2, FALSE)-1,0),0)</f>
        <v>0</v>
      </c>
      <c r="O397" s="322">
        <f>IFERROR((Calculations[[#This Row],[A1-3]]+Calculations[[#This Row],[A4]]+Calculations[[#This Row],[A5]]+Calculations[[#This Row],[C2 total]]+Calculations[[#This Row],[C3 total]]+Calculations[[#This Row],[C4 total]])*Calculations[[#This Row],[Replacements]],0)</f>
        <v>0</v>
      </c>
      <c r="S397" t="str">
        <f>IFERROR(VLOOKUP(Calculations[[#This Row],[Material (choose from dropdown]],MaterialData[#All],4,FALSE),"")</f>
        <v/>
      </c>
      <c r="T397" s="322" cm="1">
        <f t="array" ref="T397">IFERROR(VLOOKUP(Calculations[[#This Row],[Waste 1]],WasteScenario[#All],2,FALSE)*'Stage assumptions'!$C$225*WasteTransportMethod[Emissions Factor
kgCO2e/kg.km]*Calculations[[#This Row],[Total Kg]],0)</f>
        <v>0</v>
      </c>
      <c r="U397" s="322" cm="1">
        <f t="array" ref="U397">IFERROR(VLOOKUP(Calculations[[#This Row],[Waste 1]],WasteScenario[#All],3,FALSE)*'Stage assumptions'!$C$224*WasteTransportMethod[Emissions Factor
kgCO2e/kg.km]*Calculations[[#This Row],[Total Kg]],0)</f>
        <v>0</v>
      </c>
      <c r="V397" s="322" cm="1">
        <f t="array" ref="V397">IFERROR(VLOOKUP(Calculations[[#This Row],[Waste 1]],WasteScenario[#All],4,FALSE)*'Stage assumptions'!$C$223*WasteTransportMethod[Emissions Factor
kgCO2e/kg.km]*Calculations[[#This Row],[Total Kg]],0)</f>
        <v>0</v>
      </c>
      <c r="W397" s="322" cm="1">
        <f t="array" ref="W397">IFERROR(VLOOKUP(Calculations[[#This Row],[Waste 1]],WasteScenario[#All],5,FALSE)*'Stage assumptions'!$C$226*WasteTransportMethod[Emissions Factor
kgCO2e/kg.km]*Calculations[[#This Row],[Total Kg]],0)</f>
        <v>0</v>
      </c>
      <c r="X397" s="322">
        <f>SUM(Calculations[[#This Row],[C2 Recycle]:[C2 Reuse]])</f>
        <v>0</v>
      </c>
      <c r="Y397" t="str">
        <f>IFERROR(VLOOKUP(Calculations[[#This Row],[Material (choose from dropdown]],MaterialData[#All],5,FALSE),"")</f>
        <v/>
      </c>
      <c r="Z397" s="322">
        <f>IFERROR(((VLOOKUP(Calculations[[#This Row],[Waste type 2]],WasteDisposalEmissions[#All],2,FALSE))*Calculations[[#This Row],[Total Kg]])*VLOOKUP(Calculations[[#This Row],[Waste 1]],WasteScenario[#All],2,FALSE),0)</f>
        <v>0</v>
      </c>
      <c r="AA397" s="322">
        <f>IFERROR((VLOOKUP(Calculations[[#This Row],[Waste type 2]],WasteDisposalEmissions[#All],3,FALSE))*Calculations[[#This Row],[Total Kg]]*VLOOKUP(Calculations[[#This Row],[Waste 1]],WasteScenario[#All],3,FALSE),0)</f>
        <v>0</v>
      </c>
      <c r="AB397" s="322">
        <f>SUM(Calculations[[#This Row],[C3 recyc]:[C3 incin]])</f>
        <v>0</v>
      </c>
      <c r="AC397" s="334">
        <f>IFERROR((VLOOKUP(Calculations[[#This Row],[Waste type 2]],WasteLandfillEmissions[#All],2,FALSE))*Calculations[[#This Row],[Total Kg]]*VLOOKUP(Calculations[[#This Row],[Waste 1]],WasteScenario[#All],4,FALSE),0)</f>
        <v>0</v>
      </c>
      <c r="AD397" s="322">
        <f>IFERROR((VLOOKUP(Calculations[[#This Row],[Waste type 2]],WasteLandfillEmissions[#All],3,FALSE))*Calculations[[#This Row],[Total Kg]]*VLOOKUP(Calculations[[#This Row],[Waste 1]],WasteScenario[#All],4,FALSE),0)</f>
        <v>0</v>
      </c>
      <c r="AE397" s="322">
        <f>SUM(Calculations[[#This Row],[C4 landfill]:[C4 re-use]])</f>
        <v>0</v>
      </c>
      <c r="AF397" s="322">
        <f>IFERROR(VLOOKUP(Calculations[[#This Row],[Material (choose from dropdown]],MaterialData[#All],8,FALSE),0)</f>
        <v>0</v>
      </c>
      <c r="AG397" s="322">
        <f>IFERROR(Calculations[[#This Row],[Total Kg]]*Calculations[[#This Row],[Seq factor]],0)</f>
        <v>0</v>
      </c>
      <c r="AI397" s="322">
        <f>Calculations[[#This Row],[A1-3]]+Calculations[[#This Row],[A4]]+Calculations[[#This Row],[A5]]+Calculations[[#This Row],[B4]]+Calculations[[#This Row],[C2 total]]+Calculations[[#This Row],[C3 total]]+Calculations[[#This Row],[C4 total]]</f>
        <v>0</v>
      </c>
      <c r="AJ397" s="2">
        <f>IFERROR(VLOOKUP(Calculations[[#This Row],[Material (choose from dropdown]],MaterialData[[#Headers],[#Data]],9,FALSE),0)</f>
        <v>0</v>
      </c>
      <c r="AK397" s="4">
        <f>IFERROR(VLOOKUP(Calculations[[#This Row],[Material (choose from dropdown]],MaterialData[[#Headers],[#Data]],10,FALSE),0)</f>
        <v>0</v>
      </c>
      <c r="AL397" s="322">
        <f>IFERROR(Calculations[[#This Row],[Data Quality Score]]*Calculations[[#This Row],[Total Kg]],0)</f>
        <v>0</v>
      </c>
    </row>
    <row r="398" spans="1:38" x14ac:dyDescent="0.3">
      <c r="A398" s="6">
        <f>IFERROR(MaterialsBoQ[[#This Row],[Scope Element]],0)</f>
        <v>0</v>
      </c>
      <c r="B398" t="str">
        <f>IFERROR(MaterialsBoQ[[#This Row],[Material ]],"")</f>
        <v/>
      </c>
      <c r="C398" t="str">
        <f>IFERROR(MaterialsBoQ[[#This Row],[Unit]],"")</f>
        <v/>
      </c>
      <c r="D398" s="322">
        <f>IFERROR(MaterialsBoQ[[#This Row],[Number]],0)</f>
        <v>0</v>
      </c>
      <c r="E398" s="322">
        <f>IFERROR(MaterialsBoQ[[#This Row],[Kg per unit]],0)</f>
        <v>0</v>
      </c>
      <c r="F398" s="322">
        <f>IFERROR(Calculations[[#This Row],[Number]]*Calculations[[#This Row],[Conversion factor]],0)</f>
        <v>0</v>
      </c>
      <c r="G398" s="322">
        <f>IFERROR(VLOOKUP(Calculations[[#This Row],[Material (choose from dropdown]],MaterialData[#All],7,FALSE),0)</f>
        <v>0</v>
      </c>
      <c r="H398" s="322">
        <f>Calculations[[#This Row],[Total Kg]]*Calculations[[#This Row],[Carbon Factor]]</f>
        <v>0</v>
      </c>
      <c r="I398" t="str">
        <f>IFERROR(VLOOKUP(Calculations[[#This Row],[Material (choose from dropdown]],MaterialData[#All],2,FALSE),"")</f>
        <v/>
      </c>
      <c r="J398" s="322">
        <f>IFERROR(((VLOOKUP(Calculations[[#This Row],[TransportSource]],TransportDistance[],2,FALSE)*'Stage assumptions'!$C$11)+VLOOKUP(Calculations[[#This Row],[TransportSource]],TransportDistance[],3,FALSE)*'Stage assumptions'!$C$12)*Calculations[[#This Row],[Total Kg]],0)</f>
        <v>0</v>
      </c>
      <c r="K398">
        <f>IFERROR(VLOOKUP(Calculations[[#This Row],[Material (choose from dropdown]], MaterialData[#All],3, FALSE),0)</f>
        <v>0</v>
      </c>
      <c r="L398" s="322">
        <f>IFERROR(VLOOKUP(Calculations[[#This Row],[A5type]],A5WastageRate[#All],2,FALSE)*Calculations[[#This Row],[A1-3]],0)</f>
        <v>0</v>
      </c>
      <c r="N398">
        <f>IFERROR(ROUNDUP(50/VLOOKUP(Calculations[[#This Row],[Scope Element]],B4referenceServiceLife[[Tier 2 element]:[Default Service Life]],2, FALSE)-1,0),0)</f>
        <v>0</v>
      </c>
      <c r="O398" s="322">
        <f>IFERROR((Calculations[[#This Row],[A1-3]]+Calculations[[#This Row],[A4]]+Calculations[[#This Row],[A5]]+Calculations[[#This Row],[C2 total]]+Calculations[[#This Row],[C3 total]]+Calculations[[#This Row],[C4 total]])*Calculations[[#This Row],[Replacements]],0)</f>
        <v>0</v>
      </c>
      <c r="S398" t="str">
        <f>IFERROR(VLOOKUP(Calculations[[#This Row],[Material (choose from dropdown]],MaterialData[#All],4,FALSE),"")</f>
        <v/>
      </c>
      <c r="T398" s="322" cm="1">
        <f t="array" ref="T398">IFERROR(VLOOKUP(Calculations[[#This Row],[Waste 1]],WasteScenario[#All],2,FALSE)*'Stage assumptions'!$C$225*WasteTransportMethod[Emissions Factor
kgCO2e/kg.km]*Calculations[[#This Row],[Total Kg]],0)</f>
        <v>0</v>
      </c>
      <c r="U398" s="322" cm="1">
        <f t="array" ref="U398">IFERROR(VLOOKUP(Calculations[[#This Row],[Waste 1]],WasteScenario[#All],3,FALSE)*'Stage assumptions'!$C$224*WasteTransportMethod[Emissions Factor
kgCO2e/kg.km]*Calculations[[#This Row],[Total Kg]],0)</f>
        <v>0</v>
      </c>
      <c r="V398" s="322" cm="1">
        <f t="array" ref="V398">IFERROR(VLOOKUP(Calculations[[#This Row],[Waste 1]],WasteScenario[#All],4,FALSE)*'Stage assumptions'!$C$223*WasteTransportMethod[Emissions Factor
kgCO2e/kg.km]*Calculations[[#This Row],[Total Kg]],0)</f>
        <v>0</v>
      </c>
      <c r="W398" s="322" cm="1">
        <f t="array" ref="W398">IFERROR(VLOOKUP(Calculations[[#This Row],[Waste 1]],WasteScenario[#All],5,FALSE)*'Stage assumptions'!$C$226*WasteTransportMethod[Emissions Factor
kgCO2e/kg.km]*Calculations[[#This Row],[Total Kg]],0)</f>
        <v>0</v>
      </c>
      <c r="X398" s="322">
        <f>SUM(Calculations[[#This Row],[C2 Recycle]:[C2 Reuse]])</f>
        <v>0</v>
      </c>
      <c r="Y398" t="str">
        <f>IFERROR(VLOOKUP(Calculations[[#This Row],[Material (choose from dropdown]],MaterialData[#All],5,FALSE),"")</f>
        <v/>
      </c>
      <c r="Z398" s="322">
        <f>IFERROR(((VLOOKUP(Calculations[[#This Row],[Waste type 2]],WasteDisposalEmissions[#All],2,FALSE))*Calculations[[#This Row],[Total Kg]])*VLOOKUP(Calculations[[#This Row],[Waste 1]],WasteScenario[#All],2,FALSE),0)</f>
        <v>0</v>
      </c>
      <c r="AA398" s="322">
        <f>IFERROR((VLOOKUP(Calculations[[#This Row],[Waste type 2]],WasteDisposalEmissions[#All],3,FALSE))*Calculations[[#This Row],[Total Kg]]*VLOOKUP(Calculations[[#This Row],[Waste 1]],WasteScenario[#All],3,FALSE),0)</f>
        <v>0</v>
      </c>
      <c r="AB398" s="322">
        <f>SUM(Calculations[[#This Row],[C3 recyc]:[C3 incin]])</f>
        <v>0</v>
      </c>
      <c r="AC398" s="334">
        <f>IFERROR((VLOOKUP(Calculations[[#This Row],[Waste type 2]],WasteLandfillEmissions[#All],2,FALSE))*Calculations[[#This Row],[Total Kg]]*VLOOKUP(Calculations[[#This Row],[Waste 1]],WasteScenario[#All],4,FALSE),0)</f>
        <v>0</v>
      </c>
      <c r="AD398" s="322">
        <f>IFERROR((VLOOKUP(Calculations[[#This Row],[Waste type 2]],WasteLandfillEmissions[#All],3,FALSE))*Calculations[[#This Row],[Total Kg]]*VLOOKUP(Calculations[[#This Row],[Waste 1]],WasteScenario[#All],4,FALSE),0)</f>
        <v>0</v>
      </c>
      <c r="AE398" s="322">
        <f>SUM(Calculations[[#This Row],[C4 landfill]:[C4 re-use]])</f>
        <v>0</v>
      </c>
      <c r="AF398" s="322">
        <f>IFERROR(VLOOKUP(Calculations[[#This Row],[Material (choose from dropdown]],MaterialData[#All],8,FALSE),0)</f>
        <v>0</v>
      </c>
      <c r="AG398" s="322">
        <f>IFERROR(Calculations[[#This Row],[Total Kg]]*Calculations[[#This Row],[Seq factor]],0)</f>
        <v>0</v>
      </c>
      <c r="AI398" s="322">
        <f>Calculations[[#This Row],[A1-3]]+Calculations[[#This Row],[A4]]+Calculations[[#This Row],[A5]]+Calculations[[#This Row],[B4]]+Calculations[[#This Row],[C2 total]]+Calculations[[#This Row],[C3 total]]+Calculations[[#This Row],[C4 total]]</f>
        <v>0</v>
      </c>
      <c r="AJ398" s="2">
        <f>IFERROR(VLOOKUP(Calculations[[#This Row],[Material (choose from dropdown]],MaterialData[[#Headers],[#Data]],9,FALSE),0)</f>
        <v>0</v>
      </c>
      <c r="AK398" s="4">
        <f>IFERROR(VLOOKUP(Calculations[[#This Row],[Material (choose from dropdown]],MaterialData[[#Headers],[#Data]],10,FALSE),0)</f>
        <v>0</v>
      </c>
      <c r="AL398" s="322">
        <f>IFERROR(Calculations[[#This Row],[Data Quality Score]]*Calculations[[#This Row],[Total Kg]],0)</f>
        <v>0</v>
      </c>
    </row>
    <row r="399" spans="1:38" x14ac:dyDescent="0.3">
      <c r="A399" s="6">
        <f>IFERROR(MaterialsBoQ[[#This Row],[Scope Element]],0)</f>
        <v>0</v>
      </c>
      <c r="B399" t="str">
        <f>IFERROR(MaterialsBoQ[[#This Row],[Material ]],"")</f>
        <v/>
      </c>
      <c r="C399" t="str">
        <f>IFERROR(MaterialsBoQ[[#This Row],[Unit]],"")</f>
        <v/>
      </c>
      <c r="D399" s="322">
        <f>IFERROR(MaterialsBoQ[[#This Row],[Number]],0)</f>
        <v>0</v>
      </c>
      <c r="E399" s="322">
        <f>IFERROR(MaterialsBoQ[[#This Row],[Kg per unit]],0)</f>
        <v>0</v>
      </c>
      <c r="F399" s="322">
        <f>IFERROR(Calculations[[#This Row],[Number]]*Calculations[[#This Row],[Conversion factor]],0)</f>
        <v>0</v>
      </c>
      <c r="G399" s="322">
        <f>IFERROR(VLOOKUP(Calculations[[#This Row],[Material (choose from dropdown]],MaterialData[#All],7,FALSE),0)</f>
        <v>0</v>
      </c>
      <c r="H399" s="322">
        <f>Calculations[[#This Row],[Total Kg]]*Calculations[[#This Row],[Carbon Factor]]</f>
        <v>0</v>
      </c>
      <c r="I399" t="str">
        <f>IFERROR(VLOOKUP(Calculations[[#This Row],[Material (choose from dropdown]],MaterialData[#All],2,FALSE),"")</f>
        <v/>
      </c>
      <c r="J399" s="322">
        <f>IFERROR(((VLOOKUP(Calculations[[#This Row],[TransportSource]],TransportDistance[],2,FALSE)*'Stage assumptions'!$C$11)+VLOOKUP(Calculations[[#This Row],[TransportSource]],TransportDistance[],3,FALSE)*'Stage assumptions'!$C$12)*Calculations[[#This Row],[Total Kg]],0)</f>
        <v>0</v>
      </c>
      <c r="K399">
        <f>IFERROR(VLOOKUP(Calculations[[#This Row],[Material (choose from dropdown]], MaterialData[#All],3, FALSE),0)</f>
        <v>0</v>
      </c>
      <c r="L399" s="322">
        <f>IFERROR(VLOOKUP(Calculations[[#This Row],[A5type]],A5WastageRate[#All],2,FALSE)*Calculations[[#This Row],[A1-3]],0)</f>
        <v>0</v>
      </c>
      <c r="N399">
        <f>IFERROR(ROUNDUP(50/VLOOKUP(Calculations[[#This Row],[Scope Element]],B4referenceServiceLife[[Tier 2 element]:[Default Service Life]],2, FALSE)-1,0),0)</f>
        <v>0</v>
      </c>
      <c r="O399" s="322">
        <f>IFERROR((Calculations[[#This Row],[A1-3]]+Calculations[[#This Row],[A4]]+Calculations[[#This Row],[A5]]+Calculations[[#This Row],[C2 total]]+Calculations[[#This Row],[C3 total]]+Calculations[[#This Row],[C4 total]])*Calculations[[#This Row],[Replacements]],0)</f>
        <v>0</v>
      </c>
      <c r="S399" t="str">
        <f>IFERROR(VLOOKUP(Calculations[[#This Row],[Material (choose from dropdown]],MaterialData[#All],4,FALSE),"")</f>
        <v/>
      </c>
      <c r="T399" s="322" cm="1">
        <f t="array" ref="T399">IFERROR(VLOOKUP(Calculations[[#This Row],[Waste 1]],WasteScenario[#All],2,FALSE)*'Stage assumptions'!$C$225*WasteTransportMethod[Emissions Factor
kgCO2e/kg.km]*Calculations[[#This Row],[Total Kg]],0)</f>
        <v>0</v>
      </c>
      <c r="U399" s="322" cm="1">
        <f t="array" ref="U399">IFERROR(VLOOKUP(Calculations[[#This Row],[Waste 1]],WasteScenario[#All],3,FALSE)*'Stage assumptions'!$C$224*WasteTransportMethod[Emissions Factor
kgCO2e/kg.km]*Calculations[[#This Row],[Total Kg]],0)</f>
        <v>0</v>
      </c>
      <c r="V399" s="322" cm="1">
        <f t="array" ref="V399">IFERROR(VLOOKUP(Calculations[[#This Row],[Waste 1]],WasteScenario[#All],4,FALSE)*'Stage assumptions'!$C$223*WasteTransportMethod[Emissions Factor
kgCO2e/kg.km]*Calculations[[#This Row],[Total Kg]],0)</f>
        <v>0</v>
      </c>
      <c r="W399" s="322" cm="1">
        <f t="array" ref="W399">IFERROR(VLOOKUP(Calculations[[#This Row],[Waste 1]],WasteScenario[#All],5,FALSE)*'Stage assumptions'!$C$226*WasteTransportMethod[Emissions Factor
kgCO2e/kg.km]*Calculations[[#This Row],[Total Kg]],0)</f>
        <v>0</v>
      </c>
      <c r="X399" s="322">
        <f>SUM(Calculations[[#This Row],[C2 Recycle]:[C2 Reuse]])</f>
        <v>0</v>
      </c>
      <c r="Y399" t="str">
        <f>IFERROR(VLOOKUP(Calculations[[#This Row],[Material (choose from dropdown]],MaterialData[#All],5,FALSE),"")</f>
        <v/>
      </c>
      <c r="Z399" s="322">
        <f>IFERROR(((VLOOKUP(Calculations[[#This Row],[Waste type 2]],WasteDisposalEmissions[#All],2,FALSE))*Calculations[[#This Row],[Total Kg]])*VLOOKUP(Calculations[[#This Row],[Waste 1]],WasteScenario[#All],2,FALSE),0)</f>
        <v>0</v>
      </c>
      <c r="AA399" s="322">
        <f>IFERROR((VLOOKUP(Calculations[[#This Row],[Waste type 2]],WasteDisposalEmissions[#All],3,FALSE))*Calculations[[#This Row],[Total Kg]]*VLOOKUP(Calculations[[#This Row],[Waste 1]],WasteScenario[#All],3,FALSE),0)</f>
        <v>0</v>
      </c>
      <c r="AB399" s="322">
        <f>SUM(Calculations[[#This Row],[C3 recyc]:[C3 incin]])</f>
        <v>0</v>
      </c>
      <c r="AC399" s="334">
        <f>IFERROR((VLOOKUP(Calculations[[#This Row],[Waste type 2]],WasteLandfillEmissions[#All],2,FALSE))*Calculations[[#This Row],[Total Kg]]*VLOOKUP(Calculations[[#This Row],[Waste 1]],WasteScenario[#All],4,FALSE),0)</f>
        <v>0</v>
      </c>
      <c r="AD399" s="322">
        <f>IFERROR((VLOOKUP(Calculations[[#This Row],[Waste type 2]],WasteLandfillEmissions[#All],3,FALSE))*Calculations[[#This Row],[Total Kg]]*VLOOKUP(Calculations[[#This Row],[Waste 1]],WasteScenario[#All],4,FALSE),0)</f>
        <v>0</v>
      </c>
      <c r="AE399" s="322">
        <f>SUM(Calculations[[#This Row],[C4 landfill]:[C4 re-use]])</f>
        <v>0</v>
      </c>
      <c r="AF399" s="322">
        <f>IFERROR(VLOOKUP(Calculations[[#This Row],[Material (choose from dropdown]],MaterialData[#All],8,FALSE),0)</f>
        <v>0</v>
      </c>
      <c r="AG399" s="322">
        <f>IFERROR(Calculations[[#This Row],[Total Kg]]*Calculations[[#This Row],[Seq factor]],0)</f>
        <v>0</v>
      </c>
      <c r="AI399" s="322">
        <f>Calculations[[#This Row],[A1-3]]+Calculations[[#This Row],[A4]]+Calculations[[#This Row],[A5]]+Calculations[[#This Row],[B4]]+Calculations[[#This Row],[C2 total]]+Calculations[[#This Row],[C3 total]]+Calculations[[#This Row],[C4 total]]</f>
        <v>0</v>
      </c>
      <c r="AJ399" s="2">
        <f>IFERROR(VLOOKUP(Calculations[[#This Row],[Material (choose from dropdown]],MaterialData[[#Headers],[#Data]],9,FALSE),0)</f>
        <v>0</v>
      </c>
      <c r="AK399" s="4">
        <f>IFERROR(VLOOKUP(Calculations[[#This Row],[Material (choose from dropdown]],MaterialData[[#Headers],[#Data]],10,FALSE),0)</f>
        <v>0</v>
      </c>
      <c r="AL399" s="322">
        <f>IFERROR(Calculations[[#This Row],[Data Quality Score]]*Calculations[[#This Row],[Total Kg]],0)</f>
        <v>0</v>
      </c>
    </row>
    <row r="400" spans="1:38" x14ac:dyDescent="0.3">
      <c r="A400" s="6">
        <f>IFERROR(MaterialsBoQ[[#This Row],[Scope Element]],0)</f>
        <v>0</v>
      </c>
      <c r="B400" t="str">
        <f>IFERROR(MaterialsBoQ[[#This Row],[Material ]],"")</f>
        <v/>
      </c>
      <c r="C400" t="str">
        <f>IFERROR(MaterialsBoQ[[#This Row],[Unit]],"")</f>
        <v/>
      </c>
      <c r="D400" s="322">
        <f>IFERROR(MaterialsBoQ[[#This Row],[Number]],0)</f>
        <v>0</v>
      </c>
      <c r="E400" s="322">
        <f>IFERROR(MaterialsBoQ[[#This Row],[Kg per unit]],0)</f>
        <v>0</v>
      </c>
      <c r="F400" s="322">
        <f>IFERROR(Calculations[[#This Row],[Number]]*Calculations[[#This Row],[Conversion factor]],0)</f>
        <v>0</v>
      </c>
      <c r="G400" s="322">
        <f>IFERROR(VLOOKUP(Calculations[[#This Row],[Material (choose from dropdown]],MaterialData[#All],7,FALSE),0)</f>
        <v>0</v>
      </c>
      <c r="H400" s="322">
        <f>Calculations[[#This Row],[Total Kg]]*Calculations[[#This Row],[Carbon Factor]]</f>
        <v>0</v>
      </c>
      <c r="I400" t="str">
        <f>IFERROR(VLOOKUP(Calculations[[#This Row],[Material (choose from dropdown]],MaterialData[#All],2,FALSE),"")</f>
        <v/>
      </c>
      <c r="J400" s="322">
        <f>IFERROR(((VLOOKUP(Calculations[[#This Row],[TransportSource]],TransportDistance[],2,FALSE)*'Stage assumptions'!$C$11)+VLOOKUP(Calculations[[#This Row],[TransportSource]],TransportDistance[],3,FALSE)*'Stage assumptions'!$C$12)*Calculations[[#This Row],[Total Kg]],0)</f>
        <v>0</v>
      </c>
      <c r="K400">
        <f>IFERROR(VLOOKUP(Calculations[[#This Row],[Material (choose from dropdown]], MaterialData[#All],3, FALSE),0)</f>
        <v>0</v>
      </c>
      <c r="L400" s="322">
        <f>IFERROR(VLOOKUP(Calculations[[#This Row],[A5type]],A5WastageRate[#All],2,FALSE)*Calculations[[#This Row],[A1-3]],0)</f>
        <v>0</v>
      </c>
      <c r="N400">
        <f>IFERROR(ROUNDUP(50/VLOOKUP(Calculations[[#This Row],[Scope Element]],B4referenceServiceLife[[Tier 2 element]:[Default Service Life]],2, FALSE)-1,0),0)</f>
        <v>0</v>
      </c>
      <c r="O400" s="322">
        <f>IFERROR((Calculations[[#This Row],[A1-3]]+Calculations[[#This Row],[A4]]+Calculations[[#This Row],[A5]]+Calculations[[#This Row],[C2 total]]+Calculations[[#This Row],[C3 total]]+Calculations[[#This Row],[C4 total]])*Calculations[[#This Row],[Replacements]],0)</f>
        <v>0</v>
      </c>
      <c r="S400" t="str">
        <f>IFERROR(VLOOKUP(Calculations[[#This Row],[Material (choose from dropdown]],MaterialData[#All],4,FALSE),"")</f>
        <v/>
      </c>
      <c r="T400" s="322" cm="1">
        <f t="array" ref="T400">IFERROR(VLOOKUP(Calculations[[#This Row],[Waste 1]],WasteScenario[#All],2,FALSE)*'Stage assumptions'!$C$225*WasteTransportMethod[Emissions Factor
kgCO2e/kg.km]*Calculations[[#This Row],[Total Kg]],0)</f>
        <v>0</v>
      </c>
      <c r="U400" s="322" cm="1">
        <f t="array" ref="U400">IFERROR(VLOOKUP(Calculations[[#This Row],[Waste 1]],WasteScenario[#All],3,FALSE)*'Stage assumptions'!$C$224*WasteTransportMethod[Emissions Factor
kgCO2e/kg.km]*Calculations[[#This Row],[Total Kg]],0)</f>
        <v>0</v>
      </c>
      <c r="V400" s="322" cm="1">
        <f t="array" ref="V400">IFERROR(VLOOKUP(Calculations[[#This Row],[Waste 1]],WasteScenario[#All],4,FALSE)*'Stage assumptions'!$C$223*WasteTransportMethod[Emissions Factor
kgCO2e/kg.km]*Calculations[[#This Row],[Total Kg]],0)</f>
        <v>0</v>
      </c>
      <c r="W400" s="322" cm="1">
        <f t="array" ref="W400">IFERROR(VLOOKUP(Calculations[[#This Row],[Waste 1]],WasteScenario[#All],5,FALSE)*'Stage assumptions'!$C$226*WasteTransportMethod[Emissions Factor
kgCO2e/kg.km]*Calculations[[#This Row],[Total Kg]],0)</f>
        <v>0</v>
      </c>
      <c r="X400" s="322">
        <f>SUM(Calculations[[#This Row],[C2 Recycle]:[C2 Reuse]])</f>
        <v>0</v>
      </c>
      <c r="Y400" t="str">
        <f>IFERROR(VLOOKUP(Calculations[[#This Row],[Material (choose from dropdown]],MaterialData[#All],5,FALSE),"")</f>
        <v/>
      </c>
      <c r="Z400" s="322">
        <f>IFERROR(((VLOOKUP(Calculations[[#This Row],[Waste type 2]],WasteDisposalEmissions[#All],2,FALSE))*Calculations[[#This Row],[Total Kg]])*VLOOKUP(Calculations[[#This Row],[Waste 1]],WasteScenario[#All],2,FALSE),0)</f>
        <v>0</v>
      </c>
      <c r="AA400" s="322">
        <f>IFERROR((VLOOKUP(Calculations[[#This Row],[Waste type 2]],WasteDisposalEmissions[#All],3,FALSE))*Calculations[[#This Row],[Total Kg]]*VLOOKUP(Calculations[[#This Row],[Waste 1]],WasteScenario[#All],3,FALSE),0)</f>
        <v>0</v>
      </c>
      <c r="AB400" s="322">
        <f>SUM(Calculations[[#This Row],[C3 recyc]:[C3 incin]])</f>
        <v>0</v>
      </c>
      <c r="AC400" s="334">
        <f>IFERROR((VLOOKUP(Calculations[[#This Row],[Waste type 2]],WasteLandfillEmissions[#All],2,FALSE))*Calculations[[#This Row],[Total Kg]]*VLOOKUP(Calculations[[#This Row],[Waste 1]],WasteScenario[#All],4,FALSE),0)</f>
        <v>0</v>
      </c>
      <c r="AD400" s="322">
        <f>IFERROR((VLOOKUP(Calculations[[#This Row],[Waste type 2]],WasteLandfillEmissions[#All],3,FALSE))*Calculations[[#This Row],[Total Kg]]*VLOOKUP(Calculations[[#This Row],[Waste 1]],WasteScenario[#All],4,FALSE),0)</f>
        <v>0</v>
      </c>
      <c r="AE400" s="322">
        <f>SUM(Calculations[[#This Row],[C4 landfill]:[C4 re-use]])</f>
        <v>0</v>
      </c>
      <c r="AF400" s="322">
        <f>IFERROR(VLOOKUP(Calculations[[#This Row],[Material (choose from dropdown]],MaterialData[#All],8,FALSE),0)</f>
        <v>0</v>
      </c>
      <c r="AG400" s="322">
        <f>IFERROR(Calculations[[#This Row],[Total Kg]]*Calculations[[#This Row],[Seq factor]],0)</f>
        <v>0</v>
      </c>
      <c r="AI400" s="322">
        <f>Calculations[[#This Row],[A1-3]]+Calculations[[#This Row],[A4]]+Calculations[[#This Row],[A5]]+Calculations[[#This Row],[B4]]+Calculations[[#This Row],[C2 total]]+Calculations[[#This Row],[C3 total]]+Calculations[[#This Row],[C4 total]]</f>
        <v>0</v>
      </c>
      <c r="AJ400" s="2">
        <f>IFERROR(VLOOKUP(Calculations[[#This Row],[Material (choose from dropdown]],MaterialData[[#Headers],[#Data]],9,FALSE),0)</f>
        <v>0</v>
      </c>
      <c r="AK400" s="4">
        <f>IFERROR(VLOOKUP(Calculations[[#This Row],[Material (choose from dropdown]],MaterialData[[#Headers],[#Data]],10,FALSE),0)</f>
        <v>0</v>
      </c>
      <c r="AL400" s="322">
        <f>IFERROR(Calculations[[#This Row],[Data Quality Score]]*Calculations[[#This Row],[Total Kg]],0)</f>
        <v>0</v>
      </c>
    </row>
    <row r="401" spans="1:38" x14ac:dyDescent="0.3">
      <c r="A401" s="6">
        <f>IFERROR(MaterialsBoQ[[#This Row],[Scope Element]],0)</f>
        <v>0</v>
      </c>
      <c r="B401" t="str">
        <f>IFERROR(MaterialsBoQ[[#This Row],[Material ]],"")</f>
        <v/>
      </c>
      <c r="C401" t="str">
        <f>IFERROR(MaterialsBoQ[[#This Row],[Unit]],"")</f>
        <v/>
      </c>
      <c r="D401" s="322">
        <f>IFERROR(MaterialsBoQ[[#This Row],[Number]],0)</f>
        <v>0</v>
      </c>
      <c r="E401" s="322">
        <f>IFERROR(MaterialsBoQ[[#This Row],[Kg per unit]],0)</f>
        <v>0</v>
      </c>
      <c r="F401" s="322">
        <f>IFERROR(Calculations[[#This Row],[Number]]*Calculations[[#This Row],[Conversion factor]],0)</f>
        <v>0</v>
      </c>
      <c r="G401" s="322">
        <f>IFERROR(VLOOKUP(Calculations[[#This Row],[Material (choose from dropdown]],MaterialData[#All],7,FALSE),0)</f>
        <v>0</v>
      </c>
      <c r="H401" s="322">
        <f>Calculations[[#This Row],[Total Kg]]*Calculations[[#This Row],[Carbon Factor]]</f>
        <v>0</v>
      </c>
      <c r="I401" t="str">
        <f>IFERROR(VLOOKUP(Calculations[[#This Row],[Material (choose from dropdown]],MaterialData[#All],2,FALSE),"")</f>
        <v/>
      </c>
      <c r="J401" s="322">
        <f>IFERROR(((VLOOKUP(Calculations[[#This Row],[TransportSource]],TransportDistance[],2,FALSE)*'Stage assumptions'!$C$11)+VLOOKUP(Calculations[[#This Row],[TransportSource]],TransportDistance[],3,FALSE)*'Stage assumptions'!$C$12)*Calculations[[#This Row],[Total Kg]],0)</f>
        <v>0</v>
      </c>
      <c r="K401">
        <f>IFERROR(VLOOKUP(Calculations[[#This Row],[Material (choose from dropdown]], MaterialData[#All],3, FALSE),0)</f>
        <v>0</v>
      </c>
      <c r="L401" s="322">
        <f>IFERROR(VLOOKUP(Calculations[[#This Row],[A5type]],A5WastageRate[#All],2,FALSE)*Calculations[[#This Row],[A1-3]],0)</f>
        <v>0</v>
      </c>
      <c r="N401">
        <f>IFERROR(ROUNDUP(50/VLOOKUP(Calculations[[#This Row],[Scope Element]],B4referenceServiceLife[[Tier 2 element]:[Default Service Life]],2, FALSE)-1,0),0)</f>
        <v>0</v>
      </c>
      <c r="O401" s="322">
        <f>IFERROR((Calculations[[#This Row],[A1-3]]+Calculations[[#This Row],[A4]]+Calculations[[#This Row],[A5]]+Calculations[[#This Row],[C2 total]]+Calculations[[#This Row],[C3 total]]+Calculations[[#This Row],[C4 total]])*Calculations[[#This Row],[Replacements]],0)</f>
        <v>0</v>
      </c>
      <c r="S401" t="str">
        <f>IFERROR(VLOOKUP(Calculations[[#This Row],[Material (choose from dropdown]],MaterialData[#All],4,FALSE),"")</f>
        <v/>
      </c>
      <c r="T401" s="322" cm="1">
        <f t="array" ref="T401">IFERROR(VLOOKUP(Calculations[[#This Row],[Waste 1]],WasteScenario[#All],2,FALSE)*'Stage assumptions'!$C$225*WasteTransportMethod[Emissions Factor
kgCO2e/kg.km]*Calculations[[#This Row],[Total Kg]],0)</f>
        <v>0</v>
      </c>
      <c r="U401" s="322" cm="1">
        <f t="array" ref="U401">IFERROR(VLOOKUP(Calculations[[#This Row],[Waste 1]],WasteScenario[#All],3,FALSE)*'Stage assumptions'!$C$224*WasteTransportMethod[Emissions Factor
kgCO2e/kg.km]*Calculations[[#This Row],[Total Kg]],0)</f>
        <v>0</v>
      </c>
      <c r="V401" s="322" cm="1">
        <f t="array" ref="V401">IFERROR(VLOOKUP(Calculations[[#This Row],[Waste 1]],WasteScenario[#All],4,FALSE)*'Stage assumptions'!$C$223*WasteTransportMethod[Emissions Factor
kgCO2e/kg.km]*Calculations[[#This Row],[Total Kg]],0)</f>
        <v>0</v>
      </c>
      <c r="W401" s="322" cm="1">
        <f t="array" ref="W401">IFERROR(VLOOKUP(Calculations[[#This Row],[Waste 1]],WasteScenario[#All],5,FALSE)*'Stage assumptions'!$C$226*WasteTransportMethod[Emissions Factor
kgCO2e/kg.km]*Calculations[[#This Row],[Total Kg]],0)</f>
        <v>0</v>
      </c>
      <c r="X401" s="322">
        <f>SUM(Calculations[[#This Row],[C2 Recycle]:[C2 Reuse]])</f>
        <v>0</v>
      </c>
      <c r="Y401" t="str">
        <f>IFERROR(VLOOKUP(Calculations[[#This Row],[Material (choose from dropdown]],MaterialData[#All],5,FALSE),"")</f>
        <v/>
      </c>
      <c r="Z401" s="322">
        <f>IFERROR(((VLOOKUP(Calculations[[#This Row],[Waste type 2]],WasteDisposalEmissions[#All],2,FALSE))*Calculations[[#This Row],[Total Kg]])*VLOOKUP(Calculations[[#This Row],[Waste 1]],WasteScenario[#All],2,FALSE),0)</f>
        <v>0</v>
      </c>
      <c r="AA401" s="322">
        <f>IFERROR((VLOOKUP(Calculations[[#This Row],[Waste type 2]],WasteDisposalEmissions[#All],3,FALSE))*Calculations[[#This Row],[Total Kg]]*VLOOKUP(Calculations[[#This Row],[Waste 1]],WasteScenario[#All],3,FALSE),0)</f>
        <v>0</v>
      </c>
      <c r="AB401" s="322">
        <f>SUM(Calculations[[#This Row],[C3 recyc]:[C3 incin]])</f>
        <v>0</v>
      </c>
      <c r="AC401" s="334">
        <f>IFERROR((VLOOKUP(Calculations[[#This Row],[Waste type 2]],WasteLandfillEmissions[#All],2,FALSE))*Calculations[[#This Row],[Total Kg]]*VLOOKUP(Calculations[[#This Row],[Waste 1]],WasteScenario[#All],4,FALSE),0)</f>
        <v>0</v>
      </c>
      <c r="AD401" s="322">
        <f>IFERROR((VLOOKUP(Calculations[[#This Row],[Waste type 2]],WasteLandfillEmissions[#All],3,FALSE))*Calculations[[#This Row],[Total Kg]]*VLOOKUP(Calculations[[#This Row],[Waste 1]],WasteScenario[#All],4,FALSE),0)</f>
        <v>0</v>
      </c>
      <c r="AE401" s="322">
        <f>SUM(Calculations[[#This Row],[C4 landfill]:[C4 re-use]])</f>
        <v>0</v>
      </c>
      <c r="AF401" s="322">
        <f>IFERROR(VLOOKUP(Calculations[[#This Row],[Material (choose from dropdown]],MaterialData[#All],8,FALSE),0)</f>
        <v>0</v>
      </c>
      <c r="AG401" s="322">
        <f>IFERROR(Calculations[[#This Row],[Total Kg]]*Calculations[[#This Row],[Seq factor]],0)</f>
        <v>0</v>
      </c>
      <c r="AI401" s="322">
        <f>Calculations[[#This Row],[A1-3]]+Calculations[[#This Row],[A4]]+Calculations[[#This Row],[A5]]+Calculations[[#This Row],[B4]]+Calculations[[#This Row],[C2 total]]+Calculations[[#This Row],[C3 total]]+Calculations[[#This Row],[C4 total]]</f>
        <v>0</v>
      </c>
      <c r="AJ401" s="2">
        <f>IFERROR(VLOOKUP(Calculations[[#This Row],[Material (choose from dropdown]],MaterialData[[#Headers],[#Data]],9,FALSE),0)</f>
        <v>0</v>
      </c>
      <c r="AK401" s="4">
        <f>IFERROR(VLOOKUP(Calculations[[#This Row],[Material (choose from dropdown]],MaterialData[[#Headers],[#Data]],10,FALSE),0)</f>
        <v>0</v>
      </c>
      <c r="AL401" s="322">
        <f>IFERROR(Calculations[[#This Row],[Data Quality Score]]*Calculations[[#This Row],[Total Kg]],0)</f>
        <v>0</v>
      </c>
    </row>
    <row r="402" spans="1:38" x14ac:dyDescent="0.3">
      <c r="A402" s="6">
        <f>IFERROR(MaterialsBoQ[[#This Row],[Scope Element]],0)</f>
        <v>0</v>
      </c>
      <c r="B402" t="str">
        <f>IFERROR(MaterialsBoQ[[#This Row],[Material ]],"")</f>
        <v/>
      </c>
      <c r="C402" t="str">
        <f>IFERROR(MaterialsBoQ[[#This Row],[Unit]],"")</f>
        <v/>
      </c>
      <c r="D402" s="322">
        <f>IFERROR(MaterialsBoQ[[#This Row],[Number]],0)</f>
        <v>0</v>
      </c>
      <c r="E402" s="322">
        <f>IFERROR(MaterialsBoQ[[#This Row],[Kg per unit]],0)</f>
        <v>0</v>
      </c>
      <c r="F402" s="322">
        <f>IFERROR(Calculations[[#This Row],[Number]]*Calculations[[#This Row],[Conversion factor]],0)</f>
        <v>0</v>
      </c>
      <c r="G402" s="322">
        <f>IFERROR(VLOOKUP(Calculations[[#This Row],[Material (choose from dropdown]],MaterialData[#All],7,FALSE),0)</f>
        <v>0</v>
      </c>
      <c r="H402" s="322">
        <f>Calculations[[#This Row],[Total Kg]]*Calculations[[#This Row],[Carbon Factor]]</f>
        <v>0</v>
      </c>
      <c r="I402" t="str">
        <f>IFERROR(VLOOKUP(Calculations[[#This Row],[Material (choose from dropdown]],MaterialData[#All],2,FALSE),"")</f>
        <v/>
      </c>
      <c r="J402" s="322">
        <f>IFERROR(((VLOOKUP(Calculations[[#This Row],[TransportSource]],TransportDistance[],2,FALSE)*'Stage assumptions'!$C$11)+VLOOKUP(Calculations[[#This Row],[TransportSource]],TransportDistance[],3,FALSE)*'Stage assumptions'!$C$12)*Calculations[[#This Row],[Total Kg]],0)</f>
        <v>0</v>
      </c>
      <c r="K402">
        <f>IFERROR(VLOOKUP(Calculations[[#This Row],[Material (choose from dropdown]], MaterialData[#All],3, FALSE),0)</f>
        <v>0</v>
      </c>
      <c r="L402" s="322">
        <f>IFERROR(VLOOKUP(Calculations[[#This Row],[A5type]],A5WastageRate[#All],2,FALSE)*Calculations[[#This Row],[A1-3]],0)</f>
        <v>0</v>
      </c>
      <c r="N402">
        <f>IFERROR(ROUNDUP(50/VLOOKUP(Calculations[[#This Row],[Scope Element]],B4referenceServiceLife[[Tier 2 element]:[Default Service Life]],2, FALSE)-1,0),0)</f>
        <v>0</v>
      </c>
      <c r="O402" s="322">
        <f>IFERROR((Calculations[[#This Row],[A1-3]]+Calculations[[#This Row],[A4]]+Calculations[[#This Row],[A5]]+Calculations[[#This Row],[C2 total]]+Calculations[[#This Row],[C3 total]]+Calculations[[#This Row],[C4 total]])*Calculations[[#This Row],[Replacements]],0)</f>
        <v>0</v>
      </c>
      <c r="S402" t="str">
        <f>IFERROR(VLOOKUP(Calculations[[#This Row],[Material (choose from dropdown]],MaterialData[#All],4,FALSE),"")</f>
        <v/>
      </c>
      <c r="T402" s="322" cm="1">
        <f t="array" ref="T402">IFERROR(VLOOKUP(Calculations[[#This Row],[Waste 1]],WasteScenario[#All],2,FALSE)*'Stage assumptions'!$C$225*WasteTransportMethod[Emissions Factor
kgCO2e/kg.km]*Calculations[[#This Row],[Total Kg]],0)</f>
        <v>0</v>
      </c>
      <c r="U402" s="322" cm="1">
        <f t="array" ref="U402">IFERROR(VLOOKUP(Calculations[[#This Row],[Waste 1]],WasteScenario[#All],3,FALSE)*'Stage assumptions'!$C$224*WasteTransportMethod[Emissions Factor
kgCO2e/kg.km]*Calculations[[#This Row],[Total Kg]],0)</f>
        <v>0</v>
      </c>
      <c r="V402" s="322" cm="1">
        <f t="array" ref="V402">IFERROR(VLOOKUP(Calculations[[#This Row],[Waste 1]],WasteScenario[#All],4,FALSE)*'Stage assumptions'!$C$223*WasteTransportMethod[Emissions Factor
kgCO2e/kg.km]*Calculations[[#This Row],[Total Kg]],0)</f>
        <v>0</v>
      </c>
      <c r="W402" s="322" cm="1">
        <f t="array" ref="W402">IFERROR(VLOOKUP(Calculations[[#This Row],[Waste 1]],WasteScenario[#All],5,FALSE)*'Stage assumptions'!$C$226*WasteTransportMethod[Emissions Factor
kgCO2e/kg.km]*Calculations[[#This Row],[Total Kg]],0)</f>
        <v>0</v>
      </c>
      <c r="X402" s="322">
        <f>SUM(Calculations[[#This Row],[C2 Recycle]:[C2 Reuse]])</f>
        <v>0</v>
      </c>
      <c r="Y402" t="str">
        <f>IFERROR(VLOOKUP(Calculations[[#This Row],[Material (choose from dropdown]],MaterialData[#All],5,FALSE),"")</f>
        <v/>
      </c>
      <c r="Z402" s="322">
        <f>IFERROR(((VLOOKUP(Calculations[[#This Row],[Waste type 2]],WasteDisposalEmissions[#All],2,FALSE))*Calculations[[#This Row],[Total Kg]])*VLOOKUP(Calculations[[#This Row],[Waste 1]],WasteScenario[#All],2,FALSE),0)</f>
        <v>0</v>
      </c>
      <c r="AA402" s="322">
        <f>IFERROR((VLOOKUP(Calculations[[#This Row],[Waste type 2]],WasteDisposalEmissions[#All],3,FALSE))*Calculations[[#This Row],[Total Kg]]*VLOOKUP(Calculations[[#This Row],[Waste 1]],WasteScenario[#All],3,FALSE),0)</f>
        <v>0</v>
      </c>
      <c r="AB402" s="322">
        <f>SUM(Calculations[[#This Row],[C3 recyc]:[C3 incin]])</f>
        <v>0</v>
      </c>
      <c r="AC402" s="334">
        <f>IFERROR((VLOOKUP(Calculations[[#This Row],[Waste type 2]],WasteLandfillEmissions[#All],2,FALSE))*Calculations[[#This Row],[Total Kg]]*VLOOKUP(Calculations[[#This Row],[Waste 1]],WasteScenario[#All],4,FALSE),0)</f>
        <v>0</v>
      </c>
      <c r="AD402" s="322">
        <f>IFERROR((VLOOKUP(Calculations[[#This Row],[Waste type 2]],WasteLandfillEmissions[#All],3,FALSE))*Calculations[[#This Row],[Total Kg]]*VLOOKUP(Calculations[[#This Row],[Waste 1]],WasteScenario[#All],4,FALSE),0)</f>
        <v>0</v>
      </c>
      <c r="AE402" s="322">
        <f>SUM(Calculations[[#This Row],[C4 landfill]:[C4 re-use]])</f>
        <v>0</v>
      </c>
      <c r="AF402" s="322">
        <f>IFERROR(VLOOKUP(Calculations[[#This Row],[Material (choose from dropdown]],MaterialData[#All],8,FALSE),0)</f>
        <v>0</v>
      </c>
      <c r="AG402" s="322">
        <f>IFERROR(Calculations[[#This Row],[Total Kg]]*Calculations[[#This Row],[Seq factor]],0)</f>
        <v>0</v>
      </c>
      <c r="AI402" s="322">
        <f>Calculations[[#This Row],[A1-3]]+Calculations[[#This Row],[A4]]+Calculations[[#This Row],[A5]]+Calculations[[#This Row],[B4]]+Calculations[[#This Row],[C2 total]]+Calculations[[#This Row],[C3 total]]+Calculations[[#This Row],[C4 total]]</f>
        <v>0</v>
      </c>
      <c r="AJ402" s="2">
        <f>IFERROR(VLOOKUP(Calculations[[#This Row],[Material (choose from dropdown]],MaterialData[[#Headers],[#Data]],9,FALSE),0)</f>
        <v>0</v>
      </c>
      <c r="AK402" s="4">
        <f>IFERROR(VLOOKUP(Calculations[[#This Row],[Material (choose from dropdown]],MaterialData[[#Headers],[#Data]],10,FALSE),0)</f>
        <v>0</v>
      </c>
      <c r="AL402" s="322">
        <f>IFERROR(Calculations[[#This Row],[Data Quality Score]]*Calculations[[#This Row],[Total Kg]],0)</f>
        <v>0</v>
      </c>
    </row>
    <row r="403" spans="1:38" x14ac:dyDescent="0.3">
      <c r="A403" s="6">
        <f>IFERROR(MaterialsBoQ[[#This Row],[Scope Element]],0)</f>
        <v>0</v>
      </c>
      <c r="B403" t="str">
        <f>IFERROR(MaterialsBoQ[[#This Row],[Material ]],"")</f>
        <v/>
      </c>
      <c r="C403" t="str">
        <f>IFERROR(MaterialsBoQ[[#This Row],[Unit]],"")</f>
        <v/>
      </c>
      <c r="D403" s="322">
        <f>IFERROR(MaterialsBoQ[[#This Row],[Number]],0)</f>
        <v>0</v>
      </c>
      <c r="E403" s="322">
        <f>IFERROR(MaterialsBoQ[[#This Row],[Kg per unit]],0)</f>
        <v>0</v>
      </c>
      <c r="F403" s="322">
        <f>IFERROR(Calculations[[#This Row],[Number]]*Calculations[[#This Row],[Conversion factor]],0)</f>
        <v>0</v>
      </c>
      <c r="G403" s="322">
        <f>IFERROR(VLOOKUP(Calculations[[#This Row],[Material (choose from dropdown]],MaterialData[#All],7,FALSE),0)</f>
        <v>0</v>
      </c>
      <c r="H403" s="322">
        <f>Calculations[[#This Row],[Total Kg]]*Calculations[[#This Row],[Carbon Factor]]</f>
        <v>0</v>
      </c>
      <c r="I403" t="str">
        <f>IFERROR(VLOOKUP(Calculations[[#This Row],[Material (choose from dropdown]],MaterialData[#All],2,FALSE),"")</f>
        <v/>
      </c>
      <c r="J403" s="322">
        <f>IFERROR(((VLOOKUP(Calculations[[#This Row],[TransportSource]],TransportDistance[],2,FALSE)*'Stage assumptions'!$C$11)+VLOOKUP(Calculations[[#This Row],[TransportSource]],TransportDistance[],3,FALSE)*'Stage assumptions'!$C$12)*Calculations[[#This Row],[Total Kg]],0)</f>
        <v>0</v>
      </c>
      <c r="K403">
        <f>IFERROR(VLOOKUP(Calculations[[#This Row],[Material (choose from dropdown]], MaterialData[#All],3, FALSE),0)</f>
        <v>0</v>
      </c>
      <c r="L403" s="322">
        <f>IFERROR(VLOOKUP(Calculations[[#This Row],[A5type]],A5WastageRate[#All],2,FALSE)*Calculations[[#This Row],[A1-3]],0)</f>
        <v>0</v>
      </c>
      <c r="N403">
        <f>IFERROR(ROUNDUP(50/VLOOKUP(Calculations[[#This Row],[Scope Element]],B4referenceServiceLife[[Tier 2 element]:[Default Service Life]],2, FALSE)-1,0),0)</f>
        <v>0</v>
      </c>
      <c r="O403" s="322">
        <f>IFERROR((Calculations[[#This Row],[A1-3]]+Calculations[[#This Row],[A4]]+Calculations[[#This Row],[A5]]+Calculations[[#This Row],[C2 total]]+Calculations[[#This Row],[C3 total]]+Calculations[[#This Row],[C4 total]])*Calculations[[#This Row],[Replacements]],0)</f>
        <v>0</v>
      </c>
      <c r="S403" t="str">
        <f>IFERROR(VLOOKUP(Calculations[[#This Row],[Material (choose from dropdown]],MaterialData[#All],4,FALSE),"")</f>
        <v/>
      </c>
      <c r="T403" s="322" cm="1">
        <f t="array" ref="T403">IFERROR(VLOOKUP(Calculations[[#This Row],[Waste 1]],WasteScenario[#All],2,FALSE)*'Stage assumptions'!$C$225*WasteTransportMethod[Emissions Factor
kgCO2e/kg.km]*Calculations[[#This Row],[Total Kg]],0)</f>
        <v>0</v>
      </c>
      <c r="U403" s="322" cm="1">
        <f t="array" ref="U403">IFERROR(VLOOKUP(Calculations[[#This Row],[Waste 1]],WasteScenario[#All],3,FALSE)*'Stage assumptions'!$C$224*WasteTransportMethod[Emissions Factor
kgCO2e/kg.km]*Calculations[[#This Row],[Total Kg]],0)</f>
        <v>0</v>
      </c>
      <c r="V403" s="322" cm="1">
        <f t="array" ref="V403">IFERROR(VLOOKUP(Calculations[[#This Row],[Waste 1]],WasteScenario[#All],4,FALSE)*'Stage assumptions'!$C$223*WasteTransportMethod[Emissions Factor
kgCO2e/kg.km]*Calculations[[#This Row],[Total Kg]],0)</f>
        <v>0</v>
      </c>
      <c r="W403" s="322" cm="1">
        <f t="array" ref="W403">IFERROR(VLOOKUP(Calculations[[#This Row],[Waste 1]],WasteScenario[#All],5,FALSE)*'Stage assumptions'!$C$226*WasteTransportMethod[Emissions Factor
kgCO2e/kg.km]*Calculations[[#This Row],[Total Kg]],0)</f>
        <v>0</v>
      </c>
      <c r="X403" s="322">
        <f>SUM(Calculations[[#This Row],[C2 Recycle]:[C2 Reuse]])</f>
        <v>0</v>
      </c>
      <c r="Y403" t="str">
        <f>IFERROR(VLOOKUP(Calculations[[#This Row],[Material (choose from dropdown]],MaterialData[#All],5,FALSE),"")</f>
        <v/>
      </c>
      <c r="Z403" s="322">
        <f>IFERROR(((VLOOKUP(Calculations[[#This Row],[Waste type 2]],WasteDisposalEmissions[#All],2,FALSE))*Calculations[[#This Row],[Total Kg]])*VLOOKUP(Calculations[[#This Row],[Waste 1]],WasteScenario[#All],2,FALSE),0)</f>
        <v>0</v>
      </c>
      <c r="AA403" s="322">
        <f>IFERROR((VLOOKUP(Calculations[[#This Row],[Waste type 2]],WasteDisposalEmissions[#All],3,FALSE))*Calculations[[#This Row],[Total Kg]]*VLOOKUP(Calculations[[#This Row],[Waste 1]],WasteScenario[#All],3,FALSE),0)</f>
        <v>0</v>
      </c>
      <c r="AB403" s="322">
        <f>SUM(Calculations[[#This Row],[C3 recyc]:[C3 incin]])</f>
        <v>0</v>
      </c>
      <c r="AC403" s="334">
        <f>IFERROR((VLOOKUP(Calculations[[#This Row],[Waste type 2]],WasteLandfillEmissions[#All],2,FALSE))*Calculations[[#This Row],[Total Kg]]*VLOOKUP(Calculations[[#This Row],[Waste 1]],WasteScenario[#All],4,FALSE),0)</f>
        <v>0</v>
      </c>
      <c r="AD403" s="322">
        <f>IFERROR((VLOOKUP(Calculations[[#This Row],[Waste type 2]],WasteLandfillEmissions[#All],3,FALSE))*Calculations[[#This Row],[Total Kg]]*VLOOKUP(Calculations[[#This Row],[Waste 1]],WasteScenario[#All],4,FALSE),0)</f>
        <v>0</v>
      </c>
      <c r="AE403" s="322">
        <f>SUM(Calculations[[#This Row],[C4 landfill]:[C4 re-use]])</f>
        <v>0</v>
      </c>
      <c r="AF403" s="322">
        <f>IFERROR(VLOOKUP(Calculations[[#This Row],[Material (choose from dropdown]],MaterialData[#All],8,FALSE),0)</f>
        <v>0</v>
      </c>
      <c r="AG403" s="322">
        <f>IFERROR(Calculations[[#This Row],[Total Kg]]*Calculations[[#This Row],[Seq factor]],0)</f>
        <v>0</v>
      </c>
      <c r="AI403" s="322">
        <f>Calculations[[#This Row],[A1-3]]+Calculations[[#This Row],[A4]]+Calculations[[#This Row],[A5]]+Calculations[[#This Row],[B4]]+Calculations[[#This Row],[C2 total]]+Calculations[[#This Row],[C3 total]]+Calculations[[#This Row],[C4 total]]</f>
        <v>0</v>
      </c>
      <c r="AJ403" s="2">
        <f>IFERROR(VLOOKUP(Calculations[[#This Row],[Material (choose from dropdown]],MaterialData[[#Headers],[#Data]],9,FALSE),0)</f>
        <v>0</v>
      </c>
      <c r="AK403" s="4">
        <f>IFERROR(VLOOKUP(Calculations[[#This Row],[Material (choose from dropdown]],MaterialData[[#Headers],[#Data]],10,FALSE),0)</f>
        <v>0</v>
      </c>
      <c r="AL403" s="322">
        <f>IFERROR(Calculations[[#This Row],[Data Quality Score]]*Calculations[[#This Row],[Total Kg]],0)</f>
        <v>0</v>
      </c>
    </row>
    <row r="404" spans="1:38" x14ac:dyDescent="0.3">
      <c r="A404" s="6">
        <f>IFERROR(MaterialsBoQ[[#This Row],[Scope Element]],0)</f>
        <v>0</v>
      </c>
      <c r="B404" t="str">
        <f>IFERROR(MaterialsBoQ[[#This Row],[Material ]],"")</f>
        <v/>
      </c>
      <c r="C404" t="str">
        <f>IFERROR(MaterialsBoQ[[#This Row],[Unit]],"")</f>
        <v/>
      </c>
      <c r="D404" s="322">
        <f>IFERROR(MaterialsBoQ[[#This Row],[Number]],0)</f>
        <v>0</v>
      </c>
      <c r="E404" s="322">
        <f>IFERROR(MaterialsBoQ[[#This Row],[Kg per unit]],0)</f>
        <v>0</v>
      </c>
      <c r="F404" s="322">
        <f>IFERROR(Calculations[[#This Row],[Number]]*Calculations[[#This Row],[Conversion factor]],0)</f>
        <v>0</v>
      </c>
      <c r="G404" s="322">
        <f>IFERROR(VLOOKUP(Calculations[[#This Row],[Material (choose from dropdown]],MaterialData[#All],7,FALSE),0)</f>
        <v>0</v>
      </c>
      <c r="H404" s="322">
        <f>Calculations[[#This Row],[Total Kg]]*Calculations[[#This Row],[Carbon Factor]]</f>
        <v>0</v>
      </c>
      <c r="I404" t="str">
        <f>IFERROR(VLOOKUP(Calculations[[#This Row],[Material (choose from dropdown]],MaterialData[#All],2,FALSE),"")</f>
        <v/>
      </c>
      <c r="J404" s="322">
        <f>IFERROR(((VLOOKUP(Calculations[[#This Row],[TransportSource]],TransportDistance[],2,FALSE)*'Stage assumptions'!$C$11)+VLOOKUP(Calculations[[#This Row],[TransportSource]],TransportDistance[],3,FALSE)*'Stage assumptions'!$C$12)*Calculations[[#This Row],[Total Kg]],0)</f>
        <v>0</v>
      </c>
      <c r="K404">
        <f>IFERROR(VLOOKUP(Calculations[[#This Row],[Material (choose from dropdown]], MaterialData[#All],3, FALSE),0)</f>
        <v>0</v>
      </c>
      <c r="L404" s="322">
        <f>IFERROR(VLOOKUP(Calculations[[#This Row],[A5type]],A5WastageRate[#All],2,FALSE)*Calculations[[#This Row],[A1-3]],0)</f>
        <v>0</v>
      </c>
      <c r="N404">
        <f>IFERROR(ROUNDUP(50/VLOOKUP(Calculations[[#This Row],[Scope Element]],B4referenceServiceLife[[Tier 2 element]:[Default Service Life]],2, FALSE)-1,0),0)</f>
        <v>0</v>
      </c>
      <c r="O404" s="322">
        <f>IFERROR((Calculations[[#This Row],[A1-3]]+Calculations[[#This Row],[A4]]+Calculations[[#This Row],[A5]]+Calculations[[#This Row],[C2 total]]+Calculations[[#This Row],[C3 total]]+Calculations[[#This Row],[C4 total]])*Calculations[[#This Row],[Replacements]],0)</f>
        <v>0</v>
      </c>
      <c r="S404" t="str">
        <f>IFERROR(VLOOKUP(Calculations[[#This Row],[Material (choose from dropdown]],MaterialData[#All],4,FALSE),"")</f>
        <v/>
      </c>
      <c r="T404" s="322" cm="1">
        <f t="array" ref="T404">IFERROR(VLOOKUP(Calculations[[#This Row],[Waste 1]],WasteScenario[#All],2,FALSE)*'Stage assumptions'!$C$225*WasteTransportMethod[Emissions Factor
kgCO2e/kg.km]*Calculations[[#This Row],[Total Kg]],0)</f>
        <v>0</v>
      </c>
      <c r="U404" s="322" cm="1">
        <f t="array" ref="U404">IFERROR(VLOOKUP(Calculations[[#This Row],[Waste 1]],WasteScenario[#All],3,FALSE)*'Stage assumptions'!$C$224*WasteTransportMethod[Emissions Factor
kgCO2e/kg.km]*Calculations[[#This Row],[Total Kg]],0)</f>
        <v>0</v>
      </c>
      <c r="V404" s="322" cm="1">
        <f t="array" ref="V404">IFERROR(VLOOKUP(Calculations[[#This Row],[Waste 1]],WasteScenario[#All],4,FALSE)*'Stage assumptions'!$C$223*WasteTransportMethod[Emissions Factor
kgCO2e/kg.km]*Calculations[[#This Row],[Total Kg]],0)</f>
        <v>0</v>
      </c>
      <c r="W404" s="322" cm="1">
        <f t="array" ref="W404">IFERROR(VLOOKUP(Calculations[[#This Row],[Waste 1]],WasteScenario[#All],5,FALSE)*'Stage assumptions'!$C$226*WasteTransportMethod[Emissions Factor
kgCO2e/kg.km]*Calculations[[#This Row],[Total Kg]],0)</f>
        <v>0</v>
      </c>
      <c r="X404" s="322">
        <f>SUM(Calculations[[#This Row],[C2 Recycle]:[C2 Reuse]])</f>
        <v>0</v>
      </c>
      <c r="Y404" t="str">
        <f>IFERROR(VLOOKUP(Calculations[[#This Row],[Material (choose from dropdown]],MaterialData[#All],5,FALSE),"")</f>
        <v/>
      </c>
      <c r="Z404" s="322">
        <f>IFERROR(((VLOOKUP(Calculations[[#This Row],[Waste type 2]],WasteDisposalEmissions[#All],2,FALSE))*Calculations[[#This Row],[Total Kg]])*VLOOKUP(Calculations[[#This Row],[Waste 1]],WasteScenario[#All],2,FALSE),0)</f>
        <v>0</v>
      </c>
      <c r="AA404" s="322">
        <f>IFERROR((VLOOKUP(Calculations[[#This Row],[Waste type 2]],WasteDisposalEmissions[#All],3,FALSE))*Calculations[[#This Row],[Total Kg]]*VLOOKUP(Calculations[[#This Row],[Waste 1]],WasteScenario[#All],3,FALSE),0)</f>
        <v>0</v>
      </c>
      <c r="AB404" s="322">
        <f>SUM(Calculations[[#This Row],[C3 recyc]:[C3 incin]])</f>
        <v>0</v>
      </c>
      <c r="AC404" s="334">
        <f>IFERROR((VLOOKUP(Calculations[[#This Row],[Waste type 2]],WasteLandfillEmissions[#All],2,FALSE))*Calculations[[#This Row],[Total Kg]]*VLOOKUP(Calculations[[#This Row],[Waste 1]],WasteScenario[#All],4,FALSE),0)</f>
        <v>0</v>
      </c>
      <c r="AD404" s="322">
        <f>IFERROR((VLOOKUP(Calculations[[#This Row],[Waste type 2]],WasteLandfillEmissions[#All],3,FALSE))*Calculations[[#This Row],[Total Kg]]*VLOOKUP(Calculations[[#This Row],[Waste 1]],WasteScenario[#All],4,FALSE),0)</f>
        <v>0</v>
      </c>
      <c r="AE404" s="322">
        <f>SUM(Calculations[[#This Row],[C4 landfill]:[C4 re-use]])</f>
        <v>0</v>
      </c>
      <c r="AF404" s="322">
        <f>IFERROR(VLOOKUP(Calculations[[#This Row],[Material (choose from dropdown]],MaterialData[#All],8,FALSE),0)</f>
        <v>0</v>
      </c>
      <c r="AG404" s="322">
        <f>IFERROR(Calculations[[#This Row],[Total Kg]]*Calculations[[#This Row],[Seq factor]],0)</f>
        <v>0</v>
      </c>
      <c r="AI404" s="322">
        <f>Calculations[[#This Row],[A1-3]]+Calculations[[#This Row],[A4]]+Calculations[[#This Row],[A5]]+Calculations[[#This Row],[B4]]+Calculations[[#This Row],[C2 total]]+Calculations[[#This Row],[C3 total]]+Calculations[[#This Row],[C4 total]]</f>
        <v>0</v>
      </c>
      <c r="AJ404" s="2">
        <f>IFERROR(VLOOKUP(Calculations[[#This Row],[Material (choose from dropdown]],MaterialData[[#Headers],[#Data]],9,FALSE),0)</f>
        <v>0</v>
      </c>
      <c r="AK404" s="4">
        <f>IFERROR(VLOOKUP(Calculations[[#This Row],[Material (choose from dropdown]],MaterialData[[#Headers],[#Data]],10,FALSE),0)</f>
        <v>0</v>
      </c>
      <c r="AL404" s="322">
        <f>IFERROR(Calculations[[#This Row],[Data Quality Score]]*Calculations[[#This Row],[Total Kg]],0)</f>
        <v>0</v>
      </c>
    </row>
    <row r="405" spans="1:38" x14ac:dyDescent="0.3">
      <c r="A405" s="6">
        <f>IFERROR(MaterialsBoQ[[#This Row],[Scope Element]],0)</f>
        <v>0</v>
      </c>
      <c r="B405" t="str">
        <f>IFERROR(MaterialsBoQ[[#This Row],[Material ]],"")</f>
        <v/>
      </c>
      <c r="C405" t="str">
        <f>IFERROR(MaterialsBoQ[[#This Row],[Unit]],"")</f>
        <v/>
      </c>
      <c r="D405" s="322">
        <f>IFERROR(MaterialsBoQ[[#This Row],[Number]],0)</f>
        <v>0</v>
      </c>
      <c r="E405" s="322">
        <f>IFERROR(MaterialsBoQ[[#This Row],[Kg per unit]],0)</f>
        <v>0</v>
      </c>
      <c r="F405" s="322">
        <f>IFERROR(Calculations[[#This Row],[Number]]*Calculations[[#This Row],[Conversion factor]],0)</f>
        <v>0</v>
      </c>
      <c r="G405" s="322">
        <f>IFERROR(VLOOKUP(Calculations[[#This Row],[Material (choose from dropdown]],MaterialData[#All],7,FALSE),0)</f>
        <v>0</v>
      </c>
      <c r="H405" s="322">
        <f>Calculations[[#This Row],[Total Kg]]*Calculations[[#This Row],[Carbon Factor]]</f>
        <v>0</v>
      </c>
      <c r="I405" t="str">
        <f>IFERROR(VLOOKUP(Calculations[[#This Row],[Material (choose from dropdown]],MaterialData[#All],2,FALSE),"")</f>
        <v/>
      </c>
      <c r="J405" s="322">
        <f>IFERROR(((VLOOKUP(Calculations[[#This Row],[TransportSource]],TransportDistance[],2,FALSE)*'Stage assumptions'!$C$11)+VLOOKUP(Calculations[[#This Row],[TransportSource]],TransportDistance[],3,FALSE)*'Stage assumptions'!$C$12)*Calculations[[#This Row],[Total Kg]],0)</f>
        <v>0</v>
      </c>
      <c r="K405">
        <f>IFERROR(VLOOKUP(Calculations[[#This Row],[Material (choose from dropdown]], MaterialData[#All],3, FALSE),0)</f>
        <v>0</v>
      </c>
      <c r="L405" s="322">
        <f>IFERROR(VLOOKUP(Calculations[[#This Row],[A5type]],A5WastageRate[#All],2,FALSE)*Calculations[[#This Row],[A1-3]],0)</f>
        <v>0</v>
      </c>
      <c r="N405">
        <f>IFERROR(ROUNDUP(50/VLOOKUP(Calculations[[#This Row],[Scope Element]],B4referenceServiceLife[[Tier 2 element]:[Default Service Life]],2, FALSE)-1,0),0)</f>
        <v>0</v>
      </c>
      <c r="O405" s="322">
        <f>IFERROR((Calculations[[#This Row],[A1-3]]+Calculations[[#This Row],[A4]]+Calculations[[#This Row],[A5]]+Calculations[[#This Row],[C2 total]]+Calculations[[#This Row],[C3 total]]+Calculations[[#This Row],[C4 total]])*Calculations[[#This Row],[Replacements]],0)</f>
        <v>0</v>
      </c>
      <c r="S405" t="str">
        <f>IFERROR(VLOOKUP(Calculations[[#This Row],[Material (choose from dropdown]],MaterialData[#All],4,FALSE),"")</f>
        <v/>
      </c>
      <c r="T405" s="322" cm="1">
        <f t="array" ref="T405">IFERROR(VLOOKUP(Calculations[[#This Row],[Waste 1]],WasteScenario[#All],2,FALSE)*'Stage assumptions'!$C$225*WasteTransportMethod[Emissions Factor
kgCO2e/kg.km]*Calculations[[#This Row],[Total Kg]],0)</f>
        <v>0</v>
      </c>
      <c r="U405" s="322" cm="1">
        <f t="array" ref="U405">IFERROR(VLOOKUP(Calculations[[#This Row],[Waste 1]],WasteScenario[#All],3,FALSE)*'Stage assumptions'!$C$224*WasteTransportMethod[Emissions Factor
kgCO2e/kg.km]*Calculations[[#This Row],[Total Kg]],0)</f>
        <v>0</v>
      </c>
      <c r="V405" s="322" cm="1">
        <f t="array" ref="V405">IFERROR(VLOOKUP(Calculations[[#This Row],[Waste 1]],WasteScenario[#All],4,FALSE)*'Stage assumptions'!$C$223*WasteTransportMethod[Emissions Factor
kgCO2e/kg.km]*Calculations[[#This Row],[Total Kg]],0)</f>
        <v>0</v>
      </c>
      <c r="W405" s="322" cm="1">
        <f t="array" ref="W405">IFERROR(VLOOKUP(Calculations[[#This Row],[Waste 1]],WasteScenario[#All],5,FALSE)*'Stage assumptions'!$C$226*WasteTransportMethod[Emissions Factor
kgCO2e/kg.km]*Calculations[[#This Row],[Total Kg]],0)</f>
        <v>0</v>
      </c>
      <c r="X405" s="322">
        <f>SUM(Calculations[[#This Row],[C2 Recycle]:[C2 Reuse]])</f>
        <v>0</v>
      </c>
      <c r="Y405" t="str">
        <f>IFERROR(VLOOKUP(Calculations[[#This Row],[Material (choose from dropdown]],MaterialData[#All],5,FALSE),"")</f>
        <v/>
      </c>
      <c r="Z405" s="322">
        <f>IFERROR(((VLOOKUP(Calculations[[#This Row],[Waste type 2]],WasteDisposalEmissions[#All],2,FALSE))*Calculations[[#This Row],[Total Kg]])*VLOOKUP(Calculations[[#This Row],[Waste 1]],WasteScenario[#All],2,FALSE),0)</f>
        <v>0</v>
      </c>
      <c r="AA405" s="322">
        <f>IFERROR((VLOOKUP(Calculations[[#This Row],[Waste type 2]],WasteDisposalEmissions[#All],3,FALSE))*Calculations[[#This Row],[Total Kg]]*VLOOKUP(Calculations[[#This Row],[Waste 1]],WasteScenario[#All],3,FALSE),0)</f>
        <v>0</v>
      </c>
      <c r="AB405" s="322">
        <f>SUM(Calculations[[#This Row],[C3 recyc]:[C3 incin]])</f>
        <v>0</v>
      </c>
      <c r="AC405" s="334">
        <f>IFERROR((VLOOKUP(Calculations[[#This Row],[Waste type 2]],WasteLandfillEmissions[#All],2,FALSE))*Calculations[[#This Row],[Total Kg]]*VLOOKUP(Calculations[[#This Row],[Waste 1]],WasteScenario[#All],4,FALSE),0)</f>
        <v>0</v>
      </c>
      <c r="AD405" s="322">
        <f>IFERROR((VLOOKUP(Calculations[[#This Row],[Waste type 2]],WasteLandfillEmissions[#All],3,FALSE))*Calculations[[#This Row],[Total Kg]]*VLOOKUP(Calculations[[#This Row],[Waste 1]],WasteScenario[#All],4,FALSE),0)</f>
        <v>0</v>
      </c>
      <c r="AE405" s="322">
        <f>SUM(Calculations[[#This Row],[C4 landfill]:[C4 re-use]])</f>
        <v>0</v>
      </c>
      <c r="AF405" s="322">
        <f>IFERROR(VLOOKUP(Calculations[[#This Row],[Material (choose from dropdown]],MaterialData[#All],8,FALSE),0)</f>
        <v>0</v>
      </c>
      <c r="AG405" s="322">
        <f>IFERROR(Calculations[[#This Row],[Total Kg]]*Calculations[[#This Row],[Seq factor]],0)</f>
        <v>0</v>
      </c>
      <c r="AI405" s="322">
        <f>Calculations[[#This Row],[A1-3]]+Calculations[[#This Row],[A4]]+Calculations[[#This Row],[A5]]+Calculations[[#This Row],[B4]]+Calculations[[#This Row],[C2 total]]+Calculations[[#This Row],[C3 total]]+Calculations[[#This Row],[C4 total]]</f>
        <v>0</v>
      </c>
      <c r="AJ405" s="2">
        <f>IFERROR(VLOOKUP(Calculations[[#This Row],[Material (choose from dropdown]],MaterialData[[#Headers],[#Data]],9,FALSE),0)</f>
        <v>0</v>
      </c>
      <c r="AK405" s="4">
        <f>IFERROR(VLOOKUP(Calculations[[#This Row],[Material (choose from dropdown]],MaterialData[[#Headers],[#Data]],10,FALSE),0)</f>
        <v>0</v>
      </c>
      <c r="AL405" s="322">
        <f>IFERROR(Calculations[[#This Row],[Data Quality Score]]*Calculations[[#This Row],[Total Kg]],0)</f>
        <v>0</v>
      </c>
    </row>
    <row r="406" spans="1:38" x14ac:dyDescent="0.3">
      <c r="A406" s="6">
        <f>IFERROR(MaterialsBoQ[[#This Row],[Scope Element]],0)</f>
        <v>0</v>
      </c>
      <c r="B406" t="str">
        <f>IFERROR(MaterialsBoQ[[#This Row],[Material ]],"")</f>
        <v/>
      </c>
      <c r="C406" t="str">
        <f>IFERROR(MaterialsBoQ[[#This Row],[Unit]],"")</f>
        <v/>
      </c>
      <c r="D406" s="322">
        <f>IFERROR(MaterialsBoQ[[#This Row],[Number]],0)</f>
        <v>0</v>
      </c>
      <c r="E406" s="322">
        <f>IFERROR(MaterialsBoQ[[#This Row],[Kg per unit]],0)</f>
        <v>0</v>
      </c>
      <c r="F406" s="322">
        <f>IFERROR(Calculations[[#This Row],[Number]]*Calculations[[#This Row],[Conversion factor]],0)</f>
        <v>0</v>
      </c>
      <c r="G406" s="322">
        <f>IFERROR(VLOOKUP(Calculations[[#This Row],[Material (choose from dropdown]],MaterialData[#All],7,FALSE),0)</f>
        <v>0</v>
      </c>
      <c r="H406" s="322">
        <f>Calculations[[#This Row],[Total Kg]]*Calculations[[#This Row],[Carbon Factor]]</f>
        <v>0</v>
      </c>
      <c r="I406" t="str">
        <f>IFERROR(VLOOKUP(Calculations[[#This Row],[Material (choose from dropdown]],MaterialData[#All],2,FALSE),"")</f>
        <v/>
      </c>
      <c r="J406" s="322">
        <f>IFERROR(((VLOOKUP(Calculations[[#This Row],[TransportSource]],TransportDistance[],2,FALSE)*'Stage assumptions'!$C$11)+VLOOKUP(Calculations[[#This Row],[TransportSource]],TransportDistance[],3,FALSE)*'Stage assumptions'!$C$12)*Calculations[[#This Row],[Total Kg]],0)</f>
        <v>0</v>
      </c>
      <c r="K406">
        <f>IFERROR(VLOOKUP(Calculations[[#This Row],[Material (choose from dropdown]], MaterialData[#All],3, FALSE),0)</f>
        <v>0</v>
      </c>
      <c r="L406" s="322">
        <f>IFERROR(VLOOKUP(Calculations[[#This Row],[A5type]],A5WastageRate[#All],2,FALSE)*Calculations[[#This Row],[A1-3]],0)</f>
        <v>0</v>
      </c>
      <c r="N406">
        <f>IFERROR(ROUNDUP(50/VLOOKUP(Calculations[[#This Row],[Scope Element]],B4referenceServiceLife[[Tier 2 element]:[Default Service Life]],2, FALSE)-1,0),0)</f>
        <v>0</v>
      </c>
      <c r="O406" s="322">
        <f>IFERROR((Calculations[[#This Row],[A1-3]]+Calculations[[#This Row],[A4]]+Calculations[[#This Row],[A5]]+Calculations[[#This Row],[C2 total]]+Calculations[[#This Row],[C3 total]]+Calculations[[#This Row],[C4 total]])*Calculations[[#This Row],[Replacements]],0)</f>
        <v>0</v>
      </c>
      <c r="S406" t="str">
        <f>IFERROR(VLOOKUP(Calculations[[#This Row],[Material (choose from dropdown]],MaterialData[#All],4,FALSE),"")</f>
        <v/>
      </c>
      <c r="T406" s="322" cm="1">
        <f t="array" ref="T406">IFERROR(VLOOKUP(Calculations[[#This Row],[Waste 1]],WasteScenario[#All],2,FALSE)*'Stage assumptions'!$C$225*WasteTransportMethod[Emissions Factor
kgCO2e/kg.km]*Calculations[[#This Row],[Total Kg]],0)</f>
        <v>0</v>
      </c>
      <c r="U406" s="322" cm="1">
        <f t="array" ref="U406">IFERROR(VLOOKUP(Calculations[[#This Row],[Waste 1]],WasteScenario[#All],3,FALSE)*'Stage assumptions'!$C$224*WasteTransportMethod[Emissions Factor
kgCO2e/kg.km]*Calculations[[#This Row],[Total Kg]],0)</f>
        <v>0</v>
      </c>
      <c r="V406" s="322" cm="1">
        <f t="array" ref="V406">IFERROR(VLOOKUP(Calculations[[#This Row],[Waste 1]],WasteScenario[#All],4,FALSE)*'Stage assumptions'!$C$223*WasteTransportMethod[Emissions Factor
kgCO2e/kg.km]*Calculations[[#This Row],[Total Kg]],0)</f>
        <v>0</v>
      </c>
      <c r="W406" s="322" cm="1">
        <f t="array" ref="W406">IFERROR(VLOOKUP(Calculations[[#This Row],[Waste 1]],WasteScenario[#All],5,FALSE)*'Stage assumptions'!$C$226*WasteTransportMethod[Emissions Factor
kgCO2e/kg.km]*Calculations[[#This Row],[Total Kg]],0)</f>
        <v>0</v>
      </c>
      <c r="X406" s="322">
        <f>SUM(Calculations[[#This Row],[C2 Recycle]:[C2 Reuse]])</f>
        <v>0</v>
      </c>
      <c r="Y406" t="str">
        <f>IFERROR(VLOOKUP(Calculations[[#This Row],[Material (choose from dropdown]],MaterialData[#All],5,FALSE),"")</f>
        <v/>
      </c>
      <c r="Z406" s="322">
        <f>IFERROR(((VLOOKUP(Calculations[[#This Row],[Waste type 2]],WasteDisposalEmissions[#All],2,FALSE))*Calculations[[#This Row],[Total Kg]])*VLOOKUP(Calculations[[#This Row],[Waste 1]],WasteScenario[#All],2,FALSE),0)</f>
        <v>0</v>
      </c>
      <c r="AA406" s="322">
        <f>IFERROR((VLOOKUP(Calculations[[#This Row],[Waste type 2]],WasteDisposalEmissions[#All],3,FALSE))*Calculations[[#This Row],[Total Kg]]*VLOOKUP(Calculations[[#This Row],[Waste 1]],WasteScenario[#All],3,FALSE),0)</f>
        <v>0</v>
      </c>
      <c r="AB406" s="322">
        <f>SUM(Calculations[[#This Row],[C3 recyc]:[C3 incin]])</f>
        <v>0</v>
      </c>
      <c r="AC406" s="334">
        <f>IFERROR((VLOOKUP(Calculations[[#This Row],[Waste type 2]],WasteLandfillEmissions[#All],2,FALSE))*Calculations[[#This Row],[Total Kg]]*VLOOKUP(Calculations[[#This Row],[Waste 1]],WasteScenario[#All],4,FALSE),0)</f>
        <v>0</v>
      </c>
      <c r="AD406" s="322">
        <f>IFERROR((VLOOKUP(Calculations[[#This Row],[Waste type 2]],WasteLandfillEmissions[#All],3,FALSE))*Calculations[[#This Row],[Total Kg]]*VLOOKUP(Calculations[[#This Row],[Waste 1]],WasteScenario[#All],4,FALSE),0)</f>
        <v>0</v>
      </c>
      <c r="AE406" s="322">
        <f>SUM(Calculations[[#This Row],[C4 landfill]:[C4 re-use]])</f>
        <v>0</v>
      </c>
      <c r="AF406" s="322">
        <f>IFERROR(VLOOKUP(Calculations[[#This Row],[Material (choose from dropdown]],MaterialData[#All],8,FALSE),0)</f>
        <v>0</v>
      </c>
      <c r="AG406" s="322">
        <f>IFERROR(Calculations[[#This Row],[Total Kg]]*Calculations[[#This Row],[Seq factor]],0)</f>
        <v>0</v>
      </c>
      <c r="AI406" s="322">
        <f>Calculations[[#This Row],[A1-3]]+Calculations[[#This Row],[A4]]+Calculations[[#This Row],[A5]]+Calculations[[#This Row],[B4]]+Calculations[[#This Row],[C2 total]]+Calculations[[#This Row],[C3 total]]+Calculations[[#This Row],[C4 total]]</f>
        <v>0</v>
      </c>
      <c r="AJ406" s="2">
        <f>IFERROR(VLOOKUP(Calculations[[#This Row],[Material (choose from dropdown]],MaterialData[[#Headers],[#Data]],9,FALSE),0)</f>
        <v>0</v>
      </c>
      <c r="AK406" s="4">
        <f>IFERROR(VLOOKUP(Calculations[[#This Row],[Material (choose from dropdown]],MaterialData[[#Headers],[#Data]],10,FALSE),0)</f>
        <v>0</v>
      </c>
      <c r="AL406" s="322">
        <f>IFERROR(Calculations[[#This Row],[Data Quality Score]]*Calculations[[#This Row],[Total Kg]],0)</f>
        <v>0</v>
      </c>
    </row>
    <row r="407" spans="1:38" x14ac:dyDescent="0.3">
      <c r="A407" s="6">
        <f>IFERROR(MaterialsBoQ[[#This Row],[Scope Element]],0)</f>
        <v>0</v>
      </c>
      <c r="B407" t="str">
        <f>IFERROR(MaterialsBoQ[[#This Row],[Material ]],"")</f>
        <v/>
      </c>
      <c r="C407" t="str">
        <f>IFERROR(MaterialsBoQ[[#This Row],[Unit]],"")</f>
        <v/>
      </c>
      <c r="D407" s="322">
        <f>IFERROR(MaterialsBoQ[[#This Row],[Number]],0)</f>
        <v>0</v>
      </c>
      <c r="E407" s="322">
        <f>IFERROR(MaterialsBoQ[[#This Row],[Kg per unit]],0)</f>
        <v>0</v>
      </c>
      <c r="F407" s="322">
        <f>IFERROR(Calculations[[#This Row],[Number]]*Calculations[[#This Row],[Conversion factor]],0)</f>
        <v>0</v>
      </c>
      <c r="G407" s="322">
        <f>IFERROR(VLOOKUP(Calculations[[#This Row],[Material (choose from dropdown]],MaterialData[#All],7,FALSE),0)</f>
        <v>0</v>
      </c>
      <c r="H407" s="322">
        <f>Calculations[[#This Row],[Total Kg]]*Calculations[[#This Row],[Carbon Factor]]</f>
        <v>0</v>
      </c>
      <c r="I407" t="str">
        <f>IFERROR(VLOOKUP(Calculations[[#This Row],[Material (choose from dropdown]],MaterialData[#All],2,FALSE),"")</f>
        <v/>
      </c>
      <c r="J407" s="322">
        <f>IFERROR(((VLOOKUP(Calculations[[#This Row],[TransportSource]],TransportDistance[],2,FALSE)*'Stage assumptions'!$C$11)+VLOOKUP(Calculations[[#This Row],[TransportSource]],TransportDistance[],3,FALSE)*'Stage assumptions'!$C$12)*Calculations[[#This Row],[Total Kg]],0)</f>
        <v>0</v>
      </c>
      <c r="K407">
        <f>IFERROR(VLOOKUP(Calculations[[#This Row],[Material (choose from dropdown]], MaterialData[#All],3, FALSE),0)</f>
        <v>0</v>
      </c>
      <c r="L407" s="322">
        <f>IFERROR(VLOOKUP(Calculations[[#This Row],[A5type]],A5WastageRate[#All],2,FALSE)*Calculations[[#This Row],[A1-3]],0)</f>
        <v>0</v>
      </c>
      <c r="N407">
        <f>IFERROR(ROUNDUP(50/VLOOKUP(Calculations[[#This Row],[Scope Element]],B4referenceServiceLife[[Tier 2 element]:[Default Service Life]],2, FALSE)-1,0),0)</f>
        <v>0</v>
      </c>
      <c r="O407" s="322">
        <f>IFERROR((Calculations[[#This Row],[A1-3]]+Calculations[[#This Row],[A4]]+Calculations[[#This Row],[A5]]+Calculations[[#This Row],[C2 total]]+Calculations[[#This Row],[C3 total]]+Calculations[[#This Row],[C4 total]])*Calculations[[#This Row],[Replacements]],0)</f>
        <v>0</v>
      </c>
      <c r="S407" t="str">
        <f>IFERROR(VLOOKUP(Calculations[[#This Row],[Material (choose from dropdown]],MaterialData[#All],4,FALSE),"")</f>
        <v/>
      </c>
      <c r="T407" s="322" cm="1">
        <f t="array" ref="T407">IFERROR(VLOOKUP(Calculations[[#This Row],[Waste 1]],WasteScenario[#All],2,FALSE)*'Stage assumptions'!$C$225*WasteTransportMethod[Emissions Factor
kgCO2e/kg.km]*Calculations[[#This Row],[Total Kg]],0)</f>
        <v>0</v>
      </c>
      <c r="U407" s="322" cm="1">
        <f t="array" ref="U407">IFERROR(VLOOKUP(Calculations[[#This Row],[Waste 1]],WasteScenario[#All],3,FALSE)*'Stage assumptions'!$C$224*WasteTransportMethod[Emissions Factor
kgCO2e/kg.km]*Calculations[[#This Row],[Total Kg]],0)</f>
        <v>0</v>
      </c>
      <c r="V407" s="322" cm="1">
        <f t="array" ref="V407">IFERROR(VLOOKUP(Calculations[[#This Row],[Waste 1]],WasteScenario[#All],4,FALSE)*'Stage assumptions'!$C$223*WasteTransportMethod[Emissions Factor
kgCO2e/kg.km]*Calculations[[#This Row],[Total Kg]],0)</f>
        <v>0</v>
      </c>
      <c r="W407" s="322" cm="1">
        <f t="array" ref="W407">IFERROR(VLOOKUP(Calculations[[#This Row],[Waste 1]],WasteScenario[#All],5,FALSE)*'Stage assumptions'!$C$226*WasteTransportMethod[Emissions Factor
kgCO2e/kg.km]*Calculations[[#This Row],[Total Kg]],0)</f>
        <v>0</v>
      </c>
      <c r="X407" s="322">
        <f>SUM(Calculations[[#This Row],[C2 Recycle]:[C2 Reuse]])</f>
        <v>0</v>
      </c>
      <c r="Y407" t="str">
        <f>IFERROR(VLOOKUP(Calculations[[#This Row],[Material (choose from dropdown]],MaterialData[#All],5,FALSE),"")</f>
        <v/>
      </c>
      <c r="Z407" s="322">
        <f>IFERROR(((VLOOKUP(Calculations[[#This Row],[Waste type 2]],WasteDisposalEmissions[#All],2,FALSE))*Calculations[[#This Row],[Total Kg]])*VLOOKUP(Calculations[[#This Row],[Waste 1]],WasteScenario[#All],2,FALSE),0)</f>
        <v>0</v>
      </c>
      <c r="AA407" s="322">
        <f>IFERROR((VLOOKUP(Calculations[[#This Row],[Waste type 2]],WasteDisposalEmissions[#All],3,FALSE))*Calculations[[#This Row],[Total Kg]]*VLOOKUP(Calculations[[#This Row],[Waste 1]],WasteScenario[#All],3,FALSE),0)</f>
        <v>0</v>
      </c>
      <c r="AB407" s="322">
        <f>SUM(Calculations[[#This Row],[C3 recyc]:[C3 incin]])</f>
        <v>0</v>
      </c>
      <c r="AC407" s="334">
        <f>IFERROR((VLOOKUP(Calculations[[#This Row],[Waste type 2]],WasteLandfillEmissions[#All],2,FALSE))*Calculations[[#This Row],[Total Kg]]*VLOOKUP(Calculations[[#This Row],[Waste 1]],WasteScenario[#All],4,FALSE),0)</f>
        <v>0</v>
      </c>
      <c r="AD407" s="322">
        <f>IFERROR((VLOOKUP(Calculations[[#This Row],[Waste type 2]],WasteLandfillEmissions[#All],3,FALSE))*Calculations[[#This Row],[Total Kg]]*VLOOKUP(Calculations[[#This Row],[Waste 1]],WasteScenario[#All],4,FALSE),0)</f>
        <v>0</v>
      </c>
      <c r="AE407" s="322">
        <f>SUM(Calculations[[#This Row],[C4 landfill]:[C4 re-use]])</f>
        <v>0</v>
      </c>
      <c r="AF407" s="322">
        <f>IFERROR(VLOOKUP(Calculations[[#This Row],[Material (choose from dropdown]],MaterialData[#All],8,FALSE),0)</f>
        <v>0</v>
      </c>
      <c r="AG407" s="322">
        <f>IFERROR(Calculations[[#This Row],[Total Kg]]*Calculations[[#This Row],[Seq factor]],0)</f>
        <v>0</v>
      </c>
      <c r="AI407" s="322">
        <f>Calculations[[#This Row],[A1-3]]+Calculations[[#This Row],[A4]]+Calculations[[#This Row],[A5]]+Calculations[[#This Row],[B4]]+Calculations[[#This Row],[C2 total]]+Calculations[[#This Row],[C3 total]]+Calculations[[#This Row],[C4 total]]</f>
        <v>0</v>
      </c>
      <c r="AJ407" s="2">
        <f>IFERROR(VLOOKUP(Calculations[[#This Row],[Material (choose from dropdown]],MaterialData[[#Headers],[#Data]],9,FALSE),0)</f>
        <v>0</v>
      </c>
      <c r="AK407" s="4">
        <f>IFERROR(VLOOKUP(Calculations[[#This Row],[Material (choose from dropdown]],MaterialData[[#Headers],[#Data]],10,FALSE),0)</f>
        <v>0</v>
      </c>
      <c r="AL407" s="322">
        <f>IFERROR(Calculations[[#This Row],[Data Quality Score]]*Calculations[[#This Row],[Total Kg]],0)</f>
        <v>0</v>
      </c>
    </row>
    <row r="408" spans="1:38" x14ac:dyDescent="0.3">
      <c r="A408" s="6">
        <f>IFERROR(MaterialsBoQ[[#This Row],[Scope Element]],0)</f>
        <v>0</v>
      </c>
      <c r="B408" t="str">
        <f>IFERROR(MaterialsBoQ[[#This Row],[Material ]],"")</f>
        <v/>
      </c>
      <c r="C408" t="str">
        <f>IFERROR(MaterialsBoQ[[#This Row],[Unit]],"")</f>
        <v/>
      </c>
      <c r="D408" s="322">
        <f>IFERROR(MaterialsBoQ[[#This Row],[Number]],0)</f>
        <v>0</v>
      </c>
      <c r="E408" s="322">
        <f>IFERROR(MaterialsBoQ[[#This Row],[Kg per unit]],0)</f>
        <v>0</v>
      </c>
      <c r="F408" s="322">
        <f>IFERROR(Calculations[[#This Row],[Number]]*Calculations[[#This Row],[Conversion factor]],0)</f>
        <v>0</v>
      </c>
      <c r="G408" s="322">
        <f>IFERROR(VLOOKUP(Calculations[[#This Row],[Material (choose from dropdown]],MaterialData[#All],7,FALSE),0)</f>
        <v>0</v>
      </c>
      <c r="H408" s="322">
        <f>Calculations[[#This Row],[Total Kg]]*Calculations[[#This Row],[Carbon Factor]]</f>
        <v>0</v>
      </c>
      <c r="I408" t="str">
        <f>IFERROR(VLOOKUP(Calculations[[#This Row],[Material (choose from dropdown]],MaterialData[#All],2,FALSE),"")</f>
        <v/>
      </c>
      <c r="J408" s="322">
        <f>IFERROR(((VLOOKUP(Calculations[[#This Row],[TransportSource]],TransportDistance[],2,FALSE)*'Stage assumptions'!$C$11)+VLOOKUP(Calculations[[#This Row],[TransportSource]],TransportDistance[],3,FALSE)*'Stage assumptions'!$C$12)*Calculations[[#This Row],[Total Kg]],0)</f>
        <v>0</v>
      </c>
      <c r="K408">
        <f>IFERROR(VLOOKUP(Calculations[[#This Row],[Material (choose from dropdown]], MaterialData[#All],3, FALSE),0)</f>
        <v>0</v>
      </c>
      <c r="L408" s="322">
        <f>IFERROR(VLOOKUP(Calculations[[#This Row],[A5type]],A5WastageRate[#All],2,FALSE)*Calculations[[#This Row],[A1-3]],0)</f>
        <v>0</v>
      </c>
      <c r="N408">
        <f>IFERROR(ROUNDUP(50/VLOOKUP(Calculations[[#This Row],[Scope Element]],B4referenceServiceLife[[Tier 2 element]:[Default Service Life]],2, FALSE)-1,0),0)</f>
        <v>0</v>
      </c>
      <c r="O408" s="322">
        <f>IFERROR((Calculations[[#This Row],[A1-3]]+Calculations[[#This Row],[A4]]+Calculations[[#This Row],[A5]]+Calculations[[#This Row],[C2 total]]+Calculations[[#This Row],[C3 total]]+Calculations[[#This Row],[C4 total]])*Calculations[[#This Row],[Replacements]],0)</f>
        <v>0</v>
      </c>
      <c r="S408" t="str">
        <f>IFERROR(VLOOKUP(Calculations[[#This Row],[Material (choose from dropdown]],MaterialData[#All],4,FALSE),"")</f>
        <v/>
      </c>
      <c r="T408" s="322" cm="1">
        <f t="array" ref="T408">IFERROR(VLOOKUP(Calculations[[#This Row],[Waste 1]],WasteScenario[#All],2,FALSE)*'Stage assumptions'!$C$225*WasteTransportMethod[Emissions Factor
kgCO2e/kg.km]*Calculations[[#This Row],[Total Kg]],0)</f>
        <v>0</v>
      </c>
      <c r="U408" s="322" cm="1">
        <f t="array" ref="U408">IFERROR(VLOOKUP(Calculations[[#This Row],[Waste 1]],WasteScenario[#All],3,FALSE)*'Stage assumptions'!$C$224*WasteTransportMethod[Emissions Factor
kgCO2e/kg.km]*Calculations[[#This Row],[Total Kg]],0)</f>
        <v>0</v>
      </c>
      <c r="V408" s="322" cm="1">
        <f t="array" ref="V408">IFERROR(VLOOKUP(Calculations[[#This Row],[Waste 1]],WasteScenario[#All],4,FALSE)*'Stage assumptions'!$C$223*WasteTransportMethod[Emissions Factor
kgCO2e/kg.km]*Calculations[[#This Row],[Total Kg]],0)</f>
        <v>0</v>
      </c>
      <c r="W408" s="322" cm="1">
        <f t="array" ref="W408">IFERROR(VLOOKUP(Calculations[[#This Row],[Waste 1]],WasteScenario[#All],5,FALSE)*'Stage assumptions'!$C$226*WasteTransportMethod[Emissions Factor
kgCO2e/kg.km]*Calculations[[#This Row],[Total Kg]],0)</f>
        <v>0</v>
      </c>
      <c r="X408" s="322">
        <f>SUM(Calculations[[#This Row],[C2 Recycle]:[C2 Reuse]])</f>
        <v>0</v>
      </c>
      <c r="Y408" t="str">
        <f>IFERROR(VLOOKUP(Calculations[[#This Row],[Material (choose from dropdown]],MaterialData[#All],5,FALSE),"")</f>
        <v/>
      </c>
      <c r="Z408" s="322">
        <f>IFERROR(((VLOOKUP(Calculations[[#This Row],[Waste type 2]],WasteDisposalEmissions[#All],2,FALSE))*Calculations[[#This Row],[Total Kg]])*VLOOKUP(Calculations[[#This Row],[Waste 1]],WasteScenario[#All],2,FALSE),0)</f>
        <v>0</v>
      </c>
      <c r="AA408" s="322">
        <f>IFERROR((VLOOKUP(Calculations[[#This Row],[Waste type 2]],WasteDisposalEmissions[#All],3,FALSE))*Calculations[[#This Row],[Total Kg]]*VLOOKUP(Calculations[[#This Row],[Waste 1]],WasteScenario[#All],3,FALSE),0)</f>
        <v>0</v>
      </c>
      <c r="AB408" s="322">
        <f>SUM(Calculations[[#This Row],[C3 recyc]:[C3 incin]])</f>
        <v>0</v>
      </c>
      <c r="AC408" s="334">
        <f>IFERROR((VLOOKUP(Calculations[[#This Row],[Waste type 2]],WasteLandfillEmissions[#All],2,FALSE))*Calculations[[#This Row],[Total Kg]]*VLOOKUP(Calculations[[#This Row],[Waste 1]],WasteScenario[#All],4,FALSE),0)</f>
        <v>0</v>
      </c>
      <c r="AD408" s="322">
        <f>IFERROR((VLOOKUP(Calculations[[#This Row],[Waste type 2]],WasteLandfillEmissions[#All],3,FALSE))*Calculations[[#This Row],[Total Kg]]*VLOOKUP(Calculations[[#This Row],[Waste 1]],WasteScenario[#All],4,FALSE),0)</f>
        <v>0</v>
      </c>
      <c r="AE408" s="322">
        <f>SUM(Calculations[[#This Row],[C4 landfill]:[C4 re-use]])</f>
        <v>0</v>
      </c>
      <c r="AF408" s="322">
        <f>IFERROR(VLOOKUP(Calculations[[#This Row],[Material (choose from dropdown]],MaterialData[#All],8,FALSE),0)</f>
        <v>0</v>
      </c>
      <c r="AG408" s="322">
        <f>IFERROR(Calculations[[#This Row],[Total Kg]]*Calculations[[#This Row],[Seq factor]],0)</f>
        <v>0</v>
      </c>
      <c r="AI408" s="322">
        <f>Calculations[[#This Row],[A1-3]]+Calculations[[#This Row],[A4]]+Calculations[[#This Row],[A5]]+Calculations[[#This Row],[B4]]+Calculations[[#This Row],[C2 total]]+Calculations[[#This Row],[C3 total]]+Calculations[[#This Row],[C4 total]]</f>
        <v>0</v>
      </c>
      <c r="AJ408" s="2">
        <f>IFERROR(VLOOKUP(Calculations[[#This Row],[Material (choose from dropdown]],MaterialData[[#Headers],[#Data]],9,FALSE),0)</f>
        <v>0</v>
      </c>
      <c r="AK408" s="4">
        <f>IFERROR(VLOOKUP(Calculations[[#This Row],[Material (choose from dropdown]],MaterialData[[#Headers],[#Data]],10,FALSE),0)</f>
        <v>0</v>
      </c>
      <c r="AL408" s="322">
        <f>IFERROR(Calculations[[#This Row],[Data Quality Score]]*Calculations[[#This Row],[Total Kg]],0)</f>
        <v>0</v>
      </c>
    </row>
    <row r="409" spans="1:38" x14ac:dyDescent="0.3">
      <c r="A409" s="6">
        <f>IFERROR(MaterialsBoQ[[#This Row],[Scope Element]],0)</f>
        <v>0</v>
      </c>
      <c r="B409" t="str">
        <f>IFERROR(MaterialsBoQ[[#This Row],[Material ]],"")</f>
        <v/>
      </c>
      <c r="C409" t="str">
        <f>IFERROR(MaterialsBoQ[[#This Row],[Unit]],"")</f>
        <v/>
      </c>
      <c r="D409" s="322">
        <f>IFERROR(MaterialsBoQ[[#This Row],[Number]],0)</f>
        <v>0</v>
      </c>
      <c r="E409" s="322">
        <f>IFERROR(MaterialsBoQ[[#This Row],[Kg per unit]],0)</f>
        <v>0</v>
      </c>
      <c r="F409" s="322">
        <f>IFERROR(Calculations[[#This Row],[Number]]*Calculations[[#This Row],[Conversion factor]],0)</f>
        <v>0</v>
      </c>
      <c r="G409" s="322">
        <f>IFERROR(VLOOKUP(Calculations[[#This Row],[Material (choose from dropdown]],MaterialData[#All],7,FALSE),0)</f>
        <v>0</v>
      </c>
      <c r="H409" s="322">
        <f>Calculations[[#This Row],[Total Kg]]*Calculations[[#This Row],[Carbon Factor]]</f>
        <v>0</v>
      </c>
      <c r="I409" t="str">
        <f>IFERROR(VLOOKUP(Calculations[[#This Row],[Material (choose from dropdown]],MaterialData[#All],2,FALSE),"")</f>
        <v/>
      </c>
      <c r="J409" s="322">
        <f>IFERROR(((VLOOKUP(Calculations[[#This Row],[TransportSource]],TransportDistance[],2,FALSE)*'Stage assumptions'!$C$11)+VLOOKUP(Calculations[[#This Row],[TransportSource]],TransportDistance[],3,FALSE)*'Stage assumptions'!$C$12)*Calculations[[#This Row],[Total Kg]],0)</f>
        <v>0</v>
      </c>
      <c r="K409">
        <f>IFERROR(VLOOKUP(Calculations[[#This Row],[Material (choose from dropdown]], MaterialData[#All],3, FALSE),0)</f>
        <v>0</v>
      </c>
      <c r="L409" s="322">
        <f>IFERROR(VLOOKUP(Calculations[[#This Row],[A5type]],A5WastageRate[#All],2,FALSE)*Calculations[[#This Row],[A1-3]],0)</f>
        <v>0</v>
      </c>
      <c r="N409">
        <f>IFERROR(ROUNDUP(50/VLOOKUP(Calculations[[#This Row],[Scope Element]],B4referenceServiceLife[[Tier 2 element]:[Default Service Life]],2, FALSE)-1,0),0)</f>
        <v>0</v>
      </c>
      <c r="O409" s="322">
        <f>IFERROR((Calculations[[#This Row],[A1-3]]+Calculations[[#This Row],[A4]]+Calculations[[#This Row],[A5]]+Calculations[[#This Row],[C2 total]]+Calculations[[#This Row],[C3 total]]+Calculations[[#This Row],[C4 total]])*Calculations[[#This Row],[Replacements]],0)</f>
        <v>0</v>
      </c>
      <c r="S409" t="str">
        <f>IFERROR(VLOOKUP(Calculations[[#This Row],[Material (choose from dropdown]],MaterialData[#All],4,FALSE),"")</f>
        <v/>
      </c>
      <c r="T409" s="322" cm="1">
        <f t="array" ref="T409">IFERROR(VLOOKUP(Calculations[[#This Row],[Waste 1]],WasteScenario[#All],2,FALSE)*'Stage assumptions'!$C$225*WasteTransportMethod[Emissions Factor
kgCO2e/kg.km]*Calculations[[#This Row],[Total Kg]],0)</f>
        <v>0</v>
      </c>
      <c r="U409" s="322" cm="1">
        <f t="array" ref="U409">IFERROR(VLOOKUP(Calculations[[#This Row],[Waste 1]],WasteScenario[#All],3,FALSE)*'Stage assumptions'!$C$224*WasteTransportMethod[Emissions Factor
kgCO2e/kg.km]*Calculations[[#This Row],[Total Kg]],0)</f>
        <v>0</v>
      </c>
      <c r="V409" s="322" cm="1">
        <f t="array" ref="V409">IFERROR(VLOOKUP(Calculations[[#This Row],[Waste 1]],WasteScenario[#All],4,FALSE)*'Stage assumptions'!$C$223*WasteTransportMethod[Emissions Factor
kgCO2e/kg.km]*Calculations[[#This Row],[Total Kg]],0)</f>
        <v>0</v>
      </c>
      <c r="W409" s="322" cm="1">
        <f t="array" ref="W409">IFERROR(VLOOKUP(Calculations[[#This Row],[Waste 1]],WasteScenario[#All],5,FALSE)*'Stage assumptions'!$C$226*WasteTransportMethod[Emissions Factor
kgCO2e/kg.km]*Calculations[[#This Row],[Total Kg]],0)</f>
        <v>0</v>
      </c>
      <c r="X409" s="322">
        <f>SUM(Calculations[[#This Row],[C2 Recycle]:[C2 Reuse]])</f>
        <v>0</v>
      </c>
      <c r="Y409" t="str">
        <f>IFERROR(VLOOKUP(Calculations[[#This Row],[Material (choose from dropdown]],MaterialData[#All],5,FALSE),"")</f>
        <v/>
      </c>
      <c r="Z409" s="322">
        <f>IFERROR(((VLOOKUP(Calculations[[#This Row],[Waste type 2]],WasteDisposalEmissions[#All],2,FALSE))*Calculations[[#This Row],[Total Kg]])*VLOOKUP(Calculations[[#This Row],[Waste 1]],WasteScenario[#All],2,FALSE),0)</f>
        <v>0</v>
      </c>
      <c r="AA409" s="322">
        <f>IFERROR((VLOOKUP(Calculations[[#This Row],[Waste type 2]],WasteDisposalEmissions[#All],3,FALSE))*Calculations[[#This Row],[Total Kg]]*VLOOKUP(Calculations[[#This Row],[Waste 1]],WasteScenario[#All],3,FALSE),0)</f>
        <v>0</v>
      </c>
      <c r="AB409" s="322">
        <f>SUM(Calculations[[#This Row],[C3 recyc]:[C3 incin]])</f>
        <v>0</v>
      </c>
      <c r="AC409" s="334">
        <f>IFERROR((VLOOKUP(Calculations[[#This Row],[Waste type 2]],WasteLandfillEmissions[#All],2,FALSE))*Calculations[[#This Row],[Total Kg]]*VLOOKUP(Calculations[[#This Row],[Waste 1]],WasteScenario[#All],4,FALSE),0)</f>
        <v>0</v>
      </c>
      <c r="AD409" s="322">
        <f>IFERROR((VLOOKUP(Calculations[[#This Row],[Waste type 2]],WasteLandfillEmissions[#All],3,FALSE))*Calculations[[#This Row],[Total Kg]]*VLOOKUP(Calculations[[#This Row],[Waste 1]],WasteScenario[#All],4,FALSE),0)</f>
        <v>0</v>
      </c>
      <c r="AE409" s="322">
        <f>SUM(Calculations[[#This Row],[C4 landfill]:[C4 re-use]])</f>
        <v>0</v>
      </c>
      <c r="AF409" s="322">
        <f>IFERROR(VLOOKUP(Calculations[[#This Row],[Material (choose from dropdown]],MaterialData[#All],8,FALSE),0)</f>
        <v>0</v>
      </c>
      <c r="AG409" s="322">
        <f>IFERROR(Calculations[[#This Row],[Total Kg]]*Calculations[[#This Row],[Seq factor]],0)</f>
        <v>0</v>
      </c>
      <c r="AI409" s="322">
        <f>Calculations[[#This Row],[A1-3]]+Calculations[[#This Row],[A4]]+Calculations[[#This Row],[A5]]+Calculations[[#This Row],[B4]]+Calculations[[#This Row],[C2 total]]+Calculations[[#This Row],[C3 total]]+Calculations[[#This Row],[C4 total]]</f>
        <v>0</v>
      </c>
      <c r="AJ409" s="2">
        <f>IFERROR(VLOOKUP(Calculations[[#This Row],[Material (choose from dropdown]],MaterialData[[#Headers],[#Data]],9,FALSE),0)</f>
        <v>0</v>
      </c>
      <c r="AK409" s="4">
        <f>IFERROR(VLOOKUP(Calculations[[#This Row],[Material (choose from dropdown]],MaterialData[[#Headers],[#Data]],10,FALSE),0)</f>
        <v>0</v>
      </c>
      <c r="AL409" s="322">
        <f>IFERROR(Calculations[[#This Row],[Data Quality Score]]*Calculations[[#This Row],[Total Kg]],0)</f>
        <v>0</v>
      </c>
    </row>
    <row r="410" spans="1:38" x14ac:dyDescent="0.3">
      <c r="A410" s="6">
        <f>IFERROR(MaterialsBoQ[[#This Row],[Scope Element]],0)</f>
        <v>0</v>
      </c>
      <c r="B410" t="str">
        <f>IFERROR(MaterialsBoQ[[#This Row],[Material ]],"")</f>
        <v/>
      </c>
      <c r="C410" t="str">
        <f>IFERROR(MaterialsBoQ[[#This Row],[Unit]],"")</f>
        <v/>
      </c>
      <c r="D410" s="322">
        <f>IFERROR(MaterialsBoQ[[#This Row],[Number]],0)</f>
        <v>0</v>
      </c>
      <c r="E410" s="322">
        <f>IFERROR(MaterialsBoQ[[#This Row],[Kg per unit]],0)</f>
        <v>0</v>
      </c>
      <c r="F410" s="322">
        <f>IFERROR(Calculations[[#This Row],[Number]]*Calculations[[#This Row],[Conversion factor]],0)</f>
        <v>0</v>
      </c>
      <c r="G410" s="322">
        <f>IFERROR(VLOOKUP(Calculations[[#This Row],[Material (choose from dropdown]],MaterialData[#All],7,FALSE),0)</f>
        <v>0</v>
      </c>
      <c r="H410" s="322">
        <f>Calculations[[#This Row],[Total Kg]]*Calculations[[#This Row],[Carbon Factor]]</f>
        <v>0</v>
      </c>
      <c r="I410" t="str">
        <f>IFERROR(VLOOKUP(Calculations[[#This Row],[Material (choose from dropdown]],MaterialData[#All],2,FALSE),"")</f>
        <v/>
      </c>
      <c r="J410" s="322">
        <f>IFERROR(((VLOOKUP(Calculations[[#This Row],[TransportSource]],TransportDistance[],2,FALSE)*'Stage assumptions'!$C$11)+VLOOKUP(Calculations[[#This Row],[TransportSource]],TransportDistance[],3,FALSE)*'Stage assumptions'!$C$12)*Calculations[[#This Row],[Total Kg]],0)</f>
        <v>0</v>
      </c>
      <c r="K410">
        <f>IFERROR(VLOOKUP(Calculations[[#This Row],[Material (choose from dropdown]], MaterialData[#All],3, FALSE),0)</f>
        <v>0</v>
      </c>
      <c r="L410" s="322">
        <f>IFERROR(VLOOKUP(Calculations[[#This Row],[A5type]],A5WastageRate[#All],2,FALSE)*Calculations[[#This Row],[A1-3]],0)</f>
        <v>0</v>
      </c>
      <c r="N410">
        <f>IFERROR(ROUNDUP(50/VLOOKUP(Calculations[[#This Row],[Scope Element]],B4referenceServiceLife[[Tier 2 element]:[Default Service Life]],2, FALSE)-1,0),0)</f>
        <v>0</v>
      </c>
      <c r="O410" s="322">
        <f>IFERROR((Calculations[[#This Row],[A1-3]]+Calculations[[#This Row],[A4]]+Calculations[[#This Row],[A5]]+Calculations[[#This Row],[C2 total]]+Calculations[[#This Row],[C3 total]]+Calculations[[#This Row],[C4 total]])*Calculations[[#This Row],[Replacements]],0)</f>
        <v>0</v>
      </c>
      <c r="S410" t="str">
        <f>IFERROR(VLOOKUP(Calculations[[#This Row],[Material (choose from dropdown]],MaterialData[#All],4,FALSE),"")</f>
        <v/>
      </c>
      <c r="T410" s="322" cm="1">
        <f t="array" ref="T410">IFERROR(VLOOKUP(Calculations[[#This Row],[Waste 1]],WasteScenario[#All],2,FALSE)*'Stage assumptions'!$C$225*WasteTransportMethod[Emissions Factor
kgCO2e/kg.km]*Calculations[[#This Row],[Total Kg]],0)</f>
        <v>0</v>
      </c>
      <c r="U410" s="322" cm="1">
        <f t="array" ref="U410">IFERROR(VLOOKUP(Calculations[[#This Row],[Waste 1]],WasteScenario[#All],3,FALSE)*'Stage assumptions'!$C$224*WasteTransportMethod[Emissions Factor
kgCO2e/kg.km]*Calculations[[#This Row],[Total Kg]],0)</f>
        <v>0</v>
      </c>
      <c r="V410" s="322" cm="1">
        <f t="array" ref="V410">IFERROR(VLOOKUP(Calculations[[#This Row],[Waste 1]],WasteScenario[#All],4,FALSE)*'Stage assumptions'!$C$223*WasteTransportMethod[Emissions Factor
kgCO2e/kg.km]*Calculations[[#This Row],[Total Kg]],0)</f>
        <v>0</v>
      </c>
      <c r="W410" s="322" cm="1">
        <f t="array" ref="W410">IFERROR(VLOOKUP(Calculations[[#This Row],[Waste 1]],WasteScenario[#All],5,FALSE)*'Stage assumptions'!$C$226*WasteTransportMethod[Emissions Factor
kgCO2e/kg.km]*Calculations[[#This Row],[Total Kg]],0)</f>
        <v>0</v>
      </c>
      <c r="X410" s="322">
        <f>SUM(Calculations[[#This Row],[C2 Recycle]:[C2 Reuse]])</f>
        <v>0</v>
      </c>
      <c r="Y410" t="str">
        <f>IFERROR(VLOOKUP(Calculations[[#This Row],[Material (choose from dropdown]],MaterialData[#All],5,FALSE),"")</f>
        <v/>
      </c>
      <c r="Z410" s="322">
        <f>IFERROR(((VLOOKUP(Calculations[[#This Row],[Waste type 2]],WasteDisposalEmissions[#All],2,FALSE))*Calculations[[#This Row],[Total Kg]])*VLOOKUP(Calculations[[#This Row],[Waste 1]],WasteScenario[#All],2,FALSE),0)</f>
        <v>0</v>
      </c>
      <c r="AA410" s="322">
        <f>IFERROR((VLOOKUP(Calculations[[#This Row],[Waste type 2]],WasteDisposalEmissions[#All],3,FALSE))*Calculations[[#This Row],[Total Kg]]*VLOOKUP(Calculations[[#This Row],[Waste 1]],WasteScenario[#All],3,FALSE),0)</f>
        <v>0</v>
      </c>
      <c r="AB410" s="322">
        <f>SUM(Calculations[[#This Row],[C3 recyc]:[C3 incin]])</f>
        <v>0</v>
      </c>
      <c r="AC410" s="334">
        <f>IFERROR((VLOOKUP(Calculations[[#This Row],[Waste type 2]],WasteLandfillEmissions[#All],2,FALSE))*Calculations[[#This Row],[Total Kg]]*VLOOKUP(Calculations[[#This Row],[Waste 1]],WasteScenario[#All],4,FALSE),0)</f>
        <v>0</v>
      </c>
      <c r="AD410" s="322">
        <f>IFERROR((VLOOKUP(Calculations[[#This Row],[Waste type 2]],WasteLandfillEmissions[#All],3,FALSE))*Calculations[[#This Row],[Total Kg]]*VLOOKUP(Calculations[[#This Row],[Waste 1]],WasteScenario[#All],4,FALSE),0)</f>
        <v>0</v>
      </c>
      <c r="AE410" s="322">
        <f>SUM(Calculations[[#This Row],[C4 landfill]:[C4 re-use]])</f>
        <v>0</v>
      </c>
      <c r="AF410" s="322">
        <f>IFERROR(VLOOKUP(Calculations[[#This Row],[Material (choose from dropdown]],MaterialData[#All],8,FALSE),0)</f>
        <v>0</v>
      </c>
      <c r="AG410" s="322">
        <f>IFERROR(Calculations[[#This Row],[Total Kg]]*Calculations[[#This Row],[Seq factor]],0)</f>
        <v>0</v>
      </c>
      <c r="AI410" s="322">
        <f>Calculations[[#This Row],[A1-3]]+Calculations[[#This Row],[A4]]+Calculations[[#This Row],[A5]]+Calculations[[#This Row],[B4]]+Calculations[[#This Row],[C2 total]]+Calculations[[#This Row],[C3 total]]+Calculations[[#This Row],[C4 total]]</f>
        <v>0</v>
      </c>
      <c r="AJ410" s="2">
        <f>IFERROR(VLOOKUP(Calculations[[#This Row],[Material (choose from dropdown]],MaterialData[[#Headers],[#Data]],9,FALSE),0)</f>
        <v>0</v>
      </c>
      <c r="AK410" s="4">
        <f>IFERROR(VLOOKUP(Calculations[[#This Row],[Material (choose from dropdown]],MaterialData[[#Headers],[#Data]],10,FALSE),0)</f>
        <v>0</v>
      </c>
      <c r="AL410" s="322">
        <f>IFERROR(Calculations[[#This Row],[Data Quality Score]]*Calculations[[#This Row],[Total Kg]],0)</f>
        <v>0</v>
      </c>
    </row>
    <row r="411" spans="1:38" x14ac:dyDescent="0.3">
      <c r="A411" s="6">
        <f>IFERROR(MaterialsBoQ[[#This Row],[Scope Element]],0)</f>
        <v>0</v>
      </c>
      <c r="B411" t="str">
        <f>IFERROR(MaterialsBoQ[[#This Row],[Material ]],"")</f>
        <v/>
      </c>
      <c r="C411" t="str">
        <f>IFERROR(MaterialsBoQ[[#This Row],[Unit]],"")</f>
        <v/>
      </c>
      <c r="D411" s="322">
        <f>IFERROR(MaterialsBoQ[[#This Row],[Number]],0)</f>
        <v>0</v>
      </c>
      <c r="E411" s="322">
        <f>IFERROR(MaterialsBoQ[[#This Row],[Kg per unit]],0)</f>
        <v>0</v>
      </c>
      <c r="F411" s="322">
        <f>IFERROR(Calculations[[#This Row],[Number]]*Calculations[[#This Row],[Conversion factor]],0)</f>
        <v>0</v>
      </c>
      <c r="G411" s="322">
        <f>IFERROR(VLOOKUP(Calculations[[#This Row],[Material (choose from dropdown]],MaterialData[#All],7,FALSE),0)</f>
        <v>0</v>
      </c>
      <c r="H411" s="322">
        <f>Calculations[[#This Row],[Total Kg]]*Calculations[[#This Row],[Carbon Factor]]</f>
        <v>0</v>
      </c>
      <c r="I411" t="str">
        <f>IFERROR(VLOOKUP(Calculations[[#This Row],[Material (choose from dropdown]],MaterialData[#All],2,FALSE),"")</f>
        <v/>
      </c>
      <c r="J411" s="322">
        <f>IFERROR(((VLOOKUP(Calculations[[#This Row],[TransportSource]],TransportDistance[],2,FALSE)*'Stage assumptions'!$C$11)+VLOOKUP(Calculations[[#This Row],[TransportSource]],TransportDistance[],3,FALSE)*'Stage assumptions'!$C$12)*Calculations[[#This Row],[Total Kg]],0)</f>
        <v>0</v>
      </c>
      <c r="K411">
        <f>IFERROR(VLOOKUP(Calculations[[#This Row],[Material (choose from dropdown]], MaterialData[#All],3, FALSE),0)</f>
        <v>0</v>
      </c>
      <c r="L411" s="322">
        <f>IFERROR(VLOOKUP(Calculations[[#This Row],[A5type]],A5WastageRate[#All],2,FALSE)*Calculations[[#This Row],[A1-3]],0)</f>
        <v>0</v>
      </c>
      <c r="N411">
        <f>IFERROR(ROUNDUP(50/VLOOKUP(Calculations[[#This Row],[Scope Element]],B4referenceServiceLife[[Tier 2 element]:[Default Service Life]],2, FALSE)-1,0),0)</f>
        <v>0</v>
      </c>
      <c r="O411" s="322">
        <f>IFERROR((Calculations[[#This Row],[A1-3]]+Calculations[[#This Row],[A4]]+Calculations[[#This Row],[A5]]+Calculations[[#This Row],[C2 total]]+Calculations[[#This Row],[C3 total]]+Calculations[[#This Row],[C4 total]])*Calculations[[#This Row],[Replacements]],0)</f>
        <v>0</v>
      </c>
      <c r="S411" t="str">
        <f>IFERROR(VLOOKUP(Calculations[[#This Row],[Material (choose from dropdown]],MaterialData[#All],4,FALSE),"")</f>
        <v/>
      </c>
      <c r="T411" s="322" cm="1">
        <f t="array" ref="T411">IFERROR(VLOOKUP(Calculations[[#This Row],[Waste 1]],WasteScenario[#All],2,FALSE)*'Stage assumptions'!$C$225*WasteTransportMethod[Emissions Factor
kgCO2e/kg.km]*Calculations[[#This Row],[Total Kg]],0)</f>
        <v>0</v>
      </c>
      <c r="U411" s="322" cm="1">
        <f t="array" ref="U411">IFERROR(VLOOKUP(Calculations[[#This Row],[Waste 1]],WasteScenario[#All],3,FALSE)*'Stage assumptions'!$C$224*WasteTransportMethod[Emissions Factor
kgCO2e/kg.km]*Calculations[[#This Row],[Total Kg]],0)</f>
        <v>0</v>
      </c>
      <c r="V411" s="322" cm="1">
        <f t="array" ref="V411">IFERROR(VLOOKUP(Calculations[[#This Row],[Waste 1]],WasteScenario[#All],4,FALSE)*'Stage assumptions'!$C$223*WasteTransportMethod[Emissions Factor
kgCO2e/kg.km]*Calculations[[#This Row],[Total Kg]],0)</f>
        <v>0</v>
      </c>
      <c r="W411" s="322" cm="1">
        <f t="array" ref="W411">IFERROR(VLOOKUP(Calculations[[#This Row],[Waste 1]],WasteScenario[#All],5,FALSE)*'Stage assumptions'!$C$226*WasteTransportMethod[Emissions Factor
kgCO2e/kg.km]*Calculations[[#This Row],[Total Kg]],0)</f>
        <v>0</v>
      </c>
      <c r="X411" s="322">
        <f>SUM(Calculations[[#This Row],[C2 Recycle]:[C2 Reuse]])</f>
        <v>0</v>
      </c>
      <c r="Y411" t="str">
        <f>IFERROR(VLOOKUP(Calculations[[#This Row],[Material (choose from dropdown]],MaterialData[#All],5,FALSE),"")</f>
        <v/>
      </c>
      <c r="Z411" s="322">
        <f>IFERROR(((VLOOKUP(Calculations[[#This Row],[Waste type 2]],WasteDisposalEmissions[#All],2,FALSE))*Calculations[[#This Row],[Total Kg]])*VLOOKUP(Calculations[[#This Row],[Waste 1]],WasteScenario[#All],2,FALSE),0)</f>
        <v>0</v>
      </c>
      <c r="AA411" s="322">
        <f>IFERROR((VLOOKUP(Calculations[[#This Row],[Waste type 2]],WasteDisposalEmissions[#All],3,FALSE))*Calculations[[#This Row],[Total Kg]]*VLOOKUP(Calculations[[#This Row],[Waste 1]],WasteScenario[#All],3,FALSE),0)</f>
        <v>0</v>
      </c>
      <c r="AB411" s="322">
        <f>SUM(Calculations[[#This Row],[C3 recyc]:[C3 incin]])</f>
        <v>0</v>
      </c>
      <c r="AC411" s="334">
        <f>IFERROR((VLOOKUP(Calculations[[#This Row],[Waste type 2]],WasteLandfillEmissions[#All],2,FALSE))*Calculations[[#This Row],[Total Kg]]*VLOOKUP(Calculations[[#This Row],[Waste 1]],WasteScenario[#All],4,FALSE),0)</f>
        <v>0</v>
      </c>
      <c r="AD411" s="322">
        <f>IFERROR((VLOOKUP(Calculations[[#This Row],[Waste type 2]],WasteLandfillEmissions[#All],3,FALSE))*Calculations[[#This Row],[Total Kg]]*VLOOKUP(Calculations[[#This Row],[Waste 1]],WasteScenario[#All],4,FALSE),0)</f>
        <v>0</v>
      </c>
      <c r="AE411" s="322">
        <f>SUM(Calculations[[#This Row],[C4 landfill]:[C4 re-use]])</f>
        <v>0</v>
      </c>
      <c r="AF411" s="322">
        <f>IFERROR(VLOOKUP(Calculations[[#This Row],[Material (choose from dropdown]],MaterialData[#All],8,FALSE),0)</f>
        <v>0</v>
      </c>
      <c r="AG411" s="322">
        <f>IFERROR(Calculations[[#This Row],[Total Kg]]*Calculations[[#This Row],[Seq factor]],0)</f>
        <v>0</v>
      </c>
      <c r="AI411" s="322">
        <f>Calculations[[#This Row],[A1-3]]+Calculations[[#This Row],[A4]]+Calculations[[#This Row],[A5]]+Calculations[[#This Row],[B4]]+Calculations[[#This Row],[C2 total]]+Calculations[[#This Row],[C3 total]]+Calculations[[#This Row],[C4 total]]</f>
        <v>0</v>
      </c>
      <c r="AJ411" s="2">
        <f>IFERROR(VLOOKUP(Calculations[[#This Row],[Material (choose from dropdown]],MaterialData[[#Headers],[#Data]],9,FALSE),0)</f>
        <v>0</v>
      </c>
      <c r="AK411" s="4">
        <f>IFERROR(VLOOKUP(Calculations[[#This Row],[Material (choose from dropdown]],MaterialData[[#Headers],[#Data]],10,FALSE),0)</f>
        <v>0</v>
      </c>
      <c r="AL411" s="322">
        <f>IFERROR(Calculations[[#This Row],[Data Quality Score]]*Calculations[[#This Row],[Total Kg]],0)</f>
        <v>0</v>
      </c>
    </row>
    <row r="412" spans="1:38" x14ac:dyDescent="0.3">
      <c r="A412" s="6">
        <f>IFERROR(MaterialsBoQ[[#This Row],[Scope Element]],0)</f>
        <v>0</v>
      </c>
      <c r="B412" t="str">
        <f>IFERROR(MaterialsBoQ[[#This Row],[Material ]],"")</f>
        <v/>
      </c>
      <c r="C412" t="str">
        <f>IFERROR(MaterialsBoQ[[#This Row],[Unit]],"")</f>
        <v/>
      </c>
      <c r="D412" s="322">
        <f>IFERROR(MaterialsBoQ[[#This Row],[Number]],0)</f>
        <v>0</v>
      </c>
      <c r="E412" s="322">
        <f>IFERROR(MaterialsBoQ[[#This Row],[Kg per unit]],0)</f>
        <v>0</v>
      </c>
      <c r="F412" s="322">
        <f>IFERROR(Calculations[[#This Row],[Number]]*Calculations[[#This Row],[Conversion factor]],0)</f>
        <v>0</v>
      </c>
      <c r="G412" s="322">
        <f>IFERROR(VLOOKUP(Calculations[[#This Row],[Material (choose from dropdown]],MaterialData[#All],7,FALSE),0)</f>
        <v>0</v>
      </c>
      <c r="H412" s="322">
        <f>Calculations[[#This Row],[Total Kg]]*Calculations[[#This Row],[Carbon Factor]]</f>
        <v>0</v>
      </c>
      <c r="I412" t="str">
        <f>IFERROR(VLOOKUP(Calculations[[#This Row],[Material (choose from dropdown]],MaterialData[#All],2,FALSE),"")</f>
        <v/>
      </c>
      <c r="J412" s="322">
        <f>IFERROR(((VLOOKUP(Calculations[[#This Row],[TransportSource]],TransportDistance[],2,FALSE)*'Stage assumptions'!$C$11)+VLOOKUP(Calculations[[#This Row],[TransportSource]],TransportDistance[],3,FALSE)*'Stage assumptions'!$C$12)*Calculations[[#This Row],[Total Kg]],0)</f>
        <v>0</v>
      </c>
      <c r="K412">
        <f>IFERROR(VLOOKUP(Calculations[[#This Row],[Material (choose from dropdown]], MaterialData[#All],3, FALSE),0)</f>
        <v>0</v>
      </c>
      <c r="L412" s="322">
        <f>IFERROR(VLOOKUP(Calculations[[#This Row],[A5type]],A5WastageRate[#All],2,FALSE)*Calculations[[#This Row],[A1-3]],0)</f>
        <v>0</v>
      </c>
      <c r="N412">
        <f>IFERROR(ROUNDUP(50/VLOOKUP(Calculations[[#This Row],[Scope Element]],B4referenceServiceLife[[Tier 2 element]:[Default Service Life]],2, FALSE)-1,0),0)</f>
        <v>0</v>
      </c>
      <c r="O412" s="322">
        <f>IFERROR((Calculations[[#This Row],[A1-3]]+Calculations[[#This Row],[A4]]+Calculations[[#This Row],[A5]]+Calculations[[#This Row],[C2 total]]+Calculations[[#This Row],[C3 total]]+Calculations[[#This Row],[C4 total]])*Calculations[[#This Row],[Replacements]],0)</f>
        <v>0</v>
      </c>
      <c r="S412" t="str">
        <f>IFERROR(VLOOKUP(Calculations[[#This Row],[Material (choose from dropdown]],MaterialData[#All],4,FALSE),"")</f>
        <v/>
      </c>
      <c r="T412" s="322" cm="1">
        <f t="array" ref="T412">IFERROR(VLOOKUP(Calculations[[#This Row],[Waste 1]],WasteScenario[#All],2,FALSE)*'Stage assumptions'!$C$225*WasteTransportMethod[Emissions Factor
kgCO2e/kg.km]*Calculations[[#This Row],[Total Kg]],0)</f>
        <v>0</v>
      </c>
      <c r="U412" s="322" cm="1">
        <f t="array" ref="U412">IFERROR(VLOOKUP(Calculations[[#This Row],[Waste 1]],WasteScenario[#All],3,FALSE)*'Stage assumptions'!$C$224*WasteTransportMethod[Emissions Factor
kgCO2e/kg.km]*Calculations[[#This Row],[Total Kg]],0)</f>
        <v>0</v>
      </c>
      <c r="V412" s="322" cm="1">
        <f t="array" ref="V412">IFERROR(VLOOKUP(Calculations[[#This Row],[Waste 1]],WasteScenario[#All],4,FALSE)*'Stage assumptions'!$C$223*WasteTransportMethod[Emissions Factor
kgCO2e/kg.km]*Calculations[[#This Row],[Total Kg]],0)</f>
        <v>0</v>
      </c>
      <c r="W412" s="322" cm="1">
        <f t="array" ref="W412">IFERROR(VLOOKUP(Calculations[[#This Row],[Waste 1]],WasteScenario[#All],5,FALSE)*'Stage assumptions'!$C$226*WasteTransportMethod[Emissions Factor
kgCO2e/kg.km]*Calculations[[#This Row],[Total Kg]],0)</f>
        <v>0</v>
      </c>
      <c r="X412" s="322">
        <f>SUM(Calculations[[#This Row],[C2 Recycle]:[C2 Reuse]])</f>
        <v>0</v>
      </c>
      <c r="Y412" t="str">
        <f>IFERROR(VLOOKUP(Calculations[[#This Row],[Material (choose from dropdown]],MaterialData[#All],5,FALSE),"")</f>
        <v/>
      </c>
      <c r="Z412" s="322">
        <f>IFERROR(((VLOOKUP(Calculations[[#This Row],[Waste type 2]],WasteDisposalEmissions[#All],2,FALSE))*Calculations[[#This Row],[Total Kg]])*VLOOKUP(Calculations[[#This Row],[Waste 1]],WasteScenario[#All],2,FALSE),0)</f>
        <v>0</v>
      </c>
      <c r="AA412" s="322">
        <f>IFERROR((VLOOKUP(Calculations[[#This Row],[Waste type 2]],WasteDisposalEmissions[#All],3,FALSE))*Calculations[[#This Row],[Total Kg]]*VLOOKUP(Calculations[[#This Row],[Waste 1]],WasteScenario[#All],3,FALSE),0)</f>
        <v>0</v>
      </c>
      <c r="AB412" s="322">
        <f>SUM(Calculations[[#This Row],[C3 recyc]:[C3 incin]])</f>
        <v>0</v>
      </c>
      <c r="AC412" s="334">
        <f>IFERROR((VLOOKUP(Calculations[[#This Row],[Waste type 2]],WasteLandfillEmissions[#All],2,FALSE))*Calculations[[#This Row],[Total Kg]]*VLOOKUP(Calculations[[#This Row],[Waste 1]],WasteScenario[#All],4,FALSE),0)</f>
        <v>0</v>
      </c>
      <c r="AD412" s="322">
        <f>IFERROR((VLOOKUP(Calculations[[#This Row],[Waste type 2]],WasteLandfillEmissions[#All],3,FALSE))*Calculations[[#This Row],[Total Kg]]*VLOOKUP(Calculations[[#This Row],[Waste 1]],WasteScenario[#All],4,FALSE),0)</f>
        <v>0</v>
      </c>
      <c r="AE412" s="322">
        <f>SUM(Calculations[[#This Row],[C4 landfill]:[C4 re-use]])</f>
        <v>0</v>
      </c>
      <c r="AF412" s="322">
        <f>IFERROR(VLOOKUP(Calculations[[#This Row],[Material (choose from dropdown]],MaterialData[#All],8,FALSE),0)</f>
        <v>0</v>
      </c>
      <c r="AG412" s="322">
        <f>IFERROR(Calculations[[#This Row],[Total Kg]]*Calculations[[#This Row],[Seq factor]],0)</f>
        <v>0</v>
      </c>
      <c r="AI412" s="322">
        <f>Calculations[[#This Row],[A1-3]]+Calculations[[#This Row],[A4]]+Calculations[[#This Row],[A5]]+Calculations[[#This Row],[B4]]+Calculations[[#This Row],[C2 total]]+Calculations[[#This Row],[C3 total]]+Calculations[[#This Row],[C4 total]]</f>
        <v>0</v>
      </c>
      <c r="AJ412" s="2">
        <f>IFERROR(VLOOKUP(Calculations[[#This Row],[Material (choose from dropdown]],MaterialData[[#Headers],[#Data]],9,FALSE),0)</f>
        <v>0</v>
      </c>
      <c r="AK412" s="4">
        <f>IFERROR(VLOOKUP(Calculations[[#This Row],[Material (choose from dropdown]],MaterialData[[#Headers],[#Data]],10,FALSE),0)</f>
        <v>0</v>
      </c>
      <c r="AL412" s="322">
        <f>IFERROR(Calculations[[#This Row],[Data Quality Score]]*Calculations[[#This Row],[Total Kg]],0)</f>
        <v>0</v>
      </c>
    </row>
    <row r="413" spans="1:38" x14ac:dyDescent="0.3">
      <c r="A413" s="6">
        <f>IFERROR(MaterialsBoQ[[#This Row],[Scope Element]],0)</f>
        <v>0</v>
      </c>
      <c r="B413" t="str">
        <f>IFERROR(MaterialsBoQ[[#This Row],[Material ]],"")</f>
        <v/>
      </c>
      <c r="C413" t="str">
        <f>IFERROR(MaterialsBoQ[[#This Row],[Unit]],"")</f>
        <v/>
      </c>
      <c r="D413" s="322">
        <f>IFERROR(MaterialsBoQ[[#This Row],[Number]],0)</f>
        <v>0</v>
      </c>
      <c r="E413" s="322">
        <f>IFERROR(MaterialsBoQ[[#This Row],[Kg per unit]],0)</f>
        <v>0</v>
      </c>
      <c r="F413" s="322">
        <f>IFERROR(Calculations[[#This Row],[Number]]*Calculations[[#This Row],[Conversion factor]],0)</f>
        <v>0</v>
      </c>
      <c r="G413" s="322">
        <f>IFERROR(VLOOKUP(Calculations[[#This Row],[Material (choose from dropdown]],MaterialData[#All],7,FALSE),0)</f>
        <v>0</v>
      </c>
      <c r="H413" s="322">
        <f>Calculations[[#This Row],[Total Kg]]*Calculations[[#This Row],[Carbon Factor]]</f>
        <v>0</v>
      </c>
      <c r="I413" t="str">
        <f>IFERROR(VLOOKUP(Calculations[[#This Row],[Material (choose from dropdown]],MaterialData[#All],2,FALSE),"")</f>
        <v/>
      </c>
      <c r="J413" s="322">
        <f>IFERROR(((VLOOKUP(Calculations[[#This Row],[TransportSource]],TransportDistance[],2,FALSE)*'Stage assumptions'!$C$11)+VLOOKUP(Calculations[[#This Row],[TransportSource]],TransportDistance[],3,FALSE)*'Stage assumptions'!$C$12)*Calculations[[#This Row],[Total Kg]],0)</f>
        <v>0</v>
      </c>
      <c r="K413">
        <f>IFERROR(VLOOKUP(Calculations[[#This Row],[Material (choose from dropdown]], MaterialData[#All],3, FALSE),0)</f>
        <v>0</v>
      </c>
      <c r="L413" s="322">
        <f>IFERROR(VLOOKUP(Calculations[[#This Row],[A5type]],A5WastageRate[#All],2,FALSE)*Calculations[[#This Row],[A1-3]],0)</f>
        <v>0</v>
      </c>
      <c r="N413">
        <f>IFERROR(ROUNDUP(50/VLOOKUP(Calculations[[#This Row],[Scope Element]],B4referenceServiceLife[[Tier 2 element]:[Default Service Life]],2, FALSE)-1,0),0)</f>
        <v>0</v>
      </c>
      <c r="O413" s="322">
        <f>IFERROR((Calculations[[#This Row],[A1-3]]+Calculations[[#This Row],[A4]]+Calculations[[#This Row],[A5]]+Calculations[[#This Row],[C2 total]]+Calculations[[#This Row],[C3 total]]+Calculations[[#This Row],[C4 total]])*Calculations[[#This Row],[Replacements]],0)</f>
        <v>0</v>
      </c>
      <c r="S413" t="str">
        <f>IFERROR(VLOOKUP(Calculations[[#This Row],[Material (choose from dropdown]],MaterialData[#All],4,FALSE),"")</f>
        <v/>
      </c>
      <c r="T413" s="322" cm="1">
        <f t="array" ref="T413">IFERROR(VLOOKUP(Calculations[[#This Row],[Waste 1]],WasteScenario[#All],2,FALSE)*'Stage assumptions'!$C$225*WasteTransportMethod[Emissions Factor
kgCO2e/kg.km]*Calculations[[#This Row],[Total Kg]],0)</f>
        <v>0</v>
      </c>
      <c r="U413" s="322" cm="1">
        <f t="array" ref="U413">IFERROR(VLOOKUP(Calculations[[#This Row],[Waste 1]],WasteScenario[#All],3,FALSE)*'Stage assumptions'!$C$224*WasteTransportMethod[Emissions Factor
kgCO2e/kg.km]*Calculations[[#This Row],[Total Kg]],0)</f>
        <v>0</v>
      </c>
      <c r="V413" s="322" cm="1">
        <f t="array" ref="V413">IFERROR(VLOOKUP(Calculations[[#This Row],[Waste 1]],WasteScenario[#All],4,FALSE)*'Stage assumptions'!$C$223*WasteTransportMethod[Emissions Factor
kgCO2e/kg.km]*Calculations[[#This Row],[Total Kg]],0)</f>
        <v>0</v>
      </c>
      <c r="W413" s="322" cm="1">
        <f t="array" ref="W413">IFERROR(VLOOKUP(Calculations[[#This Row],[Waste 1]],WasteScenario[#All],5,FALSE)*'Stage assumptions'!$C$226*WasteTransportMethod[Emissions Factor
kgCO2e/kg.km]*Calculations[[#This Row],[Total Kg]],0)</f>
        <v>0</v>
      </c>
      <c r="X413" s="322">
        <f>SUM(Calculations[[#This Row],[C2 Recycle]:[C2 Reuse]])</f>
        <v>0</v>
      </c>
      <c r="Y413" t="str">
        <f>IFERROR(VLOOKUP(Calculations[[#This Row],[Material (choose from dropdown]],MaterialData[#All],5,FALSE),"")</f>
        <v/>
      </c>
      <c r="Z413" s="322">
        <f>IFERROR(((VLOOKUP(Calculations[[#This Row],[Waste type 2]],WasteDisposalEmissions[#All],2,FALSE))*Calculations[[#This Row],[Total Kg]])*VLOOKUP(Calculations[[#This Row],[Waste 1]],WasteScenario[#All],2,FALSE),0)</f>
        <v>0</v>
      </c>
      <c r="AA413" s="322">
        <f>IFERROR((VLOOKUP(Calculations[[#This Row],[Waste type 2]],WasteDisposalEmissions[#All],3,FALSE))*Calculations[[#This Row],[Total Kg]]*VLOOKUP(Calculations[[#This Row],[Waste 1]],WasteScenario[#All],3,FALSE),0)</f>
        <v>0</v>
      </c>
      <c r="AB413" s="322">
        <f>SUM(Calculations[[#This Row],[C3 recyc]:[C3 incin]])</f>
        <v>0</v>
      </c>
      <c r="AC413" s="334">
        <f>IFERROR((VLOOKUP(Calculations[[#This Row],[Waste type 2]],WasteLandfillEmissions[#All],2,FALSE))*Calculations[[#This Row],[Total Kg]]*VLOOKUP(Calculations[[#This Row],[Waste 1]],WasteScenario[#All],4,FALSE),0)</f>
        <v>0</v>
      </c>
      <c r="AD413" s="322">
        <f>IFERROR((VLOOKUP(Calculations[[#This Row],[Waste type 2]],WasteLandfillEmissions[#All],3,FALSE))*Calculations[[#This Row],[Total Kg]]*VLOOKUP(Calculations[[#This Row],[Waste 1]],WasteScenario[#All],4,FALSE),0)</f>
        <v>0</v>
      </c>
      <c r="AE413" s="322">
        <f>SUM(Calculations[[#This Row],[C4 landfill]:[C4 re-use]])</f>
        <v>0</v>
      </c>
      <c r="AF413" s="322">
        <f>IFERROR(VLOOKUP(Calculations[[#This Row],[Material (choose from dropdown]],MaterialData[#All],8,FALSE),0)</f>
        <v>0</v>
      </c>
      <c r="AG413" s="322">
        <f>IFERROR(Calculations[[#This Row],[Total Kg]]*Calculations[[#This Row],[Seq factor]],0)</f>
        <v>0</v>
      </c>
      <c r="AI413" s="322">
        <f>Calculations[[#This Row],[A1-3]]+Calculations[[#This Row],[A4]]+Calculations[[#This Row],[A5]]+Calculations[[#This Row],[B4]]+Calculations[[#This Row],[C2 total]]+Calculations[[#This Row],[C3 total]]+Calculations[[#This Row],[C4 total]]</f>
        <v>0</v>
      </c>
      <c r="AJ413" s="2">
        <f>IFERROR(VLOOKUP(Calculations[[#This Row],[Material (choose from dropdown]],MaterialData[[#Headers],[#Data]],9,FALSE),0)</f>
        <v>0</v>
      </c>
      <c r="AK413" s="4">
        <f>IFERROR(VLOOKUP(Calculations[[#This Row],[Material (choose from dropdown]],MaterialData[[#Headers],[#Data]],10,FALSE),0)</f>
        <v>0</v>
      </c>
      <c r="AL413" s="322">
        <f>IFERROR(Calculations[[#This Row],[Data Quality Score]]*Calculations[[#This Row],[Total Kg]],0)</f>
        <v>0</v>
      </c>
    </row>
    <row r="414" spans="1:38" x14ac:dyDescent="0.3">
      <c r="A414" s="6">
        <f>IFERROR(MaterialsBoQ[[#This Row],[Scope Element]],0)</f>
        <v>0</v>
      </c>
      <c r="B414" t="str">
        <f>IFERROR(MaterialsBoQ[[#This Row],[Material ]],"")</f>
        <v/>
      </c>
      <c r="C414" t="str">
        <f>IFERROR(MaterialsBoQ[[#This Row],[Unit]],"")</f>
        <v/>
      </c>
      <c r="D414" s="322">
        <f>IFERROR(MaterialsBoQ[[#This Row],[Number]],0)</f>
        <v>0</v>
      </c>
      <c r="E414" s="322">
        <f>IFERROR(MaterialsBoQ[[#This Row],[Kg per unit]],0)</f>
        <v>0</v>
      </c>
      <c r="F414" s="322">
        <f>IFERROR(Calculations[[#This Row],[Number]]*Calculations[[#This Row],[Conversion factor]],0)</f>
        <v>0</v>
      </c>
      <c r="G414" s="322">
        <f>IFERROR(VLOOKUP(Calculations[[#This Row],[Material (choose from dropdown]],MaterialData[#All],7,FALSE),0)</f>
        <v>0</v>
      </c>
      <c r="H414" s="322">
        <f>Calculations[[#This Row],[Total Kg]]*Calculations[[#This Row],[Carbon Factor]]</f>
        <v>0</v>
      </c>
      <c r="I414" t="str">
        <f>IFERROR(VLOOKUP(Calculations[[#This Row],[Material (choose from dropdown]],MaterialData[#All],2,FALSE),"")</f>
        <v/>
      </c>
      <c r="J414" s="322">
        <f>IFERROR(((VLOOKUP(Calculations[[#This Row],[TransportSource]],TransportDistance[],2,FALSE)*'Stage assumptions'!$C$11)+VLOOKUP(Calculations[[#This Row],[TransportSource]],TransportDistance[],3,FALSE)*'Stage assumptions'!$C$12)*Calculations[[#This Row],[Total Kg]],0)</f>
        <v>0</v>
      </c>
      <c r="K414">
        <f>IFERROR(VLOOKUP(Calculations[[#This Row],[Material (choose from dropdown]], MaterialData[#All],3, FALSE),0)</f>
        <v>0</v>
      </c>
      <c r="L414" s="322">
        <f>IFERROR(VLOOKUP(Calculations[[#This Row],[A5type]],A5WastageRate[#All],2,FALSE)*Calculations[[#This Row],[A1-3]],0)</f>
        <v>0</v>
      </c>
      <c r="N414">
        <f>IFERROR(ROUNDUP(50/VLOOKUP(Calculations[[#This Row],[Scope Element]],B4referenceServiceLife[[Tier 2 element]:[Default Service Life]],2, FALSE)-1,0),0)</f>
        <v>0</v>
      </c>
      <c r="O414" s="322">
        <f>IFERROR((Calculations[[#This Row],[A1-3]]+Calculations[[#This Row],[A4]]+Calculations[[#This Row],[A5]]+Calculations[[#This Row],[C2 total]]+Calculations[[#This Row],[C3 total]]+Calculations[[#This Row],[C4 total]])*Calculations[[#This Row],[Replacements]],0)</f>
        <v>0</v>
      </c>
      <c r="S414" t="str">
        <f>IFERROR(VLOOKUP(Calculations[[#This Row],[Material (choose from dropdown]],MaterialData[#All],4,FALSE),"")</f>
        <v/>
      </c>
      <c r="T414" s="322" cm="1">
        <f t="array" ref="T414">IFERROR(VLOOKUP(Calculations[[#This Row],[Waste 1]],WasteScenario[#All],2,FALSE)*'Stage assumptions'!$C$225*WasteTransportMethod[Emissions Factor
kgCO2e/kg.km]*Calculations[[#This Row],[Total Kg]],0)</f>
        <v>0</v>
      </c>
      <c r="U414" s="322" cm="1">
        <f t="array" ref="U414">IFERROR(VLOOKUP(Calculations[[#This Row],[Waste 1]],WasteScenario[#All],3,FALSE)*'Stage assumptions'!$C$224*WasteTransportMethod[Emissions Factor
kgCO2e/kg.km]*Calculations[[#This Row],[Total Kg]],0)</f>
        <v>0</v>
      </c>
      <c r="V414" s="322" cm="1">
        <f t="array" ref="V414">IFERROR(VLOOKUP(Calculations[[#This Row],[Waste 1]],WasteScenario[#All],4,FALSE)*'Stage assumptions'!$C$223*WasteTransportMethod[Emissions Factor
kgCO2e/kg.km]*Calculations[[#This Row],[Total Kg]],0)</f>
        <v>0</v>
      </c>
      <c r="W414" s="322" cm="1">
        <f t="array" ref="W414">IFERROR(VLOOKUP(Calculations[[#This Row],[Waste 1]],WasteScenario[#All],5,FALSE)*'Stage assumptions'!$C$226*WasteTransportMethod[Emissions Factor
kgCO2e/kg.km]*Calculations[[#This Row],[Total Kg]],0)</f>
        <v>0</v>
      </c>
      <c r="X414" s="322">
        <f>SUM(Calculations[[#This Row],[C2 Recycle]:[C2 Reuse]])</f>
        <v>0</v>
      </c>
      <c r="Y414" t="str">
        <f>IFERROR(VLOOKUP(Calculations[[#This Row],[Material (choose from dropdown]],MaterialData[#All],5,FALSE),"")</f>
        <v/>
      </c>
      <c r="Z414" s="322">
        <f>IFERROR(((VLOOKUP(Calculations[[#This Row],[Waste type 2]],WasteDisposalEmissions[#All],2,FALSE))*Calculations[[#This Row],[Total Kg]])*VLOOKUP(Calculations[[#This Row],[Waste 1]],WasteScenario[#All],2,FALSE),0)</f>
        <v>0</v>
      </c>
      <c r="AA414" s="322">
        <f>IFERROR((VLOOKUP(Calculations[[#This Row],[Waste type 2]],WasteDisposalEmissions[#All],3,FALSE))*Calculations[[#This Row],[Total Kg]]*VLOOKUP(Calculations[[#This Row],[Waste 1]],WasteScenario[#All],3,FALSE),0)</f>
        <v>0</v>
      </c>
      <c r="AB414" s="322">
        <f>SUM(Calculations[[#This Row],[C3 recyc]:[C3 incin]])</f>
        <v>0</v>
      </c>
      <c r="AC414" s="334">
        <f>IFERROR((VLOOKUP(Calculations[[#This Row],[Waste type 2]],WasteLandfillEmissions[#All],2,FALSE))*Calculations[[#This Row],[Total Kg]]*VLOOKUP(Calculations[[#This Row],[Waste 1]],WasteScenario[#All],4,FALSE),0)</f>
        <v>0</v>
      </c>
      <c r="AD414" s="322">
        <f>IFERROR((VLOOKUP(Calculations[[#This Row],[Waste type 2]],WasteLandfillEmissions[#All],3,FALSE))*Calculations[[#This Row],[Total Kg]]*VLOOKUP(Calculations[[#This Row],[Waste 1]],WasteScenario[#All],4,FALSE),0)</f>
        <v>0</v>
      </c>
      <c r="AE414" s="322">
        <f>SUM(Calculations[[#This Row],[C4 landfill]:[C4 re-use]])</f>
        <v>0</v>
      </c>
      <c r="AF414" s="322">
        <f>IFERROR(VLOOKUP(Calculations[[#This Row],[Material (choose from dropdown]],MaterialData[#All],8,FALSE),0)</f>
        <v>0</v>
      </c>
      <c r="AG414" s="322">
        <f>IFERROR(Calculations[[#This Row],[Total Kg]]*Calculations[[#This Row],[Seq factor]],0)</f>
        <v>0</v>
      </c>
      <c r="AI414" s="322">
        <f>Calculations[[#This Row],[A1-3]]+Calculations[[#This Row],[A4]]+Calculations[[#This Row],[A5]]+Calculations[[#This Row],[B4]]+Calculations[[#This Row],[C2 total]]+Calculations[[#This Row],[C3 total]]+Calculations[[#This Row],[C4 total]]</f>
        <v>0</v>
      </c>
      <c r="AJ414" s="2">
        <f>IFERROR(VLOOKUP(Calculations[[#This Row],[Material (choose from dropdown]],MaterialData[[#Headers],[#Data]],9,FALSE),0)</f>
        <v>0</v>
      </c>
      <c r="AK414" s="4">
        <f>IFERROR(VLOOKUP(Calculations[[#This Row],[Material (choose from dropdown]],MaterialData[[#Headers],[#Data]],10,FALSE),0)</f>
        <v>0</v>
      </c>
      <c r="AL414" s="322">
        <f>IFERROR(Calculations[[#This Row],[Data Quality Score]]*Calculations[[#This Row],[Total Kg]],0)</f>
        <v>0</v>
      </c>
    </row>
    <row r="415" spans="1:38" x14ac:dyDescent="0.3">
      <c r="A415" s="6">
        <f>IFERROR(MaterialsBoQ[[#This Row],[Scope Element]],0)</f>
        <v>0</v>
      </c>
      <c r="B415" t="str">
        <f>IFERROR(MaterialsBoQ[[#This Row],[Material ]],"")</f>
        <v/>
      </c>
      <c r="C415" t="str">
        <f>IFERROR(MaterialsBoQ[[#This Row],[Unit]],"")</f>
        <v/>
      </c>
      <c r="D415" s="322">
        <f>IFERROR(MaterialsBoQ[[#This Row],[Number]],0)</f>
        <v>0</v>
      </c>
      <c r="E415" s="322">
        <f>IFERROR(MaterialsBoQ[[#This Row],[Kg per unit]],0)</f>
        <v>0</v>
      </c>
      <c r="F415" s="322">
        <f>IFERROR(Calculations[[#This Row],[Number]]*Calculations[[#This Row],[Conversion factor]],0)</f>
        <v>0</v>
      </c>
      <c r="G415" s="322">
        <f>IFERROR(VLOOKUP(Calculations[[#This Row],[Material (choose from dropdown]],MaterialData[#All],7,FALSE),0)</f>
        <v>0</v>
      </c>
      <c r="H415" s="322">
        <f>Calculations[[#This Row],[Total Kg]]*Calculations[[#This Row],[Carbon Factor]]</f>
        <v>0</v>
      </c>
      <c r="I415" t="str">
        <f>IFERROR(VLOOKUP(Calculations[[#This Row],[Material (choose from dropdown]],MaterialData[#All],2,FALSE),"")</f>
        <v/>
      </c>
      <c r="J415" s="322">
        <f>IFERROR(((VLOOKUP(Calculations[[#This Row],[TransportSource]],TransportDistance[],2,FALSE)*'Stage assumptions'!$C$11)+VLOOKUP(Calculations[[#This Row],[TransportSource]],TransportDistance[],3,FALSE)*'Stage assumptions'!$C$12)*Calculations[[#This Row],[Total Kg]],0)</f>
        <v>0</v>
      </c>
      <c r="K415">
        <f>IFERROR(VLOOKUP(Calculations[[#This Row],[Material (choose from dropdown]], MaterialData[#All],3, FALSE),0)</f>
        <v>0</v>
      </c>
      <c r="L415" s="322">
        <f>IFERROR(VLOOKUP(Calculations[[#This Row],[A5type]],A5WastageRate[#All],2,FALSE)*Calculations[[#This Row],[A1-3]],0)</f>
        <v>0</v>
      </c>
      <c r="N415">
        <f>IFERROR(ROUNDUP(50/VLOOKUP(Calculations[[#This Row],[Scope Element]],B4referenceServiceLife[[Tier 2 element]:[Default Service Life]],2, FALSE)-1,0),0)</f>
        <v>0</v>
      </c>
      <c r="O415" s="322">
        <f>IFERROR((Calculations[[#This Row],[A1-3]]+Calculations[[#This Row],[A4]]+Calculations[[#This Row],[A5]]+Calculations[[#This Row],[C2 total]]+Calculations[[#This Row],[C3 total]]+Calculations[[#This Row],[C4 total]])*Calculations[[#This Row],[Replacements]],0)</f>
        <v>0</v>
      </c>
      <c r="S415" t="str">
        <f>IFERROR(VLOOKUP(Calculations[[#This Row],[Material (choose from dropdown]],MaterialData[#All],4,FALSE),"")</f>
        <v/>
      </c>
      <c r="T415" s="322" cm="1">
        <f t="array" ref="T415">IFERROR(VLOOKUP(Calculations[[#This Row],[Waste 1]],WasteScenario[#All],2,FALSE)*'Stage assumptions'!$C$225*WasteTransportMethod[Emissions Factor
kgCO2e/kg.km]*Calculations[[#This Row],[Total Kg]],0)</f>
        <v>0</v>
      </c>
      <c r="U415" s="322" cm="1">
        <f t="array" ref="U415">IFERROR(VLOOKUP(Calculations[[#This Row],[Waste 1]],WasteScenario[#All],3,FALSE)*'Stage assumptions'!$C$224*WasteTransportMethod[Emissions Factor
kgCO2e/kg.km]*Calculations[[#This Row],[Total Kg]],0)</f>
        <v>0</v>
      </c>
      <c r="V415" s="322" cm="1">
        <f t="array" ref="V415">IFERROR(VLOOKUP(Calculations[[#This Row],[Waste 1]],WasteScenario[#All],4,FALSE)*'Stage assumptions'!$C$223*WasteTransportMethod[Emissions Factor
kgCO2e/kg.km]*Calculations[[#This Row],[Total Kg]],0)</f>
        <v>0</v>
      </c>
      <c r="W415" s="322" cm="1">
        <f t="array" ref="W415">IFERROR(VLOOKUP(Calculations[[#This Row],[Waste 1]],WasteScenario[#All],5,FALSE)*'Stage assumptions'!$C$226*WasteTransportMethod[Emissions Factor
kgCO2e/kg.km]*Calculations[[#This Row],[Total Kg]],0)</f>
        <v>0</v>
      </c>
      <c r="X415" s="322">
        <f>SUM(Calculations[[#This Row],[C2 Recycle]:[C2 Reuse]])</f>
        <v>0</v>
      </c>
      <c r="Y415" t="str">
        <f>IFERROR(VLOOKUP(Calculations[[#This Row],[Material (choose from dropdown]],MaterialData[#All],5,FALSE),"")</f>
        <v/>
      </c>
      <c r="Z415" s="322">
        <f>IFERROR(((VLOOKUP(Calculations[[#This Row],[Waste type 2]],WasteDisposalEmissions[#All],2,FALSE))*Calculations[[#This Row],[Total Kg]])*VLOOKUP(Calculations[[#This Row],[Waste 1]],WasteScenario[#All],2,FALSE),0)</f>
        <v>0</v>
      </c>
      <c r="AA415" s="322">
        <f>IFERROR((VLOOKUP(Calculations[[#This Row],[Waste type 2]],WasteDisposalEmissions[#All],3,FALSE))*Calculations[[#This Row],[Total Kg]]*VLOOKUP(Calculations[[#This Row],[Waste 1]],WasteScenario[#All],3,FALSE),0)</f>
        <v>0</v>
      </c>
      <c r="AB415" s="322">
        <f>SUM(Calculations[[#This Row],[C3 recyc]:[C3 incin]])</f>
        <v>0</v>
      </c>
      <c r="AC415" s="334">
        <f>IFERROR((VLOOKUP(Calculations[[#This Row],[Waste type 2]],WasteLandfillEmissions[#All],2,FALSE))*Calculations[[#This Row],[Total Kg]]*VLOOKUP(Calculations[[#This Row],[Waste 1]],WasteScenario[#All],4,FALSE),0)</f>
        <v>0</v>
      </c>
      <c r="AD415" s="322">
        <f>IFERROR((VLOOKUP(Calculations[[#This Row],[Waste type 2]],WasteLandfillEmissions[#All],3,FALSE))*Calculations[[#This Row],[Total Kg]]*VLOOKUP(Calculations[[#This Row],[Waste 1]],WasteScenario[#All],4,FALSE),0)</f>
        <v>0</v>
      </c>
      <c r="AE415" s="322">
        <f>SUM(Calculations[[#This Row],[C4 landfill]:[C4 re-use]])</f>
        <v>0</v>
      </c>
      <c r="AF415" s="322">
        <f>IFERROR(VLOOKUP(Calculations[[#This Row],[Material (choose from dropdown]],MaterialData[#All],8,FALSE),0)</f>
        <v>0</v>
      </c>
      <c r="AG415" s="322">
        <f>IFERROR(Calculations[[#This Row],[Total Kg]]*Calculations[[#This Row],[Seq factor]],0)</f>
        <v>0</v>
      </c>
      <c r="AI415" s="322">
        <f>Calculations[[#This Row],[A1-3]]+Calculations[[#This Row],[A4]]+Calculations[[#This Row],[A5]]+Calculations[[#This Row],[B4]]+Calculations[[#This Row],[C2 total]]+Calculations[[#This Row],[C3 total]]+Calculations[[#This Row],[C4 total]]</f>
        <v>0</v>
      </c>
      <c r="AJ415" s="2">
        <f>IFERROR(VLOOKUP(Calculations[[#This Row],[Material (choose from dropdown]],MaterialData[[#Headers],[#Data]],9,FALSE),0)</f>
        <v>0</v>
      </c>
      <c r="AK415" s="4">
        <f>IFERROR(VLOOKUP(Calculations[[#This Row],[Material (choose from dropdown]],MaterialData[[#Headers],[#Data]],10,FALSE),0)</f>
        <v>0</v>
      </c>
      <c r="AL415" s="322">
        <f>IFERROR(Calculations[[#This Row],[Data Quality Score]]*Calculations[[#This Row],[Total Kg]],0)</f>
        <v>0</v>
      </c>
    </row>
    <row r="416" spans="1:38" x14ac:dyDescent="0.3">
      <c r="A416" s="6">
        <f>IFERROR(MaterialsBoQ[[#This Row],[Scope Element]],0)</f>
        <v>0</v>
      </c>
      <c r="B416" t="str">
        <f>IFERROR(MaterialsBoQ[[#This Row],[Material ]],"")</f>
        <v/>
      </c>
      <c r="C416" t="str">
        <f>IFERROR(MaterialsBoQ[[#This Row],[Unit]],"")</f>
        <v/>
      </c>
      <c r="D416" s="322">
        <f>IFERROR(MaterialsBoQ[[#This Row],[Number]],0)</f>
        <v>0</v>
      </c>
      <c r="E416" s="322">
        <f>IFERROR(MaterialsBoQ[[#This Row],[Kg per unit]],0)</f>
        <v>0</v>
      </c>
      <c r="F416" s="322">
        <f>IFERROR(Calculations[[#This Row],[Number]]*Calculations[[#This Row],[Conversion factor]],0)</f>
        <v>0</v>
      </c>
      <c r="G416" s="322">
        <f>IFERROR(VLOOKUP(Calculations[[#This Row],[Material (choose from dropdown]],MaterialData[#All],7,FALSE),0)</f>
        <v>0</v>
      </c>
      <c r="H416" s="322">
        <f>Calculations[[#This Row],[Total Kg]]*Calculations[[#This Row],[Carbon Factor]]</f>
        <v>0</v>
      </c>
      <c r="I416" t="str">
        <f>IFERROR(VLOOKUP(Calculations[[#This Row],[Material (choose from dropdown]],MaterialData[#All],2,FALSE),"")</f>
        <v/>
      </c>
      <c r="J416" s="322">
        <f>IFERROR(((VLOOKUP(Calculations[[#This Row],[TransportSource]],TransportDistance[],2,FALSE)*'Stage assumptions'!$C$11)+VLOOKUP(Calculations[[#This Row],[TransportSource]],TransportDistance[],3,FALSE)*'Stage assumptions'!$C$12)*Calculations[[#This Row],[Total Kg]],0)</f>
        <v>0</v>
      </c>
      <c r="K416">
        <f>IFERROR(VLOOKUP(Calculations[[#This Row],[Material (choose from dropdown]], MaterialData[#All],3, FALSE),0)</f>
        <v>0</v>
      </c>
      <c r="L416" s="322">
        <f>IFERROR(VLOOKUP(Calculations[[#This Row],[A5type]],A5WastageRate[#All],2,FALSE)*Calculations[[#This Row],[A1-3]],0)</f>
        <v>0</v>
      </c>
      <c r="N416">
        <f>IFERROR(ROUNDUP(50/VLOOKUP(Calculations[[#This Row],[Scope Element]],B4referenceServiceLife[[Tier 2 element]:[Default Service Life]],2, FALSE)-1,0),0)</f>
        <v>0</v>
      </c>
      <c r="O416" s="322">
        <f>IFERROR((Calculations[[#This Row],[A1-3]]+Calculations[[#This Row],[A4]]+Calculations[[#This Row],[A5]]+Calculations[[#This Row],[C2 total]]+Calculations[[#This Row],[C3 total]]+Calculations[[#This Row],[C4 total]])*Calculations[[#This Row],[Replacements]],0)</f>
        <v>0</v>
      </c>
      <c r="S416" t="str">
        <f>IFERROR(VLOOKUP(Calculations[[#This Row],[Material (choose from dropdown]],MaterialData[#All],4,FALSE),"")</f>
        <v/>
      </c>
      <c r="T416" s="322" cm="1">
        <f t="array" ref="T416">IFERROR(VLOOKUP(Calculations[[#This Row],[Waste 1]],WasteScenario[#All],2,FALSE)*'Stage assumptions'!$C$225*WasteTransportMethod[Emissions Factor
kgCO2e/kg.km]*Calculations[[#This Row],[Total Kg]],0)</f>
        <v>0</v>
      </c>
      <c r="U416" s="322" cm="1">
        <f t="array" ref="U416">IFERROR(VLOOKUP(Calculations[[#This Row],[Waste 1]],WasteScenario[#All],3,FALSE)*'Stage assumptions'!$C$224*WasteTransportMethod[Emissions Factor
kgCO2e/kg.km]*Calculations[[#This Row],[Total Kg]],0)</f>
        <v>0</v>
      </c>
      <c r="V416" s="322" cm="1">
        <f t="array" ref="V416">IFERROR(VLOOKUP(Calculations[[#This Row],[Waste 1]],WasteScenario[#All],4,FALSE)*'Stage assumptions'!$C$223*WasteTransportMethod[Emissions Factor
kgCO2e/kg.km]*Calculations[[#This Row],[Total Kg]],0)</f>
        <v>0</v>
      </c>
      <c r="W416" s="322" cm="1">
        <f t="array" ref="W416">IFERROR(VLOOKUP(Calculations[[#This Row],[Waste 1]],WasteScenario[#All],5,FALSE)*'Stage assumptions'!$C$226*WasteTransportMethod[Emissions Factor
kgCO2e/kg.km]*Calculations[[#This Row],[Total Kg]],0)</f>
        <v>0</v>
      </c>
      <c r="X416" s="322">
        <f>SUM(Calculations[[#This Row],[C2 Recycle]:[C2 Reuse]])</f>
        <v>0</v>
      </c>
      <c r="Y416" t="str">
        <f>IFERROR(VLOOKUP(Calculations[[#This Row],[Material (choose from dropdown]],MaterialData[#All],5,FALSE),"")</f>
        <v/>
      </c>
      <c r="Z416" s="322">
        <f>IFERROR(((VLOOKUP(Calculations[[#This Row],[Waste type 2]],WasteDisposalEmissions[#All],2,FALSE))*Calculations[[#This Row],[Total Kg]])*VLOOKUP(Calculations[[#This Row],[Waste 1]],WasteScenario[#All],2,FALSE),0)</f>
        <v>0</v>
      </c>
      <c r="AA416" s="322">
        <f>IFERROR((VLOOKUP(Calculations[[#This Row],[Waste type 2]],WasteDisposalEmissions[#All],3,FALSE))*Calculations[[#This Row],[Total Kg]]*VLOOKUP(Calculations[[#This Row],[Waste 1]],WasteScenario[#All],3,FALSE),0)</f>
        <v>0</v>
      </c>
      <c r="AB416" s="322">
        <f>SUM(Calculations[[#This Row],[C3 recyc]:[C3 incin]])</f>
        <v>0</v>
      </c>
      <c r="AC416" s="334">
        <f>IFERROR((VLOOKUP(Calculations[[#This Row],[Waste type 2]],WasteLandfillEmissions[#All],2,FALSE))*Calculations[[#This Row],[Total Kg]]*VLOOKUP(Calculations[[#This Row],[Waste 1]],WasteScenario[#All],4,FALSE),0)</f>
        <v>0</v>
      </c>
      <c r="AD416" s="322">
        <f>IFERROR((VLOOKUP(Calculations[[#This Row],[Waste type 2]],WasteLandfillEmissions[#All],3,FALSE))*Calculations[[#This Row],[Total Kg]]*VLOOKUP(Calculations[[#This Row],[Waste 1]],WasteScenario[#All],4,FALSE),0)</f>
        <v>0</v>
      </c>
      <c r="AE416" s="322">
        <f>SUM(Calculations[[#This Row],[C4 landfill]:[C4 re-use]])</f>
        <v>0</v>
      </c>
      <c r="AF416" s="322">
        <f>IFERROR(VLOOKUP(Calculations[[#This Row],[Material (choose from dropdown]],MaterialData[#All],8,FALSE),0)</f>
        <v>0</v>
      </c>
      <c r="AG416" s="322">
        <f>IFERROR(Calculations[[#This Row],[Total Kg]]*Calculations[[#This Row],[Seq factor]],0)</f>
        <v>0</v>
      </c>
      <c r="AI416" s="322">
        <f>Calculations[[#This Row],[A1-3]]+Calculations[[#This Row],[A4]]+Calculations[[#This Row],[A5]]+Calculations[[#This Row],[B4]]+Calculations[[#This Row],[C2 total]]+Calculations[[#This Row],[C3 total]]+Calculations[[#This Row],[C4 total]]</f>
        <v>0</v>
      </c>
      <c r="AJ416" s="2">
        <f>IFERROR(VLOOKUP(Calculations[[#This Row],[Material (choose from dropdown]],MaterialData[[#Headers],[#Data]],9,FALSE),0)</f>
        <v>0</v>
      </c>
      <c r="AK416" s="4">
        <f>IFERROR(VLOOKUP(Calculations[[#This Row],[Material (choose from dropdown]],MaterialData[[#Headers],[#Data]],10,FALSE),0)</f>
        <v>0</v>
      </c>
      <c r="AL416" s="322">
        <f>IFERROR(Calculations[[#This Row],[Data Quality Score]]*Calculations[[#This Row],[Total Kg]],0)</f>
        <v>0</v>
      </c>
    </row>
    <row r="417" spans="1:38" x14ac:dyDescent="0.3">
      <c r="A417" s="6">
        <f>IFERROR(MaterialsBoQ[[#This Row],[Scope Element]],0)</f>
        <v>0</v>
      </c>
      <c r="B417" t="str">
        <f>IFERROR(MaterialsBoQ[[#This Row],[Material ]],"")</f>
        <v/>
      </c>
      <c r="C417" t="str">
        <f>IFERROR(MaterialsBoQ[[#This Row],[Unit]],"")</f>
        <v/>
      </c>
      <c r="D417" s="322">
        <f>IFERROR(MaterialsBoQ[[#This Row],[Number]],0)</f>
        <v>0</v>
      </c>
      <c r="E417" s="322">
        <f>IFERROR(MaterialsBoQ[[#This Row],[Kg per unit]],0)</f>
        <v>0</v>
      </c>
      <c r="F417" s="322">
        <f>IFERROR(Calculations[[#This Row],[Number]]*Calculations[[#This Row],[Conversion factor]],0)</f>
        <v>0</v>
      </c>
      <c r="G417" s="322">
        <f>IFERROR(VLOOKUP(Calculations[[#This Row],[Material (choose from dropdown]],MaterialData[#All],7,FALSE),0)</f>
        <v>0</v>
      </c>
      <c r="H417" s="322">
        <f>Calculations[[#This Row],[Total Kg]]*Calculations[[#This Row],[Carbon Factor]]</f>
        <v>0</v>
      </c>
      <c r="I417" t="str">
        <f>IFERROR(VLOOKUP(Calculations[[#This Row],[Material (choose from dropdown]],MaterialData[#All],2,FALSE),"")</f>
        <v/>
      </c>
      <c r="J417" s="322">
        <f>IFERROR(((VLOOKUP(Calculations[[#This Row],[TransportSource]],TransportDistance[],2,FALSE)*'Stage assumptions'!$C$11)+VLOOKUP(Calculations[[#This Row],[TransportSource]],TransportDistance[],3,FALSE)*'Stage assumptions'!$C$12)*Calculations[[#This Row],[Total Kg]],0)</f>
        <v>0</v>
      </c>
      <c r="K417">
        <f>IFERROR(VLOOKUP(Calculations[[#This Row],[Material (choose from dropdown]], MaterialData[#All],3, FALSE),0)</f>
        <v>0</v>
      </c>
      <c r="L417" s="322">
        <f>IFERROR(VLOOKUP(Calculations[[#This Row],[A5type]],A5WastageRate[#All],2,FALSE)*Calculations[[#This Row],[A1-3]],0)</f>
        <v>0</v>
      </c>
      <c r="N417">
        <f>IFERROR(ROUNDUP(50/VLOOKUP(Calculations[[#This Row],[Scope Element]],B4referenceServiceLife[[Tier 2 element]:[Default Service Life]],2, FALSE)-1,0),0)</f>
        <v>0</v>
      </c>
      <c r="O417" s="322">
        <f>IFERROR((Calculations[[#This Row],[A1-3]]+Calculations[[#This Row],[A4]]+Calculations[[#This Row],[A5]]+Calculations[[#This Row],[C2 total]]+Calculations[[#This Row],[C3 total]]+Calculations[[#This Row],[C4 total]])*Calculations[[#This Row],[Replacements]],0)</f>
        <v>0</v>
      </c>
      <c r="S417" t="str">
        <f>IFERROR(VLOOKUP(Calculations[[#This Row],[Material (choose from dropdown]],MaterialData[#All],4,FALSE),"")</f>
        <v/>
      </c>
      <c r="T417" s="322" cm="1">
        <f t="array" ref="T417">IFERROR(VLOOKUP(Calculations[[#This Row],[Waste 1]],WasteScenario[#All],2,FALSE)*'Stage assumptions'!$C$225*WasteTransportMethod[Emissions Factor
kgCO2e/kg.km]*Calculations[[#This Row],[Total Kg]],0)</f>
        <v>0</v>
      </c>
      <c r="U417" s="322" cm="1">
        <f t="array" ref="U417">IFERROR(VLOOKUP(Calculations[[#This Row],[Waste 1]],WasteScenario[#All],3,FALSE)*'Stage assumptions'!$C$224*WasteTransportMethod[Emissions Factor
kgCO2e/kg.km]*Calculations[[#This Row],[Total Kg]],0)</f>
        <v>0</v>
      </c>
      <c r="V417" s="322" cm="1">
        <f t="array" ref="V417">IFERROR(VLOOKUP(Calculations[[#This Row],[Waste 1]],WasteScenario[#All],4,FALSE)*'Stage assumptions'!$C$223*WasteTransportMethod[Emissions Factor
kgCO2e/kg.km]*Calculations[[#This Row],[Total Kg]],0)</f>
        <v>0</v>
      </c>
      <c r="W417" s="322" cm="1">
        <f t="array" ref="W417">IFERROR(VLOOKUP(Calculations[[#This Row],[Waste 1]],WasteScenario[#All],5,FALSE)*'Stage assumptions'!$C$226*WasteTransportMethod[Emissions Factor
kgCO2e/kg.km]*Calculations[[#This Row],[Total Kg]],0)</f>
        <v>0</v>
      </c>
      <c r="X417" s="322">
        <f>SUM(Calculations[[#This Row],[C2 Recycle]:[C2 Reuse]])</f>
        <v>0</v>
      </c>
      <c r="Y417" t="str">
        <f>IFERROR(VLOOKUP(Calculations[[#This Row],[Material (choose from dropdown]],MaterialData[#All],5,FALSE),"")</f>
        <v/>
      </c>
      <c r="Z417" s="322">
        <f>IFERROR(((VLOOKUP(Calculations[[#This Row],[Waste type 2]],WasteDisposalEmissions[#All],2,FALSE))*Calculations[[#This Row],[Total Kg]])*VLOOKUP(Calculations[[#This Row],[Waste 1]],WasteScenario[#All],2,FALSE),0)</f>
        <v>0</v>
      </c>
      <c r="AA417" s="322">
        <f>IFERROR((VLOOKUP(Calculations[[#This Row],[Waste type 2]],WasteDisposalEmissions[#All],3,FALSE))*Calculations[[#This Row],[Total Kg]]*VLOOKUP(Calculations[[#This Row],[Waste 1]],WasteScenario[#All],3,FALSE),0)</f>
        <v>0</v>
      </c>
      <c r="AB417" s="322">
        <f>SUM(Calculations[[#This Row],[C3 recyc]:[C3 incin]])</f>
        <v>0</v>
      </c>
      <c r="AC417" s="334">
        <f>IFERROR((VLOOKUP(Calculations[[#This Row],[Waste type 2]],WasteLandfillEmissions[#All],2,FALSE))*Calculations[[#This Row],[Total Kg]]*VLOOKUP(Calculations[[#This Row],[Waste 1]],WasteScenario[#All],4,FALSE),0)</f>
        <v>0</v>
      </c>
      <c r="AD417" s="322">
        <f>IFERROR((VLOOKUP(Calculations[[#This Row],[Waste type 2]],WasteLandfillEmissions[#All],3,FALSE))*Calculations[[#This Row],[Total Kg]]*VLOOKUP(Calculations[[#This Row],[Waste 1]],WasteScenario[#All],4,FALSE),0)</f>
        <v>0</v>
      </c>
      <c r="AE417" s="322">
        <f>SUM(Calculations[[#This Row],[C4 landfill]:[C4 re-use]])</f>
        <v>0</v>
      </c>
      <c r="AF417" s="322">
        <f>IFERROR(VLOOKUP(Calculations[[#This Row],[Material (choose from dropdown]],MaterialData[#All],8,FALSE),0)</f>
        <v>0</v>
      </c>
      <c r="AG417" s="322">
        <f>IFERROR(Calculations[[#This Row],[Total Kg]]*Calculations[[#This Row],[Seq factor]],0)</f>
        <v>0</v>
      </c>
      <c r="AI417" s="322">
        <f>Calculations[[#This Row],[A1-3]]+Calculations[[#This Row],[A4]]+Calculations[[#This Row],[A5]]+Calculations[[#This Row],[B4]]+Calculations[[#This Row],[C2 total]]+Calculations[[#This Row],[C3 total]]+Calculations[[#This Row],[C4 total]]</f>
        <v>0</v>
      </c>
      <c r="AJ417" s="2">
        <f>IFERROR(VLOOKUP(Calculations[[#This Row],[Material (choose from dropdown]],MaterialData[[#Headers],[#Data]],9,FALSE),0)</f>
        <v>0</v>
      </c>
      <c r="AK417" s="4">
        <f>IFERROR(VLOOKUP(Calculations[[#This Row],[Material (choose from dropdown]],MaterialData[[#Headers],[#Data]],10,FALSE),0)</f>
        <v>0</v>
      </c>
      <c r="AL417" s="322">
        <f>IFERROR(Calculations[[#This Row],[Data Quality Score]]*Calculations[[#This Row],[Total Kg]],0)</f>
        <v>0</v>
      </c>
    </row>
    <row r="418" spans="1:38" x14ac:dyDescent="0.3">
      <c r="A418" s="6">
        <f>IFERROR(MaterialsBoQ[[#This Row],[Scope Element]],0)</f>
        <v>0</v>
      </c>
      <c r="B418" t="str">
        <f>IFERROR(MaterialsBoQ[[#This Row],[Material ]],"")</f>
        <v/>
      </c>
      <c r="C418" t="str">
        <f>IFERROR(MaterialsBoQ[[#This Row],[Unit]],"")</f>
        <v/>
      </c>
      <c r="D418" s="322">
        <f>IFERROR(MaterialsBoQ[[#This Row],[Number]],0)</f>
        <v>0</v>
      </c>
      <c r="E418" s="322">
        <f>IFERROR(MaterialsBoQ[[#This Row],[Kg per unit]],0)</f>
        <v>0</v>
      </c>
      <c r="F418" s="322">
        <f>IFERROR(Calculations[[#This Row],[Number]]*Calculations[[#This Row],[Conversion factor]],0)</f>
        <v>0</v>
      </c>
      <c r="G418" s="322">
        <f>IFERROR(VLOOKUP(Calculations[[#This Row],[Material (choose from dropdown]],MaterialData[#All],7,FALSE),0)</f>
        <v>0</v>
      </c>
      <c r="H418" s="322">
        <f>Calculations[[#This Row],[Total Kg]]*Calculations[[#This Row],[Carbon Factor]]</f>
        <v>0</v>
      </c>
      <c r="I418" t="str">
        <f>IFERROR(VLOOKUP(Calculations[[#This Row],[Material (choose from dropdown]],MaterialData[#All],2,FALSE),"")</f>
        <v/>
      </c>
      <c r="J418" s="322">
        <f>IFERROR(((VLOOKUP(Calculations[[#This Row],[TransportSource]],TransportDistance[],2,FALSE)*'Stage assumptions'!$C$11)+VLOOKUP(Calculations[[#This Row],[TransportSource]],TransportDistance[],3,FALSE)*'Stage assumptions'!$C$12)*Calculations[[#This Row],[Total Kg]],0)</f>
        <v>0</v>
      </c>
      <c r="K418">
        <f>IFERROR(VLOOKUP(Calculations[[#This Row],[Material (choose from dropdown]], MaterialData[#All],3, FALSE),0)</f>
        <v>0</v>
      </c>
      <c r="L418" s="322">
        <f>IFERROR(VLOOKUP(Calculations[[#This Row],[A5type]],A5WastageRate[#All],2,FALSE)*Calculations[[#This Row],[A1-3]],0)</f>
        <v>0</v>
      </c>
      <c r="N418">
        <f>IFERROR(ROUNDUP(50/VLOOKUP(Calculations[[#This Row],[Scope Element]],B4referenceServiceLife[[Tier 2 element]:[Default Service Life]],2, FALSE)-1,0),0)</f>
        <v>0</v>
      </c>
      <c r="O418" s="322">
        <f>IFERROR((Calculations[[#This Row],[A1-3]]+Calculations[[#This Row],[A4]]+Calculations[[#This Row],[A5]]+Calculations[[#This Row],[C2 total]]+Calculations[[#This Row],[C3 total]]+Calculations[[#This Row],[C4 total]])*Calculations[[#This Row],[Replacements]],0)</f>
        <v>0</v>
      </c>
      <c r="S418" t="str">
        <f>IFERROR(VLOOKUP(Calculations[[#This Row],[Material (choose from dropdown]],MaterialData[#All],4,FALSE),"")</f>
        <v/>
      </c>
      <c r="T418" s="322" cm="1">
        <f t="array" ref="T418">IFERROR(VLOOKUP(Calculations[[#This Row],[Waste 1]],WasteScenario[#All],2,FALSE)*'Stage assumptions'!$C$225*WasteTransportMethod[Emissions Factor
kgCO2e/kg.km]*Calculations[[#This Row],[Total Kg]],0)</f>
        <v>0</v>
      </c>
      <c r="U418" s="322" cm="1">
        <f t="array" ref="U418">IFERROR(VLOOKUP(Calculations[[#This Row],[Waste 1]],WasteScenario[#All],3,FALSE)*'Stage assumptions'!$C$224*WasteTransportMethod[Emissions Factor
kgCO2e/kg.km]*Calculations[[#This Row],[Total Kg]],0)</f>
        <v>0</v>
      </c>
      <c r="V418" s="322" cm="1">
        <f t="array" ref="V418">IFERROR(VLOOKUP(Calculations[[#This Row],[Waste 1]],WasteScenario[#All],4,FALSE)*'Stage assumptions'!$C$223*WasteTransportMethod[Emissions Factor
kgCO2e/kg.km]*Calculations[[#This Row],[Total Kg]],0)</f>
        <v>0</v>
      </c>
      <c r="W418" s="322" cm="1">
        <f t="array" ref="W418">IFERROR(VLOOKUP(Calculations[[#This Row],[Waste 1]],WasteScenario[#All],5,FALSE)*'Stage assumptions'!$C$226*WasteTransportMethod[Emissions Factor
kgCO2e/kg.km]*Calculations[[#This Row],[Total Kg]],0)</f>
        <v>0</v>
      </c>
      <c r="X418" s="322">
        <f>SUM(Calculations[[#This Row],[C2 Recycle]:[C2 Reuse]])</f>
        <v>0</v>
      </c>
      <c r="Y418" t="str">
        <f>IFERROR(VLOOKUP(Calculations[[#This Row],[Material (choose from dropdown]],MaterialData[#All],5,FALSE),"")</f>
        <v/>
      </c>
      <c r="Z418" s="322">
        <f>IFERROR(((VLOOKUP(Calculations[[#This Row],[Waste type 2]],WasteDisposalEmissions[#All],2,FALSE))*Calculations[[#This Row],[Total Kg]])*VLOOKUP(Calculations[[#This Row],[Waste 1]],WasteScenario[#All],2,FALSE),0)</f>
        <v>0</v>
      </c>
      <c r="AA418" s="322">
        <f>IFERROR((VLOOKUP(Calculations[[#This Row],[Waste type 2]],WasteDisposalEmissions[#All],3,FALSE))*Calculations[[#This Row],[Total Kg]]*VLOOKUP(Calculations[[#This Row],[Waste 1]],WasteScenario[#All],3,FALSE),0)</f>
        <v>0</v>
      </c>
      <c r="AB418" s="322">
        <f>SUM(Calculations[[#This Row],[C3 recyc]:[C3 incin]])</f>
        <v>0</v>
      </c>
      <c r="AC418" s="334">
        <f>IFERROR((VLOOKUP(Calculations[[#This Row],[Waste type 2]],WasteLandfillEmissions[#All],2,FALSE))*Calculations[[#This Row],[Total Kg]]*VLOOKUP(Calculations[[#This Row],[Waste 1]],WasteScenario[#All],4,FALSE),0)</f>
        <v>0</v>
      </c>
      <c r="AD418" s="322">
        <f>IFERROR((VLOOKUP(Calculations[[#This Row],[Waste type 2]],WasteLandfillEmissions[#All],3,FALSE))*Calculations[[#This Row],[Total Kg]]*VLOOKUP(Calculations[[#This Row],[Waste 1]],WasteScenario[#All],4,FALSE),0)</f>
        <v>0</v>
      </c>
      <c r="AE418" s="322">
        <f>SUM(Calculations[[#This Row],[C4 landfill]:[C4 re-use]])</f>
        <v>0</v>
      </c>
      <c r="AF418" s="322">
        <f>IFERROR(VLOOKUP(Calculations[[#This Row],[Material (choose from dropdown]],MaterialData[#All],8,FALSE),0)</f>
        <v>0</v>
      </c>
      <c r="AG418" s="322">
        <f>IFERROR(Calculations[[#This Row],[Total Kg]]*Calculations[[#This Row],[Seq factor]],0)</f>
        <v>0</v>
      </c>
      <c r="AI418" s="322">
        <f>Calculations[[#This Row],[A1-3]]+Calculations[[#This Row],[A4]]+Calculations[[#This Row],[A5]]+Calculations[[#This Row],[B4]]+Calculations[[#This Row],[C2 total]]+Calculations[[#This Row],[C3 total]]+Calculations[[#This Row],[C4 total]]</f>
        <v>0</v>
      </c>
      <c r="AJ418" s="2">
        <f>IFERROR(VLOOKUP(Calculations[[#This Row],[Material (choose from dropdown]],MaterialData[[#Headers],[#Data]],9,FALSE),0)</f>
        <v>0</v>
      </c>
      <c r="AK418" s="4">
        <f>IFERROR(VLOOKUP(Calculations[[#This Row],[Material (choose from dropdown]],MaterialData[[#Headers],[#Data]],10,FALSE),0)</f>
        <v>0</v>
      </c>
      <c r="AL418" s="322">
        <f>IFERROR(Calculations[[#This Row],[Data Quality Score]]*Calculations[[#This Row],[Total Kg]],0)</f>
        <v>0</v>
      </c>
    </row>
    <row r="419" spans="1:38" x14ac:dyDescent="0.3">
      <c r="A419" s="6">
        <f>IFERROR(MaterialsBoQ[[#This Row],[Scope Element]],0)</f>
        <v>0</v>
      </c>
      <c r="B419" t="str">
        <f>IFERROR(MaterialsBoQ[[#This Row],[Material ]],"")</f>
        <v/>
      </c>
      <c r="C419" t="str">
        <f>IFERROR(MaterialsBoQ[[#This Row],[Unit]],"")</f>
        <v/>
      </c>
      <c r="D419" s="322">
        <f>IFERROR(MaterialsBoQ[[#This Row],[Number]],0)</f>
        <v>0</v>
      </c>
      <c r="E419" s="322">
        <f>IFERROR(MaterialsBoQ[[#This Row],[Kg per unit]],0)</f>
        <v>0</v>
      </c>
      <c r="F419" s="322">
        <f>IFERROR(Calculations[[#This Row],[Number]]*Calculations[[#This Row],[Conversion factor]],0)</f>
        <v>0</v>
      </c>
      <c r="G419" s="322">
        <f>IFERROR(VLOOKUP(Calculations[[#This Row],[Material (choose from dropdown]],MaterialData[#All],7,FALSE),0)</f>
        <v>0</v>
      </c>
      <c r="H419" s="322">
        <f>Calculations[[#This Row],[Total Kg]]*Calculations[[#This Row],[Carbon Factor]]</f>
        <v>0</v>
      </c>
      <c r="I419" t="str">
        <f>IFERROR(VLOOKUP(Calculations[[#This Row],[Material (choose from dropdown]],MaterialData[#All],2,FALSE),"")</f>
        <v/>
      </c>
      <c r="J419" s="322">
        <f>IFERROR(((VLOOKUP(Calculations[[#This Row],[TransportSource]],TransportDistance[],2,FALSE)*'Stage assumptions'!$C$11)+VLOOKUP(Calculations[[#This Row],[TransportSource]],TransportDistance[],3,FALSE)*'Stage assumptions'!$C$12)*Calculations[[#This Row],[Total Kg]],0)</f>
        <v>0</v>
      </c>
      <c r="K419">
        <f>IFERROR(VLOOKUP(Calculations[[#This Row],[Material (choose from dropdown]], MaterialData[#All],3, FALSE),0)</f>
        <v>0</v>
      </c>
      <c r="L419" s="322">
        <f>IFERROR(VLOOKUP(Calculations[[#This Row],[A5type]],A5WastageRate[#All],2,FALSE)*Calculations[[#This Row],[A1-3]],0)</f>
        <v>0</v>
      </c>
      <c r="N419">
        <f>IFERROR(ROUNDUP(50/VLOOKUP(Calculations[[#This Row],[Scope Element]],B4referenceServiceLife[[Tier 2 element]:[Default Service Life]],2, FALSE)-1,0),0)</f>
        <v>0</v>
      </c>
      <c r="O419" s="322">
        <f>IFERROR((Calculations[[#This Row],[A1-3]]+Calculations[[#This Row],[A4]]+Calculations[[#This Row],[A5]]+Calculations[[#This Row],[C2 total]]+Calculations[[#This Row],[C3 total]]+Calculations[[#This Row],[C4 total]])*Calculations[[#This Row],[Replacements]],0)</f>
        <v>0</v>
      </c>
      <c r="S419" t="str">
        <f>IFERROR(VLOOKUP(Calculations[[#This Row],[Material (choose from dropdown]],MaterialData[#All],4,FALSE),"")</f>
        <v/>
      </c>
      <c r="T419" s="322" cm="1">
        <f t="array" ref="T419">IFERROR(VLOOKUP(Calculations[[#This Row],[Waste 1]],WasteScenario[#All],2,FALSE)*'Stage assumptions'!$C$225*WasteTransportMethod[Emissions Factor
kgCO2e/kg.km]*Calculations[[#This Row],[Total Kg]],0)</f>
        <v>0</v>
      </c>
      <c r="U419" s="322" cm="1">
        <f t="array" ref="U419">IFERROR(VLOOKUP(Calculations[[#This Row],[Waste 1]],WasteScenario[#All],3,FALSE)*'Stage assumptions'!$C$224*WasteTransportMethod[Emissions Factor
kgCO2e/kg.km]*Calculations[[#This Row],[Total Kg]],0)</f>
        <v>0</v>
      </c>
      <c r="V419" s="322" cm="1">
        <f t="array" ref="V419">IFERROR(VLOOKUP(Calculations[[#This Row],[Waste 1]],WasteScenario[#All],4,FALSE)*'Stage assumptions'!$C$223*WasteTransportMethod[Emissions Factor
kgCO2e/kg.km]*Calculations[[#This Row],[Total Kg]],0)</f>
        <v>0</v>
      </c>
      <c r="W419" s="322" cm="1">
        <f t="array" ref="W419">IFERROR(VLOOKUP(Calculations[[#This Row],[Waste 1]],WasteScenario[#All],5,FALSE)*'Stage assumptions'!$C$226*WasteTransportMethod[Emissions Factor
kgCO2e/kg.km]*Calculations[[#This Row],[Total Kg]],0)</f>
        <v>0</v>
      </c>
      <c r="X419" s="322">
        <f>SUM(Calculations[[#This Row],[C2 Recycle]:[C2 Reuse]])</f>
        <v>0</v>
      </c>
      <c r="Y419" t="str">
        <f>IFERROR(VLOOKUP(Calculations[[#This Row],[Material (choose from dropdown]],MaterialData[#All],5,FALSE),"")</f>
        <v/>
      </c>
      <c r="Z419" s="322">
        <f>IFERROR(((VLOOKUP(Calculations[[#This Row],[Waste type 2]],WasteDisposalEmissions[#All],2,FALSE))*Calculations[[#This Row],[Total Kg]])*VLOOKUP(Calculations[[#This Row],[Waste 1]],WasteScenario[#All],2,FALSE),0)</f>
        <v>0</v>
      </c>
      <c r="AA419" s="322">
        <f>IFERROR((VLOOKUP(Calculations[[#This Row],[Waste type 2]],WasteDisposalEmissions[#All],3,FALSE))*Calculations[[#This Row],[Total Kg]]*VLOOKUP(Calculations[[#This Row],[Waste 1]],WasteScenario[#All],3,FALSE),0)</f>
        <v>0</v>
      </c>
      <c r="AB419" s="322">
        <f>SUM(Calculations[[#This Row],[C3 recyc]:[C3 incin]])</f>
        <v>0</v>
      </c>
      <c r="AC419" s="334">
        <f>IFERROR((VLOOKUP(Calculations[[#This Row],[Waste type 2]],WasteLandfillEmissions[#All],2,FALSE))*Calculations[[#This Row],[Total Kg]]*VLOOKUP(Calculations[[#This Row],[Waste 1]],WasteScenario[#All],4,FALSE),0)</f>
        <v>0</v>
      </c>
      <c r="AD419" s="322">
        <f>IFERROR((VLOOKUP(Calculations[[#This Row],[Waste type 2]],WasteLandfillEmissions[#All],3,FALSE))*Calculations[[#This Row],[Total Kg]]*VLOOKUP(Calculations[[#This Row],[Waste 1]],WasteScenario[#All],4,FALSE),0)</f>
        <v>0</v>
      </c>
      <c r="AE419" s="322">
        <f>SUM(Calculations[[#This Row],[C4 landfill]:[C4 re-use]])</f>
        <v>0</v>
      </c>
      <c r="AF419" s="322">
        <f>IFERROR(VLOOKUP(Calculations[[#This Row],[Material (choose from dropdown]],MaterialData[#All],8,FALSE),0)</f>
        <v>0</v>
      </c>
      <c r="AG419" s="322">
        <f>IFERROR(Calculations[[#This Row],[Total Kg]]*Calculations[[#This Row],[Seq factor]],0)</f>
        <v>0</v>
      </c>
      <c r="AI419" s="322">
        <f>Calculations[[#This Row],[A1-3]]+Calculations[[#This Row],[A4]]+Calculations[[#This Row],[A5]]+Calculations[[#This Row],[B4]]+Calculations[[#This Row],[C2 total]]+Calculations[[#This Row],[C3 total]]+Calculations[[#This Row],[C4 total]]</f>
        <v>0</v>
      </c>
      <c r="AJ419" s="2">
        <f>IFERROR(VLOOKUP(Calculations[[#This Row],[Material (choose from dropdown]],MaterialData[[#Headers],[#Data]],9,FALSE),0)</f>
        <v>0</v>
      </c>
      <c r="AK419" s="4">
        <f>IFERROR(VLOOKUP(Calculations[[#This Row],[Material (choose from dropdown]],MaterialData[[#Headers],[#Data]],10,FALSE),0)</f>
        <v>0</v>
      </c>
      <c r="AL419" s="322">
        <f>IFERROR(Calculations[[#This Row],[Data Quality Score]]*Calculations[[#This Row],[Total Kg]],0)</f>
        <v>0</v>
      </c>
    </row>
    <row r="420" spans="1:38" x14ac:dyDescent="0.3">
      <c r="A420" s="6">
        <f>IFERROR(MaterialsBoQ[[#This Row],[Scope Element]],0)</f>
        <v>0</v>
      </c>
      <c r="B420" t="str">
        <f>IFERROR(MaterialsBoQ[[#This Row],[Material ]],"")</f>
        <v/>
      </c>
      <c r="C420" t="str">
        <f>IFERROR(MaterialsBoQ[[#This Row],[Unit]],"")</f>
        <v/>
      </c>
      <c r="D420" s="322">
        <f>IFERROR(MaterialsBoQ[[#This Row],[Number]],0)</f>
        <v>0</v>
      </c>
      <c r="E420" s="322">
        <f>IFERROR(MaterialsBoQ[[#This Row],[Kg per unit]],0)</f>
        <v>0</v>
      </c>
      <c r="F420" s="322">
        <f>IFERROR(Calculations[[#This Row],[Number]]*Calculations[[#This Row],[Conversion factor]],0)</f>
        <v>0</v>
      </c>
      <c r="G420" s="322">
        <f>IFERROR(VLOOKUP(Calculations[[#This Row],[Material (choose from dropdown]],MaterialData[#All],7,FALSE),0)</f>
        <v>0</v>
      </c>
      <c r="H420" s="322">
        <f>Calculations[[#This Row],[Total Kg]]*Calculations[[#This Row],[Carbon Factor]]</f>
        <v>0</v>
      </c>
      <c r="I420" t="str">
        <f>IFERROR(VLOOKUP(Calculations[[#This Row],[Material (choose from dropdown]],MaterialData[#All],2,FALSE),"")</f>
        <v/>
      </c>
      <c r="J420" s="322">
        <f>IFERROR(((VLOOKUP(Calculations[[#This Row],[TransportSource]],TransportDistance[],2,FALSE)*'Stage assumptions'!$C$11)+VLOOKUP(Calculations[[#This Row],[TransportSource]],TransportDistance[],3,FALSE)*'Stage assumptions'!$C$12)*Calculations[[#This Row],[Total Kg]],0)</f>
        <v>0</v>
      </c>
      <c r="K420">
        <f>IFERROR(VLOOKUP(Calculations[[#This Row],[Material (choose from dropdown]], MaterialData[#All],3, FALSE),0)</f>
        <v>0</v>
      </c>
      <c r="L420" s="322">
        <f>IFERROR(VLOOKUP(Calculations[[#This Row],[A5type]],A5WastageRate[#All],2,FALSE)*Calculations[[#This Row],[A1-3]],0)</f>
        <v>0</v>
      </c>
      <c r="N420">
        <f>IFERROR(ROUNDUP(50/VLOOKUP(Calculations[[#This Row],[Scope Element]],B4referenceServiceLife[[Tier 2 element]:[Default Service Life]],2, FALSE)-1,0),0)</f>
        <v>0</v>
      </c>
      <c r="O420" s="322">
        <f>IFERROR((Calculations[[#This Row],[A1-3]]+Calculations[[#This Row],[A4]]+Calculations[[#This Row],[A5]]+Calculations[[#This Row],[C2 total]]+Calculations[[#This Row],[C3 total]]+Calculations[[#This Row],[C4 total]])*Calculations[[#This Row],[Replacements]],0)</f>
        <v>0</v>
      </c>
      <c r="S420" t="str">
        <f>IFERROR(VLOOKUP(Calculations[[#This Row],[Material (choose from dropdown]],MaterialData[#All],4,FALSE),"")</f>
        <v/>
      </c>
      <c r="T420" s="322" cm="1">
        <f t="array" ref="T420">IFERROR(VLOOKUP(Calculations[[#This Row],[Waste 1]],WasteScenario[#All],2,FALSE)*'Stage assumptions'!$C$225*WasteTransportMethod[Emissions Factor
kgCO2e/kg.km]*Calculations[[#This Row],[Total Kg]],0)</f>
        <v>0</v>
      </c>
      <c r="U420" s="322" cm="1">
        <f t="array" ref="U420">IFERROR(VLOOKUP(Calculations[[#This Row],[Waste 1]],WasteScenario[#All],3,FALSE)*'Stage assumptions'!$C$224*WasteTransportMethod[Emissions Factor
kgCO2e/kg.km]*Calculations[[#This Row],[Total Kg]],0)</f>
        <v>0</v>
      </c>
      <c r="V420" s="322" cm="1">
        <f t="array" ref="V420">IFERROR(VLOOKUP(Calculations[[#This Row],[Waste 1]],WasteScenario[#All],4,FALSE)*'Stage assumptions'!$C$223*WasteTransportMethod[Emissions Factor
kgCO2e/kg.km]*Calculations[[#This Row],[Total Kg]],0)</f>
        <v>0</v>
      </c>
      <c r="W420" s="322" cm="1">
        <f t="array" ref="W420">IFERROR(VLOOKUP(Calculations[[#This Row],[Waste 1]],WasteScenario[#All],5,FALSE)*'Stage assumptions'!$C$226*WasteTransportMethod[Emissions Factor
kgCO2e/kg.km]*Calculations[[#This Row],[Total Kg]],0)</f>
        <v>0</v>
      </c>
      <c r="X420" s="322">
        <f>SUM(Calculations[[#This Row],[C2 Recycle]:[C2 Reuse]])</f>
        <v>0</v>
      </c>
      <c r="Y420" t="str">
        <f>IFERROR(VLOOKUP(Calculations[[#This Row],[Material (choose from dropdown]],MaterialData[#All],5,FALSE),"")</f>
        <v/>
      </c>
      <c r="Z420" s="322">
        <f>IFERROR(((VLOOKUP(Calculations[[#This Row],[Waste type 2]],WasteDisposalEmissions[#All],2,FALSE))*Calculations[[#This Row],[Total Kg]])*VLOOKUP(Calculations[[#This Row],[Waste 1]],WasteScenario[#All],2,FALSE),0)</f>
        <v>0</v>
      </c>
      <c r="AA420" s="322">
        <f>IFERROR((VLOOKUP(Calculations[[#This Row],[Waste type 2]],WasteDisposalEmissions[#All],3,FALSE))*Calculations[[#This Row],[Total Kg]]*VLOOKUP(Calculations[[#This Row],[Waste 1]],WasteScenario[#All],3,FALSE),0)</f>
        <v>0</v>
      </c>
      <c r="AB420" s="322">
        <f>SUM(Calculations[[#This Row],[C3 recyc]:[C3 incin]])</f>
        <v>0</v>
      </c>
      <c r="AC420" s="334">
        <f>IFERROR((VLOOKUP(Calculations[[#This Row],[Waste type 2]],WasteLandfillEmissions[#All],2,FALSE))*Calculations[[#This Row],[Total Kg]]*VLOOKUP(Calculations[[#This Row],[Waste 1]],WasteScenario[#All],4,FALSE),0)</f>
        <v>0</v>
      </c>
      <c r="AD420" s="322">
        <f>IFERROR((VLOOKUP(Calculations[[#This Row],[Waste type 2]],WasteLandfillEmissions[#All],3,FALSE))*Calculations[[#This Row],[Total Kg]]*VLOOKUP(Calculations[[#This Row],[Waste 1]],WasteScenario[#All],4,FALSE),0)</f>
        <v>0</v>
      </c>
      <c r="AE420" s="322">
        <f>SUM(Calculations[[#This Row],[C4 landfill]:[C4 re-use]])</f>
        <v>0</v>
      </c>
      <c r="AF420" s="322">
        <f>IFERROR(VLOOKUP(Calculations[[#This Row],[Material (choose from dropdown]],MaterialData[#All],8,FALSE),0)</f>
        <v>0</v>
      </c>
      <c r="AG420" s="322">
        <f>IFERROR(Calculations[[#This Row],[Total Kg]]*Calculations[[#This Row],[Seq factor]],0)</f>
        <v>0</v>
      </c>
      <c r="AI420" s="322">
        <f>Calculations[[#This Row],[A1-3]]+Calculations[[#This Row],[A4]]+Calculations[[#This Row],[A5]]+Calculations[[#This Row],[B4]]+Calculations[[#This Row],[C2 total]]+Calculations[[#This Row],[C3 total]]+Calculations[[#This Row],[C4 total]]</f>
        <v>0</v>
      </c>
      <c r="AJ420" s="2">
        <f>IFERROR(VLOOKUP(Calculations[[#This Row],[Material (choose from dropdown]],MaterialData[[#Headers],[#Data]],9,FALSE),0)</f>
        <v>0</v>
      </c>
      <c r="AK420" s="4">
        <f>IFERROR(VLOOKUP(Calculations[[#This Row],[Material (choose from dropdown]],MaterialData[[#Headers],[#Data]],10,FALSE),0)</f>
        <v>0</v>
      </c>
      <c r="AL420" s="322">
        <f>IFERROR(Calculations[[#This Row],[Data Quality Score]]*Calculations[[#This Row],[Total Kg]],0)</f>
        <v>0</v>
      </c>
    </row>
    <row r="421" spans="1:38" x14ac:dyDescent="0.3">
      <c r="A421" s="6">
        <f>IFERROR(MaterialsBoQ[[#This Row],[Scope Element]],0)</f>
        <v>0</v>
      </c>
      <c r="B421" t="str">
        <f>IFERROR(MaterialsBoQ[[#This Row],[Material ]],"")</f>
        <v/>
      </c>
      <c r="C421" t="str">
        <f>IFERROR(MaterialsBoQ[[#This Row],[Unit]],"")</f>
        <v/>
      </c>
      <c r="D421" s="322">
        <f>IFERROR(MaterialsBoQ[[#This Row],[Number]],0)</f>
        <v>0</v>
      </c>
      <c r="E421" s="322">
        <f>IFERROR(MaterialsBoQ[[#This Row],[Kg per unit]],0)</f>
        <v>0</v>
      </c>
      <c r="F421" s="322">
        <f>IFERROR(Calculations[[#This Row],[Number]]*Calculations[[#This Row],[Conversion factor]],0)</f>
        <v>0</v>
      </c>
      <c r="G421" s="322">
        <f>IFERROR(VLOOKUP(Calculations[[#This Row],[Material (choose from dropdown]],MaterialData[#All],7,FALSE),0)</f>
        <v>0</v>
      </c>
      <c r="H421" s="322">
        <f>Calculations[[#This Row],[Total Kg]]*Calculations[[#This Row],[Carbon Factor]]</f>
        <v>0</v>
      </c>
      <c r="I421" t="str">
        <f>IFERROR(VLOOKUP(Calculations[[#This Row],[Material (choose from dropdown]],MaterialData[#All],2,FALSE),"")</f>
        <v/>
      </c>
      <c r="J421" s="322">
        <f>IFERROR(((VLOOKUP(Calculations[[#This Row],[TransportSource]],TransportDistance[],2,FALSE)*'Stage assumptions'!$C$11)+VLOOKUP(Calculations[[#This Row],[TransportSource]],TransportDistance[],3,FALSE)*'Stage assumptions'!$C$12)*Calculations[[#This Row],[Total Kg]],0)</f>
        <v>0</v>
      </c>
      <c r="K421">
        <f>IFERROR(VLOOKUP(Calculations[[#This Row],[Material (choose from dropdown]], MaterialData[#All],3, FALSE),0)</f>
        <v>0</v>
      </c>
      <c r="L421" s="322">
        <f>IFERROR(VLOOKUP(Calculations[[#This Row],[A5type]],A5WastageRate[#All],2,FALSE)*Calculations[[#This Row],[A1-3]],0)</f>
        <v>0</v>
      </c>
      <c r="N421">
        <f>IFERROR(ROUNDUP(50/VLOOKUP(Calculations[[#This Row],[Scope Element]],B4referenceServiceLife[[Tier 2 element]:[Default Service Life]],2, FALSE)-1,0),0)</f>
        <v>0</v>
      </c>
      <c r="O421" s="322">
        <f>IFERROR((Calculations[[#This Row],[A1-3]]+Calculations[[#This Row],[A4]]+Calculations[[#This Row],[A5]]+Calculations[[#This Row],[C2 total]]+Calculations[[#This Row],[C3 total]]+Calculations[[#This Row],[C4 total]])*Calculations[[#This Row],[Replacements]],0)</f>
        <v>0</v>
      </c>
      <c r="S421" t="str">
        <f>IFERROR(VLOOKUP(Calculations[[#This Row],[Material (choose from dropdown]],MaterialData[#All],4,FALSE),"")</f>
        <v/>
      </c>
      <c r="T421" s="322" cm="1">
        <f t="array" ref="T421">IFERROR(VLOOKUP(Calculations[[#This Row],[Waste 1]],WasteScenario[#All],2,FALSE)*'Stage assumptions'!$C$225*WasteTransportMethod[Emissions Factor
kgCO2e/kg.km]*Calculations[[#This Row],[Total Kg]],0)</f>
        <v>0</v>
      </c>
      <c r="U421" s="322" cm="1">
        <f t="array" ref="U421">IFERROR(VLOOKUP(Calculations[[#This Row],[Waste 1]],WasteScenario[#All],3,FALSE)*'Stage assumptions'!$C$224*WasteTransportMethod[Emissions Factor
kgCO2e/kg.km]*Calculations[[#This Row],[Total Kg]],0)</f>
        <v>0</v>
      </c>
      <c r="V421" s="322" cm="1">
        <f t="array" ref="V421">IFERROR(VLOOKUP(Calculations[[#This Row],[Waste 1]],WasteScenario[#All],4,FALSE)*'Stage assumptions'!$C$223*WasteTransportMethod[Emissions Factor
kgCO2e/kg.km]*Calculations[[#This Row],[Total Kg]],0)</f>
        <v>0</v>
      </c>
      <c r="W421" s="322" cm="1">
        <f t="array" ref="W421">IFERROR(VLOOKUP(Calculations[[#This Row],[Waste 1]],WasteScenario[#All],5,FALSE)*'Stage assumptions'!$C$226*WasteTransportMethod[Emissions Factor
kgCO2e/kg.km]*Calculations[[#This Row],[Total Kg]],0)</f>
        <v>0</v>
      </c>
      <c r="X421" s="322">
        <f>SUM(Calculations[[#This Row],[C2 Recycle]:[C2 Reuse]])</f>
        <v>0</v>
      </c>
      <c r="Y421" t="str">
        <f>IFERROR(VLOOKUP(Calculations[[#This Row],[Material (choose from dropdown]],MaterialData[#All],5,FALSE),"")</f>
        <v/>
      </c>
      <c r="Z421" s="322">
        <f>IFERROR(((VLOOKUP(Calculations[[#This Row],[Waste type 2]],WasteDisposalEmissions[#All],2,FALSE))*Calculations[[#This Row],[Total Kg]])*VLOOKUP(Calculations[[#This Row],[Waste 1]],WasteScenario[#All],2,FALSE),0)</f>
        <v>0</v>
      </c>
      <c r="AA421" s="322">
        <f>IFERROR((VLOOKUP(Calculations[[#This Row],[Waste type 2]],WasteDisposalEmissions[#All],3,FALSE))*Calculations[[#This Row],[Total Kg]]*VLOOKUP(Calculations[[#This Row],[Waste 1]],WasteScenario[#All],3,FALSE),0)</f>
        <v>0</v>
      </c>
      <c r="AB421" s="322">
        <f>SUM(Calculations[[#This Row],[C3 recyc]:[C3 incin]])</f>
        <v>0</v>
      </c>
      <c r="AC421" s="334">
        <f>IFERROR((VLOOKUP(Calculations[[#This Row],[Waste type 2]],WasteLandfillEmissions[#All],2,FALSE))*Calculations[[#This Row],[Total Kg]]*VLOOKUP(Calculations[[#This Row],[Waste 1]],WasteScenario[#All],4,FALSE),0)</f>
        <v>0</v>
      </c>
      <c r="AD421" s="322">
        <f>IFERROR((VLOOKUP(Calculations[[#This Row],[Waste type 2]],WasteLandfillEmissions[#All],3,FALSE))*Calculations[[#This Row],[Total Kg]]*VLOOKUP(Calculations[[#This Row],[Waste 1]],WasteScenario[#All],4,FALSE),0)</f>
        <v>0</v>
      </c>
      <c r="AE421" s="322">
        <f>SUM(Calculations[[#This Row],[C4 landfill]:[C4 re-use]])</f>
        <v>0</v>
      </c>
      <c r="AF421" s="322">
        <f>IFERROR(VLOOKUP(Calculations[[#This Row],[Material (choose from dropdown]],MaterialData[#All],8,FALSE),0)</f>
        <v>0</v>
      </c>
      <c r="AG421" s="322">
        <f>IFERROR(Calculations[[#This Row],[Total Kg]]*Calculations[[#This Row],[Seq factor]],0)</f>
        <v>0</v>
      </c>
      <c r="AI421" s="322">
        <f>Calculations[[#This Row],[A1-3]]+Calculations[[#This Row],[A4]]+Calculations[[#This Row],[A5]]+Calculations[[#This Row],[B4]]+Calculations[[#This Row],[C2 total]]+Calculations[[#This Row],[C3 total]]+Calculations[[#This Row],[C4 total]]</f>
        <v>0</v>
      </c>
      <c r="AJ421" s="2">
        <f>IFERROR(VLOOKUP(Calculations[[#This Row],[Material (choose from dropdown]],MaterialData[[#Headers],[#Data]],9,FALSE),0)</f>
        <v>0</v>
      </c>
      <c r="AK421" s="4">
        <f>IFERROR(VLOOKUP(Calculations[[#This Row],[Material (choose from dropdown]],MaterialData[[#Headers],[#Data]],10,FALSE),0)</f>
        <v>0</v>
      </c>
      <c r="AL421" s="322">
        <f>IFERROR(Calculations[[#This Row],[Data Quality Score]]*Calculations[[#This Row],[Total Kg]],0)</f>
        <v>0</v>
      </c>
    </row>
    <row r="422" spans="1:38" x14ac:dyDescent="0.3">
      <c r="A422" s="6">
        <f>IFERROR(MaterialsBoQ[[#This Row],[Scope Element]],0)</f>
        <v>0</v>
      </c>
      <c r="B422" t="str">
        <f>IFERROR(MaterialsBoQ[[#This Row],[Material ]],"")</f>
        <v/>
      </c>
      <c r="C422" t="str">
        <f>IFERROR(MaterialsBoQ[[#This Row],[Unit]],"")</f>
        <v/>
      </c>
      <c r="D422" s="322">
        <f>IFERROR(MaterialsBoQ[[#This Row],[Number]],0)</f>
        <v>0</v>
      </c>
      <c r="E422" s="322">
        <f>IFERROR(MaterialsBoQ[[#This Row],[Kg per unit]],0)</f>
        <v>0</v>
      </c>
      <c r="F422" s="322">
        <f>IFERROR(Calculations[[#This Row],[Number]]*Calculations[[#This Row],[Conversion factor]],0)</f>
        <v>0</v>
      </c>
      <c r="G422" s="322">
        <f>IFERROR(VLOOKUP(Calculations[[#This Row],[Material (choose from dropdown]],MaterialData[#All],7,FALSE),0)</f>
        <v>0</v>
      </c>
      <c r="H422" s="322">
        <f>Calculations[[#This Row],[Total Kg]]*Calculations[[#This Row],[Carbon Factor]]</f>
        <v>0</v>
      </c>
      <c r="I422" t="str">
        <f>IFERROR(VLOOKUP(Calculations[[#This Row],[Material (choose from dropdown]],MaterialData[#All],2,FALSE),"")</f>
        <v/>
      </c>
      <c r="J422" s="322">
        <f>IFERROR(((VLOOKUP(Calculations[[#This Row],[TransportSource]],TransportDistance[],2,FALSE)*'Stage assumptions'!$C$11)+VLOOKUP(Calculations[[#This Row],[TransportSource]],TransportDistance[],3,FALSE)*'Stage assumptions'!$C$12)*Calculations[[#This Row],[Total Kg]],0)</f>
        <v>0</v>
      </c>
      <c r="K422">
        <f>IFERROR(VLOOKUP(Calculations[[#This Row],[Material (choose from dropdown]], MaterialData[#All],3, FALSE),0)</f>
        <v>0</v>
      </c>
      <c r="L422" s="322">
        <f>IFERROR(VLOOKUP(Calculations[[#This Row],[A5type]],A5WastageRate[#All],2,FALSE)*Calculations[[#This Row],[A1-3]],0)</f>
        <v>0</v>
      </c>
      <c r="N422">
        <f>IFERROR(ROUNDUP(50/VLOOKUP(Calculations[[#This Row],[Scope Element]],B4referenceServiceLife[[Tier 2 element]:[Default Service Life]],2, FALSE)-1,0),0)</f>
        <v>0</v>
      </c>
      <c r="O422" s="322">
        <f>IFERROR((Calculations[[#This Row],[A1-3]]+Calculations[[#This Row],[A4]]+Calculations[[#This Row],[A5]]+Calculations[[#This Row],[C2 total]]+Calculations[[#This Row],[C3 total]]+Calculations[[#This Row],[C4 total]])*Calculations[[#This Row],[Replacements]],0)</f>
        <v>0</v>
      </c>
      <c r="S422" t="str">
        <f>IFERROR(VLOOKUP(Calculations[[#This Row],[Material (choose from dropdown]],MaterialData[#All],4,FALSE),"")</f>
        <v/>
      </c>
      <c r="T422" s="322" cm="1">
        <f t="array" ref="T422">IFERROR(VLOOKUP(Calculations[[#This Row],[Waste 1]],WasteScenario[#All],2,FALSE)*'Stage assumptions'!$C$225*WasteTransportMethod[Emissions Factor
kgCO2e/kg.km]*Calculations[[#This Row],[Total Kg]],0)</f>
        <v>0</v>
      </c>
      <c r="U422" s="322" cm="1">
        <f t="array" ref="U422">IFERROR(VLOOKUP(Calculations[[#This Row],[Waste 1]],WasteScenario[#All],3,FALSE)*'Stage assumptions'!$C$224*WasteTransportMethod[Emissions Factor
kgCO2e/kg.km]*Calculations[[#This Row],[Total Kg]],0)</f>
        <v>0</v>
      </c>
      <c r="V422" s="322" cm="1">
        <f t="array" ref="V422">IFERROR(VLOOKUP(Calculations[[#This Row],[Waste 1]],WasteScenario[#All],4,FALSE)*'Stage assumptions'!$C$223*WasteTransportMethod[Emissions Factor
kgCO2e/kg.km]*Calculations[[#This Row],[Total Kg]],0)</f>
        <v>0</v>
      </c>
      <c r="W422" s="322" cm="1">
        <f t="array" ref="W422">IFERROR(VLOOKUP(Calculations[[#This Row],[Waste 1]],WasteScenario[#All],5,FALSE)*'Stage assumptions'!$C$226*WasteTransportMethod[Emissions Factor
kgCO2e/kg.km]*Calculations[[#This Row],[Total Kg]],0)</f>
        <v>0</v>
      </c>
      <c r="X422" s="322">
        <f>SUM(Calculations[[#This Row],[C2 Recycle]:[C2 Reuse]])</f>
        <v>0</v>
      </c>
      <c r="Y422" t="str">
        <f>IFERROR(VLOOKUP(Calculations[[#This Row],[Material (choose from dropdown]],MaterialData[#All],5,FALSE),"")</f>
        <v/>
      </c>
      <c r="Z422" s="322">
        <f>IFERROR(((VLOOKUP(Calculations[[#This Row],[Waste type 2]],WasteDisposalEmissions[#All],2,FALSE))*Calculations[[#This Row],[Total Kg]])*VLOOKUP(Calculations[[#This Row],[Waste 1]],WasteScenario[#All],2,FALSE),0)</f>
        <v>0</v>
      </c>
      <c r="AA422" s="322">
        <f>IFERROR((VLOOKUP(Calculations[[#This Row],[Waste type 2]],WasteDisposalEmissions[#All],3,FALSE))*Calculations[[#This Row],[Total Kg]]*VLOOKUP(Calculations[[#This Row],[Waste 1]],WasteScenario[#All],3,FALSE),0)</f>
        <v>0</v>
      </c>
      <c r="AB422" s="322">
        <f>SUM(Calculations[[#This Row],[C3 recyc]:[C3 incin]])</f>
        <v>0</v>
      </c>
      <c r="AC422" s="334">
        <f>IFERROR((VLOOKUP(Calculations[[#This Row],[Waste type 2]],WasteLandfillEmissions[#All],2,FALSE))*Calculations[[#This Row],[Total Kg]]*VLOOKUP(Calculations[[#This Row],[Waste 1]],WasteScenario[#All],4,FALSE),0)</f>
        <v>0</v>
      </c>
      <c r="AD422" s="322">
        <f>IFERROR((VLOOKUP(Calculations[[#This Row],[Waste type 2]],WasteLandfillEmissions[#All],3,FALSE))*Calculations[[#This Row],[Total Kg]]*VLOOKUP(Calculations[[#This Row],[Waste 1]],WasteScenario[#All],4,FALSE),0)</f>
        <v>0</v>
      </c>
      <c r="AE422" s="322">
        <f>SUM(Calculations[[#This Row],[C4 landfill]:[C4 re-use]])</f>
        <v>0</v>
      </c>
      <c r="AF422" s="322">
        <f>IFERROR(VLOOKUP(Calculations[[#This Row],[Material (choose from dropdown]],MaterialData[#All],8,FALSE),0)</f>
        <v>0</v>
      </c>
      <c r="AG422" s="322">
        <f>IFERROR(Calculations[[#This Row],[Total Kg]]*Calculations[[#This Row],[Seq factor]],0)</f>
        <v>0</v>
      </c>
      <c r="AI422" s="322">
        <f>Calculations[[#This Row],[A1-3]]+Calculations[[#This Row],[A4]]+Calculations[[#This Row],[A5]]+Calculations[[#This Row],[B4]]+Calculations[[#This Row],[C2 total]]+Calculations[[#This Row],[C3 total]]+Calculations[[#This Row],[C4 total]]</f>
        <v>0</v>
      </c>
      <c r="AJ422" s="2">
        <f>IFERROR(VLOOKUP(Calculations[[#This Row],[Material (choose from dropdown]],MaterialData[[#Headers],[#Data]],9,FALSE),0)</f>
        <v>0</v>
      </c>
      <c r="AK422" s="4">
        <f>IFERROR(VLOOKUP(Calculations[[#This Row],[Material (choose from dropdown]],MaterialData[[#Headers],[#Data]],10,FALSE),0)</f>
        <v>0</v>
      </c>
      <c r="AL422" s="322">
        <f>IFERROR(Calculations[[#This Row],[Data Quality Score]]*Calculations[[#This Row],[Total Kg]],0)</f>
        <v>0</v>
      </c>
    </row>
    <row r="423" spans="1:38" x14ac:dyDescent="0.3">
      <c r="A423" s="6">
        <f>IFERROR(MaterialsBoQ[[#This Row],[Scope Element]],0)</f>
        <v>0</v>
      </c>
      <c r="B423" t="str">
        <f>IFERROR(MaterialsBoQ[[#This Row],[Material ]],"")</f>
        <v/>
      </c>
      <c r="C423" t="str">
        <f>IFERROR(MaterialsBoQ[[#This Row],[Unit]],"")</f>
        <v/>
      </c>
      <c r="D423" s="322">
        <f>IFERROR(MaterialsBoQ[[#This Row],[Number]],0)</f>
        <v>0</v>
      </c>
      <c r="E423" s="322">
        <f>IFERROR(MaterialsBoQ[[#This Row],[Kg per unit]],0)</f>
        <v>0</v>
      </c>
      <c r="F423" s="322">
        <f>IFERROR(Calculations[[#This Row],[Number]]*Calculations[[#This Row],[Conversion factor]],0)</f>
        <v>0</v>
      </c>
      <c r="G423" s="322">
        <f>IFERROR(VLOOKUP(Calculations[[#This Row],[Material (choose from dropdown]],MaterialData[#All],7,FALSE),0)</f>
        <v>0</v>
      </c>
      <c r="H423" s="322">
        <f>Calculations[[#This Row],[Total Kg]]*Calculations[[#This Row],[Carbon Factor]]</f>
        <v>0</v>
      </c>
      <c r="I423" t="str">
        <f>IFERROR(VLOOKUP(Calculations[[#This Row],[Material (choose from dropdown]],MaterialData[#All],2,FALSE),"")</f>
        <v/>
      </c>
      <c r="J423" s="322">
        <f>IFERROR(((VLOOKUP(Calculations[[#This Row],[TransportSource]],TransportDistance[],2,FALSE)*'Stage assumptions'!$C$11)+VLOOKUP(Calculations[[#This Row],[TransportSource]],TransportDistance[],3,FALSE)*'Stage assumptions'!$C$12)*Calculations[[#This Row],[Total Kg]],0)</f>
        <v>0</v>
      </c>
      <c r="K423">
        <f>IFERROR(VLOOKUP(Calculations[[#This Row],[Material (choose from dropdown]], MaterialData[#All],3, FALSE),0)</f>
        <v>0</v>
      </c>
      <c r="L423" s="322">
        <f>IFERROR(VLOOKUP(Calculations[[#This Row],[A5type]],A5WastageRate[#All],2,FALSE)*Calculations[[#This Row],[A1-3]],0)</f>
        <v>0</v>
      </c>
      <c r="N423">
        <f>IFERROR(ROUNDUP(50/VLOOKUP(Calculations[[#This Row],[Scope Element]],B4referenceServiceLife[[Tier 2 element]:[Default Service Life]],2, FALSE)-1,0),0)</f>
        <v>0</v>
      </c>
      <c r="O423" s="322">
        <f>IFERROR((Calculations[[#This Row],[A1-3]]+Calculations[[#This Row],[A4]]+Calculations[[#This Row],[A5]]+Calculations[[#This Row],[C2 total]]+Calculations[[#This Row],[C3 total]]+Calculations[[#This Row],[C4 total]])*Calculations[[#This Row],[Replacements]],0)</f>
        <v>0</v>
      </c>
      <c r="S423" t="str">
        <f>IFERROR(VLOOKUP(Calculations[[#This Row],[Material (choose from dropdown]],MaterialData[#All],4,FALSE),"")</f>
        <v/>
      </c>
      <c r="T423" s="322" cm="1">
        <f t="array" ref="T423">IFERROR(VLOOKUP(Calculations[[#This Row],[Waste 1]],WasteScenario[#All],2,FALSE)*'Stage assumptions'!$C$225*WasteTransportMethod[Emissions Factor
kgCO2e/kg.km]*Calculations[[#This Row],[Total Kg]],0)</f>
        <v>0</v>
      </c>
      <c r="U423" s="322" cm="1">
        <f t="array" ref="U423">IFERROR(VLOOKUP(Calculations[[#This Row],[Waste 1]],WasteScenario[#All],3,FALSE)*'Stage assumptions'!$C$224*WasteTransportMethod[Emissions Factor
kgCO2e/kg.km]*Calculations[[#This Row],[Total Kg]],0)</f>
        <v>0</v>
      </c>
      <c r="V423" s="322" cm="1">
        <f t="array" ref="V423">IFERROR(VLOOKUP(Calculations[[#This Row],[Waste 1]],WasteScenario[#All],4,FALSE)*'Stage assumptions'!$C$223*WasteTransportMethod[Emissions Factor
kgCO2e/kg.km]*Calculations[[#This Row],[Total Kg]],0)</f>
        <v>0</v>
      </c>
      <c r="W423" s="322" cm="1">
        <f t="array" ref="W423">IFERROR(VLOOKUP(Calculations[[#This Row],[Waste 1]],WasteScenario[#All],5,FALSE)*'Stage assumptions'!$C$226*WasteTransportMethod[Emissions Factor
kgCO2e/kg.km]*Calculations[[#This Row],[Total Kg]],0)</f>
        <v>0</v>
      </c>
      <c r="X423" s="322">
        <f>SUM(Calculations[[#This Row],[C2 Recycle]:[C2 Reuse]])</f>
        <v>0</v>
      </c>
      <c r="Y423" t="str">
        <f>IFERROR(VLOOKUP(Calculations[[#This Row],[Material (choose from dropdown]],MaterialData[#All],5,FALSE),"")</f>
        <v/>
      </c>
      <c r="Z423" s="322">
        <f>IFERROR(((VLOOKUP(Calculations[[#This Row],[Waste type 2]],WasteDisposalEmissions[#All],2,FALSE))*Calculations[[#This Row],[Total Kg]])*VLOOKUP(Calculations[[#This Row],[Waste 1]],WasteScenario[#All],2,FALSE),0)</f>
        <v>0</v>
      </c>
      <c r="AA423" s="322">
        <f>IFERROR((VLOOKUP(Calculations[[#This Row],[Waste type 2]],WasteDisposalEmissions[#All],3,FALSE))*Calculations[[#This Row],[Total Kg]]*VLOOKUP(Calculations[[#This Row],[Waste 1]],WasteScenario[#All],3,FALSE),0)</f>
        <v>0</v>
      </c>
      <c r="AB423" s="322">
        <f>SUM(Calculations[[#This Row],[C3 recyc]:[C3 incin]])</f>
        <v>0</v>
      </c>
      <c r="AC423" s="334">
        <f>IFERROR((VLOOKUP(Calculations[[#This Row],[Waste type 2]],WasteLandfillEmissions[#All],2,FALSE))*Calculations[[#This Row],[Total Kg]]*VLOOKUP(Calculations[[#This Row],[Waste 1]],WasteScenario[#All],4,FALSE),0)</f>
        <v>0</v>
      </c>
      <c r="AD423" s="322">
        <f>IFERROR((VLOOKUP(Calculations[[#This Row],[Waste type 2]],WasteLandfillEmissions[#All],3,FALSE))*Calculations[[#This Row],[Total Kg]]*VLOOKUP(Calculations[[#This Row],[Waste 1]],WasteScenario[#All],4,FALSE),0)</f>
        <v>0</v>
      </c>
      <c r="AE423" s="322">
        <f>SUM(Calculations[[#This Row],[C4 landfill]:[C4 re-use]])</f>
        <v>0</v>
      </c>
      <c r="AF423" s="322">
        <f>IFERROR(VLOOKUP(Calculations[[#This Row],[Material (choose from dropdown]],MaterialData[#All],8,FALSE),0)</f>
        <v>0</v>
      </c>
      <c r="AG423" s="322">
        <f>IFERROR(Calculations[[#This Row],[Total Kg]]*Calculations[[#This Row],[Seq factor]],0)</f>
        <v>0</v>
      </c>
      <c r="AI423" s="322">
        <f>Calculations[[#This Row],[A1-3]]+Calculations[[#This Row],[A4]]+Calculations[[#This Row],[A5]]+Calculations[[#This Row],[B4]]+Calculations[[#This Row],[C2 total]]+Calculations[[#This Row],[C3 total]]+Calculations[[#This Row],[C4 total]]</f>
        <v>0</v>
      </c>
      <c r="AJ423" s="2">
        <f>IFERROR(VLOOKUP(Calculations[[#This Row],[Material (choose from dropdown]],MaterialData[[#Headers],[#Data]],9,FALSE),0)</f>
        <v>0</v>
      </c>
      <c r="AK423" s="4">
        <f>IFERROR(VLOOKUP(Calculations[[#This Row],[Material (choose from dropdown]],MaterialData[[#Headers],[#Data]],10,FALSE),0)</f>
        <v>0</v>
      </c>
      <c r="AL423" s="322">
        <f>IFERROR(Calculations[[#This Row],[Data Quality Score]]*Calculations[[#This Row],[Total Kg]],0)</f>
        <v>0</v>
      </c>
    </row>
    <row r="424" spans="1:38" x14ac:dyDescent="0.3">
      <c r="A424" s="6">
        <f>IFERROR(MaterialsBoQ[[#This Row],[Scope Element]],0)</f>
        <v>0</v>
      </c>
      <c r="B424" t="str">
        <f>IFERROR(MaterialsBoQ[[#This Row],[Material ]],"")</f>
        <v/>
      </c>
      <c r="C424" t="str">
        <f>IFERROR(MaterialsBoQ[[#This Row],[Unit]],"")</f>
        <v/>
      </c>
      <c r="D424" s="322">
        <f>IFERROR(MaterialsBoQ[[#This Row],[Number]],0)</f>
        <v>0</v>
      </c>
      <c r="E424" s="322">
        <f>IFERROR(MaterialsBoQ[[#This Row],[Kg per unit]],0)</f>
        <v>0</v>
      </c>
      <c r="F424" s="322">
        <f>IFERROR(Calculations[[#This Row],[Number]]*Calculations[[#This Row],[Conversion factor]],0)</f>
        <v>0</v>
      </c>
      <c r="G424" s="322">
        <f>IFERROR(VLOOKUP(Calculations[[#This Row],[Material (choose from dropdown]],MaterialData[#All],7,FALSE),0)</f>
        <v>0</v>
      </c>
      <c r="H424" s="322">
        <f>Calculations[[#This Row],[Total Kg]]*Calculations[[#This Row],[Carbon Factor]]</f>
        <v>0</v>
      </c>
      <c r="I424" t="str">
        <f>IFERROR(VLOOKUP(Calculations[[#This Row],[Material (choose from dropdown]],MaterialData[#All],2,FALSE),"")</f>
        <v/>
      </c>
      <c r="J424" s="322">
        <f>IFERROR(((VLOOKUP(Calculations[[#This Row],[TransportSource]],TransportDistance[],2,FALSE)*'Stage assumptions'!$C$11)+VLOOKUP(Calculations[[#This Row],[TransportSource]],TransportDistance[],3,FALSE)*'Stage assumptions'!$C$12)*Calculations[[#This Row],[Total Kg]],0)</f>
        <v>0</v>
      </c>
      <c r="K424">
        <f>IFERROR(VLOOKUP(Calculations[[#This Row],[Material (choose from dropdown]], MaterialData[#All],3, FALSE),0)</f>
        <v>0</v>
      </c>
      <c r="L424" s="322">
        <f>IFERROR(VLOOKUP(Calculations[[#This Row],[A5type]],A5WastageRate[#All],2,FALSE)*Calculations[[#This Row],[A1-3]],0)</f>
        <v>0</v>
      </c>
      <c r="N424">
        <f>IFERROR(ROUNDUP(50/VLOOKUP(Calculations[[#This Row],[Scope Element]],B4referenceServiceLife[[Tier 2 element]:[Default Service Life]],2, FALSE)-1,0),0)</f>
        <v>0</v>
      </c>
      <c r="O424" s="322">
        <f>IFERROR((Calculations[[#This Row],[A1-3]]+Calculations[[#This Row],[A4]]+Calculations[[#This Row],[A5]]+Calculations[[#This Row],[C2 total]]+Calculations[[#This Row],[C3 total]]+Calculations[[#This Row],[C4 total]])*Calculations[[#This Row],[Replacements]],0)</f>
        <v>0</v>
      </c>
      <c r="S424" t="str">
        <f>IFERROR(VLOOKUP(Calculations[[#This Row],[Material (choose from dropdown]],MaterialData[#All],4,FALSE),"")</f>
        <v/>
      </c>
      <c r="T424" s="322" cm="1">
        <f t="array" ref="T424">IFERROR(VLOOKUP(Calculations[[#This Row],[Waste 1]],WasteScenario[#All],2,FALSE)*'Stage assumptions'!$C$225*WasteTransportMethod[Emissions Factor
kgCO2e/kg.km]*Calculations[[#This Row],[Total Kg]],0)</f>
        <v>0</v>
      </c>
      <c r="U424" s="322" cm="1">
        <f t="array" ref="U424">IFERROR(VLOOKUP(Calculations[[#This Row],[Waste 1]],WasteScenario[#All],3,FALSE)*'Stage assumptions'!$C$224*WasteTransportMethod[Emissions Factor
kgCO2e/kg.km]*Calculations[[#This Row],[Total Kg]],0)</f>
        <v>0</v>
      </c>
      <c r="V424" s="322" cm="1">
        <f t="array" ref="V424">IFERROR(VLOOKUP(Calculations[[#This Row],[Waste 1]],WasteScenario[#All],4,FALSE)*'Stage assumptions'!$C$223*WasteTransportMethod[Emissions Factor
kgCO2e/kg.km]*Calculations[[#This Row],[Total Kg]],0)</f>
        <v>0</v>
      </c>
      <c r="W424" s="322" cm="1">
        <f t="array" ref="W424">IFERROR(VLOOKUP(Calculations[[#This Row],[Waste 1]],WasteScenario[#All],5,FALSE)*'Stage assumptions'!$C$226*WasteTransportMethod[Emissions Factor
kgCO2e/kg.km]*Calculations[[#This Row],[Total Kg]],0)</f>
        <v>0</v>
      </c>
      <c r="X424" s="322">
        <f>SUM(Calculations[[#This Row],[C2 Recycle]:[C2 Reuse]])</f>
        <v>0</v>
      </c>
      <c r="Y424" t="str">
        <f>IFERROR(VLOOKUP(Calculations[[#This Row],[Material (choose from dropdown]],MaterialData[#All],5,FALSE),"")</f>
        <v/>
      </c>
      <c r="Z424" s="322">
        <f>IFERROR(((VLOOKUP(Calculations[[#This Row],[Waste type 2]],WasteDisposalEmissions[#All],2,FALSE))*Calculations[[#This Row],[Total Kg]])*VLOOKUP(Calculations[[#This Row],[Waste 1]],WasteScenario[#All],2,FALSE),0)</f>
        <v>0</v>
      </c>
      <c r="AA424" s="322">
        <f>IFERROR((VLOOKUP(Calculations[[#This Row],[Waste type 2]],WasteDisposalEmissions[#All],3,FALSE))*Calculations[[#This Row],[Total Kg]]*VLOOKUP(Calculations[[#This Row],[Waste 1]],WasteScenario[#All],3,FALSE),0)</f>
        <v>0</v>
      </c>
      <c r="AB424" s="322">
        <f>SUM(Calculations[[#This Row],[C3 recyc]:[C3 incin]])</f>
        <v>0</v>
      </c>
      <c r="AC424" s="334">
        <f>IFERROR((VLOOKUP(Calculations[[#This Row],[Waste type 2]],WasteLandfillEmissions[#All],2,FALSE))*Calculations[[#This Row],[Total Kg]]*VLOOKUP(Calculations[[#This Row],[Waste 1]],WasteScenario[#All],4,FALSE),0)</f>
        <v>0</v>
      </c>
      <c r="AD424" s="322">
        <f>IFERROR((VLOOKUP(Calculations[[#This Row],[Waste type 2]],WasteLandfillEmissions[#All],3,FALSE))*Calculations[[#This Row],[Total Kg]]*VLOOKUP(Calculations[[#This Row],[Waste 1]],WasteScenario[#All],4,FALSE),0)</f>
        <v>0</v>
      </c>
      <c r="AE424" s="322">
        <f>SUM(Calculations[[#This Row],[C4 landfill]:[C4 re-use]])</f>
        <v>0</v>
      </c>
      <c r="AF424" s="322">
        <f>IFERROR(VLOOKUP(Calculations[[#This Row],[Material (choose from dropdown]],MaterialData[#All],8,FALSE),0)</f>
        <v>0</v>
      </c>
      <c r="AG424" s="322">
        <f>IFERROR(Calculations[[#This Row],[Total Kg]]*Calculations[[#This Row],[Seq factor]],0)</f>
        <v>0</v>
      </c>
      <c r="AI424" s="322">
        <f>Calculations[[#This Row],[A1-3]]+Calculations[[#This Row],[A4]]+Calculations[[#This Row],[A5]]+Calculations[[#This Row],[B4]]+Calculations[[#This Row],[C2 total]]+Calculations[[#This Row],[C3 total]]+Calculations[[#This Row],[C4 total]]</f>
        <v>0</v>
      </c>
      <c r="AJ424" s="2">
        <f>IFERROR(VLOOKUP(Calculations[[#This Row],[Material (choose from dropdown]],MaterialData[[#Headers],[#Data]],9,FALSE),0)</f>
        <v>0</v>
      </c>
      <c r="AK424" s="4">
        <f>IFERROR(VLOOKUP(Calculations[[#This Row],[Material (choose from dropdown]],MaterialData[[#Headers],[#Data]],10,FALSE),0)</f>
        <v>0</v>
      </c>
      <c r="AL424" s="322">
        <f>IFERROR(Calculations[[#This Row],[Data Quality Score]]*Calculations[[#This Row],[Total Kg]],0)</f>
        <v>0</v>
      </c>
    </row>
    <row r="425" spans="1:38" x14ac:dyDescent="0.3">
      <c r="A425" s="6">
        <f>IFERROR(MaterialsBoQ[[#This Row],[Scope Element]],0)</f>
        <v>0</v>
      </c>
      <c r="B425" t="str">
        <f>IFERROR(MaterialsBoQ[[#This Row],[Material ]],"")</f>
        <v/>
      </c>
      <c r="C425" t="str">
        <f>IFERROR(MaterialsBoQ[[#This Row],[Unit]],"")</f>
        <v/>
      </c>
      <c r="D425" s="322">
        <f>IFERROR(MaterialsBoQ[[#This Row],[Number]],0)</f>
        <v>0</v>
      </c>
      <c r="E425" s="322">
        <f>IFERROR(MaterialsBoQ[[#This Row],[Kg per unit]],0)</f>
        <v>0</v>
      </c>
      <c r="F425" s="322">
        <f>IFERROR(Calculations[[#This Row],[Number]]*Calculations[[#This Row],[Conversion factor]],0)</f>
        <v>0</v>
      </c>
      <c r="G425" s="322">
        <f>IFERROR(VLOOKUP(Calculations[[#This Row],[Material (choose from dropdown]],MaterialData[#All],7,FALSE),0)</f>
        <v>0</v>
      </c>
      <c r="H425" s="322">
        <f>Calculations[[#This Row],[Total Kg]]*Calculations[[#This Row],[Carbon Factor]]</f>
        <v>0</v>
      </c>
      <c r="I425" t="str">
        <f>IFERROR(VLOOKUP(Calculations[[#This Row],[Material (choose from dropdown]],MaterialData[#All],2,FALSE),"")</f>
        <v/>
      </c>
      <c r="J425" s="322">
        <f>IFERROR(((VLOOKUP(Calculations[[#This Row],[TransportSource]],TransportDistance[],2,FALSE)*'Stage assumptions'!$C$11)+VLOOKUP(Calculations[[#This Row],[TransportSource]],TransportDistance[],3,FALSE)*'Stage assumptions'!$C$12)*Calculations[[#This Row],[Total Kg]],0)</f>
        <v>0</v>
      </c>
      <c r="K425">
        <f>IFERROR(VLOOKUP(Calculations[[#This Row],[Material (choose from dropdown]], MaterialData[#All],3, FALSE),0)</f>
        <v>0</v>
      </c>
      <c r="L425" s="322">
        <f>IFERROR(VLOOKUP(Calculations[[#This Row],[A5type]],A5WastageRate[#All],2,FALSE)*Calculations[[#This Row],[A1-3]],0)</f>
        <v>0</v>
      </c>
      <c r="N425">
        <f>IFERROR(ROUNDUP(50/VLOOKUP(Calculations[[#This Row],[Scope Element]],B4referenceServiceLife[[Tier 2 element]:[Default Service Life]],2, FALSE)-1,0),0)</f>
        <v>0</v>
      </c>
      <c r="O425" s="322">
        <f>IFERROR((Calculations[[#This Row],[A1-3]]+Calculations[[#This Row],[A4]]+Calculations[[#This Row],[A5]]+Calculations[[#This Row],[C2 total]]+Calculations[[#This Row],[C3 total]]+Calculations[[#This Row],[C4 total]])*Calculations[[#This Row],[Replacements]],0)</f>
        <v>0</v>
      </c>
      <c r="S425" t="str">
        <f>IFERROR(VLOOKUP(Calculations[[#This Row],[Material (choose from dropdown]],MaterialData[#All],4,FALSE),"")</f>
        <v/>
      </c>
      <c r="T425" s="322" cm="1">
        <f t="array" ref="T425">IFERROR(VLOOKUP(Calculations[[#This Row],[Waste 1]],WasteScenario[#All],2,FALSE)*'Stage assumptions'!$C$225*WasteTransportMethod[Emissions Factor
kgCO2e/kg.km]*Calculations[[#This Row],[Total Kg]],0)</f>
        <v>0</v>
      </c>
      <c r="U425" s="322" cm="1">
        <f t="array" ref="U425">IFERROR(VLOOKUP(Calculations[[#This Row],[Waste 1]],WasteScenario[#All],3,FALSE)*'Stage assumptions'!$C$224*WasteTransportMethod[Emissions Factor
kgCO2e/kg.km]*Calculations[[#This Row],[Total Kg]],0)</f>
        <v>0</v>
      </c>
      <c r="V425" s="322" cm="1">
        <f t="array" ref="V425">IFERROR(VLOOKUP(Calculations[[#This Row],[Waste 1]],WasteScenario[#All],4,FALSE)*'Stage assumptions'!$C$223*WasteTransportMethod[Emissions Factor
kgCO2e/kg.km]*Calculations[[#This Row],[Total Kg]],0)</f>
        <v>0</v>
      </c>
      <c r="W425" s="322" cm="1">
        <f t="array" ref="W425">IFERROR(VLOOKUP(Calculations[[#This Row],[Waste 1]],WasteScenario[#All],5,FALSE)*'Stage assumptions'!$C$226*WasteTransportMethod[Emissions Factor
kgCO2e/kg.km]*Calculations[[#This Row],[Total Kg]],0)</f>
        <v>0</v>
      </c>
      <c r="X425" s="322">
        <f>SUM(Calculations[[#This Row],[C2 Recycle]:[C2 Reuse]])</f>
        <v>0</v>
      </c>
      <c r="Y425" t="str">
        <f>IFERROR(VLOOKUP(Calculations[[#This Row],[Material (choose from dropdown]],MaterialData[#All],5,FALSE),"")</f>
        <v/>
      </c>
      <c r="Z425" s="322">
        <f>IFERROR(((VLOOKUP(Calculations[[#This Row],[Waste type 2]],WasteDisposalEmissions[#All],2,FALSE))*Calculations[[#This Row],[Total Kg]])*VLOOKUP(Calculations[[#This Row],[Waste 1]],WasteScenario[#All],2,FALSE),0)</f>
        <v>0</v>
      </c>
      <c r="AA425" s="322">
        <f>IFERROR((VLOOKUP(Calculations[[#This Row],[Waste type 2]],WasteDisposalEmissions[#All],3,FALSE))*Calculations[[#This Row],[Total Kg]]*VLOOKUP(Calculations[[#This Row],[Waste 1]],WasteScenario[#All],3,FALSE),0)</f>
        <v>0</v>
      </c>
      <c r="AB425" s="322">
        <f>SUM(Calculations[[#This Row],[C3 recyc]:[C3 incin]])</f>
        <v>0</v>
      </c>
      <c r="AC425" s="334">
        <f>IFERROR((VLOOKUP(Calculations[[#This Row],[Waste type 2]],WasteLandfillEmissions[#All],2,FALSE))*Calculations[[#This Row],[Total Kg]]*VLOOKUP(Calculations[[#This Row],[Waste 1]],WasteScenario[#All],4,FALSE),0)</f>
        <v>0</v>
      </c>
      <c r="AD425" s="322">
        <f>IFERROR((VLOOKUP(Calculations[[#This Row],[Waste type 2]],WasteLandfillEmissions[#All],3,FALSE))*Calculations[[#This Row],[Total Kg]]*VLOOKUP(Calculations[[#This Row],[Waste 1]],WasteScenario[#All],4,FALSE),0)</f>
        <v>0</v>
      </c>
      <c r="AE425" s="322">
        <f>SUM(Calculations[[#This Row],[C4 landfill]:[C4 re-use]])</f>
        <v>0</v>
      </c>
      <c r="AF425" s="322">
        <f>IFERROR(VLOOKUP(Calculations[[#This Row],[Material (choose from dropdown]],MaterialData[#All],8,FALSE),0)</f>
        <v>0</v>
      </c>
      <c r="AG425" s="322">
        <f>IFERROR(Calculations[[#This Row],[Total Kg]]*Calculations[[#This Row],[Seq factor]],0)</f>
        <v>0</v>
      </c>
      <c r="AI425" s="322">
        <f>Calculations[[#This Row],[A1-3]]+Calculations[[#This Row],[A4]]+Calculations[[#This Row],[A5]]+Calculations[[#This Row],[B4]]+Calculations[[#This Row],[C2 total]]+Calculations[[#This Row],[C3 total]]+Calculations[[#This Row],[C4 total]]</f>
        <v>0</v>
      </c>
      <c r="AJ425" s="2">
        <f>IFERROR(VLOOKUP(Calculations[[#This Row],[Material (choose from dropdown]],MaterialData[[#Headers],[#Data]],9,FALSE),0)</f>
        <v>0</v>
      </c>
      <c r="AK425" s="4">
        <f>IFERROR(VLOOKUP(Calculations[[#This Row],[Material (choose from dropdown]],MaterialData[[#Headers],[#Data]],10,FALSE),0)</f>
        <v>0</v>
      </c>
      <c r="AL425" s="322">
        <f>IFERROR(Calculations[[#This Row],[Data Quality Score]]*Calculations[[#This Row],[Total Kg]],0)</f>
        <v>0</v>
      </c>
    </row>
    <row r="426" spans="1:38" x14ac:dyDescent="0.3">
      <c r="A426" s="6">
        <f>IFERROR(MaterialsBoQ[[#This Row],[Scope Element]],0)</f>
        <v>0</v>
      </c>
      <c r="B426" t="str">
        <f>IFERROR(MaterialsBoQ[[#This Row],[Material ]],"")</f>
        <v/>
      </c>
      <c r="C426" t="str">
        <f>IFERROR(MaterialsBoQ[[#This Row],[Unit]],"")</f>
        <v/>
      </c>
      <c r="D426" s="322">
        <f>IFERROR(MaterialsBoQ[[#This Row],[Number]],0)</f>
        <v>0</v>
      </c>
      <c r="E426" s="322">
        <f>IFERROR(MaterialsBoQ[[#This Row],[Kg per unit]],0)</f>
        <v>0</v>
      </c>
      <c r="F426" s="322">
        <f>IFERROR(Calculations[[#This Row],[Number]]*Calculations[[#This Row],[Conversion factor]],0)</f>
        <v>0</v>
      </c>
      <c r="G426" s="322">
        <f>IFERROR(VLOOKUP(Calculations[[#This Row],[Material (choose from dropdown]],MaterialData[#All],7,FALSE),0)</f>
        <v>0</v>
      </c>
      <c r="H426" s="322">
        <f>Calculations[[#This Row],[Total Kg]]*Calculations[[#This Row],[Carbon Factor]]</f>
        <v>0</v>
      </c>
      <c r="I426" t="str">
        <f>IFERROR(VLOOKUP(Calculations[[#This Row],[Material (choose from dropdown]],MaterialData[#All],2,FALSE),"")</f>
        <v/>
      </c>
      <c r="J426" s="322">
        <f>IFERROR(((VLOOKUP(Calculations[[#This Row],[TransportSource]],TransportDistance[],2,FALSE)*'Stage assumptions'!$C$11)+VLOOKUP(Calculations[[#This Row],[TransportSource]],TransportDistance[],3,FALSE)*'Stage assumptions'!$C$12)*Calculations[[#This Row],[Total Kg]],0)</f>
        <v>0</v>
      </c>
      <c r="K426">
        <f>IFERROR(VLOOKUP(Calculations[[#This Row],[Material (choose from dropdown]], MaterialData[#All],3, FALSE),0)</f>
        <v>0</v>
      </c>
      <c r="L426" s="322">
        <f>IFERROR(VLOOKUP(Calculations[[#This Row],[A5type]],A5WastageRate[#All],2,FALSE)*Calculations[[#This Row],[A1-3]],0)</f>
        <v>0</v>
      </c>
      <c r="N426">
        <f>IFERROR(ROUNDUP(50/VLOOKUP(Calculations[[#This Row],[Scope Element]],B4referenceServiceLife[[Tier 2 element]:[Default Service Life]],2, FALSE)-1,0),0)</f>
        <v>0</v>
      </c>
      <c r="O426" s="322">
        <f>IFERROR((Calculations[[#This Row],[A1-3]]+Calculations[[#This Row],[A4]]+Calculations[[#This Row],[A5]]+Calculations[[#This Row],[C2 total]]+Calculations[[#This Row],[C3 total]]+Calculations[[#This Row],[C4 total]])*Calculations[[#This Row],[Replacements]],0)</f>
        <v>0</v>
      </c>
      <c r="S426" t="str">
        <f>IFERROR(VLOOKUP(Calculations[[#This Row],[Material (choose from dropdown]],MaterialData[#All],4,FALSE),"")</f>
        <v/>
      </c>
      <c r="T426" s="322" cm="1">
        <f t="array" ref="T426">IFERROR(VLOOKUP(Calculations[[#This Row],[Waste 1]],WasteScenario[#All],2,FALSE)*'Stage assumptions'!$C$225*WasteTransportMethod[Emissions Factor
kgCO2e/kg.km]*Calculations[[#This Row],[Total Kg]],0)</f>
        <v>0</v>
      </c>
      <c r="U426" s="322" cm="1">
        <f t="array" ref="U426">IFERROR(VLOOKUP(Calculations[[#This Row],[Waste 1]],WasteScenario[#All],3,FALSE)*'Stage assumptions'!$C$224*WasteTransportMethod[Emissions Factor
kgCO2e/kg.km]*Calculations[[#This Row],[Total Kg]],0)</f>
        <v>0</v>
      </c>
      <c r="V426" s="322" cm="1">
        <f t="array" ref="V426">IFERROR(VLOOKUP(Calculations[[#This Row],[Waste 1]],WasteScenario[#All],4,FALSE)*'Stage assumptions'!$C$223*WasteTransportMethod[Emissions Factor
kgCO2e/kg.km]*Calculations[[#This Row],[Total Kg]],0)</f>
        <v>0</v>
      </c>
      <c r="W426" s="322" cm="1">
        <f t="array" ref="W426">IFERROR(VLOOKUP(Calculations[[#This Row],[Waste 1]],WasteScenario[#All],5,FALSE)*'Stage assumptions'!$C$226*WasteTransportMethod[Emissions Factor
kgCO2e/kg.km]*Calculations[[#This Row],[Total Kg]],0)</f>
        <v>0</v>
      </c>
      <c r="X426" s="322">
        <f>SUM(Calculations[[#This Row],[C2 Recycle]:[C2 Reuse]])</f>
        <v>0</v>
      </c>
      <c r="Y426" t="str">
        <f>IFERROR(VLOOKUP(Calculations[[#This Row],[Material (choose from dropdown]],MaterialData[#All],5,FALSE),"")</f>
        <v/>
      </c>
      <c r="Z426" s="322">
        <f>IFERROR(((VLOOKUP(Calculations[[#This Row],[Waste type 2]],WasteDisposalEmissions[#All],2,FALSE))*Calculations[[#This Row],[Total Kg]])*VLOOKUP(Calculations[[#This Row],[Waste 1]],WasteScenario[#All],2,FALSE),0)</f>
        <v>0</v>
      </c>
      <c r="AA426" s="322">
        <f>IFERROR((VLOOKUP(Calculations[[#This Row],[Waste type 2]],WasteDisposalEmissions[#All],3,FALSE))*Calculations[[#This Row],[Total Kg]]*VLOOKUP(Calculations[[#This Row],[Waste 1]],WasteScenario[#All],3,FALSE),0)</f>
        <v>0</v>
      </c>
      <c r="AB426" s="322">
        <f>SUM(Calculations[[#This Row],[C3 recyc]:[C3 incin]])</f>
        <v>0</v>
      </c>
      <c r="AC426" s="334">
        <f>IFERROR((VLOOKUP(Calculations[[#This Row],[Waste type 2]],WasteLandfillEmissions[#All],2,FALSE))*Calculations[[#This Row],[Total Kg]]*VLOOKUP(Calculations[[#This Row],[Waste 1]],WasteScenario[#All],4,FALSE),0)</f>
        <v>0</v>
      </c>
      <c r="AD426" s="322">
        <f>IFERROR((VLOOKUP(Calculations[[#This Row],[Waste type 2]],WasteLandfillEmissions[#All],3,FALSE))*Calculations[[#This Row],[Total Kg]]*VLOOKUP(Calculations[[#This Row],[Waste 1]],WasteScenario[#All],4,FALSE),0)</f>
        <v>0</v>
      </c>
      <c r="AE426" s="322">
        <f>SUM(Calculations[[#This Row],[C4 landfill]:[C4 re-use]])</f>
        <v>0</v>
      </c>
      <c r="AF426" s="322">
        <f>IFERROR(VLOOKUP(Calculations[[#This Row],[Material (choose from dropdown]],MaterialData[#All],8,FALSE),0)</f>
        <v>0</v>
      </c>
      <c r="AG426" s="322">
        <f>IFERROR(Calculations[[#This Row],[Total Kg]]*Calculations[[#This Row],[Seq factor]],0)</f>
        <v>0</v>
      </c>
      <c r="AI426" s="322">
        <f>Calculations[[#This Row],[A1-3]]+Calculations[[#This Row],[A4]]+Calculations[[#This Row],[A5]]+Calculations[[#This Row],[B4]]+Calculations[[#This Row],[C2 total]]+Calculations[[#This Row],[C3 total]]+Calculations[[#This Row],[C4 total]]</f>
        <v>0</v>
      </c>
      <c r="AJ426" s="2">
        <f>IFERROR(VLOOKUP(Calculations[[#This Row],[Material (choose from dropdown]],MaterialData[[#Headers],[#Data]],9,FALSE),0)</f>
        <v>0</v>
      </c>
      <c r="AK426" s="4">
        <f>IFERROR(VLOOKUP(Calculations[[#This Row],[Material (choose from dropdown]],MaterialData[[#Headers],[#Data]],10,FALSE),0)</f>
        <v>0</v>
      </c>
      <c r="AL426" s="322">
        <f>IFERROR(Calculations[[#This Row],[Data Quality Score]]*Calculations[[#This Row],[Total Kg]],0)</f>
        <v>0</v>
      </c>
    </row>
    <row r="427" spans="1:38" x14ac:dyDescent="0.3">
      <c r="A427" s="6">
        <f>IFERROR(MaterialsBoQ[[#This Row],[Scope Element]],0)</f>
        <v>0</v>
      </c>
      <c r="B427" t="str">
        <f>IFERROR(MaterialsBoQ[[#This Row],[Material ]],"")</f>
        <v/>
      </c>
      <c r="C427" t="str">
        <f>IFERROR(MaterialsBoQ[[#This Row],[Unit]],"")</f>
        <v/>
      </c>
      <c r="D427" s="322">
        <f>IFERROR(MaterialsBoQ[[#This Row],[Number]],0)</f>
        <v>0</v>
      </c>
      <c r="E427" s="322">
        <f>IFERROR(MaterialsBoQ[[#This Row],[Kg per unit]],0)</f>
        <v>0</v>
      </c>
      <c r="F427" s="322">
        <f>IFERROR(Calculations[[#This Row],[Number]]*Calculations[[#This Row],[Conversion factor]],0)</f>
        <v>0</v>
      </c>
      <c r="G427" s="322">
        <f>IFERROR(VLOOKUP(Calculations[[#This Row],[Material (choose from dropdown]],MaterialData[#All],7,FALSE),0)</f>
        <v>0</v>
      </c>
      <c r="H427" s="322">
        <f>Calculations[[#This Row],[Total Kg]]*Calculations[[#This Row],[Carbon Factor]]</f>
        <v>0</v>
      </c>
      <c r="I427" t="str">
        <f>IFERROR(VLOOKUP(Calculations[[#This Row],[Material (choose from dropdown]],MaterialData[#All],2,FALSE),"")</f>
        <v/>
      </c>
      <c r="J427" s="322">
        <f>IFERROR(((VLOOKUP(Calculations[[#This Row],[TransportSource]],TransportDistance[],2,FALSE)*'Stage assumptions'!$C$11)+VLOOKUP(Calculations[[#This Row],[TransportSource]],TransportDistance[],3,FALSE)*'Stage assumptions'!$C$12)*Calculations[[#This Row],[Total Kg]],0)</f>
        <v>0</v>
      </c>
      <c r="K427">
        <f>IFERROR(VLOOKUP(Calculations[[#This Row],[Material (choose from dropdown]], MaterialData[#All],3, FALSE),0)</f>
        <v>0</v>
      </c>
      <c r="L427" s="322">
        <f>IFERROR(VLOOKUP(Calculations[[#This Row],[A5type]],A5WastageRate[#All],2,FALSE)*Calculations[[#This Row],[A1-3]],0)</f>
        <v>0</v>
      </c>
      <c r="N427">
        <f>IFERROR(ROUNDUP(50/VLOOKUP(Calculations[[#This Row],[Scope Element]],B4referenceServiceLife[[Tier 2 element]:[Default Service Life]],2, FALSE)-1,0),0)</f>
        <v>0</v>
      </c>
      <c r="O427" s="322">
        <f>IFERROR((Calculations[[#This Row],[A1-3]]+Calculations[[#This Row],[A4]]+Calculations[[#This Row],[A5]]+Calculations[[#This Row],[C2 total]]+Calculations[[#This Row],[C3 total]]+Calculations[[#This Row],[C4 total]])*Calculations[[#This Row],[Replacements]],0)</f>
        <v>0</v>
      </c>
      <c r="S427" t="str">
        <f>IFERROR(VLOOKUP(Calculations[[#This Row],[Material (choose from dropdown]],MaterialData[#All],4,FALSE),"")</f>
        <v/>
      </c>
      <c r="T427" s="322" cm="1">
        <f t="array" ref="T427">IFERROR(VLOOKUP(Calculations[[#This Row],[Waste 1]],WasteScenario[#All],2,FALSE)*'Stage assumptions'!$C$225*WasteTransportMethod[Emissions Factor
kgCO2e/kg.km]*Calculations[[#This Row],[Total Kg]],0)</f>
        <v>0</v>
      </c>
      <c r="U427" s="322" cm="1">
        <f t="array" ref="U427">IFERROR(VLOOKUP(Calculations[[#This Row],[Waste 1]],WasteScenario[#All],3,FALSE)*'Stage assumptions'!$C$224*WasteTransportMethod[Emissions Factor
kgCO2e/kg.km]*Calculations[[#This Row],[Total Kg]],0)</f>
        <v>0</v>
      </c>
      <c r="V427" s="322" cm="1">
        <f t="array" ref="V427">IFERROR(VLOOKUP(Calculations[[#This Row],[Waste 1]],WasteScenario[#All],4,FALSE)*'Stage assumptions'!$C$223*WasteTransportMethod[Emissions Factor
kgCO2e/kg.km]*Calculations[[#This Row],[Total Kg]],0)</f>
        <v>0</v>
      </c>
      <c r="W427" s="322" cm="1">
        <f t="array" ref="W427">IFERROR(VLOOKUP(Calculations[[#This Row],[Waste 1]],WasteScenario[#All],5,FALSE)*'Stage assumptions'!$C$226*WasteTransportMethod[Emissions Factor
kgCO2e/kg.km]*Calculations[[#This Row],[Total Kg]],0)</f>
        <v>0</v>
      </c>
      <c r="X427" s="322">
        <f>SUM(Calculations[[#This Row],[C2 Recycle]:[C2 Reuse]])</f>
        <v>0</v>
      </c>
      <c r="Y427" t="str">
        <f>IFERROR(VLOOKUP(Calculations[[#This Row],[Material (choose from dropdown]],MaterialData[#All],5,FALSE),"")</f>
        <v/>
      </c>
      <c r="Z427" s="322">
        <f>IFERROR(((VLOOKUP(Calculations[[#This Row],[Waste type 2]],WasteDisposalEmissions[#All],2,FALSE))*Calculations[[#This Row],[Total Kg]])*VLOOKUP(Calculations[[#This Row],[Waste 1]],WasteScenario[#All],2,FALSE),0)</f>
        <v>0</v>
      </c>
      <c r="AA427" s="322">
        <f>IFERROR((VLOOKUP(Calculations[[#This Row],[Waste type 2]],WasteDisposalEmissions[#All],3,FALSE))*Calculations[[#This Row],[Total Kg]]*VLOOKUP(Calculations[[#This Row],[Waste 1]],WasteScenario[#All],3,FALSE),0)</f>
        <v>0</v>
      </c>
      <c r="AB427" s="322">
        <f>SUM(Calculations[[#This Row],[C3 recyc]:[C3 incin]])</f>
        <v>0</v>
      </c>
      <c r="AC427" s="334">
        <f>IFERROR((VLOOKUP(Calculations[[#This Row],[Waste type 2]],WasteLandfillEmissions[#All],2,FALSE))*Calculations[[#This Row],[Total Kg]]*VLOOKUP(Calculations[[#This Row],[Waste 1]],WasteScenario[#All],4,FALSE),0)</f>
        <v>0</v>
      </c>
      <c r="AD427" s="322">
        <f>IFERROR((VLOOKUP(Calculations[[#This Row],[Waste type 2]],WasteLandfillEmissions[#All],3,FALSE))*Calculations[[#This Row],[Total Kg]]*VLOOKUP(Calculations[[#This Row],[Waste 1]],WasteScenario[#All],4,FALSE),0)</f>
        <v>0</v>
      </c>
      <c r="AE427" s="322">
        <f>SUM(Calculations[[#This Row],[C4 landfill]:[C4 re-use]])</f>
        <v>0</v>
      </c>
      <c r="AF427" s="322">
        <f>IFERROR(VLOOKUP(Calculations[[#This Row],[Material (choose from dropdown]],MaterialData[#All],8,FALSE),0)</f>
        <v>0</v>
      </c>
      <c r="AG427" s="322">
        <f>IFERROR(Calculations[[#This Row],[Total Kg]]*Calculations[[#This Row],[Seq factor]],0)</f>
        <v>0</v>
      </c>
      <c r="AI427" s="322">
        <f>Calculations[[#This Row],[A1-3]]+Calculations[[#This Row],[A4]]+Calculations[[#This Row],[A5]]+Calculations[[#This Row],[B4]]+Calculations[[#This Row],[C2 total]]+Calculations[[#This Row],[C3 total]]+Calculations[[#This Row],[C4 total]]</f>
        <v>0</v>
      </c>
      <c r="AJ427" s="2">
        <f>IFERROR(VLOOKUP(Calculations[[#This Row],[Material (choose from dropdown]],MaterialData[[#Headers],[#Data]],9,FALSE),0)</f>
        <v>0</v>
      </c>
      <c r="AK427" s="4">
        <f>IFERROR(VLOOKUP(Calculations[[#This Row],[Material (choose from dropdown]],MaterialData[[#Headers],[#Data]],10,FALSE),0)</f>
        <v>0</v>
      </c>
      <c r="AL427" s="322">
        <f>IFERROR(Calculations[[#This Row],[Data Quality Score]]*Calculations[[#This Row],[Total Kg]],0)</f>
        <v>0</v>
      </c>
    </row>
    <row r="428" spans="1:38" x14ac:dyDescent="0.3">
      <c r="A428" s="6">
        <f>IFERROR(MaterialsBoQ[[#This Row],[Scope Element]],0)</f>
        <v>0</v>
      </c>
      <c r="B428" t="str">
        <f>IFERROR(MaterialsBoQ[[#This Row],[Material ]],"")</f>
        <v/>
      </c>
      <c r="C428" t="str">
        <f>IFERROR(MaterialsBoQ[[#This Row],[Unit]],"")</f>
        <v/>
      </c>
      <c r="D428" s="322">
        <f>IFERROR(MaterialsBoQ[[#This Row],[Number]],0)</f>
        <v>0</v>
      </c>
      <c r="E428" s="322">
        <f>IFERROR(MaterialsBoQ[[#This Row],[Kg per unit]],0)</f>
        <v>0</v>
      </c>
      <c r="F428" s="322">
        <f>IFERROR(Calculations[[#This Row],[Number]]*Calculations[[#This Row],[Conversion factor]],0)</f>
        <v>0</v>
      </c>
      <c r="G428" s="322">
        <f>IFERROR(VLOOKUP(Calculations[[#This Row],[Material (choose from dropdown]],MaterialData[#All],7,FALSE),0)</f>
        <v>0</v>
      </c>
      <c r="H428" s="322">
        <f>Calculations[[#This Row],[Total Kg]]*Calculations[[#This Row],[Carbon Factor]]</f>
        <v>0</v>
      </c>
      <c r="I428" t="str">
        <f>IFERROR(VLOOKUP(Calculations[[#This Row],[Material (choose from dropdown]],MaterialData[#All],2,FALSE),"")</f>
        <v/>
      </c>
      <c r="J428" s="322">
        <f>IFERROR(((VLOOKUP(Calculations[[#This Row],[TransportSource]],TransportDistance[],2,FALSE)*'Stage assumptions'!$C$11)+VLOOKUP(Calculations[[#This Row],[TransportSource]],TransportDistance[],3,FALSE)*'Stage assumptions'!$C$12)*Calculations[[#This Row],[Total Kg]],0)</f>
        <v>0</v>
      </c>
      <c r="K428">
        <f>IFERROR(VLOOKUP(Calculations[[#This Row],[Material (choose from dropdown]], MaterialData[#All],3, FALSE),0)</f>
        <v>0</v>
      </c>
      <c r="L428" s="322">
        <f>IFERROR(VLOOKUP(Calculations[[#This Row],[A5type]],A5WastageRate[#All],2,FALSE)*Calculations[[#This Row],[A1-3]],0)</f>
        <v>0</v>
      </c>
      <c r="N428">
        <f>IFERROR(ROUNDUP(50/VLOOKUP(Calculations[[#This Row],[Scope Element]],B4referenceServiceLife[[Tier 2 element]:[Default Service Life]],2, FALSE)-1,0),0)</f>
        <v>0</v>
      </c>
      <c r="O428" s="322">
        <f>IFERROR((Calculations[[#This Row],[A1-3]]+Calculations[[#This Row],[A4]]+Calculations[[#This Row],[A5]]+Calculations[[#This Row],[C2 total]]+Calculations[[#This Row],[C3 total]]+Calculations[[#This Row],[C4 total]])*Calculations[[#This Row],[Replacements]],0)</f>
        <v>0</v>
      </c>
      <c r="S428" t="str">
        <f>IFERROR(VLOOKUP(Calculations[[#This Row],[Material (choose from dropdown]],MaterialData[#All],4,FALSE),"")</f>
        <v/>
      </c>
      <c r="T428" s="322" cm="1">
        <f t="array" ref="T428">IFERROR(VLOOKUP(Calculations[[#This Row],[Waste 1]],WasteScenario[#All],2,FALSE)*'Stage assumptions'!$C$225*WasteTransportMethod[Emissions Factor
kgCO2e/kg.km]*Calculations[[#This Row],[Total Kg]],0)</f>
        <v>0</v>
      </c>
      <c r="U428" s="322" cm="1">
        <f t="array" ref="U428">IFERROR(VLOOKUP(Calculations[[#This Row],[Waste 1]],WasteScenario[#All],3,FALSE)*'Stage assumptions'!$C$224*WasteTransportMethod[Emissions Factor
kgCO2e/kg.km]*Calculations[[#This Row],[Total Kg]],0)</f>
        <v>0</v>
      </c>
      <c r="V428" s="322" cm="1">
        <f t="array" ref="V428">IFERROR(VLOOKUP(Calculations[[#This Row],[Waste 1]],WasteScenario[#All],4,FALSE)*'Stage assumptions'!$C$223*WasteTransportMethod[Emissions Factor
kgCO2e/kg.km]*Calculations[[#This Row],[Total Kg]],0)</f>
        <v>0</v>
      </c>
      <c r="W428" s="322" cm="1">
        <f t="array" ref="W428">IFERROR(VLOOKUP(Calculations[[#This Row],[Waste 1]],WasteScenario[#All],5,FALSE)*'Stage assumptions'!$C$226*WasteTransportMethod[Emissions Factor
kgCO2e/kg.km]*Calculations[[#This Row],[Total Kg]],0)</f>
        <v>0</v>
      </c>
      <c r="X428" s="322">
        <f>SUM(Calculations[[#This Row],[C2 Recycle]:[C2 Reuse]])</f>
        <v>0</v>
      </c>
      <c r="Y428" t="str">
        <f>IFERROR(VLOOKUP(Calculations[[#This Row],[Material (choose from dropdown]],MaterialData[#All],5,FALSE),"")</f>
        <v/>
      </c>
      <c r="Z428" s="322">
        <f>IFERROR(((VLOOKUP(Calculations[[#This Row],[Waste type 2]],WasteDisposalEmissions[#All],2,FALSE))*Calculations[[#This Row],[Total Kg]])*VLOOKUP(Calculations[[#This Row],[Waste 1]],WasteScenario[#All],2,FALSE),0)</f>
        <v>0</v>
      </c>
      <c r="AA428" s="322">
        <f>IFERROR((VLOOKUP(Calculations[[#This Row],[Waste type 2]],WasteDisposalEmissions[#All],3,FALSE))*Calculations[[#This Row],[Total Kg]]*VLOOKUP(Calculations[[#This Row],[Waste 1]],WasteScenario[#All],3,FALSE),0)</f>
        <v>0</v>
      </c>
      <c r="AB428" s="322">
        <f>SUM(Calculations[[#This Row],[C3 recyc]:[C3 incin]])</f>
        <v>0</v>
      </c>
      <c r="AC428" s="334">
        <f>IFERROR((VLOOKUP(Calculations[[#This Row],[Waste type 2]],WasteLandfillEmissions[#All],2,FALSE))*Calculations[[#This Row],[Total Kg]]*VLOOKUP(Calculations[[#This Row],[Waste 1]],WasteScenario[#All],4,FALSE),0)</f>
        <v>0</v>
      </c>
      <c r="AD428" s="322">
        <f>IFERROR((VLOOKUP(Calculations[[#This Row],[Waste type 2]],WasteLandfillEmissions[#All],3,FALSE))*Calculations[[#This Row],[Total Kg]]*VLOOKUP(Calculations[[#This Row],[Waste 1]],WasteScenario[#All],4,FALSE),0)</f>
        <v>0</v>
      </c>
      <c r="AE428" s="322">
        <f>SUM(Calculations[[#This Row],[C4 landfill]:[C4 re-use]])</f>
        <v>0</v>
      </c>
      <c r="AF428" s="322">
        <f>IFERROR(VLOOKUP(Calculations[[#This Row],[Material (choose from dropdown]],MaterialData[#All],8,FALSE),0)</f>
        <v>0</v>
      </c>
      <c r="AG428" s="322">
        <f>IFERROR(Calculations[[#This Row],[Total Kg]]*Calculations[[#This Row],[Seq factor]],0)</f>
        <v>0</v>
      </c>
      <c r="AI428" s="322">
        <f>Calculations[[#This Row],[A1-3]]+Calculations[[#This Row],[A4]]+Calculations[[#This Row],[A5]]+Calculations[[#This Row],[B4]]+Calculations[[#This Row],[C2 total]]+Calculations[[#This Row],[C3 total]]+Calculations[[#This Row],[C4 total]]</f>
        <v>0</v>
      </c>
      <c r="AJ428" s="2">
        <f>IFERROR(VLOOKUP(Calculations[[#This Row],[Material (choose from dropdown]],MaterialData[[#Headers],[#Data]],9,FALSE),0)</f>
        <v>0</v>
      </c>
      <c r="AK428" s="4">
        <f>IFERROR(VLOOKUP(Calculations[[#This Row],[Material (choose from dropdown]],MaterialData[[#Headers],[#Data]],10,FALSE),0)</f>
        <v>0</v>
      </c>
      <c r="AL428" s="322">
        <f>IFERROR(Calculations[[#This Row],[Data Quality Score]]*Calculations[[#This Row],[Total Kg]],0)</f>
        <v>0</v>
      </c>
    </row>
    <row r="429" spans="1:38" x14ac:dyDescent="0.3">
      <c r="A429" s="6">
        <f>IFERROR(MaterialsBoQ[[#This Row],[Scope Element]],0)</f>
        <v>0</v>
      </c>
      <c r="B429" t="str">
        <f>IFERROR(MaterialsBoQ[[#This Row],[Material ]],"")</f>
        <v/>
      </c>
      <c r="C429" t="str">
        <f>IFERROR(MaterialsBoQ[[#This Row],[Unit]],"")</f>
        <v/>
      </c>
      <c r="D429" s="322">
        <f>IFERROR(MaterialsBoQ[[#This Row],[Number]],0)</f>
        <v>0</v>
      </c>
      <c r="E429" s="322">
        <f>IFERROR(MaterialsBoQ[[#This Row],[Kg per unit]],0)</f>
        <v>0</v>
      </c>
      <c r="F429" s="322">
        <f>IFERROR(Calculations[[#This Row],[Number]]*Calculations[[#This Row],[Conversion factor]],0)</f>
        <v>0</v>
      </c>
      <c r="G429" s="322">
        <f>IFERROR(VLOOKUP(Calculations[[#This Row],[Material (choose from dropdown]],MaterialData[#All],7,FALSE),0)</f>
        <v>0</v>
      </c>
      <c r="H429" s="322">
        <f>Calculations[[#This Row],[Total Kg]]*Calculations[[#This Row],[Carbon Factor]]</f>
        <v>0</v>
      </c>
      <c r="I429" t="str">
        <f>IFERROR(VLOOKUP(Calculations[[#This Row],[Material (choose from dropdown]],MaterialData[#All],2,FALSE),"")</f>
        <v/>
      </c>
      <c r="J429" s="322">
        <f>IFERROR(((VLOOKUP(Calculations[[#This Row],[TransportSource]],TransportDistance[],2,FALSE)*'Stage assumptions'!$C$11)+VLOOKUP(Calculations[[#This Row],[TransportSource]],TransportDistance[],3,FALSE)*'Stage assumptions'!$C$12)*Calculations[[#This Row],[Total Kg]],0)</f>
        <v>0</v>
      </c>
      <c r="K429">
        <f>IFERROR(VLOOKUP(Calculations[[#This Row],[Material (choose from dropdown]], MaterialData[#All],3, FALSE),0)</f>
        <v>0</v>
      </c>
      <c r="L429" s="322">
        <f>IFERROR(VLOOKUP(Calculations[[#This Row],[A5type]],A5WastageRate[#All],2,FALSE)*Calculations[[#This Row],[A1-3]],0)</f>
        <v>0</v>
      </c>
      <c r="N429">
        <f>IFERROR(ROUNDUP(50/VLOOKUP(Calculations[[#This Row],[Scope Element]],B4referenceServiceLife[[Tier 2 element]:[Default Service Life]],2, FALSE)-1,0),0)</f>
        <v>0</v>
      </c>
      <c r="O429" s="322">
        <f>IFERROR((Calculations[[#This Row],[A1-3]]+Calculations[[#This Row],[A4]]+Calculations[[#This Row],[A5]]+Calculations[[#This Row],[C2 total]]+Calculations[[#This Row],[C3 total]]+Calculations[[#This Row],[C4 total]])*Calculations[[#This Row],[Replacements]],0)</f>
        <v>0</v>
      </c>
      <c r="S429" t="str">
        <f>IFERROR(VLOOKUP(Calculations[[#This Row],[Material (choose from dropdown]],MaterialData[#All],4,FALSE),"")</f>
        <v/>
      </c>
      <c r="T429" s="322" cm="1">
        <f t="array" ref="T429">IFERROR(VLOOKUP(Calculations[[#This Row],[Waste 1]],WasteScenario[#All],2,FALSE)*'Stage assumptions'!$C$225*WasteTransportMethod[Emissions Factor
kgCO2e/kg.km]*Calculations[[#This Row],[Total Kg]],0)</f>
        <v>0</v>
      </c>
      <c r="U429" s="322" cm="1">
        <f t="array" ref="U429">IFERROR(VLOOKUP(Calculations[[#This Row],[Waste 1]],WasteScenario[#All],3,FALSE)*'Stage assumptions'!$C$224*WasteTransportMethod[Emissions Factor
kgCO2e/kg.km]*Calculations[[#This Row],[Total Kg]],0)</f>
        <v>0</v>
      </c>
      <c r="V429" s="322" cm="1">
        <f t="array" ref="V429">IFERROR(VLOOKUP(Calculations[[#This Row],[Waste 1]],WasteScenario[#All],4,FALSE)*'Stage assumptions'!$C$223*WasteTransportMethod[Emissions Factor
kgCO2e/kg.km]*Calculations[[#This Row],[Total Kg]],0)</f>
        <v>0</v>
      </c>
      <c r="W429" s="322" cm="1">
        <f t="array" ref="W429">IFERROR(VLOOKUP(Calculations[[#This Row],[Waste 1]],WasteScenario[#All],5,FALSE)*'Stage assumptions'!$C$226*WasteTransportMethod[Emissions Factor
kgCO2e/kg.km]*Calculations[[#This Row],[Total Kg]],0)</f>
        <v>0</v>
      </c>
      <c r="X429" s="322">
        <f>SUM(Calculations[[#This Row],[C2 Recycle]:[C2 Reuse]])</f>
        <v>0</v>
      </c>
      <c r="Y429" t="str">
        <f>IFERROR(VLOOKUP(Calculations[[#This Row],[Material (choose from dropdown]],MaterialData[#All],5,FALSE),"")</f>
        <v/>
      </c>
      <c r="Z429" s="322">
        <f>IFERROR(((VLOOKUP(Calculations[[#This Row],[Waste type 2]],WasteDisposalEmissions[#All],2,FALSE))*Calculations[[#This Row],[Total Kg]])*VLOOKUP(Calculations[[#This Row],[Waste 1]],WasteScenario[#All],2,FALSE),0)</f>
        <v>0</v>
      </c>
      <c r="AA429" s="322">
        <f>IFERROR((VLOOKUP(Calculations[[#This Row],[Waste type 2]],WasteDisposalEmissions[#All],3,FALSE))*Calculations[[#This Row],[Total Kg]]*VLOOKUP(Calculations[[#This Row],[Waste 1]],WasteScenario[#All],3,FALSE),0)</f>
        <v>0</v>
      </c>
      <c r="AB429" s="322">
        <f>SUM(Calculations[[#This Row],[C3 recyc]:[C3 incin]])</f>
        <v>0</v>
      </c>
      <c r="AC429" s="334">
        <f>IFERROR((VLOOKUP(Calculations[[#This Row],[Waste type 2]],WasteLandfillEmissions[#All],2,FALSE))*Calculations[[#This Row],[Total Kg]]*VLOOKUP(Calculations[[#This Row],[Waste 1]],WasteScenario[#All],4,FALSE),0)</f>
        <v>0</v>
      </c>
      <c r="AD429" s="322">
        <f>IFERROR((VLOOKUP(Calculations[[#This Row],[Waste type 2]],WasteLandfillEmissions[#All],3,FALSE))*Calculations[[#This Row],[Total Kg]]*VLOOKUP(Calculations[[#This Row],[Waste 1]],WasteScenario[#All],4,FALSE),0)</f>
        <v>0</v>
      </c>
      <c r="AE429" s="322">
        <f>SUM(Calculations[[#This Row],[C4 landfill]:[C4 re-use]])</f>
        <v>0</v>
      </c>
      <c r="AF429" s="322">
        <f>IFERROR(VLOOKUP(Calculations[[#This Row],[Material (choose from dropdown]],MaterialData[#All],8,FALSE),0)</f>
        <v>0</v>
      </c>
      <c r="AG429" s="322">
        <f>IFERROR(Calculations[[#This Row],[Total Kg]]*Calculations[[#This Row],[Seq factor]],0)</f>
        <v>0</v>
      </c>
      <c r="AI429" s="322">
        <f>Calculations[[#This Row],[A1-3]]+Calculations[[#This Row],[A4]]+Calculations[[#This Row],[A5]]+Calculations[[#This Row],[B4]]+Calculations[[#This Row],[C2 total]]+Calculations[[#This Row],[C3 total]]+Calculations[[#This Row],[C4 total]]</f>
        <v>0</v>
      </c>
      <c r="AJ429" s="2">
        <f>IFERROR(VLOOKUP(Calculations[[#This Row],[Material (choose from dropdown]],MaterialData[[#Headers],[#Data]],9,FALSE),0)</f>
        <v>0</v>
      </c>
      <c r="AK429" s="4">
        <f>IFERROR(VLOOKUP(Calculations[[#This Row],[Material (choose from dropdown]],MaterialData[[#Headers],[#Data]],10,FALSE),0)</f>
        <v>0</v>
      </c>
      <c r="AL429" s="322">
        <f>IFERROR(Calculations[[#This Row],[Data Quality Score]]*Calculations[[#This Row],[Total Kg]],0)</f>
        <v>0</v>
      </c>
    </row>
    <row r="430" spans="1:38" x14ac:dyDescent="0.3">
      <c r="A430" s="6">
        <f>IFERROR(MaterialsBoQ[[#This Row],[Scope Element]],0)</f>
        <v>0</v>
      </c>
      <c r="B430" t="str">
        <f>IFERROR(MaterialsBoQ[[#This Row],[Material ]],"")</f>
        <v/>
      </c>
      <c r="C430" t="str">
        <f>IFERROR(MaterialsBoQ[[#This Row],[Unit]],"")</f>
        <v/>
      </c>
      <c r="D430" s="322">
        <f>IFERROR(MaterialsBoQ[[#This Row],[Number]],0)</f>
        <v>0</v>
      </c>
      <c r="E430" s="322">
        <f>IFERROR(MaterialsBoQ[[#This Row],[Kg per unit]],0)</f>
        <v>0</v>
      </c>
      <c r="F430" s="322">
        <f>IFERROR(Calculations[[#This Row],[Number]]*Calculations[[#This Row],[Conversion factor]],0)</f>
        <v>0</v>
      </c>
      <c r="G430" s="322">
        <f>IFERROR(VLOOKUP(Calculations[[#This Row],[Material (choose from dropdown]],MaterialData[#All],7,FALSE),0)</f>
        <v>0</v>
      </c>
      <c r="H430" s="322">
        <f>Calculations[[#This Row],[Total Kg]]*Calculations[[#This Row],[Carbon Factor]]</f>
        <v>0</v>
      </c>
      <c r="I430" t="str">
        <f>IFERROR(VLOOKUP(Calculations[[#This Row],[Material (choose from dropdown]],MaterialData[#All],2,FALSE),"")</f>
        <v/>
      </c>
      <c r="J430" s="322">
        <f>IFERROR(((VLOOKUP(Calculations[[#This Row],[TransportSource]],TransportDistance[],2,FALSE)*'Stage assumptions'!$C$11)+VLOOKUP(Calculations[[#This Row],[TransportSource]],TransportDistance[],3,FALSE)*'Stage assumptions'!$C$12)*Calculations[[#This Row],[Total Kg]],0)</f>
        <v>0</v>
      </c>
      <c r="K430">
        <f>IFERROR(VLOOKUP(Calculations[[#This Row],[Material (choose from dropdown]], MaterialData[#All],3, FALSE),0)</f>
        <v>0</v>
      </c>
      <c r="L430" s="322">
        <f>IFERROR(VLOOKUP(Calculations[[#This Row],[A5type]],A5WastageRate[#All],2,FALSE)*Calculations[[#This Row],[A1-3]],0)</f>
        <v>0</v>
      </c>
      <c r="N430">
        <f>IFERROR(ROUNDUP(50/VLOOKUP(Calculations[[#This Row],[Scope Element]],B4referenceServiceLife[[Tier 2 element]:[Default Service Life]],2, FALSE)-1,0),0)</f>
        <v>0</v>
      </c>
      <c r="O430" s="322">
        <f>IFERROR((Calculations[[#This Row],[A1-3]]+Calculations[[#This Row],[A4]]+Calculations[[#This Row],[A5]]+Calculations[[#This Row],[C2 total]]+Calculations[[#This Row],[C3 total]]+Calculations[[#This Row],[C4 total]])*Calculations[[#This Row],[Replacements]],0)</f>
        <v>0</v>
      </c>
      <c r="S430" t="str">
        <f>IFERROR(VLOOKUP(Calculations[[#This Row],[Material (choose from dropdown]],MaterialData[#All],4,FALSE),"")</f>
        <v/>
      </c>
      <c r="T430" s="322" cm="1">
        <f t="array" ref="T430">IFERROR(VLOOKUP(Calculations[[#This Row],[Waste 1]],WasteScenario[#All],2,FALSE)*'Stage assumptions'!$C$225*WasteTransportMethod[Emissions Factor
kgCO2e/kg.km]*Calculations[[#This Row],[Total Kg]],0)</f>
        <v>0</v>
      </c>
      <c r="U430" s="322" cm="1">
        <f t="array" ref="U430">IFERROR(VLOOKUP(Calculations[[#This Row],[Waste 1]],WasteScenario[#All],3,FALSE)*'Stage assumptions'!$C$224*WasteTransportMethod[Emissions Factor
kgCO2e/kg.km]*Calculations[[#This Row],[Total Kg]],0)</f>
        <v>0</v>
      </c>
      <c r="V430" s="322" cm="1">
        <f t="array" ref="V430">IFERROR(VLOOKUP(Calculations[[#This Row],[Waste 1]],WasteScenario[#All],4,FALSE)*'Stage assumptions'!$C$223*WasteTransportMethod[Emissions Factor
kgCO2e/kg.km]*Calculations[[#This Row],[Total Kg]],0)</f>
        <v>0</v>
      </c>
      <c r="W430" s="322" cm="1">
        <f t="array" ref="W430">IFERROR(VLOOKUP(Calculations[[#This Row],[Waste 1]],WasteScenario[#All],5,FALSE)*'Stage assumptions'!$C$226*WasteTransportMethod[Emissions Factor
kgCO2e/kg.km]*Calculations[[#This Row],[Total Kg]],0)</f>
        <v>0</v>
      </c>
      <c r="X430" s="322">
        <f>SUM(Calculations[[#This Row],[C2 Recycle]:[C2 Reuse]])</f>
        <v>0</v>
      </c>
      <c r="Y430" t="str">
        <f>IFERROR(VLOOKUP(Calculations[[#This Row],[Material (choose from dropdown]],MaterialData[#All],5,FALSE),"")</f>
        <v/>
      </c>
      <c r="Z430" s="322">
        <f>IFERROR(((VLOOKUP(Calculations[[#This Row],[Waste type 2]],WasteDisposalEmissions[#All],2,FALSE))*Calculations[[#This Row],[Total Kg]])*VLOOKUP(Calculations[[#This Row],[Waste 1]],WasteScenario[#All],2,FALSE),0)</f>
        <v>0</v>
      </c>
      <c r="AA430" s="322">
        <f>IFERROR((VLOOKUP(Calculations[[#This Row],[Waste type 2]],WasteDisposalEmissions[#All],3,FALSE))*Calculations[[#This Row],[Total Kg]]*VLOOKUP(Calculations[[#This Row],[Waste 1]],WasteScenario[#All],3,FALSE),0)</f>
        <v>0</v>
      </c>
      <c r="AB430" s="322">
        <f>SUM(Calculations[[#This Row],[C3 recyc]:[C3 incin]])</f>
        <v>0</v>
      </c>
      <c r="AC430" s="334">
        <f>IFERROR((VLOOKUP(Calculations[[#This Row],[Waste type 2]],WasteLandfillEmissions[#All],2,FALSE))*Calculations[[#This Row],[Total Kg]]*VLOOKUP(Calculations[[#This Row],[Waste 1]],WasteScenario[#All],4,FALSE),0)</f>
        <v>0</v>
      </c>
      <c r="AD430" s="322">
        <f>IFERROR((VLOOKUP(Calculations[[#This Row],[Waste type 2]],WasteLandfillEmissions[#All],3,FALSE))*Calculations[[#This Row],[Total Kg]]*VLOOKUP(Calculations[[#This Row],[Waste 1]],WasteScenario[#All],4,FALSE),0)</f>
        <v>0</v>
      </c>
      <c r="AE430" s="322">
        <f>SUM(Calculations[[#This Row],[C4 landfill]:[C4 re-use]])</f>
        <v>0</v>
      </c>
      <c r="AF430" s="322">
        <f>IFERROR(VLOOKUP(Calculations[[#This Row],[Material (choose from dropdown]],MaterialData[#All],8,FALSE),0)</f>
        <v>0</v>
      </c>
      <c r="AG430" s="322">
        <f>IFERROR(Calculations[[#This Row],[Total Kg]]*Calculations[[#This Row],[Seq factor]],0)</f>
        <v>0</v>
      </c>
      <c r="AI430" s="322">
        <f>Calculations[[#This Row],[A1-3]]+Calculations[[#This Row],[A4]]+Calculations[[#This Row],[A5]]+Calculations[[#This Row],[B4]]+Calculations[[#This Row],[C2 total]]+Calculations[[#This Row],[C3 total]]+Calculations[[#This Row],[C4 total]]</f>
        <v>0</v>
      </c>
      <c r="AJ430" s="2">
        <f>IFERROR(VLOOKUP(Calculations[[#This Row],[Material (choose from dropdown]],MaterialData[[#Headers],[#Data]],9,FALSE),0)</f>
        <v>0</v>
      </c>
      <c r="AK430" s="4">
        <f>IFERROR(VLOOKUP(Calculations[[#This Row],[Material (choose from dropdown]],MaterialData[[#Headers],[#Data]],10,FALSE),0)</f>
        <v>0</v>
      </c>
      <c r="AL430" s="322">
        <f>IFERROR(Calculations[[#This Row],[Data Quality Score]]*Calculations[[#This Row],[Total Kg]],0)</f>
        <v>0</v>
      </c>
    </row>
    <row r="431" spans="1:38" x14ac:dyDescent="0.3">
      <c r="A431" s="6">
        <f>IFERROR(MaterialsBoQ[[#This Row],[Scope Element]],0)</f>
        <v>0</v>
      </c>
      <c r="B431" t="str">
        <f>IFERROR(MaterialsBoQ[[#This Row],[Material ]],"")</f>
        <v/>
      </c>
      <c r="C431" t="str">
        <f>IFERROR(MaterialsBoQ[[#This Row],[Unit]],"")</f>
        <v/>
      </c>
      <c r="D431" s="322">
        <f>IFERROR(MaterialsBoQ[[#This Row],[Number]],0)</f>
        <v>0</v>
      </c>
      <c r="E431" s="322">
        <f>IFERROR(MaterialsBoQ[[#This Row],[Kg per unit]],0)</f>
        <v>0</v>
      </c>
      <c r="F431" s="322">
        <f>IFERROR(Calculations[[#This Row],[Number]]*Calculations[[#This Row],[Conversion factor]],0)</f>
        <v>0</v>
      </c>
      <c r="G431" s="322">
        <f>IFERROR(VLOOKUP(Calculations[[#This Row],[Material (choose from dropdown]],MaterialData[#All],7,FALSE),0)</f>
        <v>0</v>
      </c>
      <c r="H431" s="322">
        <f>Calculations[[#This Row],[Total Kg]]*Calculations[[#This Row],[Carbon Factor]]</f>
        <v>0</v>
      </c>
      <c r="I431" t="str">
        <f>IFERROR(VLOOKUP(Calculations[[#This Row],[Material (choose from dropdown]],MaterialData[#All],2,FALSE),"")</f>
        <v/>
      </c>
      <c r="J431" s="322">
        <f>IFERROR(((VLOOKUP(Calculations[[#This Row],[TransportSource]],TransportDistance[],2,FALSE)*'Stage assumptions'!$C$11)+VLOOKUP(Calculations[[#This Row],[TransportSource]],TransportDistance[],3,FALSE)*'Stage assumptions'!$C$12)*Calculations[[#This Row],[Total Kg]],0)</f>
        <v>0</v>
      </c>
      <c r="K431">
        <f>IFERROR(VLOOKUP(Calculations[[#This Row],[Material (choose from dropdown]], MaterialData[#All],3, FALSE),0)</f>
        <v>0</v>
      </c>
      <c r="L431" s="322">
        <f>IFERROR(VLOOKUP(Calculations[[#This Row],[A5type]],A5WastageRate[#All],2,FALSE)*Calculations[[#This Row],[A1-3]],0)</f>
        <v>0</v>
      </c>
      <c r="N431">
        <f>IFERROR(ROUNDUP(50/VLOOKUP(Calculations[[#This Row],[Scope Element]],B4referenceServiceLife[[Tier 2 element]:[Default Service Life]],2, FALSE)-1,0),0)</f>
        <v>0</v>
      </c>
      <c r="O431" s="322">
        <f>IFERROR((Calculations[[#This Row],[A1-3]]+Calculations[[#This Row],[A4]]+Calculations[[#This Row],[A5]]+Calculations[[#This Row],[C2 total]]+Calculations[[#This Row],[C3 total]]+Calculations[[#This Row],[C4 total]])*Calculations[[#This Row],[Replacements]],0)</f>
        <v>0</v>
      </c>
      <c r="S431" t="str">
        <f>IFERROR(VLOOKUP(Calculations[[#This Row],[Material (choose from dropdown]],MaterialData[#All],4,FALSE),"")</f>
        <v/>
      </c>
      <c r="T431" s="322" cm="1">
        <f t="array" ref="T431">IFERROR(VLOOKUP(Calculations[[#This Row],[Waste 1]],WasteScenario[#All],2,FALSE)*'Stage assumptions'!$C$225*WasteTransportMethod[Emissions Factor
kgCO2e/kg.km]*Calculations[[#This Row],[Total Kg]],0)</f>
        <v>0</v>
      </c>
      <c r="U431" s="322" cm="1">
        <f t="array" ref="U431">IFERROR(VLOOKUP(Calculations[[#This Row],[Waste 1]],WasteScenario[#All],3,FALSE)*'Stage assumptions'!$C$224*WasteTransportMethod[Emissions Factor
kgCO2e/kg.km]*Calculations[[#This Row],[Total Kg]],0)</f>
        <v>0</v>
      </c>
      <c r="V431" s="322" cm="1">
        <f t="array" ref="V431">IFERROR(VLOOKUP(Calculations[[#This Row],[Waste 1]],WasteScenario[#All],4,FALSE)*'Stage assumptions'!$C$223*WasteTransportMethod[Emissions Factor
kgCO2e/kg.km]*Calculations[[#This Row],[Total Kg]],0)</f>
        <v>0</v>
      </c>
      <c r="W431" s="322" cm="1">
        <f t="array" ref="W431">IFERROR(VLOOKUP(Calculations[[#This Row],[Waste 1]],WasteScenario[#All],5,FALSE)*'Stage assumptions'!$C$226*WasteTransportMethod[Emissions Factor
kgCO2e/kg.km]*Calculations[[#This Row],[Total Kg]],0)</f>
        <v>0</v>
      </c>
      <c r="X431" s="322">
        <f>SUM(Calculations[[#This Row],[C2 Recycle]:[C2 Reuse]])</f>
        <v>0</v>
      </c>
      <c r="Y431" t="str">
        <f>IFERROR(VLOOKUP(Calculations[[#This Row],[Material (choose from dropdown]],MaterialData[#All],5,FALSE),"")</f>
        <v/>
      </c>
      <c r="Z431" s="322">
        <f>IFERROR(((VLOOKUP(Calculations[[#This Row],[Waste type 2]],WasteDisposalEmissions[#All],2,FALSE))*Calculations[[#This Row],[Total Kg]])*VLOOKUP(Calculations[[#This Row],[Waste 1]],WasteScenario[#All],2,FALSE),0)</f>
        <v>0</v>
      </c>
      <c r="AA431" s="322">
        <f>IFERROR((VLOOKUP(Calculations[[#This Row],[Waste type 2]],WasteDisposalEmissions[#All],3,FALSE))*Calculations[[#This Row],[Total Kg]]*VLOOKUP(Calculations[[#This Row],[Waste 1]],WasteScenario[#All],3,FALSE),0)</f>
        <v>0</v>
      </c>
      <c r="AB431" s="322">
        <f>SUM(Calculations[[#This Row],[C3 recyc]:[C3 incin]])</f>
        <v>0</v>
      </c>
      <c r="AC431" s="334">
        <f>IFERROR((VLOOKUP(Calculations[[#This Row],[Waste type 2]],WasteLandfillEmissions[#All],2,FALSE))*Calculations[[#This Row],[Total Kg]]*VLOOKUP(Calculations[[#This Row],[Waste 1]],WasteScenario[#All],4,FALSE),0)</f>
        <v>0</v>
      </c>
      <c r="AD431" s="322">
        <f>IFERROR((VLOOKUP(Calculations[[#This Row],[Waste type 2]],WasteLandfillEmissions[#All],3,FALSE))*Calculations[[#This Row],[Total Kg]]*VLOOKUP(Calculations[[#This Row],[Waste 1]],WasteScenario[#All],4,FALSE),0)</f>
        <v>0</v>
      </c>
      <c r="AE431" s="322">
        <f>SUM(Calculations[[#This Row],[C4 landfill]:[C4 re-use]])</f>
        <v>0</v>
      </c>
      <c r="AF431" s="322">
        <f>IFERROR(VLOOKUP(Calculations[[#This Row],[Material (choose from dropdown]],MaterialData[#All],8,FALSE),0)</f>
        <v>0</v>
      </c>
      <c r="AG431" s="322">
        <f>IFERROR(Calculations[[#This Row],[Total Kg]]*Calculations[[#This Row],[Seq factor]],0)</f>
        <v>0</v>
      </c>
      <c r="AI431" s="322">
        <f>Calculations[[#This Row],[A1-3]]+Calculations[[#This Row],[A4]]+Calculations[[#This Row],[A5]]+Calculations[[#This Row],[B4]]+Calculations[[#This Row],[C2 total]]+Calculations[[#This Row],[C3 total]]+Calculations[[#This Row],[C4 total]]</f>
        <v>0</v>
      </c>
      <c r="AJ431" s="2">
        <f>IFERROR(VLOOKUP(Calculations[[#This Row],[Material (choose from dropdown]],MaterialData[[#Headers],[#Data]],9,FALSE),0)</f>
        <v>0</v>
      </c>
      <c r="AK431" s="4">
        <f>IFERROR(VLOOKUP(Calculations[[#This Row],[Material (choose from dropdown]],MaterialData[[#Headers],[#Data]],10,FALSE),0)</f>
        <v>0</v>
      </c>
      <c r="AL431" s="322">
        <f>IFERROR(Calculations[[#This Row],[Data Quality Score]]*Calculations[[#This Row],[Total Kg]],0)</f>
        <v>0</v>
      </c>
    </row>
    <row r="432" spans="1:38" x14ac:dyDescent="0.3">
      <c r="A432" s="6">
        <f>IFERROR(MaterialsBoQ[[#This Row],[Scope Element]],0)</f>
        <v>0</v>
      </c>
      <c r="B432" t="str">
        <f>IFERROR(MaterialsBoQ[[#This Row],[Material ]],"")</f>
        <v/>
      </c>
      <c r="C432" t="str">
        <f>IFERROR(MaterialsBoQ[[#This Row],[Unit]],"")</f>
        <v/>
      </c>
      <c r="D432" s="322">
        <f>IFERROR(MaterialsBoQ[[#This Row],[Number]],0)</f>
        <v>0</v>
      </c>
      <c r="E432" s="322">
        <f>IFERROR(MaterialsBoQ[[#This Row],[Kg per unit]],0)</f>
        <v>0</v>
      </c>
      <c r="F432" s="322">
        <f>IFERROR(Calculations[[#This Row],[Number]]*Calculations[[#This Row],[Conversion factor]],0)</f>
        <v>0</v>
      </c>
      <c r="G432" s="322">
        <f>IFERROR(VLOOKUP(Calculations[[#This Row],[Material (choose from dropdown]],MaterialData[#All],7,FALSE),0)</f>
        <v>0</v>
      </c>
      <c r="H432" s="322">
        <f>Calculations[[#This Row],[Total Kg]]*Calculations[[#This Row],[Carbon Factor]]</f>
        <v>0</v>
      </c>
      <c r="I432" t="str">
        <f>IFERROR(VLOOKUP(Calculations[[#This Row],[Material (choose from dropdown]],MaterialData[#All],2,FALSE),"")</f>
        <v/>
      </c>
      <c r="J432" s="322">
        <f>IFERROR(((VLOOKUP(Calculations[[#This Row],[TransportSource]],TransportDistance[],2,FALSE)*'Stage assumptions'!$C$11)+VLOOKUP(Calculations[[#This Row],[TransportSource]],TransportDistance[],3,FALSE)*'Stage assumptions'!$C$12)*Calculations[[#This Row],[Total Kg]],0)</f>
        <v>0</v>
      </c>
      <c r="K432">
        <f>IFERROR(VLOOKUP(Calculations[[#This Row],[Material (choose from dropdown]], MaterialData[#All],3, FALSE),0)</f>
        <v>0</v>
      </c>
      <c r="L432" s="322">
        <f>IFERROR(VLOOKUP(Calculations[[#This Row],[A5type]],A5WastageRate[#All],2,FALSE)*Calculations[[#This Row],[A1-3]],0)</f>
        <v>0</v>
      </c>
      <c r="N432">
        <f>IFERROR(ROUNDUP(50/VLOOKUP(Calculations[[#This Row],[Scope Element]],B4referenceServiceLife[[Tier 2 element]:[Default Service Life]],2, FALSE)-1,0),0)</f>
        <v>0</v>
      </c>
      <c r="O432" s="322">
        <f>IFERROR((Calculations[[#This Row],[A1-3]]+Calculations[[#This Row],[A4]]+Calculations[[#This Row],[A5]]+Calculations[[#This Row],[C2 total]]+Calculations[[#This Row],[C3 total]]+Calculations[[#This Row],[C4 total]])*Calculations[[#This Row],[Replacements]],0)</f>
        <v>0</v>
      </c>
      <c r="S432" t="str">
        <f>IFERROR(VLOOKUP(Calculations[[#This Row],[Material (choose from dropdown]],MaterialData[#All],4,FALSE),"")</f>
        <v/>
      </c>
      <c r="T432" s="322" cm="1">
        <f t="array" ref="T432">IFERROR(VLOOKUP(Calculations[[#This Row],[Waste 1]],WasteScenario[#All],2,FALSE)*'Stage assumptions'!$C$225*WasteTransportMethod[Emissions Factor
kgCO2e/kg.km]*Calculations[[#This Row],[Total Kg]],0)</f>
        <v>0</v>
      </c>
      <c r="U432" s="322" cm="1">
        <f t="array" ref="U432">IFERROR(VLOOKUP(Calculations[[#This Row],[Waste 1]],WasteScenario[#All],3,FALSE)*'Stage assumptions'!$C$224*WasteTransportMethod[Emissions Factor
kgCO2e/kg.km]*Calculations[[#This Row],[Total Kg]],0)</f>
        <v>0</v>
      </c>
      <c r="V432" s="322" cm="1">
        <f t="array" ref="V432">IFERROR(VLOOKUP(Calculations[[#This Row],[Waste 1]],WasteScenario[#All],4,FALSE)*'Stage assumptions'!$C$223*WasteTransportMethod[Emissions Factor
kgCO2e/kg.km]*Calculations[[#This Row],[Total Kg]],0)</f>
        <v>0</v>
      </c>
      <c r="W432" s="322" cm="1">
        <f t="array" ref="W432">IFERROR(VLOOKUP(Calculations[[#This Row],[Waste 1]],WasteScenario[#All],5,FALSE)*'Stage assumptions'!$C$226*WasteTransportMethod[Emissions Factor
kgCO2e/kg.km]*Calculations[[#This Row],[Total Kg]],0)</f>
        <v>0</v>
      </c>
      <c r="X432" s="322">
        <f>SUM(Calculations[[#This Row],[C2 Recycle]:[C2 Reuse]])</f>
        <v>0</v>
      </c>
      <c r="Y432" t="str">
        <f>IFERROR(VLOOKUP(Calculations[[#This Row],[Material (choose from dropdown]],MaterialData[#All],5,FALSE),"")</f>
        <v/>
      </c>
      <c r="Z432" s="322">
        <f>IFERROR(((VLOOKUP(Calculations[[#This Row],[Waste type 2]],WasteDisposalEmissions[#All],2,FALSE))*Calculations[[#This Row],[Total Kg]])*VLOOKUP(Calculations[[#This Row],[Waste 1]],WasteScenario[#All],2,FALSE),0)</f>
        <v>0</v>
      </c>
      <c r="AA432" s="322">
        <f>IFERROR((VLOOKUP(Calculations[[#This Row],[Waste type 2]],WasteDisposalEmissions[#All],3,FALSE))*Calculations[[#This Row],[Total Kg]]*VLOOKUP(Calculations[[#This Row],[Waste 1]],WasteScenario[#All],3,FALSE),0)</f>
        <v>0</v>
      </c>
      <c r="AB432" s="322">
        <f>SUM(Calculations[[#This Row],[C3 recyc]:[C3 incin]])</f>
        <v>0</v>
      </c>
      <c r="AC432" s="334">
        <f>IFERROR((VLOOKUP(Calculations[[#This Row],[Waste type 2]],WasteLandfillEmissions[#All],2,FALSE))*Calculations[[#This Row],[Total Kg]]*VLOOKUP(Calculations[[#This Row],[Waste 1]],WasteScenario[#All],4,FALSE),0)</f>
        <v>0</v>
      </c>
      <c r="AD432" s="322">
        <f>IFERROR((VLOOKUP(Calculations[[#This Row],[Waste type 2]],WasteLandfillEmissions[#All],3,FALSE))*Calculations[[#This Row],[Total Kg]]*VLOOKUP(Calculations[[#This Row],[Waste 1]],WasteScenario[#All],4,FALSE),0)</f>
        <v>0</v>
      </c>
      <c r="AE432" s="322">
        <f>SUM(Calculations[[#This Row],[C4 landfill]:[C4 re-use]])</f>
        <v>0</v>
      </c>
      <c r="AF432" s="322">
        <f>IFERROR(VLOOKUP(Calculations[[#This Row],[Material (choose from dropdown]],MaterialData[#All],8,FALSE),0)</f>
        <v>0</v>
      </c>
      <c r="AG432" s="322">
        <f>IFERROR(Calculations[[#This Row],[Total Kg]]*Calculations[[#This Row],[Seq factor]],0)</f>
        <v>0</v>
      </c>
      <c r="AI432" s="322">
        <f>Calculations[[#This Row],[A1-3]]+Calculations[[#This Row],[A4]]+Calculations[[#This Row],[A5]]+Calculations[[#This Row],[B4]]+Calculations[[#This Row],[C2 total]]+Calculations[[#This Row],[C3 total]]+Calculations[[#This Row],[C4 total]]</f>
        <v>0</v>
      </c>
      <c r="AJ432" s="2">
        <f>IFERROR(VLOOKUP(Calculations[[#This Row],[Material (choose from dropdown]],MaterialData[[#Headers],[#Data]],9,FALSE),0)</f>
        <v>0</v>
      </c>
      <c r="AK432" s="4">
        <f>IFERROR(VLOOKUP(Calculations[[#This Row],[Material (choose from dropdown]],MaterialData[[#Headers],[#Data]],10,FALSE),0)</f>
        <v>0</v>
      </c>
      <c r="AL432" s="322">
        <f>IFERROR(Calculations[[#This Row],[Data Quality Score]]*Calculations[[#This Row],[Total Kg]],0)</f>
        <v>0</v>
      </c>
    </row>
    <row r="433" spans="1:38" x14ac:dyDescent="0.3">
      <c r="A433" s="6">
        <f>IFERROR(MaterialsBoQ[[#This Row],[Scope Element]],0)</f>
        <v>0</v>
      </c>
      <c r="B433" t="str">
        <f>IFERROR(MaterialsBoQ[[#This Row],[Material ]],"")</f>
        <v/>
      </c>
      <c r="C433" t="str">
        <f>IFERROR(MaterialsBoQ[[#This Row],[Unit]],"")</f>
        <v/>
      </c>
      <c r="D433" s="322">
        <f>IFERROR(MaterialsBoQ[[#This Row],[Number]],0)</f>
        <v>0</v>
      </c>
      <c r="E433" s="322">
        <f>IFERROR(MaterialsBoQ[[#This Row],[Kg per unit]],0)</f>
        <v>0</v>
      </c>
      <c r="F433" s="322">
        <f>IFERROR(Calculations[[#This Row],[Number]]*Calculations[[#This Row],[Conversion factor]],0)</f>
        <v>0</v>
      </c>
      <c r="G433" s="322">
        <f>IFERROR(VLOOKUP(Calculations[[#This Row],[Material (choose from dropdown]],MaterialData[#All],7,FALSE),0)</f>
        <v>0</v>
      </c>
      <c r="H433" s="322">
        <f>Calculations[[#This Row],[Total Kg]]*Calculations[[#This Row],[Carbon Factor]]</f>
        <v>0</v>
      </c>
      <c r="I433" t="str">
        <f>IFERROR(VLOOKUP(Calculations[[#This Row],[Material (choose from dropdown]],MaterialData[#All],2,FALSE),"")</f>
        <v/>
      </c>
      <c r="J433" s="322">
        <f>IFERROR(((VLOOKUP(Calculations[[#This Row],[TransportSource]],TransportDistance[],2,FALSE)*'Stage assumptions'!$C$11)+VLOOKUP(Calculations[[#This Row],[TransportSource]],TransportDistance[],3,FALSE)*'Stage assumptions'!$C$12)*Calculations[[#This Row],[Total Kg]],0)</f>
        <v>0</v>
      </c>
      <c r="K433">
        <f>IFERROR(VLOOKUP(Calculations[[#This Row],[Material (choose from dropdown]], MaterialData[#All],3, FALSE),0)</f>
        <v>0</v>
      </c>
      <c r="L433" s="322">
        <f>IFERROR(VLOOKUP(Calculations[[#This Row],[A5type]],A5WastageRate[#All],2,FALSE)*Calculations[[#This Row],[A1-3]],0)</f>
        <v>0</v>
      </c>
      <c r="N433">
        <f>IFERROR(ROUNDUP(50/VLOOKUP(Calculations[[#This Row],[Scope Element]],B4referenceServiceLife[[Tier 2 element]:[Default Service Life]],2, FALSE)-1,0),0)</f>
        <v>0</v>
      </c>
      <c r="O433" s="322">
        <f>IFERROR((Calculations[[#This Row],[A1-3]]+Calculations[[#This Row],[A4]]+Calculations[[#This Row],[A5]]+Calculations[[#This Row],[C2 total]]+Calculations[[#This Row],[C3 total]]+Calculations[[#This Row],[C4 total]])*Calculations[[#This Row],[Replacements]],0)</f>
        <v>0</v>
      </c>
      <c r="S433" t="str">
        <f>IFERROR(VLOOKUP(Calculations[[#This Row],[Material (choose from dropdown]],MaterialData[#All],4,FALSE),"")</f>
        <v/>
      </c>
      <c r="T433" s="322" cm="1">
        <f t="array" ref="T433">IFERROR(VLOOKUP(Calculations[[#This Row],[Waste 1]],WasteScenario[#All],2,FALSE)*'Stage assumptions'!$C$225*WasteTransportMethod[Emissions Factor
kgCO2e/kg.km]*Calculations[[#This Row],[Total Kg]],0)</f>
        <v>0</v>
      </c>
      <c r="U433" s="322" cm="1">
        <f t="array" ref="U433">IFERROR(VLOOKUP(Calculations[[#This Row],[Waste 1]],WasteScenario[#All],3,FALSE)*'Stage assumptions'!$C$224*WasteTransportMethod[Emissions Factor
kgCO2e/kg.km]*Calculations[[#This Row],[Total Kg]],0)</f>
        <v>0</v>
      </c>
      <c r="V433" s="322" cm="1">
        <f t="array" ref="V433">IFERROR(VLOOKUP(Calculations[[#This Row],[Waste 1]],WasteScenario[#All],4,FALSE)*'Stage assumptions'!$C$223*WasteTransportMethod[Emissions Factor
kgCO2e/kg.km]*Calculations[[#This Row],[Total Kg]],0)</f>
        <v>0</v>
      </c>
      <c r="W433" s="322" cm="1">
        <f t="array" ref="W433">IFERROR(VLOOKUP(Calculations[[#This Row],[Waste 1]],WasteScenario[#All],5,FALSE)*'Stage assumptions'!$C$226*WasteTransportMethod[Emissions Factor
kgCO2e/kg.km]*Calculations[[#This Row],[Total Kg]],0)</f>
        <v>0</v>
      </c>
      <c r="X433" s="322">
        <f>SUM(Calculations[[#This Row],[C2 Recycle]:[C2 Reuse]])</f>
        <v>0</v>
      </c>
      <c r="Y433" t="str">
        <f>IFERROR(VLOOKUP(Calculations[[#This Row],[Material (choose from dropdown]],MaterialData[#All],5,FALSE),"")</f>
        <v/>
      </c>
      <c r="Z433" s="322">
        <f>IFERROR(((VLOOKUP(Calculations[[#This Row],[Waste type 2]],WasteDisposalEmissions[#All],2,FALSE))*Calculations[[#This Row],[Total Kg]])*VLOOKUP(Calculations[[#This Row],[Waste 1]],WasteScenario[#All],2,FALSE),0)</f>
        <v>0</v>
      </c>
      <c r="AA433" s="322">
        <f>IFERROR((VLOOKUP(Calculations[[#This Row],[Waste type 2]],WasteDisposalEmissions[#All],3,FALSE))*Calculations[[#This Row],[Total Kg]]*VLOOKUP(Calculations[[#This Row],[Waste 1]],WasteScenario[#All],3,FALSE),0)</f>
        <v>0</v>
      </c>
      <c r="AB433" s="322">
        <f>SUM(Calculations[[#This Row],[C3 recyc]:[C3 incin]])</f>
        <v>0</v>
      </c>
      <c r="AC433" s="334">
        <f>IFERROR((VLOOKUP(Calculations[[#This Row],[Waste type 2]],WasteLandfillEmissions[#All],2,FALSE))*Calculations[[#This Row],[Total Kg]]*VLOOKUP(Calculations[[#This Row],[Waste 1]],WasteScenario[#All],4,FALSE),0)</f>
        <v>0</v>
      </c>
      <c r="AD433" s="322">
        <f>IFERROR((VLOOKUP(Calculations[[#This Row],[Waste type 2]],WasteLandfillEmissions[#All],3,FALSE))*Calculations[[#This Row],[Total Kg]]*VLOOKUP(Calculations[[#This Row],[Waste 1]],WasteScenario[#All],4,FALSE),0)</f>
        <v>0</v>
      </c>
      <c r="AE433" s="322">
        <f>SUM(Calculations[[#This Row],[C4 landfill]:[C4 re-use]])</f>
        <v>0</v>
      </c>
      <c r="AF433" s="322">
        <f>IFERROR(VLOOKUP(Calculations[[#This Row],[Material (choose from dropdown]],MaterialData[#All],8,FALSE),0)</f>
        <v>0</v>
      </c>
      <c r="AG433" s="322">
        <f>IFERROR(Calculations[[#This Row],[Total Kg]]*Calculations[[#This Row],[Seq factor]],0)</f>
        <v>0</v>
      </c>
      <c r="AI433" s="322">
        <f>Calculations[[#This Row],[A1-3]]+Calculations[[#This Row],[A4]]+Calculations[[#This Row],[A5]]+Calculations[[#This Row],[B4]]+Calculations[[#This Row],[C2 total]]+Calculations[[#This Row],[C3 total]]+Calculations[[#This Row],[C4 total]]</f>
        <v>0</v>
      </c>
      <c r="AJ433" s="2">
        <f>IFERROR(VLOOKUP(Calculations[[#This Row],[Material (choose from dropdown]],MaterialData[[#Headers],[#Data]],9,FALSE),0)</f>
        <v>0</v>
      </c>
      <c r="AK433" s="4">
        <f>IFERROR(VLOOKUP(Calculations[[#This Row],[Material (choose from dropdown]],MaterialData[[#Headers],[#Data]],10,FALSE),0)</f>
        <v>0</v>
      </c>
      <c r="AL433" s="322">
        <f>IFERROR(Calculations[[#This Row],[Data Quality Score]]*Calculations[[#This Row],[Total Kg]],0)</f>
        <v>0</v>
      </c>
    </row>
    <row r="434" spans="1:38" x14ac:dyDescent="0.3">
      <c r="A434" s="6">
        <f>IFERROR(MaterialsBoQ[[#This Row],[Scope Element]],0)</f>
        <v>0</v>
      </c>
      <c r="B434" t="str">
        <f>IFERROR(MaterialsBoQ[[#This Row],[Material ]],"")</f>
        <v/>
      </c>
      <c r="C434" t="str">
        <f>IFERROR(MaterialsBoQ[[#This Row],[Unit]],"")</f>
        <v/>
      </c>
      <c r="D434" s="322">
        <f>IFERROR(MaterialsBoQ[[#This Row],[Number]],0)</f>
        <v>0</v>
      </c>
      <c r="E434" s="322">
        <f>IFERROR(MaterialsBoQ[[#This Row],[Kg per unit]],0)</f>
        <v>0</v>
      </c>
      <c r="F434" s="322">
        <f>IFERROR(Calculations[[#This Row],[Number]]*Calculations[[#This Row],[Conversion factor]],0)</f>
        <v>0</v>
      </c>
      <c r="G434" s="322">
        <f>IFERROR(VLOOKUP(Calculations[[#This Row],[Material (choose from dropdown]],MaterialData[#All],7,FALSE),0)</f>
        <v>0</v>
      </c>
      <c r="H434" s="322">
        <f>Calculations[[#This Row],[Total Kg]]*Calculations[[#This Row],[Carbon Factor]]</f>
        <v>0</v>
      </c>
      <c r="I434" t="str">
        <f>IFERROR(VLOOKUP(Calculations[[#This Row],[Material (choose from dropdown]],MaterialData[#All],2,FALSE),"")</f>
        <v/>
      </c>
      <c r="J434" s="322">
        <f>IFERROR(((VLOOKUP(Calculations[[#This Row],[TransportSource]],TransportDistance[],2,FALSE)*'Stage assumptions'!$C$11)+VLOOKUP(Calculations[[#This Row],[TransportSource]],TransportDistance[],3,FALSE)*'Stage assumptions'!$C$12)*Calculations[[#This Row],[Total Kg]],0)</f>
        <v>0</v>
      </c>
      <c r="K434">
        <f>IFERROR(VLOOKUP(Calculations[[#This Row],[Material (choose from dropdown]], MaterialData[#All],3, FALSE),0)</f>
        <v>0</v>
      </c>
      <c r="L434" s="322">
        <f>IFERROR(VLOOKUP(Calculations[[#This Row],[A5type]],A5WastageRate[#All],2,FALSE)*Calculations[[#This Row],[A1-3]],0)</f>
        <v>0</v>
      </c>
      <c r="N434">
        <f>IFERROR(ROUNDUP(50/VLOOKUP(Calculations[[#This Row],[Scope Element]],B4referenceServiceLife[[Tier 2 element]:[Default Service Life]],2, FALSE)-1,0),0)</f>
        <v>0</v>
      </c>
      <c r="O434" s="322">
        <f>IFERROR((Calculations[[#This Row],[A1-3]]+Calculations[[#This Row],[A4]]+Calculations[[#This Row],[A5]]+Calculations[[#This Row],[C2 total]]+Calculations[[#This Row],[C3 total]]+Calculations[[#This Row],[C4 total]])*Calculations[[#This Row],[Replacements]],0)</f>
        <v>0</v>
      </c>
      <c r="S434" t="str">
        <f>IFERROR(VLOOKUP(Calculations[[#This Row],[Material (choose from dropdown]],MaterialData[#All],4,FALSE),"")</f>
        <v/>
      </c>
      <c r="T434" s="322" cm="1">
        <f t="array" ref="T434">IFERROR(VLOOKUP(Calculations[[#This Row],[Waste 1]],WasteScenario[#All],2,FALSE)*'Stage assumptions'!$C$225*WasteTransportMethod[Emissions Factor
kgCO2e/kg.km]*Calculations[[#This Row],[Total Kg]],0)</f>
        <v>0</v>
      </c>
      <c r="U434" s="322" cm="1">
        <f t="array" ref="U434">IFERROR(VLOOKUP(Calculations[[#This Row],[Waste 1]],WasteScenario[#All],3,FALSE)*'Stage assumptions'!$C$224*WasteTransportMethod[Emissions Factor
kgCO2e/kg.km]*Calculations[[#This Row],[Total Kg]],0)</f>
        <v>0</v>
      </c>
      <c r="V434" s="322" cm="1">
        <f t="array" ref="V434">IFERROR(VLOOKUP(Calculations[[#This Row],[Waste 1]],WasteScenario[#All],4,FALSE)*'Stage assumptions'!$C$223*WasteTransportMethod[Emissions Factor
kgCO2e/kg.km]*Calculations[[#This Row],[Total Kg]],0)</f>
        <v>0</v>
      </c>
      <c r="W434" s="322" cm="1">
        <f t="array" ref="W434">IFERROR(VLOOKUP(Calculations[[#This Row],[Waste 1]],WasteScenario[#All],5,FALSE)*'Stage assumptions'!$C$226*WasteTransportMethod[Emissions Factor
kgCO2e/kg.km]*Calculations[[#This Row],[Total Kg]],0)</f>
        <v>0</v>
      </c>
      <c r="X434" s="322">
        <f>SUM(Calculations[[#This Row],[C2 Recycle]:[C2 Reuse]])</f>
        <v>0</v>
      </c>
      <c r="Y434" t="str">
        <f>IFERROR(VLOOKUP(Calculations[[#This Row],[Material (choose from dropdown]],MaterialData[#All],5,FALSE),"")</f>
        <v/>
      </c>
      <c r="Z434" s="322">
        <f>IFERROR(((VLOOKUP(Calculations[[#This Row],[Waste type 2]],WasteDisposalEmissions[#All],2,FALSE))*Calculations[[#This Row],[Total Kg]])*VLOOKUP(Calculations[[#This Row],[Waste 1]],WasteScenario[#All],2,FALSE),0)</f>
        <v>0</v>
      </c>
      <c r="AA434" s="322">
        <f>IFERROR((VLOOKUP(Calculations[[#This Row],[Waste type 2]],WasteDisposalEmissions[#All],3,FALSE))*Calculations[[#This Row],[Total Kg]]*VLOOKUP(Calculations[[#This Row],[Waste 1]],WasteScenario[#All],3,FALSE),0)</f>
        <v>0</v>
      </c>
      <c r="AB434" s="322">
        <f>SUM(Calculations[[#This Row],[C3 recyc]:[C3 incin]])</f>
        <v>0</v>
      </c>
      <c r="AC434" s="334">
        <f>IFERROR((VLOOKUP(Calculations[[#This Row],[Waste type 2]],WasteLandfillEmissions[#All],2,FALSE))*Calculations[[#This Row],[Total Kg]]*VLOOKUP(Calculations[[#This Row],[Waste 1]],WasteScenario[#All],4,FALSE),0)</f>
        <v>0</v>
      </c>
      <c r="AD434" s="322">
        <f>IFERROR((VLOOKUP(Calculations[[#This Row],[Waste type 2]],WasteLandfillEmissions[#All],3,FALSE))*Calculations[[#This Row],[Total Kg]]*VLOOKUP(Calculations[[#This Row],[Waste 1]],WasteScenario[#All],4,FALSE),0)</f>
        <v>0</v>
      </c>
      <c r="AE434" s="322">
        <f>SUM(Calculations[[#This Row],[C4 landfill]:[C4 re-use]])</f>
        <v>0</v>
      </c>
      <c r="AF434" s="322">
        <f>IFERROR(VLOOKUP(Calculations[[#This Row],[Material (choose from dropdown]],MaterialData[#All],8,FALSE),0)</f>
        <v>0</v>
      </c>
      <c r="AG434" s="322">
        <f>IFERROR(Calculations[[#This Row],[Total Kg]]*Calculations[[#This Row],[Seq factor]],0)</f>
        <v>0</v>
      </c>
      <c r="AI434" s="322">
        <f>Calculations[[#This Row],[A1-3]]+Calculations[[#This Row],[A4]]+Calculations[[#This Row],[A5]]+Calculations[[#This Row],[B4]]+Calculations[[#This Row],[C2 total]]+Calculations[[#This Row],[C3 total]]+Calculations[[#This Row],[C4 total]]</f>
        <v>0</v>
      </c>
      <c r="AJ434" s="2">
        <f>IFERROR(VLOOKUP(Calculations[[#This Row],[Material (choose from dropdown]],MaterialData[[#Headers],[#Data]],9,FALSE),0)</f>
        <v>0</v>
      </c>
      <c r="AK434" s="4">
        <f>IFERROR(VLOOKUP(Calculations[[#This Row],[Material (choose from dropdown]],MaterialData[[#Headers],[#Data]],10,FALSE),0)</f>
        <v>0</v>
      </c>
      <c r="AL434" s="322">
        <f>IFERROR(Calculations[[#This Row],[Data Quality Score]]*Calculations[[#This Row],[Total Kg]],0)</f>
        <v>0</v>
      </c>
    </row>
    <row r="435" spans="1:38" x14ac:dyDescent="0.3">
      <c r="A435" s="6">
        <f>IFERROR(MaterialsBoQ[[#This Row],[Scope Element]],0)</f>
        <v>0</v>
      </c>
      <c r="B435" t="str">
        <f>IFERROR(MaterialsBoQ[[#This Row],[Material ]],"")</f>
        <v/>
      </c>
      <c r="C435" t="str">
        <f>IFERROR(MaterialsBoQ[[#This Row],[Unit]],"")</f>
        <v/>
      </c>
      <c r="D435" s="322">
        <f>IFERROR(MaterialsBoQ[[#This Row],[Number]],0)</f>
        <v>0</v>
      </c>
      <c r="E435" s="322">
        <f>IFERROR(MaterialsBoQ[[#This Row],[Kg per unit]],0)</f>
        <v>0</v>
      </c>
      <c r="F435" s="322">
        <f>IFERROR(Calculations[[#This Row],[Number]]*Calculations[[#This Row],[Conversion factor]],0)</f>
        <v>0</v>
      </c>
      <c r="G435" s="322">
        <f>IFERROR(VLOOKUP(Calculations[[#This Row],[Material (choose from dropdown]],MaterialData[#All],7,FALSE),0)</f>
        <v>0</v>
      </c>
      <c r="H435" s="322">
        <f>Calculations[[#This Row],[Total Kg]]*Calculations[[#This Row],[Carbon Factor]]</f>
        <v>0</v>
      </c>
      <c r="I435" t="str">
        <f>IFERROR(VLOOKUP(Calculations[[#This Row],[Material (choose from dropdown]],MaterialData[#All],2,FALSE),"")</f>
        <v/>
      </c>
      <c r="J435" s="322">
        <f>IFERROR(((VLOOKUP(Calculations[[#This Row],[TransportSource]],TransportDistance[],2,FALSE)*'Stage assumptions'!$C$11)+VLOOKUP(Calculations[[#This Row],[TransportSource]],TransportDistance[],3,FALSE)*'Stage assumptions'!$C$12)*Calculations[[#This Row],[Total Kg]],0)</f>
        <v>0</v>
      </c>
      <c r="K435">
        <f>IFERROR(VLOOKUP(Calculations[[#This Row],[Material (choose from dropdown]], MaterialData[#All],3, FALSE),0)</f>
        <v>0</v>
      </c>
      <c r="L435" s="322">
        <f>IFERROR(VLOOKUP(Calculations[[#This Row],[A5type]],A5WastageRate[#All],2,FALSE)*Calculations[[#This Row],[A1-3]],0)</f>
        <v>0</v>
      </c>
      <c r="N435">
        <f>IFERROR(ROUNDUP(50/VLOOKUP(Calculations[[#This Row],[Scope Element]],B4referenceServiceLife[[Tier 2 element]:[Default Service Life]],2, FALSE)-1,0),0)</f>
        <v>0</v>
      </c>
      <c r="O435" s="322">
        <f>IFERROR((Calculations[[#This Row],[A1-3]]+Calculations[[#This Row],[A4]]+Calculations[[#This Row],[A5]]+Calculations[[#This Row],[C2 total]]+Calculations[[#This Row],[C3 total]]+Calculations[[#This Row],[C4 total]])*Calculations[[#This Row],[Replacements]],0)</f>
        <v>0</v>
      </c>
      <c r="S435" t="str">
        <f>IFERROR(VLOOKUP(Calculations[[#This Row],[Material (choose from dropdown]],MaterialData[#All],4,FALSE),"")</f>
        <v/>
      </c>
      <c r="T435" s="322" cm="1">
        <f t="array" ref="T435">IFERROR(VLOOKUP(Calculations[[#This Row],[Waste 1]],WasteScenario[#All],2,FALSE)*'Stage assumptions'!$C$225*WasteTransportMethod[Emissions Factor
kgCO2e/kg.km]*Calculations[[#This Row],[Total Kg]],0)</f>
        <v>0</v>
      </c>
      <c r="U435" s="322" cm="1">
        <f t="array" ref="U435">IFERROR(VLOOKUP(Calculations[[#This Row],[Waste 1]],WasteScenario[#All],3,FALSE)*'Stage assumptions'!$C$224*WasteTransportMethod[Emissions Factor
kgCO2e/kg.km]*Calculations[[#This Row],[Total Kg]],0)</f>
        <v>0</v>
      </c>
      <c r="V435" s="322" cm="1">
        <f t="array" ref="V435">IFERROR(VLOOKUP(Calculations[[#This Row],[Waste 1]],WasteScenario[#All],4,FALSE)*'Stage assumptions'!$C$223*WasteTransportMethod[Emissions Factor
kgCO2e/kg.km]*Calculations[[#This Row],[Total Kg]],0)</f>
        <v>0</v>
      </c>
      <c r="W435" s="322" cm="1">
        <f t="array" ref="W435">IFERROR(VLOOKUP(Calculations[[#This Row],[Waste 1]],WasteScenario[#All],5,FALSE)*'Stage assumptions'!$C$226*WasteTransportMethod[Emissions Factor
kgCO2e/kg.km]*Calculations[[#This Row],[Total Kg]],0)</f>
        <v>0</v>
      </c>
      <c r="X435" s="322">
        <f>SUM(Calculations[[#This Row],[C2 Recycle]:[C2 Reuse]])</f>
        <v>0</v>
      </c>
      <c r="Y435" t="str">
        <f>IFERROR(VLOOKUP(Calculations[[#This Row],[Material (choose from dropdown]],MaterialData[#All],5,FALSE),"")</f>
        <v/>
      </c>
      <c r="Z435" s="322">
        <f>IFERROR(((VLOOKUP(Calculations[[#This Row],[Waste type 2]],WasteDisposalEmissions[#All],2,FALSE))*Calculations[[#This Row],[Total Kg]])*VLOOKUP(Calculations[[#This Row],[Waste 1]],WasteScenario[#All],2,FALSE),0)</f>
        <v>0</v>
      </c>
      <c r="AA435" s="322">
        <f>IFERROR((VLOOKUP(Calculations[[#This Row],[Waste type 2]],WasteDisposalEmissions[#All],3,FALSE))*Calculations[[#This Row],[Total Kg]]*VLOOKUP(Calculations[[#This Row],[Waste 1]],WasteScenario[#All],3,FALSE),0)</f>
        <v>0</v>
      </c>
      <c r="AB435" s="322">
        <f>SUM(Calculations[[#This Row],[C3 recyc]:[C3 incin]])</f>
        <v>0</v>
      </c>
      <c r="AC435" s="334">
        <f>IFERROR((VLOOKUP(Calculations[[#This Row],[Waste type 2]],WasteLandfillEmissions[#All],2,FALSE))*Calculations[[#This Row],[Total Kg]]*VLOOKUP(Calculations[[#This Row],[Waste 1]],WasteScenario[#All],4,FALSE),0)</f>
        <v>0</v>
      </c>
      <c r="AD435" s="322">
        <f>IFERROR((VLOOKUP(Calculations[[#This Row],[Waste type 2]],WasteLandfillEmissions[#All],3,FALSE))*Calculations[[#This Row],[Total Kg]]*VLOOKUP(Calculations[[#This Row],[Waste 1]],WasteScenario[#All],4,FALSE),0)</f>
        <v>0</v>
      </c>
      <c r="AE435" s="322">
        <f>SUM(Calculations[[#This Row],[C4 landfill]:[C4 re-use]])</f>
        <v>0</v>
      </c>
      <c r="AF435" s="322">
        <f>IFERROR(VLOOKUP(Calculations[[#This Row],[Material (choose from dropdown]],MaterialData[#All],8,FALSE),0)</f>
        <v>0</v>
      </c>
      <c r="AG435" s="322">
        <f>IFERROR(Calculations[[#This Row],[Total Kg]]*Calculations[[#This Row],[Seq factor]],0)</f>
        <v>0</v>
      </c>
      <c r="AI435" s="322">
        <f>Calculations[[#This Row],[A1-3]]+Calculations[[#This Row],[A4]]+Calculations[[#This Row],[A5]]+Calculations[[#This Row],[B4]]+Calculations[[#This Row],[C2 total]]+Calculations[[#This Row],[C3 total]]+Calculations[[#This Row],[C4 total]]</f>
        <v>0</v>
      </c>
      <c r="AJ435" s="2">
        <f>IFERROR(VLOOKUP(Calculations[[#This Row],[Material (choose from dropdown]],MaterialData[[#Headers],[#Data]],9,FALSE),0)</f>
        <v>0</v>
      </c>
      <c r="AK435" s="4">
        <f>IFERROR(VLOOKUP(Calculations[[#This Row],[Material (choose from dropdown]],MaterialData[[#Headers],[#Data]],10,FALSE),0)</f>
        <v>0</v>
      </c>
      <c r="AL435" s="322">
        <f>IFERROR(Calculations[[#This Row],[Data Quality Score]]*Calculations[[#This Row],[Total Kg]],0)</f>
        <v>0</v>
      </c>
    </row>
    <row r="436" spans="1:38" x14ac:dyDescent="0.3">
      <c r="A436" s="6">
        <f>IFERROR(MaterialsBoQ[[#This Row],[Scope Element]],0)</f>
        <v>0</v>
      </c>
      <c r="B436" t="str">
        <f>IFERROR(MaterialsBoQ[[#This Row],[Material ]],"")</f>
        <v/>
      </c>
      <c r="C436" t="str">
        <f>IFERROR(MaterialsBoQ[[#This Row],[Unit]],"")</f>
        <v/>
      </c>
      <c r="D436" s="322">
        <f>IFERROR(MaterialsBoQ[[#This Row],[Number]],0)</f>
        <v>0</v>
      </c>
      <c r="E436" s="322">
        <f>IFERROR(MaterialsBoQ[[#This Row],[Kg per unit]],0)</f>
        <v>0</v>
      </c>
      <c r="F436" s="322">
        <f>IFERROR(Calculations[[#This Row],[Number]]*Calculations[[#This Row],[Conversion factor]],0)</f>
        <v>0</v>
      </c>
      <c r="G436" s="322">
        <f>IFERROR(VLOOKUP(Calculations[[#This Row],[Material (choose from dropdown]],MaterialData[#All],7,FALSE),0)</f>
        <v>0</v>
      </c>
      <c r="H436" s="322">
        <f>Calculations[[#This Row],[Total Kg]]*Calculations[[#This Row],[Carbon Factor]]</f>
        <v>0</v>
      </c>
      <c r="I436" t="str">
        <f>IFERROR(VLOOKUP(Calculations[[#This Row],[Material (choose from dropdown]],MaterialData[#All],2,FALSE),"")</f>
        <v/>
      </c>
      <c r="J436" s="322">
        <f>IFERROR(((VLOOKUP(Calculations[[#This Row],[TransportSource]],TransportDistance[],2,FALSE)*'Stage assumptions'!$C$11)+VLOOKUP(Calculations[[#This Row],[TransportSource]],TransportDistance[],3,FALSE)*'Stage assumptions'!$C$12)*Calculations[[#This Row],[Total Kg]],0)</f>
        <v>0</v>
      </c>
      <c r="K436">
        <f>IFERROR(VLOOKUP(Calculations[[#This Row],[Material (choose from dropdown]], MaterialData[#All],3, FALSE),0)</f>
        <v>0</v>
      </c>
      <c r="L436" s="322">
        <f>IFERROR(VLOOKUP(Calculations[[#This Row],[A5type]],A5WastageRate[#All],2,FALSE)*Calculations[[#This Row],[A1-3]],0)</f>
        <v>0</v>
      </c>
      <c r="N436">
        <f>IFERROR(ROUNDUP(50/VLOOKUP(Calculations[[#This Row],[Scope Element]],B4referenceServiceLife[[Tier 2 element]:[Default Service Life]],2, FALSE)-1,0),0)</f>
        <v>0</v>
      </c>
      <c r="O436" s="322">
        <f>IFERROR((Calculations[[#This Row],[A1-3]]+Calculations[[#This Row],[A4]]+Calculations[[#This Row],[A5]]+Calculations[[#This Row],[C2 total]]+Calculations[[#This Row],[C3 total]]+Calculations[[#This Row],[C4 total]])*Calculations[[#This Row],[Replacements]],0)</f>
        <v>0</v>
      </c>
      <c r="S436" t="str">
        <f>IFERROR(VLOOKUP(Calculations[[#This Row],[Material (choose from dropdown]],MaterialData[#All],4,FALSE),"")</f>
        <v/>
      </c>
      <c r="T436" s="322" cm="1">
        <f t="array" ref="T436">IFERROR(VLOOKUP(Calculations[[#This Row],[Waste 1]],WasteScenario[#All],2,FALSE)*'Stage assumptions'!$C$225*WasteTransportMethod[Emissions Factor
kgCO2e/kg.km]*Calculations[[#This Row],[Total Kg]],0)</f>
        <v>0</v>
      </c>
      <c r="U436" s="322" cm="1">
        <f t="array" ref="U436">IFERROR(VLOOKUP(Calculations[[#This Row],[Waste 1]],WasteScenario[#All],3,FALSE)*'Stage assumptions'!$C$224*WasteTransportMethod[Emissions Factor
kgCO2e/kg.km]*Calculations[[#This Row],[Total Kg]],0)</f>
        <v>0</v>
      </c>
      <c r="V436" s="322" cm="1">
        <f t="array" ref="V436">IFERROR(VLOOKUP(Calculations[[#This Row],[Waste 1]],WasteScenario[#All],4,FALSE)*'Stage assumptions'!$C$223*WasteTransportMethod[Emissions Factor
kgCO2e/kg.km]*Calculations[[#This Row],[Total Kg]],0)</f>
        <v>0</v>
      </c>
      <c r="W436" s="322" cm="1">
        <f t="array" ref="W436">IFERROR(VLOOKUP(Calculations[[#This Row],[Waste 1]],WasteScenario[#All],5,FALSE)*'Stage assumptions'!$C$226*WasteTransportMethod[Emissions Factor
kgCO2e/kg.km]*Calculations[[#This Row],[Total Kg]],0)</f>
        <v>0</v>
      </c>
      <c r="X436" s="322">
        <f>SUM(Calculations[[#This Row],[C2 Recycle]:[C2 Reuse]])</f>
        <v>0</v>
      </c>
      <c r="Y436" t="str">
        <f>IFERROR(VLOOKUP(Calculations[[#This Row],[Material (choose from dropdown]],MaterialData[#All],5,FALSE),"")</f>
        <v/>
      </c>
      <c r="Z436" s="322">
        <f>IFERROR(((VLOOKUP(Calculations[[#This Row],[Waste type 2]],WasteDisposalEmissions[#All],2,FALSE))*Calculations[[#This Row],[Total Kg]])*VLOOKUP(Calculations[[#This Row],[Waste 1]],WasteScenario[#All],2,FALSE),0)</f>
        <v>0</v>
      </c>
      <c r="AA436" s="322">
        <f>IFERROR((VLOOKUP(Calculations[[#This Row],[Waste type 2]],WasteDisposalEmissions[#All],3,FALSE))*Calculations[[#This Row],[Total Kg]]*VLOOKUP(Calculations[[#This Row],[Waste 1]],WasteScenario[#All],3,FALSE),0)</f>
        <v>0</v>
      </c>
      <c r="AB436" s="322">
        <f>SUM(Calculations[[#This Row],[C3 recyc]:[C3 incin]])</f>
        <v>0</v>
      </c>
      <c r="AC436" s="334">
        <f>IFERROR((VLOOKUP(Calculations[[#This Row],[Waste type 2]],WasteLandfillEmissions[#All],2,FALSE))*Calculations[[#This Row],[Total Kg]]*VLOOKUP(Calculations[[#This Row],[Waste 1]],WasteScenario[#All],4,FALSE),0)</f>
        <v>0</v>
      </c>
      <c r="AD436" s="322">
        <f>IFERROR((VLOOKUP(Calculations[[#This Row],[Waste type 2]],WasteLandfillEmissions[#All],3,FALSE))*Calculations[[#This Row],[Total Kg]]*VLOOKUP(Calculations[[#This Row],[Waste 1]],WasteScenario[#All],4,FALSE),0)</f>
        <v>0</v>
      </c>
      <c r="AE436" s="322">
        <f>SUM(Calculations[[#This Row],[C4 landfill]:[C4 re-use]])</f>
        <v>0</v>
      </c>
      <c r="AF436" s="322">
        <f>IFERROR(VLOOKUP(Calculations[[#This Row],[Material (choose from dropdown]],MaterialData[#All],8,FALSE),0)</f>
        <v>0</v>
      </c>
      <c r="AG436" s="322">
        <f>IFERROR(Calculations[[#This Row],[Total Kg]]*Calculations[[#This Row],[Seq factor]],0)</f>
        <v>0</v>
      </c>
      <c r="AI436" s="322">
        <f>Calculations[[#This Row],[A1-3]]+Calculations[[#This Row],[A4]]+Calculations[[#This Row],[A5]]+Calculations[[#This Row],[B4]]+Calculations[[#This Row],[C2 total]]+Calculations[[#This Row],[C3 total]]+Calculations[[#This Row],[C4 total]]</f>
        <v>0</v>
      </c>
      <c r="AJ436" s="2">
        <f>IFERROR(VLOOKUP(Calculations[[#This Row],[Material (choose from dropdown]],MaterialData[[#Headers],[#Data]],9,FALSE),0)</f>
        <v>0</v>
      </c>
      <c r="AK436" s="4">
        <f>IFERROR(VLOOKUP(Calculations[[#This Row],[Material (choose from dropdown]],MaterialData[[#Headers],[#Data]],10,FALSE),0)</f>
        <v>0</v>
      </c>
      <c r="AL436" s="322">
        <f>IFERROR(Calculations[[#This Row],[Data Quality Score]]*Calculations[[#This Row],[Total Kg]],0)</f>
        <v>0</v>
      </c>
    </row>
    <row r="437" spans="1:38" x14ac:dyDescent="0.3">
      <c r="A437" s="6">
        <f>IFERROR(MaterialsBoQ[[#This Row],[Scope Element]],0)</f>
        <v>0</v>
      </c>
      <c r="B437" t="str">
        <f>IFERROR(MaterialsBoQ[[#This Row],[Material ]],"")</f>
        <v/>
      </c>
      <c r="C437" t="str">
        <f>IFERROR(MaterialsBoQ[[#This Row],[Unit]],"")</f>
        <v/>
      </c>
      <c r="D437" s="322">
        <f>IFERROR(MaterialsBoQ[[#This Row],[Number]],0)</f>
        <v>0</v>
      </c>
      <c r="E437" s="322">
        <f>IFERROR(MaterialsBoQ[[#This Row],[Kg per unit]],0)</f>
        <v>0</v>
      </c>
      <c r="F437" s="322">
        <f>IFERROR(Calculations[[#This Row],[Number]]*Calculations[[#This Row],[Conversion factor]],0)</f>
        <v>0</v>
      </c>
      <c r="G437" s="322">
        <f>IFERROR(VLOOKUP(Calculations[[#This Row],[Material (choose from dropdown]],MaterialData[#All],7,FALSE),0)</f>
        <v>0</v>
      </c>
      <c r="H437" s="322">
        <f>Calculations[[#This Row],[Total Kg]]*Calculations[[#This Row],[Carbon Factor]]</f>
        <v>0</v>
      </c>
      <c r="I437" t="str">
        <f>IFERROR(VLOOKUP(Calculations[[#This Row],[Material (choose from dropdown]],MaterialData[#All],2,FALSE),"")</f>
        <v/>
      </c>
      <c r="J437" s="322">
        <f>IFERROR(((VLOOKUP(Calculations[[#This Row],[TransportSource]],TransportDistance[],2,FALSE)*'Stage assumptions'!$C$11)+VLOOKUP(Calculations[[#This Row],[TransportSource]],TransportDistance[],3,FALSE)*'Stage assumptions'!$C$12)*Calculations[[#This Row],[Total Kg]],0)</f>
        <v>0</v>
      </c>
      <c r="K437">
        <f>IFERROR(VLOOKUP(Calculations[[#This Row],[Material (choose from dropdown]], MaterialData[#All],3, FALSE),0)</f>
        <v>0</v>
      </c>
      <c r="L437" s="322">
        <f>IFERROR(VLOOKUP(Calculations[[#This Row],[A5type]],A5WastageRate[#All],2,FALSE)*Calculations[[#This Row],[A1-3]],0)</f>
        <v>0</v>
      </c>
      <c r="N437">
        <f>IFERROR(ROUNDUP(50/VLOOKUP(Calculations[[#This Row],[Scope Element]],B4referenceServiceLife[[Tier 2 element]:[Default Service Life]],2, FALSE)-1,0),0)</f>
        <v>0</v>
      </c>
      <c r="O437" s="322">
        <f>IFERROR((Calculations[[#This Row],[A1-3]]+Calculations[[#This Row],[A4]]+Calculations[[#This Row],[A5]]+Calculations[[#This Row],[C2 total]]+Calculations[[#This Row],[C3 total]]+Calculations[[#This Row],[C4 total]])*Calculations[[#This Row],[Replacements]],0)</f>
        <v>0</v>
      </c>
      <c r="S437" t="str">
        <f>IFERROR(VLOOKUP(Calculations[[#This Row],[Material (choose from dropdown]],MaterialData[#All],4,FALSE),"")</f>
        <v/>
      </c>
      <c r="T437" s="322" cm="1">
        <f t="array" ref="T437">IFERROR(VLOOKUP(Calculations[[#This Row],[Waste 1]],WasteScenario[#All],2,FALSE)*'Stage assumptions'!$C$225*WasteTransportMethod[Emissions Factor
kgCO2e/kg.km]*Calculations[[#This Row],[Total Kg]],0)</f>
        <v>0</v>
      </c>
      <c r="U437" s="322" cm="1">
        <f t="array" ref="U437">IFERROR(VLOOKUP(Calculations[[#This Row],[Waste 1]],WasteScenario[#All],3,FALSE)*'Stage assumptions'!$C$224*WasteTransportMethod[Emissions Factor
kgCO2e/kg.km]*Calculations[[#This Row],[Total Kg]],0)</f>
        <v>0</v>
      </c>
      <c r="V437" s="322" cm="1">
        <f t="array" ref="V437">IFERROR(VLOOKUP(Calculations[[#This Row],[Waste 1]],WasteScenario[#All],4,FALSE)*'Stage assumptions'!$C$223*WasteTransportMethod[Emissions Factor
kgCO2e/kg.km]*Calculations[[#This Row],[Total Kg]],0)</f>
        <v>0</v>
      </c>
      <c r="W437" s="322" cm="1">
        <f t="array" ref="W437">IFERROR(VLOOKUP(Calculations[[#This Row],[Waste 1]],WasteScenario[#All],5,FALSE)*'Stage assumptions'!$C$226*WasteTransportMethod[Emissions Factor
kgCO2e/kg.km]*Calculations[[#This Row],[Total Kg]],0)</f>
        <v>0</v>
      </c>
      <c r="X437" s="322">
        <f>SUM(Calculations[[#This Row],[C2 Recycle]:[C2 Reuse]])</f>
        <v>0</v>
      </c>
      <c r="Y437" t="str">
        <f>IFERROR(VLOOKUP(Calculations[[#This Row],[Material (choose from dropdown]],MaterialData[#All],5,FALSE),"")</f>
        <v/>
      </c>
      <c r="Z437" s="322">
        <f>IFERROR(((VLOOKUP(Calculations[[#This Row],[Waste type 2]],WasteDisposalEmissions[#All],2,FALSE))*Calculations[[#This Row],[Total Kg]])*VLOOKUP(Calculations[[#This Row],[Waste 1]],WasteScenario[#All],2,FALSE),0)</f>
        <v>0</v>
      </c>
      <c r="AA437" s="322">
        <f>IFERROR((VLOOKUP(Calculations[[#This Row],[Waste type 2]],WasteDisposalEmissions[#All],3,FALSE))*Calculations[[#This Row],[Total Kg]]*VLOOKUP(Calculations[[#This Row],[Waste 1]],WasteScenario[#All],3,FALSE),0)</f>
        <v>0</v>
      </c>
      <c r="AB437" s="322">
        <f>SUM(Calculations[[#This Row],[C3 recyc]:[C3 incin]])</f>
        <v>0</v>
      </c>
      <c r="AC437" s="334">
        <f>IFERROR((VLOOKUP(Calculations[[#This Row],[Waste type 2]],WasteLandfillEmissions[#All],2,FALSE))*Calculations[[#This Row],[Total Kg]]*VLOOKUP(Calculations[[#This Row],[Waste 1]],WasteScenario[#All],4,FALSE),0)</f>
        <v>0</v>
      </c>
      <c r="AD437" s="322">
        <f>IFERROR((VLOOKUP(Calculations[[#This Row],[Waste type 2]],WasteLandfillEmissions[#All],3,FALSE))*Calculations[[#This Row],[Total Kg]]*VLOOKUP(Calculations[[#This Row],[Waste 1]],WasteScenario[#All],4,FALSE),0)</f>
        <v>0</v>
      </c>
      <c r="AE437" s="322">
        <f>SUM(Calculations[[#This Row],[C4 landfill]:[C4 re-use]])</f>
        <v>0</v>
      </c>
      <c r="AF437" s="322">
        <f>IFERROR(VLOOKUP(Calculations[[#This Row],[Material (choose from dropdown]],MaterialData[#All],8,FALSE),0)</f>
        <v>0</v>
      </c>
      <c r="AG437" s="322">
        <f>IFERROR(Calculations[[#This Row],[Total Kg]]*Calculations[[#This Row],[Seq factor]],0)</f>
        <v>0</v>
      </c>
      <c r="AI437" s="322">
        <f>Calculations[[#This Row],[A1-3]]+Calculations[[#This Row],[A4]]+Calculations[[#This Row],[A5]]+Calculations[[#This Row],[B4]]+Calculations[[#This Row],[C2 total]]+Calculations[[#This Row],[C3 total]]+Calculations[[#This Row],[C4 total]]</f>
        <v>0</v>
      </c>
      <c r="AJ437" s="2">
        <f>IFERROR(VLOOKUP(Calculations[[#This Row],[Material (choose from dropdown]],MaterialData[[#Headers],[#Data]],9,FALSE),0)</f>
        <v>0</v>
      </c>
      <c r="AK437" s="4">
        <f>IFERROR(VLOOKUP(Calculations[[#This Row],[Material (choose from dropdown]],MaterialData[[#Headers],[#Data]],10,FALSE),0)</f>
        <v>0</v>
      </c>
      <c r="AL437" s="322">
        <f>IFERROR(Calculations[[#This Row],[Data Quality Score]]*Calculations[[#This Row],[Total Kg]],0)</f>
        <v>0</v>
      </c>
    </row>
    <row r="438" spans="1:38" x14ac:dyDescent="0.3">
      <c r="A438" s="6">
        <f>IFERROR(MaterialsBoQ[[#This Row],[Scope Element]],0)</f>
        <v>0</v>
      </c>
      <c r="B438" t="str">
        <f>IFERROR(MaterialsBoQ[[#This Row],[Material ]],"")</f>
        <v/>
      </c>
      <c r="C438" t="str">
        <f>IFERROR(MaterialsBoQ[[#This Row],[Unit]],"")</f>
        <v/>
      </c>
      <c r="D438" s="322">
        <f>IFERROR(MaterialsBoQ[[#This Row],[Number]],0)</f>
        <v>0</v>
      </c>
      <c r="E438" s="322">
        <f>IFERROR(MaterialsBoQ[[#This Row],[Kg per unit]],0)</f>
        <v>0</v>
      </c>
      <c r="F438" s="322">
        <f>IFERROR(Calculations[[#This Row],[Number]]*Calculations[[#This Row],[Conversion factor]],0)</f>
        <v>0</v>
      </c>
      <c r="G438" s="322">
        <f>IFERROR(VLOOKUP(Calculations[[#This Row],[Material (choose from dropdown]],MaterialData[#All],7,FALSE),0)</f>
        <v>0</v>
      </c>
      <c r="H438" s="322">
        <f>Calculations[[#This Row],[Total Kg]]*Calculations[[#This Row],[Carbon Factor]]</f>
        <v>0</v>
      </c>
      <c r="I438" t="str">
        <f>IFERROR(VLOOKUP(Calculations[[#This Row],[Material (choose from dropdown]],MaterialData[#All],2,FALSE),"")</f>
        <v/>
      </c>
      <c r="J438" s="322">
        <f>IFERROR(((VLOOKUP(Calculations[[#This Row],[TransportSource]],TransportDistance[],2,FALSE)*'Stage assumptions'!$C$11)+VLOOKUP(Calculations[[#This Row],[TransportSource]],TransportDistance[],3,FALSE)*'Stage assumptions'!$C$12)*Calculations[[#This Row],[Total Kg]],0)</f>
        <v>0</v>
      </c>
      <c r="K438">
        <f>IFERROR(VLOOKUP(Calculations[[#This Row],[Material (choose from dropdown]], MaterialData[#All],3, FALSE),0)</f>
        <v>0</v>
      </c>
      <c r="L438" s="322">
        <f>IFERROR(VLOOKUP(Calculations[[#This Row],[A5type]],A5WastageRate[#All],2,FALSE)*Calculations[[#This Row],[A1-3]],0)</f>
        <v>0</v>
      </c>
      <c r="N438">
        <f>IFERROR(ROUNDUP(50/VLOOKUP(Calculations[[#This Row],[Scope Element]],B4referenceServiceLife[[Tier 2 element]:[Default Service Life]],2, FALSE)-1,0),0)</f>
        <v>0</v>
      </c>
      <c r="O438" s="322">
        <f>IFERROR((Calculations[[#This Row],[A1-3]]+Calculations[[#This Row],[A4]]+Calculations[[#This Row],[A5]]+Calculations[[#This Row],[C2 total]]+Calculations[[#This Row],[C3 total]]+Calculations[[#This Row],[C4 total]])*Calculations[[#This Row],[Replacements]],0)</f>
        <v>0</v>
      </c>
      <c r="S438" t="str">
        <f>IFERROR(VLOOKUP(Calculations[[#This Row],[Material (choose from dropdown]],MaterialData[#All],4,FALSE),"")</f>
        <v/>
      </c>
      <c r="T438" s="322" cm="1">
        <f t="array" ref="T438">IFERROR(VLOOKUP(Calculations[[#This Row],[Waste 1]],WasteScenario[#All],2,FALSE)*'Stage assumptions'!$C$225*WasteTransportMethod[Emissions Factor
kgCO2e/kg.km]*Calculations[[#This Row],[Total Kg]],0)</f>
        <v>0</v>
      </c>
      <c r="U438" s="322" cm="1">
        <f t="array" ref="U438">IFERROR(VLOOKUP(Calculations[[#This Row],[Waste 1]],WasteScenario[#All],3,FALSE)*'Stage assumptions'!$C$224*WasteTransportMethod[Emissions Factor
kgCO2e/kg.km]*Calculations[[#This Row],[Total Kg]],0)</f>
        <v>0</v>
      </c>
      <c r="V438" s="322" cm="1">
        <f t="array" ref="V438">IFERROR(VLOOKUP(Calculations[[#This Row],[Waste 1]],WasteScenario[#All],4,FALSE)*'Stage assumptions'!$C$223*WasteTransportMethod[Emissions Factor
kgCO2e/kg.km]*Calculations[[#This Row],[Total Kg]],0)</f>
        <v>0</v>
      </c>
      <c r="W438" s="322" cm="1">
        <f t="array" ref="W438">IFERROR(VLOOKUP(Calculations[[#This Row],[Waste 1]],WasteScenario[#All],5,FALSE)*'Stage assumptions'!$C$226*WasteTransportMethod[Emissions Factor
kgCO2e/kg.km]*Calculations[[#This Row],[Total Kg]],0)</f>
        <v>0</v>
      </c>
      <c r="X438" s="322">
        <f>SUM(Calculations[[#This Row],[C2 Recycle]:[C2 Reuse]])</f>
        <v>0</v>
      </c>
      <c r="Y438" t="str">
        <f>IFERROR(VLOOKUP(Calculations[[#This Row],[Material (choose from dropdown]],MaterialData[#All],5,FALSE),"")</f>
        <v/>
      </c>
      <c r="Z438" s="322">
        <f>IFERROR(((VLOOKUP(Calculations[[#This Row],[Waste type 2]],WasteDisposalEmissions[#All],2,FALSE))*Calculations[[#This Row],[Total Kg]])*VLOOKUP(Calculations[[#This Row],[Waste 1]],WasteScenario[#All],2,FALSE),0)</f>
        <v>0</v>
      </c>
      <c r="AA438" s="322">
        <f>IFERROR((VLOOKUP(Calculations[[#This Row],[Waste type 2]],WasteDisposalEmissions[#All],3,FALSE))*Calculations[[#This Row],[Total Kg]]*VLOOKUP(Calculations[[#This Row],[Waste 1]],WasteScenario[#All],3,FALSE),0)</f>
        <v>0</v>
      </c>
      <c r="AB438" s="322">
        <f>SUM(Calculations[[#This Row],[C3 recyc]:[C3 incin]])</f>
        <v>0</v>
      </c>
      <c r="AC438" s="334">
        <f>IFERROR((VLOOKUP(Calculations[[#This Row],[Waste type 2]],WasteLandfillEmissions[#All],2,FALSE))*Calculations[[#This Row],[Total Kg]]*VLOOKUP(Calculations[[#This Row],[Waste 1]],WasteScenario[#All],4,FALSE),0)</f>
        <v>0</v>
      </c>
      <c r="AD438" s="322">
        <f>IFERROR((VLOOKUP(Calculations[[#This Row],[Waste type 2]],WasteLandfillEmissions[#All],3,FALSE))*Calculations[[#This Row],[Total Kg]]*VLOOKUP(Calculations[[#This Row],[Waste 1]],WasteScenario[#All],4,FALSE),0)</f>
        <v>0</v>
      </c>
      <c r="AE438" s="322">
        <f>SUM(Calculations[[#This Row],[C4 landfill]:[C4 re-use]])</f>
        <v>0</v>
      </c>
      <c r="AF438" s="322">
        <f>IFERROR(VLOOKUP(Calculations[[#This Row],[Material (choose from dropdown]],MaterialData[#All],8,FALSE),0)</f>
        <v>0</v>
      </c>
      <c r="AG438" s="322">
        <f>IFERROR(Calculations[[#This Row],[Total Kg]]*Calculations[[#This Row],[Seq factor]],0)</f>
        <v>0</v>
      </c>
      <c r="AI438" s="322">
        <f>Calculations[[#This Row],[A1-3]]+Calculations[[#This Row],[A4]]+Calculations[[#This Row],[A5]]+Calculations[[#This Row],[B4]]+Calculations[[#This Row],[C2 total]]+Calculations[[#This Row],[C3 total]]+Calculations[[#This Row],[C4 total]]</f>
        <v>0</v>
      </c>
      <c r="AJ438" s="2">
        <f>IFERROR(VLOOKUP(Calculations[[#This Row],[Material (choose from dropdown]],MaterialData[[#Headers],[#Data]],9,FALSE),0)</f>
        <v>0</v>
      </c>
      <c r="AK438" s="4">
        <f>IFERROR(VLOOKUP(Calculations[[#This Row],[Material (choose from dropdown]],MaterialData[[#Headers],[#Data]],10,FALSE),0)</f>
        <v>0</v>
      </c>
      <c r="AL438" s="322">
        <f>IFERROR(Calculations[[#This Row],[Data Quality Score]]*Calculations[[#This Row],[Total Kg]],0)</f>
        <v>0</v>
      </c>
    </row>
    <row r="439" spans="1:38" x14ac:dyDescent="0.3">
      <c r="A439" s="6">
        <f>IFERROR(MaterialsBoQ[[#This Row],[Scope Element]],0)</f>
        <v>0</v>
      </c>
      <c r="B439" t="str">
        <f>IFERROR(MaterialsBoQ[[#This Row],[Material ]],"")</f>
        <v/>
      </c>
      <c r="C439" t="str">
        <f>IFERROR(MaterialsBoQ[[#This Row],[Unit]],"")</f>
        <v/>
      </c>
      <c r="D439" s="322">
        <f>IFERROR(MaterialsBoQ[[#This Row],[Number]],0)</f>
        <v>0</v>
      </c>
      <c r="E439" s="322">
        <f>IFERROR(MaterialsBoQ[[#This Row],[Kg per unit]],0)</f>
        <v>0</v>
      </c>
      <c r="F439" s="322">
        <f>IFERROR(Calculations[[#This Row],[Number]]*Calculations[[#This Row],[Conversion factor]],0)</f>
        <v>0</v>
      </c>
      <c r="G439" s="322">
        <f>IFERROR(VLOOKUP(Calculations[[#This Row],[Material (choose from dropdown]],MaterialData[#All],7,FALSE),0)</f>
        <v>0</v>
      </c>
      <c r="H439" s="322">
        <f>Calculations[[#This Row],[Total Kg]]*Calculations[[#This Row],[Carbon Factor]]</f>
        <v>0</v>
      </c>
      <c r="I439" t="str">
        <f>IFERROR(VLOOKUP(Calculations[[#This Row],[Material (choose from dropdown]],MaterialData[#All],2,FALSE),"")</f>
        <v/>
      </c>
      <c r="J439" s="322">
        <f>IFERROR(((VLOOKUP(Calculations[[#This Row],[TransportSource]],TransportDistance[],2,FALSE)*'Stage assumptions'!$C$11)+VLOOKUP(Calculations[[#This Row],[TransportSource]],TransportDistance[],3,FALSE)*'Stage assumptions'!$C$12)*Calculations[[#This Row],[Total Kg]],0)</f>
        <v>0</v>
      </c>
      <c r="K439">
        <f>IFERROR(VLOOKUP(Calculations[[#This Row],[Material (choose from dropdown]], MaterialData[#All],3, FALSE),0)</f>
        <v>0</v>
      </c>
      <c r="L439" s="322">
        <f>IFERROR(VLOOKUP(Calculations[[#This Row],[A5type]],A5WastageRate[#All],2,FALSE)*Calculations[[#This Row],[A1-3]],0)</f>
        <v>0</v>
      </c>
      <c r="N439">
        <f>IFERROR(ROUNDUP(50/VLOOKUP(Calculations[[#This Row],[Scope Element]],B4referenceServiceLife[[Tier 2 element]:[Default Service Life]],2, FALSE)-1,0),0)</f>
        <v>0</v>
      </c>
      <c r="O439" s="322">
        <f>IFERROR((Calculations[[#This Row],[A1-3]]+Calculations[[#This Row],[A4]]+Calculations[[#This Row],[A5]]+Calculations[[#This Row],[C2 total]]+Calculations[[#This Row],[C3 total]]+Calculations[[#This Row],[C4 total]])*Calculations[[#This Row],[Replacements]],0)</f>
        <v>0</v>
      </c>
      <c r="S439" t="str">
        <f>IFERROR(VLOOKUP(Calculations[[#This Row],[Material (choose from dropdown]],MaterialData[#All],4,FALSE),"")</f>
        <v/>
      </c>
      <c r="T439" s="322" cm="1">
        <f t="array" ref="T439">IFERROR(VLOOKUP(Calculations[[#This Row],[Waste 1]],WasteScenario[#All],2,FALSE)*'Stage assumptions'!$C$225*WasteTransportMethod[Emissions Factor
kgCO2e/kg.km]*Calculations[[#This Row],[Total Kg]],0)</f>
        <v>0</v>
      </c>
      <c r="U439" s="322" cm="1">
        <f t="array" ref="U439">IFERROR(VLOOKUP(Calculations[[#This Row],[Waste 1]],WasteScenario[#All],3,FALSE)*'Stage assumptions'!$C$224*WasteTransportMethod[Emissions Factor
kgCO2e/kg.km]*Calculations[[#This Row],[Total Kg]],0)</f>
        <v>0</v>
      </c>
      <c r="V439" s="322" cm="1">
        <f t="array" ref="V439">IFERROR(VLOOKUP(Calculations[[#This Row],[Waste 1]],WasteScenario[#All],4,FALSE)*'Stage assumptions'!$C$223*WasteTransportMethod[Emissions Factor
kgCO2e/kg.km]*Calculations[[#This Row],[Total Kg]],0)</f>
        <v>0</v>
      </c>
      <c r="W439" s="322" cm="1">
        <f t="array" ref="W439">IFERROR(VLOOKUP(Calculations[[#This Row],[Waste 1]],WasteScenario[#All],5,FALSE)*'Stage assumptions'!$C$226*WasteTransportMethod[Emissions Factor
kgCO2e/kg.km]*Calculations[[#This Row],[Total Kg]],0)</f>
        <v>0</v>
      </c>
      <c r="X439" s="322">
        <f>SUM(Calculations[[#This Row],[C2 Recycle]:[C2 Reuse]])</f>
        <v>0</v>
      </c>
      <c r="Y439" t="str">
        <f>IFERROR(VLOOKUP(Calculations[[#This Row],[Material (choose from dropdown]],MaterialData[#All],5,FALSE),"")</f>
        <v/>
      </c>
      <c r="Z439" s="322">
        <f>IFERROR(((VLOOKUP(Calculations[[#This Row],[Waste type 2]],WasteDisposalEmissions[#All],2,FALSE))*Calculations[[#This Row],[Total Kg]])*VLOOKUP(Calculations[[#This Row],[Waste 1]],WasteScenario[#All],2,FALSE),0)</f>
        <v>0</v>
      </c>
      <c r="AA439" s="322">
        <f>IFERROR((VLOOKUP(Calculations[[#This Row],[Waste type 2]],WasteDisposalEmissions[#All],3,FALSE))*Calculations[[#This Row],[Total Kg]]*VLOOKUP(Calculations[[#This Row],[Waste 1]],WasteScenario[#All],3,FALSE),0)</f>
        <v>0</v>
      </c>
      <c r="AB439" s="322">
        <f>SUM(Calculations[[#This Row],[C3 recyc]:[C3 incin]])</f>
        <v>0</v>
      </c>
      <c r="AC439" s="334">
        <f>IFERROR((VLOOKUP(Calculations[[#This Row],[Waste type 2]],WasteLandfillEmissions[#All],2,FALSE))*Calculations[[#This Row],[Total Kg]]*VLOOKUP(Calculations[[#This Row],[Waste 1]],WasteScenario[#All],4,FALSE),0)</f>
        <v>0</v>
      </c>
      <c r="AD439" s="322">
        <f>IFERROR((VLOOKUP(Calculations[[#This Row],[Waste type 2]],WasteLandfillEmissions[#All],3,FALSE))*Calculations[[#This Row],[Total Kg]]*VLOOKUP(Calculations[[#This Row],[Waste 1]],WasteScenario[#All],4,FALSE),0)</f>
        <v>0</v>
      </c>
      <c r="AE439" s="322">
        <f>SUM(Calculations[[#This Row],[C4 landfill]:[C4 re-use]])</f>
        <v>0</v>
      </c>
      <c r="AF439" s="322">
        <f>IFERROR(VLOOKUP(Calculations[[#This Row],[Material (choose from dropdown]],MaterialData[#All],8,FALSE),0)</f>
        <v>0</v>
      </c>
      <c r="AG439" s="322">
        <f>IFERROR(Calculations[[#This Row],[Total Kg]]*Calculations[[#This Row],[Seq factor]],0)</f>
        <v>0</v>
      </c>
      <c r="AI439" s="322">
        <f>Calculations[[#This Row],[A1-3]]+Calculations[[#This Row],[A4]]+Calculations[[#This Row],[A5]]+Calculations[[#This Row],[B4]]+Calculations[[#This Row],[C2 total]]+Calculations[[#This Row],[C3 total]]+Calculations[[#This Row],[C4 total]]</f>
        <v>0</v>
      </c>
      <c r="AJ439" s="2">
        <f>IFERROR(VLOOKUP(Calculations[[#This Row],[Material (choose from dropdown]],MaterialData[[#Headers],[#Data]],9,FALSE),0)</f>
        <v>0</v>
      </c>
      <c r="AK439" s="4">
        <f>IFERROR(VLOOKUP(Calculations[[#This Row],[Material (choose from dropdown]],MaterialData[[#Headers],[#Data]],10,FALSE),0)</f>
        <v>0</v>
      </c>
      <c r="AL439" s="322">
        <f>IFERROR(Calculations[[#This Row],[Data Quality Score]]*Calculations[[#This Row],[Total Kg]],0)</f>
        <v>0</v>
      </c>
    </row>
    <row r="440" spans="1:38" x14ac:dyDescent="0.3">
      <c r="A440" s="6">
        <f>IFERROR(MaterialsBoQ[[#This Row],[Scope Element]],0)</f>
        <v>0</v>
      </c>
      <c r="B440" t="str">
        <f>IFERROR(MaterialsBoQ[[#This Row],[Material ]],"")</f>
        <v/>
      </c>
      <c r="C440" t="str">
        <f>IFERROR(MaterialsBoQ[[#This Row],[Unit]],"")</f>
        <v/>
      </c>
      <c r="D440" s="322">
        <f>IFERROR(MaterialsBoQ[[#This Row],[Number]],0)</f>
        <v>0</v>
      </c>
      <c r="E440" s="322">
        <f>IFERROR(MaterialsBoQ[[#This Row],[Kg per unit]],0)</f>
        <v>0</v>
      </c>
      <c r="F440" s="322">
        <f>IFERROR(Calculations[[#This Row],[Number]]*Calculations[[#This Row],[Conversion factor]],0)</f>
        <v>0</v>
      </c>
      <c r="G440" s="322">
        <f>IFERROR(VLOOKUP(Calculations[[#This Row],[Material (choose from dropdown]],MaterialData[#All],7,FALSE),0)</f>
        <v>0</v>
      </c>
      <c r="H440" s="322">
        <f>Calculations[[#This Row],[Total Kg]]*Calculations[[#This Row],[Carbon Factor]]</f>
        <v>0</v>
      </c>
      <c r="I440" t="str">
        <f>IFERROR(VLOOKUP(Calculations[[#This Row],[Material (choose from dropdown]],MaterialData[#All],2,FALSE),"")</f>
        <v/>
      </c>
      <c r="J440" s="322">
        <f>IFERROR(((VLOOKUP(Calculations[[#This Row],[TransportSource]],TransportDistance[],2,FALSE)*'Stage assumptions'!$C$11)+VLOOKUP(Calculations[[#This Row],[TransportSource]],TransportDistance[],3,FALSE)*'Stage assumptions'!$C$12)*Calculations[[#This Row],[Total Kg]],0)</f>
        <v>0</v>
      </c>
      <c r="K440">
        <f>IFERROR(VLOOKUP(Calculations[[#This Row],[Material (choose from dropdown]], MaterialData[#All],3, FALSE),0)</f>
        <v>0</v>
      </c>
      <c r="L440" s="322">
        <f>IFERROR(VLOOKUP(Calculations[[#This Row],[A5type]],A5WastageRate[#All],2,FALSE)*Calculations[[#This Row],[A1-3]],0)</f>
        <v>0</v>
      </c>
      <c r="N440">
        <f>IFERROR(ROUNDUP(50/VLOOKUP(Calculations[[#This Row],[Scope Element]],B4referenceServiceLife[[Tier 2 element]:[Default Service Life]],2, FALSE)-1,0),0)</f>
        <v>0</v>
      </c>
      <c r="O440" s="322">
        <f>IFERROR((Calculations[[#This Row],[A1-3]]+Calculations[[#This Row],[A4]]+Calculations[[#This Row],[A5]]+Calculations[[#This Row],[C2 total]]+Calculations[[#This Row],[C3 total]]+Calculations[[#This Row],[C4 total]])*Calculations[[#This Row],[Replacements]],0)</f>
        <v>0</v>
      </c>
      <c r="S440" t="str">
        <f>IFERROR(VLOOKUP(Calculations[[#This Row],[Material (choose from dropdown]],MaterialData[#All],4,FALSE),"")</f>
        <v/>
      </c>
      <c r="T440" s="322" cm="1">
        <f t="array" ref="T440">IFERROR(VLOOKUP(Calculations[[#This Row],[Waste 1]],WasteScenario[#All],2,FALSE)*'Stage assumptions'!$C$225*WasteTransportMethod[Emissions Factor
kgCO2e/kg.km]*Calculations[[#This Row],[Total Kg]],0)</f>
        <v>0</v>
      </c>
      <c r="U440" s="322" cm="1">
        <f t="array" ref="U440">IFERROR(VLOOKUP(Calculations[[#This Row],[Waste 1]],WasteScenario[#All],3,FALSE)*'Stage assumptions'!$C$224*WasteTransportMethod[Emissions Factor
kgCO2e/kg.km]*Calculations[[#This Row],[Total Kg]],0)</f>
        <v>0</v>
      </c>
      <c r="V440" s="322" cm="1">
        <f t="array" ref="V440">IFERROR(VLOOKUP(Calculations[[#This Row],[Waste 1]],WasteScenario[#All],4,FALSE)*'Stage assumptions'!$C$223*WasteTransportMethod[Emissions Factor
kgCO2e/kg.km]*Calculations[[#This Row],[Total Kg]],0)</f>
        <v>0</v>
      </c>
      <c r="W440" s="322" cm="1">
        <f t="array" ref="W440">IFERROR(VLOOKUP(Calculations[[#This Row],[Waste 1]],WasteScenario[#All],5,FALSE)*'Stage assumptions'!$C$226*WasteTransportMethod[Emissions Factor
kgCO2e/kg.km]*Calculations[[#This Row],[Total Kg]],0)</f>
        <v>0</v>
      </c>
      <c r="X440" s="322">
        <f>SUM(Calculations[[#This Row],[C2 Recycle]:[C2 Reuse]])</f>
        <v>0</v>
      </c>
      <c r="Y440" t="str">
        <f>IFERROR(VLOOKUP(Calculations[[#This Row],[Material (choose from dropdown]],MaterialData[#All],5,FALSE),"")</f>
        <v/>
      </c>
      <c r="Z440" s="322">
        <f>IFERROR(((VLOOKUP(Calculations[[#This Row],[Waste type 2]],WasteDisposalEmissions[#All],2,FALSE))*Calculations[[#This Row],[Total Kg]])*VLOOKUP(Calculations[[#This Row],[Waste 1]],WasteScenario[#All],2,FALSE),0)</f>
        <v>0</v>
      </c>
      <c r="AA440" s="322">
        <f>IFERROR((VLOOKUP(Calculations[[#This Row],[Waste type 2]],WasteDisposalEmissions[#All],3,FALSE))*Calculations[[#This Row],[Total Kg]]*VLOOKUP(Calculations[[#This Row],[Waste 1]],WasteScenario[#All],3,FALSE),0)</f>
        <v>0</v>
      </c>
      <c r="AB440" s="322">
        <f>SUM(Calculations[[#This Row],[C3 recyc]:[C3 incin]])</f>
        <v>0</v>
      </c>
      <c r="AC440" s="334">
        <f>IFERROR((VLOOKUP(Calculations[[#This Row],[Waste type 2]],WasteLandfillEmissions[#All],2,FALSE))*Calculations[[#This Row],[Total Kg]]*VLOOKUP(Calculations[[#This Row],[Waste 1]],WasteScenario[#All],4,FALSE),0)</f>
        <v>0</v>
      </c>
      <c r="AD440" s="322">
        <f>IFERROR((VLOOKUP(Calculations[[#This Row],[Waste type 2]],WasteLandfillEmissions[#All],3,FALSE))*Calculations[[#This Row],[Total Kg]]*VLOOKUP(Calculations[[#This Row],[Waste 1]],WasteScenario[#All],4,FALSE),0)</f>
        <v>0</v>
      </c>
      <c r="AE440" s="322">
        <f>SUM(Calculations[[#This Row],[C4 landfill]:[C4 re-use]])</f>
        <v>0</v>
      </c>
      <c r="AF440" s="322">
        <f>IFERROR(VLOOKUP(Calculations[[#This Row],[Material (choose from dropdown]],MaterialData[#All],8,FALSE),0)</f>
        <v>0</v>
      </c>
      <c r="AG440" s="322">
        <f>IFERROR(Calculations[[#This Row],[Total Kg]]*Calculations[[#This Row],[Seq factor]],0)</f>
        <v>0</v>
      </c>
      <c r="AI440" s="322">
        <f>Calculations[[#This Row],[A1-3]]+Calculations[[#This Row],[A4]]+Calculations[[#This Row],[A5]]+Calculations[[#This Row],[B4]]+Calculations[[#This Row],[C2 total]]+Calculations[[#This Row],[C3 total]]+Calculations[[#This Row],[C4 total]]</f>
        <v>0</v>
      </c>
      <c r="AJ440" s="2">
        <f>IFERROR(VLOOKUP(Calculations[[#This Row],[Material (choose from dropdown]],MaterialData[[#Headers],[#Data]],9,FALSE),0)</f>
        <v>0</v>
      </c>
      <c r="AK440" s="4">
        <f>IFERROR(VLOOKUP(Calculations[[#This Row],[Material (choose from dropdown]],MaterialData[[#Headers],[#Data]],10,FALSE),0)</f>
        <v>0</v>
      </c>
      <c r="AL440" s="322">
        <f>IFERROR(Calculations[[#This Row],[Data Quality Score]]*Calculations[[#This Row],[Total Kg]],0)</f>
        <v>0</v>
      </c>
    </row>
    <row r="441" spans="1:38" x14ac:dyDescent="0.3">
      <c r="A441" s="6">
        <f>IFERROR(MaterialsBoQ[[#This Row],[Scope Element]],0)</f>
        <v>0</v>
      </c>
      <c r="B441" t="str">
        <f>IFERROR(MaterialsBoQ[[#This Row],[Material ]],"")</f>
        <v/>
      </c>
      <c r="C441" t="str">
        <f>IFERROR(MaterialsBoQ[[#This Row],[Unit]],"")</f>
        <v/>
      </c>
      <c r="D441" s="322">
        <f>IFERROR(MaterialsBoQ[[#This Row],[Number]],0)</f>
        <v>0</v>
      </c>
      <c r="E441" s="322">
        <f>IFERROR(MaterialsBoQ[[#This Row],[Kg per unit]],0)</f>
        <v>0</v>
      </c>
      <c r="F441" s="322">
        <f>IFERROR(Calculations[[#This Row],[Number]]*Calculations[[#This Row],[Conversion factor]],0)</f>
        <v>0</v>
      </c>
      <c r="G441" s="322">
        <f>IFERROR(VLOOKUP(Calculations[[#This Row],[Material (choose from dropdown]],MaterialData[#All],7,FALSE),0)</f>
        <v>0</v>
      </c>
      <c r="H441" s="322">
        <f>Calculations[[#This Row],[Total Kg]]*Calculations[[#This Row],[Carbon Factor]]</f>
        <v>0</v>
      </c>
      <c r="I441" t="str">
        <f>IFERROR(VLOOKUP(Calculations[[#This Row],[Material (choose from dropdown]],MaterialData[#All],2,FALSE),"")</f>
        <v/>
      </c>
      <c r="J441" s="322">
        <f>IFERROR(((VLOOKUP(Calculations[[#This Row],[TransportSource]],TransportDistance[],2,FALSE)*'Stage assumptions'!$C$11)+VLOOKUP(Calculations[[#This Row],[TransportSource]],TransportDistance[],3,FALSE)*'Stage assumptions'!$C$12)*Calculations[[#This Row],[Total Kg]],0)</f>
        <v>0</v>
      </c>
      <c r="K441">
        <f>IFERROR(VLOOKUP(Calculations[[#This Row],[Material (choose from dropdown]], MaterialData[#All],3, FALSE),0)</f>
        <v>0</v>
      </c>
      <c r="L441" s="322">
        <f>IFERROR(VLOOKUP(Calculations[[#This Row],[A5type]],A5WastageRate[#All],2,FALSE)*Calculations[[#This Row],[A1-3]],0)</f>
        <v>0</v>
      </c>
      <c r="N441">
        <f>IFERROR(ROUNDUP(50/VLOOKUP(Calculations[[#This Row],[Scope Element]],B4referenceServiceLife[[Tier 2 element]:[Default Service Life]],2, FALSE)-1,0),0)</f>
        <v>0</v>
      </c>
      <c r="O441" s="322">
        <f>IFERROR((Calculations[[#This Row],[A1-3]]+Calculations[[#This Row],[A4]]+Calculations[[#This Row],[A5]]+Calculations[[#This Row],[C2 total]]+Calculations[[#This Row],[C3 total]]+Calculations[[#This Row],[C4 total]])*Calculations[[#This Row],[Replacements]],0)</f>
        <v>0</v>
      </c>
      <c r="S441" t="str">
        <f>IFERROR(VLOOKUP(Calculations[[#This Row],[Material (choose from dropdown]],MaterialData[#All],4,FALSE),"")</f>
        <v/>
      </c>
      <c r="T441" s="322" cm="1">
        <f t="array" ref="T441">IFERROR(VLOOKUP(Calculations[[#This Row],[Waste 1]],WasteScenario[#All],2,FALSE)*'Stage assumptions'!$C$225*WasteTransportMethod[Emissions Factor
kgCO2e/kg.km]*Calculations[[#This Row],[Total Kg]],0)</f>
        <v>0</v>
      </c>
      <c r="U441" s="322" cm="1">
        <f t="array" ref="U441">IFERROR(VLOOKUP(Calculations[[#This Row],[Waste 1]],WasteScenario[#All],3,FALSE)*'Stage assumptions'!$C$224*WasteTransportMethod[Emissions Factor
kgCO2e/kg.km]*Calculations[[#This Row],[Total Kg]],0)</f>
        <v>0</v>
      </c>
      <c r="V441" s="322" cm="1">
        <f t="array" ref="V441">IFERROR(VLOOKUP(Calculations[[#This Row],[Waste 1]],WasteScenario[#All],4,FALSE)*'Stage assumptions'!$C$223*WasteTransportMethod[Emissions Factor
kgCO2e/kg.km]*Calculations[[#This Row],[Total Kg]],0)</f>
        <v>0</v>
      </c>
      <c r="W441" s="322" cm="1">
        <f t="array" ref="W441">IFERROR(VLOOKUP(Calculations[[#This Row],[Waste 1]],WasteScenario[#All],5,FALSE)*'Stage assumptions'!$C$226*WasteTransportMethod[Emissions Factor
kgCO2e/kg.km]*Calculations[[#This Row],[Total Kg]],0)</f>
        <v>0</v>
      </c>
      <c r="X441" s="322">
        <f>SUM(Calculations[[#This Row],[C2 Recycle]:[C2 Reuse]])</f>
        <v>0</v>
      </c>
      <c r="Y441" t="str">
        <f>IFERROR(VLOOKUP(Calculations[[#This Row],[Material (choose from dropdown]],MaterialData[#All],5,FALSE),"")</f>
        <v/>
      </c>
      <c r="Z441" s="322">
        <f>IFERROR(((VLOOKUP(Calculations[[#This Row],[Waste type 2]],WasteDisposalEmissions[#All],2,FALSE))*Calculations[[#This Row],[Total Kg]])*VLOOKUP(Calculations[[#This Row],[Waste 1]],WasteScenario[#All],2,FALSE),0)</f>
        <v>0</v>
      </c>
      <c r="AA441" s="322">
        <f>IFERROR((VLOOKUP(Calculations[[#This Row],[Waste type 2]],WasteDisposalEmissions[#All],3,FALSE))*Calculations[[#This Row],[Total Kg]]*VLOOKUP(Calculations[[#This Row],[Waste 1]],WasteScenario[#All],3,FALSE),0)</f>
        <v>0</v>
      </c>
      <c r="AB441" s="322">
        <f>SUM(Calculations[[#This Row],[C3 recyc]:[C3 incin]])</f>
        <v>0</v>
      </c>
      <c r="AC441" s="334">
        <f>IFERROR((VLOOKUP(Calculations[[#This Row],[Waste type 2]],WasteLandfillEmissions[#All],2,FALSE))*Calculations[[#This Row],[Total Kg]]*VLOOKUP(Calculations[[#This Row],[Waste 1]],WasteScenario[#All],4,FALSE),0)</f>
        <v>0</v>
      </c>
      <c r="AD441" s="322">
        <f>IFERROR((VLOOKUP(Calculations[[#This Row],[Waste type 2]],WasteLandfillEmissions[#All],3,FALSE))*Calculations[[#This Row],[Total Kg]]*VLOOKUP(Calculations[[#This Row],[Waste 1]],WasteScenario[#All],4,FALSE),0)</f>
        <v>0</v>
      </c>
      <c r="AE441" s="322">
        <f>SUM(Calculations[[#This Row],[C4 landfill]:[C4 re-use]])</f>
        <v>0</v>
      </c>
      <c r="AF441" s="322">
        <f>IFERROR(VLOOKUP(Calculations[[#This Row],[Material (choose from dropdown]],MaterialData[#All],8,FALSE),0)</f>
        <v>0</v>
      </c>
      <c r="AG441" s="322">
        <f>IFERROR(Calculations[[#This Row],[Total Kg]]*Calculations[[#This Row],[Seq factor]],0)</f>
        <v>0</v>
      </c>
      <c r="AI441" s="322">
        <f>Calculations[[#This Row],[A1-3]]+Calculations[[#This Row],[A4]]+Calculations[[#This Row],[A5]]+Calculations[[#This Row],[B4]]+Calculations[[#This Row],[C2 total]]+Calculations[[#This Row],[C3 total]]+Calculations[[#This Row],[C4 total]]</f>
        <v>0</v>
      </c>
      <c r="AJ441" s="2">
        <f>IFERROR(VLOOKUP(Calculations[[#This Row],[Material (choose from dropdown]],MaterialData[[#Headers],[#Data]],9,FALSE),0)</f>
        <v>0</v>
      </c>
      <c r="AK441" s="4">
        <f>IFERROR(VLOOKUP(Calculations[[#This Row],[Material (choose from dropdown]],MaterialData[[#Headers],[#Data]],10,FALSE),0)</f>
        <v>0</v>
      </c>
      <c r="AL441" s="322">
        <f>IFERROR(Calculations[[#This Row],[Data Quality Score]]*Calculations[[#This Row],[Total Kg]],0)</f>
        <v>0</v>
      </c>
    </row>
    <row r="442" spans="1:38" x14ac:dyDescent="0.3">
      <c r="A442" s="6">
        <f>IFERROR(MaterialsBoQ[[#This Row],[Scope Element]],0)</f>
        <v>0</v>
      </c>
      <c r="B442" t="str">
        <f>IFERROR(MaterialsBoQ[[#This Row],[Material ]],"")</f>
        <v/>
      </c>
      <c r="C442" t="str">
        <f>IFERROR(MaterialsBoQ[[#This Row],[Unit]],"")</f>
        <v/>
      </c>
      <c r="D442" s="322">
        <f>IFERROR(MaterialsBoQ[[#This Row],[Number]],0)</f>
        <v>0</v>
      </c>
      <c r="E442" s="322">
        <f>IFERROR(MaterialsBoQ[[#This Row],[Kg per unit]],0)</f>
        <v>0</v>
      </c>
      <c r="F442" s="322">
        <f>IFERROR(Calculations[[#This Row],[Number]]*Calculations[[#This Row],[Conversion factor]],0)</f>
        <v>0</v>
      </c>
      <c r="G442" s="322">
        <f>IFERROR(VLOOKUP(Calculations[[#This Row],[Material (choose from dropdown]],MaterialData[#All],7,FALSE),0)</f>
        <v>0</v>
      </c>
      <c r="H442" s="322">
        <f>Calculations[[#This Row],[Total Kg]]*Calculations[[#This Row],[Carbon Factor]]</f>
        <v>0</v>
      </c>
      <c r="I442" t="str">
        <f>IFERROR(VLOOKUP(Calculations[[#This Row],[Material (choose from dropdown]],MaterialData[#All],2,FALSE),"")</f>
        <v/>
      </c>
      <c r="J442" s="322">
        <f>IFERROR(((VLOOKUP(Calculations[[#This Row],[TransportSource]],TransportDistance[],2,FALSE)*'Stage assumptions'!$C$11)+VLOOKUP(Calculations[[#This Row],[TransportSource]],TransportDistance[],3,FALSE)*'Stage assumptions'!$C$12)*Calculations[[#This Row],[Total Kg]],0)</f>
        <v>0</v>
      </c>
      <c r="K442">
        <f>IFERROR(VLOOKUP(Calculations[[#This Row],[Material (choose from dropdown]], MaterialData[#All],3, FALSE),0)</f>
        <v>0</v>
      </c>
      <c r="L442" s="322">
        <f>IFERROR(VLOOKUP(Calculations[[#This Row],[A5type]],A5WastageRate[#All],2,FALSE)*Calculations[[#This Row],[A1-3]],0)</f>
        <v>0</v>
      </c>
      <c r="N442">
        <f>IFERROR(ROUNDUP(50/VLOOKUP(Calculations[[#This Row],[Scope Element]],B4referenceServiceLife[[Tier 2 element]:[Default Service Life]],2, FALSE)-1,0),0)</f>
        <v>0</v>
      </c>
      <c r="O442" s="322">
        <f>IFERROR((Calculations[[#This Row],[A1-3]]+Calculations[[#This Row],[A4]]+Calculations[[#This Row],[A5]]+Calculations[[#This Row],[C2 total]]+Calculations[[#This Row],[C3 total]]+Calculations[[#This Row],[C4 total]])*Calculations[[#This Row],[Replacements]],0)</f>
        <v>0</v>
      </c>
      <c r="S442" t="str">
        <f>IFERROR(VLOOKUP(Calculations[[#This Row],[Material (choose from dropdown]],MaterialData[#All],4,FALSE),"")</f>
        <v/>
      </c>
      <c r="T442" s="322" cm="1">
        <f t="array" ref="T442">IFERROR(VLOOKUP(Calculations[[#This Row],[Waste 1]],WasteScenario[#All],2,FALSE)*'Stage assumptions'!$C$225*WasteTransportMethod[Emissions Factor
kgCO2e/kg.km]*Calculations[[#This Row],[Total Kg]],0)</f>
        <v>0</v>
      </c>
      <c r="U442" s="322" cm="1">
        <f t="array" ref="U442">IFERROR(VLOOKUP(Calculations[[#This Row],[Waste 1]],WasteScenario[#All],3,FALSE)*'Stage assumptions'!$C$224*WasteTransportMethod[Emissions Factor
kgCO2e/kg.km]*Calculations[[#This Row],[Total Kg]],0)</f>
        <v>0</v>
      </c>
      <c r="V442" s="322" cm="1">
        <f t="array" ref="V442">IFERROR(VLOOKUP(Calculations[[#This Row],[Waste 1]],WasteScenario[#All],4,FALSE)*'Stage assumptions'!$C$223*WasteTransportMethod[Emissions Factor
kgCO2e/kg.km]*Calculations[[#This Row],[Total Kg]],0)</f>
        <v>0</v>
      </c>
      <c r="W442" s="322" cm="1">
        <f t="array" ref="W442">IFERROR(VLOOKUP(Calculations[[#This Row],[Waste 1]],WasteScenario[#All],5,FALSE)*'Stage assumptions'!$C$226*WasteTransportMethod[Emissions Factor
kgCO2e/kg.km]*Calculations[[#This Row],[Total Kg]],0)</f>
        <v>0</v>
      </c>
      <c r="X442" s="322">
        <f>SUM(Calculations[[#This Row],[C2 Recycle]:[C2 Reuse]])</f>
        <v>0</v>
      </c>
      <c r="Y442" t="str">
        <f>IFERROR(VLOOKUP(Calculations[[#This Row],[Material (choose from dropdown]],MaterialData[#All],5,FALSE),"")</f>
        <v/>
      </c>
      <c r="Z442" s="322">
        <f>IFERROR(((VLOOKUP(Calculations[[#This Row],[Waste type 2]],WasteDisposalEmissions[#All],2,FALSE))*Calculations[[#This Row],[Total Kg]])*VLOOKUP(Calculations[[#This Row],[Waste 1]],WasteScenario[#All],2,FALSE),0)</f>
        <v>0</v>
      </c>
      <c r="AA442" s="322">
        <f>IFERROR((VLOOKUP(Calculations[[#This Row],[Waste type 2]],WasteDisposalEmissions[#All],3,FALSE))*Calculations[[#This Row],[Total Kg]]*VLOOKUP(Calculations[[#This Row],[Waste 1]],WasteScenario[#All],3,FALSE),0)</f>
        <v>0</v>
      </c>
      <c r="AB442" s="322">
        <f>SUM(Calculations[[#This Row],[C3 recyc]:[C3 incin]])</f>
        <v>0</v>
      </c>
      <c r="AC442" s="334">
        <f>IFERROR((VLOOKUP(Calculations[[#This Row],[Waste type 2]],WasteLandfillEmissions[#All],2,FALSE))*Calculations[[#This Row],[Total Kg]]*VLOOKUP(Calculations[[#This Row],[Waste 1]],WasteScenario[#All],4,FALSE),0)</f>
        <v>0</v>
      </c>
      <c r="AD442" s="322">
        <f>IFERROR((VLOOKUP(Calculations[[#This Row],[Waste type 2]],WasteLandfillEmissions[#All],3,FALSE))*Calculations[[#This Row],[Total Kg]]*VLOOKUP(Calculations[[#This Row],[Waste 1]],WasteScenario[#All],4,FALSE),0)</f>
        <v>0</v>
      </c>
      <c r="AE442" s="322">
        <f>SUM(Calculations[[#This Row],[C4 landfill]:[C4 re-use]])</f>
        <v>0</v>
      </c>
      <c r="AF442" s="322">
        <f>IFERROR(VLOOKUP(Calculations[[#This Row],[Material (choose from dropdown]],MaterialData[#All],8,FALSE),0)</f>
        <v>0</v>
      </c>
      <c r="AG442" s="322">
        <f>IFERROR(Calculations[[#This Row],[Total Kg]]*Calculations[[#This Row],[Seq factor]],0)</f>
        <v>0</v>
      </c>
      <c r="AI442" s="322">
        <f>Calculations[[#This Row],[A1-3]]+Calculations[[#This Row],[A4]]+Calculations[[#This Row],[A5]]+Calculations[[#This Row],[B4]]+Calculations[[#This Row],[C2 total]]+Calculations[[#This Row],[C3 total]]+Calculations[[#This Row],[C4 total]]</f>
        <v>0</v>
      </c>
      <c r="AJ442" s="2">
        <f>IFERROR(VLOOKUP(Calculations[[#This Row],[Material (choose from dropdown]],MaterialData[[#Headers],[#Data]],9,FALSE),0)</f>
        <v>0</v>
      </c>
      <c r="AK442" s="4">
        <f>IFERROR(VLOOKUP(Calculations[[#This Row],[Material (choose from dropdown]],MaterialData[[#Headers],[#Data]],10,FALSE),0)</f>
        <v>0</v>
      </c>
      <c r="AL442" s="322">
        <f>IFERROR(Calculations[[#This Row],[Data Quality Score]]*Calculations[[#This Row],[Total Kg]],0)</f>
        <v>0</v>
      </c>
    </row>
    <row r="443" spans="1:38" x14ac:dyDescent="0.3">
      <c r="A443" s="6">
        <f>IFERROR(MaterialsBoQ[[#This Row],[Scope Element]],0)</f>
        <v>0</v>
      </c>
      <c r="B443" t="str">
        <f>IFERROR(MaterialsBoQ[[#This Row],[Material ]],"")</f>
        <v/>
      </c>
      <c r="C443" t="str">
        <f>IFERROR(MaterialsBoQ[[#This Row],[Unit]],"")</f>
        <v/>
      </c>
      <c r="D443" s="322">
        <f>IFERROR(MaterialsBoQ[[#This Row],[Number]],0)</f>
        <v>0</v>
      </c>
      <c r="E443" s="322">
        <f>IFERROR(MaterialsBoQ[[#This Row],[Kg per unit]],0)</f>
        <v>0</v>
      </c>
      <c r="F443" s="322">
        <f>IFERROR(Calculations[[#This Row],[Number]]*Calculations[[#This Row],[Conversion factor]],0)</f>
        <v>0</v>
      </c>
      <c r="G443" s="322">
        <f>IFERROR(VLOOKUP(Calculations[[#This Row],[Material (choose from dropdown]],MaterialData[#All],7,FALSE),0)</f>
        <v>0</v>
      </c>
      <c r="H443" s="322">
        <f>Calculations[[#This Row],[Total Kg]]*Calculations[[#This Row],[Carbon Factor]]</f>
        <v>0</v>
      </c>
      <c r="I443" t="str">
        <f>IFERROR(VLOOKUP(Calculations[[#This Row],[Material (choose from dropdown]],MaterialData[#All],2,FALSE),"")</f>
        <v/>
      </c>
      <c r="J443" s="322">
        <f>IFERROR(((VLOOKUP(Calculations[[#This Row],[TransportSource]],TransportDistance[],2,FALSE)*'Stage assumptions'!$C$11)+VLOOKUP(Calculations[[#This Row],[TransportSource]],TransportDistance[],3,FALSE)*'Stage assumptions'!$C$12)*Calculations[[#This Row],[Total Kg]],0)</f>
        <v>0</v>
      </c>
      <c r="K443">
        <f>IFERROR(VLOOKUP(Calculations[[#This Row],[Material (choose from dropdown]], MaterialData[#All],3, FALSE),0)</f>
        <v>0</v>
      </c>
      <c r="L443" s="322">
        <f>IFERROR(VLOOKUP(Calculations[[#This Row],[A5type]],A5WastageRate[#All],2,FALSE)*Calculations[[#This Row],[A1-3]],0)</f>
        <v>0</v>
      </c>
      <c r="N443">
        <f>IFERROR(ROUNDUP(50/VLOOKUP(Calculations[[#This Row],[Scope Element]],B4referenceServiceLife[[Tier 2 element]:[Default Service Life]],2, FALSE)-1,0),0)</f>
        <v>0</v>
      </c>
      <c r="O443" s="322">
        <f>IFERROR((Calculations[[#This Row],[A1-3]]+Calculations[[#This Row],[A4]]+Calculations[[#This Row],[A5]]+Calculations[[#This Row],[C2 total]]+Calculations[[#This Row],[C3 total]]+Calculations[[#This Row],[C4 total]])*Calculations[[#This Row],[Replacements]],0)</f>
        <v>0</v>
      </c>
      <c r="S443" t="str">
        <f>IFERROR(VLOOKUP(Calculations[[#This Row],[Material (choose from dropdown]],MaterialData[#All],4,FALSE),"")</f>
        <v/>
      </c>
      <c r="T443" s="322" cm="1">
        <f t="array" ref="T443">IFERROR(VLOOKUP(Calculations[[#This Row],[Waste 1]],WasteScenario[#All],2,FALSE)*'Stage assumptions'!$C$225*WasteTransportMethod[Emissions Factor
kgCO2e/kg.km]*Calculations[[#This Row],[Total Kg]],0)</f>
        <v>0</v>
      </c>
      <c r="U443" s="322" cm="1">
        <f t="array" ref="U443">IFERROR(VLOOKUP(Calculations[[#This Row],[Waste 1]],WasteScenario[#All],3,FALSE)*'Stage assumptions'!$C$224*WasteTransportMethod[Emissions Factor
kgCO2e/kg.km]*Calculations[[#This Row],[Total Kg]],0)</f>
        <v>0</v>
      </c>
      <c r="V443" s="322" cm="1">
        <f t="array" ref="V443">IFERROR(VLOOKUP(Calculations[[#This Row],[Waste 1]],WasteScenario[#All],4,FALSE)*'Stage assumptions'!$C$223*WasteTransportMethod[Emissions Factor
kgCO2e/kg.km]*Calculations[[#This Row],[Total Kg]],0)</f>
        <v>0</v>
      </c>
      <c r="W443" s="322" cm="1">
        <f t="array" ref="W443">IFERROR(VLOOKUP(Calculations[[#This Row],[Waste 1]],WasteScenario[#All],5,FALSE)*'Stage assumptions'!$C$226*WasteTransportMethod[Emissions Factor
kgCO2e/kg.km]*Calculations[[#This Row],[Total Kg]],0)</f>
        <v>0</v>
      </c>
      <c r="X443" s="322">
        <f>SUM(Calculations[[#This Row],[C2 Recycle]:[C2 Reuse]])</f>
        <v>0</v>
      </c>
      <c r="Y443" t="str">
        <f>IFERROR(VLOOKUP(Calculations[[#This Row],[Material (choose from dropdown]],MaterialData[#All],5,FALSE),"")</f>
        <v/>
      </c>
      <c r="Z443" s="322">
        <f>IFERROR(((VLOOKUP(Calculations[[#This Row],[Waste type 2]],WasteDisposalEmissions[#All],2,FALSE))*Calculations[[#This Row],[Total Kg]])*VLOOKUP(Calculations[[#This Row],[Waste 1]],WasteScenario[#All],2,FALSE),0)</f>
        <v>0</v>
      </c>
      <c r="AA443" s="322">
        <f>IFERROR((VLOOKUP(Calculations[[#This Row],[Waste type 2]],WasteDisposalEmissions[#All],3,FALSE))*Calculations[[#This Row],[Total Kg]]*VLOOKUP(Calculations[[#This Row],[Waste 1]],WasteScenario[#All],3,FALSE),0)</f>
        <v>0</v>
      </c>
      <c r="AB443" s="322">
        <f>SUM(Calculations[[#This Row],[C3 recyc]:[C3 incin]])</f>
        <v>0</v>
      </c>
      <c r="AC443" s="334">
        <f>IFERROR((VLOOKUP(Calculations[[#This Row],[Waste type 2]],WasteLandfillEmissions[#All],2,FALSE))*Calculations[[#This Row],[Total Kg]]*VLOOKUP(Calculations[[#This Row],[Waste 1]],WasteScenario[#All],4,FALSE),0)</f>
        <v>0</v>
      </c>
      <c r="AD443" s="322">
        <f>IFERROR((VLOOKUP(Calculations[[#This Row],[Waste type 2]],WasteLandfillEmissions[#All],3,FALSE))*Calculations[[#This Row],[Total Kg]]*VLOOKUP(Calculations[[#This Row],[Waste 1]],WasteScenario[#All],4,FALSE),0)</f>
        <v>0</v>
      </c>
      <c r="AE443" s="322">
        <f>SUM(Calculations[[#This Row],[C4 landfill]:[C4 re-use]])</f>
        <v>0</v>
      </c>
      <c r="AF443" s="322">
        <f>IFERROR(VLOOKUP(Calculations[[#This Row],[Material (choose from dropdown]],MaterialData[#All],8,FALSE),0)</f>
        <v>0</v>
      </c>
      <c r="AG443" s="322">
        <f>IFERROR(Calculations[[#This Row],[Total Kg]]*Calculations[[#This Row],[Seq factor]],0)</f>
        <v>0</v>
      </c>
      <c r="AI443" s="322">
        <f>Calculations[[#This Row],[A1-3]]+Calculations[[#This Row],[A4]]+Calculations[[#This Row],[A5]]+Calculations[[#This Row],[B4]]+Calculations[[#This Row],[C2 total]]+Calculations[[#This Row],[C3 total]]+Calculations[[#This Row],[C4 total]]</f>
        <v>0</v>
      </c>
      <c r="AJ443" s="2">
        <f>IFERROR(VLOOKUP(Calculations[[#This Row],[Material (choose from dropdown]],MaterialData[[#Headers],[#Data]],9,FALSE),0)</f>
        <v>0</v>
      </c>
      <c r="AK443" s="4">
        <f>IFERROR(VLOOKUP(Calculations[[#This Row],[Material (choose from dropdown]],MaterialData[[#Headers],[#Data]],10,FALSE),0)</f>
        <v>0</v>
      </c>
      <c r="AL443" s="322">
        <f>IFERROR(Calculations[[#This Row],[Data Quality Score]]*Calculations[[#This Row],[Total Kg]],0)</f>
        <v>0</v>
      </c>
    </row>
    <row r="444" spans="1:38" x14ac:dyDescent="0.3">
      <c r="A444" s="6">
        <f>IFERROR(MaterialsBoQ[[#This Row],[Scope Element]],0)</f>
        <v>0</v>
      </c>
      <c r="B444" t="str">
        <f>IFERROR(MaterialsBoQ[[#This Row],[Material ]],"")</f>
        <v/>
      </c>
      <c r="C444" t="str">
        <f>IFERROR(MaterialsBoQ[[#This Row],[Unit]],"")</f>
        <v/>
      </c>
      <c r="D444" s="322">
        <f>IFERROR(MaterialsBoQ[[#This Row],[Number]],0)</f>
        <v>0</v>
      </c>
      <c r="E444" s="322">
        <f>IFERROR(MaterialsBoQ[[#This Row],[Kg per unit]],0)</f>
        <v>0</v>
      </c>
      <c r="F444" s="322">
        <f>IFERROR(Calculations[[#This Row],[Number]]*Calculations[[#This Row],[Conversion factor]],0)</f>
        <v>0</v>
      </c>
      <c r="G444" s="322">
        <f>IFERROR(VLOOKUP(Calculations[[#This Row],[Material (choose from dropdown]],MaterialData[#All],7,FALSE),0)</f>
        <v>0</v>
      </c>
      <c r="H444" s="322">
        <f>Calculations[[#This Row],[Total Kg]]*Calculations[[#This Row],[Carbon Factor]]</f>
        <v>0</v>
      </c>
      <c r="I444" t="str">
        <f>IFERROR(VLOOKUP(Calculations[[#This Row],[Material (choose from dropdown]],MaterialData[#All],2,FALSE),"")</f>
        <v/>
      </c>
      <c r="J444" s="322">
        <f>IFERROR(((VLOOKUP(Calculations[[#This Row],[TransportSource]],TransportDistance[],2,FALSE)*'Stage assumptions'!$C$11)+VLOOKUP(Calculations[[#This Row],[TransportSource]],TransportDistance[],3,FALSE)*'Stage assumptions'!$C$12)*Calculations[[#This Row],[Total Kg]],0)</f>
        <v>0</v>
      </c>
      <c r="K444">
        <f>IFERROR(VLOOKUP(Calculations[[#This Row],[Material (choose from dropdown]], MaterialData[#All],3, FALSE),0)</f>
        <v>0</v>
      </c>
      <c r="L444" s="322">
        <f>IFERROR(VLOOKUP(Calculations[[#This Row],[A5type]],A5WastageRate[#All],2,FALSE)*Calculations[[#This Row],[A1-3]],0)</f>
        <v>0</v>
      </c>
      <c r="N444">
        <f>IFERROR(ROUNDUP(50/VLOOKUP(Calculations[[#This Row],[Scope Element]],B4referenceServiceLife[[Tier 2 element]:[Default Service Life]],2, FALSE)-1,0),0)</f>
        <v>0</v>
      </c>
      <c r="O444" s="322">
        <f>IFERROR((Calculations[[#This Row],[A1-3]]+Calculations[[#This Row],[A4]]+Calculations[[#This Row],[A5]]+Calculations[[#This Row],[C2 total]]+Calculations[[#This Row],[C3 total]]+Calculations[[#This Row],[C4 total]])*Calculations[[#This Row],[Replacements]],0)</f>
        <v>0</v>
      </c>
      <c r="S444" t="str">
        <f>IFERROR(VLOOKUP(Calculations[[#This Row],[Material (choose from dropdown]],MaterialData[#All],4,FALSE),"")</f>
        <v/>
      </c>
      <c r="T444" s="322" cm="1">
        <f t="array" ref="T444">IFERROR(VLOOKUP(Calculations[[#This Row],[Waste 1]],WasteScenario[#All],2,FALSE)*'Stage assumptions'!$C$225*WasteTransportMethod[Emissions Factor
kgCO2e/kg.km]*Calculations[[#This Row],[Total Kg]],0)</f>
        <v>0</v>
      </c>
      <c r="U444" s="322" cm="1">
        <f t="array" ref="U444">IFERROR(VLOOKUP(Calculations[[#This Row],[Waste 1]],WasteScenario[#All],3,FALSE)*'Stage assumptions'!$C$224*WasteTransportMethod[Emissions Factor
kgCO2e/kg.km]*Calculations[[#This Row],[Total Kg]],0)</f>
        <v>0</v>
      </c>
      <c r="V444" s="322" cm="1">
        <f t="array" ref="V444">IFERROR(VLOOKUP(Calculations[[#This Row],[Waste 1]],WasteScenario[#All],4,FALSE)*'Stage assumptions'!$C$223*WasteTransportMethod[Emissions Factor
kgCO2e/kg.km]*Calculations[[#This Row],[Total Kg]],0)</f>
        <v>0</v>
      </c>
      <c r="W444" s="322" cm="1">
        <f t="array" ref="W444">IFERROR(VLOOKUP(Calculations[[#This Row],[Waste 1]],WasteScenario[#All],5,FALSE)*'Stage assumptions'!$C$226*WasteTransportMethod[Emissions Factor
kgCO2e/kg.km]*Calculations[[#This Row],[Total Kg]],0)</f>
        <v>0</v>
      </c>
      <c r="X444" s="322">
        <f>SUM(Calculations[[#This Row],[C2 Recycle]:[C2 Reuse]])</f>
        <v>0</v>
      </c>
      <c r="Y444" t="str">
        <f>IFERROR(VLOOKUP(Calculations[[#This Row],[Material (choose from dropdown]],MaterialData[#All],5,FALSE),"")</f>
        <v/>
      </c>
      <c r="Z444" s="322">
        <f>IFERROR(((VLOOKUP(Calculations[[#This Row],[Waste type 2]],WasteDisposalEmissions[#All],2,FALSE))*Calculations[[#This Row],[Total Kg]])*VLOOKUP(Calculations[[#This Row],[Waste 1]],WasteScenario[#All],2,FALSE),0)</f>
        <v>0</v>
      </c>
      <c r="AA444" s="322">
        <f>IFERROR((VLOOKUP(Calculations[[#This Row],[Waste type 2]],WasteDisposalEmissions[#All],3,FALSE))*Calculations[[#This Row],[Total Kg]]*VLOOKUP(Calculations[[#This Row],[Waste 1]],WasteScenario[#All],3,FALSE),0)</f>
        <v>0</v>
      </c>
      <c r="AB444" s="322">
        <f>SUM(Calculations[[#This Row],[C3 recyc]:[C3 incin]])</f>
        <v>0</v>
      </c>
      <c r="AC444" s="334">
        <f>IFERROR((VLOOKUP(Calculations[[#This Row],[Waste type 2]],WasteLandfillEmissions[#All],2,FALSE))*Calculations[[#This Row],[Total Kg]]*VLOOKUP(Calculations[[#This Row],[Waste 1]],WasteScenario[#All],4,FALSE),0)</f>
        <v>0</v>
      </c>
      <c r="AD444" s="322">
        <f>IFERROR((VLOOKUP(Calculations[[#This Row],[Waste type 2]],WasteLandfillEmissions[#All],3,FALSE))*Calculations[[#This Row],[Total Kg]]*VLOOKUP(Calculations[[#This Row],[Waste 1]],WasteScenario[#All],4,FALSE),0)</f>
        <v>0</v>
      </c>
      <c r="AE444" s="322">
        <f>SUM(Calculations[[#This Row],[C4 landfill]:[C4 re-use]])</f>
        <v>0</v>
      </c>
      <c r="AF444" s="322">
        <f>IFERROR(VLOOKUP(Calculations[[#This Row],[Material (choose from dropdown]],MaterialData[#All],8,FALSE),0)</f>
        <v>0</v>
      </c>
      <c r="AG444" s="322">
        <f>IFERROR(Calculations[[#This Row],[Total Kg]]*Calculations[[#This Row],[Seq factor]],0)</f>
        <v>0</v>
      </c>
      <c r="AI444" s="322">
        <f>Calculations[[#This Row],[A1-3]]+Calculations[[#This Row],[A4]]+Calculations[[#This Row],[A5]]+Calculations[[#This Row],[B4]]+Calculations[[#This Row],[C2 total]]+Calculations[[#This Row],[C3 total]]+Calculations[[#This Row],[C4 total]]</f>
        <v>0</v>
      </c>
      <c r="AJ444" s="2">
        <f>IFERROR(VLOOKUP(Calculations[[#This Row],[Material (choose from dropdown]],MaterialData[[#Headers],[#Data]],9,FALSE),0)</f>
        <v>0</v>
      </c>
      <c r="AK444" s="4">
        <f>IFERROR(VLOOKUP(Calculations[[#This Row],[Material (choose from dropdown]],MaterialData[[#Headers],[#Data]],10,FALSE),0)</f>
        <v>0</v>
      </c>
      <c r="AL444" s="322">
        <f>IFERROR(Calculations[[#This Row],[Data Quality Score]]*Calculations[[#This Row],[Total Kg]],0)</f>
        <v>0</v>
      </c>
    </row>
    <row r="445" spans="1:38" x14ac:dyDescent="0.3">
      <c r="A445" s="6">
        <f>IFERROR(MaterialsBoQ[[#This Row],[Scope Element]],0)</f>
        <v>0</v>
      </c>
      <c r="B445" t="str">
        <f>IFERROR(MaterialsBoQ[[#This Row],[Material ]],"")</f>
        <v/>
      </c>
      <c r="C445" t="str">
        <f>IFERROR(MaterialsBoQ[[#This Row],[Unit]],"")</f>
        <v/>
      </c>
      <c r="D445" s="322">
        <f>IFERROR(MaterialsBoQ[[#This Row],[Number]],0)</f>
        <v>0</v>
      </c>
      <c r="E445" s="322">
        <f>IFERROR(MaterialsBoQ[[#This Row],[Kg per unit]],0)</f>
        <v>0</v>
      </c>
      <c r="F445" s="322">
        <f>IFERROR(Calculations[[#This Row],[Number]]*Calculations[[#This Row],[Conversion factor]],0)</f>
        <v>0</v>
      </c>
      <c r="G445" s="322">
        <f>IFERROR(VLOOKUP(Calculations[[#This Row],[Material (choose from dropdown]],MaterialData[#All],7,FALSE),0)</f>
        <v>0</v>
      </c>
      <c r="H445" s="322">
        <f>Calculations[[#This Row],[Total Kg]]*Calculations[[#This Row],[Carbon Factor]]</f>
        <v>0</v>
      </c>
      <c r="I445" t="str">
        <f>IFERROR(VLOOKUP(Calculations[[#This Row],[Material (choose from dropdown]],MaterialData[#All],2,FALSE),"")</f>
        <v/>
      </c>
      <c r="J445" s="322">
        <f>IFERROR(((VLOOKUP(Calculations[[#This Row],[TransportSource]],TransportDistance[],2,FALSE)*'Stage assumptions'!$C$11)+VLOOKUP(Calculations[[#This Row],[TransportSource]],TransportDistance[],3,FALSE)*'Stage assumptions'!$C$12)*Calculations[[#This Row],[Total Kg]],0)</f>
        <v>0</v>
      </c>
      <c r="K445">
        <f>IFERROR(VLOOKUP(Calculations[[#This Row],[Material (choose from dropdown]], MaterialData[#All],3, FALSE),0)</f>
        <v>0</v>
      </c>
      <c r="L445" s="322">
        <f>IFERROR(VLOOKUP(Calculations[[#This Row],[A5type]],A5WastageRate[#All],2,FALSE)*Calculations[[#This Row],[A1-3]],0)</f>
        <v>0</v>
      </c>
      <c r="N445">
        <f>IFERROR(ROUNDUP(50/VLOOKUP(Calculations[[#This Row],[Scope Element]],B4referenceServiceLife[[Tier 2 element]:[Default Service Life]],2, FALSE)-1,0),0)</f>
        <v>0</v>
      </c>
      <c r="O445" s="322">
        <f>IFERROR((Calculations[[#This Row],[A1-3]]+Calculations[[#This Row],[A4]]+Calculations[[#This Row],[A5]]+Calculations[[#This Row],[C2 total]]+Calculations[[#This Row],[C3 total]]+Calculations[[#This Row],[C4 total]])*Calculations[[#This Row],[Replacements]],0)</f>
        <v>0</v>
      </c>
      <c r="S445" t="str">
        <f>IFERROR(VLOOKUP(Calculations[[#This Row],[Material (choose from dropdown]],MaterialData[#All],4,FALSE),"")</f>
        <v/>
      </c>
      <c r="T445" s="322" cm="1">
        <f t="array" ref="T445">IFERROR(VLOOKUP(Calculations[[#This Row],[Waste 1]],WasteScenario[#All],2,FALSE)*'Stage assumptions'!$C$225*WasteTransportMethod[Emissions Factor
kgCO2e/kg.km]*Calculations[[#This Row],[Total Kg]],0)</f>
        <v>0</v>
      </c>
      <c r="U445" s="322" cm="1">
        <f t="array" ref="U445">IFERROR(VLOOKUP(Calculations[[#This Row],[Waste 1]],WasteScenario[#All],3,FALSE)*'Stage assumptions'!$C$224*WasteTransportMethod[Emissions Factor
kgCO2e/kg.km]*Calculations[[#This Row],[Total Kg]],0)</f>
        <v>0</v>
      </c>
      <c r="V445" s="322" cm="1">
        <f t="array" ref="V445">IFERROR(VLOOKUP(Calculations[[#This Row],[Waste 1]],WasteScenario[#All],4,FALSE)*'Stage assumptions'!$C$223*WasteTransportMethod[Emissions Factor
kgCO2e/kg.km]*Calculations[[#This Row],[Total Kg]],0)</f>
        <v>0</v>
      </c>
      <c r="W445" s="322" cm="1">
        <f t="array" ref="W445">IFERROR(VLOOKUP(Calculations[[#This Row],[Waste 1]],WasteScenario[#All],5,FALSE)*'Stage assumptions'!$C$226*WasteTransportMethod[Emissions Factor
kgCO2e/kg.km]*Calculations[[#This Row],[Total Kg]],0)</f>
        <v>0</v>
      </c>
      <c r="X445" s="322">
        <f>SUM(Calculations[[#This Row],[C2 Recycle]:[C2 Reuse]])</f>
        <v>0</v>
      </c>
      <c r="Y445" t="str">
        <f>IFERROR(VLOOKUP(Calculations[[#This Row],[Material (choose from dropdown]],MaterialData[#All],5,FALSE),"")</f>
        <v/>
      </c>
      <c r="Z445" s="322">
        <f>IFERROR(((VLOOKUP(Calculations[[#This Row],[Waste type 2]],WasteDisposalEmissions[#All],2,FALSE))*Calculations[[#This Row],[Total Kg]])*VLOOKUP(Calculations[[#This Row],[Waste 1]],WasteScenario[#All],2,FALSE),0)</f>
        <v>0</v>
      </c>
      <c r="AA445" s="322">
        <f>IFERROR((VLOOKUP(Calculations[[#This Row],[Waste type 2]],WasteDisposalEmissions[#All],3,FALSE))*Calculations[[#This Row],[Total Kg]]*VLOOKUP(Calculations[[#This Row],[Waste 1]],WasteScenario[#All],3,FALSE),0)</f>
        <v>0</v>
      </c>
      <c r="AB445" s="322">
        <f>SUM(Calculations[[#This Row],[C3 recyc]:[C3 incin]])</f>
        <v>0</v>
      </c>
      <c r="AC445" s="334">
        <f>IFERROR((VLOOKUP(Calculations[[#This Row],[Waste type 2]],WasteLandfillEmissions[#All],2,FALSE))*Calculations[[#This Row],[Total Kg]]*VLOOKUP(Calculations[[#This Row],[Waste 1]],WasteScenario[#All],4,FALSE),0)</f>
        <v>0</v>
      </c>
      <c r="AD445" s="322">
        <f>IFERROR((VLOOKUP(Calculations[[#This Row],[Waste type 2]],WasteLandfillEmissions[#All],3,FALSE))*Calculations[[#This Row],[Total Kg]]*VLOOKUP(Calculations[[#This Row],[Waste 1]],WasteScenario[#All],4,FALSE),0)</f>
        <v>0</v>
      </c>
      <c r="AE445" s="322">
        <f>SUM(Calculations[[#This Row],[C4 landfill]:[C4 re-use]])</f>
        <v>0</v>
      </c>
      <c r="AF445" s="322">
        <f>IFERROR(VLOOKUP(Calculations[[#This Row],[Material (choose from dropdown]],MaterialData[#All],8,FALSE),0)</f>
        <v>0</v>
      </c>
      <c r="AG445" s="322">
        <f>IFERROR(Calculations[[#This Row],[Total Kg]]*Calculations[[#This Row],[Seq factor]],0)</f>
        <v>0</v>
      </c>
      <c r="AI445" s="322">
        <f>Calculations[[#This Row],[A1-3]]+Calculations[[#This Row],[A4]]+Calculations[[#This Row],[A5]]+Calculations[[#This Row],[B4]]+Calculations[[#This Row],[C2 total]]+Calculations[[#This Row],[C3 total]]+Calculations[[#This Row],[C4 total]]</f>
        <v>0</v>
      </c>
      <c r="AJ445" s="2">
        <f>IFERROR(VLOOKUP(Calculations[[#This Row],[Material (choose from dropdown]],MaterialData[[#Headers],[#Data]],9,FALSE),0)</f>
        <v>0</v>
      </c>
      <c r="AK445" s="4">
        <f>IFERROR(VLOOKUP(Calculations[[#This Row],[Material (choose from dropdown]],MaterialData[[#Headers],[#Data]],10,FALSE),0)</f>
        <v>0</v>
      </c>
      <c r="AL445" s="322">
        <f>IFERROR(Calculations[[#This Row],[Data Quality Score]]*Calculations[[#This Row],[Total Kg]],0)</f>
        <v>0</v>
      </c>
    </row>
    <row r="446" spans="1:38" x14ac:dyDescent="0.3">
      <c r="A446" s="6">
        <f>IFERROR(MaterialsBoQ[[#This Row],[Scope Element]],0)</f>
        <v>0</v>
      </c>
      <c r="B446" t="str">
        <f>IFERROR(MaterialsBoQ[[#This Row],[Material ]],"")</f>
        <v/>
      </c>
      <c r="C446" t="str">
        <f>IFERROR(MaterialsBoQ[[#This Row],[Unit]],"")</f>
        <v/>
      </c>
      <c r="D446" s="322">
        <f>IFERROR(MaterialsBoQ[[#This Row],[Number]],0)</f>
        <v>0</v>
      </c>
      <c r="E446" s="322">
        <f>IFERROR(MaterialsBoQ[[#This Row],[Kg per unit]],0)</f>
        <v>0</v>
      </c>
      <c r="F446" s="322">
        <f>IFERROR(Calculations[[#This Row],[Number]]*Calculations[[#This Row],[Conversion factor]],0)</f>
        <v>0</v>
      </c>
      <c r="G446" s="322">
        <f>IFERROR(VLOOKUP(Calculations[[#This Row],[Material (choose from dropdown]],MaterialData[#All],7,FALSE),0)</f>
        <v>0</v>
      </c>
      <c r="H446" s="322">
        <f>Calculations[[#This Row],[Total Kg]]*Calculations[[#This Row],[Carbon Factor]]</f>
        <v>0</v>
      </c>
      <c r="I446" t="str">
        <f>IFERROR(VLOOKUP(Calculations[[#This Row],[Material (choose from dropdown]],MaterialData[#All],2,FALSE),"")</f>
        <v/>
      </c>
      <c r="J446" s="322">
        <f>IFERROR(((VLOOKUP(Calculations[[#This Row],[TransportSource]],TransportDistance[],2,FALSE)*'Stage assumptions'!$C$11)+VLOOKUP(Calculations[[#This Row],[TransportSource]],TransportDistance[],3,FALSE)*'Stage assumptions'!$C$12)*Calculations[[#This Row],[Total Kg]],0)</f>
        <v>0</v>
      </c>
      <c r="K446">
        <f>IFERROR(VLOOKUP(Calculations[[#This Row],[Material (choose from dropdown]], MaterialData[#All],3, FALSE),0)</f>
        <v>0</v>
      </c>
      <c r="L446" s="322">
        <f>IFERROR(VLOOKUP(Calculations[[#This Row],[A5type]],A5WastageRate[#All],2,FALSE)*Calculations[[#This Row],[A1-3]],0)</f>
        <v>0</v>
      </c>
      <c r="N446">
        <f>IFERROR(ROUNDUP(50/VLOOKUP(Calculations[[#This Row],[Scope Element]],B4referenceServiceLife[[Tier 2 element]:[Default Service Life]],2, FALSE)-1,0),0)</f>
        <v>0</v>
      </c>
      <c r="O446" s="322">
        <f>IFERROR((Calculations[[#This Row],[A1-3]]+Calculations[[#This Row],[A4]]+Calculations[[#This Row],[A5]]+Calculations[[#This Row],[C2 total]]+Calculations[[#This Row],[C3 total]]+Calculations[[#This Row],[C4 total]])*Calculations[[#This Row],[Replacements]],0)</f>
        <v>0</v>
      </c>
      <c r="S446" t="str">
        <f>IFERROR(VLOOKUP(Calculations[[#This Row],[Material (choose from dropdown]],MaterialData[#All],4,FALSE),"")</f>
        <v/>
      </c>
      <c r="T446" s="322" cm="1">
        <f t="array" ref="T446">IFERROR(VLOOKUP(Calculations[[#This Row],[Waste 1]],WasteScenario[#All],2,FALSE)*'Stage assumptions'!$C$225*WasteTransportMethod[Emissions Factor
kgCO2e/kg.km]*Calculations[[#This Row],[Total Kg]],0)</f>
        <v>0</v>
      </c>
      <c r="U446" s="322" cm="1">
        <f t="array" ref="U446">IFERROR(VLOOKUP(Calculations[[#This Row],[Waste 1]],WasteScenario[#All],3,FALSE)*'Stage assumptions'!$C$224*WasteTransportMethod[Emissions Factor
kgCO2e/kg.km]*Calculations[[#This Row],[Total Kg]],0)</f>
        <v>0</v>
      </c>
      <c r="V446" s="322" cm="1">
        <f t="array" ref="V446">IFERROR(VLOOKUP(Calculations[[#This Row],[Waste 1]],WasteScenario[#All],4,FALSE)*'Stage assumptions'!$C$223*WasteTransportMethod[Emissions Factor
kgCO2e/kg.km]*Calculations[[#This Row],[Total Kg]],0)</f>
        <v>0</v>
      </c>
      <c r="W446" s="322" cm="1">
        <f t="array" ref="W446">IFERROR(VLOOKUP(Calculations[[#This Row],[Waste 1]],WasteScenario[#All],5,FALSE)*'Stage assumptions'!$C$226*WasteTransportMethod[Emissions Factor
kgCO2e/kg.km]*Calculations[[#This Row],[Total Kg]],0)</f>
        <v>0</v>
      </c>
      <c r="X446" s="322">
        <f>SUM(Calculations[[#This Row],[C2 Recycle]:[C2 Reuse]])</f>
        <v>0</v>
      </c>
      <c r="Y446" t="str">
        <f>IFERROR(VLOOKUP(Calculations[[#This Row],[Material (choose from dropdown]],MaterialData[#All],5,FALSE),"")</f>
        <v/>
      </c>
      <c r="Z446" s="322">
        <f>IFERROR(((VLOOKUP(Calculations[[#This Row],[Waste type 2]],WasteDisposalEmissions[#All],2,FALSE))*Calculations[[#This Row],[Total Kg]])*VLOOKUP(Calculations[[#This Row],[Waste 1]],WasteScenario[#All],2,FALSE),0)</f>
        <v>0</v>
      </c>
      <c r="AA446" s="322">
        <f>IFERROR((VLOOKUP(Calculations[[#This Row],[Waste type 2]],WasteDisposalEmissions[#All],3,FALSE))*Calculations[[#This Row],[Total Kg]]*VLOOKUP(Calculations[[#This Row],[Waste 1]],WasteScenario[#All],3,FALSE),0)</f>
        <v>0</v>
      </c>
      <c r="AB446" s="322">
        <f>SUM(Calculations[[#This Row],[C3 recyc]:[C3 incin]])</f>
        <v>0</v>
      </c>
      <c r="AC446" s="334">
        <f>IFERROR((VLOOKUP(Calculations[[#This Row],[Waste type 2]],WasteLandfillEmissions[#All],2,FALSE))*Calculations[[#This Row],[Total Kg]]*VLOOKUP(Calculations[[#This Row],[Waste 1]],WasteScenario[#All],4,FALSE),0)</f>
        <v>0</v>
      </c>
      <c r="AD446" s="322">
        <f>IFERROR((VLOOKUP(Calculations[[#This Row],[Waste type 2]],WasteLandfillEmissions[#All],3,FALSE))*Calculations[[#This Row],[Total Kg]]*VLOOKUP(Calculations[[#This Row],[Waste 1]],WasteScenario[#All],4,FALSE),0)</f>
        <v>0</v>
      </c>
      <c r="AE446" s="322">
        <f>SUM(Calculations[[#This Row],[C4 landfill]:[C4 re-use]])</f>
        <v>0</v>
      </c>
      <c r="AF446" s="322">
        <f>IFERROR(VLOOKUP(Calculations[[#This Row],[Material (choose from dropdown]],MaterialData[#All],8,FALSE),0)</f>
        <v>0</v>
      </c>
      <c r="AG446" s="322">
        <f>IFERROR(Calculations[[#This Row],[Total Kg]]*Calculations[[#This Row],[Seq factor]],0)</f>
        <v>0</v>
      </c>
      <c r="AI446" s="322">
        <f>Calculations[[#This Row],[A1-3]]+Calculations[[#This Row],[A4]]+Calculations[[#This Row],[A5]]+Calculations[[#This Row],[B4]]+Calculations[[#This Row],[C2 total]]+Calculations[[#This Row],[C3 total]]+Calculations[[#This Row],[C4 total]]</f>
        <v>0</v>
      </c>
      <c r="AJ446" s="2">
        <f>IFERROR(VLOOKUP(Calculations[[#This Row],[Material (choose from dropdown]],MaterialData[[#Headers],[#Data]],9,FALSE),0)</f>
        <v>0</v>
      </c>
      <c r="AK446" s="4">
        <f>IFERROR(VLOOKUP(Calculations[[#This Row],[Material (choose from dropdown]],MaterialData[[#Headers],[#Data]],10,FALSE),0)</f>
        <v>0</v>
      </c>
      <c r="AL446" s="322">
        <f>IFERROR(Calculations[[#This Row],[Data Quality Score]]*Calculations[[#This Row],[Total Kg]],0)</f>
        <v>0</v>
      </c>
    </row>
    <row r="447" spans="1:38" x14ac:dyDescent="0.3">
      <c r="A447" s="6">
        <f>IFERROR(MaterialsBoQ[[#This Row],[Scope Element]],0)</f>
        <v>0</v>
      </c>
      <c r="B447" t="str">
        <f>IFERROR(MaterialsBoQ[[#This Row],[Material ]],"")</f>
        <v/>
      </c>
      <c r="C447" t="str">
        <f>IFERROR(MaterialsBoQ[[#This Row],[Unit]],"")</f>
        <v/>
      </c>
      <c r="D447" s="322">
        <f>IFERROR(MaterialsBoQ[[#This Row],[Number]],0)</f>
        <v>0</v>
      </c>
      <c r="E447" s="322">
        <f>IFERROR(MaterialsBoQ[[#This Row],[Kg per unit]],0)</f>
        <v>0</v>
      </c>
      <c r="F447" s="322">
        <f>IFERROR(Calculations[[#This Row],[Number]]*Calculations[[#This Row],[Conversion factor]],0)</f>
        <v>0</v>
      </c>
      <c r="G447" s="322">
        <f>IFERROR(VLOOKUP(Calculations[[#This Row],[Material (choose from dropdown]],MaterialData[#All],7,FALSE),0)</f>
        <v>0</v>
      </c>
      <c r="H447" s="322">
        <f>Calculations[[#This Row],[Total Kg]]*Calculations[[#This Row],[Carbon Factor]]</f>
        <v>0</v>
      </c>
      <c r="I447" t="str">
        <f>IFERROR(VLOOKUP(Calculations[[#This Row],[Material (choose from dropdown]],MaterialData[#All],2,FALSE),"")</f>
        <v/>
      </c>
      <c r="J447" s="322">
        <f>IFERROR(((VLOOKUP(Calculations[[#This Row],[TransportSource]],TransportDistance[],2,FALSE)*'Stage assumptions'!$C$11)+VLOOKUP(Calculations[[#This Row],[TransportSource]],TransportDistance[],3,FALSE)*'Stage assumptions'!$C$12)*Calculations[[#This Row],[Total Kg]],0)</f>
        <v>0</v>
      </c>
      <c r="K447">
        <f>IFERROR(VLOOKUP(Calculations[[#This Row],[Material (choose from dropdown]], MaterialData[#All],3, FALSE),0)</f>
        <v>0</v>
      </c>
      <c r="L447" s="322">
        <f>IFERROR(VLOOKUP(Calculations[[#This Row],[A5type]],A5WastageRate[#All],2,FALSE)*Calculations[[#This Row],[A1-3]],0)</f>
        <v>0</v>
      </c>
      <c r="N447">
        <f>IFERROR(ROUNDUP(50/VLOOKUP(Calculations[[#This Row],[Scope Element]],B4referenceServiceLife[[Tier 2 element]:[Default Service Life]],2, FALSE)-1,0),0)</f>
        <v>0</v>
      </c>
      <c r="O447" s="322">
        <f>IFERROR((Calculations[[#This Row],[A1-3]]+Calculations[[#This Row],[A4]]+Calculations[[#This Row],[A5]]+Calculations[[#This Row],[C2 total]]+Calculations[[#This Row],[C3 total]]+Calculations[[#This Row],[C4 total]])*Calculations[[#This Row],[Replacements]],0)</f>
        <v>0</v>
      </c>
      <c r="S447" t="str">
        <f>IFERROR(VLOOKUP(Calculations[[#This Row],[Material (choose from dropdown]],MaterialData[#All],4,FALSE),"")</f>
        <v/>
      </c>
      <c r="T447" s="322" cm="1">
        <f t="array" ref="T447">IFERROR(VLOOKUP(Calculations[[#This Row],[Waste 1]],WasteScenario[#All],2,FALSE)*'Stage assumptions'!$C$225*WasteTransportMethod[Emissions Factor
kgCO2e/kg.km]*Calculations[[#This Row],[Total Kg]],0)</f>
        <v>0</v>
      </c>
      <c r="U447" s="322" cm="1">
        <f t="array" ref="U447">IFERROR(VLOOKUP(Calculations[[#This Row],[Waste 1]],WasteScenario[#All],3,FALSE)*'Stage assumptions'!$C$224*WasteTransportMethod[Emissions Factor
kgCO2e/kg.km]*Calculations[[#This Row],[Total Kg]],0)</f>
        <v>0</v>
      </c>
      <c r="V447" s="322" cm="1">
        <f t="array" ref="V447">IFERROR(VLOOKUP(Calculations[[#This Row],[Waste 1]],WasteScenario[#All],4,FALSE)*'Stage assumptions'!$C$223*WasteTransportMethod[Emissions Factor
kgCO2e/kg.km]*Calculations[[#This Row],[Total Kg]],0)</f>
        <v>0</v>
      </c>
      <c r="W447" s="322" cm="1">
        <f t="array" ref="W447">IFERROR(VLOOKUP(Calculations[[#This Row],[Waste 1]],WasteScenario[#All],5,FALSE)*'Stage assumptions'!$C$226*WasteTransportMethod[Emissions Factor
kgCO2e/kg.km]*Calculations[[#This Row],[Total Kg]],0)</f>
        <v>0</v>
      </c>
      <c r="X447" s="322">
        <f>SUM(Calculations[[#This Row],[C2 Recycle]:[C2 Reuse]])</f>
        <v>0</v>
      </c>
      <c r="Y447" t="str">
        <f>IFERROR(VLOOKUP(Calculations[[#This Row],[Material (choose from dropdown]],MaterialData[#All],5,FALSE),"")</f>
        <v/>
      </c>
      <c r="Z447" s="322">
        <f>IFERROR(((VLOOKUP(Calculations[[#This Row],[Waste type 2]],WasteDisposalEmissions[#All],2,FALSE))*Calculations[[#This Row],[Total Kg]])*VLOOKUP(Calculations[[#This Row],[Waste 1]],WasteScenario[#All],2,FALSE),0)</f>
        <v>0</v>
      </c>
      <c r="AA447" s="322">
        <f>IFERROR((VLOOKUP(Calculations[[#This Row],[Waste type 2]],WasteDisposalEmissions[#All],3,FALSE))*Calculations[[#This Row],[Total Kg]]*VLOOKUP(Calculations[[#This Row],[Waste 1]],WasteScenario[#All],3,FALSE),0)</f>
        <v>0</v>
      </c>
      <c r="AB447" s="322">
        <f>SUM(Calculations[[#This Row],[C3 recyc]:[C3 incin]])</f>
        <v>0</v>
      </c>
      <c r="AC447" s="334">
        <f>IFERROR((VLOOKUP(Calculations[[#This Row],[Waste type 2]],WasteLandfillEmissions[#All],2,FALSE))*Calculations[[#This Row],[Total Kg]]*VLOOKUP(Calculations[[#This Row],[Waste 1]],WasteScenario[#All],4,FALSE),0)</f>
        <v>0</v>
      </c>
      <c r="AD447" s="322">
        <f>IFERROR((VLOOKUP(Calculations[[#This Row],[Waste type 2]],WasteLandfillEmissions[#All],3,FALSE))*Calculations[[#This Row],[Total Kg]]*VLOOKUP(Calculations[[#This Row],[Waste 1]],WasteScenario[#All],4,FALSE),0)</f>
        <v>0</v>
      </c>
      <c r="AE447" s="322">
        <f>SUM(Calculations[[#This Row],[C4 landfill]:[C4 re-use]])</f>
        <v>0</v>
      </c>
      <c r="AF447" s="322">
        <f>IFERROR(VLOOKUP(Calculations[[#This Row],[Material (choose from dropdown]],MaterialData[#All],8,FALSE),0)</f>
        <v>0</v>
      </c>
      <c r="AG447" s="322">
        <f>IFERROR(Calculations[[#This Row],[Total Kg]]*Calculations[[#This Row],[Seq factor]],0)</f>
        <v>0</v>
      </c>
      <c r="AI447" s="322">
        <f>Calculations[[#This Row],[A1-3]]+Calculations[[#This Row],[A4]]+Calculations[[#This Row],[A5]]+Calculations[[#This Row],[B4]]+Calculations[[#This Row],[C2 total]]+Calculations[[#This Row],[C3 total]]+Calculations[[#This Row],[C4 total]]</f>
        <v>0</v>
      </c>
      <c r="AJ447" s="2">
        <f>IFERROR(VLOOKUP(Calculations[[#This Row],[Material (choose from dropdown]],MaterialData[[#Headers],[#Data]],9,FALSE),0)</f>
        <v>0</v>
      </c>
      <c r="AK447" s="4">
        <f>IFERROR(VLOOKUP(Calculations[[#This Row],[Material (choose from dropdown]],MaterialData[[#Headers],[#Data]],10,FALSE),0)</f>
        <v>0</v>
      </c>
      <c r="AL447" s="322">
        <f>IFERROR(Calculations[[#This Row],[Data Quality Score]]*Calculations[[#This Row],[Total Kg]],0)</f>
        <v>0</v>
      </c>
    </row>
    <row r="448" spans="1:38" x14ac:dyDescent="0.3">
      <c r="A448" s="6">
        <f>IFERROR(MaterialsBoQ[[#This Row],[Scope Element]],0)</f>
        <v>0</v>
      </c>
      <c r="B448" t="str">
        <f>IFERROR(MaterialsBoQ[[#This Row],[Material ]],"")</f>
        <v/>
      </c>
      <c r="C448" t="str">
        <f>IFERROR(MaterialsBoQ[[#This Row],[Unit]],"")</f>
        <v/>
      </c>
      <c r="D448" s="322">
        <f>IFERROR(MaterialsBoQ[[#This Row],[Number]],0)</f>
        <v>0</v>
      </c>
      <c r="E448" s="322">
        <f>IFERROR(MaterialsBoQ[[#This Row],[Kg per unit]],0)</f>
        <v>0</v>
      </c>
      <c r="F448" s="322">
        <f>IFERROR(Calculations[[#This Row],[Number]]*Calculations[[#This Row],[Conversion factor]],0)</f>
        <v>0</v>
      </c>
      <c r="G448" s="322">
        <f>IFERROR(VLOOKUP(Calculations[[#This Row],[Material (choose from dropdown]],MaterialData[#All],7,FALSE),0)</f>
        <v>0</v>
      </c>
      <c r="H448" s="322">
        <f>Calculations[[#This Row],[Total Kg]]*Calculations[[#This Row],[Carbon Factor]]</f>
        <v>0</v>
      </c>
      <c r="I448" t="str">
        <f>IFERROR(VLOOKUP(Calculations[[#This Row],[Material (choose from dropdown]],MaterialData[#All],2,FALSE),"")</f>
        <v/>
      </c>
      <c r="J448" s="322">
        <f>IFERROR(((VLOOKUP(Calculations[[#This Row],[TransportSource]],TransportDistance[],2,FALSE)*'Stage assumptions'!$C$11)+VLOOKUP(Calculations[[#This Row],[TransportSource]],TransportDistance[],3,FALSE)*'Stage assumptions'!$C$12)*Calculations[[#This Row],[Total Kg]],0)</f>
        <v>0</v>
      </c>
      <c r="K448">
        <f>IFERROR(VLOOKUP(Calculations[[#This Row],[Material (choose from dropdown]], MaterialData[#All],3, FALSE),0)</f>
        <v>0</v>
      </c>
      <c r="L448" s="322">
        <f>IFERROR(VLOOKUP(Calculations[[#This Row],[A5type]],A5WastageRate[#All],2,FALSE)*Calculations[[#This Row],[A1-3]],0)</f>
        <v>0</v>
      </c>
      <c r="N448">
        <f>IFERROR(ROUNDUP(50/VLOOKUP(Calculations[[#This Row],[Scope Element]],B4referenceServiceLife[[Tier 2 element]:[Default Service Life]],2, FALSE)-1,0),0)</f>
        <v>0</v>
      </c>
      <c r="O448" s="322">
        <f>IFERROR((Calculations[[#This Row],[A1-3]]+Calculations[[#This Row],[A4]]+Calculations[[#This Row],[A5]]+Calculations[[#This Row],[C2 total]]+Calculations[[#This Row],[C3 total]]+Calculations[[#This Row],[C4 total]])*Calculations[[#This Row],[Replacements]],0)</f>
        <v>0</v>
      </c>
      <c r="S448" t="str">
        <f>IFERROR(VLOOKUP(Calculations[[#This Row],[Material (choose from dropdown]],MaterialData[#All],4,FALSE),"")</f>
        <v/>
      </c>
      <c r="T448" s="322" cm="1">
        <f t="array" ref="T448">IFERROR(VLOOKUP(Calculations[[#This Row],[Waste 1]],WasteScenario[#All],2,FALSE)*'Stage assumptions'!$C$225*WasteTransportMethod[Emissions Factor
kgCO2e/kg.km]*Calculations[[#This Row],[Total Kg]],0)</f>
        <v>0</v>
      </c>
      <c r="U448" s="322" cm="1">
        <f t="array" ref="U448">IFERROR(VLOOKUP(Calculations[[#This Row],[Waste 1]],WasteScenario[#All],3,FALSE)*'Stage assumptions'!$C$224*WasteTransportMethod[Emissions Factor
kgCO2e/kg.km]*Calculations[[#This Row],[Total Kg]],0)</f>
        <v>0</v>
      </c>
      <c r="V448" s="322" cm="1">
        <f t="array" ref="V448">IFERROR(VLOOKUP(Calculations[[#This Row],[Waste 1]],WasteScenario[#All],4,FALSE)*'Stage assumptions'!$C$223*WasteTransportMethod[Emissions Factor
kgCO2e/kg.km]*Calculations[[#This Row],[Total Kg]],0)</f>
        <v>0</v>
      </c>
      <c r="W448" s="322" cm="1">
        <f t="array" ref="W448">IFERROR(VLOOKUP(Calculations[[#This Row],[Waste 1]],WasteScenario[#All],5,FALSE)*'Stage assumptions'!$C$226*WasteTransportMethod[Emissions Factor
kgCO2e/kg.km]*Calculations[[#This Row],[Total Kg]],0)</f>
        <v>0</v>
      </c>
      <c r="X448" s="322">
        <f>SUM(Calculations[[#This Row],[C2 Recycle]:[C2 Reuse]])</f>
        <v>0</v>
      </c>
      <c r="Y448" t="str">
        <f>IFERROR(VLOOKUP(Calculations[[#This Row],[Material (choose from dropdown]],MaterialData[#All],5,FALSE),"")</f>
        <v/>
      </c>
      <c r="Z448" s="322">
        <f>IFERROR(((VLOOKUP(Calculations[[#This Row],[Waste type 2]],WasteDisposalEmissions[#All],2,FALSE))*Calculations[[#This Row],[Total Kg]])*VLOOKUP(Calculations[[#This Row],[Waste 1]],WasteScenario[#All],2,FALSE),0)</f>
        <v>0</v>
      </c>
      <c r="AA448" s="322">
        <f>IFERROR((VLOOKUP(Calculations[[#This Row],[Waste type 2]],WasteDisposalEmissions[#All],3,FALSE))*Calculations[[#This Row],[Total Kg]]*VLOOKUP(Calculations[[#This Row],[Waste 1]],WasteScenario[#All],3,FALSE),0)</f>
        <v>0</v>
      </c>
      <c r="AB448" s="322">
        <f>SUM(Calculations[[#This Row],[C3 recyc]:[C3 incin]])</f>
        <v>0</v>
      </c>
      <c r="AC448" s="334">
        <f>IFERROR((VLOOKUP(Calculations[[#This Row],[Waste type 2]],WasteLandfillEmissions[#All],2,FALSE))*Calculations[[#This Row],[Total Kg]]*VLOOKUP(Calculations[[#This Row],[Waste 1]],WasteScenario[#All],4,FALSE),0)</f>
        <v>0</v>
      </c>
      <c r="AD448" s="322">
        <f>IFERROR((VLOOKUP(Calculations[[#This Row],[Waste type 2]],WasteLandfillEmissions[#All],3,FALSE))*Calculations[[#This Row],[Total Kg]]*VLOOKUP(Calculations[[#This Row],[Waste 1]],WasteScenario[#All],4,FALSE),0)</f>
        <v>0</v>
      </c>
      <c r="AE448" s="322">
        <f>SUM(Calculations[[#This Row],[C4 landfill]:[C4 re-use]])</f>
        <v>0</v>
      </c>
      <c r="AF448" s="322">
        <f>IFERROR(VLOOKUP(Calculations[[#This Row],[Material (choose from dropdown]],MaterialData[#All],8,FALSE),0)</f>
        <v>0</v>
      </c>
      <c r="AG448" s="322">
        <f>IFERROR(Calculations[[#This Row],[Total Kg]]*Calculations[[#This Row],[Seq factor]],0)</f>
        <v>0</v>
      </c>
      <c r="AI448" s="322">
        <f>Calculations[[#This Row],[A1-3]]+Calculations[[#This Row],[A4]]+Calculations[[#This Row],[A5]]+Calculations[[#This Row],[B4]]+Calculations[[#This Row],[C2 total]]+Calculations[[#This Row],[C3 total]]+Calculations[[#This Row],[C4 total]]</f>
        <v>0</v>
      </c>
      <c r="AJ448" s="2">
        <f>IFERROR(VLOOKUP(Calculations[[#This Row],[Material (choose from dropdown]],MaterialData[[#Headers],[#Data]],9,FALSE),0)</f>
        <v>0</v>
      </c>
      <c r="AK448" s="4">
        <f>IFERROR(VLOOKUP(Calculations[[#This Row],[Material (choose from dropdown]],MaterialData[[#Headers],[#Data]],10,FALSE),0)</f>
        <v>0</v>
      </c>
      <c r="AL448" s="322">
        <f>IFERROR(Calculations[[#This Row],[Data Quality Score]]*Calculations[[#This Row],[Total Kg]],0)</f>
        <v>0</v>
      </c>
    </row>
    <row r="449" spans="1:38" x14ac:dyDescent="0.3">
      <c r="A449" s="6">
        <f>IFERROR(MaterialsBoQ[[#This Row],[Scope Element]],0)</f>
        <v>0</v>
      </c>
      <c r="B449" t="str">
        <f>IFERROR(MaterialsBoQ[[#This Row],[Material ]],"")</f>
        <v/>
      </c>
      <c r="C449" t="str">
        <f>IFERROR(MaterialsBoQ[[#This Row],[Unit]],"")</f>
        <v/>
      </c>
      <c r="D449" s="322">
        <f>IFERROR(MaterialsBoQ[[#This Row],[Number]],0)</f>
        <v>0</v>
      </c>
      <c r="E449" s="322">
        <f>IFERROR(MaterialsBoQ[[#This Row],[Kg per unit]],0)</f>
        <v>0</v>
      </c>
      <c r="F449" s="322">
        <f>IFERROR(Calculations[[#This Row],[Number]]*Calculations[[#This Row],[Conversion factor]],0)</f>
        <v>0</v>
      </c>
      <c r="G449" s="322">
        <f>IFERROR(VLOOKUP(Calculations[[#This Row],[Material (choose from dropdown]],MaterialData[#All],7,FALSE),0)</f>
        <v>0</v>
      </c>
      <c r="H449" s="322">
        <f>Calculations[[#This Row],[Total Kg]]*Calculations[[#This Row],[Carbon Factor]]</f>
        <v>0</v>
      </c>
      <c r="I449" t="str">
        <f>IFERROR(VLOOKUP(Calculations[[#This Row],[Material (choose from dropdown]],MaterialData[#All],2,FALSE),"")</f>
        <v/>
      </c>
      <c r="J449" s="322">
        <f>IFERROR(((VLOOKUP(Calculations[[#This Row],[TransportSource]],TransportDistance[],2,FALSE)*'Stage assumptions'!$C$11)+VLOOKUP(Calculations[[#This Row],[TransportSource]],TransportDistance[],3,FALSE)*'Stage assumptions'!$C$12)*Calculations[[#This Row],[Total Kg]],0)</f>
        <v>0</v>
      </c>
      <c r="K449">
        <f>IFERROR(VLOOKUP(Calculations[[#This Row],[Material (choose from dropdown]], MaterialData[#All],3, FALSE),0)</f>
        <v>0</v>
      </c>
      <c r="L449" s="322">
        <f>IFERROR(VLOOKUP(Calculations[[#This Row],[A5type]],A5WastageRate[#All],2,FALSE)*Calculations[[#This Row],[A1-3]],0)</f>
        <v>0</v>
      </c>
      <c r="N449">
        <f>IFERROR(ROUNDUP(50/VLOOKUP(Calculations[[#This Row],[Scope Element]],B4referenceServiceLife[[Tier 2 element]:[Default Service Life]],2, FALSE)-1,0),0)</f>
        <v>0</v>
      </c>
      <c r="O449" s="322">
        <f>IFERROR((Calculations[[#This Row],[A1-3]]+Calculations[[#This Row],[A4]]+Calculations[[#This Row],[A5]]+Calculations[[#This Row],[C2 total]]+Calculations[[#This Row],[C3 total]]+Calculations[[#This Row],[C4 total]])*Calculations[[#This Row],[Replacements]],0)</f>
        <v>0</v>
      </c>
      <c r="S449" t="str">
        <f>IFERROR(VLOOKUP(Calculations[[#This Row],[Material (choose from dropdown]],MaterialData[#All],4,FALSE),"")</f>
        <v/>
      </c>
      <c r="T449" s="322" cm="1">
        <f t="array" ref="T449">IFERROR(VLOOKUP(Calculations[[#This Row],[Waste 1]],WasteScenario[#All],2,FALSE)*'Stage assumptions'!$C$225*WasteTransportMethod[Emissions Factor
kgCO2e/kg.km]*Calculations[[#This Row],[Total Kg]],0)</f>
        <v>0</v>
      </c>
      <c r="U449" s="322" cm="1">
        <f t="array" ref="U449">IFERROR(VLOOKUP(Calculations[[#This Row],[Waste 1]],WasteScenario[#All],3,FALSE)*'Stage assumptions'!$C$224*WasteTransportMethod[Emissions Factor
kgCO2e/kg.km]*Calculations[[#This Row],[Total Kg]],0)</f>
        <v>0</v>
      </c>
      <c r="V449" s="322" cm="1">
        <f t="array" ref="V449">IFERROR(VLOOKUP(Calculations[[#This Row],[Waste 1]],WasteScenario[#All],4,FALSE)*'Stage assumptions'!$C$223*WasteTransportMethod[Emissions Factor
kgCO2e/kg.km]*Calculations[[#This Row],[Total Kg]],0)</f>
        <v>0</v>
      </c>
      <c r="W449" s="322" cm="1">
        <f t="array" ref="W449">IFERROR(VLOOKUP(Calculations[[#This Row],[Waste 1]],WasteScenario[#All],5,FALSE)*'Stage assumptions'!$C$226*WasteTransportMethod[Emissions Factor
kgCO2e/kg.km]*Calculations[[#This Row],[Total Kg]],0)</f>
        <v>0</v>
      </c>
      <c r="X449" s="322">
        <f>SUM(Calculations[[#This Row],[C2 Recycle]:[C2 Reuse]])</f>
        <v>0</v>
      </c>
      <c r="Y449" t="str">
        <f>IFERROR(VLOOKUP(Calculations[[#This Row],[Material (choose from dropdown]],MaterialData[#All],5,FALSE),"")</f>
        <v/>
      </c>
      <c r="Z449" s="322">
        <f>IFERROR(((VLOOKUP(Calculations[[#This Row],[Waste type 2]],WasteDisposalEmissions[#All],2,FALSE))*Calculations[[#This Row],[Total Kg]])*VLOOKUP(Calculations[[#This Row],[Waste 1]],WasteScenario[#All],2,FALSE),0)</f>
        <v>0</v>
      </c>
      <c r="AA449" s="322">
        <f>IFERROR((VLOOKUP(Calculations[[#This Row],[Waste type 2]],WasteDisposalEmissions[#All],3,FALSE))*Calculations[[#This Row],[Total Kg]]*VLOOKUP(Calculations[[#This Row],[Waste 1]],WasteScenario[#All],3,FALSE),0)</f>
        <v>0</v>
      </c>
      <c r="AB449" s="322">
        <f>SUM(Calculations[[#This Row],[C3 recyc]:[C3 incin]])</f>
        <v>0</v>
      </c>
      <c r="AC449" s="334">
        <f>IFERROR((VLOOKUP(Calculations[[#This Row],[Waste type 2]],WasteLandfillEmissions[#All],2,FALSE))*Calculations[[#This Row],[Total Kg]]*VLOOKUP(Calculations[[#This Row],[Waste 1]],WasteScenario[#All],4,FALSE),0)</f>
        <v>0</v>
      </c>
      <c r="AD449" s="322">
        <f>IFERROR((VLOOKUP(Calculations[[#This Row],[Waste type 2]],WasteLandfillEmissions[#All],3,FALSE))*Calculations[[#This Row],[Total Kg]]*VLOOKUP(Calculations[[#This Row],[Waste 1]],WasteScenario[#All],4,FALSE),0)</f>
        <v>0</v>
      </c>
      <c r="AE449" s="322">
        <f>SUM(Calculations[[#This Row],[C4 landfill]:[C4 re-use]])</f>
        <v>0</v>
      </c>
      <c r="AF449" s="322">
        <f>IFERROR(VLOOKUP(Calculations[[#This Row],[Material (choose from dropdown]],MaterialData[#All],8,FALSE),0)</f>
        <v>0</v>
      </c>
      <c r="AG449" s="322">
        <f>IFERROR(Calculations[[#This Row],[Total Kg]]*Calculations[[#This Row],[Seq factor]],0)</f>
        <v>0</v>
      </c>
      <c r="AI449" s="322">
        <f>Calculations[[#This Row],[A1-3]]+Calculations[[#This Row],[A4]]+Calculations[[#This Row],[A5]]+Calculations[[#This Row],[B4]]+Calculations[[#This Row],[C2 total]]+Calculations[[#This Row],[C3 total]]+Calculations[[#This Row],[C4 total]]</f>
        <v>0</v>
      </c>
      <c r="AJ449" s="2">
        <f>IFERROR(VLOOKUP(Calculations[[#This Row],[Material (choose from dropdown]],MaterialData[[#Headers],[#Data]],9,FALSE),0)</f>
        <v>0</v>
      </c>
      <c r="AK449" s="4">
        <f>IFERROR(VLOOKUP(Calculations[[#This Row],[Material (choose from dropdown]],MaterialData[[#Headers],[#Data]],10,FALSE),0)</f>
        <v>0</v>
      </c>
      <c r="AL449" s="322">
        <f>IFERROR(Calculations[[#This Row],[Data Quality Score]]*Calculations[[#This Row],[Total Kg]],0)</f>
        <v>0</v>
      </c>
    </row>
    <row r="450" spans="1:38" x14ac:dyDescent="0.3">
      <c r="A450" s="6">
        <f>IFERROR(MaterialsBoQ[[#This Row],[Scope Element]],0)</f>
        <v>0</v>
      </c>
      <c r="B450" t="str">
        <f>IFERROR(MaterialsBoQ[[#This Row],[Material ]],"")</f>
        <v/>
      </c>
      <c r="C450" t="str">
        <f>IFERROR(MaterialsBoQ[[#This Row],[Unit]],"")</f>
        <v/>
      </c>
      <c r="D450" s="322">
        <f>IFERROR(MaterialsBoQ[[#This Row],[Number]],0)</f>
        <v>0</v>
      </c>
      <c r="E450" s="322">
        <f>IFERROR(MaterialsBoQ[[#This Row],[Kg per unit]],0)</f>
        <v>0</v>
      </c>
      <c r="F450" s="322">
        <f>IFERROR(Calculations[[#This Row],[Number]]*Calculations[[#This Row],[Conversion factor]],0)</f>
        <v>0</v>
      </c>
      <c r="G450" s="322">
        <f>IFERROR(VLOOKUP(Calculations[[#This Row],[Material (choose from dropdown]],MaterialData[#All],7,FALSE),0)</f>
        <v>0</v>
      </c>
      <c r="H450" s="322">
        <f>Calculations[[#This Row],[Total Kg]]*Calculations[[#This Row],[Carbon Factor]]</f>
        <v>0</v>
      </c>
      <c r="I450" t="str">
        <f>IFERROR(VLOOKUP(Calculations[[#This Row],[Material (choose from dropdown]],MaterialData[#All],2,FALSE),"")</f>
        <v/>
      </c>
      <c r="J450" s="322">
        <f>IFERROR(((VLOOKUP(Calculations[[#This Row],[TransportSource]],TransportDistance[],2,FALSE)*'Stage assumptions'!$C$11)+VLOOKUP(Calculations[[#This Row],[TransportSource]],TransportDistance[],3,FALSE)*'Stage assumptions'!$C$12)*Calculations[[#This Row],[Total Kg]],0)</f>
        <v>0</v>
      </c>
      <c r="K450">
        <f>IFERROR(VLOOKUP(Calculations[[#This Row],[Material (choose from dropdown]], MaterialData[#All],3, FALSE),0)</f>
        <v>0</v>
      </c>
      <c r="L450" s="322">
        <f>IFERROR(VLOOKUP(Calculations[[#This Row],[A5type]],A5WastageRate[#All],2,FALSE)*Calculations[[#This Row],[A1-3]],0)</f>
        <v>0</v>
      </c>
      <c r="N450">
        <f>IFERROR(ROUNDUP(50/VLOOKUP(Calculations[[#This Row],[Scope Element]],B4referenceServiceLife[[Tier 2 element]:[Default Service Life]],2, FALSE)-1,0),0)</f>
        <v>0</v>
      </c>
      <c r="O450" s="322">
        <f>IFERROR((Calculations[[#This Row],[A1-3]]+Calculations[[#This Row],[A4]]+Calculations[[#This Row],[A5]]+Calculations[[#This Row],[C2 total]]+Calculations[[#This Row],[C3 total]]+Calculations[[#This Row],[C4 total]])*Calculations[[#This Row],[Replacements]],0)</f>
        <v>0</v>
      </c>
      <c r="S450" t="str">
        <f>IFERROR(VLOOKUP(Calculations[[#This Row],[Material (choose from dropdown]],MaterialData[#All],4,FALSE),"")</f>
        <v/>
      </c>
      <c r="T450" s="322" cm="1">
        <f t="array" ref="T450">IFERROR(VLOOKUP(Calculations[[#This Row],[Waste 1]],WasteScenario[#All],2,FALSE)*'Stage assumptions'!$C$225*WasteTransportMethod[Emissions Factor
kgCO2e/kg.km]*Calculations[[#This Row],[Total Kg]],0)</f>
        <v>0</v>
      </c>
      <c r="U450" s="322" cm="1">
        <f t="array" ref="U450">IFERROR(VLOOKUP(Calculations[[#This Row],[Waste 1]],WasteScenario[#All],3,FALSE)*'Stage assumptions'!$C$224*WasteTransportMethod[Emissions Factor
kgCO2e/kg.km]*Calculations[[#This Row],[Total Kg]],0)</f>
        <v>0</v>
      </c>
      <c r="V450" s="322" cm="1">
        <f t="array" ref="V450">IFERROR(VLOOKUP(Calculations[[#This Row],[Waste 1]],WasteScenario[#All],4,FALSE)*'Stage assumptions'!$C$223*WasteTransportMethod[Emissions Factor
kgCO2e/kg.km]*Calculations[[#This Row],[Total Kg]],0)</f>
        <v>0</v>
      </c>
      <c r="W450" s="322" cm="1">
        <f t="array" ref="W450">IFERROR(VLOOKUP(Calculations[[#This Row],[Waste 1]],WasteScenario[#All],5,FALSE)*'Stage assumptions'!$C$226*WasteTransportMethod[Emissions Factor
kgCO2e/kg.km]*Calculations[[#This Row],[Total Kg]],0)</f>
        <v>0</v>
      </c>
      <c r="X450" s="322">
        <f>SUM(Calculations[[#This Row],[C2 Recycle]:[C2 Reuse]])</f>
        <v>0</v>
      </c>
      <c r="Y450" t="str">
        <f>IFERROR(VLOOKUP(Calculations[[#This Row],[Material (choose from dropdown]],MaterialData[#All],5,FALSE),"")</f>
        <v/>
      </c>
      <c r="Z450" s="322">
        <f>IFERROR(((VLOOKUP(Calculations[[#This Row],[Waste type 2]],WasteDisposalEmissions[#All],2,FALSE))*Calculations[[#This Row],[Total Kg]])*VLOOKUP(Calculations[[#This Row],[Waste 1]],WasteScenario[#All],2,FALSE),0)</f>
        <v>0</v>
      </c>
      <c r="AA450" s="322">
        <f>IFERROR((VLOOKUP(Calculations[[#This Row],[Waste type 2]],WasteDisposalEmissions[#All],3,FALSE))*Calculations[[#This Row],[Total Kg]]*VLOOKUP(Calculations[[#This Row],[Waste 1]],WasteScenario[#All],3,FALSE),0)</f>
        <v>0</v>
      </c>
      <c r="AB450" s="322">
        <f>SUM(Calculations[[#This Row],[C3 recyc]:[C3 incin]])</f>
        <v>0</v>
      </c>
      <c r="AC450" s="334">
        <f>IFERROR((VLOOKUP(Calculations[[#This Row],[Waste type 2]],WasteLandfillEmissions[#All],2,FALSE))*Calculations[[#This Row],[Total Kg]]*VLOOKUP(Calculations[[#This Row],[Waste 1]],WasteScenario[#All],4,FALSE),0)</f>
        <v>0</v>
      </c>
      <c r="AD450" s="322">
        <f>IFERROR((VLOOKUP(Calculations[[#This Row],[Waste type 2]],WasteLandfillEmissions[#All],3,FALSE))*Calculations[[#This Row],[Total Kg]]*VLOOKUP(Calculations[[#This Row],[Waste 1]],WasteScenario[#All],4,FALSE),0)</f>
        <v>0</v>
      </c>
      <c r="AE450" s="322">
        <f>SUM(Calculations[[#This Row],[C4 landfill]:[C4 re-use]])</f>
        <v>0</v>
      </c>
      <c r="AF450" s="322">
        <f>IFERROR(VLOOKUP(Calculations[[#This Row],[Material (choose from dropdown]],MaterialData[#All],8,FALSE),0)</f>
        <v>0</v>
      </c>
      <c r="AG450" s="322">
        <f>IFERROR(Calculations[[#This Row],[Total Kg]]*Calculations[[#This Row],[Seq factor]],0)</f>
        <v>0</v>
      </c>
      <c r="AI450" s="322">
        <f>Calculations[[#This Row],[A1-3]]+Calculations[[#This Row],[A4]]+Calculations[[#This Row],[A5]]+Calculations[[#This Row],[B4]]+Calculations[[#This Row],[C2 total]]+Calculations[[#This Row],[C3 total]]+Calculations[[#This Row],[C4 total]]</f>
        <v>0</v>
      </c>
      <c r="AJ450" s="2">
        <f>IFERROR(VLOOKUP(Calculations[[#This Row],[Material (choose from dropdown]],MaterialData[[#Headers],[#Data]],9,FALSE),0)</f>
        <v>0</v>
      </c>
      <c r="AK450" s="4">
        <f>IFERROR(VLOOKUP(Calculations[[#This Row],[Material (choose from dropdown]],MaterialData[[#Headers],[#Data]],10,FALSE),0)</f>
        <v>0</v>
      </c>
      <c r="AL450" s="322">
        <f>IFERROR(Calculations[[#This Row],[Data Quality Score]]*Calculations[[#This Row],[Total Kg]],0)</f>
        <v>0</v>
      </c>
    </row>
    <row r="451" spans="1:38" x14ac:dyDescent="0.3">
      <c r="A451" s="6">
        <f>IFERROR(MaterialsBoQ[[#This Row],[Scope Element]],0)</f>
        <v>0</v>
      </c>
      <c r="B451" t="str">
        <f>IFERROR(MaterialsBoQ[[#This Row],[Material ]],"")</f>
        <v/>
      </c>
      <c r="C451" t="str">
        <f>IFERROR(MaterialsBoQ[[#This Row],[Unit]],"")</f>
        <v/>
      </c>
      <c r="D451" s="322">
        <f>IFERROR(MaterialsBoQ[[#This Row],[Number]],0)</f>
        <v>0</v>
      </c>
      <c r="E451" s="322">
        <f>IFERROR(MaterialsBoQ[[#This Row],[Kg per unit]],0)</f>
        <v>0</v>
      </c>
      <c r="F451" s="322">
        <f>IFERROR(Calculations[[#This Row],[Number]]*Calculations[[#This Row],[Conversion factor]],0)</f>
        <v>0</v>
      </c>
      <c r="G451" s="322">
        <f>IFERROR(VLOOKUP(Calculations[[#This Row],[Material (choose from dropdown]],MaterialData[#All],7,FALSE),0)</f>
        <v>0</v>
      </c>
      <c r="H451" s="322">
        <f>Calculations[[#This Row],[Total Kg]]*Calculations[[#This Row],[Carbon Factor]]</f>
        <v>0</v>
      </c>
      <c r="I451" t="str">
        <f>IFERROR(VLOOKUP(Calculations[[#This Row],[Material (choose from dropdown]],MaterialData[#All],2,FALSE),"")</f>
        <v/>
      </c>
      <c r="J451" s="322">
        <f>IFERROR(((VLOOKUP(Calculations[[#This Row],[TransportSource]],TransportDistance[],2,FALSE)*'Stage assumptions'!$C$11)+VLOOKUP(Calculations[[#This Row],[TransportSource]],TransportDistance[],3,FALSE)*'Stage assumptions'!$C$12)*Calculations[[#This Row],[Total Kg]],0)</f>
        <v>0</v>
      </c>
      <c r="K451">
        <f>IFERROR(VLOOKUP(Calculations[[#This Row],[Material (choose from dropdown]], MaterialData[#All],3, FALSE),0)</f>
        <v>0</v>
      </c>
      <c r="L451" s="322">
        <f>IFERROR(VLOOKUP(Calculations[[#This Row],[A5type]],A5WastageRate[#All],2,FALSE)*Calculations[[#This Row],[A1-3]],0)</f>
        <v>0</v>
      </c>
      <c r="N451">
        <f>IFERROR(ROUNDUP(50/VLOOKUP(Calculations[[#This Row],[Scope Element]],B4referenceServiceLife[[Tier 2 element]:[Default Service Life]],2, FALSE)-1,0),0)</f>
        <v>0</v>
      </c>
      <c r="O451" s="322">
        <f>IFERROR((Calculations[[#This Row],[A1-3]]+Calculations[[#This Row],[A4]]+Calculations[[#This Row],[A5]]+Calculations[[#This Row],[C2 total]]+Calculations[[#This Row],[C3 total]]+Calculations[[#This Row],[C4 total]])*Calculations[[#This Row],[Replacements]],0)</f>
        <v>0</v>
      </c>
      <c r="S451" t="str">
        <f>IFERROR(VLOOKUP(Calculations[[#This Row],[Material (choose from dropdown]],MaterialData[#All],4,FALSE),"")</f>
        <v/>
      </c>
      <c r="T451" s="322" cm="1">
        <f t="array" ref="T451">IFERROR(VLOOKUP(Calculations[[#This Row],[Waste 1]],WasteScenario[#All],2,FALSE)*'Stage assumptions'!$C$225*WasteTransportMethod[Emissions Factor
kgCO2e/kg.km]*Calculations[[#This Row],[Total Kg]],0)</f>
        <v>0</v>
      </c>
      <c r="U451" s="322" cm="1">
        <f t="array" ref="U451">IFERROR(VLOOKUP(Calculations[[#This Row],[Waste 1]],WasteScenario[#All],3,FALSE)*'Stage assumptions'!$C$224*WasteTransportMethod[Emissions Factor
kgCO2e/kg.km]*Calculations[[#This Row],[Total Kg]],0)</f>
        <v>0</v>
      </c>
      <c r="V451" s="322" cm="1">
        <f t="array" ref="V451">IFERROR(VLOOKUP(Calculations[[#This Row],[Waste 1]],WasteScenario[#All],4,FALSE)*'Stage assumptions'!$C$223*WasteTransportMethod[Emissions Factor
kgCO2e/kg.km]*Calculations[[#This Row],[Total Kg]],0)</f>
        <v>0</v>
      </c>
      <c r="W451" s="322" cm="1">
        <f t="array" ref="W451">IFERROR(VLOOKUP(Calculations[[#This Row],[Waste 1]],WasteScenario[#All],5,FALSE)*'Stage assumptions'!$C$226*WasteTransportMethod[Emissions Factor
kgCO2e/kg.km]*Calculations[[#This Row],[Total Kg]],0)</f>
        <v>0</v>
      </c>
      <c r="X451" s="322">
        <f>SUM(Calculations[[#This Row],[C2 Recycle]:[C2 Reuse]])</f>
        <v>0</v>
      </c>
      <c r="Y451" t="str">
        <f>IFERROR(VLOOKUP(Calculations[[#This Row],[Material (choose from dropdown]],MaterialData[#All],5,FALSE),"")</f>
        <v/>
      </c>
      <c r="Z451" s="322">
        <f>IFERROR(((VLOOKUP(Calculations[[#This Row],[Waste type 2]],WasteDisposalEmissions[#All],2,FALSE))*Calculations[[#This Row],[Total Kg]])*VLOOKUP(Calculations[[#This Row],[Waste 1]],WasteScenario[#All],2,FALSE),0)</f>
        <v>0</v>
      </c>
      <c r="AA451" s="322">
        <f>IFERROR((VLOOKUP(Calculations[[#This Row],[Waste type 2]],WasteDisposalEmissions[#All],3,FALSE))*Calculations[[#This Row],[Total Kg]]*VLOOKUP(Calculations[[#This Row],[Waste 1]],WasteScenario[#All],3,FALSE),0)</f>
        <v>0</v>
      </c>
      <c r="AB451" s="322">
        <f>SUM(Calculations[[#This Row],[C3 recyc]:[C3 incin]])</f>
        <v>0</v>
      </c>
      <c r="AC451" s="334">
        <f>IFERROR((VLOOKUP(Calculations[[#This Row],[Waste type 2]],WasteLandfillEmissions[#All],2,FALSE))*Calculations[[#This Row],[Total Kg]]*VLOOKUP(Calculations[[#This Row],[Waste 1]],WasteScenario[#All],4,FALSE),0)</f>
        <v>0</v>
      </c>
      <c r="AD451" s="322">
        <f>IFERROR((VLOOKUP(Calculations[[#This Row],[Waste type 2]],WasteLandfillEmissions[#All],3,FALSE))*Calculations[[#This Row],[Total Kg]]*VLOOKUP(Calculations[[#This Row],[Waste 1]],WasteScenario[#All],4,FALSE),0)</f>
        <v>0</v>
      </c>
      <c r="AE451" s="322">
        <f>SUM(Calculations[[#This Row],[C4 landfill]:[C4 re-use]])</f>
        <v>0</v>
      </c>
      <c r="AF451" s="322">
        <f>IFERROR(VLOOKUP(Calculations[[#This Row],[Material (choose from dropdown]],MaterialData[#All],8,FALSE),0)</f>
        <v>0</v>
      </c>
      <c r="AG451" s="322">
        <f>IFERROR(Calculations[[#This Row],[Total Kg]]*Calculations[[#This Row],[Seq factor]],0)</f>
        <v>0</v>
      </c>
      <c r="AI451" s="322">
        <f>Calculations[[#This Row],[A1-3]]+Calculations[[#This Row],[A4]]+Calculations[[#This Row],[A5]]+Calculations[[#This Row],[B4]]+Calculations[[#This Row],[C2 total]]+Calculations[[#This Row],[C3 total]]+Calculations[[#This Row],[C4 total]]</f>
        <v>0</v>
      </c>
      <c r="AJ451" s="2">
        <f>IFERROR(VLOOKUP(Calculations[[#This Row],[Material (choose from dropdown]],MaterialData[[#Headers],[#Data]],9,FALSE),0)</f>
        <v>0</v>
      </c>
      <c r="AK451" s="4">
        <f>IFERROR(VLOOKUP(Calculations[[#This Row],[Material (choose from dropdown]],MaterialData[[#Headers],[#Data]],10,FALSE),0)</f>
        <v>0</v>
      </c>
      <c r="AL451" s="322">
        <f>IFERROR(Calculations[[#This Row],[Data Quality Score]]*Calculations[[#This Row],[Total Kg]],0)</f>
        <v>0</v>
      </c>
    </row>
    <row r="452" spans="1:38" x14ac:dyDescent="0.3">
      <c r="A452" s="6">
        <f>IFERROR(MaterialsBoQ[[#This Row],[Scope Element]],0)</f>
        <v>0</v>
      </c>
      <c r="B452" t="str">
        <f>IFERROR(MaterialsBoQ[[#This Row],[Material ]],"")</f>
        <v/>
      </c>
      <c r="C452" t="str">
        <f>IFERROR(MaterialsBoQ[[#This Row],[Unit]],"")</f>
        <v/>
      </c>
      <c r="D452" s="322">
        <f>IFERROR(MaterialsBoQ[[#This Row],[Number]],0)</f>
        <v>0</v>
      </c>
      <c r="E452" s="322">
        <f>IFERROR(MaterialsBoQ[[#This Row],[Kg per unit]],0)</f>
        <v>0</v>
      </c>
      <c r="F452" s="322">
        <f>IFERROR(Calculations[[#This Row],[Number]]*Calculations[[#This Row],[Conversion factor]],0)</f>
        <v>0</v>
      </c>
      <c r="G452" s="322">
        <f>IFERROR(VLOOKUP(Calculations[[#This Row],[Material (choose from dropdown]],MaterialData[#All],7,FALSE),0)</f>
        <v>0</v>
      </c>
      <c r="H452" s="322">
        <f>Calculations[[#This Row],[Total Kg]]*Calculations[[#This Row],[Carbon Factor]]</f>
        <v>0</v>
      </c>
      <c r="I452" t="str">
        <f>IFERROR(VLOOKUP(Calculations[[#This Row],[Material (choose from dropdown]],MaterialData[#All],2,FALSE),"")</f>
        <v/>
      </c>
      <c r="J452" s="322">
        <f>IFERROR(((VLOOKUP(Calculations[[#This Row],[TransportSource]],TransportDistance[],2,FALSE)*'Stage assumptions'!$C$11)+VLOOKUP(Calculations[[#This Row],[TransportSource]],TransportDistance[],3,FALSE)*'Stage assumptions'!$C$12)*Calculations[[#This Row],[Total Kg]],0)</f>
        <v>0</v>
      </c>
      <c r="K452">
        <f>IFERROR(VLOOKUP(Calculations[[#This Row],[Material (choose from dropdown]], MaterialData[#All],3, FALSE),0)</f>
        <v>0</v>
      </c>
      <c r="L452" s="322">
        <f>IFERROR(VLOOKUP(Calculations[[#This Row],[A5type]],A5WastageRate[#All],2,FALSE)*Calculations[[#This Row],[A1-3]],0)</f>
        <v>0</v>
      </c>
      <c r="N452">
        <f>IFERROR(ROUNDUP(50/VLOOKUP(Calculations[[#This Row],[Scope Element]],B4referenceServiceLife[[Tier 2 element]:[Default Service Life]],2, FALSE)-1,0),0)</f>
        <v>0</v>
      </c>
      <c r="O452" s="322">
        <f>IFERROR((Calculations[[#This Row],[A1-3]]+Calculations[[#This Row],[A4]]+Calculations[[#This Row],[A5]]+Calculations[[#This Row],[C2 total]]+Calculations[[#This Row],[C3 total]]+Calculations[[#This Row],[C4 total]])*Calculations[[#This Row],[Replacements]],0)</f>
        <v>0</v>
      </c>
      <c r="S452" t="str">
        <f>IFERROR(VLOOKUP(Calculations[[#This Row],[Material (choose from dropdown]],MaterialData[#All],4,FALSE),"")</f>
        <v/>
      </c>
      <c r="T452" s="322" cm="1">
        <f t="array" ref="T452">IFERROR(VLOOKUP(Calculations[[#This Row],[Waste 1]],WasteScenario[#All],2,FALSE)*'Stage assumptions'!$C$225*WasteTransportMethod[Emissions Factor
kgCO2e/kg.km]*Calculations[[#This Row],[Total Kg]],0)</f>
        <v>0</v>
      </c>
      <c r="U452" s="322" cm="1">
        <f t="array" ref="U452">IFERROR(VLOOKUP(Calculations[[#This Row],[Waste 1]],WasteScenario[#All],3,FALSE)*'Stage assumptions'!$C$224*WasteTransportMethod[Emissions Factor
kgCO2e/kg.km]*Calculations[[#This Row],[Total Kg]],0)</f>
        <v>0</v>
      </c>
      <c r="V452" s="322" cm="1">
        <f t="array" ref="V452">IFERROR(VLOOKUP(Calculations[[#This Row],[Waste 1]],WasteScenario[#All],4,FALSE)*'Stage assumptions'!$C$223*WasteTransportMethod[Emissions Factor
kgCO2e/kg.km]*Calculations[[#This Row],[Total Kg]],0)</f>
        <v>0</v>
      </c>
      <c r="W452" s="322" cm="1">
        <f t="array" ref="W452">IFERROR(VLOOKUP(Calculations[[#This Row],[Waste 1]],WasteScenario[#All],5,FALSE)*'Stage assumptions'!$C$226*WasteTransportMethod[Emissions Factor
kgCO2e/kg.km]*Calculations[[#This Row],[Total Kg]],0)</f>
        <v>0</v>
      </c>
      <c r="X452" s="322">
        <f>SUM(Calculations[[#This Row],[C2 Recycle]:[C2 Reuse]])</f>
        <v>0</v>
      </c>
      <c r="Y452" t="str">
        <f>IFERROR(VLOOKUP(Calculations[[#This Row],[Material (choose from dropdown]],MaterialData[#All],5,FALSE),"")</f>
        <v/>
      </c>
      <c r="Z452" s="322">
        <f>IFERROR(((VLOOKUP(Calculations[[#This Row],[Waste type 2]],WasteDisposalEmissions[#All],2,FALSE))*Calculations[[#This Row],[Total Kg]])*VLOOKUP(Calculations[[#This Row],[Waste 1]],WasteScenario[#All],2,FALSE),0)</f>
        <v>0</v>
      </c>
      <c r="AA452" s="322">
        <f>IFERROR((VLOOKUP(Calculations[[#This Row],[Waste type 2]],WasteDisposalEmissions[#All],3,FALSE))*Calculations[[#This Row],[Total Kg]]*VLOOKUP(Calculations[[#This Row],[Waste 1]],WasteScenario[#All],3,FALSE),0)</f>
        <v>0</v>
      </c>
      <c r="AB452" s="322">
        <f>SUM(Calculations[[#This Row],[C3 recyc]:[C3 incin]])</f>
        <v>0</v>
      </c>
      <c r="AC452" s="334">
        <f>IFERROR((VLOOKUP(Calculations[[#This Row],[Waste type 2]],WasteLandfillEmissions[#All],2,FALSE))*Calculations[[#This Row],[Total Kg]]*VLOOKUP(Calculations[[#This Row],[Waste 1]],WasteScenario[#All],4,FALSE),0)</f>
        <v>0</v>
      </c>
      <c r="AD452" s="322">
        <f>IFERROR((VLOOKUP(Calculations[[#This Row],[Waste type 2]],WasteLandfillEmissions[#All],3,FALSE))*Calculations[[#This Row],[Total Kg]]*VLOOKUP(Calculations[[#This Row],[Waste 1]],WasteScenario[#All],4,FALSE),0)</f>
        <v>0</v>
      </c>
      <c r="AE452" s="322">
        <f>SUM(Calculations[[#This Row],[C4 landfill]:[C4 re-use]])</f>
        <v>0</v>
      </c>
      <c r="AF452" s="322">
        <f>IFERROR(VLOOKUP(Calculations[[#This Row],[Material (choose from dropdown]],MaterialData[#All],8,FALSE),0)</f>
        <v>0</v>
      </c>
      <c r="AG452" s="322">
        <f>IFERROR(Calculations[[#This Row],[Total Kg]]*Calculations[[#This Row],[Seq factor]],0)</f>
        <v>0</v>
      </c>
      <c r="AI452" s="322">
        <f>Calculations[[#This Row],[A1-3]]+Calculations[[#This Row],[A4]]+Calculations[[#This Row],[A5]]+Calculations[[#This Row],[B4]]+Calculations[[#This Row],[C2 total]]+Calculations[[#This Row],[C3 total]]+Calculations[[#This Row],[C4 total]]</f>
        <v>0</v>
      </c>
      <c r="AJ452" s="2">
        <f>IFERROR(VLOOKUP(Calculations[[#This Row],[Material (choose from dropdown]],MaterialData[[#Headers],[#Data]],9,FALSE),0)</f>
        <v>0</v>
      </c>
      <c r="AK452" s="4">
        <f>IFERROR(VLOOKUP(Calculations[[#This Row],[Material (choose from dropdown]],MaterialData[[#Headers],[#Data]],10,FALSE),0)</f>
        <v>0</v>
      </c>
      <c r="AL452" s="322">
        <f>IFERROR(Calculations[[#This Row],[Data Quality Score]]*Calculations[[#This Row],[Total Kg]],0)</f>
        <v>0</v>
      </c>
    </row>
    <row r="453" spans="1:38" x14ac:dyDescent="0.3">
      <c r="A453" s="6">
        <f>IFERROR(MaterialsBoQ[[#This Row],[Scope Element]],0)</f>
        <v>0</v>
      </c>
      <c r="B453" t="str">
        <f>IFERROR(MaterialsBoQ[[#This Row],[Material ]],"")</f>
        <v/>
      </c>
      <c r="C453" t="str">
        <f>IFERROR(MaterialsBoQ[[#This Row],[Unit]],"")</f>
        <v/>
      </c>
      <c r="D453" s="322">
        <f>IFERROR(MaterialsBoQ[[#This Row],[Number]],0)</f>
        <v>0</v>
      </c>
      <c r="E453" s="322">
        <f>IFERROR(MaterialsBoQ[[#This Row],[Kg per unit]],0)</f>
        <v>0</v>
      </c>
      <c r="F453" s="322">
        <f>IFERROR(Calculations[[#This Row],[Number]]*Calculations[[#This Row],[Conversion factor]],0)</f>
        <v>0</v>
      </c>
      <c r="G453" s="322">
        <f>IFERROR(VLOOKUP(Calculations[[#This Row],[Material (choose from dropdown]],MaterialData[#All],7,FALSE),0)</f>
        <v>0</v>
      </c>
      <c r="H453" s="322">
        <f>Calculations[[#This Row],[Total Kg]]*Calculations[[#This Row],[Carbon Factor]]</f>
        <v>0</v>
      </c>
      <c r="I453" t="str">
        <f>IFERROR(VLOOKUP(Calculations[[#This Row],[Material (choose from dropdown]],MaterialData[#All],2,FALSE),"")</f>
        <v/>
      </c>
      <c r="J453" s="322">
        <f>IFERROR(((VLOOKUP(Calculations[[#This Row],[TransportSource]],TransportDistance[],2,FALSE)*'Stage assumptions'!$C$11)+VLOOKUP(Calculations[[#This Row],[TransportSource]],TransportDistance[],3,FALSE)*'Stage assumptions'!$C$12)*Calculations[[#This Row],[Total Kg]],0)</f>
        <v>0</v>
      </c>
      <c r="K453">
        <f>IFERROR(VLOOKUP(Calculations[[#This Row],[Material (choose from dropdown]], MaterialData[#All],3, FALSE),0)</f>
        <v>0</v>
      </c>
      <c r="L453" s="322">
        <f>IFERROR(VLOOKUP(Calculations[[#This Row],[A5type]],A5WastageRate[#All],2,FALSE)*Calculations[[#This Row],[A1-3]],0)</f>
        <v>0</v>
      </c>
      <c r="N453">
        <f>IFERROR(ROUNDUP(50/VLOOKUP(Calculations[[#This Row],[Scope Element]],B4referenceServiceLife[[Tier 2 element]:[Default Service Life]],2, FALSE)-1,0),0)</f>
        <v>0</v>
      </c>
      <c r="O453" s="322">
        <f>IFERROR((Calculations[[#This Row],[A1-3]]+Calculations[[#This Row],[A4]]+Calculations[[#This Row],[A5]]+Calculations[[#This Row],[C2 total]]+Calculations[[#This Row],[C3 total]]+Calculations[[#This Row],[C4 total]])*Calculations[[#This Row],[Replacements]],0)</f>
        <v>0</v>
      </c>
      <c r="S453" t="str">
        <f>IFERROR(VLOOKUP(Calculations[[#This Row],[Material (choose from dropdown]],MaterialData[#All],4,FALSE),"")</f>
        <v/>
      </c>
      <c r="T453" s="322" cm="1">
        <f t="array" ref="T453">IFERROR(VLOOKUP(Calculations[[#This Row],[Waste 1]],WasteScenario[#All],2,FALSE)*'Stage assumptions'!$C$225*WasteTransportMethod[Emissions Factor
kgCO2e/kg.km]*Calculations[[#This Row],[Total Kg]],0)</f>
        <v>0</v>
      </c>
      <c r="U453" s="322" cm="1">
        <f t="array" ref="U453">IFERROR(VLOOKUP(Calculations[[#This Row],[Waste 1]],WasteScenario[#All],3,FALSE)*'Stage assumptions'!$C$224*WasteTransportMethod[Emissions Factor
kgCO2e/kg.km]*Calculations[[#This Row],[Total Kg]],0)</f>
        <v>0</v>
      </c>
      <c r="V453" s="322" cm="1">
        <f t="array" ref="V453">IFERROR(VLOOKUP(Calculations[[#This Row],[Waste 1]],WasteScenario[#All],4,FALSE)*'Stage assumptions'!$C$223*WasteTransportMethod[Emissions Factor
kgCO2e/kg.km]*Calculations[[#This Row],[Total Kg]],0)</f>
        <v>0</v>
      </c>
      <c r="W453" s="322" cm="1">
        <f t="array" ref="W453">IFERROR(VLOOKUP(Calculations[[#This Row],[Waste 1]],WasteScenario[#All],5,FALSE)*'Stage assumptions'!$C$226*WasteTransportMethod[Emissions Factor
kgCO2e/kg.km]*Calculations[[#This Row],[Total Kg]],0)</f>
        <v>0</v>
      </c>
      <c r="X453" s="322">
        <f>SUM(Calculations[[#This Row],[C2 Recycle]:[C2 Reuse]])</f>
        <v>0</v>
      </c>
      <c r="Y453" t="str">
        <f>IFERROR(VLOOKUP(Calculations[[#This Row],[Material (choose from dropdown]],MaterialData[#All],5,FALSE),"")</f>
        <v/>
      </c>
      <c r="Z453" s="322">
        <f>IFERROR(((VLOOKUP(Calculations[[#This Row],[Waste type 2]],WasteDisposalEmissions[#All],2,FALSE))*Calculations[[#This Row],[Total Kg]])*VLOOKUP(Calculations[[#This Row],[Waste 1]],WasteScenario[#All],2,FALSE),0)</f>
        <v>0</v>
      </c>
      <c r="AA453" s="322">
        <f>IFERROR((VLOOKUP(Calculations[[#This Row],[Waste type 2]],WasteDisposalEmissions[#All],3,FALSE))*Calculations[[#This Row],[Total Kg]]*VLOOKUP(Calculations[[#This Row],[Waste 1]],WasteScenario[#All],3,FALSE),0)</f>
        <v>0</v>
      </c>
      <c r="AB453" s="322">
        <f>SUM(Calculations[[#This Row],[C3 recyc]:[C3 incin]])</f>
        <v>0</v>
      </c>
      <c r="AC453" s="334">
        <f>IFERROR((VLOOKUP(Calculations[[#This Row],[Waste type 2]],WasteLandfillEmissions[#All],2,FALSE))*Calculations[[#This Row],[Total Kg]]*VLOOKUP(Calculations[[#This Row],[Waste 1]],WasteScenario[#All],4,FALSE),0)</f>
        <v>0</v>
      </c>
      <c r="AD453" s="322">
        <f>IFERROR((VLOOKUP(Calculations[[#This Row],[Waste type 2]],WasteLandfillEmissions[#All],3,FALSE))*Calculations[[#This Row],[Total Kg]]*VLOOKUP(Calculations[[#This Row],[Waste 1]],WasteScenario[#All],4,FALSE),0)</f>
        <v>0</v>
      </c>
      <c r="AE453" s="322">
        <f>SUM(Calculations[[#This Row],[C4 landfill]:[C4 re-use]])</f>
        <v>0</v>
      </c>
      <c r="AF453" s="322">
        <f>IFERROR(VLOOKUP(Calculations[[#This Row],[Material (choose from dropdown]],MaterialData[#All],8,FALSE),0)</f>
        <v>0</v>
      </c>
      <c r="AG453" s="322">
        <f>IFERROR(Calculations[[#This Row],[Total Kg]]*Calculations[[#This Row],[Seq factor]],0)</f>
        <v>0</v>
      </c>
      <c r="AI453" s="322">
        <f>Calculations[[#This Row],[A1-3]]+Calculations[[#This Row],[A4]]+Calculations[[#This Row],[A5]]+Calculations[[#This Row],[B4]]+Calculations[[#This Row],[C2 total]]+Calculations[[#This Row],[C3 total]]+Calculations[[#This Row],[C4 total]]</f>
        <v>0</v>
      </c>
      <c r="AJ453" s="2">
        <f>IFERROR(VLOOKUP(Calculations[[#This Row],[Material (choose from dropdown]],MaterialData[[#Headers],[#Data]],9,FALSE),0)</f>
        <v>0</v>
      </c>
      <c r="AK453" s="4">
        <f>IFERROR(VLOOKUP(Calculations[[#This Row],[Material (choose from dropdown]],MaterialData[[#Headers],[#Data]],10,FALSE),0)</f>
        <v>0</v>
      </c>
      <c r="AL453" s="322">
        <f>IFERROR(Calculations[[#This Row],[Data Quality Score]]*Calculations[[#This Row],[Total Kg]],0)</f>
        <v>0</v>
      </c>
    </row>
    <row r="454" spans="1:38" x14ac:dyDescent="0.3">
      <c r="A454" s="6">
        <f>IFERROR(MaterialsBoQ[[#This Row],[Scope Element]],0)</f>
        <v>0</v>
      </c>
      <c r="B454" t="str">
        <f>IFERROR(MaterialsBoQ[[#This Row],[Material ]],"")</f>
        <v/>
      </c>
      <c r="C454" t="str">
        <f>IFERROR(MaterialsBoQ[[#This Row],[Unit]],"")</f>
        <v/>
      </c>
      <c r="D454" s="322">
        <f>IFERROR(MaterialsBoQ[[#This Row],[Number]],0)</f>
        <v>0</v>
      </c>
      <c r="E454" s="322">
        <f>IFERROR(MaterialsBoQ[[#This Row],[Kg per unit]],0)</f>
        <v>0</v>
      </c>
      <c r="F454" s="322">
        <f>IFERROR(Calculations[[#This Row],[Number]]*Calculations[[#This Row],[Conversion factor]],0)</f>
        <v>0</v>
      </c>
      <c r="G454" s="322">
        <f>IFERROR(VLOOKUP(Calculations[[#This Row],[Material (choose from dropdown]],MaterialData[#All],7,FALSE),0)</f>
        <v>0</v>
      </c>
      <c r="H454" s="322">
        <f>Calculations[[#This Row],[Total Kg]]*Calculations[[#This Row],[Carbon Factor]]</f>
        <v>0</v>
      </c>
      <c r="I454" t="str">
        <f>IFERROR(VLOOKUP(Calculations[[#This Row],[Material (choose from dropdown]],MaterialData[#All],2,FALSE),"")</f>
        <v/>
      </c>
      <c r="J454" s="322">
        <f>IFERROR(((VLOOKUP(Calculations[[#This Row],[TransportSource]],TransportDistance[],2,FALSE)*'Stage assumptions'!$C$11)+VLOOKUP(Calculations[[#This Row],[TransportSource]],TransportDistance[],3,FALSE)*'Stage assumptions'!$C$12)*Calculations[[#This Row],[Total Kg]],0)</f>
        <v>0</v>
      </c>
      <c r="K454">
        <f>IFERROR(VLOOKUP(Calculations[[#This Row],[Material (choose from dropdown]], MaterialData[#All],3, FALSE),0)</f>
        <v>0</v>
      </c>
      <c r="L454" s="322">
        <f>IFERROR(VLOOKUP(Calculations[[#This Row],[A5type]],A5WastageRate[#All],2,FALSE)*Calculations[[#This Row],[A1-3]],0)</f>
        <v>0</v>
      </c>
      <c r="N454">
        <f>IFERROR(ROUNDUP(50/VLOOKUP(Calculations[[#This Row],[Scope Element]],B4referenceServiceLife[[Tier 2 element]:[Default Service Life]],2, FALSE)-1,0),0)</f>
        <v>0</v>
      </c>
      <c r="O454" s="322">
        <f>IFERROR((Calculations[[#This Row],[A1-3]]+Calculations[[#This Row],[A4]]+Calculations[[#This Row],[A5]]+Calculations[[#This Row],[C2 total]]+Calculations[[#This Row],[C3 total]]+Calculations[[#This Row],[C4 total]])*Calculations[[#This Row],[Replacements]],0)</f>
        <v>0</v>
      </c>
      <c r="S454" t="str">
        <f>IFERROR(VLOOKUP(Calculations[[#This Row],[Material (choose from dropdown]],MaterialData[#All],4,FALSE),"")</f>
        <v/>
      </c>
      <c r="T454" s="322" cm="1">
        <f t="array" ref="T454">IFERROR(VLOOKUP(Calculations[[#This Row],[Waste 1]],WasteScenario[#All],2,FALSE)*'Stage assumptions'!$C$225*WasteTransportMethod[Emissions Factor
kgCO2e/kg.km]*Calculations[[#This Row],[Total Kg]],0)</f>
        <v>0</v>
      </c>
      <c r="U454" s="322" cm="1">
        <f t="array" ref="U454">IFERROR(VLOOKUP(Calculations[[#This Row],[Waste 1]],WasteScenario[#All],3,FALSE)*'Stage assumptions'!$C$224*WasteTransportMethod[Emissions Factor
kgCO2e/kg.km]*Calculations[[#This Row],[Total Kg]],0)</f>
        <v>0</v>
      </c>
      <c r="V454" s="322" cm="1">
        <f t="array" ref="V454">IFERROR(VLOOKUP(Calculations[[#This Row],[Waste 1]],WasteScenario[#All],4,FALSE)*'Stage assumptions'!$C$223*WasteTransportMethod[Emissions Factor
kgCO2e/kg.km]*Calculations[[#This Row],[Total Kg]],0)</f>
        <v>0</v>
      </c>
      <c r="W454" s="322" cm="1">
        <f t="array" ref="W454">IFERROR(VLOOKUP(Calculations[[#This Row],[Waste 1]],WasteScenario[#All],5,FALSE)*'Stage assumptions'!$C$226*WasteTransportMethod[Emissions Factor
kgCO2e/kg.km]*Calculations[[#This Row],[Total Kg]],0)</f>
        <v>0</v>
      </c>
      <c r="X454" s="322">
        <f>SUM(Calculations[[#This Row],[C2 Recycle]:[C2 Reuse]])</f>
        <v>0</v>
      </c>
      <c r="Y454" t="str">
        <f>IFERROR(VLOOKUP(Calculations[[#This Row],[Material (choose from dropdown]],MaterialData[#All],5,FALSE),"")</f>
        <v/>
      </c>
      <c r="Z454" s="322">
        <f>IFERROR(((VLOOKUP(Calculations[[#This Row],[Waste type 2]],WasteDisposalEmissions[#All],2,FALSE))*Calculations[[#This Row],[Total Kg]])*VLOOKUP(Calculations[[#This Row],[Waste 1]],WasteScenario[#All],2,FALSE),0)</f>
        <v>0</v>
      </c>
      <c r="AA454" s="322">
        <f>IFERROR((VLOOKUP(Calculations[[#This Row],[Waste type 2]],WasteDisposalEmissions[#All],3,FALSE))*Calculations[[#This Row],[Total Kg]]*VLOOKUP(Calculations[[#This Row],[Waste 1]],WasteScenario[#All],3,FALSE),0)</f>
        <v>0</v>
      </c>
      <c r="AB454" s="322">
        <f>SUM(Calculations[[#This Row],[C3 recyc]:[C3 incin]])</f>
        <v>0</v>
      </c>
      <c r="AC454" s="334">
        <f>IFERROR((VLOOKUP(Calculations[[#This Row],[Waste type 2]],WasteLandfillEmissions[#All],2,FALSE))*Calculations[[#This Row],[Total Kg]]*VLOOKUP(Calculations[[#This Row],[Waste 1]],WasteScenario[#All],4,FALSE),0)</f>
        <v>0</v>
      </c>
      <c r="AD454" s="322">
        <f>IFERROR((VLOOKUP(Calculations[[#This Row],[Waste type 2]],WasteLandfillEmissions[#All],3,FALSE))*Calculations[[#This Row],[Total Kg]]*VLOOKUP(Calculations[[#This Row],[Waste 1]],WasteScenario[#All],4,FALSE),0)</f>
        <v>0</v>
      </c>
      <c r="AE454" s="322">
        <f>SUM(Calculations[[#This Row],[C4 landfill]:[C4 re-use]])</f>
        <v>0</v>
      </c>
      <c r="AF454" s="322">
        <f>IFERROR(VLOOKUP(Calculations[[#This Row],[Material (choose from dropdown]],MaterialData[#All],8,FALSE),0)</f>
        <v>0</v>
      </c>
      <c r="AG454" s="322">
        <f>IFERROR(Calculations[[#This Row],[Total Kg]]*Calculations[[#This Row],[Seq factor]],0)</f>
        <v>0</v>
      </c>
      <c r="AI454" s="322">
        <f>Calculations[[#This Row],[A1-3]]+Calculations[[#This Row],[A4]]+Calculations[[#This Row],[A5]]+Calculations[[#This Row],[B4]]+Calculations[[#This Row],[C2 total]]+Calculations[[#This Row],[C3 total]]+Calculations[[#This Row],[C4 total]]</f>
        <v>0</v>
      </c>
      <c r="AJ454" s="2">
        <f>IFERROR(VLOOKUP(Calculations[[#This Row],[Material (choose from dropdown]],MaterialData[[#Headers],[#Data]],9,FALSE),0)</f>
        <v>0</v>
      </c>
      <c r="AK454" s="4">
        <f>IFERROR(VLOOKUP(Calculations[[#This Row],[Material (choose from dropdown]],MaterialData[[#Headers],[#Data]],10,FALSE),0)</f>
        <v>0</v>
      </c>
      <c r="AL454" s="322">
        <f>IFERROR(Calculations[[#This Row],[Data Quality Score]]*Calculations[[#This Row],[Total Kg]],0)</f>
        <v>0</v>
      </c>
    </row>
    <row r="455" spans="1:38" x14ac:dyDescent="0.3">
      <c r="A455" s="6">
        <f>IFERROR(MaterialsBoQ[[#This Row],[Scope Element]],0)</f>
        <v>0</v>
      </c>
      <c r="B455" t="str">
        <f>IFERROR(MaterialsBoQ[[#This Row],[Material ]],"")</f>
        <v/>
      </c>
      <c r="C455" t="str">
        <f>IFERROR(MaterialsBoQ[[#This Row],[Unit]],"")</f>
        <v/>
      </c>
      <c r="D455" s="322">
        <f>IFERROR(MaterialsBoQ[[#This Row],[Number]],0)</f>
        <v>0</v>
      </c>
      <c r="E455" s="322">
        <f>IFERROR(MaterialsBoQ[[#This Row],[Kg per unit]],0)</f>
        <v>0</v>
      </c>
      <c r="F455" s="322">
        <f>IFERROR(Calculations[[#This Row],[Number]]*Calculations[[#This Row],[Conversion factor]],0)</f>
        <v>0</v>
      </c>
      <c r="G455" s="322">
        <f>IFERROR(VLOOKUP(Calculations[[#This Row],[Material (choose from dropdown]],MaterialData[#All],7,FALSE),0)</f>
        <v>0</v>
      </c>
      <c r="H455" s="322">
        <f>Calculations[[#This Row],[Total Kg]]*Calculations[[#This Row],[Carbon Factor]]</f>
        <v>0</v>
      </c>
      <c r="I455" t="str">
        <f>IFERROR(VLOOKUP(Calculations[[#This Row],[Material (choose from dropdown]],MaterialData[#All],2,FALSE),"")</f>
        <v/>
      </c>
      <c r="J455" s="322">
        <f>IFERROR(((VLOOKUP(Calculations[[#This Row],[TransportSource]],TransportDistance[],2,FALSE)*'Stage assumptions'!$C$11)+VLOOKUP(Calculations[[#This Row],[TransportSource]],TransportDistance[],3,FALSE)*'Stage assumptions'!$C$12)*Calculations[[#This Row],[Total Kg]],0)</f>
        <v>0</v>
      </c>
      <c r="K455">
        <f>IFERROR(VLOOKUP(Calculations[[#This Row],[Material (choose from dropdown]], MaterialData[#All],3, FALSE),0)</f>
        <v>0</v>
      </c>
      <c r="L455" s="322">
        <f>IFERROR(VLOOKUP(Calculations[[#This Row],[A5type]],A5WastageRate[#All],2,FALSE)*Calculations[[#This Row],[A1-3]],0)</f>
        <v>0</v>
      </c>
      <c r="N455">
        <f>IFERROR(ROUNDUP(50/VLOOKUP(Calculations[[#This Row],[Scope Element]],B4referenceServiceLife[[Tier 2 element]:[Default Service Life]],2, FALSE)-1,0),0)</f>
        <v>0</v>
      </c>
      <c r="O455" s="322">
        <f>IFERROR((Calculations[[#This Row],[A1-3]]+Calculations[[#This Row],[A4]]+Calculations[[#This Row],[A5]]+Calculations[[#This Row],[C2 total]]+Calculations[[#This Row],[C3 total]]+Calculations[[#This Row],[C4 total]])*Calculations[[#This Row],[Replacements]],0)</f>
        <v>0</v>
      </c>
      <c r="S455" t="str">
        <f>IFERROR(VLOOKUP(Calculations[[#This Row],[Material (choose from dropdown]],MaterialData[#All],4,FALSE),"")</f>
        <v/>
      </c>
      <c r="T455" s="322" cm="1">
        <f t="array" ref="T455">IFERROR(VLOOKUP(Calculations[[#This Row],[Waste 1]],WasteScenario[#All],2,FALSE)*'Stage assumptions'!$C$225*WasteTransportMethod[Emissions Factor
kgCO2e/kg.km]*Calculations[[#This Row],[Total Kg]],0)</f>
        <v>0</v>
      </c>
      <c r="U455" s="322" cm="1">
        <f t="array" ref="U455">IFERROR(VLOOKUP(Calculations[[#This Row],[Waste 1]],WasteScenario[#All],3,FALSE)*'Stage assumptions'!$C$224*WasteTransportMethod[Emissions Factor
kgCO2e/kg.km]*Calculations[[#This Row],[Total Kg]],0)</f>
        <v>0</v>
      </c>
      <c r="V455" s="322" cm="1">
        <f t="array" ref="V455">IFERROR(VLOOKUP(Calculations[[#This Row],[Waste 1]],WasteScenario[#All],4,FALSE)*'Stage assumptions'!$C$223*WasteTransportMethod[Emissions Factor
kgCO2e/kg.km]*Calculations[[#This Row],[Total Kg]],0)</f>
        <v>0</v>
      </c>
      <c r="W455" s="322" cm="1">
        <f t="array" ref="W455">IFERROR(VLOOKUP(Calculations[[#This Row],[Waste 1]],WasteScenario[#All],5,FALSE)*'Stage assumptions'!$C$226*WasteTransportMethod[Emissions Factor
kgCO2e/kg.km]*Calculations[[#This Row],[Total Kg]],0)</f>
        <v>0</v>
      </c>
      <c r="X455" s="322">
        <f>SUM(Calculations[[#This Row],[C2 Recycle]:[C2 Reuse]])</f>
        <v>0</v>
      </c>
      <c r="Y455" t="str">
        <f>IFERROR(VLOOKUP(Calculations[[#This Row],[Material (choose from dropdown]],MaterialData[#All],5,FALSE),"")</f>
        <v/>
      </c>
      <c r="Z455" s="322">
        <f>IFERROR(((VLOOKUP(Calculations[[#This Row],[Waste type 2]],WasteDisposalEmissions[#All],2,FALSE))*Calculations[[#This Row],[Total Kg]])*VLOOKUP(Calculations[[#This Row],[Waste 1]],WasteScenario[#All],2,FALSE),0)</f>
        <v>0</v>
      </c>
      <c r="AA455" s="322">
        <f>IFERROR((VLOOKUP(Calculations[[#This Row],[Waste type 2]],WasteDisposalEmissions[#All],3,FALSE))*Calculations[[#This Row],[Total Kg]]*VLOOKUP(Calculations[[#This Row],[Waste 1]],WasteScenario[#All],3,FALSE),0)</f>
        <v>0</v>
      </c>
      <c r="AB455" s="322">
        <f>SUM(Calculations[[#This Row],[C3 recyc]:[C3 incin]])</f>
        <v>0</v>
      </c>
      <c r="AC455" s="334">
        <f>IFERROR((VLOOKUP(Calculations[[#This Row],[Waste type 2]],WasteLandfillEmissions[#All],2,FALSE))*Calculations[[#This Row],[Total Kg]]*VLOOKUP(Calculations[[#This Row],[Waste 1]],WasteScenario[#All],4,FALSE),0)</f>
        <v>0</v>
      </c>
      <c r="AD455" s="322">
        <f>IFERROR((VLOOKUP(Calculations[[#This Row],[Waste type 2]],WasteLandfillEmissions[#All],3,FALSE))*Calculations[[#This Row],[Total Kg]]*VLOOKUP(Calculations[[#This Row],[Waste 1]],WasteScenario[#All],4,FALSE),0)</f>
        <v>0</v>
      </c>
      <c r="AE455" s="322">
        <f>SUM(Calculations[[#This Row],[C4 landfill]:[C4 re-use]])</f>
        <v>0</v>
      </c>
      <c r="AF455" s="322">
        <f>IFERROR(VLOOKUP(Calculations[[#This Row],[Material (choose from dropdown]],MaterialData[#All],8,FALSE),0)</f>
        <v>0</v>
      </c>
      <c r="AG455" s="322">
        <f>IFERROR(Calculations[[#This Row],[Total Kg]]*Calculations[[#This Row],[Seq factor]],0)</f>
        <v>0</v>
      </c>
      <c r="AI455" s="322">
        <f>Calculations[[#This Row],[A1-3]]+Calculations[[#This Row],[A4]]+Calculations[[#This Row],[A5]]+Calculations[[#This Row],[B4]]+Calculations[[#This Row],[C2 total]]+Calculations[[#This Row],[C3 total]]+Calculations[[#This Row],[C4 total]]</f>
        <v>0</v>
      </c>
      <c r="AJ455" s="2">
        <f>IFERROR(VLOOKUP(Calculations[[#This Row],[Material (choose from dropdown]],MaterialData[[#Headers],[#Data]],9,FALSE),0)</f>
        <v>0</v>
      </c>
      <c r="AK455" s="4">
        <f>IFERROR(VLOOKUP(Calculations[[#This Row],[Material (choose from dropdown]],MaterialData[[#Headers],[#Data]],10,FALSE),0)</f>
        <v>0</v>
      </c>
      <c r="AL455" s="322">
        <f>IFERROR(Calculations[[#This Row],[Data Quality Score]]*Calculations[[#This Row],[Total Kg]],0)</f>
        <v>0</v>
      </c>
    </row>
    <row r="456" spans="1:38" x14ac:dyDescent="0.3">
      <c r="A456" s="6">
        <f>IFERROR(MaterialsBoQ[[#This Row],[Scope Element]],0)</f>
        <v>0</v>
      </c>
      <c r="B456" t="str">
        <f>IFERROR(MaterialsBoQ[[#This Row],[Material ]],"")</f>
        <v/>
      </c>
      <c r="C456" t="str">
        <f>IFERROR(MaterialsBoQ[[#This Row],[Unit]],"")</f>
        <v/>
      </c>
      <c r="D456" s="322">
        <f>IFERROR(MaterialsBoQ[[#This Row],[Number]],0)</f>
        <v>0</v>
      </c>
      <c r="E456" s="322">
        <f>IFERROR(MaterialsBoQ[[#This Row],[Kg per unit]],0)</f>
        <v>0</v>
      </c>
      <c r="F456" s="322">
        <f>IFERROR(Calculations[[#This Row],[Number]]*Calculations[[#This Row],[Conversion factor]],0)</f>
        <v>0</v>
      </c>
      <c r="G456" s="322">
        <f>IFERROR(VLOOKUP(Calculations[[#This Row],[Material (choose from dropdown]],MaterialData[#All],7,FALSE),0)</f>
        <v>0</v>
      </c>
      <c r="H456" s="322">
        <f>Calculations[[#This Row],[Total Kg]]*Calculations[[#This Row],[Carbon Factor]]</f>
        <v>0</v>
      </c>
      <c r="I456" t="str">
        <f>IFERROR(VLOOKUP(Calculations[[#This Row],[Material (choose from dropdown]],MaterialData[#All],2,FALSE),"")</f>
        <v/>
      </c>
      <c r="J456" s="322">
        <f>IFERROR(((VLOOKUP(Calculations[[#This Row],[TransportSource]],TransportDistance[],2,FALSE)*'Stage assumptions'!$C$11)+VLOOKUP(Calculations[[#This Row],[TransportSource]],TransportDistance[],3,FALSE)*'Stage assumptions'!$C$12)*Calculations[[#This Row],[Total Kg]],0)</f>
        <v>0</v>
      </c>
      <c r="K456">
        <f>IFERROR(VLOOKUP(Calculations[[#This Row],[Material (choose from dropdown]], MaterialData[#All],3, FALSE),0)</f>
        <v>0</v>
      </c>
      <c r="L456" s="322">
        <f>IFERROR(VLOOKUP(Calculations[[#This Row],[A5type]],A5WastageRate[#All],2,FALSE)*Calculations[[#This Row],[A1-3]],0)</f>
        <v>0</v>
      </c>
      <c r="N456">
        <f>IFERROR(ROUNDUP(50/VLOOKUP(Calculations[[#This Row],[Scope Element]],B4referenceServiceLife[[Tier 2 element]:[Default Service Life]],2, FALSE)-1,0),0)</f>
        <v>0</v>
      </c>
      <c r="O456" s="322">
        <f>IFERROR((Calculations[[#This Row],[A1-3]]+Calculations[[#This Row],[A4]]+Calculations[[#This Row],[A5]]+Calculations[[#This Row],[C2 total]]+Calculations[[#This Row],[C3 total]]+Calculations[[#This Row],[C4 total]])*Calculations[[#This Row],[Replacements]],0)</f>
        <v>0</v>
      </c>
      <c r="S456" t="str">
        <f>IFERROR(VLOOKUP(Calculations[[#This Row],[Material (choose from dropdown]],MaterialData[#All],4,FALSE),"")</f>
        <v/>
      </c>
      <c r="T456" s="322" cm="1">
        <f t="array" ref="T456">IFERROR(VLOOKUP(Calculations[[#This Row],[Waste 1]],WasteScenario[#All],2,FALSE)*'Stage assumptions'!$C$225*WasteTransportMethod[Emissions Factor
kgCO2e/kg.km]*Calculations[[#This Row],[Total Kg]],0)</f>
        <v>0</v>
      </c>
      <c r="U456" s="322" cm="1">
        <f t="array" ref="U456">IFERROR(VLOOKUP(Calculations[[#This Row],[Waste 1]],WasteScenario[#All],3,FALSE)*'Stage assumptions'!$C$224*WasteTransportMethod[Emissions Factor
kgCO2e/kg.km]*Calculations[[#This Row],[Total Kg]],0)</f>
        <v>0</v>
      </c>
      <c r="V456" s="322" cm="1">
        <f t="array" ref="V456">IFERROR(VLOOKUP(Calculations[[#This Row],[Waste 1]],WasteScenario[#All],4,FALSE)*'Stage assumptions'!$C$223*WasteTransportMethod[Emissions Factor
kgCO2e/kg.km]*Calculations[[#This Row],[Total Kg]],0)</f>
        <v>0</v>
      </c>
      <c r="W456" s="322" cm="1">
        <f t="array" ref="W456">IFERROR(VLOOKUP(Calculations[[#This Row],[Waste 1]],WasteScenario[#All],5,FALSE)*'Stage assumptions'!$C$226*WasteTransportMethod[Emissions Factor
kgCO2e/kg.km]*Calculations[[#This Row],[Total Kg]],0)</f>
        <v>0</v>
      </c>
      <c r="X456" s="322">
        <f>SUM(Calculations[[#This Row],[C2 Recycle]:[C2 Reuse]])</f>
        <v>0</v>
      </c>
      <c r="Y456" t="str">
        <f>IFERROR(VLOOKUP(Calculations[[#This Row],[Material (choose from dropdown]],MaterialData[#All],5,FALSE),"")</f>
        <v/>
      </c>
      <c r="Z456" s="322">
        <f>IFERROR(((VLOOKUP(Calculations[[#This Row],[Waste type 2]],WasteDisposalEmissions[#All],2,FALSE))*Calculations[[#This Row],[Total Kg]])*VLOOKUP(Calculations[[#This Row],[Waste 1]],WasteScenario[#All],2,FALSE),0)</f>
        <v>0</v>
      </c>
      <c r="AA456" s="322">
        <f>IFERROR((VLOOKUP(Calculations[[#This Row],[Waste type 2]],WasteDisposalEmissions[#All],3,FALSE))*Calculations[[#This Row],[Total Kg]]*VLOOKUP(Calculations[[#This Row],[Waste 1]],WasteScenario[#All],3,FALSE),0)</f>
        <v>0</v>
      </c>
      <c r="AB456" s="322">
        <f>SUM(Calculations[[#This Row],[C3 recyc]:[C3 incin]])</f>
        <v>0</v>
      </c>
      <c r="AC456" s="334">
        <f>IFERROR((VLOOKUP(Calculations[[#This Row],[Waste type 2]],WasteLandfillEmissions[#All],2,FALSE))*Calculations[[#This Row],[Total Kg]]*VLOOKUP(Calculations[[#This Row],[Waste 1]],WasteScenario[#All],4,FALSE),0)</f>
        <v>0</v>
      </c>
      <c r="AD456" s="322">
        <f>IFERROR((VLOOKUP(Calculations[[#This Row],[Waste type 2]],WasteLandfillEmissions[#All],3,FALSE))*Calculations[[#This Row],[Total Kg]]*VLOOKUP(Calculations[[#This Row],[Waste 1]],WasteScenario[#All],4,FALSE),0)</f>
        <v>0</v>
      </c>
      <c r="AE456" s="322">
        <f>SUM(Calculations[[#This Row],[C4 landfill]:[C4 re-use]])</f>
        <v>0</v>
      </c>
      <c r="AF456" s="322">
        <f>IFERROR(VLOOKUP(Calculations[[#This Row],[Material (choose from dropdown]],MaterialData[#All],8,FALSE),0)</f>
        <v>0</v>
      </c>
      <c r="AG456" s="322">
        <f>IFERROR(Calculations[[#This Row],[Total Kg]]*Calculations[[#This Row],[Seq factor]],0)</f>
        <v>0</v>
      </c>
      <c r="AI456" s="322">
        <f>Calculations[[#This Row],[A1-3]]+Calculations[[#This Row],[A4]]+Calculations[[#This Row],[A5]]+Calculations[[#This Row],[B4]]+Calculations[[#This Row],[C2 total]]+Calculations[[#This Row],[C3 total]]+Calculations[[#This Row],[C4 total]]</f>
        <v>0</v>
      </c>
      <c r="AJ456" s="2">
        <f>IFERROR(VLOOKUP(Calculations[[#This Row],[Material (choose from dropdown]],MaterialData[[#Headers],[#Data]],9,FALSE),0)</f>
        <v>0</v>
      </c>
      <c r="AK456" s="4">
        <f>IFERROR(VLOOKUP(Calculations[[#This Row],[Material (choose from dropdown]],MaterialData[[#Headers],[#Data]],10,FALSE),0)</f>
        <v>0</v>
      </c>
      <c r="AL456" s="322">
        <f>IFERROR(Calculations[[#This Row],[Data Quality Score]]*Calculations[[#This Row],[Total Kg]],0)</f>
        <v>0</v>
      </c>
    </row>
    <row r="457" spans="1:38" x14ac:dyDescent="0.3">
      <c r="A457" s="6">
        <f>IFERROR(MaterialsBoQ[[#This Row],[Scope Element]],0)</f>
        <v>0</v>
      </c>
      <c r="B457" t="str">
        <f>IFERROR(MaterialsBoQ[[#This Row],[Material ]],"")</f>
        <v/>
      </c>
      <c r="C457" t="str">
        <f>IFERROR(MaterialsBoQ[[#This Row],[Unit]],"")</f>
        <v/>
      </c>
      <c r="D457" s="322">
        <f>IFERROR(MaterialsBoQ[[#This Row],[Number]],0)</f>
        <v>0</v>
      </c>
      <c r="E457" s="322">
        <f>IFERROR(MaterialsBoQ[[#This Row],[Kg per unit]],0)</f>
        <v>0</v>
      </c>
      <c r="F457" s="322">
        <f>IFERROR(Calculations[[#This Row],[Number]]*Calculations[[#This Row],[Conversion factor]],0)</f>
        <v>0</v>
      </c>
      <c r="G457" s="322">
        <f>IFERROR(VLOOKUP(Calculations[[#This Row],[Material (choose from dropdown]],MaterialData[#All],7,FALSE),0)</f>
        <v>0</v>
      </c>
      <c r="H457" s="322">
        <f>Calculations[[#This Row],[Total Kg]]*Calculations[[#This Row],[Carbon Factor]]</f>
        <v>0</v>
      </c>
      <c r="I457" t="str">
        <f>IFERROR(VLOOKUP(Calculations[[#This Row],[Material (choose from dropdown]],MaterialData[#All],2,FALSE),"")</f>
        <v/>
      </c>
      <c r="J457" s="322">
        <f>IFERROR(((VLOOKUP(Calculations[[#This Row],[TransportSource]],TransportDistance[],2,FALSE)*'Stage assumptions'!$C$11)+VLOOKUP(Calculations[[#This Row],[TransportSource]],TransportDistance[],3,FALSE)*'Stage assumptions'!$C$12)*Calculations[[#This Row],[Total Kg]],0)</f>
        <v>0</v>
      </c>
      <c r="K457">
        <f>IFERROR(VLOOKUP(Calculations[[#This Row],[Material (choose from dropdown]], MaterialData[#All],3, FALSE),0)</f>
        <v>0</v>
      </c>
      <c r="L457" s="322">
        <f>IFERROR(VLOOKUP(Calculations[[#This Row],[A5type]],A5WastageRate[#All],2,FALSE)*Calculations[[#This Row],[A1-3]],0)</f>
        <v>0</v>
      </c>
      <c r="N457">
        <f>IFERROR(ROUNDUP(50/VLOOKUP(Calculations[[#This Row],[Scope Element]],B4referenceServiceLife[[Tier 2 element]:[Default Service Life]],2, FALSE)-1,0),0)</f>
        <v>0</v>
      </c>
      <c r="O457" s="322">
        <f>IFERROR((Calculations[[#This Row],[A1-3]]+Calculations[[#This Row],[A4]]+Calculations[[#This Row],[A5]]+Calculations[[#This Row],[C2 total]]+Calculations[[#This Row],[C3 total]]+Calculations[[#This Row],[C4 total]])*Calculations[[#This Row],[Replacements]],0)</f>
        <v>0</v>
      </c>
      <c r="S457" t="str">
        <f>IFERROR(VLOOKUP(Calculations[[#This Row],[Material (choose from dropdown]],MaterialData[#All],4,FALSE),"")</f>
        <v/>
      </c>
      <c r="T457" s="322" cm="1">
        <f t="array" ref="T457">IFERROR(VLOOKUP(Calculations[[#This Row],[Waste 1]],WasteScenario[#All],2,FALSE)*'Stage assumptions'!$C$225*WasteTransportMethod[Emissions Factor
kgCO2e/kg.km]*Calculations[[#This Row],[Total Kg]],0)</f>
        <v>0</v>
      </c>
      <c r="U457" s="322" cm="1">
        <f t="array" ref="U457">IFERROR(VLOOKUP(Calculations[[#This Row],[Waste 1]],WasteScenario[#All],3,FALSE)*'Stage assumptions'!$C$224*WasteTransportMethod[Emissions Factor
kgCO2e/kg.km]*Calculations[[#This Row],[Total Kg]],0)</f>
        <v>0</v>
      </c>
      <c r="V457" s="322" cm="1">
        <f t="array" ref="V457">IFERROR(VLOOKUP(Calculations[[#This Row],[Waste 1]],WasteScenario[#All],4,FALSE)*'Stage assumptions'!$C$223*WasteTransportMethod[Emissions Factor
kgCO2e/kg.km]*Calculations[[#This Row],[Total Kg]],0)</f>
        <v>0</v>
      </c>
      <c r="W457" s="322" cm="1">
        <f t="array" ref="W457">IFERROR(VLOOKUP(Calculations[[#This Row],[Waste 1]],WasteScenario[#All],5,FALSE)*'Stage assumptions'!$C$226*WasteTransportMethod[Emissions Factor
kgCO2e/kg.km]*Calculations[[#This Row],[Total Kg]],0)</f>
        <v>0</v>
      </c>
      <c r="X457" s="322">
        <f>SUM(Calculations[[#This Row],[C2 Recycle]:[C2 Reuse]])</f>
        <v>0</v>
      </c>
      <c r="Y457" t="str">
        <f>IFERROR(VLOOKUP(Calculations[[#This Row],[Material (choose from dropdown]],MaterialData[#All],5,FALSE),"")</f>
        <v/>
      </c>
      <c r="Z457" s="322">
        <f>IFERROR(((VLOOKUP(Calculations[[#This Row],[Waste type 2]],WasteDisposalEmissions[#All],2,FALSE))*Calculations[[#This Row],[Total Kg]])*VLOOKUP(Calculations[[#This Row],[Waste 1]],WasteScenario[#All],2,FALSE),0)</f>
        <v>0</v>
      </c>
      <c r="AA457" s="322">
        <f>IFERROR((VLOOKUP(Calculations[[#This Row],[Waste type 2]],WasteDisposalEmissions[#All],3,FALSE))*Calculations[[#This Row],[Total Kg]]*VLOOKUP(Calculations[[#This Row],[Waste 1]],WasteScenario[#All],3,FALSE),0)</f>
        <v>0</v>
      </c>
      <c r="AB457" s="322">
        <f>SUM(Calculations[[#This Row],[C3 recyc]:[C3 incin]])</f>
        <v>0</v>
      </c>
      <c r="AC457" s="334">
        <f>IFERROR((VLOOKUP(Calculations[[#This Row],[Waste type 2]],WasteLandfillEmissions[#All],2,FALSE))*Calculations[[#This Row],[Total Kg]]*VLOOKUP(Calculations[[#This Row],[Waste 1]],WasteScenario[#All],4,FALSE),0)</f>
        <v>0</v>
      </c>
      <c r="AD457" s="322">
        <f>IFERROR((VLOOKUP(Calculations[[#This Row],[Waste type 2]],WasteLandfillEmissions[#All],3,FALSE))*Calculations[[#This Row],[Total Kg]]*VLOOKUP(Calculations[[#This Row],[Waste 1]],WasteScenario[#All],4,FALSE),0)</f>
        <v>0</v>
      </c>
      <c r="AE457" s="322">
        <f>SUM(Calculations[[#This Row],[C4 landfill]:[C4 re-use]])</f>
        <v>0</v>
      </c>
      <c r="AF457" s="322">
        <f>IFERROR(VLOOKUP(Calculations[[#This Row],[Material (choose from dropdown]],MaterialData[#All],8,FALSE),0)</f>
        <v>0</v>
      </c>
      <c r="AG457" s="322">
        <f>IFERROR(Calculations[[#This Row],[Total Kg]]*Calculations[[#This Row],[Seq factor]],0)</f>
        <v>0</v>
      </c>
      <c r="AI457" s="322">
        <f>Calculations[[#This Row],[A1-3]]+Calculations[[#This Row],[A4]]+Calculations[[#This Row],[A5]]+Calculations[[#This Row],[B4]]+Calculations[[#This Row],[C2 total]]+Calculations[[#This Row],[C3 total]]+Calculations[[#This Row],[C4 total]]</f>
        <v>0</v>
      </c>
      <c r="AJ457" s="2">
        <f>IFERROR(VLOOKUP(Calculations[[#This Row],[Material (choose from dropdown]],MaterialData[[#Headers],[#Data]],9,FALSE),0)</f>
        <v>0</v>
      </c>
      <c r="AK457" s="4">
        <f>IFERROR(VLOOKUP(Calculations[[#This Row],[Material (choose from dropdown]],MaterialData[[#Headers],[#Data]],10,FALSE),0)</f>
        <v>0</v>
      </c>
      <c r="AL457" s="322">
        <f>IFERROR(Calculations[[#This Row],[Data Quality Score]]*Calculations[[#This Row],[Total Kg]],0)</f>
        <v>0</v>
      </c>
    </row>
    <row r="458" spans="1:38" x14ac:dyDescent="0.3">
      <c r="A458" s="6">
        <f>IFERROR(MaterialsBoQ[[#This Row],[Scope Element]],0)</f>
        <v>0</v>
      </c>
      <c r="B458" t="str">
        <f>IFERROR(MaterialsBoQ[[#This Row],[Material ]],"")</f>
        <v/>
      </c>
      <c r="C458" t="str">
        <f>IFERROR(MaterialsBoQ[[#This Row],[Unit]],"")</f>
        <v/>
      </c>
      <c r="D458" s="322">
        <f>IFERROR(MaterialsBoQ[[#This Row],[Number]],0)</f>
        <v>0</v>
      </c>
      <c r="E458" s="322">
        <f>IFERROR(MaterialsBoQ[[#This Row],[Kg per unit]],0)</f>
        <v>0</v>
      </c>
      <c r="F458" s="322">
        <f>IFERROR(Calculations[[#This Row],[Number]]*Calculations[[#This Row],[Conversion factor]],0)</f>
        <v>0</v>
      </c>
      <c r="G458" s="322">
        <f>IFERROR(VLOOKUP(Calculations[[#This Row],[Material (choose from dropdown]],MaterialData[#All],7,FALSE),0)</f>
        <v>0</v>
      </c>
      <c r="H458" s="322">
        <f>Calculations[[#This Row],[Total Kg]]*Calculations[[#This Row],[Carbon Factor]]</f>
        <v>0</v>
      </c>
      <c r="I458" t="str">
        <f>IFERROR(VLOOKUP(Calculations[[#This Row],[Material (choose from dropdown]],MaterialData[#All],2,FALSE),"")</f>
        <v/>
      </c>
      <c r="J458" s="322">
        <f>IFERROR(((VLOOKUP(Calculations[[#This Row],[TransportSource]],TransportDistance[],2,FALSE)*'Stage assumptions'!$C$11)+VLOOKUP(Calculations[[#This Row],[TransportSource]],TransportDistance[],3,FALSE)*'Stage assumptions'!$C$12)*Calculations[[#This Row],[Total Kg]],0)</f>
        <v>0</v>
      </c>
      <c r="K458">
        <f>IFERROR(VLOOKUP(Calculations[[#This Row],[Material (choose from dropdown]], MaterialData[#All],3, FALSE),0)</f>
        <v>0</v>
      </c>
      <c r="L458" s="322">
        <f>IFERROR(VLOOKUP(Calculations[[#This Row],[A5type]],A5WastageRate[#All],2,FALSE)*Calculations[[#This Row],[A1-3]],0)</f>
        <v>0</v>
      </c>
      <c r="N458">
        <f>IFERROR(ROUNDUP(50/VLOOKUP(Calculations[[#This Row],[Scope Element]],B4referenceServiceLife[[Tier 2 element]:[Default Service Life]],2, FALSE)-1,0),0)</f>
        <v>0</v>
      </c>
      <c r="O458" s="322">
        <f>IFERROR((Calculations[[#This Row],[A1-3]]+Calculations[[#This Row],[A4]]+Calculations[[#This Row],[A5]]+Calculations[[#This Row],[C2 total]]+Calculations[[#This Row],[C3 total]]+Calculations[[#This Row],[C4 total]])*Calculations[[#This Row],[Replacements]],0)</f>
        <v>0</v>
      </c>
      <c r="S458" t="str">
        <f>IFERROR(VLOOKUP(Calculations[[#This Row],[Material (choose from dropdown]],MaterialData[#All],4,FALSE),"")</f>
        <v/>
      </c>
      <c r="T458" s="322" cm="1">
        <f t="array" ref="T458">IFERROR(VLOOKUP(Calculations[[#This Row],[Waste 1]],WasteScenario[#All],2,FALSE)*'Stage assumptions'!$C$225*WasteTransportMethod[Emissions Factor
kgCO2e/kg.km]*Calculations[[#This Row],[Total Kg]],0)</f>
        <v>0</v>
      </c>
      <c r="U458" s="322" cm="1">
        <f t="array" ref="U458">IFERROR(VLOOKUP(Calculations[[#This Row],[Waste 1]],WasteScenario[#All],3,FALSE)*'Stage assumptions'!$C$224*WasteTransportMethod[Emissions Factor
kgCO2e/kg.km]*Calculations[[#This Row],[Total Kg]],0)</f>
        <v>0</v>
      </c>
      <c r="V458" s="322" cm="1">
        <f t="array" ref="V458">IFERROR(VLOOKUP(Calculations[[#This Row],[Waste 1]],WasteScenario[#All],4,FALSE)*'Stage assumptions'!$C$223*WasteTransportMethod[Emissions Factor
kgCO2e/kg.km]*Calculations[[#This Row],[Total Kg]],0)</f>
        <v>0</v>
      </c>
      <c r="W458" s="322" cm="1">
        <f t="array" ref="W458">IFERROR(VLOOKUP(Calculations[[#This Row],[Waste 1]],WasteScenario[#All],5,FALSE)*'Stage assumptions'!$C$226*WasteTransportMethod[Emissions Factor
kgCO2e/kg.km]*Calculations[[#This Row],[Total Kg]],0)</f>
        <v>0</v>
      </c>
      <c r="X458" s="322">
        <f>SUM(Calculations[[#This Row],[C2 Recycle]:[C2 Reuse]])</f>
        <v>0</v>
      </c>
      <c r="Y458" t="str">
        <f>IFERROR(VLOOKUP(Calculations[[#This Row],[Material (choose from dropdown]],MaterialData[#All],5,FALSE),"")</f>
        <v/>
      </c>
      <c r="Z458" s="322">
        <f>IFERROR(((VLOOKUP(Calculations[[#This Row],[Waste type 2]],WasteDisposalEmissions[#All],2,FALSE))*Calculations[[#This Row],[Total Kg]])*VLOOKUP(Calculations[[#This Row],[Waste 1]],WasteScenario[#All],2,FALSE),0)</f>
        <v>0</v>
      </c>
      <c r="AA458" s="322">
        <f>IFERROR((VLOOKUP(Calculations[[#This Row],[Waste type 2]],WasteDisposalEmissions[#All],3,FALSE))*Calculations[[#This Row],[Total Kg]]*VLOOKUP(Calculations[[#This Row],[Waste 1]],WasteScenario[#All],3,FALSE),0)</f>
        <v>0</v>
      </c>
      <c r="AB458" s="322">
        <f>SUM(Calculations[[#This Row],[C3 recyc]:[C3 incin]])</f>
        <v>0</v>
      </c>
      <c r="AC458" s="334">
        <f>IFERROR((VLOOKUP(Calculations[[#This Row],[Waste type 2]],WasteLandfillEmissions[#All],2,FALSE))*Calculations[[#This Row],[Total Kg]]*VLOOKUP(Calculations[[#This Row],[Waste 1]],WasteScenario[#All],4,FALSE),0)</f>
        <v>0</v>
      </c>
      <c r="AD458" s="322">
        <f>IFERROR((VLOOKUP(Calculations[[#This Row],[Waste type 2]],WasteLandfillEmissions[#All],3,FALSE))*Calculations[[#This Row],[Total Kg]]*VLOOKUP(Calculations[[#This Row],[Waste 1]],WasteScenario[#All],4,FALSE),0)</f>
        <v>0</v>
      </c>
      <c r="AE458" s="322">
        <f>SUM(Calculations[[#This Row],[C4 landfill]:[C4 re-use]])</f>
        <v>0</v>
      </c>
      <c r="AF458" s="322">
        <f>IFERROR(VLOOKUP(Calculations[[#This Row],[Material (choose from dropdown]],MaterialData[#All],8,FALSE),0)</f>
        <v>0</v>
      </c>
      <c r="AG458" s="322">
        <f>IFERROR(Calculations[[#This Row],[Total Kg]]*Calculations[[#This Row],[Seq factor]],0)</f>
        <v>0</v>
      </c>
      <c r="AI458" s="322">
        <f>Calculations[[#This Row],[A1-3]]+Calculations[[#This Row],[A4]]+Calculations[[#This Row],[A5]]+Calculations[[#This Row],[B4]]+Calculations[[#This Row],[C2 total]]+Calculations[[#This Row],[C3 total]]+Calculations[[#This Row],[C4 total]]</f>
        <v>0</v>
      </c>
      <c r="AJ458" s="2">
        <f>IFERROR(VLOOKUP(Calculations[[#This Row],[Material (choose from dropdown]],MaterialData[[#Headers],[#Data]],9,FALSE),0)</f>
        <v>0</v>
      </c>
      <c r="AK458" s="4">
        <f>IFERROR(VLOOKUP(Calculations[[#This Row],[Material (choose from dropdown]],MaterialData[[#Headers],[#Data]],10,FALSE),0)</f>
        <v>0</v>
      </c>
      <c r="AL458" s="322">
        <f>IFERROR(Calculations[[#This Row],[Data Quality Score]]*Calculations[[#This Row],[Total Kg]],0)</f>
        <v>0</v>
      </c>
    </row>
    <row r="459" spans="1:38" x14ac:dyDescent="0.3">
      <c r="A459" s="6">
        <f>IFERROR(MaterialsBoQ[[#This Row],[Scope Element]],0)</f>
        <v>0</v>
      </c>
      <c r="B459" t="str">
        <f>IFERROR(MaterialsBoQ[[#This Row],[Material ]],"")</f>
        <v/>
      </c>
      <c r="C459" t="str">
        <f>IFERROR(MaterialsBoQ[[#This Row],[Unit]],"")</f>
        <v/>
      </c>
      <c r="D459" s="322">
        <f>IFERROR(MaterialsBoQ[[#This Row],[Number]],0)</f>
        <v>0</v>
      </c>
      <c r="E459" s="322">
        <f>IFERROR(MaterialsBoQ[[#This Row],[Kg per unit]],0)</f>
        <v>0</v>
      </c>
      <c r="F459" s="322">
        <f>IFERROR(Calculations[[#This Row],[Number]]*Calculations[[#This Row],[Conversion factor]],0)</f>
        <v>0</v>
      </c>
      <c r="G459" s="322">
        <f>IFERROR(VLOOKUP(Calculations[[#This Row],[Material (choose from dropdown]],MaterialData[#All],7,FALSE),0)</f>
        <v>0</v>
      </c>
      <c r="H459" s="322">
        <f>Calculations[[#This Row],[Total Kg]]*Calculations[[#This Row],[Carbon Factor]]</f>
        <v>0</v>
      </c>
      <c r="I459" t="str">
        <f>IFERROR(VLOOKUP(Calculations[[#This Row],[Material (choose from dropdown]],MaterialData[#All],2,FALSE),"")</f>
        <v/>
      </c>
      <c r="J459" s="322">
        <f>IFERROR(((VLOOKUP(Calculations[[#This Row],[TransportSource]],TransportDistance[],2,FALSE)*'Stage assumptions'!$C$11)+VLOOKUP(Calculations[[#This Row],[TransportSource]],TransportDistance[],3,FALSE)*'Stage assumptions'!$C$12)*Calculations[[#This Row],[Total Kg]],0)</f>
        <v>0</v>
      </c>
      <c r="K459">
        <f>IFERROR(VLOOKUP(Calculations[[#This Row],[Material (choose from dropdown]], MaterialData[#All],3, FALSE),0)</f>
        <v>0</v>
      </c>
      <c r="L459" s="322">
        <f>IFERROR(VLOOKUP(Calculations[[#This Row],[A5type]],A5WastageRate[#All],2,FALSE)*Calculations[[#This Row],[A1-3]],0)</f>
        <v>0</v>
      </c>
      <c r="N459">
        <f>IFERROR(ROUNDUP(50/VLOOKUP(Calculations[[#This Row],[Scope Element]],B4referenceServiceLife[[Tier 2 element]:[Default Service Life]],2, FALSE)-1,0),0)</f>
        <v>0</v>
      </c>
      <c r="O459" s="322">
        <f>IFERROR((Calculations[[#This Row],[A1-3]]+Calculations[[#This Row],[A4]]+Calculations[[#This Row],[A5]]+Calculations[[#This Row],[C2 total]]+Calculations[[#This Row],[C3 total]]+Calculations[[#This Row],[C4 total]])*Calculations[[#This Row],[Replacements]],0)</f>
        <v>0</v>
      </c>
      <c r="S459" t="str">
        <f>IFERROR(VLOOKUP(Calculations[[#This Row],[Material (choose from dropdown]],MaterialData[#All],4,FALSE),"")</f>
        <v/>
      </c>
      <c r="T459" s="322" cm="1">
        <f t="array" ref="T459">IFERROR(VLOOKUP(Calculations[[#This Row],[Waste 1]],WasteScenario[#All],2,FALSE)*'Stage assumptions'!$C$225*WasteTransportMethod[Emissions Factor
kgCO2e/kg.km]*Calculations[[#This Row],[Total Kg]],0)</f>
        <v>0</v>
      </c>
      <c r="U459" s="322" cm="1">
        <f t="array" ref="U459">IFERROR(VLOOKUP(Calculations[[#This Row],[Waste 1]],WasteScenario[#All],3,FALSE)*'Stage assumptions'!$C$224*WasteTransportMethod[Emissions Factor
kgCO2e/kg.km]*Calculations[[#This Row],[Total Kg]],0)</f>
        <v>0</v>
      </c>
      <c r="V459" s="322" cm="1">
        <f t="array" ref="V459">IFERROR(VLOOKUP(Calculations[[#This Row],[Waste 1]],WasteScenario[#All],4,FALSE)*'Stage assumptions'!$C$223*WasteTransportMethod[Emissions Factor
kgCO2e/kg.km]*Calculations[[#This Row],[Total Kg]],0)</f>
        <v>0</v>
      </c>
      <c r="W459" s="322" cm="1">
        <f t="array" ref="W459">IFERROR(VLOOKUP(Calculations[[#This Row],[Waste 1]],WasteScenario[#All],5,FALSE)*'Stage assumptions'!$C$226*WasteTransportMethod[Emissions Factor
kgCO2e/kg.km]*Calculations[[#This Row],[Total Kg]],0)</f>
        <v>0</v>
      </c>
      <c r="X459" s="322">
        <f>SUM(Calculations[[#This Row],[C2 Recycle]:[C2 Reuse]])</f>
        <v>0</v>
      </c>
      <c r="Y459" t="str">
        <f>IFERROR(VLOOKUP(Calculations[[#This Row],[Material (choose from dropdown]],MaterialData[#All],5,FALSE),"")</f>
        <v/>
      </c>
      <c r="Z459" s="322">
        <f>IFERROR(((VLOOKUP(Calculations[[#This Row],[Waste type 2]],WasteDisposalEmissions[#All],2,FALSE))*Calculations[[#This Row],[Total Kg]])*VLOOKUP(Calculations[[#This Row],[Waste 1]],WasteScenario[#All],2,FALSE),0)</f>
        <v>0</v>
      </c>
      <c r="AA459" s="322">
        <f>IFERROR((VLOOKUP(Calculations[[#This Row],[Waste type 2]],WasteDisposalEmissions[#All],3,FALSE))*Calculations[[#This Row],[Total Kg]]*VLOOKUP(Calculations[[#This Row],[Waste 1]],WasteScenario[#All],3,FALSE),0)</f>
        <v>0</v>
      </c>
      <c r="AB459" s="322">
        <f>SUM(Calculations[[#This Row],[C3 recyc]:[C3 incin]])</f>
        <v>0</v>
      </c>
      <c r="AC459" s="334">
        <f>IFERROR((VLOOKUP(Calculations[[#This Row],[Waste type 2]],WasteLandfillEmissions[#All],2,FALSE))*Calculations[[#This Row],[Total Kg]]*VLOOKUP(Calculations[[#This Row],[Waste 1]],WasteScenario[#All],4,FALSE),0)</f>
        <v>0</v>
      </c>
      <c r="AD459" s="322">
        <f>IFERROR((VLOOKUP(Calculations[[#This Row],[Waste type 2]],WasteLandfillEmissions[#All],3,FALSE))*Calculations[[#This Row],[Total Kg]]*VLOOKUP(Calculations[[#This Row],[Waste 1]],WasteScenario[#All],4,FALSE),0)</f>
        <v>0</v>
      </c>
      <c r="AE459" s="322">
        <f>SUM(Calculations[[#This Row],[C4 landfill]:[C4 re-use]])</f>
        <v>0</v>
      </c>
      <c r="AF459" s="322">
        <f>IFERROR(VLOOKUP(Calculations[[#This Row],[Material (choose from dropdown]],MaterialData[#All],8,FALSE),0)</f>
        <v>0</v>
      </c>
      <c r="AG459" s="322">
        <f>IFERROR(Calculations[[#This Row],[Total Kg]]*Calculations[[#This Row],[Seq factor]],0)</f>
        <v>0</v>
      </c>
      <c r="AI459" s="322">
        <f>Calculations[[#This Row],[A1-3]]+Calculations[[#This Row],[A4]]+Calculations[[#This Row],[A5]]+Calculations[[#This Row],[B4]]+Calculations[[#This Row],[C2 total]]+Calculations[[#This Row],[C3 total]]+Calculations[[#This Row],[C4 total]]</f>
        <v>0</v>
      </c>
      <c r="AJ459" s="2">
        <f>IFERROR(VLOOKUP(Calculations[[#This Row],[Material (choose from dropdown]],MaterialData[[#Headers],[#Data]],9,FALSE),0)</f>
        <v>0</v>
      </c>
      <c r="AK459" s="4">
        <f>IFERROR(VLOOKUP(Calculations[[#This Row],[Material (choose from dropdown]],MaterialData[[#Headers],[#Data]],10,FALSE),0)</f>
        <v>0</v>
      </c>
      <c r="AL459" s="322">
        <f>IFERROR(Calculations[[#This Row],[Data Quality Score]]*Calculations[[#This Row],[Total Kg]],0)</f>
        <v>0</v>
      </c>
    </row>
    <row r="460" spans="1:38" x14ac:dyDescent="0.3">
      <c r="A460" s="6">
        <f>IFERROR(MaterialsBoQ[[#This Row],[Scope Element]],0)</f>
        <v>0</v>
      </c>
      <c r="B460" t="str">
        <f>IFERROR(MaterialsBoQ[[#This Row],[Material ]],"")</f>
        <v/>
      </c>
      <c r="C460" t="str">
        <f>IFERROR(MaterialsBoQ[[#This Row],[Unit]],"")</f>
        <v/>
      </c>
      <c r="D460" s="322">
        <f>IFERROR(MaterialsBoQ[[#This Row],[Number]],0)</f>
        <v>0</v>
      </c>
      <c r="E460" s="322">
        <f>IFERROR(MaterialsBoQ[[#This Row],[Kg per unit]],0)</f>
        <v>0</v>
      </c>
      <c r="F460" s="322">
        <f>IFERROR(Calculations[[#This Row],[Number]]*Calculations[[#This Row],[Conversion factor]],0)</f>
        <v>0</v>
      </c>
      <c r="G460" s="322">
        <f>IFERROR(VLOOKUP(Calculations[[#This Row],[Material (choose from dropdown]],MaterialData[#All],7,FALSE),0)</f>
        <v>0</v>
      </c>
      <c r="H460" s="322">
        <f>Calculations[[#This Row],[Total Kg]]*Calculations[[#This Row],[Carbon Factor]]</f>
        <v>0</v>
      </c>
      <c r="I460" t="str">
        <f>IFERROR(VLOOKUP(Calculations[[#This Row],[Material (choose from dropdown]],MaterialData[#All],2,FALSE),"")</f>
        <v/>
      </c>
      <c r="J460" s="322">
        <f>IFERROR(((VLOOKUP(Calculations[[#This Row],[TransportSource]],TransportDistance[],2,FALSE)*'Stage assumptions'!$C$11)+VLOOKUP(Calculations[[#This Row],[TransportSource]],TransportDistance[],3,FALSE)*'Stage assumptions'!$C$12)*Calculations[[#This Row],[Total Kg]],0)</f>
        <v>0</v>
      </c>
      <c r="K460">
        <f>IFERROR(VLOOKUP(Calculations[[#This Row],[Material (choose from dropdown]], MaterialData[#All],3, FALSE),0)</f>
        <v>0</v>
      </c>
      <c r="L460" s="322">
        <f>IFERROR(VLOOKUP(Calculations[[#This Row],[A5type]],A5WastageRate[#All],2,FALSE)*Calculations[[#This Row],[A1-3]],0)</f>
        <v>0</v>
      </c>
      <c r="N460">
        <f>IFERROR(ROUNDUP(50/VLOOKUP(Calculations[[#This Row],[Scope Element]],B4referenceServiceLife[[Tier 2 element]:[Default Service Life]],2, FALSE)-1,0),0)</f>
        <v>0</v>
      </c>
      <c r="O460" s="322">
        <f>IFERROR((Calculations[[#This Row],[A1-3]]+Calculations[[#This Row],[A4]]+Calculations[[#This Row],[A5]]+Calculations[[#This Row],[C2 total]]+Calculations[[#This Row],[C3 total]]+Calculations[[#This Row],[C4 total]])*Calculations[[#This Row],[Replacements]],0)</f>
        <v>0</v>
      </c>
      <c r="S460" t="str">
        <f>IFERROR(VLOOKUP(Calculations[[#This Row],[Material (choose from dropdown]],MaterialData[#All],4,FALSE),"")</f>
        <v/>
      </c>
      <c r="T460" s="322" cm="1">
        <f t="array" ref="T460">IFERROR(VLOOKUP(Calculations[[#This Row],[Waste 1]],WasteScenario[#All],2,FALSE)*'Stage assumptions'!$C$225*WasteTransportMethod[Emissions Factor
kgCO2e/kg.km]*Calculations[[#This Row],[Total Kg]],0)</f>
        <v>0</v>
      </c>
      <c r="U460" s="322" cm="1">
        <f t="array" ref="U460">IFERROR(VLOOKUP(Calculations[[#This Row],[Waste 1]],WasteScenario[#All],3,FALSE)*'Stage assumptions'!$C$224*WasteTransportMethod[Emissions Factor
kgCO2e/kg.km]*Calculations[[#This Row],[Total Kg]],0)</f>
        <v>0</v>
      </c>
      <c r="V460" s="322" cm="1">
        <f t="array" ref="V460">IFERROR(VLOOKUP(Calculations[[#This Row],[Waste 1]],WasteScenario[#All],4,FALSE)*'Stage assumptions'!$C$223*WasteTransportMethod[Emissions Factor
kgCO2e/kg.km]*Calculations[[#This Row],[Total Kg]],0)</f>
        <v>0</v>
      </c>
      <c r="W460" s="322" cm="1">
        <f t="array" ref="W460">IFERROR(VLOOKUP(Calculations[[#This Row],[Waste 1]],WasteScenario[#All],5,FALSE)*'Stage assumptions'!$C$226*WasteTransportMethod[Emissions Factor
kgCO2e/kg.km]*Calculations[[#This Row],[Total Kg]],0)</f>
        <v>0</v>
      </c>
      <c r="X460" s="322">
        <f>SUM(Calculations[[#This Row],[C2 Recycle]:[C2 Reuse]])</f>
        <v>0</v>
      </c>
      <c r="Y460" t="str">
        <f>IFERROR(VLOOKUP(Calculations[[#This Row],[Material (choose from dropdown]],MaterialData[#All],5,FALSE),"")</f>
        <v/>
      </c>
      <c r="Z460" s="322">
        <f>IFERROR(((VLOOKUP(Calculations[[#This Row],[Waste type 2]],WasteDisposalEmissions[#All],2,FALSE))*Calculations[[#This Row],[Total Kg]])*VLOOKUP(Calculations[[#This Row],[Waste 1]],WasteScenario[#All],2,FALSE),0)</f>
        <v>0</v>
      </c>
      <c r="AA460" s="322">
        <f>IFERROR((VLOOKUP(Calculations[[#This Row],[Waste type 2]],WasteDisposalEmissions[#All],3,FALSE))*Calculations[[#This Row],[Total Kg]]*VLOOKUP(Calculations[[#This Row],[Waste 1]],WasteScenario[#All],3,FALSE),0)</f>
        <v>0</v>
      </c>
      <c r="AB460" s="322">
        <f>SUM(Calculations[[#This Row],[C3 recyc]:[C3 incin]])</f>
        <v>0</v>
      </c>
      <c r="AC460" s="334">
        <f>IFERROR((VLOOKUP(Calculations[[#This Row],[Waste type 2]],WasteLandfillEmissions[#All],2,FALSE))*Calculations[[#This Row],[Total Kg]]*VLOOKUP(Calculations[[#This Row],[Waste 1]],WasteScenario[#All],4,FALSE),0)</f>
        <v>0</v>
      </c>
      <c r="AD460" s="322">
        <f>IFERROR((VLOOKUP(Calculations[[#This Row],[Waste type 2]],WasteLandfillEmissions[#All],3,FALSE))*Calculations[[#This Row],[Total Kg]]*VLOOKUP(Calculations[[#This Row],[Waste 1]],WasteScenario[#All],4,FALSE),0)</f>
        <v>0</v>
      </c>
      <c r="AE460" s="322">
        <f>SUM(Calculations[[#This Row],[C4 landfill]:[C4 re-use]])</f>
        <v>0</v>
      </c>
      <c r="AF460" s="322">
        <f>IFERROR(VLOOKUP(Calculations[[#This Row],[Material (choose from dropdown]],MaterialData[#All],8,FALSE),0)</f>
        <v>0</v>
      </c>
      <c r="AG460" s="322">
        <f>IFERROR(Calculations[[#This Row],[Total Kg]]*Calculations[[#This Row],[Seq factor]],0)</f>
        <v>0</v>
      </c>
      <c r="AI460" s="322">
        <f>Calculations[[#This Row],[A1-3]]+Calculations[[#This Row],[A4]]+Calculations[[#This Row],[A5]]+Calculations[[#This Row],[B4]]+Calculations[[#This Row],[C2 total]]+Calculations[[#This Row],[C3 total]]+Calculations[[#This Row],[C4 total]]</f>
        <v>0</v>
      </c>
      <c r="AJ460" s="2">
        <f>IFERROR(VLOOKUP(Calculations[[#This Row],[Material (choose from dropdown]],MaterialData[[#Headers],[#Data]],9,FALSE),0)</f>
        <v>0</v>
      </c>
      <c r="AK460" s="4">
        <f>IFERROR(VLOOKUP(Calculations[[#This Row],[Material (choose from dropdown]],MaterialData[[#Headers],[#Data]],10,FALSE),0)</f>
        <v>0</v>
      </c>
      <c r="AL460" s="322">
        <f>IFERROR(Calculations[[#This Row],[Data Quality Score]]*Calculations[[#This Row],[Total Kg]],0)</f>
        <v>0</v>
      </c>
    </row>
    <row r="461" spans="1:38" x14ac:dyDescent="0.3">
      <c r="A461" s="6">
        <f>IFERROR(MaterialsBoQ[[#This Row],[Scope Element]],0)</f>
        <v>0</v>
      </c>
      <c r="B461" t="str">
        <f>IFERROR(MaterialsBoQ[[#This Row],[Material ]],"")</f>
        <v/>
      </c>
      <c r="C461" t="str">
        <f>IFERROR(MaterialsBoQ[[#This Row],[Unit]],"")</f>
        <v/>
      </c>
      <c r="D461" s="322">
        <f>IFERROR(MaterialsBoQ[[#This Row],[Number]],0)</f>
        <v>0</v>
      </c>
      <c r="E461" s="322">
        <f>IFERROR(MaterialsBoQ[[#This Row],[Kg per unit]],0)</f>
        <v>0</v>
      </c>
      <c r="F461" s="322">
        <f>IFERROR(Calculations[[#This Row],[Number]]*Calculations[[#This Row],[Conversion factor]],0)</f>
        <v>0</v>
      </c>
      <c r="G461" s="322">
        <f>IFERROR(VLOOKUP(Calculations[[#This Row],[Material (choose from dropdown]],MaterialData[#All],7,FALSE),0)</f>
        <v>0</v>
      </c>
      <c r="H461" s="322">
        <f>Calculations[[#This Row],[Total Kg]]*Calculations[[#This Row],[Carbon Factor]]</f>
        <v>0</v>
      </c>
      <c r="I461" t="str">
        <f>IFERROR(VLOOKUP(Calculations[[#This Row],[Material (choose from dropdown]],MaterialData[#All],2,FALSE),"")</f>
        <v/>
      </c>
      <c r="J461" s="322">
        <f>IFERROR(((VLOOKUP(Calculations[[#This Row],[TransportSource]],TransportDistance[],2,FALSE)*'Stage assumptions'!$C$11)+VLOOKUP(Calculations[[#This Row],[TransportSource]],TransportDistance[],3,FALSE)*'Stage assumptions'!$C$12)*Calculations[[#This Row],[Total Kg]],0)</f>
        <v>0</v>
      </c>
      <c r="K461">
        <f>IFERROR(VLOOKUP(Calculations[[#This Row],[Material (choose from dropdown]], MaterialData[#All],3, FALSE),0)</f>
        <v>0</v>
      </c>
      <c r="L461" s="322">
        <f>IFERROR(VLOOKUP(Calculations[[#This Row],[A5type]],A5WastageRate[#All],2,FALSE)*Calculations[[#This Row],[A1-3]],0)</f>
        <v>0</v>
      </c>
      <c r="N461">
        <f>IFERROR(ROUNDUP(50/VLOOKUP(Calculations[[#This Row],[Scope Element]],B4referenceServiceLife[[Tier 2 element]:[Default Service Life]],2, FALSE)-1,0),0)</f>
        <v>0</v>
      </c>
      <c r="O461" s="322">
        <f>IFERROR((Calculations[[#This Row],[A1-3]]+Calculations[[#This Row],[A4]]+Calculations[[#This Row],[A5]]+Calculations[[#This Row],[C2 total]]+Calculations[[#This Row],[C3 total]]+Calculations[[#This Row],[C4 total]])*Calculations[[#This Row],[Replacements]],0)</f>
        <v>0</v>
      </c>
      <c r="S461" t="str">
        <f>IFERROR(VLOOKUP(Calculations[[#This Row],[Material (choose from dropdown]],MaterialData[#All],4,FALSE),"")</f>
        <v/>
      </c>
      <c r="T461" s="322" cm="1">
        <f t="array" ref="T461">IFERROR(VLOOKUP(Calculations[[#This Row],[Waste 1]],WasteScenario[#All],2,FALSE)*'Stage assumptions'!$C$225*WasteTransportMethod[Emissions Factor
kgCO2e/kg.km]*Calculations[[#This Row],[Total Kg]],0)</f>
        <v>0</v>
      </c>
      <c r="U461" s="322" cm="1">
        <f t="array" ref="U461">IFERROR(VLOOKUP(Calculations[[#This Row],[Waste 1]],WasteScenario[#All],3,FALSE)*'Stage assumptions'!$C$224*WasteTransportMethod[Emissions Factor
kgCO2e/kg.km]*Calculations[[#This Row],[Total Kg]],0)</f>
        <v>0</v>
      </c>
      <c r="V461" s="322" cm="1">
        <f t="array" ref="V461">IFERROR(VLOOKUP(Calculations[[#This Row],[Waste 1]],WasteScenario[#All],4,FALSE)*'Stage assumptions'!$C$223*WasteTransportMethod[Emissions Factor
kgCO2e/kg.km]*Calculations[[#This Row],[Total Kg]],0)</f>
        <v>0</v>
      </c>
      <c r="W461" s="322" cm="1">
        <f t="array" ref="W461">IFERROR(VLOOKUP(Calculations[[#This Row],[Waste 1]],WasteScenario[#All],5,FALSE)*'Stage assumptions'!$C$226*WasteTransportMethod[Emissions Factor
kgCO2e/kg.km]*Calculations[[#This Row],[Total Kg]],0)</f>
        <v>0</v>
      </c>
      <c r="X461" s="322">
        <f>SUM(Calculations[[#This Row],[C2 Recycle]:[C2 Reuse]])</f>
        <v>0</v>
      </c>
      <c r="Y461" t="str">
        <f>IFERROR(VLOOKUP(Calculations[[#This Row],[Material (choose from dropdown]],MaterialData[#All],5,FALSE),"")</f>
        <v/>
      </c>
      <c r="Z461" s="322">
        <f>IFERROR(((VLOOKUP(Calculations[[#This Row],[Waste type 2]],WasteDisposalEmissions[#All],2,FALSE))*Calculations[[#This Row],[Total Kg]])*VLOOKUP(Calculations[[#This Row],[Waste 1]],WasteScenario[#All],2,FALSE),0)</f>
        <v>0</v>
      </c>
      <c r="AA461" s="322">
        <f>IFERROR((VLOOKUP(Calculations[[#This Row],[Waste type 2]],WasteDisposalEmissions[#All],3,FALSE))*Calculations[[#This Row],[Total Kg]]*VLOOKUP(Calculations[[#This Row],[Waste 1]],WasteScenario[#All],3,FALSE),0)</f>
        <v>0</v>
      </c>
      <c r="AB461" s="322">
        <f>SUM(Calculations[[#This Row],[C3 recyc]:[C3 incin]])</f>
        <v>0</v>
      </c>
      <c r="AC461" s="334">
        <f>IFERROR((VLOOKUP(Calculations[[#This Row],[Waste type 2]],WasteLandfillEmissions[#All],2,FALSE))*Calculations[[#This Row],[Total Kg]]*VLOOKUP(Calculations[[#This Row],[Waste 1]],WasteScenario[#All],4,FALSE),0)</f>
        <v>0</v>
      </c>
      <c r="AD461" s="322">
        <f>IFERROR((VLOOKUP(Calculations[[#This Row],[Waste type 2]],WasteLandfillEmissions[#All],3,FALSE))*Calculations[[#This Row],[Total Kg]]*VLOOKUP(Calculations[[#This Row],[Waste 1]],WasteScenario[#All],4,FALSE),0)</f>
        <v>0</v>
      </c>
      <c r="AE461" s="322">
        <f>SUM(Calculations[[#This Row],[C4 landfill]:[C4 re-use]])</f>
        <v>0</v>
      </c>
      <c r="AF461" s="322">
        <f>IFERROR(VLOOKUP(Calculations[[#This Row],[Material (choose from dropdown]],MaterialData[#All],8,FALSE),0)</f>
        <v>0</v>
      </c>
      <c r="AG461" s="322">
        <f>IFERROR(Calculations[[#This Row],[Total Kg]]*Calculations[[#This Row],[Seq factor]],0)</f>
        <v>0</v>
      </c>
      <c r="AI461" s="322">
        <f>Calculations[[#This Row],[A1-3]]+Calculations[[#This Row],[A4]]+Calculations[[#This Row],[A5]]+Calculations[[#This Row],[B4]]+Calculations[[#This Row],[C2 total]]+Calculations[[#This Row],[C3 total]]+Calculations[[#This Row],[C4 total]]</f>
        <v>0</v>
      </c>
      <c r="AJ461" s="2">
        <f>IFERROR(VLOOKUP(Calculations[[#This Row],[Material (choose from dropdown]],MaterialData[[#Headers],[#Data]],9,FALSE),0)</f>
        <v>0</v>
      </c>
      <c r="AK461" s="4">
        <f>IFERROR(VLOOKUP(Calculations[[#This Row],[Material (choose from dropdown]],MaterialData[[#Headers],[#Data]],10,FALSE),0)</f>
        <v>0</v>
      </c>
      <c r="AL461" s="322">
        <f>IFERROR(Calculations[[#This Row],[Data Quality Score]]*Calculations[[#This Row],[Total Kg]],0)</f>
        <v>0</v>
      </c>
    </row>
    <row r="462" spans="1:38" x14ac:dyDescent="0.3">
      <c r="A462" s="6">
        <f>IFERROR(MaterialsBoQ[[#This Row],[Scope Element]],0)</f>
        <v>0</v>
      </c>
      <c r="B462" t="str">
        <f>IFERROR(MaterialsBoQ[[#This Row],[Material ]],"")</f>
        <v/>
      </c>
      <c r="C462" t="str">
        <f>IFERROR(MaterialsBoQ[[#This Row],[Unit]],"")</f>
        <v/>
      </c>
      <c r="D462" s="322">
        <f>IFERROR(MaterialsBoQ[[#This Row],[Number]],0)</f>
        <v>0</v>
      </c>
      <c r="E462" s="322">
        <f>IFERROR(MaterialsBoQ[[#This Row],[Kg per unit]],0)</f>
        <v>0</v>
      </c>
      <c r="F462" s="322">
        <f>IFERROR(Calculations[[#This Row],[Number]]*Calculations[[#This Row],[Conversion factor]],0)</f>
        <v>0</v>
      </c>
      <c r="G462" s="322">
        <f>IFERROR(VLOOKUP(Calculations[[#This Row],[Material (choose from dropdown]],MaterialData[#All],7,FALSE),0)</f>
        <v>0</v>
      </c>
      <c r="H462" s="322">
        <f>Calculations[[#This Row],[Total Kg]]*Calculations[[#This Row],[Carbon Factor]]</f>
        <v>0</v>
      </c>
      <c r="I462" t="str">
        <f>IFERROR(VLOOKUP(Calculations[[#This Row],[Material (choose from dropdown]],MaterialData[#All],2,FALSE),"")</f>
        <v/>
      </c>
      <c r="J462" s="322">
        <f>IFERROR(((VLOOKUP(Calculations[[#This Row],[TransportSource]],TransportDistance[],2,FALSE)*'Stage assumptions'!$C$11)+VLOOKUP(Calculations[[#This Row],[TransportSource]],TransportDistance[],3,FALSE)*'Stage assumptions'!$C$12)*Calculations[[#This Row],[Total Kg]],0)</f>
        <v>0</v>
      </c>
      <c r="K462">
        <f>IFERROR(VLOOKUP(Calculations[[#This Row],[Material (choose from dropdown]], MaterialData[#All],3, FALSE),0)</f>
        <v>0</v>
      </c>
      <c r="L462" s="322">
        <f>IFERROR(VLOOKUP(Calculations[[#This Row],[A5type]],A5WastageRate[#All],2,FALSE)*Calculations[[#This Row],[A1-3]],0)</f>
        <v>0</v>
      </c>
      <c r="N462">
        <f>IFERROR(ROUNDUP(50/VLOOKUP(Calculations[[#This Row],[Scope Element]],B4referenceServiceLife[[Tier 2 element]:[Default Service Life]],2, FALSE)-1,0),0)</f>
        <v>0</v>
      </c>
      <c r="O462" s="322">
        <f>IFERROR((Calculations[[#This Row],[A1-3]]+Calculations[[#This Row],[A4]]+Calculations[[#This Row],[A5]]+Calculations[[#This Row],[C2 total]]+Calculations[[#This Row],[C3 total]]+Calculations[[#This Row],[C4 total]])*Calculations[[#This Row],[Replacements]],0)</f>
        <v>0</v>
      </c>
      <c r="S462" t="str">
        <f>IFERROR(VLOOKUP(Calculations[[#This Row],[Material (choose from dropdown]],MaterialData[#All],4,FALSE),"")</f>
        <v/>
      </c>
      <c r="T462" s="322" cm="1">
        <f t="array" ref="T462">IFERROR(VLOOKUP(Calculations[[#This Row],[Waste 1]],WasteScenario[#All],2,FALSE)*'Stage assumptions'!$C$225*WasteTransportMethod[Emissions Factor
kgCO2e/kg.km]*Calculations[[#This Row],[Total Kg]],0)</f>
        <v>0</v>
      </c>
      <c r="U462" s="322" cm="1">
        <f t="array" ref="U462">IFERROR(VLOOKUP(Calculations[[#This Row],[Waste 1]],WasteScenario[#All],3,FALSE)*'Stage assumptions'!$C$224*WasteTransportMethod[Emissions Factor
kgCO2e/kg.km]*Calculations[[#This Row],[Total Kg]],0)</f>
        <v>0</v>
      </c>
      <c r="V462" s="322" cm="1">
        <f t="array" ref="V462">IFERROR(VLOOKUP(Calculations[[#This Row],[Waste 1]],WasteScenario[#All],4,FALSE)*'Stage assumptions'!$C$223*WasteTransportMethod[Emissions Factor
kgCO2e/kg.km]*Calculations[[#This Row],[Total Kg]],0)</f>
        <v>0</v>
      </c>
      <c r="W462" s="322" cm="1">
        <f t="array" ref="W462">IFERROR(VLOOKUP(Calculations[[#This Row],[Waste 1]],WasteScenario[#All],5,FALSE)*'Stage assumptions'!$C$226*WasteTransportMethod[Emissions Factor
kgCO2e/kg.km]*Calculations[[#This Row],[Total Kg]],0)</f>
        <v>0</v>
      </c>
      <c r="X462" s="322">
        <f>SUM(Calculations[[#This Row],[C2 Recycle]:[C2 Reuse]])</f>
        <v>0</v>
      </c>
      <c r="Y462" t="str">
        <f>IFERROR(VLOOKUP(Calculations[[#This Row],[Material (choose from dropdown]],MaterialData[#All],5,FALSE),"")</f>
        <v/>
      </c>
      <c r="Z462" s="322">
        <f>IFERROR(((VLOOKUP(Calculations[[#This Row],[Waste type 2]],WasteDisposalEmissions[#All],2,FALSE))*Calculations[[#This Row],[Total Kg]])*VLOOKUP(Calculations[[#This Row],[Waste 1]],WasteScenario[#All],2,FALSE),0)</f>
        <v>0</v>
      </c>
      <c r="AA462" s="322">
        <f>IFERROR((VLOOKUP(Calculations[[#This Row],[Waste type 2]],WasteDisposalEmissions[#All],3,FALSE))*Calculations[[#This Row],[Total Kg]]*VLOOKUP(Calculations[[#This Row],[Waste 1]],WasteScenario[#All],3,FALSE),0)</f>
        <v>0</v>
      </c>
      <c r="AB462" s="322">
        <f>SUM(Calculations[[#This Row],[C3 recyc]:[C3 incin]])</f>
        <v>0</v>
      </c>
      <c r="AC462" s="334">
        <f>IFERROR((VLOOKUP(Calculations[[#This Row],[Waste type 2]],WasteLandfillEmissions[#All],2,FALSE))*Calculations[[#This Row],[Total Kg]]*VLOOKUP(Calculations[[#This Row],[Waste 1]],WasteScenario[#All],4,FALSE),0)</f>
        <v>0</v>
      </c>
      <c r="AD462" s="322">
        <f>IFERROR((VLOOKUP(Calculations[[#This Row],[Waste type 2]],WasteLandfillEmissions[#All],3,FALSE))*Calculations[[#This Row],[Total Kg]]*VLOOKUP(Calculations[[#This Row],[Waste 1]],WasteScenario[#All],4,FALSE),0)</f>
        <v>0</v>
      </c>
      <c r="AE462" s="322">
        <f>SUM(Calculations[[#This Row],[C4 landfill]:[C4 re-use]])</f>
        <v>0</v>
      </c>
      <c r="AF462" s="322">
        <f>IFERROR(VLOOKUP(Calculations[[#This Row],[Material (choose from dropdown]],MaterialData[#All],8,FALSE),0)</f>
        <v>0</v>
      </c>
      <c r="AG462" s="322">
        <f>IFERROR(Calculations[[#This Row],[Total Kg]]*Calculations[[#This Row],[Seq factor]],0)</f>
        <v>0</v>
      </c>
      <c r="AI462" s="322">
        <f>Calculations[[#This Row],[A1-3]]+Calculations[[#This Row],[A4]]+Calculations[[#This Row],[A5]]+Calculations[[#This Row],[B4]]+Calculations[[#This Row],[C2 total]]+Calculations[[#This Row],[C3 total]]+Calculations[[#This Row],[C4 total]]</f>
        <v>0</v>
      </c>
      <c r="AJ462" s="2">
        <f>IFERROR(VLOOKUP(Calculations[[#This Row],[Material (choose from dropdown]],MaterialData[[#Headers],[#Data]],9,FALSE),0)</f>
        <v>0</v>
      </c>
      <c r="AK462" s="4">
        <f>IFERROR(VLOOKUP(Calculations[[#This Row],[Material (choose from dropdown]],MaterialData[[#Headers],[#Data]],10,FALSE),0)</f>
        <v>0</v>
      </c>
      <c r="AL462" s="322">
        <f>IFERROR(Calculations[[#This Row],[Data Quality Score]]*Calculations[[#This Row],[Total Kg]],0)</f>
        <v>0</v>
      </c>
    </row>
    <row r="463" spans="1:38" x14ac:dyDescent="0.3">
      <c r="A463" s="6">
        <f>IFERROR(MaterialsBoQ[[#This Row],[Scope Element]],0)</f>
        <v>0</v>
      </c>
      <c r="B463" t="str">
        <f>IFERROR(MaterialsBoQ[[#This Row],[Material ]],"")</f>
        <v/>
      </c>
      <c r="C463" t="str">
        <f>IFERROR(MaterialsBoQ[[#This Row],[Unit]],"")</f>
        <v/>
      </c>
      <c r="D463" s="322">
        <f>IFERROR(MaterialsBoQ[[#This Row],[Number]],0)</f>
        <v>0</v>
      </c>
      <c r="E463" s="322">
        <f>IFERROR(MaterialsBoQ[[#This Row],[Kg per unit]],0)</f>
        <v>0</v>
      </c>
      <c r="F463" s="322">
        <f>IFERROR(Calculations[[#This Row],[Number]]*Calculations[[#This Row],[Conversion factor]],0)</f>
        <v>0</v>
      </c>
      <c r="G463" s="322">
        <f>IFERROR(VLOOKUP(Calculations[[#This Row],[Material (choose from dropdown]],MaterialData[#All],7,FALSE),0)</f>
        <v>0</v>
      </c>
      <c r="H463" s="322">
        <f>Calculations[[#This Row],[Total Kg]]*Calculations[[#This Row],[Carbon Factor]]</f>
        <v>0</v>
      </c>
      <c r="I463" t="str">
        <f>IFERROR(VLOOKUP(Calculations[[#This Row],[Material (choose from dropdown]],MaterialData[#All],2,FALSE),"")</f>
        <v/>
      </c>
      <c r="J463" s="322">
        <f>IFERROR(((VLOOKUP(Calculations[[#This Row],[TransportSource]],TransportDistance[],2,FALSE)*'Stage assumptions'!$C$11)+VLOOKUP(Calculations[[#This Row],[TransportSource]],TransportDistance[],3,FALSE)*'Stage assumptions'!$C$12)*Calculations[[#This Row],[Total Kg]],0)</f>
        <v>0</v>
      </c>
      <c r="K463">
        <f>IFERROR(VLOOKUP(Calculations[[#This Row],[Material (choose from dropdown]], MaterialData[#All],3, FALSE),0)</f>
        <v>0</v>
      </c>
      <c r="L463" s="322">
        <f>IFERROR(VLOOKUP(Calculations[[#This Row],[A5type]],A5WastageRate[#All],2,FALSE)*Calculations[[#This Row],[A1-3]],0)</f>
        <v>0</v>
      </c>
      <c r="N463">
        <f>IFERROR(ROUNDUP(50/VLOOKUP(Calculations[[#This Row],[Scope Element]],B4referenceServiceLife[[Tier 2 element]:[Default Service Life]],2, FALSE)-1,0),0)</f>
        <v>0</v>
      </c>
      <c r="O463" s="322">
        <f>IFERROR((Calculations[[#This Row],[A1-3]]+Calculations[[#This Row],[A4]]+Calculations[[#This Row],[A5]]+Calculations[[#This Row],[C2 total]]+Calculations[[#This Row],[C3 total]]+Calculations[[#This Row],[C4 total]])*Calculations[[#This Row],[Replacements]],0)</f>
        <v>0</v>
      </c>
      <c r="S463" t="str">
        <f>IFERROR(VLOOKUP(Calculations[[#This Row],[Material (choose from dropdown]],MaterialData[#All],4,FALSE),"")</f>
        <v/>
      </c>
      <c r="T463" s="322" cm="1">
        <f t="array" ref="T463">IFERROR(VLOOKUP(Calculations[[#This Row],[Waste 1]],WasteScenario[#All],2,FALSE)*'Stage assumptions'!$C$225*WasteTransportMethod[Emissions Factor
kgCO2e/kg.km]*Calculations[[#This Row],[Total Kg]],0)</f>
        <v>0</v>
      </c>
      <c r="U463" s="322" cm="1">
        <f t="array" ref="U463">IFERROR(VLOOKUP(Calculations[[#This Row],[Waste 1]],WasteScenario[#All],3,FALSE)*'Stage assumptions'!$C$224*WasteTransportMethod[Emissions Factor
kgCO2e/kg.km]*Calculations[[#This Row],[Total Kg]],0)</f>
        <v>0</v>
      </c>
      <c r="V463" s="322" cm="1">
        <f t="array" ref="V463">IFERROR(VLOOKUP(Calculations[[#This Row],[Waste 1]],WasteScenario[#All],4,FALSE)*'Stage assumptions'!$C$223*WasteTransportMethod[Emissions Factor
kgCO2e/kg.km]*Calculations[[#This Row],[Total Kg]],0)</f>
        <v>0</v>
      </c>
      <c r="W463" s="322" cm="1">
        <f t="array" ref="W463">IFERROR(VLOOKUP(Calculations[[#This Row],[Waste 1]],WasteScenario[#All],5,FALSE)*'Stage assumptions'!$C$226*WasteTransportMethod[Emissions Factor
kgCO2e/kg.km]*Calculations[[#This Row],[Total Kg]],0)</f>
        <v>0</v>
      </c>
      <c r="X463" s="322">
        <f>SUM(Calculations[[#This Row],[C2 Recycle]:[C2 Reuse]])</f>
        <v>0</v>
      </c>
      <c r="Y463" t="str">
        <f>IFERROR(VLOOKUP(Calculations[[#This Row],[Material (choose from dropdown]],MaterialData[#All],5,FALSE),"")</f>
        <v/>
      </c>
      <c r="Z463" s="322">
        <f>IFERROR(((VLOOKUP(Calculations[[#This Row],[Waste type 2]],WasteDisposalEmissions[#All],2,FALSE))*Calculations[[#This Row],[Total Kg]])*VLOOKUP(Calculations[[#This Row],[Waste 1]],WasteScenario[#All],2,FALSE),0)</f>
        <v>0</v>
      </c>
      <c r="AA463" s="322">
        <f>IFERROR((VLOOKUP(Calculations[[#This Row],[Waste type 2]],WasteDisposalEmissions[#All],3,FALSE))*Calculations[[#This Row],[Total Kg]]*VLOOKUP(Calculations[[#This Row],[Waste 1]],WasteScenario[#All],3,FALSE),0)</f>
        <v>0</v>
      </c>
      <c r="AB463" s="322">
        <f>SUM(Calculations[[#This Row],[C3 recyc]:[C3 incin]])</f>
        <v>0</v>
      </c>
      <c r="AC463" s="334">
        <f>IFERROR((VLOOKUP(Calculations[[#This Row],[Waste type 2]],WasteLandfillEmissions[#All],2,FALSE))*Calculations[[#This Row],[Total Kg]]*VLOOKUP(Calculations[[#This Row],[Waste 1]],WasteScenario[#All],4,FALSE),0)</f>
        <v>0</v>
      </c>
      <c r="AD463" s="322">
        <f>IFERROR((VLOOKUP(Calculations[[#This Row],[Waste type 2]],WasteLandfillEmissions[#All],3,FALSE))*Calculations[[#This Row],[Total Kg]]*VLOOKUP(Calculations[[#This Row],[Waste 1]],WasteScenario[#All],4,FALSE),0)</f>
        <v>0</v>
      </c>
      <c r="AE463" s="322">
        <f>SUM(Calculations[[#This Row],[C4 landfill]:[C4 re-use]])</f>
        <v>0</v>
      </c>
      <c r="AF463" s="322">
        <f>IFERROR(VLOOKUP(Calculations[[#This Row],[Material (choose from dropdown]],MaterialData[#All],8,FALSE),0)</f>
        <v>0</v>
      </c>
      <c r="AG463" s="322">
        <f>IFERROR(Calculations[[#This Row],[Total Kg]]*Calculations[[#This Row],[Seq factor]],0)</f>
        <v>0</v>
      </c>
      <c r="AI463" s="322">
        <f>Calculations[[#This Row],[A1-3]]+Calculations[[#This Row],[A4]]+Calculations[[#This Row],[A5]]+Calculations[[#This Row],[B4]]+Calculations[[#This Row],[C2 total]]+Calculations[[#This Row],[C3 total]]+Calculations[[#This Row],[C4 total]]</f>
        <v>0</v>
      </c>
      <c r="AJ463" s="2">
        <f>IFERROR(VLOOKUP(Calculations[[#This Row],[Material (choose from dropdown]],MaterialData[[#Headers],[#Data]],9,FALSE),0)</f>
        <v>0</v>
      </c>
      <c r="AK463" s="4">
        <f>IFERROR(VLOOKUP(Calculations[[#This Row],[Material (choose from dropdown]],MaterialData[[#Headers],[#Data]],10,FALSE),0)</f>
        <v>0</v>
      </c>
      <c r="AL463" s="322">
        <f>IFERROR(Calculations[[#This Row],[Data Quality Score]]*Calculations[[#This Row],[Total Kg]],0)</f>
        <v>0</v>
      </c>
    </row>
    <row r="464" spans="1:38" x14ac:dyDescent="0.3">
      <c r="A464" s="6">
        <f>IFERROR(MaterialsBoQ[[#This Row],[Scope Element]],0)</f>
        <v>0</v>
      </c>
      <c r="B464" t="str">
        <f>IFERROR(MaterialsBoQ[[#This Row],[Material ]],"")</f>
        <v/>
      </c>
      <c r="C464" t="str">
        <f>IFERROR(MaterialsBoQ[[#This Row],[Unit]],"")</f>
        <v/>
      </c>
      <c r="D464" s="322">
        <f>IFERROR(MaterialsBoQ[[#This Row],[Number]],0)</f>
        <v>0</v>
      </c>
      <c r="E464" s="322">
        <f>IFERROR(MaterialsBoQ[[#This Row],[Kg per unit]],0)</f>
        <v>0</v>
      </c>
      <c r="F464" s="322">
        <f>IFERROR(Calculations[[#This Row],[Number]]*Calculations[[#This Row],[Conversion factor]],0)</f>
        <v>0</v>
      </c>
      <c r="G464" s="322">
        <f>IFERROR(VLOOKUP(Calculations[[#This Row],[Material (choose from dropdown]],MaterialData[#All],7,FALSE),0)</f>
        <v>0</v>
      </c>
      <c r="H464" s="322">
        <f>Calculations[[#This Row],[Total Kg]]*Calculations[[#This Row],[Carbon Factor]]</f>
        <v>0</v>
      </c>
      <c r="I464" t="str">
        <f>IFERROR(VLOOKUP(Calculations[[#This Row],[Material (choose from dropdown]],MaterialData[#All],2,FALSE),"")</f>
        <v/>
      </c>
      <c r="J464" s="322">
        <f>IFERROR(((VLOOKUP(Calculations[[#This Row],[TransportSource]],TransportDistance[],2,FALSE)*'Stage assumptions'!$C$11)+VLOOKUP(Calculations[[#This Row],[TransportSource]],TransportDistance[],3,FALSE)*'Stage assumptions'!$C$12)*Calculations[[#This Row],[Total Kg]],0)</f>
        <v>0</v>
      </c>
      <c r="K464">
        <f>IFERROR(VLOOKUP(Calculations[[#This Row],[Material (choose from dropdown]], MaterialData[#All],3, FALSE),0)</f>
        <v>0</v>
      </c>
      <c r="L464" s="322">
        <f>IFERROR(VLOOKUP(Calculations[[#This Row],[A5type]],A5WastageRate[#All],2,FALSE)*Calculations[[#This Row],[A1-3]],0)</f>
        <v>0</v>
      </c>
      <c r="N464">
        <f>IFERROR(ROUNDUP(50/VLOOKUP(Calculations[[#This Row],[Scope Element]],B4referenceServiceLife[[Tier 2 element]:[Default Service Life]],2, FALSE)-1,0),0)</f>
        <v>0</v>
      </c>
      <c r="O464" s="322">
        <f>IFERROR((Calculations[[#This Row],[A1-3]]+Calculations[[#This Row],[A4]]+Calculations[[#This Row],[A5]]+Calculations[[#This Row],[C2 total]]+Calculations[[#This Row],[C3 total]]+Calculations[[#This Row],[C4 total]])*Calculations[[#This Row],[Replacements]],0)</f>
        <v>0</v>
      </c>
      <c r="S464" t="str">
        <f>IFERROR(VLOOKUP(Calculations[[#This Row],[Material (choose from dropdown]],MaterialData[#All],4,FALSE),"")</f>
        <v/>
      </c>
      <c r="T464" s="322" cm="1">
        <f t="array" ref="T464">IFERROR(VLOOKUP(Calculations[[#This Row],[Waste 1]],WasteScenario[#All],2,FALSE)*'Stage assumptions'!$C$225*WasteTransportMethod[Emissions Factor
kgCO2e/kg.km]*Calculations[[#This Row],[Total Kg]],0)</f>
        <v>0</v>
      </c>
      <c r="U464" s="322" cm="1">
        <f t="array" ref="U464">IFERROR(VLOOKUP(Calculations[[#This Row],[Waste 1]],WasteScenario[#All],3,FALSE)*'Stage assumptions'!$C$224*WasteTransportMethod[Emissions Factor
kgCO2e/kg.km]*Calculations[[#This Row],[Total Kg]],0)</f>
        <v>0</v>
      </c>
      <c r="V464" s="322" cm="1">
        <f t="array" ref="V464">IFERROR(VLOOKUP(Calculations[[#This Row],[Waste 1]],WasteScenario[#All],4,FALSE)*'Stage assumptions'!$C$223*WasteTransportMethod[Emissions Factor
kgCO2e/kg.km]*Calculations[[#This Row],[Total Kg]],0)</f>
        <v>0</v>
      </c>
      <c r="W464" s="322" cm="1">
        <f t="array" ref="W464">IFERROR(VLOOKUP(Calculations[[#This Row],[Waste 1]],WasteScenario[#All],5,FALSE)*'Stage assumptions'!$C$226*WasteTransportMethod[Emissions Factor
kgCO2e/kg.km]*Calculations[[#This Row],[Total Kg]],0)</f>
        <v>0</v>
      </c>
      <c r="X464" s="322">
        <f>SUM(Calculations[[#This Row],[C2 Recycle]:[C2 Reuse]])</f>
        <v>0</v>
      </c>
      <c r="Y464" t="str">
        <f>IFERROR(VLOOKUP(Calculations[[#This Row],[Material (choose from dropdown]],MaterialData[#All],5,FALSE),"")</f>
        <v/>
      </c>
      <c r="Z464" s="322">
        <f>IFERROR(((VLOOKUP(Calculations[[#This Row],[Waste type 2]],WasteDisposalEmissions[#All],2,FALSE))*Calculations[[#This Row],[Total Kg]])*VLOOKUP(Calculations[[#This Row],[Waste 1]],WasteScenario[#All],2,FALSE),0)</f>
        <v>0</v>
      </c>
      <c r="AA464" s="322">
        <f>IFERROR((VLOOKUP(Calculations[[#This Row],[Waste type 2]],WasteDisposalEmissions[#All],3,FALSE))*Calculations[[#This Row],[Total Kg]]*VLOOKUP(Calculations[[#This Row],[Waste 1]],WasteScenario[#All],3,FALSE),0)</f>
        <v>0</v>
      </c>
      <c r="AB464" s="322">
        <f>SUM(Calculations[[#This Row],[C3 recyc]:[C3 incin]])</f>
        <v>0</v>
      </c>
      <c r="AC464" s="334">
        <f>IFERROR((VLOOKUP(Calculations[[#This Row],[Waste type 2]],WasteLandfillEmissions[#All],2,FALSE))*Calculations[[#This Row],[Total Kg]]*VLOOKUP(Calculations[[#This Row],[Waste 1]],WasteScenario[#All],4,FALSE),0)</f>
        <v>0</v>
      </c>
      <c r="AD464" s="322">
        <f>IFERROR((VLOOKUP(Calculations[[#This Row],[Waste type 2]],WasteLandfillEmissions[#All],3,FALSE))*Calculations[[#This Row],[Total Kg]]*VLOOKUP(Calculations[[#This Row],[Waste 1]],WasteScenario[#All],4,FALSE),0)</f>
        <v>0</v>
      </c>
      <c r="AE464" s="322">
        <f>SUM(Calculations[[#This Row],[C4 landfill]:[C4 re-use]])</f>
        <v>0</v>
      </c>
      <c r="AF464" s="322">
        <f>IFERROR(VLOOKUP(Calculations[[#This Row],[Material (choose from dropdown]],MaterialData[#All],8,FALSE),0)</f>
        <v>0</v>
      </c>
      <c r="AG464" s="322">
        <f>IFERROR(Calculations[[#This Row],[Total Kg]]*Calculations[[#This Row],[Seq factor]],0)</f>
        <v>0</v>
      </c>
      <c r="AI464" s="322">
        <f>Calculations[[#This Row],[A1-3]]+Calculations[[#This Row],[A4]]+Calculations[[#This Row],[A5]]+Calculations[[#This Row],[B4]]+Calculations[[#This Row],[C2 total]]+Calculations[[#This Row],[C3 total]]+Calculations[[#This Row],[C4 total]]</f>
        <v>0</v>
      </c>
      <c r="AJ464" s="2">
        <f>IFERROR(VLOOKUP(Calculations[[#This Row],[Material (choose from dropdown]],MaterialData[[#Headers],[#Data]],9,FALSE),0)</f>
        <v>0</v>
      </c>
      <c r="AK464" s="4">
        <f>IFERROR(VLOOKUP(Calculations[[#This Row],[Material (choose from dropdown]],MaterialData[[#Headers],[#Data]],10,FALSE),0)</f>
        <v>0</v>
      </c>
      <c r="AL464" s="322">
        <f>IFERROR(Calculations[[#This Row],[Data Quality Score]]*Calculations[[#This Row],[Total Kg]],0)</f>
        <v>0</v>
      </c>
    </row>
    <row r="465" spans="1:38" x14ac:dyDescent="0.3">
      <c r="A465" s="6">
        <f>IFERROR(MaterialsBoQ[[#This Row],[Scope Element]],0)</f>
        <v>0</v>
      </c>
      <c r="B465" t="str">
        <f>IFERROR(MaterialsBoQ[[#This Row],[Material ]],"")</f>
        <v/>
      </c>
      <c r="C465" t="str">
        <f>IFERROR(MaterialsBoQ[[#This Row],[Unit]],"")</f>
        <v/>
      </c>
      <c r="D465" s="322">
        <f>IFERROR(MaterialsBoQ[[#This Row],[Number]],0)</f>
        <v>0</v>
      </c>
      <c r="E465" s="322">
        <f>IFERROR(MaterialsBoQ[[#This Row],[Kg per unit]],0)</f>
        <v>0</v>
      </c>
      <c r="F465" s="322">
        <f>IFERROR(Calculations[[#This Row],[Number]]*Calculations[[#This Row],[Conversion factor]],0)</f>
        <v>0</v>
      </c>
      <c r="G465" s="322">
        <f>IFERROR(VLOOKUP(Calculations[[#This Row],[Material (choose from dropdown]],MaterialData[#All],7,FALSE),0)</f>
        <v>0</v>
      </c>
      <c r="H465" s="322">
        <f>Calculations[[#This Row],[Total Kg]]*Calculations[[#This Row],[Carbon Factor]]</f>
        <v>0</v>
      </c>
      <c r="I465" t="str">
        <f>IFERROR(VLOOKUP(Calculations[[#This Row],[Material (choose from dropdown]],MaterialData[#All],2,FALSE),"")</f>
        <v/>
      </c>
      <c r="J465" s="322">
        <f>IFERROR(((VLOOKUP(Calculations[[#This Row],[TransportSource]],TransportDistance[],2,FALSE)*'Stage assumptions'!$C$11)+VLOOKUP(Calculations[[#This Row],[TransportSource]],TransportDistance[],3,FALSE)*'Stage assumptions'!$C$12)*Calculations[[#This Row],[Total Kg]],0)</f>
        <v>0</v>
      </c>
      <c r="K465">
        <f>IFERROR(VLOOKUP(Calculations[[#This Row],[Material (choose from dropdown]], MaterialData[#All],3, FALSE),0)</f>
        <v>0</v>
      </c>
      <c r="L465" s="322">
        <f>IFERROR(VLOOKUP(Calculations[[#This Row],[A5type]],A5WastageRate[#All],2,FALSE)*Calculations[[#This Row],[A1-3]],0)</f>
        <v>0</v>
      </c>
      <c r="N465">
        <f>IFERROR(ROUNDUP(50/VLOOKUP(Calculations[[#This Row],[Scope Element]],B4referenceServiceLife[[Tier 2 element]:[Default Service Life]],2, FALSE)-1,0),0)</f>
        <v>0</v>
      </c>
      <c r="O465" s="322">
        <f>IFERROR((Calculations[[#This Row],[A1-3]]+Calculations[[#This Row],[A4]]+Calculations[[#This Row],[A5]]+Calculations[[#This Row],[C2 total]]+Calculations[[#This Row],[C3 total]]+Calculations[[#This Row],[C4 total]])*Calculations[[#This Row],[Replacements]],0)</f>
        <v>0</v>
      </c>
      <c r="S465" t="str">
        <f>IFERROR(VLOOKUP(Calculations[[#This Row],[Material (choose from dropdown]],MaterialData[#All],4,FALSE),"")</f>
        <v/>
      </c>
      <c r="T465" s="322" cm="1">
        <f t="array" ref="T465">IFERROR(VLOOKUP(Calculations[[#This Row],[Waste 1]],WasteScenario[#All],2,FALSE)*'Stage assumptions'!$C$225*WasteTransportMethod[Emissions Factor
kgCO2e/kg.km]*Calculations[[#This Row],[Total Kg]],0)</f>
        <v>0</v>
      </c>
      <c r="U465" s="322" cm="1">
        <f t="array" ref="U465">IFERROR(VLOOKUP(Calculations[[#This Row],[Waste 1]],WasteScenario[#All],3,FALSE)*'Stage assumptions'!$C$224*WasteTransportMethod[Emissions Factor
kgCO2e/kg.km]*Calculations[[#This Row],[Total Kg]],0)</f>
        <v>0</v>
      </c>
      <c r="V465" s="322" cm="1">
        <f t="array" ref="V465">IFERROR(VLOOKUP(Calculations[[#This Row],[Waste 1]],WasteScenario[#All],4,FALSE)*'Stage assumptions'!$C$223*WasteTransportMethod[Emissions Factor
kgCO2e/kg.km]*Calculations[[#This Row],[Total Kg]],0)</f>
        <v>0</v>
      </c>
      <c r="W465" s="322" cm="1">
        <f t="array" ref="W465">IFERROR(VLOOKUP(Calculations[[#This Row],[Waste 1]],WasteScenario[#All],5,FALSE)*'Stage assumptions'!$C$226*WasteTransportMethod[Emissions Factor
kgCO2e/kg.km]*Calculations[[#This Row],[Total Kg]],0)</f>
        <v>0</v>
      </c>
      <c r="X465" s="322">
        <f>SUM(Calculations[[#This Row],[C2 Recycle]:[C2 Reuse]])</f>
        <v>0</v>
      </c>
      <c r="Y465" t="str">
        <f>IFERROR(VLOOKUP(Calculations[[#This Row],[Material (choose from dropdown]],MaterialData[#All],5,FALSE),"")</f>
        <v/>
      </c>
      <c r="Z465" s="322">
        <f>IFERROR(((VLOOKUP(Calculations[[#This Row],[Waste type 2]],WasteDisposalEmissions[#All],2,FALSE))*Calculations[[#This Row],[Total Kg]])*VLOOKUP(Calculations[[#This Row],[Waste 1]],WasteScenario[#All],2,FALSE),0)</f>
        <v>0</v>
      </c>
      <c r="AA465" s="322">
        <f>IFERROR((VLOOKUP(Calculations[[#This Row],[Waste type 2]],WasteDisposalEmissions[#All],3,FALSE))*Calculations[[#This Row],[Total Kg]]*VLOOKUP(Calculations[[#This Row],[Waste 1]],WasteScenario[#All],3,FALSE),0)</f>
        <v>0</v>
      </c>
      <c r="AB465" s="322">
        <f>SUM(Calculations[[#This Row],[C3 recyc]:[C3 incin]])</f>
        <v>0</v>
      </c>
      <c r="AC465" s="334">
        <f>IFERROR((VLOOKUP(Calculations[[#This Row],[Waste type 2]],WasteLandfillEmissions[#All],2,FALSE))*Calculations[[#This Row],[Total Kg]]*VLOOKUP(Calculations[[#This Row],[Waste 1]],WasteScenario[#All],4,FALSE),0)</f>
        <v>0</v>
      </c>
      <c r="AD465" s="322">
        <f>IFERROR((VLOOKUP(Calculations[[#This Row],[Waste type 2]],WasteLandfillEmissions[#All],3,FALSE))*Calculations[[#This Row],[Total Kg]]*VLOOKUP(Calculations[[#This Row],[Waste 1]],WasteScenario[#All],4,FALSE),0)</f>
        <v>0</v>
      </c>
      <c r="AE465" s="322">
        <f>SUM(Calculations[[#This Row],[C4 landfill]:[C4 re-use]])</f>
        <v>0</v>
      </c>
      <c r="AF465" s="322">
        <f>IFERROR(VLOOKUP(Calculations[[#This Row],[Material (choose from dropdown]],MaterialData[#All],8,FALSE),0)</f>
        <v>0</v>
      </c>
      <c r="AG465" s="322">
        <f>IFERROR(Calculations[[#This Row],[Total Kg]]*Calculations[[#This Row],[Seq factor]],0)</f>
        <v>0</v>
      </c>
      <c r="AI465" s="322">
        <f>Calculations[[#This Row],[A1-3]]+Calculations[[#This Row],[A4]]+Calculations[[#This Row],[A5]]+Calculations[[#This Row],[B4]]+Calculations[[#This Row],[C2 total]]+Calculations[[#This Row],[C3 total]]+Calculations[[#This Row],[C4 total]]</f>
        <v>0</v>
      </c>
      <c r="AJ465" s="2">
        <f>IFERROR(VLOOKUP(Calculations[[#This Row],[Material (choose from dropdown]],MaterialData[[#Headers],[#Data]],9,FALSE),0)</f>
        <v>0</v>
      </c>
      <c r="AK465" s="4">
        <f>IFERROR(VLOOKUP(Calculations[[#This Row],[Material (choose from dropdown]],MaterialData[[#Headers],[#Data]],10,FALSE),0)</f>
        <v>0</v>
      </c>
      <c r="AL465" s="322">
        <f>IFERROR(Calculations[[#This Row],[Data Quality Score]]*Calculations[[#This Row],[Total Kg]],0)</f>
        <v>0</v>
      </c>
    </row>
    <row r="466" spans="1:38" x14ac:dyDescent="0.3">
      <c r="A466" s="6">
        <f>IFERROR(MaterialsBoQ[[#This Row],[Scope Element]],0)</f>
        <v>0</v>
      </c>
      <c r="B466" t="str">
        <f>IFERROR(MaterialsBoQ[[#This Row],[Material ]],"")</f>
        <v/>
      </c>
      <c r="C466" t="str">
        <f>IFERROR(MaterialsBoQ[[#This Row],[Unit]],"")</f>
        <v/>
      </c>
      <c r="D466" s="322">
        <f>IFERROR(MaterialsBoQ[[#This Row],[Number]],0)</f>
        <v>0</v>
      </c>
      <c r="E466" s="322">
        <f>IFERROR(MaterialsBoQ[[#This Row],[Kg per unit]],0)</f>
        <v>0</v>
      </c>
      <c r="F466" s="322">
        <f>IFERROR(Calculations[[#This Row],[Number]]*Calculations[[#This Row],[Conversion factor]],0)</f>
        <v>0</v>
      </c>
      <c r="G466" s="322">
        <f>IFERROR(VLOOKUP(Calculations[[#This Row],[Material (choose from dropdown]],MaterialData[#All],7,FALSE),0)</f>
        <v>0</v>
      </c>
      <c r="H466" s="322">
        <f>Calculations[[#This Row],[Total Kg]]*Calculations[[#This Row],[Carbon Factor]]</f>
        <v>0</v>
      </c>
      <c r="I466" t="str">
        <f>IFERROR(VLOOKUP(Calculations[[#This Row],[Material (choose from dropdown]],MaterialData[#All],2,FALSE),"")</f>
        <v/>
      </c>
      <c r="J466" s="322">
        <f>IFERROR(((VLOOKUP(Calculations[[#This Row],[TransportSource]],TransportDistance[],2,FALSE)*'Stage assumptions'!$C$11)+VLOOKUP(Calculations[[#This Row],[TransportSource]],TransportDistance[],3,FALSE)*'Stage assumptions'!$C$12)*Calculations[[#This Row],[Total Kg]],0)</f>
        <v>0</v>
      </c>
      <c r="K466">
        <f>IFERROR(VLOOKUP(Calculations[[#This Row],[Material (choose from dropdown]], MaterialData[#All],3, FALSE),0)</f>
        <v>0</v>
      </c>
      <c r="L466" s="322">
        <f>IFERROR(VLOOKUP(Calculations[[#This Row],[A5type]],A5WastageRate[#All],2,FALSE)*Calculations[[#This Row],[A1-3]],0)</f>
        <v>0</v>
      </c>
      <c r="N466">
        <f>IFERROR(ROUNDUP(50/VLOOKUP(Calculations[[#This Row],[Scope Element]],B4referenceServiceLife[[Tier 2 element]:[Default Service Life]],2, FALSE)-1,0),0)</f>
        <v>0</v>
      </c>
      <c r="O466" s="322">
        <f>IFERROR((Calculations[[#This Row],[A1-3]]+Calculations[[#This Row],[A4]]+Calculations[[#This Row],[A5]]+Calculations[[#This Row],[C2 total]]+Calculations[[#This Row],[C3 total]]+Calculations[[#This Row],[C4 total]])*Calculations[[#This Row],[Replacements]],0)</f>
        <v>0</v>
      </c>
      <c r="S466" t="str">
        <f>IFERROR(VLOOKUP(Calculations[[#This Row],[Material (choose from dropdown]],MaterialData[#All],4,FALSE),"")</f>
        <v/>
      </c>
      <c r="T466" s="322" cm="1">
        <f t="array" ref="T466">IFERROR(VLOOKUP(Calculations[[#This Row],[Waste 1]],WasteScenario[#All],2,FALSE)*'Stage assumptions'!$C$225*WasteTransportMethod[Emissions Factor
kgCO2e/kg.km]*Calculations[[#This Row],[Total Kg]],0)</f>
        <v>0</v>
      </c>
      <c r="U466" s="322" cm="1">
        <f t="array" ref="U466">IFERROR(VLOOKUP(Calculations[[#This Row],[Waste 1]],WasteScenario[#All],3,FALSE)*'Stage assumptions'!$C$224*WasteTransportMethod[Emissions Factor
kgCO2e/kg.km]*Calculations[[#This Row],[Total Kg]],0)</f>
        <v>0</v>
      </c>
      <c r="V466" s="322" cm="1">
        <f t="array" ref="V466">IFERROR(VLOOKUP(Calculations[[#This Row],[Waste 1]],WasteScenario[#All],4,FALSE)*'Stage assumptions'!$C$223*WasteTransportMethod[Emissions Factor
kgCO2e/kg.km]*Calculations[[#This Row],[Total Kg]],0)</f>
        <v>0</v>
      </c>
      <c r="W466" s="322" cm="1">
        <f t="array" ref="W466">IFERROR(VLOOKUP(Calculations[[#This Row],[Waste 1]],WasteScenario[#All],5,FALSE)*'Stage assumptions'!$C$226*WasteTransportMethod[Emissions Factor
kgCO2e/kg.km]*Calculations[[#This Row],[Total Kg]],0)</f>
        <v>0</v>
      </c>
      <c r="X466" s="322">
        <f>SUM(Calculations[[#This Row],[C2 Recycle]:[C2 Reuse]])</f>
        <v>0</v>
      </c>
      <c r="Y466" t="str">
        <f>IFERROR(VLOOKUP(Calculations[[#This Row],[Material (choose from dropdown]],MaterialData[#All],5,FALSE),"")</f>
        <v/>
      </c>
      <c r="Z466" s="322">
        <f>IFERROR(((VLOOKUP(Calculations[[#This Row],[Waste type 2]],WasteDisposalEmissions[#All],2,FALSE))*Calculations[[#This Row],[Total Kg]])*VLOOKUP(Calculations[[#This Row],[Waste 1]],WasteScenario[#All],2,FALSE),0)</f>
        <v>0</v>
      </c>
      <c r="AA466" s="322">
        <f>IFERROR((VLOOKUP(Calculations[[#This Row],[Waste type 2]],WasteDisposalEmissions[#All],3,FALSE))*Calculations[[#This Row],[Total Kg]]*VLOOKUP(Calculations[[#This Row],[Waste 1]],WasteScenario[#All],3,FALSE),0)</f>
        <v>0</v>
      </c>
      <c r="AB466" s="322">
        <f>SUM(Calculations[[#This Row],[C3 recyc]:[C3 incin]])</f>
        <v>0</v>
      </c>
      <c r="AC466" s="334">
        <f>IFERROR((VLOOKUP(Calculations[[#This Row],[Waste type 2]],WasteLandfillEmissions[#All],2,FALSE))*Calculations[[#This Row],[Total Kg]]*VLOOKUP(Calculations[[#This Row],[Waste 1]],WasteScenario[#All],4,FALSE),0)</f>
        <v>0</v>
      </c>
      <c r="AD466" s="322">
        <f>IFERROR((VLOOKUP(Calculations[[#This Row],[Waste type 2]],WasteLandfillEmissions[#All],3,FALSE))*Calculations[[#This Row],[Total Kg]]*VLOOKUP(Calculations[[#This Row],[Waste 1]],WasteScenario[#All],4,FALSE),0)</f>
        <v>0</v>
      </c>
      <c r="AE466" s="322">
        <f>SUM(Calculations[[#This Row],[C4 landfill]:[C4 re-use]])</f>
        <v>0</v>
      </c>
      <c r="AF466" s="322">
        <f>IFERROR(VLOOKUP(Calculations[[#This Row],[Material (choose from dropdown]],MaterialData[#All],8,FALSE),0)</f>
        <v>0</v>
      </c>
      <c r="AG466" s="322">
        <f>IFERROR(Calculations[[#This Row],[Total Kg]]*Calculations[[#This Row],[Seq factor]],0)</f>
        <v>0</v>
      </c>
      <c r="AI466" s="322">
        <f>Calculations[[#This Row],[A1-3]]+Calculations[[#This Row],[A4]]+Calculations[[#This Row],[A5]]+Calculations[[#This Row],[B4]]+Calculations[[#This Row],[C2 total]]+Calculations[[#This Row],[C3 total]]+Calculations[[#This Row],[C4 total]]</f>
        <v>0</v>
      </c>
      <c r="AJ466" s="2">
        <f>IFERROR(VLOOKUP(Calculations[[#This Row],[Material (choose from dropdown]],MaterialData[[#Headers],[#Data]],9,FALSE),0)</f>
        <v>0</v>
      </c>
      <c r="AK466" s="4">
        <f>IFERROR(VLOOKUP(Calculations[[#This Row],[Material (choose from dropdown]],MaterialData[[#Headers],[#Data]],10,FALSE),0)</f>
        <v>0</v>
      </c>
      <c r="AL466" s="322">
        <f>IFERROR(Calculations[[#This Row],[Data Quality Score]]*Calculations[[#This Row],[Total Kg]],0)</f>
        <v>0</v>
      </c>
    </row>
    <row r="467" spans="1:38" x14ac:dyDescent="0.3">
      <c r="A467" s="6">
        <f>IFERROR(MaterialsBoQ[[#This Row],[Scope Element]],0)</f>
        <v>0</v>
      </c>
      <c r="B467" t="str">
        <f>IFERROR(MaterialsBoQ[[#This Row],[Material ]],"")</f>
        <v/>
      </c>
      <c r="C467" t="str">
        <f>IFERROR(MaterialsBoQ[[#This Row],[Unit]],"")</f>
        <v/>
      </c>
      <c r="D467" s="322">
        <f>IFERROR(MaterialsBoQ[[#This Row],[Number]],0)</f>
        <v>0</v>
      </c>
      <c r="E467" s="322">
        <f>IFERROR(MaterialsBoQ[[#This Row],[Kg per unit]],0)</f>
        <v>0</v>
      </c>
      <c r="F467" s="322">
        <f>IFERROR(Calculations[[#This Row],[Number]]*Calculations[[#This Row],[Conversion factor]],0)</f>
        <v>0</v>
      </c>
      <c r="G467" s="322">
        <f>IFERROR(VLOOKUP(Calculations[[#This Row],[Material (choose from dropdown]],MaterialData[#All],7,FALSE),0)</f>
        <v>0</v>
      </c>
      <c r="H467" s="322">
        <f>Calculations[[#This Row],[Total Kg]]*Calculations[[#This Row],[Carbon Factor]]</f>
        <v>0</v>
      </c>
      <c r="I467" t="str">
        <f>IFERROR(VLOOKUP(Calculations[[#This Row],[Material (choose from dropdown]],MaterialData[#All],2,FALSE),"")</f>
        <v/>
      </c>
      <c r="J467" s="322">
        <f>IFERROR(((VLOOKUP(Calculations[[#This Row],[TransportSource]],TransportDistance[],2,FALSE)*'Stage assumptions'!$C$11)+VLOOKUP(Calculations[[#This Row],[TransportSource]],TransportDistance[],3,FALSE)*'Stage assumptions'!$C$12)*Calculations[[#This Row],[Total Kg]],0)</f>
        <v>0</v>
      </c>
      <c r="K467">
        <f>IFERROR(VLOOKUP(Calculations[[#This Row],[Material (choose from dropdown]], MaterialData[#All],3, FALSE),0)</f>
        <v>0</v>
      </c>
      <c r="L467" s="322">
        <f>IFERROR(VLOOKUP(Calculations[[#This Row],[A5type]],A5WastageRate[#All],2,FALSE)*Calculations[[#This Row],[A1-3]],0)</f>
        <v>0</v>
      </c>
      <c r="N467">
        <f>IFERROR(ROUNDUP(50/VLOOKUP(Calculations[[#This Row],[Scope Element]],B4referenceServiceLife[[Tier 2 element]:[Default Service Life]],2, FALSE)-1,0),0)</f>
        <v>0</v>
      </c>
      <c r="O467" s="322">
        <f>IFERROR((Calculations[[#This Row],[A1-3]]+Calculations[[#This Row],[A4]]+Calculations[[#This Row],[A5]]+Calculations[[#This Row],[C2 total]]+Calculations[[#This Row],[C3 total]]+Calculations[[#This Row],[C4 total]])*Calculations[[#This Row],[Replacements]],0)</f>
        <v>0</v>
      </c>
      <c r="S467" t="str">
        <f>IFERROR(VLOOKUP(Calculations[[#This Row],[Material (choose from dropdown]],MaterialData[#All],4,FALSE),"")</f>
        <v/>
      </c>
      <c r="T467" s="322" cm="1">
        <f t="array" ref="T467">IFERROR(VLOOKUP(Calculations[[#This Row],[Waste 1]],WasteScenario[#All],2,FALSE)*'Stage assumptions'!$C$225*WasteTransportMethod[Emissions Factor
kgCO2e/kg.km]*Calculations[[#This Row],[Total Kg]],0)</f>
        <v>0</v>
      </c>
      <c r="U467" s="322" cm="1">
        <f t="array" ref="U467">IFERROR(VLOOKUP(Calculations[[#This Row],[Waste 1]],WasteScenario[#All],3,FALSE)*'Stage assumptions'!$C$224*WasteTransportMethod[Emissions Factor
kgCO2e/kg.km]*Calculations[[#This Row],[Total Kg]],0)</f>
        <v>0</v>
      </c>
      <c r="V467" s="322" cm="1">
        <f t="array" ref="V467">IFERROR(VLOOKUP(Calculations[[#This Row],[Waste 1]],WasteScenario[#All],4,FALSE)*'Stage assumptions'!$C$223*WasteTransportMethod[Emissions Factor
kgCO2e/kg.km]*Calculations[[#This Row],[Total Kg]],0)</f>
        <v>0</v>
      </c>
      <c r="W467" s="322" cm="1">
        <f t="array" ref="W467">IFERROR(VLOOKUP(Calculations[[#This Row],[Waste 1]],WasteScenario[#All],5,FALSE)*'Stage assumptions'!$C$226*WasteTransportMethod[Emissions Factor
kgCO2e/kg.km]*Calculations[[#This Row],[Total Kg]],0)</f>
        <v>0</v>
      </c>
      <c r="X467" s="322">
        <f>SUM(Calculations[[#This Row],[C2 Recycle]:[C2 Reuse]])</f>
        <v>0</v>
      </c>
      <c r="Y467" t="str">
        <f>IFERROR(VLOOKUP(Calculations[[#This Row],[Material (choose from dropdown]],MaterialData[#All],5,FALSE),"")</f>
        <v/>
      </c>
      <c r="Z467" s="322">
        <f>IFERROR(((VLOOKUP(Calculations[[#This Row],[Waste type 2]],WasteDisposalEmissions[#All],2,FALSE))*Calculations[[#This Row],[Total Kg]])*VLOOKUP(Calculations[[#This Row],[Waste 1]],WasteScenario[#All],2,FALSE),0)</f>
        <v>0</v>
      </c>
      <c r="AA467" s="322">
        <f>IFERROR((VLOOKUP(Calculations[[#This Row],[Waste type 2]],WasteDisposalEmissions[#All],3,FALSE))*Calculations[[#This Row],[Total Kg]]*VLOOKUP(Calculations[[#This Row],[Waste 1]],WasteScenario[#All],3,FALSE),0)</f>
        <v>0</v>
      </c>
      <c r="AB467" s="322">
        <f>SUM(Calculations[[#This Row],[C3 recyc]:[C3 incin]])</f>
        <v>0</v>
      </c>
      <c r="AC467" s="334">
        <f>IFERROR((VLOOKUP(Calculations[[#This Row],[Waste type 2]],WasteLandfillEmissions[#All],2,FALSE))*Calculations[[#This Row],[Total Kg]]*VLOOKUP(Calculations[[#This Row],[Waste 1]],WasteScenario[#All],4,FALSE),0)</f>
        <v>0</v>
      </c>
      <c r="AD467" s="322">
        <f>IFERROR((VLOOKUP(Calculations[[#This Row],[Waste type 2]],WasteLandfillEmissions[#All],3,FALSE))*Calculations[[#This Row],[Total Kg]]*VLOOKUP(Calculations[[#This Row],[Waste 1]],WasteScenario[#All],4,FALSE),0)</f>
        <v>0</v>
      </c>
      <c r="AE467" s="322">
        <f>SUM(Calculations[[#This Row],[C4 landfill]:[C4 re-use]])</f>
        <v>0</v>
      </c>
      <c r="AF467" s="322">
        <f>IFERROR(VLOOKUP(Calculations[[#This Row],[Material (choose from dropdown]],MaterialData[#All],8,FALSE),0)</f>
        <v>0</v>
      </c>
      <c r="AG467" s="322">
        <f>IFERROR(Calculations[[#This Row],[Total Kg]]*Calculations[[#This Row],[Seq factor]],0)</f>
        <v>0</v>
      </c>
      <c r="AI467" s="322">
        <f>Calculations[[#This Row],[A1-3]]+Calculations[[#This Row],[A4]]+Calculations[[#This Row],[A5]]+Calculations[[#This Row],[B4]]+Calculations[[#This Row],[C2 total]]+Calculations[[#This Row],[C3 total]]+Calculations[[#This Row],[C4 total]]</f>
        <v>0</v>
      </c>
      <c r="AJ467" s="2">
        <f>IFERROR(VLOOKUP(Calculations[[#This Row],[Material (choose from dropdown]],MaterialData[[#Headers],[#Data]],9,FALSE),0)</f>
        <v>0</v>
      </c>
      <c r="AK467" s="4">
        <f>IFERROR(VLOOKUP(Calculations[[#This Row],[Material (choose from dropdown]],MaterialData[[#Headers],[#Data]],10,FALSE),0)</f>
        <v>0</v>
      </c>
      <c r="AL467" s="322">
        <f>IFERROR(Calculations[[#This Row],[Data Quality Score]]*Calculations[[#This Row],[Total Kg]],0)</f>
        <v>0</v>
      </c>
    </row>
    <row r="468" spans="1:38" x14ac:dyDescent="0.3">
      <c r="A468" s="6">
        <f>IFERROR(MaterialsBoQ[[#This Row],[Scope Element]],0)</f>
        <v>0</v>
      </c>
      <c r="B468" t="str">
        <f>IFERROR(MaterialsBoQ[[#This Row],[Material ]],"")</f>
        <v/>
      </c>
      <c r="C468" t="str">
        <f>IFERROR(MaterialsBoQ[[#This Row],[Unit]],"")</f>
        <v/>
      </c>
      <c r="D468" s="322">
        <f>IFERROR(MaterialsBoQ[[#This Row],[Number]],0)</f>
        <v>0</v>
      </c>
      <c r="E468" s="322">
        <f>IFERROR(MaterialsBoQ[[#This Row],[Kg per unit]],0)</f>
        <v>0</v>
      </c>
      <c r="F468" s="322">
        <f>IFERROR(Calculations[[#This Row],[Number]]*Calculations[[#This Row],[Conversion factor]],0)</f>
        <v>0</v>
      </c>
      <c r="G468" s="322">
        <f>IFERROR(VLOOKUP(Calculations[[#This Row],[Material (choose from dropdown]],MaterialData[#All],7,FALSE),0)</f>
        <v>0</v>
      </c>
      <c r="H468" s="322">
        <f>Calculations[[#This Row],[Total Kg]]*Calculations[[#This Row],[Carbon Factor]]</f>
        <v>0</v>
      </c>
      <c r="I468" t="str">
        <f>IFERROR(VLOOKUP(Calculations[[#This Row],[Material (choose from dropdown]],MaterialData[#All],2,FALSE),"")</f>
        <v/>
      </c>
      <c r="J468" s="322">
        <f>IFERROR(((VLOOKUP(Calculations[[#This Row],[TransportSource]],TransportDistance[],2,FALSE)*'Stage assumptions'!$C$11)+VLOOKUP(Calculations[[#This Row],[TransportSource]],TransportDistance[],3,FALSE)*'Stage assumptions'!$C$12)*Calculations[[#This Row],[Total Kg]],0)</f>
        <v>0</v>
      </c>
      <c r="K468">
        <f>IFERROR(VLOOKUP(Calculations[[#This Row],[Material (choose from dropdown]], MaterialData[#All],3, FALSE),0)</f>
        <v>0</v>
      </c>
      <c r="L468" s="322">
        <f>IFERROR(VLOOKUP(Calculations[[#This Row],[A5type]],A5WastageRate[#All],2,FALSE)*Calculations[[#This Row],[A1-3]],0)</f>
        <v>0</v>
      </c>
      <c r="N468">
        <f>IFERROR(ROUNDUP(50/VLOOKUP(Calculations[[#This Row],[Scope Element]],B4referenceServiceLife[[Tier 2 element]:[Default Service Life]],2, FALSE)-1,0),0)</f>
        <v>0</v>
      </c>
      <c r="O468" s="322">
        <f>IFERROR((Calculations[[#This Row],[A1-3]]+Calculations[[#This Row],[A4]]+Calculations[[#This Row],[A5]]+Calculations[[#This Row],[C2 total]]+Calculations[[#This Row],[C3 total]]+Calculations[[#This Row],[C4 total]])*Calculations[[#This Row],[Replacements]],0)</f>
        <v>0</v>
      </c>
      <c r="S468" t="str">
        <f>IFERROR(VLOOKUP(Calculations[[#This Row],[Material (choose from dropdown]],MaterialData[#All],4,FALSE),"")</f>
        <v/>
      </c>
      <c r="T468" s="322" cm="1">
        <f t="array" ref="T468">IFERROR(VLOOKUP(Calculations[[#This Row],[Waste 1]],WasteScenario[#All],2,FALSE)*'Stage assumptions'!$C$225*WasteTransportMethod[Emissions Factor
kgCO2e/kg.km]*Calculations[[#This Row],[Total Kg]],0)</f>
        <v>0</v>
      </c>
      <c r="U468" s="322" cm="1">
        <f t="array" ref="U468">IFERROR(VLOOKUP(Calculations[[#This Row],[Waste 1]],WasteScenario[#All],3,FALSE)*'Stage assumptions'!$C$224*WasteTransportMethod[Emissions Factor
kgCO2e/kg.km]*Calculations[[#This Row],[Total Kg]],0)</f>
        <v>0</v>
      </c>
      <c r="V468" s="322" cm="1">
        <f t="array" ref="V468">IFERROR(VLOOKUP(Calculations[[#This Row],[Waste 1]],WasteScenario[#All],4,FALSE)*'Stage assumptions'!$C$223*WasteTransportMethod[Emissions Factor
kgCO2e/kg.km]*Calculations[[#This Row],[Total Kg]],0)</f>
        <v>0</v>
      </c>
      <c r="W468" s="322" cm="1">
        <f t="array" ref="W468">IFERROR(VLOOKUP(Calculations[[#This Row],[Waste 1]],WasteScenario[#All],5,FALSE)*'Stage assumptions'!$C$226*WasteTransportMethod[Emissions Factor
kgCO2e/kg.km]*Calculations[[#This Row],[Total Kg]],0)</f>
        <v>0</v>
      </c>
      <c r="X468" s="322">
        <f>SUM(Calculations[[#This Row],[C2 Recycle]:[C2 Reuse]])</f>
        <v>0</v>
      </c>
      <c r="Y468" t="str">
        <f>IFERROR(VLOOKUP(Calculations[[#This Row],[Material (choose from dropdown]],MaterialData[#All],5,FALSE),"")</f>
        <v/>
      </c>
      <c r="Z468" s="322">
        <f>IFERROR(((VLOOKUP(Calculations[[#This Row],[Waste type 2]],WasteDisposalEmissions[#All],2,FALSE))*Calculations[[#This Row],[Total Kg]])*VLOOKUP(Calculations[[#This Row],[Waste 1]],WasteScenario[#All],2,FALSE),0)</f>
        <v>0</v>
      </c>
      <c r="AA468" s="322">
        <f>IFERROR((VLOOKUP(Calculations[[#This Row],[Waste type 2]],WasteDisposalEmissions[#All],3,FALSE))*Calculations[[#This Row],[Total Kg]]*VLOOKUP(Calculations[[#This Row],[Waste 1]],WasteScenario[#All],3,FALSE),0)</f>
        <v>0</v>
      </c>
      <c r="AB468" s="322">
        <f>SUM(Calculations[[#This Row],[C3 recyc]:[C3 incin]])</f>
        <v>0</v>
      </c>
      <c r="AC468" s="334">
        <f>IFERROR((VLOOKUP(Calculations[[#This Row],[Waste type 2]],WasteLandfillEmissions[#All],2,FALSE))*Calculations[[#This Row],[Total Kg]]*VLOOKUP(Calculations[[#This Row],[Waste 1]],WasteScenario[#All],4,FALSE),0)</f>
        <v>0</v>
      </c>
      <c r="AD468" s="322">
        <f>IFERROR((VLOOKUP(Calculations[[#This Row],[Waste type 2]],WasteLandfillEmissions[#All],3,FALSE))*Calculations[[#This Row],[Total Kg]]*VLOOKUP(Calculations[[#This Row],[Waste 1]],WasteScenario[#All],4,FALSE),0)</f>
        <v>0</v>
      </c>
      <c r="AE468" s="322">
        <f>SUM(Calculations[[#This Row],[C4 landfill]:[C4 re-use]])</f>
        <v>0</v>
      </c>
      <c r="AF468" s="322">
        <f>IFERROR(VLOOKUP(Calculations[[#This Row],[Material (choose from dropdown]],MaterialData[#All],8,FALSE),0)</f>
        <v>0</v>
      </c>
      <c r="AG468" s="322">
        <f>IFERROR(Calculations[[#This Row],[Total Kg]]*Calculations[[#This Row],[Seq factor]],0)</f>
        <v>0</v>
      </c>
      <c r="AI468" s="322">
        <f>Calculations[[#This Row],[A1-3]]+Calculations[[#This Row],[A4]]+Calculations[[#This Row],[A5]]+Calculations[[#This Row],[B4]]+Calculations[[#This Row],[C2 total]]+Calculations[[#This Row],[C3 total]]+Calculations[[#This Row],[C4 total]]</f>
        <v>0</v>
      </c>
      <c r="AJ468" s="2">
        <f>IFERROR(VLOOKUP(Calculations[[#This Row],[Material (choose from dropdown]],MaterialData[[#Headers],[#Data]],9,FALSE),0)</f>
        <v>0</v>
      </c>
      <c r="AK468" s="4">
        <f>IFERROR(VLOOKUP(Calculations[[#This Row],[Material (choose from dropdown]],MaterialData[[#Headers],[#Data]],10,FALSE),0)</f>
        <v>0</v>
      </c>
      <c r="AL468" s="322">
        <f>IFERROR(Calculations[[#This Row],[Data Quality Score]]*Calculations[[#This Row],[Total Kg]],0)</f>
        <v>0</v>
      </c>
    </row>
    <row r="469" spans="1:38" x14ac:dyDescent="0.3">
      <c r="A469" s="6">
        <f>IFERROR(MaterialsBoQ[[#This Row],[Scope Element]],0)</f>
        <v>0</v>
      </c>
      <c r="B469" t="str">
        <f>IFERROR(MaterialsBoQ[[#This Row],[Material ]],"")</f>
        <v/>
      </c>
      <c r="C469" t="str">
        <f>IFERROR(MaterialsBoQ[[#This Row],[Unit]],"")</f>
        <v/>
      </c>
      <c r="D469" s="322">
        <f>IFERROR(MaterialsBoQ[[#This Row],[Number]],0)</f>
        <v>0</v>
      </c>
      <c r="E469" s="322">
        <f>IFERROR(MaterialsBoQ[[#This Row],[Kg per unit]],0)</f>
        <v>0</v>
      </c>
      <c r="F469" s="322">
        <f>IFERROR(Calculations[[#This Row],[Number]]*Calculations[[#This Row],[Conversion factor]],0)</f>
        <v>0</v>
      </c>
      <c r="G469" s="322">
        <f>IFERROR(VLOOKUP(Calculations[[#This Row],[Material (choose from dropdown]],MaterialData[#All],7,FALSE),0)</f>
        <v>0</v>
      </c>
      <c r="H469" s="322">
        <f>Calculations[[#This Row],[Total Kg]]*Calculations[[#This Row],[Carbon Factor]]</f>
        <v>0</v>
      </c>
      <c r="I469" t="str">
        <f>IFERROR(VLOOKUP(Calculations[[#This Row],[Material (choose from dropdown]],MaterialData[#All],2,FALSE),"")</f>
        <v/>
      </c>
      <c r="J469" s="322">
        <f>IFERROR(((VLOOKUP(Calculations[[#This Row],[TransportSource]],TransportDistance[],2,FALSE)*'Stage assumptions'!$C$11)+VLOOKUP(Calculations[[#This Row],[TransportSource]],TransportDistance[],3,FALSE)*'Stage assumptions'!$C$12)*Calculations[[#This Row],[Total Kg]],0)</f>
        <v>0</v>
      </c>
      <c r="K469">
        <f>IFERROR(VLOOKUP(Calculations[[#This Row],[Material (choose from dropdown]], MaterialData[#All],3, FALSE),0)</f>
        <v>0</v>
      </c>
      <c r="L469" s="322">
        <f>IFERROR(VLOOKUP(Calculations[[#This Row],[A5type]],A5WastageRate[#All],2,FALSE)*Calculations[[#This Row],[A1-3]],0)</f>
        <v>0</v>
      </c>
      <c r="N469">
        <f>IFERROR(ROUNDUP(50/VLOOKUP(Calculations[[#This Row],[Scope Element]],B4referenceServiceLife[[Tier 2 element]:[Default Service Life]],2, FALSE)-1,0),0)</f>
        <v>0</v>
      </c>
      <c r="O469" s="322">
        <f>IFERROR((Calculations[[#This Row],[A1-3]]+Calculations[[#This Row],[A4]]+Calculations[[#This Row],[A5]]+Calculations[[#This Row],[C2 total]]+Calculations[[#This Row],[C3 total]]+Calculations[[#This Row],[C4 total]])*Calculations[[#This Row],[Replacements]],0)</f>
        <v>0</v>
      </c>
      <c r="S469" t="str">
        <f>IFERROR(VLOOKUP(Calculations[[#This Row],[Material (choose from dropdown]],MaterialData[#All],4,FALSE),"")</f>
        <v/>
      </c>
      <c r="T469" s="322" cm="1">
        <f t="array" ref="T469">IFERROR(VLOOKUP(Calculations[[#This Row],[Waste 1]],WasteScenario[#All],2,FALSE)*'Stage assumptions'!$C$225*WasteTransportMethod[Emissions Factor
kgCO2e/kg.km]*Calculations[[#This Row],[Total Kg]],0)</f>
        <v>0</v>
      </c>
      <c r="U469" s="322" cm="1">
        <f t="array" ref="U469">IFERROR(VLOOKUP(Calculations[[#This Row],[Waste 1]],WasteScenario[#All],3,FALSE)*'Stage assumptions'!$C$224*WasteTransportMethod[Emissions Factor
kgCO2e/kg.km]*Calculations[[#This Row],[Total Kg]],0)</f>
        <v>0</v>
      </c>
      <c r="V469" s="322" cm="1">
        <f t="array" ref="V469">IFERROR(VLOOKUP(Calculations[[#This Row],[Waste 1]],WasteScenario[#All],4,FALSE)*'Stage assumptions'!$C$223*WasteTransportMethod[Emissions Factor
kgCO2e/kg.km]*Calculations[[#This Row],[Total Kg]],0)</f>
        <v>0</v>
      </c>
      <c r="W469" s="322" cm="1">
        <f t="array" ref="W469">IFERROR(VLOOKUP(Calculations[[#This Row],[Waste 1]],WasteScenario[#All],5,FALSE)*'Stage assumptions'!$C$226*WasteTransportMethod[Emissions Factor
kgCO2e/kg.km]*Calculations[[#This Row],[Total Kg]],0)</f>
        <v>0</v>
      </c>
      <c r="X469" s="322">
        <f>SUM(Calculations[[#This Row],[C2 Recycle]:[C2 Reuse]])</f>
        <v>0</v>
      </c>
      <c r="Y469" t="str">
        <f>IFERROR(VLOOKUP(Calculations[[#This Row],[Material (choose from dropdown]],MaterialData[#All],5,FALSE),"")</f>
        <v/>
      </c>
      <c r="Z469" s="322">
        <f>IFERROR(((VLOOKUP(Calculations[[#This Row],[Waste type 2]],WasteDisposalEmissions[#All],2,FALSE))*Calculations[[#This Row],[Total Kg]])*VLOOKUP(Calculations[[#This Row],[Waste 1]],WasteScenario[#All],2,FALSE),0)</f>
        <v>0</v>
      </c>
      <c r="AA469" s="322">
        <f>IFERROR((VLOOKUP(Calculations[[#This Row],[Waste type 2]],WasteDisposalEmissions[#All],3,FALSE))*Calculations[[#This Row],[Total Kg]]*VLOOKUP(Calculations[[#This Row],[Waste 1]],WasteScenario[#All],3,FALSE),0)</f>
        <v>0</v>
      </c>
      <c r="AB469" s="322">
        <f>SUM(Calculations[[#This Row],[C3 recyc]:[C3 incin]])</f>
        <v>0</v>
      </c>
      <c r="AC469" s="334">
        <f>IFERROR((VLOOKUP(Calculations[[#This Row],[Waste type 2]],WasteLandfillEmissions[#All],2,FALSE))*Calculations[[#This Row],[Total Kg]]*VLOOKUP(Calculations[[#This Row],[Waste 1]],WasteScenario[#All],4,FALSE),0)</f>
        <v>0</v>
      </c>
      <c r="AD469" s="322">
        <f>IFERROR((VLOOKUP(Calculations[[#This Row],[Waste type 2]],WasteLandfillEmissions[#All],3,FALSE))*Calculations[[#This Row],[Total Kg]]*VLOOKUP(Calculations[[#This Row],[Waste 1]],WasteScenario[#All],4,FALSE),0)</f>
        <v>0</v>
      </c>
      <c r="AE469" s="322">
        <f>SUM(Calculations[[#This Row],[C4 landfill]:[C4 re-use]])</f>
        <v>0</v>
      </c>
      <c r="AF469" s="322">
        <f>IFERROR(VLOOKUP(Calculations[[#This Row],[Material (choose from dropdown]],MaterialData[#All],8,FALSE),0)</f>
        <v>0</v>
      </c>
      <c r="AG469" s="322">
        <f>IFERROR(Calculations[[#This Row],[Total Kg]]*Calculations[[#This Row],[Seq factor]],0)</f>
        <v>0</v>
      </c>
      <c r="AI469" s="322">
        <f>Calculations[[#This Row],[A1-3]]+Calculations[[#This Row],[A4]]+Calculations[[#This Row],[A5]]+Calculations[[#This Row],[B4]]+Calculations[[#This Row],[C2 total]]+Calculations[[#This Row],[C3 total]]+Calculations[[#This Row],[C4 total]]</f>
        <v>0</v>
      </c>
      <c r="AJ469" s="2">
        <f>IFERROR(VLOOKUP(Calculations[[#This Row],[Material (choose from dropdown]],MaterialData[[#Headers],[#Data]],9,FALSE),0)</f>
        <v>0</v>
      </c>
      <c r="AK469" s="4">
        <f>IFERROR(VLOOKUP(Calculations[[#This Row],[Material (choose from dropdown]],MaterialData[[#Headers],[#Data]],10,FALSE),0)</f>
        <v>0</v>
      </c>
      <c r="AL469" s="322">
        <f>IFERROR(Calculations[[#This Row],[Data Quality Score]]*Calculations[[#This Row],[Total Kg]],0)</f>
        <v>0</v>
      </c>
    </row>
    <row r="470" spans="1:38" x14ac:dyDescent="0.3">
      <c r="A470" s="6">
        <f>IFERROR(MaterialsBoQ[[#This Row],[Scope Element]],0)</f>
        <v>0</v>
      </c>
      <c r="B470" t="str">
        <f>IFERROR(MaterialsBoQ[[#This Row],[Material ]],"")</f>
        <v/>
      </c>
      <c r="C470" t="str">
        <f>IFERROR(MaterialsBoQ[[#This Row],[Unit]],"")</f>
        <v/>
      </c>
      <c r="D470" s="322">
        <f>IFERROR(MaterialsBoQ[[#This Row],[Number]],0)</f>
        <v>0</v>
      </c>
      <c r="E470" s="322">
        <f>IFERROR(MaterialsBoQ[[#This Row],[Kg per unit]],0)</f>
        <v>0</v>
      </c>
      <c r="F470" s="322">
        <f>IFERROR(Calculations[[#This Row],[Number]]*Calculations[[#This Row],[Conversion factor]],0)</f>
        <v>0</v>
      </c>
      <c r="G470" s="322">
        <f>IFERROR(VLOOKUP(Calculations[[#This Row],[Material (choose from dropdown]],MaterialData[#All],7,FALSE),0)</f>
        <v>0</v>
      </c>
      <c r="H470" s="322">
        <f>Calculations[[#This Row],[Total Kg]]*Calculations[[#This Row],[Carbon Factor]]</f>
        <v>0</v>
      </c>
      <c r="I470" t="str">
        <f>IFERROR(VLOOKUP(Calculations[[#This Row],[Material (choose from dropdown]],MaterialData[#All],2,FALSE),"")</f>
        <v/>
      </c>
      <c r="J470" s="322">
        <f>IFERROR(((VLOOKUP(Calculations[[#This Row],[TransportSource]],TransportDistance[],2,FALSE)*'Stage assumptions'!$C$11)+VLOOKUP(Calculations[[#This Row],[TransportSource]],TransportDistance[],3,FALSE)*'Stage assumptions'!$C$12)*Calculations[[#This Row],[Total Kg]],0)</f>
        <v>0</v>
      </c>
      <c r="K470">
        <f>IFERROR(VLOOKUP(Calculations[[#This Row],[Material (choose from dropdown]], MaterialData[#All],3, FALSE),0)</f>
        <v>0</v>
      </c>
      <c r="L470" s="322">
        <f>IFERROR(VLOOKUP(Calculations[[#This Row],[A5type]],A5WastageRate[#All],2,FALSE)*Calculations[[#This Row],[A1-3]],0)</f>
        <v>0</v>
      </c>
      <c r="N470">
        <f>IFERROR(ROUNDUP(50/VLOOKUP(Calculations[[#This Row],[Scope Element]],B4referenceServiceLife[[Tier 2 element]:[Default Service Life]],2, FALSE)-1,0),0)</f>
        <v>0</v>
      </c>
      <c r="O470" s="322">
        <f>IFERROR((Calculations[[#This Row],[A1-3]]+Calculations[[#This Row],[A4]]+Calculations[[#This Row],[A5]]+Calculations[[#This Row],[C2 total]]+Calculations[[#This Row],[C3 total]]+Calculations[[#This Row],[C4 total]])*Calculations[[#This Row],[Replacements]],0)</f>
        <v>0</v>
      </c>
      <c r="S470" t="str">
        <f>IFERROR(VLOOKUP(Calculations[[#This Row],[Material (choose from dropdown]],MaterialData[#All],4,FALSE),"")</f>
        <v/>
      </c>
      <c r="T470" s="322" cm="1">
        <f t="array" ref="T470">IFERROR(VLOOKUP(Calculations[[#This Row],[Waste 1]],WasteScenario[#All],2,FALSE)*'Stage assumptions'!$C$225*WasteTransportMethod[Emissions Factor
kgCO2e/kg.km]*Calculations[[#This Row],[Total Kg]],0)</f>
        <v>0</v>
      </c>
      <c r="U470" s="322" cm="1">
        <f t="array" ref="U470">IFERROR(VLOOKUP(Calculations[[#This Row],[Waste 1]],WasteScenario[#All],3,FALSE)*'Stage assumptions'!$C$224*WasteTransportMethod[Emissions Factor
kgCO2e/kg.km]*Calculations[[#This Row],[Total Kg]],0)</f>
        <v>0</v>
      </c>
      <c r="V470" s="322" cm="1">
        <f t="array" ref="V470">IFERROR(VLOOKUP(Calculations[[#This Row],[Waste 1]],WasteScenario[#All],4,FALSE)*'Stage assumptions'!$C$223*WasteTransportMethod[Emissions Factor
kgCO2e/kg.km]*Calculations[[#This Row],[Total Kg]],0)</f>
        <v>0</v>
      </c>
      <c r="W470" s="322" cm="1">
        <f t="array" ref="W470">IFERROR(VLOOKUP(Calculations[[#This Row],[Waste 1]],WasteScenario[#All],5,FALSE)*'Stage assumptions'!$C$226*WasteTransportMethod[Emissions Factor
kgCO2e/kg.km]*Calculations[[#This Row],[Total Kg]],0)</f>
        <v>0</v>
      </c>
      <c r="X470" s="322">
        <f>SUM(Calculations[[#This Row],[C2 Recycle]:[C2 Reuse]])</f>
        <v>0</v>
      </c>
      <c r="Y470" t="str">
        <f>IFERROR(VLOOKUP(Calculations[[#This Row],[Material (choose from dropdown]],MaterialData[#All],5,FALSE),"")</f>
        <v/>
      </c>
      <c r="Z470" s="322">
        <f>IFERROR(((VLOOKUP(Calculations[[#This Row],[Waste type 2]],WasteDisposalEmissions[#All],2,FALSE))*Calculations[[#This Row],[Total Kg]])*VLOOKUP(Calculations[[#This Row],[Waste 1]],WasteScenario[#All],2,FALSE),0)</f>
        <v>0</v>
      </c>
      <c r="AA470" s="322">
        <f>IFERROR((VLOOKUP(Calculations[[#This Row],[Waste type 2]],WasteDisposalEmissions[#All],3,FALSE))*Calculations[[#This Row],[Total Kg]]*VLOOKUP(Calculations[[#This Row],[Waste 1]],WasteScenario[#All],3,FALSE),0)</f>
        <v>0</v>
      </c>
      <c r="AB470" s="322">
        <f>SUM(Calculations[[#This Row],[C3 recyc]:[C3 incin]])</f>
        <v>0</v>
      </c>
      <c r="AC470" s="334">
        <f>IFERROR((VLOOKUP(Calculations[[#This Row],[Waste type 2]],WasteLandfillEmissions[#All],2,FALSE))*Calculations[[#This Row],[Total Kg]]*VLOOKUP(Calculations[[#This Row],[Waste 1]],WasteScenario[#All],4,FALSE),0)</f>
        <v>0</v>
      </c>
      <c r="AD470" s="322">
        <f>IFERROR((VLOOKUP(Calculations[[#This Row],[Waste type 2]],WasteLandfillEmissions[#All],3,FALSE))*Calculations[[#This Row],[Total Kg]]*VLOOKUP(Calculations[[#This Row],[Waste 1]],WasteScenario[#All],4,FALSE),0)</f>
        <v>0</v>
      </c>
      <c r="AE470" s="322">
        <f>SUM(Calculations[[#This Row],[C4 landfill]:[C4 re-use]])</f>
        <v>0</v>
      </c>
      <c r="AF470" s="322">
        <f>IFERROR(VLOOKUP(Calculations[[#This Row],[Material (choose from dropdown]],MaterialData[#All],8,FALSE),0)</f>
        <v>0</v>
      </c>
      <c r="AG470" s="322">
        <f>IFERROR(Calculations[[#This Row],[Total Kg]]*Calculations[[#This Row],[Seq factor]],0)</f>
        <v>0</v>
      </c>
      <c r="AI470" s="322">
        <f>Calculations[[#This Row],[A1-3]]+Calculations[[#This Row],[A4]]+Calculations[[#This Row],[A5]]+Calculations[[#This Row],[B4]]+Calculations[[#This Row],[C2 total]]+Calculations[[#This Row],[C3 total]]+Calculations[[#This Row],[C4 total]]</f>
        <v>0</v>
      </c>
      <c r="AJ470" s="2">
        <f>IFERROR(VLOOKUP(Calculations[[#This Row],[Material (choose from dropdown]],MaterialData[[#Headers],[#Data]],9,FALSE),0)</f>
        <v>0</v>
      </c>
      <c r="AK470" s="4">
        <f>IFERROR(VLOOKUP(Calculations[[#This Row],[Material (choose from dropdown]],MaterialData[[#Headers],[#Data]],10,FALSE),0)</f>
        <v>0</v>
      </c>
      <c r="AL470" s="322">
        <f>IFERROR(Calculations[[#This Row],[Data Quality Score]]*Calculations[[#This Row],[Total Kg]],0)</f>
        <v>0</v>
      </c>
    </row>
    <row r="471" spans="1:38" x14ac:dyDescent="0.3">
      <c r="A471" s="6">
        <f>IFERROR(MaterialsBoQ[[#This Row],[Scope Element]],0)</f>
        <v>0</v>
      </c>
      <c r="B471" t="str">
        <f>IFERROR(MaterialsBoQ[[#This Row],[Material ]],"")</f>
        <v/>
      </c>
      <c r="C471" t="str">
        <f>IFERROR(MaterialsBoQ[[#This Row],[Unit]],"")</f>
        <v/>
      </c>
      <c r="D471" s="322">
        <f>IFERROR(MaterialsBoQ[[#This Row],[Number]],0)</f>
        <v>0</v>
      </c>
      <c r="E471" s="322">
        <f>IFERROR(MaterialsBoQ[[#This Row],[Kg per unit]],0)</f>
        <v>0</v>
      </c>
      <c r="F471" s="322">
        <f>IFERROR(Calculations[[#This Row],[Number]]*Calculations[[#This Row],[Conversion factor]],0)</f>
        <v>0</v>
      </c>
      <c r="G471" s="322">
        <f>IFERROR(VLOOKUP(Calculations[[#This Row],[Material (choose from dropdown]],MaterialData[#All],7,FALSE),0)</f>
        <v>0</v>
      </c>
      <c r="H471" s="322">
        <f>Calculations[[#This Row],[Total Kg]]*Calculations[[#This Row],[Carbon Factor]]</f>
        <v>0</v>
      </c>
      <c r="I471" t="str">
        <f>IFERROR(VLOOKUP(Calculations[[#This Row],[Material (choose from dropdown]],MaterialData[#All],2,FALSE),"")</f>
        <v/>
      </c>
      <c r="J471" s="322">
        <f>IFERROR(((VLOOKUP(Calculations[[#This Row],[TransportSource]],TransportDistance[],2,FALSE)*'Stage assumptions'!$C$11)+VLOOKUP(Calculations[[#This Row],[TransportSource]],TransportDistance[],3,FALSE)*'Stage assumptions'!$C$12)*Calculations[[#This Row],[Total Kg]],0)</f>
        <v>0</v>
      </c>
      <c r="K471">
        <f>IFERROR(VLOOKUP(Calculations[[#This Row],[Material (choose from dropdown]], MaterialData[#All],3, FALSE),0)</f>
        <v>0</v>
      </c>
      <c r="L471" s="322">
        <f>IFERROR(VLOOKUP(Calculations[[#This Row],[A5type]],A5WastageRate[#All],2,FALSE)*Calculations[[#This Row],[A1-3]],0)</f>
        <v>0</v>
      </c>
      <c r="N471">
        <f>IFERROR(ROUNDUP(50/VLOOKUP(Calculations[[#This Row],[Scope Element]],B4referenceServiceLife[[Tier 2 element]:[Default Service Life]],2, FALSE)-1,0),0)</f>
        <v>0</v>
      </c>
      <c r="O471" s="322">
        <f>IFERROR((Calculations[[#This Row],[A1-3]]+Calculations[[#This Row],[A4]]+Calculations[[#This Row],[A5]]+Calculations[[#This Row],[C2 total]]+Calculations[[#This Row],[C3 total]]+Calculations[[#This Row],[C4 total]])*Calculations[[#This Row],[Replacements]],0)</f>
        <v>0</v>
      </c>
      <c r="S471" t="str">
        <f>IFERROR(VLOOKUP(Calculations[[#This Row],[Material (choose from dropdown]],MaterialData[#All],4,FALSE),"")</f>
        <v/>
      </c>
      <c r="T471" s="322" cm="1">
        <f t="array" ref="T471">IFERROR(VLOOKUP(Calculations[[#This Row],[Waste 1]],WasteScenario[#All],2,FALSE)*'Stage assumptions'!$C$225*WasteTransportMethod[Emissions Factor
kgCO2e/kg.km]*Calculations[[#This Row],[Total Kg]],0)</f>
        <v>0</v>
      </c>
      <c r="U471" s="322" cm="1">
        <f t="array" ref="U471">IFERROR(VLOOKUP(Calculations[[#This Row],[Waste 1]],WasteScenario[#All],3,FALSE)*'Stage assumptions'!$C$224*WasteTransportMethod[Emissions Factor
kgCO2e/kg.km]*Calculations[[#This Row],[Total Kg]],0)</f>
        <v>0</v>
      </c>
      <c r="V471" s="322" cm="1">
        <f t="array" ref="V471">IFERROR(VLOOKUP(Calculations[[#This Row],[Waste 1]],WasteScenario[#All],4,FALSE)*'Stage assumptions'!$C$223*WasteTransportMethod[Emissions Factor
kgCO2e/kg.km]*Calculations[[#This Row],[Total Kg]],0)</f>
        <v>0</v>
      </c>
      <c r="W471" s="322" cm="1">
        <f t="array" ref="W471">IFERROR(VLOOKUP(Calculations[[#This Row],[Waste 1]],WasteScenario[#All],5,FALSE)*'Stage assumptions'!$C$226*WasteTransportMethod[Emissions Factor
kgCO2e/kg.km]*Calculations[[#This Row],[Total Kg]],0)</f>
        <v>0</v>
      </c>
      <c r="X471" s="322">
        <f>SUM(Calculations[[#This Row],[C2 Recycle]:[C2 Reuse]])</f>
        <v>0</v>
      </c>
      <c r="Y471" t="str">
        <f>IFERROR(VLOOKUP(Calculations[[#This Row],[Material (choose from dropdown]],MaterialData[#All],5,FALSE),"")</f>
        <v/>
      </c>
      <c r="Z471" s="322">
        <f>IFERROR(((VLOOKUP(Calculations[[#This Row],[Waste type 2]],WasteDisposalEmissions[#All],2,FALSE))*Calculations[[#This Row],[Total Kg]])*VLOOKUP(Calculations[[#This Row],[Waste 1]],WasteScenario[#All],2,FALSE),0)</f>
        <v>0</v>
      </c>
      <c r="AA471" s="322">
        <f>IFERROR((VLOOKUP(Calculations[[#This Row],[Waste type 2]],WasteDisposalEmissions[#All],3,FALSE))*Calculations[[#This Row],[Total Kg]]*VLOOKUP(Calculations[[#This Row],[Waste 1]],WasteScenario[#All],3,FALSE),0)</f>
        <v>0</v>
      </c>
      <c r="AB471" s="322">
        <f>SUM(Calculations[[#This Row],[C3 recyc]:[C3 incin]])</f>
        <v>0</v>
      </c>
      <c r="AC471" s="334">
        <f>IFERROR((VLOOKUP(Calculations[[#This Row],[Waste type 2]],WasteLandfillEmissions[#All],2,FALSE))*Calculations[[#This Row],[Total Kg]]*VLOOKUP(Calculations[[#This Row],[Waste 1]],WasteScenario[#All],4,FALSE),0)</f>
        <v>0</v>
      </c>
      <c r="AD471" s="322">
        <f>IFERROR((VLOOKUP(Calculations[[#This Row],[Waste type 2]],WasteLandfillEmissions[#All],3,FALSE))*Calculations[[#This Row],[Total Kg]]*VLOOKUP(Calculations[[#This Row],[Waste 1]],WasteScenario[#All],4,FALSE),0)</f>
        <v>0</v>
      </c>
      <c r="AE471" s="322">
        <f>SUM(Calculations[[#This Row],[C4 landfill]:[C4 re-use]])</f>
        <v>0</v>
      </c>
      <c r="AF471" s="322">
        <f>IFERROR(VLOOKUP(Calculations[[#This Row],[Material (choose from dropdown]],MaterialData[#All],8,FALSE),0)</f>
        <v>0</v>
      </c>
      <c r="AG471" s="322">
        <f>IFERROR(Calculations[[#This Row],[Total Kg]]*Calculations[[#This Row],[Seq factor]],0)</f>
        <v>0</v>
      </c>
      <c r="AI471" s="322">
        <f>Calculations[[#This Row],[A1-3]]+Calculations[[#This Row],[A4]]+Calculations[[#This Row],[A5]]+Calculations[[#This Row],[B4]]+Calculations[[#This Row],[C2 total]]+Calculations[[#This Row],[C3 total]]+Calculations[[#This Row],[C4 total]]</f>
        <v>0</v>
      </c>
      <c r="AJ471" s="2">
        <f>IFERROR(VLOOKUP(Calculations[[#This Row],[Material (choose from dropdown]],MaterialData[[#Headers],[#Data]],9,FALSE),0)</f>
        <v>0</v>
      </c>
      <c r="AK471" s="4">
        <f>IFERROR(VLOOKUP(Calculations[[#This Row],[Material (choose from dropdown]],MaterialData[[#Headers],[#Data]],10,FALSE),0)</f>
        <v>0</v>
      </c>
      <c r="AL471" s="322">
        <f>IFERROR(Calculations[[#This Row],[Data Quality Score]]*Calculations[[#This Row],[Total Kg]],0)</f>
        <v>0</v>
      </c>
    </row>
    <row r="472" spans="1:38" x14ac:dyDescent="0.3">
      <c r="A472" s="6">
        <f>IFERROR(MaterialsBoQ[[#This Row],[Scope Element]],0)</f>
        <v>0</v>
      </c>
      <c r="B472" t="str">
        <f>IFERROR(MaterialsBoQ[[#This Row],[Material ]],"")</f>
        <v/>
      </c>
      <c r="C472" t="str">
        <f>IFERROR(MaterialsBoQ[[#This Row],[Unit]],"")</f>
        <v/>
      </c>
      <c r="D472" s="322">
        <f>IFERROR(MaterialsBoQ[[#This Row],[Number]],0)</f>
        <v>0</v>
      </c>
      <c r="E472" s="322">
        <f>IFERROR(MaterialsBoQ[[#This Row],[Kg per unit]],0)</f>
        <v>0</v>
      </c>
      <c r="F472" s="322">
        <f>IFERROR(Calculations[[#This Row],[Number]]*Calculations[[#This Row],[Conversion factor]],0)</f>
        <v>0</v>
      </c>
      <c r="G472" s="322">
        <f>IFERROR(VLOOKUP(Calculations[[#This Row],[Material (choose from dropdown]],MaterialData[#All],7,FALSE),0)</f>
        <v>0</v>
      </c>
      <c r="H472" s="322">
        <f>Calculations[[#This Row],[Total Kg]]*Calculations[[#This Row],[Carbon Factor]]</f>
        <v>0</v>
      </c>
      <c r="I472" t="str">
        <f>IFERROR(VLOOKUP(Calculations[[#This Row],[Material (choose from dropdown]],MaterialData[#All],2,FALSE),"")</f>
        <v/>
      </c>
      <c r="J472" s="322">
        <f>IFERROR(((VLOOKUP(Calculations[[#This Row],[TransportSource]],TransportDistance[],2,FALSE)*'Stage assumptions'!$C$11)+VLOOKUP(Calculations[[#This Row],[TransportSource]],TransportDistance[],3,FALSE)*'Stage assumptions'!$C$12)*Calculations[[#This Row],[Total Kg]],0)</f>
        <v>0</v>
      </c>
      <c r="K472">
        <f>IFERROR(VLOOKUP(Calculations[[#This Row],[Material (choose from dropdown]], MaterialData[#All],3, FALSE),0)</f>
        <v>0</v>
      </c>
      <c r="L472" s="322">
        <f>IFERROR(VLOOKUP(Calculations[[#This Row],[A5type]],A5WastageRate[#All],2,FALSE)*Calculations[[#This Row],[A1-3]],0)</f>
        <v>0</v>
      </c>
      <c r="N472">
        <f>IFERROR(ROUNDUP(50/VLOOKUP(Calculations[[#This Row],[Scope Element]],B4referenceServiceLife[[Tier 2 element]:[Default Service Life]],2, FALSE)-1,0),0)</f>
        <v>0</v>
      </c>
      <c r="O472" s="322">
        <f>IFERROR((Calculations[[#This Row],[A1-3]]+Calculations[[#This Row],[A4]]+Calculations[[#This Row],[A5]]+Calculations[[#This Row],[C2 total]]+Calculations[[#This Row],[C3 total]]+Calculations[[#This Row],[C4 total]])*Calculations[[#This Row],[Replacements]],0)</f>
        <v>0</v>
      </c>
      <c r="S472" t="str">
        <f>IFERROR(VLOOKUP(Calculations[[#This Row],[Material (choose from dropdown]],MaterialData[#All],4,FALSE),"")</f>
        <v/>
      </c>
      <c r="T472" s="322" cm="1">
        <f t="array" ref="T472">IFERROR(VLOOKUP(Calculations[[#This Row],[Waste 1]],WasteScenario[#All],2,FALSE)*'Stage assumptions'!$C$225*WasteTransportMethod[Emissions Factor
kgCO2e/kg.km]*Calculations[[#This Row],[Total Kg]],0)</f>
        <v>0</v>
      </c>
      <c r="U472" s="322" cm="1">
        <f t="array" ref="U472">IFERROR(VLOOKUP(Calculations[[#This Row],[Waste 1]],WasteScenario[#All],3,FALSE)*'Stage assumptions'!$C$224*WasteTransportMethod[Emissions Factor
kgCO2e/kg.km]*Calculations[[#This Row],[Total Kg]],0)</f>
        <v>0</v>
      </c>
      <c r="V472" s="322" cm="1">
        <f t="array" ref="V472">IFERROR(VLOOKUP(Calculations[[#This Row],[Waste 1]],WasteScenario[#All],4,FALSE)*'Stage assumptions'!$C$223*WasteTransportMethod[Emissions Factor
kgCO2e/kg.km]*Calculations[[#This Row],[Total Kg]],0)</f>
        <v>0</v>
      </c>
      <c r="W472" s="322" cm="1">
        <f t="array" ref="W472">IFERROR(VLOOKUP(Calculations[[#This Row],[Waste 1]],WasteScenario[#All],5,FALSE)*'Stage assumptions'!$C$226*WasteTransportMethod[Emissions Factor
kgCO2e/kg.km]*Calculations[[#This Row],[Total Kg]],0)</f>
        <v>0</v>
      </c>
      <c r="X472" s="322">
        <f>SUM(Calculations[[#This Row],[C2 Recycle]:[C2 Reuse]])</f>
        <v>0</v>
      </c>
      <c r="Y472" t="str">
        <f>IFERROR(VLOOKUP(Calculations[[#This Row],[Material (choose from dropdown]],MaterialData[#All],5,FALSE),"")</f>
        <v/>
      </c>
      <c r="Z472" s="322">
        <f>IFERROR(((VLOOKUP(Calculations[[#This Row],[Waste type 2]],WasteDisposalEmissions[#All],2,FALSE))*Calculations[[#This Row],[Total Kg]])*VLOOKUP(Calculations[[#This Row],[Waste 1]],WasteScenario[#All],2,FALSE),0)</f>
        <v>0</v>
      </c>
      <c r="AA472" s="322">
        <f>IFERROR((VLOOKUP(Calculations[[#This Row],[Waste type 2]],WasteDisposalEmissions[#All],3,FALSE))*Calculations[[#This Row],[Total Kg]]*VLOOKUP(Calculations[[#This Row],[Waste 1]],WasteScenario[#All],3,FALSE),0)</f>
        <v>0</v>
      </c>
      <c r="AB472" s="322">
        <f>SUM(Calculations[[#This Row],[C3 recyc]:[C3 incin]])</f>
        <v>0</v>
      </c>
      <c r="AC472" s="334">
        <f>IFERROR((VLOOKUP(Calculations[[#This Row],[Waste type 2]],WasteLandfillEmissions[#All],2,FALSE))*Calculations[[#This Row],[Total Kg]]*VLOOKUP(Calculations[[#This Row],[Waste 1]],WasteScenario[#All],4,FALSE),0)</f>
        <v>0</v>
      </c>
      <c r="AD472" s="322">
        <f>IFERROR((VLOOKUP(Calculations[[#This Row],[Waste type 2]],WasteLandfillEmissions[#All],3,FALSE))*Calculations[[#This Row],[Total Kg]]*VLOOKUP(Calculations[[#This Row],[Waste 1]],WasteScenario[#All],4,FALSE),0)</f>
        <v>0</v>
      </c>
      <c r="AE472" s="322">
        <f>SUM(Calculations[[#This Row],[C4 landfill]:[C4 re-use]])</f>
        <v>0</v>
      </c>
      <c r="AF472" s="322">
        <f>IFERROR(VLOOKUP(Calculations[[#This Row],[Material (choose from dropdown]],MaterialData[#All],8,FALSE),0)</f>
        <v>0</v>
      </c>
      <c r="AG472" s="322">
        <f>IFERROR(Calculations[[#This Row],[Total Kg]]*Calculations[[#This Row],[Seq factor]],0)</f>
        <v>0</v>
      </c>
      <c r="AI472" s="322">
        <f>Calculations[[#This Row],[A1-3]]+Calculations[[#This Row],[A4]]+Calculations[[#This Row],[A5]]+Calculations[[#This Row],[B4]]+Calculations[[#This Row],[C2 total]]+Calculations[[#This Row],[C3 total]]+Calculations[[#This Row],[C4 total]]</f>
        <v>0</v>
      </c>
      <c r="AJ472" s="2">
        <f>IFERROR(VLOOKUP(Calculations[[#This Row],[Material (choose from dropdown]],MaterialData[[#Headers],[#Data]],9,FALSE),0)</f>
        <v>0</v>
      </c>
      <c r="AK472" s="4">
        <f>IFERROR(VLOOKUP(Calculations[[#This Row],[Material (choose from dropdown]],MaterialData[[#Headers],[#Data]],10,FALSE),0)</f>
        <v>0</v>
      </c>
      <c r="AL472" s="322">
        <f>IFERROR(Calculations[[#This Row],[Data Quality Score]]*Calculations[[#This Row],[Total Kg]],0)</f>
        <v>0</v>
      </c>
    </row>
    <row r="473" spans="1:38" x14ac:dyDescent="0.3">
      <c r="A473" s="6">
        <f>IFERROR(MaterialsBoQ[[#This Row],[Scope Element]],0)</f>
        <v>0</v>
      </c>
      <c r="B473" t="str">
        <f>IFERROR(MaterialsBoQ[[#This Row],[Material ]],"")</f>
        <v/>
      </c>
      <c r="C473" t="str">
        <f>IFERROR(MaterialsBoQ[[#This Row],[Unit]],"")</f>
        <v/>
      </c>
      <c r="D473" s="322">
        <f>IFERROR(MaterialsBoQ[[#This Row],[Number]],0)</f>
        <v>0</v>
      </c>
      <c r="E473" s="322">
        <f>IFERROR(MaterialsBoQ[[#This Row],[Kg per unit]],0)</f>
        <v>0</v>
      </c>
      <c r="F473" s="322">
        <f>IFERROR(Calculations[[#This Row],[Number]]*Calculations[[#This Row],[Conversion factor]],0)</f>
        <v>0</v>
      </c>
      <c r="G473" s="322">
        <f>IFERROR(VLOOKUP(Calculations[[#This Row],[Material (choose from dropdown]],MaterialData[#All],7,FALSE),0)</f>
        <v>0</v>
      </c>
      <c r="H473" s="322">
        <f>Calculations[[#This Row],[Total Kg]]*Calculations[[#This Row],[Carbon Factor]]</f>
        <v>0</v>
      </c>
      <c r="I473" t="str">
        <f>IFERROR(VLOOKUP(Calculations[[#This Row],[Material (choose from dropdown]],MaterialData[#All],2,FALSE),"")</f>
        <v/>
      </c>
      <c r="J473" s="322">
        <f>IFERROR(((VLOOKUP(Calculations[[#This Row],[TransportSource]],TransportDistance[],2,FALSE)*'Stage assumptions'!$C$11)+VLOOKUP(Calculations[[#This Row],[TransportSource]],TransportDistance[],3,FALSE)*'Stage assumptions'!$C$12)*Calculations[[#This Row],[Total Kg]],0)</f>
        <v>0</v>
      </c>
      <c r="K473">
        <f>IFERROR(VLOOKUP(Calculations[[#This Row],[Material (choose from dropdown]], MaterialData[#All],3, FALSE),0)</f>
        <v>0</v>
      </c>
      <c r="L473" s="322">
        <f>IFERROR(VLOOKUP(Calculations[[#This Row],[A5type]],A5WastageRate[#All],2,FALSE)*Calculations[[#This Row],[A1-3]],0)</f>
        <v>0</v>
      </c>
      <c r="N473">
        <f>IFERROR(ROUNDUP(50/VLOOKUP(Calculations[[#This Row],[Scope Element]],B4referenceServiceLife[[Tier 2 element]:[Default Service Life]],2, FALSE)-1,0),0)</f>
        <v>0</v>
      </c>
      <c r="O473" s="322">
        <f>IFERROR((Calculations[[#This Row],[A1-3]]+Calculations[[#This Row],[A4]]+Calculations[[#This Row],[A5]]+Calculations[[#This Row],[C2 total]]+Calculations[[#This Row],[C3 total]]+Calculations[[#This Row],[C4 total]])*Calculations[[#This Row],[Replacements]],0)</f>
        <v>0</v>
      </c>
      <c r="S473" t="str">
        <f>IFERROR(VLOOKUP(Calculations[[#This Row],[Material (choose from dropdown]],MaterialData[#All],4,FALSE),"")</f>
        <v/>
      </c>
      <c r="T473" s="322" cm="1">
        <f t="array" ref="T473">IFERROR(VLOOKUP(Calculations[[#This Row],[Waste 1]],WasteScenario[#All],2,FALSE)*'Stage assumptions'!$C$225*WasteTransportMethod[Emissions Factor
kgCO2e/kg.km]*Calculations[[#This Row],[Total Kg]],0)</f>
        <v>0</v>
      </c>
      <c r="U473" s="322" cm="1">
        <f t="array" ref="U473">IFERROR(VLOOKUP(Calculations[[#This Row],[Waste 1]],WasteScenario[#All],3,FALSE)*'Stage assumptions'!$C$224*WasteTransportMethod[Emissions Factor
kgCO2e/kg.km]*Calculations[[#This Row],[Total Kg]],0)</f>
        <v>0</v>
      </c>
      <c r="V473" s="322" cm="1">
        <f t="array" ref="V473">IFERROR(VLOOKUP(Calculations[[#This Row],[Waste 1]],WasteScenario[#All],4,FALSE)*'Stage assumptions'!$C$223*WasteTransportMethod[Emissions Factor
kgCO2e/kg.km]*Calculations[[#This Row],[Total Kg]],0)</f>
        <v>0</v>
      </c>
      <c r="W473" s="322" cm="1">
        <f t="array" ref="W473">IFERROR(VLOOKUP(Calculations[[#This Row],[Waste 1]],WasteScenario[#All],5,FALSE)*'Stage assumptions'!$C$226*WasteTransportMethod[Emissions Factor
kgCO2e/kg.km]*Calculations[[#This Row],[Total Kg]],0)</f>
        <v>0</v>
      </c>
      <c r="X473" s="322">
        <f>SUM(Calculations[[#This Row],[C2 Recycle]:[C2 Reuse]])</f>
        <v>0</v>
      </c>
      <c r="Y473" t="str">
        <f>IFERROR(VLOOKUP(Calculations[[#This Row],[Material (choose from dropdown]],MaterialData[#All],5,FALSE),"")</f>
        <v/>
      </c>
      <c r="Z473" s="322">
        <f>IFERROR(((VLOOKUP(Calculations[[#This Row],[Waste type 2]],WasteDisposalEmissions[#All],2,FALSE))*Calculations[[#This Row],[Total Kg]])*VLOOKUP(Calculations[[#This Row],[Waste 1]],WasteScenario[#All],2,FALSE),0)</f>
        <v>0</v>
      </c>
      <c r="AA473" s="322">
        <f>IFERROR((VLOOKUP(Calculations[[#This Row],[Waste type 2]],WasteDisposalEmissions[#All],3,FALSE))*Calculations[[#This Row],[Total Kg]]*VLOOKUP(Calculations[[#This Row],[Waste 1]],WasteScenario[#All],3,FALSE),0)</f>
        <v>0</v>
      </c>
      <c r="AB473" s="322">
        <f>SUM(Calculations[[#This Row],[C3 recyc]:[C3 incin]])</f>
        <v>0</v>
      </c>
      <c r="AC473" s="334">
        <f>IFERROR((VLOOKUP(Calculations[[#This Row],[Waste type 2]],WasteLandfillEmissions[#All],2,FALSE))*Calculations[[#This Row],[Total Kg]]*VLOOKUP(Calculations[[#This Row],[Waste 1]],WasteScenario[#All],4,FALSE),0)</f>
        <v>0</v>
      </c>
      <c r="AD473" s="322">
        <f>IFERROR((VLOOKUP(Calculations[[#This Row],[Waste type 2]],WasteLandfillEmissions[#All],3,FALSE))*Calculations[[#This Row],[Total Kg]]*VLOOKUP(Calculations[[#This Row],[Waste 1]],WasteScenario[#All],4,FALSE),0)</f>
        <v>0</v>
      </c>
      <c r="AE473" s="322">
        <f>SUM(Calculations[[#This Row],[C4 landfill]:[C4 re-use]])</f>
        <v>0</v>
      </c>
      <c r="AF473" s="322">
        <f>IFERROR(VLOOKUP(Calculations[[#This Row],[Material (choose from dropdown]],MaterialData[#All],8,FALSE),0)</f>
        <v>0</v>
      </c>
      <c r="AG473" s="322">
        <f>IFERROR(Calculations[[#This Row],[Total Kg]]*Calculations[[#This Row],[Seq factor]],0)</f>
        <v>0</v>
      </c>
      <c r="AI473" s="322">
        <f>Calculations[[#This Row],[A1-3]]+Calculations[[#This Row],[A4]]+Calculations[[#This Row],[A5]]+Calculations[[#This Row],[B4]]+Calculations[[#This Row],[C2 total]]+Calculations[[#This Row],[C3 total]]+Calculations[[#This Row],[C4 total]]</f>
        <v>0</v>
      </c>
      <c r="AJ473" s="2">
        <f>IFERROR(VLOOKUP(Calculations[[#This Row],[Material (choose from dropdown]],MaterialData[[#Headers],[#Data]],9,FALSE),0)</f>
        <v>0</v>
      </c>
      <c r="AK473" s="4">
        <f>IFERROR(VLOOKUP(Calculations[[#This Row],[Material (choose from dropdown]],MaterialData[[#Headers],[#Data]],10,FALSE),0)</f>
        <v>0</v>
      </c>
      <c r="AL473" s="322">
        <f>IFERROR(Calculations[[#This Row],[Data Quality Score]]*Calculations[[#This Row],[Total Kg]],0)</f>
        <v>0</v>
      </c>
    </row>
    <row r="474" spans="1:38" x14ac:dyDescent="0.3">
      <c r="A474" s="6">
        <f>IFERROR(MaterialsBoQ[[#This Row],[Scope Element]],0)</f>
        <v>0</v>
      </c>
      <c r="B474" t="str">
        <f>IFERROR(MaterialsBoQ[[#This Row],[Material ]],"")</f>
        <v/>
      </c>
      <c r="C474" t="str">
        <f>IFERROR(MaterialsBoQ[[#This Row],[Unit]],"")</f>
        <v/>
      </c>
      <c r="D474" s="322">
        <f>IFERROR(MaterialsBoQ[[#This Row],[Number]],0)</f>
        <v>0</v>
      </c>
      <c r="E474" s="322">
        <f>IFERROR(MaterialsBoQ[[#This Row],[Kg per unit]],0)</f>
        <v>0</v>
      </c>
      <c r="F474" s="322">
        <f>IFERROR(Calculations[[#This Row],[Number]]*Calculations[[#This Row],[Conversion factor]],0)</f>
        <v>0</v>
      </c>
      <c r="G474" s="322">
        <f>IFERROR(VLOOKUP(Calculations[[#This Row],[Material (choose from dropdown]],MaterialData[#All],7,FALSE),0)</f>
        <v>0</v>
      </c>
      <c r="H474" s="322">
        <f>Calculations[[#This Row],[Total Kg]]*Calculations[[#This Row],[Carbon Factor]]</f>
        <v>0</v>
      </c>
      <c r="I474" t="str">
        <f>IFERROR(VLOOKUP(Calculations[[#This Row],[Material (choose from dropdown]],MaterialData[#All],2,FALSE),"")</f>
        <v/>
      </c>
      <c r="J474" s="322">
        <f>IFERROR(((VLOOKUP(Calculations[[#This Row],[TransportSource]],TransportDistance[],2,FALSE)*'Stage assumptions'!$C$11)+VLOOKUP(Calculations[[#This Row],[TransportSource]],TransportDistance[],3,FALSE)*'Stage assumptions'!$C$12)*Calculations[[#This Row],[Total Kg]],0)</f>
        <v>0</v>
      </c>
      <c r="K474">
        <f>IFERROR(VLOOKUP(Calculations[[#This Row],[Material (choose from dropdown]], MaterialData[#All],3, FALSE),0)</f>
        <v>0</v>
      </c>
      <c r="L474" s="322">
        <f>IFERROR(VLOOKUP(Calculations[[#This Row],[A5type]],A5WastageRate[#All],2,FALSE)*Calculations[[#This Row],[A1-3]],0)</f>
        <v>0</v>
      </c>
      <c r="N474">
        <f>IFERROR(ROUNDUP(50/VLOOKUP(Calculations[[#This Row],[Scope Element]],B4referenceServiceLife[[Tier 2 element]:[Default Service Life]],2, FALSE)-1,0),0)</f>
        <v>0</v>
      </c>
      <c r="O474" s="322">
        <f>IFERROR((Calculations[[#This Row],[A1-3]]+Calculations[[#This Row],[A4]]+Calculations[[#This Row],[A5]]+Calculations[[#This Row],[C2 total]]+Calculations[[#This Row],[C3 total]]+Calculations[[#This Row],[C4 total]])*Calculations[[#This Row],[Replacements]],0)</f>
        <v>0</v>
      </c>
      <c r="S474" t="str">
        <f>IFERROR(VLOOKUP(Calculations[[#This Row],[Material (choose from dropdown]],MaterialData[#All],4,FALSE),"")</f>
        <v/>
      </c>
      <c r="T474" s="322" cm="1">
        <f t="array" ref="T474">IFERROR(VLOOKUP(Calculations[[#This Row],[Waste 1]],WasteScenario[#All],2,FALSE)*'Stage assumptions'!$C$225*WasteTransportMethod[Emissions Factor
kgCO2e/kg.km]*Calculations[[#This Row],[Total Kg]],0)</f>
        <v>0</v>
      </c>
      <c r="U474" s="322" cm="1">
        <f t="array" ref="U474">IFERROR(VLOOKUP(Calculations[[#This Row],[Waste 1]],WasteScenario[#All],3,FALSE)*'Stage assumptions'!$C$224*WasteTransportMethod[Emissions Factor
kgCO2e/kg.km]*Calculations[[#This Row],[Total Kg]],0)</f>
        <v>0</v>
      </c>
      <c r="V474" s="322" cm="1">
        <f t="array" ref="V474">IFERROR(VLOOKUP(Calculations[[#This Row],[Waste 1]],WasteScenario[#All],4,FALSE)*'Stage assumptions'!$C$223*WasteTransportMethod[Emissions Factor
kgCO2e/kg.km]*Calculations[[#This Row],[Total Kg]],0)</f>
        <v>0</v>
      </c>
      <c r="W474" s="322" cm="1">
        <f t="array" ref="W474">IFERROR(VLOOKUP(Calculations[[#This Row],[Waste 1]],WasteScenario[#All],5,FALSE)*'Stage assumptions'!$C$226*WasteTransportMethod[Emissions Factor
kgCO2e/kg.km]*Calculations[[#This Row],[Total Kg]],0)</f>
        <v>0</v>
      </c>
      <c r="X474" s="322">
        <f>SUM(Calculations[[#This Row],[C2 Recycle]:[C2 Reuse]])</f>
        <v>0</v>
      </c>
      <c r="Y474" t="str">
        <f>IFERROR(VLOOKUP(Calculations[[#This Row],[Material (choose from dropdown]],MaterialData[#All],5,FALSE),"")</f>
        <v/>
      </c>
      <c r="Z474" s="322">
        <f>IFERROR(((VLOOKUP(Calculations[[#This Row],[Waste type 2]],WasteDisposalEmissions[#All],2,FALSE))*Calculations[[#This Row],[Total Kg]])*VLOOKUP(Calculations[[#This Row],[Waste 1]],WasteScenario[#All],2,FALSE),0)</f>
        <v>0</v>
      </c>
      <c r="AA474" s="322">
        <f>IFERROR((VLOOKUP(Calculations[[#This Row],[Waste type 2]],WasteDisposalEmissions[#All],3,FALSE))*Calculations[[#This Row],[Total Kg]]*VLOOKUP(Calculations[[#This Row],[Waste 1]],WasteScenario[#All],3,FALSE),0)</f>
        <v>0</v>
      </c>
      <c r="AB474" s="322">
        <f>SUM(Calculations[[#This Row],[C3 recyc]:[C3 incin]])</f>
        <v>0</v>
      </c>
      <c r="AC474" s="334">
        <f>IFERROR((VLOOKUP(Calculations[[#This Row],[Waste type 2]],WasteLandfillEmissions[#All],2,FALSE))*Calculations[[#This Row],[Total Kg]]*VLOOKUP(Calculations[[#This Row],[Waste 1]],WasteScenario[#All],4,FALSE),0)</f>
        <v>0</v>
      </c>
      <c r="AD474" s="322">
        <f>IFERROR((VLOOKUP(Calculations[[#This Row],[Waste type 2]],WasteLandfillEmissions[#All],3,FALSE))*Calculations[[#This Row],[Total Kg]]*VLOOKUP(Calculations[[#This Row],[Waste 1]],WasteScenario[#All],4,FALSE),0)</f>
        <v>0</v>
      </c>
      <c r="AE474" s="322">
        <f>SUM(Calculations[[#This Row],[C4 landfill]:[C4 re-use]])</f>
        <v>0</v>
      </c>
      <c r="AF474" s="322">
        <f>IFERROR(VLOOKUP(Calculations[[#This Row],[Material (choose from dropdown]],MaterialData[#All],8,FALSE),0)</f>
        <v>0</v>
      </c>
      <c r="AG474" s="322">
        <f>IFERROR(Calculations[[#This Row],[Total Kg]]*Calculations[[#This Row],[Seq factor]],0)</f>
        <v>0</v>
      </c>
      <c r="AI474" s="322">
        <f>Calculations[[#This Row],[A1-3]]+Calculations[[#This Row],[A4]]+Calculations[[#This Row],[A5]]+Calculations[[#This Row],[B4]]+Calculations[[#This Row],[C2 total]]+Calculations[[#This Row],[C3 total]]+Calculations[[#This Row],[C4 total]]</f>
        <v>0</v>
      </c>
      <c r="AJ474" s="2">
        <f>IFERROR(VLOOKUP(Calculations[[#This Row],[Material (choose from dropdown]],MaterialData[[#Headers],[#Data]],9,FALSE),0)</f>
        <v>0</v>
      </c>
      <c r="AK474" s="4">
        <f>IFERROR(VLOOKUP(Calculations[[#This Row],[Material (choose from dropdown]],MaterialData[[#Headers],[#Data]],10,FALSE),0)</f>
        <v>0</v>
      </c>
      <c r="AL474" s="322">
        <f>IFERROR(Calculations[[#This Row],[Data Quality Score]]*Calculations[[#This Row],[Total Kg]],0)</f>
        <v>0</v>
      </c>
    </row>
    <row r="475" spans="1:38" x14ac:dyDescent="0.3">
      <c r="A475" s="6">
        <f>IFERROR(MaterialsBoQ[[#This Row],[Scope Element]],0)</f>
        <v>0</v>
      </c>
      <c r="B475" t="str">
        <f>IFERROR(MaterialsBoQ[[#This Row],[Material ]],"")</f>
        <v/>
      </c>
      <c r="C475" t="str">
        <f>IFERROR(MaterialsBoQ[[#This Row],[Unit]],"")</f>
        <v/>
      </c>
      <c r="D475" s="322">
        <f>IFERROR(MaterialsBoQ[[#This Row],[Number]],0)</f>
        <v>0</v>
      </c>
      <c r="E475" s="322">
        <f>IFERROR(MaterialsBoQ[[#This Row],[Kg per unit]],0)</f>
        <v>0</v>
      </c>
      <c r="F475" s="322">
        <f>IFERROR(Calculations[[#This Row],[Number]]*Calculations[[#This Row],[Conversion factor]],0)</f>
        <v>0</v>
      </c>
      <c r="G475" s="322">
        <f>IFERROR(VLOOKUP(Calculations[[#This Row],[Material (choose from dropdown]],MaterialData[#All],7,FALSE),0)</f>
        <v>0</v>
      </c>
      <c r="H475" s="322">
        <f>Calculations[[#This Row],[Total Kg]]*Calculations[[#This Row],[Carbon Factor]]</f>
        <v>0</v>
      </c>
      <c r="I475" t="str">
        <f>IFERROR(VLOOKUP(Calculations[[#This Row],[Material (choose from dropdown]],MaterialData[#All],2,FALSE),"")</f>
        <v/>
      </c>
      <c r="J475" s="322">
        <f>IFERROR(((VLOOKUP(Calculations[[#This Row],[TransportSource]],TransportDistance[],2,FALSE)*'Stage assumptions'!$C$11)+VLOOKUP(Calculations[[#This Row],[TransportSource]],TransportDistance[],3,FALSE)*'Stage assumptions'!$C$12)*Calculations[[#This Row],[Total Kg]],0)</f>
        <v>0</v>
      </c>
      <c r="K475">
        <f>IFERROR(VLOOKUP(Calculations[[#This Row],[Material (choose from dropdown]], MaterialData[#All],3, FALSE),0)</f>
        <v>0</v>
      </c>
      <c r="L475" s="322">
        <f>IFERROR(VLOOKUP(Calculations[[#This Row],[A5type]],A5WastageRate[#All],2,FALSE)*Calculations[[#This Row],[A1-3]],0)</f>
        <v>0</v>
      </c>
      <c r="N475">
        <f>IFERROR(ROUNDUP(50/VLOOKUP(Calculations[[#This Row],[Scope Element]],B4referenceServiceLife[[Tier 2 element]:[Default Service Life]],2, FALSE)-1,0),0)</f>
        <v>0</v>
      </c>
      <c r="O475" s="322">
        <f>IFERROR((Calculations[[#This Row],[A1-3]]+Calculations[[#This Row],[A4]]+Calculations[[#This Row],[A5]]+Calculations[[#This Row],[C2 total]]+Calculations[[#This Row],[C3 total]]+Calculations[[#This Row],[C4 total]])*Calculations[[#This Row],[Replacements]],0)</f>
        <v>0</v>
      </c>
      <c r="S475" t="str">
        <f>IFERROR(VLOOKUP(Calculations[[#This Row],[Material (choose from dropdown]],MaterialData[#All],4,FALSE),"")</f>
        <v/>
      </c>
      <c r="T475" s="322" cm="1">
        <f t="array" ref="T475">IFERROR(VLOOKUP(Calculations[[#This Row],[Waste 1]],WasteScenario[#All],2,FALSE)*'Stage assumptions'!$C$225*WasteTransportMethod[Emissions Factor
kgCO2e/kg.km]*Calculations[[#This Row],[Total Kg]],0)</f>
        <v>0</v>
      </c>
      <c r="U475" s="322" cm="1">
        <f t="array" ref="U475">IFERROR(VLOOKUP(Calculations[[#This Row],[Waste 1]],WasteScenario[#All],3,FALSE)*'Stage assumptions'!$C$224*WasteTransportMethod[Emissions Factor
kgCO2e/kg.km]*Calculations[[#This Row],[Total Kg]],0)</f>
        <v>0</v>
      </c>
      <c r="V475" s="322" cm="1">
        <f t="array" ref="V475">IFERROR(VLOOKUP(Calculations[[#This Row],[Waste 1]],WasteScenario[#All],4,FALSE)*'Stage assumptions'!$C$223*WasteTransportMethod[Emissions Factor
kgCO2e/kg.km]*Calculations[[#This Row],[Total Kg]],0)</f>
        <v>0</v>
      </c>
      <c r="W475" s="322" cm="1">
        <f t="array" ref="W475">IFERROR(VLOOKUP(Calculations[[#This Row],[Waste 1]],WasteScenario[#All],5,FALSE)*'Stage assumptions'!$C$226*WasteTransportMethod[Emissions Factor
kgCO2e/kg.km]*Calculations[[#This Row],[Total Kg]],0)</f>
        <v>0</v>
      </c>
      <c r="X475" s="322">
        <f>SUM(Calculations[[#This Row],[C2 Recycle]:[C2 Reuse]])</f>
        <v>0</v>
      </c>
      <c r="Y475" t="str">
        <f>IFERROR(VLOOKUP(Calculations[[#This Row],[Material (choose from dropdown]],MaterialData[#All],5,FALSE),"")</f>
        <v/>
      </c>
      <c r="Z475" s="322">
        <f>IFERROR(((VLOOKUP(Calculations[[#This Row],[Waste type 2]],WasteDisposalEmissions[#All],2,FALSE))*Calculations[[#This Row],[Total Kg]])*VLOOKUP(Calculations[[#This Row],[Waste 1]],WasteScenario[#All],2,FALSE),0)</f>
        <v>0</v>
      </c>
      <c r="AA475" s="322">
        <f>IFERROR((VLOOKUP(Calculations[[#This Row],[Waste type 2]],WasteDisposalEmissions[#All],3,FALSE))*Calculations[[#This Row],[Total Kg]]*VLOOKUP(Calculations[[#This Row],[Waste 1]],WasteScenario[#All],3,FALSE),0)</f>
        <v>0</v>
      </c>
      <c r="AB475" s="322">
        <f>SUM(Calculations[[#This Row],[C3 recyc]:[C3 incin]])</f>
        <v>0</v>
      </c>
      <c r="AC475" s="334">
        <f>IFERROR((VLOOKUP(Calculations[[#This Row],[Waste type 2]],WasteLandfillEmissions[#All],2,FALSE))*Calculations[[#This Row],[Total Kg]]*VLOOKUP(Calculations[[#This Row],[Waste 1]],WasteScenario[#All],4,FALSE),0)</f>
        <v>0</v>
      </c>
      <c r="AD475" s="322">
        <f>IFERROR((VLOOKUP(Calculations[[#This Row],[Waste type 2]],WasteLandfillEmissions[#All],3,FALSE))*Calculations[[#This Row],[Total Kg]]*VLOOKUP(Calculations[[#This Row],[Waste 1]],WasteScenario[#All],4,FALSE),0)</f>
        <v>0</v>
      </c>
      <c r="AE475" s="322">
        <f>SUM(Calculations[[#This Row],[C4 landfill]:[C4 re-use]])</f>
        <v>0</v>
      </c>
      <c r="AF475" s="322">
        <f>IFERROR(VLOOKUP(Calculations[[#This Row],[Material (choose from dropdown]],MaterialData[#All],8,FALSE),0)</f>
        <v>0</v>
      </c>
      <c r="AG475" s="322">
        <f>IFERROR(Calculations[[#This Row],[Total Kg]]*Calculations[[#This Row],[Seq factor]],0)</f>
        <v>0</v>
      </c>
      <c r="AI475" s="322">
        <f>Calculations[[#This Row],[A1-3]]+Calculations[[#This Row],[A4]]+Calculations[[#This Row],[A5]]+Calculations[[#This Row],[B4]]+Calculations[[#This Row],[C2 total]]+Calculations[[#This Row],[C3 total]]+Calculations[[#This Row],[C4 total]]</f>
        <v>0</v>
      </c>
      <c r="AJ475" s="2">
        <f>IFERROR(VLOOKUP(Calculations[[#This Row],[Material (choose from dropdown]],MaterialData[[#Headers],[#Data]],9,FALSE),0)</f>
        <v>0</v>
      </c>
      <c r="AK475" s="4">
        <f>IFERROR(VLOOKUP(Calculations[[#This Row],[Material (choose from dropdown]],MaterialData[[#Headers],[#Data]],10,FALSE),0)</f>
        <v>0</v>
      </c>
      <c r="AL475" s="322">
        <f>IFERROR(Calculations[[#This Row],[Data Quality Score]]*Calculations[[#This Row],[Total Kg]],0)</f>
        <v>0</v>
      </c>
    </row>
    <row r="476" spans="1:38" x14ac:dyDescent="0.3">
      <c r="A476" s="6">
        <f>IFERROR(MaterialsBoQ[[#This Row],[Scope Element]],0)</f>
        <v>0</v>
      </c>
      <c r="B476" t="str">
        <f>IFERROR(MaterialsBoQ[[#This Row],[Material ]],"")</f>
        <v/>
      </c>
      <c r="C476" t="str">
        <f>IFERROR(MaterialsBoQ[[#This Row],[Unit]],"")</f>
        <v/>
      </c>
      <c r="D476" s="322">
        <f>IFERROR(MaterialsBoQ[[#This Row],[Number]],0)</f>
        <v>0</v>
      </c>
      <c r="E476" s="322">
        <f>IFERROR(MaterialsBoQ[[#This Row],[Kg per unit]],0)</f>
        <v>0</v>
      </c>
      <c r="F476" s="322">
        <f>IFERROR(Calculations[[#This Row],[Number]]*Calculations[[#This Row],[Conversion factor]],0)</f>
        <v>0</v>
      </c>
      <c r="G476" s="322">
        <f>IFERROR(VLOOKUP(Calculations[[#This Row],[Material (choose from dropdown]],MaterialData[#All],7,FALSE),0)</f>
        <v>0</v>
      </c>
      <c r="H476" s="322">
        <f>Calculations[[#This Row],[Total Kg]]*Calculations[[#This Row],[Carbon Factor]]</f>
        <v>0</v>
      </c>
      <c r="I476" t="str">
        <f>IFERROR(VLOOKUP(Calculations[[#This Row],[Material (choose from dropdown]],MaterialData[#All],2,FALSE),"")</f>
        <v/>
      </c>
      <c r="J476" s="322">
        <f>IFERROR(((VLOOKUP(Calculations[[#This Row],[TransportSource]],TransportDistance[],2,FALSE)*'Stage assumptions'!$C$11)+VLOOKUP(Calculations[[#This Row],[TransportSource]],TransportDistance[],3,FALSE)*'Stage assumptions'!$C$12)*Calculations[[#This Row],[Total Kg]],0)</f>
        <v>0</v>
      </c>
      <c r="K476">
        <f>IFERROR(VLOOKUP(Calculations[[#This Row],[Material (choose from dropdown]], MaterialData[#All],3, FALSE),0)</f>
        <v>0</v>
      </c>
      <c r="L476" s="322">
        <f>IFERROR(VLOOKUP(Calculations[[#This Row],[A5type]],A5WastageRate[#All],2,FALSE)*Calculations[[#This Row],[A1-3]],0)</f>
        <v>0</v>
      </c>
      <c r="N476">
        <f>IFERROR(ROUNDUP(50/VLOOKUP(Calculations[[#This Row],[Scope Element]],B4referenceServiceLife[[Tier 2 element]:[Default Service Life]],2, FALSE)-1,0),0)</f>
        <v>0</v>
      </c>
      <c r="O476" s="322">
        <f>IFERROR((Calculations[[#This Row],[A1-3]]+Calculations[[#This Row],[A4]]+Calculations[[#This Row],[A5]]+Calculations[[#This Row],[C2 total]]+Calculations[[#This Row],[C3 total]]+Calculations[[#This Row],[C4 total]])*Calculations[[#This Row],[Replacements]],0)</f>
        <v>0</v>
      </c>
      <c r="S476" t="str">
        <f>IFERROR(VLOOKUP(Calculations[[#This Row],[Material (choose from dropdown]],MaterialData[#All],4,FALSE),"")</f>
        <v/>
      </c>
      <c r="T476" s="322" cm="1">
        <f t="array" ref="T476">IFERROR(VLOOKUP(Calculations[[#This Row],[Waste 1]],WasteScenario[#All],2,FALSE)*'Stage assumptions'!$C$225*WasteTransportMethod[Emissions Factor
kgCO2e/kg.km]*Calculations[[#This Row],[Total Kg]],0)</f>
        <v>0</v>
      </c>
      <c r="U476" s="322" cm="1">
        <f t="array" ref="U476">IFERROR(VLOOKUP(Calculations[[#This Row],[Waste 1]],WasteScenario[#All],3,FALSE)*'Stage assumptions'!$C$224*WasteTransportMethod[Emissions Factor
kgCO2e/kg.km]*Calculations[[#This Row],[Total Kg]],0)</f>
        <v>0</v>
      </c>
      <c r="V476" s="322" cm="1">
        <f t="array" ref="V476">IFERROR(VLOOKUP(Calculations[[#This Row],[Waste 1]],WasteScenario[#All],4,FALSE)*'Stage assumptions'!$C$223*WasteTransportMethod[Emissions Factor
kgCO2e/kg.km]*Calculations[[#This Row],[Total Kg]],0)</f>
        <v>0</v>
      </c>
      <c r="W476" s="322" cm="1">
        <f t="array" ref="W476">IFERROR(VLOOKUP(Calculations[[#This Row],[Waste 1]],WasteScenario[#All],5,FALSE)*'Stage assumptions'!$C$226*WasteTransportMethod[Emissions Factor
kgCO2e/kg.km]*Calculations[[#This Row],[Total Kg]],0)</f>
        <v>0</v>
      </c>
      <c r="X476" s="322">
        <f>SUM(Calculations[[#This Row],[C2 Recycle]:[C2 Reuse]])</f>
        <v>0</v>
      </c>
      <c r="Y476" t="str">
        <f>IFERROR(VLOOKUP(Calculations[[#This Row],[Material (choose from dropdown]],MaterialData[#All],5,FALSE),"")</f>
        <v/>
      </c>
      <c r="Z476" s="322">
        <f>IFERROR(((VLOOKUP(Calculations[[#This Row],[Waste type 2]],WasteDisposalEmissions[#All],2,FALSE))*Calculations[[#This Row],[Total Kg]])*VLOOKUP(Calculations[[#This Row],[Waste 1]],WasteScenario[#All],2,FALSE),0)</f>
        <v>0</v>
      </c>
      <c r="AA476" s="322">
        <f>IFERROR((VLOOKUP(Calculations[[#This Row],[Waste type 2]],WasteDisposalEmissions[#All],3,FALSE))*Calculations[[#This Row],[Total Kg]]*VLOOKUP(Calculations[[#This Row],[Waste 1]],WasteScenario[#All],3,FALSE),0)</f>
        <v>0</v>
      </c>
      <c r="AB476" s="322">
        <f>SUM(Calculations[[#This Row],[C3 recyc]:[C3 incin]])</f>
        <v>0</v>
      </c>
      <c r="AC476" s="334">
        <f>IFERROR((VLOOKUP(Calculations[[#This Row],[Waste type 2]],WasteLandfillEmissions[#All],2,FALSE))*Calculations[[#This Row],[Total Kg]]*VLOOKUP(Calculations[[#This Row],[Waste 1]],WasteScenario[#All],4,FALSE),0)</f>
        <v>0</v>
      </c>
      <c r="AD476" s="322">
        <f>IFERROR((VLOOKUP(Calculations[[#This Row],[Waste type 2]],WasteLandfillEmissions[#All],3,FALSE))*Calculations[[#This Row],[Total Kg]]*VLOOKUP(Calculations[[#This Row],[Waste 1]],WasteScenario[#All],4,FALSE),0)</f>
        <v>0</v>
      </c>
      <c r="AE476" s="322">
        <f>SUM(Calculations[[#This Row],[C4 landfill]:[C4 re-use]])</f>
        <v>0</v>
      </c>
      <c r="AF476" s="322">
        <f>IFERROR(VLOOKUP(Calculations[[#This Row],[Material (choose from dropdown]],MaterialData[#All],8,FALSE),0)</f>
        <v>0</v>
      </c>
      <c r="AG476" s="322">
        <f>IFERROR(Calculations[[#This Row],[Total Kg]]*Calculations[[#This Row],[Seq factor]],0)</f>
        <v>0</v>
      </c>
      <c r="AI476" s="322">
        <f>Calculations[[#This Row],[A1-3]]+Calculations[[#This Row],[A4]]+Calculations[[#This Row],[A5]]+Calculations[[#This Row],[B4]]+Calculations[[#This Row],[C2 total]]+Calculations[[#This Row],[C3 total]]+Calculations[[#This Row],[C4 total]]</f>
        <v>0</v>
      </c>
      <c r="AJ476" s="2">
        <f>IFERROR(VLOOKUP(Calculations[[#This Row],[Material (choose from dropdown]],MaterialData[[#Headers],[#Data]],9,FALSE),0)</f>
        <v>0</v>
      </c>
      <c r="AK476" s="4">
        <f>IFERROR(VLOOKUP(Calculations[[#This Row],[Material (choose from dropdown]],MaterialData[[#Headers],[#Data]],10,FALSE),0)</f>
        <v>0</v>
      </c>
      <c r="AL476" s="322">
        <f>IFERROR(Calculations[[#This Row],[Data Quality Score]]*Calculations[[#This Row],[Total Kg]],0)</f>
        <v>0</v>
      </c>
    </row>
    <row r="477" spans="1:38" x14ac:dyDescent="0.3">
      <c r="A477" s="6">
        <f>IFERROR(MaterialsBoQ[[#This Row],[Scope Element]],0)</f>
        <v>0</v>
      </c>
      <c r="B477" t="str">
        <f>IFERROR(MaterialsBoQ[[#This Row],[Material ]],"")</f>
        <v/>
      </c>
      <c r="C477" t="str">
        <f>IFERROR(MaterialsBoQ[[#This Row],[Unit]],"")</f>
        <v/>
      </c>
      <c r="D477" s="322">
        <f>IFERROR(MaterialsBoQ[[#This Row],[Number]],0)</f>
        <v>0</v>
      </c>
      <c r="E477" s="322">
        <f>IFERROR(MaterialsBoQ[[#This Row],[Kg per unit]],0)</f>
        <v>0</v>
      </c>
      <c r="F477" s="322">
        <f>IFERROR(Calculations[[#This Row],[Number]]*Calculations[[#This Row],[Conversion factor]],0)</f>
        <v>0</v>
      </c>
      <c r="G477" s="322">
        <f>IFERROR(VLOOKUP(Calculations[[#This Row],[Material (choose from dropdown]],MaterialData[#All],7,FALSE),0)</f>
        <v>0</v>
      </c>
      <c r="H477" s="322">
        <f>Calculations[[#This Row],[Total Kg]]*Calculations[[#This Row],[Carbon Factor]]</f>
        <v>0</v>
      </c>
      <c r="I477" t="str">
        <f>IFERROR(VLOOKUP(Calculations[[#This Row],[Material (choose from dropdown]],MaterialData[#All],2,FALSE),"")</f>
        <v/>
      </c>
      <c r="J477" s="322">
        <f>IFERROR(((VLOOKUP(Calculations[[#This Row],[TransportSource]],TransportDistance[],2,FALSE)*'Stage assumptions'!$C$11)+VLOOKUP(Calculations[[#This Row],[TransportSource]],TransportDistance[],3,FALSE)*'Stage assumptions'!$C$12)*Calculations[[#This Row],[Total Kg]],0)</f>
        <v>0</v>
      </c>
      <c r="K477">
        <f>IFERROR(VLOOKUP(Calculations[[#This Row],[Material (choose from dropdown]], MaterialData[#All],3, FALSE),0)</f>
        <v>0</v>
      </c>
      <c r="L477" s="322">
        <f>IFERROR(VLOOKUP(Calculations[[#This Row],[A5type]],A5WastageRate[#All],2,FALSE)*Calculations[[#This Row],[A1-3]],0)</f>
        <v>0</v>
      </c>
      <c r="N477">
        <f>IFERROR(ROUNDUP(50/VLOOKUP(Calculations[[#This Row],[Scope Element]],B4referenceServiceLife[[Tier 2 element]:[Default Service Life]],2, FALSE)-1,0),0)</f>
        <v>0</v>
      </c>
      <c r="O477" s="322">
        <f>IFERROR((Calculations[[#This Row],[A1-3]]+Calculations[[#This Row],[A4]]+Calculations[[#This Row],[A5]]+Calculations[[#This Row],[C2 total]]+Calculations[[#This Row],[C3 total]]+Calculations[[#This Row],[C4 total]])*Calculations[[#This Row],[Replacements]],0)</f>
        <v>0</v>
      </c>
      <c r="S477" t="str">
        <f>IFERROR(VLOOKUP(Calculations[[#This Row],[Material (choose from dropdown]],MaterialData[#All],4,FALSE),"")</f>
        <v/>
      </c>
      <c r="T477" s="322" cm="1">
        <f t="array" ref="T477">IFERROR(VLOOKUP(Calculations[[#This Row],[Waste 1]],WasteScenario[#All],2,FALSE)*'Stage assumptions'!$C$225*WasteTransportMethod[Emissions Factor
kgCO2e/kg.km]*Calculations[[#This Row],[Total Kg]],0)</f>
        <v>0</v>
      </c>
      <c r="U477" s="322" cm="1">
        <f t="array" ref="U477">IFERROR(VLOOKUP(Calculations[[#This Row],[Waste 1]],WasteScenario[#All],3,FALSE)*'Stage assumptions'!$C$224*WasteTransportMethod[Emissions Factor
kgCO2e/kg.km]*Calculations[[#This Row],[Total Kg]],0)</f>
        <v>0</v>
      </c>
      <c r="V477" s="322" cm="1">
        <f t="array" ref="V477">IFERROR(VLOOKUP(Calculations[[#This Row],[Waste 1]],WasteScenario[#All],4,FALSE)*'Stage assumptions'!$C$223*WasteTransportMethod[Emissions Factor
kgCO2e/kg.km]*Calculations[[#This Row],[Total Kg]],0)</f>
        <v>0</v>
      </c>
      <c r="W477" s="322" cm="1">
        <f t="array" ref="W477">IFERROR(VLOOKUP(Calculations[[#This Row],[Waste 1]],WasteScenario[#All],5,FALSE)*'Stage assumptions'!$C$226*WasteTransportMethod[Emissions Factor
kgCO2e/kg.km]*Calculations[[#This Row],[Total Kg]],0)</f>
        <v>0</v>
      </c>
      <c r="X477" s="322">
        <f>SUM(Calculations[[#This Row],[C2 Recycle]:[C2 Reuse]])</f>
        <v>0</v>
      </c>
      <c r="Y477" t="str">
        <f>IFERROR(VLOOKUP(Calculations[[#This Row],[Material (choose from dropdown]],MaterialData[#All],5,FALSE),"")</f>
        <v/>
      </c>
      <c r="Z477" s="322">
        <f>IFERROR(((VLOOKUP(Calculations[[#This Row],[Waste type 2]],WasteDisposalEmissions[#All],2,FALSE))*Calculations[[#This Row],[Total Kg]])*VLOOKUP(Calculations[[#This Row],[Waste 1]],WasteScenario[#All],2,FALSE),0)</f>
        <v>0</v>
      </c>
      <c r="AA477" s="322">
        <f>IFERROR((VLOOKUP(Calculations[[#This Row],[Waste type 2]],WasteDisposalEmissions[#All],3,FALSE))*Calculations[[#This Row],[Total Kg]]*VLOOKUP(Calculations[[#This Row],[Waste 1]],WasteScenario[#All],3,FALSE),0)</f>
        <v>0</v>
      </c>
      <c r="AB477" s="322">
        <f>SUM(Calculations[[#This Row],[C3 recyc]:[C3 incin]])</f>
        <v>0</v>
      </c>
      <c r="AC477" s="334">
        <f>IFERROR((VLOOKUP(Calculations[[#This Row],[Waste type 2]],WasteLandfillEmissions[#All],2,FALSE))*Calculations[[#This Row],[Total Kg]]*VLOOKUP(Calculations[[#This Row],[Waste 1]],WasteScenario[#All],4,FALSE),0)</f>
        <v>0</v>
      </c>
      <c r="AD477" s="322">
        <f>IFERROR((VLOOKUP(Calculations[[#This Row],[Waste type 2]],WasteLandfillEmissions[#All],3,FALSE))*Calculations[[#This Row],[Total Kg]]*VLOOKUP(Calculations[[#This Row],[Waste 1]],WasteScenario[#All],4,FALSE),0)</f>
        <v>0</v>
      </c>
      <c r="AE477" s="322">
        <f>SUM(Calculations[[#This Row],[C4 landfill]:[C4 re-use]])</f>
        <v>0</v>
      </c>
      <c r="AF477" s="322">
        <f>IFERROR(VLOOKUP(Calculations[[#This Row],[Material (choose from dropdown]],MaterialData[#All],8,FALSE),0)</f>
        <v>0</v>
      </c>
      <c r="AG477" s="322">
        <f>IFERROR(Calculations[[#This Row],[Total Kg]]*Calculations[[#This Row],[Seq factor]],0)</f>
        <v>0</v>
      </c>
      <c r="AI477" s="322">
        <f>Calculations[[#This Row],[A1-3]]+Calculations[[#This Row],[A4]]+Calculations[[#This Row],[A5]]+Calculations[[#This Row],[B4]]+Calculations[[#This Row],[C2 total]]+Calculations[[#This Row],[C3 total]]+Calculations[[#This Row],[C4 total]]</f>
        <v>0</v>
      </c>
      <c r="AJ477" s="2">
        <f>IFERROR(VLOOKUP(Calculations[[#This Row],[Material (choose from dropdown]],MaterialData[[#Headers],[#Data]],9,FALSE),0)</f>
        <v>0</v>
      </c>
      <c r="AK477" s="4">
        <f>IFERROR(VLOOKUP(Calculations[[#This Row],[Material (choose from dropdown]],MaterialData[[#Headers],[#Data]],10,FALSE),0)</f>
        <v>0</v>
      </c>
      <c r="AL477" s="322">
        <f>IFERROR(Calculations[[#This Row],[Data Quality Score]]*Calculations[[#This Row],[Total Kg]],0)</f>
        <v>0</v>
      </c>
    </row>
    <row r="478" spans="1:38" x14ac:dyDescent="0.3">
      <c r="A478" s="6">
        <f>IFERROR(MaterialsBoQ[[#This Row],[Scope Element]],0)</f>
        <v>0</v>
      </c>
      <c r="B478" t="str">
        <f>IFERROR(MaterialsBoQ[[#This Row],[Material ]],"")</f>
        <v/>
      </c>
      <c r="C478" t="str">
        <f>IFERROR(MaterialsBoQ[[#This Row],[Unit]],"")</f>
        <v/>
      </c>
      <c r="D478" s="322">
        <f>IFERROR(MaterialsBoQ[[#This Row],[Number]],0)</f>
        <v>0</v>
      </c>
      <c r="E478" s="322">
        <f>IFERROR(MaterialsBoQ[[#This Row],[Kg per unit]],0)</f>
        <v>0</v>
      </c>
      <c r="F478" s="322">
        <f>IFERROR(Calculations[[#This Row],[Number]]*Calculations[[#This Row],[Conversion factor]],0)</f>
        <v>0</v>
      </c>
      <c r="G478" s="322">
        <f>IFERROR(VLOOKUP(Calculations[[#This Row],[Material (choose from dropdown]],MaterialData[#All],7,FALSE),0)</f>
        <v>0</v>
      </c>
      <c r="H478" s="322">
        <f>Calculations[[#This Row],[Total Kg]]*Calculations[[#This Row],[Carbon Factor]]</f>
        <v>0</v>
      </c>
      <c r="I478" t="str">
        <f>IFERROR(VLOOKUP(Calculations[[#This Row],[Material (choose from dropdown]],MaterialData[#All],2,FALSE),"")</f>
        <v/>
      </c>
      <c r="J478" s="322">
        <f>IFERROR(((VLOOKUP(Calculations[[#This Row],[TransportSource]],TransportDistance[],2,FALSE)*'Stage assumptions'!$C$11)+VLOOKUP(Calculations[[#This Row],[TransportSource]],TransportDistance[],3,FALSE)*'Stage assumptions'!$C$12)*Calculations[[#This Row],[Total Kg]],0)</f>
        <v>0</v>
      </c>
      <c r="K478">
        <f>IFERROR(VLOOKUP(Calculations[[#This Row],[Material (choose from dropdown]], MaterialData[#All],3, FALSE),0)</f>
        <v>0</v>
      </c>
      <c r="L478" s="322">
        <f>IFERROR(VLOOKUP(Calculations[[#This Row],[A5type]],A5WastageRate[#All],2,FALSE)*Calculations[[#This Row],[A1-3]],0)</f>
        <v>0</v>
      </c>
      <c r="N478">
        <f>IFERROR(ROUNDUP(50/VLOOKUP(Calculations[[#This Row],[Scope Element]],B4referenceServiceLife[[Tier 2 element]:[Default Service Life]],2, FALSE)-1,0),0)</f>
        <v>0</v>
      </c>
      <c r="O478" s="322">
        <f>IFERROR((Calculations[[#This Row],[A1-3]]+Calculations[[#This Row],[A4]]+Calculations[[#This Row],[A5]]+Calculations[[#This Row],[C2 total]]+Calculations[[#This Row],[C3 total]]+Calculations[[#This Row],[C4 total]])*Calculations[[#This Row],[Replacements]],0)</f>
        <v>0</v>
      </c>
      <c r="S478" t="str">
        <f>IFERROR(VLOOKUP(Calculations[[#This Row],[Material (choose from dropdown]],MaterialData[#All],4,FALSE),"")</f>
        <v/>
      </c>
      <c r="T478" s="322" cm="1">
        <f t="array" ref="T478">IFERROR(VLOOKUP(Calculations[[#This Row],[Waste 1]],WasteScenario[#All],2,FALSE)*'Stage assumptions'!$C$225*WasteTransportMethod[Emissions Factor
kgCO2e/kg.km]*Calculations[[#This Row],[Total Kg]],0)</f>
        <v>0</v>
      </c>
      <c r="U478" s="322" cm="1">
        <f t="array" ref="U478">IFERROR(VLOOKUP(Calculations[[#This Row],[Waste 1]],WasteScenario[#All],3,FALSE)*'Stage assumptions'!$C$224*WasteTransportMethod[Emissions Factor
kgCO2e/kg.km]*Calculations[[#This Row],[Total Kg]],0)</f>
        <v>0</v>
      </c>
      <c r="V478" s="322" cm="1">
        <f t="array" ref="V478">IFERROR(VLOOKUP(Calculations[[#This Row],[Waste 1]],WasteScenario[#All],4,FALSE)*'Stage assumptions'!$C$223*WasteTransportMethod[Emissions Factor
kgCO2e/kg.km]*Calculations[[#This Row],[Total Kg]],0)</f>
        <v>0</v>
      </c>
      <c r="W478" s="322" cm="1">
        <f t="array" ref="W478">IFERROR(VLOOKUP(Calculations[[#This Row],[Waste 1]],WasteScenario[#All],5,FALSE)*'Stage assumptions'!$C$226*WasteTransportMethod[Emissions Factor
kgCO2e/kg.km]*Calculations[[#This Row],[Total Kg]],0)</f>
        <v>0</v>
      </c>
      <c r="X478" s="322">
        <f>SUM(Calculations[[#This Row],[C2 Recycle]:[C2 Reuse]])</f>
        <v>0</v>
      </c>
      <c r="Y478" t="str">
        <f>IFERROR(VLOOKUP(Calculations[[#This Row],[Material (choose from dropdown]],MaterialData[#All],5,FALSE),"")</f>
        <v/>
      </c>
      <c r="Z478" s="322">
        <f>IFERROR(((VLOOKUP(Calculations[[#This Row],[Waste type 2]],WasteDisposalEmissions[#All],2,FALSE))*Calculations[[#This Row],[Total Kg]])*VLOOKUP(Calculations[[#This Row],[Waste 1]],WasteScenario[#All],2,FALSE),0)</f>
        <v>0</v>
      </c>
      <c r="AA478" s="322">
        <f>IFERROR((VLOOKUP(Calculations[[#This Row],[Waste type 2]],WasteDisposalEmissions[#All],3,FALSE))*Calculations[[#This Row],[Total Kg]]*VLOOKUP(Calculations[[#This Row],[Waste 1]],WasteScenario[#All],3,FALSE),0)</f>
        <v>0</v>
      </c>
      <c r="AB478" s="322">
        <f>SUM(Calculations[[#This Row],[C3 recyc]:[C3 incin]])</f>
        <v>0</v>
      </c>
      <c r="AC478" s="334">
        <f>IFERROR((VLOOKUP(Calculations[[#This Row],[Waste type 2]],WasteLandfillEmissions[#All],2,FALSE))*Calculations[[#This Row],[Total Kg]]*VLOOKUP(Calculations[[#This Row],[Waste 1]],WasteScenario[#All],4,FALSE),0)</f>
        <v>0</v>
      </c>
      <c r="AD478" s="322">
        <f>IFERROR((VLOOKUP(Calculations[[#This Row],[Waste type 2]],WasteLandfillEmissions[#All],3,FALSE))*Calculations[[#This Row],[Total Kg]]*VLOOKUP(Calculations[[#This Row],[Waste 1]],WasteScenario[#All],4,FALSE),0)</f>
        <v>0</v>
      </c>
      <c r="AE478" s="322">
        <f>SUM(Calculations[[#This Row],[C4 landfill]:[C4 re-use]])</f>
        <v>0</v>
      </c>
      <c r="AF478" s="322">
        <f>IFERROR(VLOOKUP(Calculations[[#This Row],[Material (choose from dropdown]],MaterialData[#All],8,FALSE),0)</f>
        <v>0</v>
      </c>
      <c r="AG478" s="322">
        <f>IFERROR(Calculations[[#This Row],[Total Kg]]*Calculations[[#This Row],[Seq factor]],0)</f>
        <v>0</v>
      </c>
      <c r="AI478" s="322">
        <f>Calculations[[#This Row],[A1-3]]+Calculations[[#This Row],[A4]]+Calculations[[#This Row],[A5]]+Calculations[[#This Row],[B4]]+Calculations[[#This Row],[C2 total]]+Calculations[[#This Row],[C3 total]]+Calculations[[#This Row],[C4 total]]</f>
        <v>0</v>
      </c>
      <c r="AJ478" s="2">
        <f>IFERROR(VLOOKUP(Calculations[[#This Row],[Material (choose from dropdown]],MaterialData[[#Headers],[#Data]],9,FALSE),0)</f>
        <v>0</v>
      </c>
      <c r="AK478" s="4">
        <f>IFERROR(VLOOKUP(Calculations[[#This Row],[Material (choose from dropdown]],MaterialData[[#Headers],[#Data]],10,FALSE),0)</f>
        <v>0</v>
      </c>
      <c r="AL478" s="322">
        <f>IFERROR(Calculations[[#This Row],[Data Quality Score]]*Calculations[[#This Row],[Total Kg]],0)</f>
        <v>0</v>
      </c>
    </row>
    <row r="479" spans="1:38" x14ac:dyDescent="0.3">
      <c r="A479" s="6">
        <f>IFERROR(MaterialsBoQ[[#This Row],[Scope Element]],0)</f>
        <v>0</v>
      </c>
      <c r="B479" t="str">
        <f>IFERROR(MaterialsBoQ[[#This Row],[Material ]],"")</f>
        <v/>
      </c>
      <c r="C479" t="str">
        <f>IFERROR(MaterialsBoQ[[#This Row],[Unit]],"")</f>
        <v/>
      </c>
      <c r="D479" s="322">
        <f>IFERROR(MaterialsBoQ[[#This Row],[Number]],0)</f>
        <v>0</v>
      </c>
      <c r="E479" s="322">
        <f>IFERROR(MaterialsBoQ[[#This Row],[Kg per unit]],0)</f>
        <v>0</v>
      </c>
      <c r="F479" s="322">
        <f>IFERROR(Calculations[[#This Row],[Number]]*Calculations[[#This Row],[Conversion factor]],0)</f>
        <v>0</v>
      </c>
      <c r="G479" s="322">
        <f>IFERROR(VLOOKUP(Calculations[[#This Row],[Material (choose from dropdown]],MaterialData[#All],7,FALSE),0)</f>
        <v>0</v>
      </c>
      <c r="H479" s="322">
        <f>Calculations[[#This Row],[Total Kg]]*Calculations[[#This Row],[Carbon Factor]]</f>
        <v>0</v>
      </c>
      <c r="I479" t="str">
        <f>IFERROR(VLOOKUP(Calculations[[#This Row],[Material (choose from dropdown]],MaterialData[#All],2,FALSE),"")</f>
        <v/>
      </c>
      <c r="J479" s="322">
        <f>IFERROR(((VLOOKUP(Calculations[[#This Row],[TransportSource]],TransportDistance[],2,FALSE)*'Stage assumptions'!$C$11)+VLOOKUP(Calculations[[#This Row],[TransportSource]],TransportDistance[],3,FALSE)*'Stage assumptions'!$C$12)*Calculations[[#This Row],[Total Kg]],0)</f>
        <v>0</v>
      </c>
      <c r="K479">
        <f>IFERROR(VLOOKUP(Calculations[[#This Row],[Material (choose from dropdown]], MaterialData[#All],3, FALSE),0)</f>
        <v>0</v>
      </c>
      <c r="L479" s="322">
        <f>IFERROR(VLOOKUP(Calculations[[#This Row],[A5type]],A5WastageRate[#All],2,FALSE)*Calculations[[#This Row],[A1-3]],0)</f>
        <v>0</v>
      </c>
      <c r="N479">
        <f>IFERROR(ROUNDUP(50/VLOOKUP(Calculations[[#This Row],[Scope Element]],B4referenceServiceLife[[Tier 2 element]:[Default Service Life]],2, FALSE)-1,0),0)</f>
        <v>0</v>
      </c>
      <c r="O479" s="322">
        <f>IFERROR((Calculations[[#This Row],[A1-3]]+Calculations[[#This Row],[A4]]+Calculations[[#This Row],[A5]]+Calculations[[#This Row],[C2 total]]+Calculations[[#This Row],[C3 total]]+Calculations[[#This Row],[C4 total]])*Calculations[[#This Row],[Replacements]],0)</f>
        <v>0</v>
      </c>
      <c r="S479" t="str">
        <f>IFERROR(VLOOKUP(Calculations[[#This Row],[Material (choose from dropdown]],MaterialData[#All],4,FALSE),"")</f>
        <v/>
      </c>
      <c r="T479" s="322" cm="1">
        <f t="array" ref="T479">IFERROR(VLOOKUP(Calculations[[#This Row],[Waste 1]],WasteScenario[#All],2,FALSE)*'Stage assumptions'!$C$225*WasteTransportMethod[Emissions Factor
kgCO2e/kg.km]*Calculations[[#This Row],[Total Kg]],0)</f>
        <v>0</v>
      </c>
      <c r="U479" s="322" cm="1">
        <f t="array" ref="U479">IFERROR(VLOOKUP(Calculations[[#This Row],[Waste 1]],WasteScenario[#All],3,FALSE)*'Stage assumptions'!$C$224*WasteTransportMethod[Emissions Factor
kgCO2e/kg.km]*Calculations[[#This Row],[Total Kg]],0)</f>
        <v>0</v>
      </c>
      <c r="V479" s="322" cm="1">
        <f t="array" ref="V479">IFERROR(VLOOKUP(Calculations[[#This Row],[Waste 1]],WasteScenario[#All],4,FALSE)*'Stage assumptions'!$C$223*WasteTransportMethod[Emissions Factor
kgCO2e/kg.km]*Calculations[[#This Row],[Total Kg]],0)</f>
        <v>0</v>
      </c>
      <c r="W479" s="322" cm="1">
        <f t="array" ref="W479">IFERROR(VLOOKUP(Calculations[[#This Row],[Waste 1]],WasteScenario[#All],5,FALSE)*'Stage assumptions'!$C$226*WasteTransportMethod[Emissions Factor
kgCO2e/kg.km]*Calculations[[#This Row],[Total Kg]],0)</f>
        <v>0</v>
      </c>
      <c r="X479" s="322">
        <f>SUM(Calculations[[#This Row],[C2 Recycle]:[C2 Reuse]])</f>
        <v>0</v>
      </c>
      <c r="Y479" t="str">
        <f>IFERROR(VLOOKUP(Calculations[[#This Row],[Material (choose from dropdown]],MaterialData[#All],5,FALSE),"")</f>
        <v/>
      </c>
      <c r="Z479" s="322">
        <f>IFERROR(((VLOOKUP(Calculations[[#This Row],[Waste type 2]],WasteDisposalEmissions[#All],2,FALSE))*Calculations[[#This Row],[Total Kg]])*VLOOKUP(Calculations[[#This Row],[Waste 1]],WasteScenario[#All],2,FALSE),0)</f>
        <v>0</v>
      </c>
      <c r="AA479" s="322">
        <f>IFERROR((VLOOKUP(Calculations[[#This Row],[Waste type 2]],WasteDisposalEmissions[#All],3,FALSE))*Calculations[[#This Row],[Total Kg]]*VLOOKUP(Calculations[[#This Row],[Waste 1]],WasteScenario[#All],3,FALSE),0)</f>
        <v>0</v>
      </c>
      <c r="AB479" s="322">
        <f>SUM(Calculations[[#This Row],[C3 recyc]:[C3 incin]])</f>
        <v>0</v>
      </c>
      <c r="AC479" s="334">
        <f>IFERROR((VLOOKUP(Calculations[[#This Row],[Waste type 2]],WasteLandfillEmissions[#All],2,FALSE))*Calculations[[#This Row],[Total Kg]]*VLOOKUP(Calculations[[#This Row],[Waste 1]],WasteScenario[#All],4,FALSE),0)</f>
        <v>0</v>
      </c>
      <c r="AD479" s="322">
        <f>IFERROR((VLOOKUP(Calculations[[#This Row],[Waste type 2]],WasteLandfillEmissions[#All],3,FALSE))*Calculations[[#This Row],[Total Kg]]*VLOOKUP(Calculations[[#This Row],[Waste 1]],WasteScenario[#All],4,FALSE),0)</f>
        <v>0</v>
      </c>
      <c r="AE479" s="322">
        <f>SUM(Calculations[[#This Row],[C4 landfill]:[C4 re-use]])</f>
        <v>0</v>
      </c>
      <c r="AF479" s="322">
        <f>IFERROR(VLOOKUP(Calculations[[#This Row],[Material (choose from dropdown]],MaterialData[#All],8,FALSE),0)</f>
        <v>0</v>
      </c>
      <c r="AG479" s="322">
        <f>IFERROR(Calculations[[#This Row],[Total Kg]]*Calculations[[#This Row],[Seq factor]],0)</f>
        <v>0</v>
      </c>
      <c r="AI479" s="322">
        <f>Calculations[[#This Row],[A1-3]]+Calculations[[#This Row],[A4]]+Calculations[[#This Row],[A5]]+Calculations[[#This Row],[B4]]+Calculations[[#This Row],[C2 total]]+Calculations[[#This Row],[C3 total]]+Calculations[[#This Row],[C4 total]]</f>
        <v>0</v>
      </c>
      <c r="AJ479" s="2">
        <f>IFERROR(VLOOKUP(Calculations[[#This Row],[Material (choose from dropdown]],MaterialData[[#Headers],[#Data]],9,FALSE),0)</f>
        <v>0</v>
      </c>
      <c r="AK479" s="4">
        <f>IFERROR(VLOOKUP(Calculations[[#This Row],[Material (choose from dropdown]],MaterialData[[#Headers],[#Data]],10,FALSE),0)</f>
        <v>0</v>
      </c>
      <c r="AL479" s="322">
        <f>IFERROR(Calculations[[#This Row],[Data Quality Score]]*Calculations[[#This Row],[Total Kg]],0)</f>
        <v>0</v>
      </c>
    </row>
    <row r="480" spans="1:38" x14ac:dyDescent="0.3">
      <c r="A480" s="6">
        <f>IFERROR(MaterialsBoQ[[#This Row],[Scope Element]],0)</f>
        <v>0</v>
      </c>
      <c r="B480" t="str">
        <f>IFERROR(MaterialsBoQ[[#This Row],[Material ]],"")</f>
        <v/>
      </c>
      <c r="C480" t="str">
        <f>IFERROR(MaterialsBoQ[[#This Row],[Unit]],"")</f>
        <v/>
      </c>
      <c r="D480" s="322">
        <f>IFERROR(MaterialsBoQ[[#This Row],[Number]],0)</f>
        <v>0</v>
      </c>
      <c r="E480" s="322">
        <f>IFERROR(MaterialsBoQ[[#This Row],[Kg per unit]],0)</f>
        <v>0</v>
      </c>
      <c r="F480" s="322">
        <f>IFERROR(Calculations[[#This Row],[Number]]*Calculations[[#This Row],[Conversion factor]],0)</f>
        <v>0</v>
      </c>
      <c r="G480" s="322">
        <f>IFERROR(VLOOKUP(Calculations[[#This Row],[Material (choose from dropdown]],MaterialData[#All],7,FALSE),0)</f>
        <v>0</v>
      </c>
      <c r="H480" s="322">
        <f>Calculations[[#This Row],[Total Kg]]*Calculations[[#This Row],[Carbon Factor]]</f>
        <v>0</v>
      </c>
      <c r="I480" t="str">
        <f>IFERROR(VLOOKUP(Calculations[[#This Row],[Material (choose from dropdown]],MaterialData[#All],2,FALSE),"")</f>
        <v/>
      </c>
      <c r="J480" s="322">
        <f>IFERROR(((VLOOKUP(Calculations[[#This Row],[TransportSource]],TransportDistance[],2,FALSE)*'Stage assumptions'!$C$11)+VLOOKUP(Calculations[[#This Row],[TransportSource]],TransportDistance[],3,FALSE)*'Stage assumptions'!$C$12)*Calculations[[#This Row],[Total Kg]],0)</f>
        <v>0</v>
      </c>
      <c r="K480">
        <f>IFERROR(VLOOKUP(Calculations[[#This Row],[Material (choose from dropdown]], MaterialData[#All],3, FALSE),0)</f>
        <v>0</v>
      </c>
      <c r="L480" s="322">
        <f>IFERROR(VLOOKUP(Calculations[[#This Row],[A5type]],A5WastageRate[#All],2,FALSE)*Calculations[[#This Row],[A1-3]],0)</f>
        <v>0</v>
      </c>
      <c r="N480">
        <f>IFERROR(ROUNDUP(50/VLOOKUP(Calculations[[#This Row],[Scope Element]],B4referenceServiceLife[[Tier 2 element]:[Default Service Life]],2, FALSE)-1,0),0)</f>
        <v>0</v>
      </c>
      <c r="O480" s="322">
        <f>IFERROR((Calculations[[#This Row],[A1-3]]+Calculations[[#This Row],[A4]]+Calculations[[#This Row],[A5]]+Calculations[[#This Row],[C2 total]]+Calculations[[#This Row],[C3 total]]+Calculations[[#This Row],[C4 total]])*Calculations[[#This Row],[Replacements]],0)</f>
        <v>0</v>
      </c>
      <c r="S480" t="str">
        <f>IFERROR(VLOOKUP(Calculations[[#This Row],[Material (choose from dropdown]],MaterialData[#All],4,FALSE),"")</f>
        <v/>
      </c>
      <c r="T480" s="322" cm="1">
        <f t="array" ref="T480">IFERROR(VLOOKUP(Calculations[[#This Row],[Waste 1]],WasteScenario[#All],2,FALSE)*'Stage assumptions'!$C$225*WasteTransportMethod[Emissions Factor
kgCO2e/kg.km]*Calculations[[#This Row],[Total Kg]],0)</f>
        <v>0</v>
      </c>
      <c r="U480" s="322" cm="1">
        <f t="array" ref="U480">IFERROR(VLOOKUP(Calculations[[#This Row],[Waste 1]],WasteScenario[#All],3,FALSE)*'Stage assumptions'!$C$224*WasteTransportMethod[Emissions Factor
kgCO2e/kg.km]*Calculations[[#This Row],[Total Kg]],0)</f>
        <v>0</v>
      </c>
      <c r="V480" s="322" cm="1">
        <f t="array" ref="V480">IFERROR(VLOOKUP(Calculations[[#This Row],[Waste 1]],WasteScenario[#All],4,FALSE)*'Stage assumptions'!$C$223*WasteTransportMethod[Emissions Factor
kgCO2e/kg.km]*Calculations[[#This Row],[Total Kg]],0)</f>
        <v>0</v>
      </c>
      <c r="W480" s="322" cm="1">
        <f t="array" ref="W480">IFERROR(VLOOKUP(Calculations[[#This Row],[Waste 1]],WasteScenario[#All],5,FALSE)*'Stage assumptions'!$C$226*WasteTransportMethod[Emissions Factor
kgCO2e/kg.km]*Calculations[[#This Row],[Total Kg]],0)</f>
        <v>0</v>
      </c>
      <c r="X480" s="322">
        <f>SUM(Calculations[[#This Row],[C2 Recycle]:[C2 Reuse]])</f>
        <v>0</v>
      </c>
      <c r="Y480" t="str">
        <f>IFERROR(VLOOKUP(Calculations[[#This Row],[Material (choose from dropdown]],MaterialData[#All],5,FALSE),"")</f>
        <v/>
      </c>
      <c r="Z480" s="322">
        <f>IFERROR(((VLOOKUP(Calculations[[#This Row],[Waste type 2]],WasteDisposalEmissions[#All],2,FALSE))*Calculations[[#This Row],[Total Kg]])*VLOOKUP(Calculations[[#This Row],[Waste 1]],WasteScenario[#All],2,FALSE),0)</f>
        <v>0</v>
      </c>
      <c r="AA480" s="322">
        <f>IFERROR((VLOOKUP(Calculations[[#This Row],[Waste type 2]],WasteDisposalEmissions[#All],3,FALSE))*Calculations[[#This Row],[Total Kg]]*VLOOKUP(Calculations[[#This Row],[Waste 1]],WasteScenario[#All],3,FALSE),0)</f>
        <v>0</v>
      </c>
      <c r="AB480" s="322">
        <f>SUM(Calculations[[#This Row],[C3 recyc]:[C3 incin]])</f>
        <v>0</v>
      </c>
      <c r="AC480" s="334">
        <f>IFERROR((VLOOKUP(Calculations[[#This Row],[Waste type 2]],WasteLandfillEmissions[#All],2,FALSE))*Calculations[[#This Row],[Total Kg]]*VLOOKUP(Calculations[[#This Row],[Waste 1]],WasteScenario[#All],4,FALSE),0)</f>
        <v>0</v>
      </c>
      <c r="AD480" s="322">
        <f>IFERROR((VLOOKUP(Calculations[[#This Row],[Waste type 2]],WasteLandfillEmissions[#All],3,FALSE))*Calculations[[#This Row],[Total Kg]]*VLOOKUP(Calculations[[#This Row],[Waste 1]],WasteScenario[#All],4,FALSE),0)</f>
        <v>0</v>
      </c>
      <c r="AE480" s="322">
        <f>SUM(Calculations[[#This Row],[C4 landfill]:[C4 re-use]])</f>
        <v>0</v>
      </c>
      <c r="AF480" s="322">
        <f>IFERROR(VLOOKUP(Calculations[[#This Row],[Material (choose from dropdown]],MaterialData[#All],8,FALSE),0)</f>
        <v>0</v>
      </c>
      <c r="AG480" s="322">
        <f>IFERROR(Calculations[[#This Row],[Total Kg]]*Calculations[[#This Row],[Seq factor]],0)</f>
        <v>0</v>
      </c>
      <c r="AI480" s="322">
        <f>Calculations[[#This Row],[A1-3]]+Calculations[[#This Row],[A4]]+Calculations[[#This Row],[A5]]+Calculations[[#This Row],[B4]]+Calculations[[#This Row],[C2 total]]+Calculations[[#This Row],[C3 total]]+Calculations[[#This Row],[C4 total]]</f>
        <v>0</v>
      </c>
      <c r="AJ480" s="2">
        <f>IFERROR(VLOOKUP(Calculations[[#This Row],[Material (choose from dropdown]],MaterialData[[#Headers],[#Data]],9,FALSE),0)</f>
        <v>0</v>
      </c>
      <c r="AK480" s="4">
        <f>IFERROR(VLOOKUP(Calculations[[#This Row],[Material (choose from dropdown]],MaterialData[[#Headers],[#Data]],10,FALSE),0)</f>
        <v>0</v>
      </c>
      <c r="AL480" s="322">
        <f>IFERROR(Calculations[[#This Row],[Data Quality Score]]*Calculations[[#This Row],[Total Kg]],0)</f>
        <v>0</v>
      </c>
    </row>
    <row r="481" spans="1:38" x14ac:dyDescent="0.3">
      <c r="A481" s="6">
        <f>IFERROR(MaterialsBoQ[[#This Row],[Scope Element]],0)</f>
        <v>0</v>
      </c>
      <c r="B481" t="str">
        <f>IFERROR(MaterialsBoQ[[#This Row],[Material ]],"")</f>
        <v/>
      </c>
      <c r="C481" t="str">
        <f>IFERROR(MaterialsBoQ[[#This Row],[Unit]],"")</f>
        <v/>
      </c>
      <c r="D481" s="322">
        <f>IFERROR(MaterialsBoQ[[#This Row],[Number]],0)</f>
        <v>0</v>
      </c>
      <c r="E481" s="322">
        <f>IFERROR(MaterialsBoQ[[#This Row],[Kg per unit]],0)</f>
        <v>0</v>
      </c>
      <c r="F481" s="322">
        <f>IFERROR(Calculations[[#This Row],[Number]]*Calculations[[#This Row],[Conversion factor]],0)</f>
        <v>0</v>
      </c>
      <c r="G481" s="322">
        <f>IFERROR(VLOOKUP(Calculations[[#This Row],[Material (choose from dropdown]],MaterialData[#All],7,FALSE),0)</f>
        <v>0</v>
      </c>
      <c r="H481" s="322">
        <f>Calculations[[#This Row],[Total Kg]]*Calculations[[#This Row],[Carbon Factor]]</f>
        <v>0</v>
      </c>
      <c r="I481" t="str">
        <f>IFERROR(VLOOKUP(Calculations[[#This Row],[Material (choose from dropdown]],MaterialData[#All],2,FALSE),"")</f>
        <v/>
      </c>
      <c r="J481" s="322">
        <f>IFERROR(((VLOOKUP(Calculations[[#This Row],[TransportSource]],TransportDistance[],2,FALSE)*'Stage assumptions'!$C$11)+VLOOKUP(Calculations[[#This Row],[TransportSource]],TransportDistance[],3,FALSE)*'Stage assumptions'!$C$12)*Calculations[[#This Row],[Total Kg]],0)</f>
        <v>0</v>
      </c>
      <c r="K481">
        <f>IFERROR(VLOOKUP(Calculations[[#This Row],[Material (choose from dropdown]], MaterialData[#All],3, FALSE),0)</f>
        <v>0</v>
      </c>
      <c r="L481" s="322">
        <f>IFERROR(VLOOKUP(Calculations[[#This Row],[A5type]],A5WastageRate[#All],2,FALSE)*Calculations[[#This Row],[A1-3]],0)</f>
        <v>0</v>
      </c>
      <c r="N481">
        <f>IFERROR(ROUNDUP(50/VLOOKUP(Calculations[[#This Row],[Scope Element]],B4referenceServiceLife[[Tier 2 element]:[Default Service Life]],2, FALSE)-1,0),0)</f>
        <v>0</v>
      </c>
      <c r="O481" s="322">
        <f>IFERROR((Calculations[[#This Row],[A1-3]]+Calculations[[#This Row],[A4]]+Calculations[[#This Row],[A5]]+Calculations[[#This Row],[C2 total]]+Calculations[[#This Row],[C3 total]]+Calculations[[#This Row],[C4 total]])*Calculations[[#This Row],[Replacements]],0)</f>
        <v>0</v>
      </c>
      <c r="S481" t="str">
        <f>IFERROR(VLOOKUP(Calculations[[#This Row],[Material (choose from dropdown]],MaterialData[#All],4,FALSE),"")</f>
        <v/>
      </c>
      <c r="T481" s="322" cm="1">
        <f t="array" ref="T481">IFERROR(VLOOKUP(Calculations[[#This Row],[Waste 1]],WasteScenario[#All],2,FALSE)*'Stage assumptions'!$C$225*WasteTransportMethod[Emissions Factor
kgCO2e/kg.km]*Calculations[[#This Row],[Total Kg]],0)</f>
        <v>0</v>
      </c>
      <c r="U481" s="322" cm="1">
        <f t="array" ref="U481">IFERROR(VLOOKUP(Calculations[[#This Row],[Waste 1]],WasteScenario[#All],3,FALSE)*'Stage assumptions'!$C$224*WasteTransportMethod[Emissions Factor
kgCO2e/kg.km]*Calculations[[#This Row],[Total Kg]],0)</f>
        <v>0</v>
      </c>
      <c r="V481" s="322" cm="1">
        <f t="array" ref="V481">IFERROR(VLOOKUP(Calculations[[#This Row],[Waste 1]],WasteScenario[#All],4,FALSE)*'Stage assumptions'!$C$223*WasteTransportMethod[Emissions Factor
kgCO2e/kg.km]*Calculations[[#This Row],[Total Kg]],0)</f>
        <v>0</v>
      </c>
      <c r="W481" s="322" cm="1">
        <f t="array" ref="W481">IFERROR(VLOOKUP(Calculations[[#This Row],[Waste 1]],WasteScenario[#All],5,FALSE)*'Stage assumptions'!$C$226*WasteTransportMethod[Emissions Factor
kgCO2e/kg.km]*Calculations[[#This Row],[Total Kg]],0)</f>
        <v>0</v>
      </c>
      <c r="X481" s="322">
        <f>SUM(Calculations[[#This Row],[C2 Recycle]:[C2 Reuse]])</f>
        <v>0</v>
      </c>
      <c r="Y481" t="str">
        <f>IFERROR(VLOOKUP(Calculations[[#This Row],[Material (choose from dropdown]],MaterialData[#All],5,FALSE),"")</f>
        <v/>
      </c>
      <c r="Z481" s="322">
        <f>IFERROR(((VLOOKUP(Calculations[[#This Row],[Waste type 2]],WasteDisposalEmissions[#All],2,FALSE))*Calculations[[#This Row],[Total Kg]])*VLOOKUP(Calculations[[#This Row],[Waste 1]],WasteScenario[#All],2,FALSE),0)</f>
        <v>0</v>
      </c>
      <c r="AA481" s="322">
        <f>IFERROR((VLOOKUP(Calculations[[#This Row],[Waste type 2]],WasteDisposalEmissions[#All],3,FALSE))*Calculations[[#This Row],[Total Kg]]*VLOOKUP(Calculations[[#This Row],[Waste 1]],WasteScenario[#All],3,FALSE),0)</f>
        <v>0</v>
      </c>
      <c r="AB481" s="322">
        <f>SUM(Calculations[[#This Row],[C3 recyc]:[C3 incin]])</f>
        <v>0</v>
      </c>
      <c r="AC481" s="334">
        <f>IFERROR((VLOOKUP(Calculations[[#This Row],[Waste type 2]],WasteLandfillEmissions[#All],2,FALSE))*Calculations[[#This Row],[Total Kg]]*VLOOKUP(Calculations[[#This Row],[Waste 1]],WasteScenario[#All],4,FALSE),0)</f>
        <v>0</v>
      </c>
      <c r="AD481" s="322">
        <f>IFERROR((VLOOKUP(Calculations[[#This Row],[Waste type 2]],WasteLandfillEmissions[#All],3,FALSE))*Calculations[[#This Row],[Total Kg]]*VLOOKUP(Calculations[[#This Row],[Waste 1]],WasteScenario[#All],4,FALSE),0)</f>
        <v>0</v>
      </c>
      <c r="AE481" s="322">
        <f>SUM(Calculations[[#This Row],[C4 landfill]:[C4 re-use]])</f>
        <v>0</v>
      </c>
      <c r="AF481" s="322">
        <f>IFERROR(VLOOKUP(Calculations[[#This Row],[Material (choose from dropdown]],MaterialData[#All],8,FALSE),0)</f>
        <v>0</v>
      </c>
      <c r="AG481" s="322">
        <f>IFERROR(Calculations[[#This Row],[Total Kg]]*Calculations[[#This Row],[Seq factor]],0)</f>
        <v>0</v>
      </c>
      <c r="AI481" s="322">
        <f>Calculations[[#This Row],[A1-3]]+Calculations[[#This Row],[A4]]+Calculations[[#This Row],[A5]]+Calculations[[#This Row],[B4]]+Calculations[[#This Row],[C2 total]]+Calculations[[#This Row],[C3 total]]+Calculations[[#This Row],[C4 total]]</f>
        <v>0</v>
      </c>
      <c r="AJ481" s="2">
        <f>IFERROR(VLOOKUP(Calculations[[#This Row],[Material (choose from dropdown]],MaterialData[[#Headers],[#Data]],9,FALSE),0)</f>
        <v>0</v>
      </c>
      <c r="AK481" s="4">
        <f>IFERROR(VLOOKUP(Calculations[[#This Row],[Material (choose from dropdown]],MaterialData[[#Headers],[#Data]],10,FALSE),0)</f>
        <v>0</v>
      </c>
      <c r="AL481" s="322">
        <f>IFERROR(Calculations[[#This Row],[Data Quality Score]]*Calculations[[#This Row],[Total Kg]],0)</f>
        <v>0</v>
      </c>
    </row>
    <row r="482" spans="1:38" x14ac:dyDescent="0.3">
      <c r="A482" s="6">
        <f>IFERROR(MaterialsBoQ[[#This Row],[Scope Element]],0)</f>
        <v>0</v>
      </c>
      <c r="B482" t="str">
        <f>IFERROR(MaterialsBoQ[[#This Row],[Material ]],"")</f>
        <v/>
      </c>
      <c r="C482" t="str">
        <f>IFERROR(MaterialsBoQ[[#This Row],[Unit]],"")</f>
        <v/>
      </c>
      <c r="D482" s="322">
        <f>IFERROR(MaterialsBoQ[[#This Row],[Number]],0)</f>
        <v>0</v>
      </c>
      <c r="E482" s="322">
        <f>IFERROR(MaterialsBoQ[[#This Row],[Kg per unit]],0)</f>
        <v>0</v>
      </c>
      <c r="F482" s="322">
        <f>IFERROR(Calculations[[#This Row],[Number]]*Calculations[[#This Row],[Conversion factor]],0)</f>
        <v>0</v>
      </c>
      <c r="G482" s="322">
        <f>IFERROR(VLOOKUP(Calculations[[#This Row],[Material (choose from dropdown]],MaterialData[#All],7,FALSE),0)</f>
        <v>0</v>
      </c>
      <c r="H482" s="322">
        <f>Calculations[[#This Row],[Total Kg]]*Calculations[[#This Row],[Carbon Factor]]</f>
        <v>0</v>
      </c>
      <c r="I482" t="str">
        <f>IFERROR(VLOOKUP(Calculations[[#This Row],[Material (choose from dropdown]],MaterialData[#All],2,FALSE),"")</f>
        <v/>
      </c>
      <c r="J482" s="322">
        <f>IFERROR(((VLOOKUP(Calculations[[#This Row],[TransportSource]],TransportDistance[],2,FALSE)*'Stage assumptions'!$C$11)+VLOOKUP(Calculations[[#This Row],[TransportSource]],TransportDistance[],3,FALSE)*'Stage assumptions'!$C$12)*Calculations[[#This Row],[Total Kg]],0)</f>
        <v>0</v>
      </c>
      <c r="K482">
        <f>IFERROR(VLOOKUP(Calculations[[#This Row],[Material (choose from dropdown]], MaterialData[#All],3, FALSE),0)</f>
        <v>0</v>
      </c>
      <c r="L482" s="322">
        <f>IFERROR(VLOOKUP(Calculations[[#This Row],[A5type]],A5WastageRate[#All],2,FALSE)*Calculations[[#This Row],[A1-3]],0)</f>
        <v>0</v>
      </c>
      <c r="N482">
        <f>IFERROR(ROUNDUP(50/VLOOKUP(Calculations[[#This Row],[Scope Element]],B4referenceServiceLife[[Tier 2 element]:[Default Service Life]],2, FALSE)-1,0),0)</f>
        <v>0</v>
      </c>
      <c r="O482" s="322">
        <f>IFERROR((Calculations[[#This Row],[A1-3]]+Calculations[[#This Row],[A4]]+Calculations[[#This Row],[A5]]+Calculations[[#This Row],[C2 total]]+Calculations[[#This Row],[C3 total]]+Calculations[[#This Row],[C4 total]])*Calculations[[#This Row],[Replacements]],0)</f>
        <v>0</v>
      </c>
      <c r="S482" t="str">
        <f>IFERROR(VLOOKUP(Calculations[[#This Row],[Material (choose from dropdown]],MaterialData[#All],4,FALSE),"")</f>
        <v/>
      </c>
      <c r="T482" s="322" cm="1">
        <f t="array" ref="T482">IFERROR(VLOOKUP(Calculations[[#This Row],[Waste 1]],WasteScenario[#All],2,FALSE)*'Stage assumptions'!$C$225*WasteTransportMethod[Emissions Factor
kgCO2e/kg.km]*Calculations[[#This Row],[Total Kg]],0)</f>
        <v>0</v>
      </c>
      <c r="U482" s="322" cm="1">
        <f t="array" ref="U482">IFERROR(VLOOKUP(Calculations[[#This Row],[Waste 1]],WasteScenario[#All],3,FALSE)*'Stage assumptions'!$C$224*WasteTransportMethod[Emissions Factor
kgCO2e/kg.km]*Calculations[[#This Row],[Total Kg]],0)</f>
        <v>0</v>
      </c>
      <c r="V482" s="322" cm="1">
        <f t="array" ref="V482">IFERROR(VLOOKUP(Calculations[[#This Row],[Waste 1]],WasteScenario[#All],4,FALSE)*'Stage assumptions'!$C$223*WasteTransportMethod[Emissions Factor
kgCO2e/kg.km]*Calculations[[#This Row],[Total Kg]],0)</f>
        <v>0</v>
      </c>
      <c r="W482" s="322" cm="1">
        <f t="array" ref="W482">IFERROR(VLOOKUP(Calculations[[#This Row],[Waste 1]],WasteScenario[#All],5,FALSE)*'Stage assumptions'!$C$226*WasteTransportMethod[Emissions Factor
kgCO2e/kg.km]*Calculations[[#This Row],[Total Kg]],0)</f>
        <v>0</v>
      </c>
      <c r="X482" s="322">
        <f>SUM(Calculations[[#This Row],[C2 Recycle]:[C2 Reuse]])</f>
        <v>0</v>
      </c>
      <c r="Y482" t="str">
        <f>IFERROR(VLOOKUP(Calculations[[#This Row],[Material (choose from dropdown]],MaterialData[#All],5,FALSE),"")</f>
        <v/>
      </c>
      <c r="Z482" s="322">
        <f>IFERROR(((VLOOKUP(Calculations[[#This Row],[Waste type 2]],WasteDisposalEmissions[#All],2,FALSE))*Calculations[[#This Row],[Total Kg]])*VLOOKUP(Calculations[[#This Row],[Waste 1]],WasteScenario[#All],2,FALSE),0)</f>
        <v>0</v>
      </c>
      <c r="AA482" s="322">
        <f>IFERROR((VLOOKUP(Calculations[[#This Row],[Waste type 2]],WasteDisposalEmissions[#All],3,FALSE))*Calculations[[#This Row],[Total Kg]]*VLOOKUP(Calculations[[#This Row],[Waste 1]],WasteScenario[#All],3,FALSE),0)</f>
        <v>0</v>
      </c>
      <c r="AB482" s="322">
        <f>SUM(Calculations[[#This Row],[C3 recyc]:[C3 incin]])</f>
        <v>0</v>
      </c>
      <c r="AC482" s="334">
        <f>IFERROR((VLOOKUP(Calculations[[#This Row],[Waste type 2]],WasteLandfillEmissions[#All],2,FALSE))*Calculations[[#This Row],[Total Kg]]*VLOOKUP(Calculations[[#This Row],[Waste 1]],WasteScenario[#All],4,FALSE),0)</f>
        <v>0</v>
      </c>
      <c r="AD482" s="322">
        <f>IFERROR((VLOOKUP(Calculations[[#This Row],[Waste type 2]],WasteLandfillEmissions[#All],3,FALSE))*Calculations[[#This Row],[Total Kg]]*VLOOKUP(Calculations[[#This Row],[Waste 1]],WasteScenario[#All],4,FALSE),0)</f>
        <v>0</v>
      </c>
      <c r="AE482" s="322">
        <f>SUM(Calculations[[#This Row],[C4 landfill]:[C4 re-use]])</f>
        <v>0</v>
      </c>
      <c r="AF482" s="322">
        <f>IFERROR(VLOOKUP(Calculations[[#This Row],[Material (choose from dropdown]],MaterialData[#All],8,FALSE),0)</f>
        <v>0</v>
      </c>
      <c r="AG482" s="322">
        <f>IFERROR(Calculations[[#This Row],[Total Kg]]*Calculations[[#This Row],[Seq factor]],0)</f>
        <v>0</v>
      </c>
      <c r="AI482" s="322">
        <f>Calculations[[#This Row],[A1-3]]+Calculations[[#This Row],[A4]]+Calculations[[#This Row],[A5]]+Calculations[[#This Row],[B4]]+Calculations[[#This Row],[C2 total]]+Calculations[[#This Row],[C3 total]]+Calculations[[#This Row],[C4 total]]</f>
        <v>0</v>
      </c>
      <c r="AJ482" s="2">
        <f>IFERROR(VLOOKUP(Calculations[[#This Row],[Material (choose from dropdown]],MaterialData[[#Headers],[#Data]],9,FALSE),0)</f>
        <v>0</v>
      </c>
      <c r="AK482" s="4">
        <f>IFERROR(VLOOKUP(Calculations[[#This Row],[Material (choose from dropdown]],MaterialData[[#Headers],[#Data]],10,FALSE),0)</f>
        <v>0</v>
      </c>
      <c r="AL482" s="322">
        <f>IFERROR(Calculations[[#This Row],[Data Quality Score]]*Calculations[[#This Row],[Total Kg]],0)</f>
        <v>0</v>
      </c>
    </row>
    <row r="483" spans="1:38" x14ac:dyDescent="0.3">
      <c r="A483" s="6">
        <f>IFERROR(MaterialsBoQ[[#This Row],[Scope Element]],0)</f>
        <v>0</v>
      </c>
      <c r="B483" t="str">
        <f>IFERROR(MaterialsBoQ[[#This Row],[Material ]],"")</f>
        <v/>
      </c>
      <c r="C483" t="str">
        <f>IFERROR(MaterialsBoQ[[#This Row],[Unit]],"")</f>
        <v/>
      </c>
      <c r="D483" s="322">
        <f>IFERROR(MaterialsBoQ[[#This Row],[Number]],0)</f>
        <v>0</v>
      </c>
      <c r="E483" s="322">
        <f>IFERROR(MaterialsBoQ[[#This Row],[Kg per unit]],0)</f>
        <v>0</v>
      </c>
      <c r="F483" s="322">
        <f>IFERROR(Calculations[[#This Row],[Number]]*Calculations[[#This Row],[Conversion factor]],0)</f>
        <v>0</v>
      </c>
      <c r="G483" s="322">
        <f>IFERROR(VLOOKUP(Calculations[[#This Row],[Material (choose from dropdown]],MaterialData[#All],7,FALSE),0)</f>
        <v>0</v>
      </c>
      <c r="H483" s="322">
        <f>Calculations[[#This Row],[Total Kg]]*Calculations[[#This Row],[Carbon Factor]]</f>
        <v>0</v>
      </c>
      <c r="I483" t="str">
        <f>IFERROR(VLOOKUP(Calculations[[#This Row],[Material (choose from dropdown]],MaterialData[#All],2,FALSE),"")</f>
        <v/>
      </c>
      <c r="J483" s="322">
        <f>IFERROR(((VLOOKUP(Calculations[[#This Row],[TransportSource]],TransportDistance[],2,FALSE)*'Stage assumptions'!$C$11)+VLOOKUP(Calculations[[#This Row],[TransportSource]],TransportDistance[],3,FALSE)*'Stage assumptions'!$C$12)*Calculations[[#This Row],[Total Kg]],0)</f>
        <v>0</v>
      </c>
      <c r="K483">
        <f>IFERROR(VLOOKUP(Calculations[[#This Row],[Material (choose from dropdown]], MaterialData[#All],3, FALSE),0)</f>
        <v>0</v>
      </c>
      <c r="L483" s="322">
        <f>IFERROR(VLOOKUP(Calculations[[#This Row],[A5type]],A5WastageRate[#All],2,FALSE)*Calculations[[#This Row],[A1-3]],0)</f>
        <v>0</v>
      </c>
      <c r="N483">
        <f>IFERROR(ROUNDUP(50/VLOOKUP(Calculations[[#This Row],[Scope Element]],B4referenceServiceLife[[Tier 2 element]:[Default Service Life]],2, FALSE)-1,0),0)</f>
        <v>0</v>
      </c>
      <c r="O483" s="322">
        <f>IFERROR((Calculations[[#This Row],[A1-3]]+Calculations[[#This Row],[A4]]+Calculations[[#This Row],[A5]]+Calculations[[#This Row],[C2 total]]+Calculations[[#This Row],[C3 total]]+Calculations[[#This Row],[C4 total]])*Calculations[[#This Row],[Replacements]],0)</f>
        <v>0</v>
      </c>
      <c r="S483" t="str">
        <f>IFERROR(VLOOKUP(Calculations[[#This Row],[Material (choose from dropdown]],MaterialData[#All],4,FALSE),"")</f>
        <v/>
      </c>
      <c r="T483" s="322" cm="1">
        <f t="array" ref="T483">IFERROR(VLOOKUP(Calculations[[#This Row],[Waste 1]],WasteScenario[#All],2,FALSE)*'Stage assumptions'!$C$225*WasteTransportMethod[Emissions Factor
kgCO2e/kg.km]*Calculations[[#This Row],[Total Kg]],0)</f>
        <v>0</v>
      </c>
      <c r="U483" s="322" cm="1">
        <f t="array" ref="U483">IFERROR(VLOOKUP(Calculations[[#This Row],[Waste 1]],WasteScenario[#All],3,FALSE)*'Stage assumptions'!$C$224*WasteTransportMethod[Emissions Factor
kgCO2e/kg.km]*Calculations[[#This Row],[Total Kg]],0)</f>
        <v>0</v>
      </c>
      <c r="V483" s="322" cm="1">
        <f t="array" ref="V483">IFERROR(VLOOKUP(Calculations[[#This Row],[Waste 1]],WasteScenario[#All],4,FALSE)*'Stage assumptions'!$C$223*WasteTransportMethod[Emissions Factor
kgCO2e/kg.km]*Calculations[[#This Row],[Total Kg]],0)</f>
        <v>0</v>
      </c>
      <c r="W483" s="322" cm="1">
        <f t="array" ref="W483">IFERROR(VLOOKUP(Calculations[[#This Row],[Waste 1]],WasteScenario[#All],5,FALSE)*'Stage assumptions'!$C$226*WasteTransportMethod[Emissions Factor
kgCO2e/kg.km]*Calculations[[#This Row],[Total Kg]],0)</f>
        <v>0</v>
      </c>
      <c r="X483" s="322">
        <f>SUM(Calculations[[#This Row],[C2 Recycle]:[C2 Reuse]])</f>
        <v>0</v>
      </c>
      <c r="Y483" t="str">
        <f>IFERROR(VLOOKUP(Calculations[[#This Row],[Material (choose from dropdown]],MaterialData[#All],5,FALSE),"")</f>
        <v/>
      </c>
      <c r="Z483" s="322">
        <f>IFERROR(((VLOOKUP(Calculations[[#This Row],[Waste type 2]],WasteDisposalEmissions[#All],2,FALSE))*Calculations[[#This Row],[Total Kg]])*VLOOKUP(Calculations[[#This Row],[Waste 1]],WasteScenario[#All],2,FALSE),0)</f>
        <v>0</v>
      </c>
      <c r="AA483" s="322">
        <f>IFERROR((VLOOKUP(Calculations[[#This Row],[Waste type 2]],WasteDisposalEmissions[#All],3,FALSE))*Calculations[[#This Row],[Total Kg]]*VLOOKUP(Calculations[[#This Row],[Waste 1]],WasteScenario[#All],3,FALSE),0)</f>
        <v>0</v>
      </c>
      <c r="AB483" s="322">
        <f>SUM(Calculations[[#This Row],[C3 recyc]:[C3 incin]])</f>
        <v>0</v>
      </c>
      <c r="AC483" s="334">
        <f>IFERROR((VLOOKUP(Calculations[[#This Row],[Waste type 2]],WasteLandfillEmissions[#All],2,FALSE))*Calculations[[#This Row],[Total Kg]]*VLOOKUP(Calculations[[#This Row],[Waste 1]],WasteScenario[#All],4,FALSE),0)</f>
        <v>0</v>
      </c>
      <c r="AD483" s="322">
        <f>IFERROR((VLOOKUP(Calculations[[#This Row],[Waste type 2]],WasteLandfillEmissions[#All],3,FALSE))*Calculations[[#This Row],[Total Kg]]*VLOOKUP(Calculations[[#This Row],[Waste 1]],WasteScenario[#All],4,FALSE),0)</f>
        <v>0</v>
      </c>
      <c r="AE483" s="322">
        <f>SUM(Calculations[[#This Row],[C4 landfill]:[C4 re-use]])</f>
        <v>0</v>
      </c>
      <c r="AF483" s="322">
        <f>IFERROR(VLOOKUP(Calculations[[#This Row],[Material (choose from dropdown]],MaterialData[#All],8,FALSE),0)</f>
        <v>0</v>
      </c>
      <c r="AG483" s="322">
        <f>IFERROR(Calculations[[#This Row],[Total Kg]]*Calculations[[#This Row],[Seq factor]],0)</f>
        <v>0</v>
      </c>
      <c r="AI483" s="322">
        <f>Calculations[[#This Row],[A1-3]]+Calculations[[#This Row],[A4]]+Calculations[[#This Row],[A5]]+Calculations[[#This Row],[B4]]+Calculations[[#This Row],[C2 total]]+Calculations[[#This Row],[C3 total]]+Calculations[[#This Row],[C4 total]]</f>
        <v>0</v>
      </c>
      <c r="AJ483" s="2">
        <f>IFERROR(VLOOKUP(Calculations[[#This Row],[Material (choose from dropdown]],MaterialData[[#Headers],[#Data]],9,FALSE),0)</f>
        <v>0</v>
      </c>
      <c r="AK483" s="4">
        <f>IFERROR(VLOOKUP(Calculations[[#This Row],[Material (choose from dropdown]],MaterialData[[#Headers],[#Data]],10,FALSE),0)</f>
        <v>0</v>
      </c>
      <c r="AL483" s="322">
        <f>IFERROR(Calculations[[#This Row],[Data Quality Score]]*Calculations[[#This Row],[Total Kg]],0)</f>
        <v>0</v>
      </c>
    </row>
    <row r="484" spans="1:38" x14ac:dyDescent="0.3">
      <c r="A484" s="6">
        <f>IFERROR(MaterialsBoQ[[#This Row],[Scope Element]],0)</f>
        <v>0</v>
      </c>
      <c r="B484" t="str">
        <f>IFERROR(MaterialsBoQ[[#This Row],[Material ]],"")</f>
        <v/>
      </c>
      <c r="C484" t="str">
        <f>IFERROR(MaterialsBoQ[[#This Row],[Unit]],"")</f>
        <v/>
      </c>
      <c r="D484" s="322">
        <f>IFERROR(MaterialsBoQ[[#This Row],[Number]],0)</f>
        <v>0</v>
      </c>
      <c r="E484" s="322">
        <f>IFERROR(MaterialsBoQ[[#This Row],[Kg per unit]],0)</f>
        <v>0</v>
      </c>
      <c r="F484" s="322">
        <f>IFERROR(Calculations[[#This Row],[Number]]*Calculations[[#This Row],[Conversion factor]],0)</f>
        <v>0</v>
      </c>
      <c r="G484" s="322">
        <f>IFERROR(VLOOKUP(Calculations[[#This Row],[Material (choose from dropdown]],MaterialData[#All],7,FALSE),0)</f>
        <v>0</v>
      </c>
      <c r="H484" s="322">
        <f>Calculations[[#This Row],[Total Kg]]*Calculations[[#This Row],[Carbon Factor]]</f>
        <v>0</v>
      </c>
      <c r="I484" t="str">
        <f>IFERROR(VLOOKUP(Calculations[[#This Row],[Material (choose from dropdown]],MaterialData[#All],2,FALSE),"")</f>
        <v/>
      </c>
      <c r="J484" s="322">
        <f>IFERROR(((VLOOKUP(Calculations[[#This Row],[TransportSource]],TransportDistance[],2,FALSE)*'Stage assumptions'!$C$11)+VLOOKUP(Calculations[[#This Row],[TransportSource]],TransportDistance[],3,FALSE)*'Stage assumptions'!$C$12)*Calculations[[#This Row],[Total Kg]],0)</f>
        <v>0</v>
      </c>
      <c r="K484">
        <f>IFERROR(VLOOKUP(Calculations[[#This Row],[Material (choose from dropdown]], MaterialData[#All],3, FALSE),0)</f>
        <v>0</v>
      </c>
      <c r="L484" s="322">
        <f>IFERROR(VLOOKUP(Calculations[[#This Row],[A5type]],A5WastageRate[#All],2,FALSE)*Calculations[[#This Row],[A1-3]],0)</f>
        <v>0</v>
      </c>
      <c r="N484">
        <f>IFERROR(ROUNDUP(50/VLOOKUP(Calculations[[#This Row],[Scope Element]],B4referenceServiceLife[[Tier 2 element]:[Default Service Life]],2, FALSE)-1,0),0)</f>
        <v>0</v>
      </c>
      <c r="O484" s="322">
        <f>IFERROR((Calculations[[#This Row],[A1-3]]+Calculations[[#This Row],[A4]]+Calculations[[#This Row],[A5]]+Calculations[[#This Row],[C2 total]]+Calculations[[#This Row],[C3 total]]+Calculations[[#This Row],[C4 total]])*Calculations[[#This Row],[Replacements]],0)</f>
        <v>0</v>
      </c>
      <c r="S484" t="str">
        <f>IFERROR(VLOOKUP(Calculations[[#This Row],[Material (choose from dropdown]],MaterialData[#All],4,FALSE),"")</f>
        <v/>
      </c>
      <c r="T484" s="322" cm="1">
        <f t="array" ref="T484">IFERROR(VLOOKUP(Calculations[[#This Row],[Waste 1]],WasteScenario[#All],2,FALSE)*'Stage assumptions'!$C$225*WasteTransportMethod[Emissions Factor
kgCO2e/kg.km]*Calculations[[#This Row],[Total Kg]],0)</f>
        <v>0</v>
      </c>
      <c r="U484" s="322" cm="1">
        <f t="array" ref="U484">IFERROR(VLOOKUP(Calculations[[#This Row],[Waste 1]],WasteScenario[#All],3,FALSE)*'Stage assumptions'!$C$224*WasteTransportMethod[Emissions Factor
kgCO2e/kg.km]*Calculations[[#This Row],[Total Kg]],0)</f>
        <v>0</v>
      </c>
      <c r="V484" s="322" cm="1">
        <f t="array" ref="V484">IFERROR(VLOOKUP(Calculations[[#This Row],[Waste 1]],WasteScenario[#All],4,FALSE)*'Stage assumptions'!$C$223*WasteTransportMethod[Emissions Factor
kgCO2e/kg.km]*Calculations[[#This Row],[Total Kg]],0)</f>
        <v>0</v>
      </c>
      <c r="W484" s="322" cm="1">
        <f t="array" ref="W484">IFERROR(VLOOKUP(Calculations[[#This Row],[Waste 1]],WasteScenario[#All],5,FALSE)*'Stage assumptions'!$C$226*WasteTransportMethod[Emissions Factor
kgCO2e/kg.km]*Calculations[[#This Row],[Total Kg]],0)</f>
        <v>0</v>
      </c>
      <c r="X484" s="322">
        <f>SUM(Calculations[[#This Row],[C2 Recycle]:[C2 Reuse]])</f>
        <v>0</v>
      </c>
      <c r="Y484" t="str">
        <f>IFERROR(VLOOKUP(Calculations[[#This Row],[Material (choose from dropdown]],MaterialData[#All],5,FALSE),"")</f>
        <v/>
      </c>
      <c r="Z484" s="322">
        <f>IFERROR(((VLOOKUP(Calculations[[#This Row],[Waste type 2]],WasteDisposalEmissions[#All],2,FALSE))*Calculations[[#This Row],[Total Kg]])*VLOOKUP(Calculations[[#This Row],[Waste 1]],WasteScenario[#All],2,FALSE),0)</f>
        <v>0</v>
      </c>
      <c r="AA484" s="322">
        <f>IFERROR((VLOOKUP(Calculations[[#This Row],[Waste type 2]],WasteDisposalEmissions[#All],3,FALSE))*Calculations[[#This Row],[Total Kg]]*VLOOKUP(Calculations[[#This Row],[Waste 1]],WasteScenario[#All],3,FALSE),0)</f>
        <v>0</v>
      </c>
      <c r="AB484" s="322">
        <f>SUM(Calculations[[#This Row],[C3 recyc]:[C3 incin]])</f>
        <v>0</v>
      </c>
      <c r="AC484" s="334">
        <f>IFERROR((VLOOKUP(Calculations[[#This Row],[Waste type 2]],WasteLandfillEmissions[#All],2,FALSE))*Calculations[[#This Row],[Total Kg]]*VLOOKUP(Calculations[[#This Row],[Waste 1]],WasteScenario[#All],4,FALSE),0)</f>
        <v>0</v>
      </c>
      <c r="AD484" s="322">
        <f>IFERROR((VLOOKUP(Calculations[[#This Row],[Waste type 2]],WasteLandfillEmissions[#All],3,FALSE))*Calculations[[#This Row],[Total Kg]]*VLOOKUP(Calculations[[#This Row],[Waste 1]],WasteScenario[#All],4,FALSE),0)</f>
        <v>0</v>
      </c>
      <c r="AE484" s="322">
        <f>SUM(Calculations[[#This Row],[C4 landfill]:[C4 re-use]])</f>
        <v>0</v>
      </c>
      <c r="AF484" s="322">
        <f>IFERROR(VLOOKUP(Calculations[[#This Row],[Material (choose from dropdown]],MaterialData[#All],8,FALSE),0)</f>
        <v>0</v>
      </c>
      <c r="AG484" s="322">
        <f>IFERROR(Calculations[[#This Row],[Total Kg]]*Calculations[[#This Row],[Seq factor]],0)</f>
        <v>0</v>
      </c>
      <c r="AI484" s="322">
        <f>Calculations[[#This Row],[A1-3]]+Calculations[[#This Row],[A4]]+Calculations[[#This Row],[A5]]+Calculations[[#This Row],[B4]]+Calculations[[#This Row],[C2 total]]+Calculations[[#This Row],[C3 total]]+Calculations[[#This Row],[C4 total]]</f>
        <v>0</v>
      </c>
      <c r="AJ484" s="2">
        <f>IFERROR(VLOOKUP(Calculations[[#This Row],[Material (choose from dropdown]],MaterialData[[#Headers],[#Data]],9,FALSE),0)</f>
        <v>0</v>
      </c>
      <c r="AK484" s="4">
        <f>IFERROR(VLOOKUP(Calculations[[#This Row],[Material (choose from dropdown]],MaterialData[[#Headers],[#Data]],10,FALSE),0)</f>
        <v>0</v>
      </c>
      <c r="AL484" s="322">
        <f>IFERROR(Calculations[[#This Row],[Data Quality Score]]*Calculations[[#This Row],[Total Kg]],0)</f>
        <v>0</v>
      </c>
    </row>
    <row r="485" spans="1:38" x14ac:dyDescent="0.3">
      <c r="A485" s="6">
        <f>IFERROR(MaterialsBoQ[[#This Row],[Scope Element]],0)</f>
        <v>0</v>
      </c>
      <c r="B485" t="str">
        <f>IFERROR(MaterialsBoQ[[#This Row],[Material ]],"")</f>
        <v/>
      </c>
      <c r="C485" t="str">
        <f>IFERROR(MaterialsBoQ[[#This Row],[Unit]],"")</f>
        <v/>
      </c>
      <c r="D485" s="322">
        <f>IFERROR(MaterialsBoQ[[#This Row],[Number]],0)</f>
        <v>0</v>
      </c>
      <c r="E485" s="322">
        <f>IFERROR(MaterialsBoQ[[#This Row],[Kg per unit]],0)</f>
        <v>0</v>
      </c>
      <c r="F485" s="322">
        <f>IFERROR(Calculations[[#This Row],[Number]]*Calculations[[#This Row],[Conversion factor]],0)</f>
        <v>0</v>
      </c>
      <c r="G485" s="322">
        <f>IFERROR(VLOOKUP(Calculations[[#This Row],[Material (choose from dropdown]],MaterialData[#All],7,FALSE),0)</f>
        <v>0</v>
      </c>
      <c r="H485" s="322">
        <f>Calculations[[#This Row],[Total Kg]]*Calculations[[#This Row],[Carbon Factor]]</f>
        <v>0</v>
      </c>
      <c r="I485" t="str">
        <f>IFERROR(VLOOKUP(Calculations[[#This Row],[Material (choose from dropdown]],MaterialData[#All],2,FALSE),"")</f>
        <v/>
      </c>
      <c r="J485" s="322">
        <f>IFERROR(((VLOOKUP(Calculations[[#This Row],[TransportSource]],TransportDistance[],2,FALSE)*'Stage assumptions'!$C$11)+VLOOKUP(Calculations[[#This Row],[TransportSource]],TransportDistance[],3,FALSE)*'Stage assumptions'!$C$12)*Calculations[[#This Row],[Total Kg]],0)</f>
        <v>0</v>
      </c>
      <c r="K485">
        <f>IFERROR(VLOOKUP(Calculations[[#This Row],[Material (choose from dropdown]], MaterialData[#All],3, FALSE),0)</f>
        <v>0</v>
      </c>
      <c r="L485" s="322">
        <f>IFERROR(VLOOKUP(Calculations[[#This Row],[A5type]],A5WastageRate[#All],2,FALSE)*Calculations[[#This Row],[A1-3]],0)</f>
        <v>0</v>
      </c>
      <c r="N485">
        <f>IFERROR(ROUNDUP(50/VLOOKUP(Calculations[[#This Row],[Scope Element]],B4referenceServiceLife[[Tier 2 element]:[Default Service Life]],2, FALSE)-1,0),0)</f>
        <v>0</v>
      </c>
      <c r="O485" s="322">
        <f>IFERROR((Calculations[[#This Row],[A1-3]]+Calculations[[#This Row],[A4]]+Calculations[[#This Row],[A5]]+Calculations[[#This Row],[C2 total]]+Calculations[[#This Row],[C3 total]]+Calculations[[#This Row],[C4 total]])*Calculations[[#This Row],[Replacements]],0)</f>
        <v>0</v>
      </c>
      <c r="S485" t="str">
        <f>IFERROR(VLOOKUP(Calculations[[#This Row],[Material (choose from dropdown]],MaterialData[#All],4,FALSE),"")</f>
        <v/>
      </c>
      <c r="T485" s="322" cm="1">
        <f t="array" ref="T485">IFERROR(VLOOKUP(Calculations[[#This Row],[Waste 1]],WasteScenario[#All],2,FALSE)*'Stage assumptions'!$C$225*WasteTransportMethod[Emissions Factor
kgCO2e/kg.km]*Calculations[[#This Row],[Total Kg]],0)</f>
        <v>0</v>
      </c>
      <c r="U485" s="322" cm="1">
        <f t="array" ref="U485">IFERROR(VLOOKUP(Calculations[[#This Row],[Waste 1]],WasteScenario[#All],3,FALSE)*'Stage assumptions'!$C$224*WasteTransportMethod[Emissions Factor
kgCO2e/kg.km]*Calculations[[#This Row],[Total Kg]],0)</f>
        <v>0</v>
      </c>
      <c r="V485" s="322" cm="1">
        <f t="array" ref="V485">IFERROR(VLOOKUP(Calculations[[#This Row],[Waste 1]],WasteScenario[#All],4,FALSE)*'Stage assumptions'!$C$223*WasteTransportMethod[Emissions Factor
kgCO2e/kg.km]*Calculations[[#This Row],[Total Kg]],0)</f>
        <v>0</v>
      </c>
      <c r="W485" s="322" cm="1">
        <f t="array" ref="W485">IFERROR(VLOOKUP(Calculations[[#This Row],[Waste 1]],WasteScenario[#All],5,FALSE)*'Stage assumptions'!$C$226*WasteTransportMethod[Emissions Factor
kgCO2e/kg.km]*Calculations[[#This Row],[Total Kg]],0)</f>
        <v>0</v>
      </c>
      <c r="X485" s="322">
        <f>SUM(Calculations[[#This Row],[C2 Recycle]:[C2 Reuse]])</f>
        <v>0</v>
      </c>
      <c r="Y485" t="str">
        <f>IFERROR(VLOOKUP(Calculations[[#This Row],[Material (choose from dropdown]],MaterialData[#All],5,FALSE),"")</f>
        <v/>
      </c>
      <c r="Z485" s="322">
        <f>IFERROR(((VLOOKUP(Calculations[[#This Row],[Waste type 2]],WasteDisposalEmissions[#All],2,FALSE))*Calculations[[#This Row],[Total Kg]])*VLOOKUP(Calculations[[#This Row],[Waste 1]],WasteScenario[#All],2,FALSE),0)</f>
        <v>0</v>
      </c>
      <c r="AA485" s="322">
        <f>IFERROR((VLOOKUP(Calculations[[#This Row],[Waste type 2]],WasteDisposalEmissions[#All],3,FALSE))*Calculations[[#This Row],[Total Kg]]*VLOOKUP(Calculations[[#This Row],[Waste 1]],WasteScenario[#All],3,FALSE),0)</f>
        <v>0</v>
      </c>
      <c r="AB485" s="322">
        <f>SUM(Calculations[[#This Row],[C3 recyc]:[C3 incin]])</f>
        <v>0</v>
      </c>
      <c r="AC485" s="334">
        <f>IFERROR((VLOOKUP(Calculations[[#This Row],[Waste type 2]],WasteLandfillEmissions[#All],2,FALSE))*Calculations[[#This Row],[Total Kg]]*VLOOKUP(Calculations[[#This Row],[Waste 1]],WasteScenario[#All],4,FALSE),0)</f>
        <v>0</v>
      </c>
      <c r="AD485" s="322">
        <f>IFERROR((VLOOKUP(Calculations[[#This Row],[Waste type 2]],WasteLandfillEmissions[#All],3,FALSE))*Calculations[[#This Row],[Total Kg]]*VLOOKUP(Calculations[[#This Row],[Waste 1]],WasteScenario[#All],4,FALSE),0)</f>
        <v>0</v>
      </c>
      <c r="AE485" s="322">
        <f>SUM(Calculations[[#This Row],[C4 landfill]:[C4 re-use]])</f>
        <v>0</v>
      </c>
      <c r="AF485" s="322">
        <f>IFERROR(VLOOKUP(Calculations[[#This Row],[Material (choose from dropdown]],MaterialData[#All],8,FALSE),0)</f>
        <v>0</v>
      </c>
      <c r="AG485" s="322">
        <f>IFERROR(Calculations[[#This Row],[Total Kg]]*Calculations[[#This Row],[Seq factor]],0)</f>
        <v>0</v>
      </c>
      <c r="AI485" s="322">
        <f>Calculations[[#This Row],[A1-3]]+Calculations[[#This Row],[A4]]+Calculations[[#This Row],[A5]]+Calculations[[#This Row],[B4]]+Calculations[[#This Row],[C2 total]]+Calculations[[#This Row],[C3 total]]+Calculations[[#This Row],[C4 total]]</f>
        <v>0</v>
      </c>
      <c r="AJ485" s="2">
        <f>IFERROR(VLOOKUP(Calculations[[#This Row],[Material (choose from dropdown]],MaterialData[[#Headers],[#Data]],9,FALSE),0)</f>
        <v>0</v>
      </c>
      <c r="AK485" s="4">
        <f>IFERROR(VLOOKUP(Calculations[[#This Row],[Material (choose from dropdown]],MaterialData[[#Headers],[#Data]],10,FALSE),0)</f>
        <v>0</v>
      </c>
      <c r="AL485" s="322">
        <f>IFERROR(Calculations[[#This Row],[Data Quality Score]]*Calculations[[#This Row],[Total Kg]],0)</f>
        <v>0</v>
      </c>
    </row>
    <row r="486" spans="1:38" x14ac:dyDescent="0.3">
      <c r="A486" s="6">
        <f>IFERROR(MaterialsBoQ[[#This Row],[Scope Element]],0)</f>
        <v>0</v>
      </c>
      <c r="B486" t="str">
        <f>IFERROR(MaterialsBoQ[[#This Row],[Material ]],"")</f>
        <v/>
      </c>
      <c r="C486" t="str">
        <f>IFERROR(MaterialsBoQ[[#This Row],[Unit]],"")</f>
        <v/>
      </c>
      <c r="D486" s="322">
        <f>IFERROR(MaterialsBoQ[[#This Row],[Number]],0)</f>
        <v>0</v>
      </c>
      <c r="E486" s="322">
        <f>IFERROR(MaterialsBoQ[[#This Row],[Kg per unit]],0)</f>
        <v>0</v>
      </c>
      <c r="F486" s="322">
        <f>IFERROR(Calculations[[#This Row],[Number]]*Calculations[[#This Row],[Conversion factor]],0)</f>
        <v>0</v>
      </c>
      <c r="G486" s="322">
        <f>IFERROR(VLOOKUP(Calculations[[#This Row],[Material (choose from dropdown]],MaterialData[#All],7,FALSE),0)</f>
        <v>0</v>
      </c>
      <c r="H486" s="322">
        <f>Calculations[[#This Row],[Total Kg]]*Calculations[[#This Row],[Carbon Factor]]</f>
        <v>0</v>
      </c>
      <c r="I486" t="str">
        <f>IFERROR(VLOOKUP(Calculations[[#This Row],[Material (choose from dropdown]],MaterialData[#All],2,FALSE),"")</f>
        <v/>
      </c>
      <c r="J486" s="322">
        <f>IFERROR(((VLOOKUP(Calculations[[#This Row],[TransportSource]],TransportDistance[],2,FALSE)*'Stage assumptions'!$C$11)+VLOOKUP(Calculations[[#This Row],[TransportSource]],TransportDistance[],3,FALSE)*'Stage assumptions'!$C$12)*Calculations[[#This Row],[Total Kg]],0)</f>
        <v>0</v>
      </c>
      <c r="K486">
        <f>IFERROR(VLOOKUP(Calculations[[#This Row],[Material (choose from dropdown]], MaterialData[#All],3, FALSE),0)</f>
        <v>0</v>
      </c>
      <c r="L486" s="322">
        <f>IFERROR(VLOOKUP(Calculations[[#This Row],[A5type]],A5WastageRate[#All],2,FALSE)*Calculations[[#This Row],[A1-3]],0)</f>
        <v>0</v>
      </c>
      <c r="N486">
        <f>IFERROR(ROUNDUP(50/VLOOKUP(Calculations[[#This Row],[Scope Element]],B4referenceServiceLife[[Tier 2 element]:[Default Service Life]],2, FALSE)-1,0),0)</f>
        <v>0</v>
      </c>
      <c r="O486" s="322">
        <f>IFERROR((Calculations[[#This Row],[A1-3]]+Calculations[[#This Row],[A4]]+Calculations[[#This Row],[A5]]+Calculations[[#This Row],[C2 total]]+Calculations[[#This Row],[C3 total]]+Calculations[[#This Row],[C4 total]])*Calculations[[#This Row],[Replacements]],0)</f>
        <v>0</v>
      </c>
      <c r="S486" t="str">
        <f>IFERROR(VLOOKUP(Calculations[[#This Row],[Material (choose from dropdown]],MaterialData[#All],4,FALSE),"")</f>
        <v/>
      </c>
      <c r="T486" s="322" cm="1">
        <f t="array" ref="T486">IFERROR(VLOOKUP(Calculations[[#This Row],[Waste 1]],WasteScenario[#All],2,FALSE)*'Stage assumptions'!$C$225*WasteTransportMethod[Emissions Factor
kgCO2e/kg.km]*Calculations[[#This Row],[Total Kg]],0)</f>
        <v>0</v>
      </c>
      <c r="U486" s="322" cm="1">
        <f t="array" ref="U486">IFERROR(VLOOKUP(Calculations[[#This Row],[Waste 1]],WasteScenario[#All],3,FALSE)*'Stage assumptions'!$C$224*WasteTransportMethod[Emissions Factor
kgCO2e/kg.km]*Calculations[[#This Row],[Total Kg]],0)</f>
        <v>0</v>
      </c>
      <c r="V486" s="322" cm="1">
        <f t="array" ref="V486">IFERROR(VLOOKUP(Calculations[[#This Row],[Waste 1]],WasteScenario[#All],4,FALSE)*'Stage assumptions'!$C$223*WasteTransportMethod[Emissions Factor
kgCO2e/kg.km]*Calculations[[#This Row],[Total Kg]],0)</f>
        <v>0</v>
      </c>
      <c r="W486" s="322" cm="1">
        <f t="array" ref="W486">IFERROR(VLOOKUP(Calculations[[#This Row],[Waste 1]],WasteScenario[#All],5,FALSE)*'Stage assumptions'!$C$226*WasteTransportMethod[Emissions Factor
kgCO2e/kg.km]*Calculations[[#This Row],[Total Kg]],0)</f>
        <v>0</v>
      </c>
      <c r="X486" s="322">
        <f>SUM(Calculations[[#This Row],[C2 Recycle]:[C2 Reuse]])</f>
        <v>0</v>
      </c>
      <c r="Y486" t="str">
        <f>IFERROR(VLOOKUP(Calculations[[#This Row],[Material (choose from dropdown]],MaterialData[#All],5,FALSE),"")</f>
        <v/>
      </c>
      <c r="Z486" s="322">
        <f>IFERROR(((VLOOKUP(Calculations[[#This Row],[Waste type 2]],WasteDisposalEmissions[#All],2,FALSE))*Calculations[[#This Row],[Total Kg]])*VLOOKUP(Calculations[[#This Row],[Waste 1]],WasteScenario[#All],2,FALSE),0)</f>
        <v>0</v>
      </c>
      <c r="AA486" s="322">
        <f>IFERROR((VLOOKUP(Calculations[[#This Row],[Waste type 2]],WasteDisposalEmissions[#All],3,FALSE))*Calculations[[#This Row],[Total Kg]]*VLOOKUP(Calculations[[#This Row],[Waste 1]],WasteScenario[#All],3,FALSE),0)</f>
        <v>0</v>
      </c>
      <c r="AB486" s="322">
        <f>SUM(Calculations[[#This Row],[C3 recyc]:[C3 incin]])</f>
        <v>0</v>
      </c>
      <c r="AC486" s="334">
        <f>IFERROR((VLOOKUP(Calculations[[#This Row],[Waste type 2]],WasteLandfillEmissions[#All],2,FALSE))*Calculations[[#This Row],[Total Kg]]*VLOOKUP(Calculations[[#This Row],[Waste 1]],WasteScenario[#All],4,FALSE),0)</f>
        <v>0</v>
      </c>
      <c r="AD486" s="322">
        <f>IFERROR((VLOOKUP(Calculations[[#This Row],[Waste type 2]],WasteLandfillEmissions[#All],3,FALSE))*Calculations[[#This Row],[Total Kg]]*VLOOKUP(Calculations[[#This Row],[Waste 1]],WasteScenario[#All],4,FALSE),0)</f>
        <v>0</v>
      </c>
      <c r="AE486" s="322">
        <f>SUM(Calculations[[#This Row],[C4 landfill]:[C4 re-use]])</f>
        <v>0</v>
      </c>
      <c r="AF486" s="322">
        <f>IFERROR(VLOOKUP(Calculations[[#This Row],[Material (choose from dropdown]],MaterialData[#All],8,FALSE),0)</f>
        <v>0</v>
      </c>
      <c r="AG486" s="322">
        <f>IFERROR(Calculations[[#This Row],[Total Kg]]*Calculations[[#This Row],[Seq factor]],0)</f>
        <v>0</v>
      </c>
      <c r="AI486" s="322">
        <f>Calculations[[#This Row],[A1-3]]+Calculations[[#This Row],[A4]]+Calculations[[#This Row],[A5]]+Calculations[[#This Row],[B4]]+Calculations[[#This Row],[C2 total]]+Calculations[[#This Row],[C3 total]]+Calculations[[#This Row],[C4 total]]</f>
        <v>0</v>
      </c>
      <c r="AJ486" s="2">
        <f>IFERROR(VLOOKUP(Calculations[[#This Row],[Material (choose from dropdown]],MaterialData[[#Headers],[#Data]],9,FALSE),0)</f>
        <v>0</v>
      </c>
      <c r="AK486" s="4">
        <f>IFERROR(VLOOKUP(Calculations[[#This Row],[Material (choose from dropdown]],MaterialData[[#Headers],[#Data]],10,FALSE),0)</f>
        <v>0</v>
      </c>
      <c r="AL486" s="322">
        <f>IFERROR(Calculations[[#This Row],[Data Quality Score]]*Calculations[[#This Row],[Total Kg]],0)</f>
        <v>0</v>
      </c>
    </row>
    <row r="487" spans="1:38" x14ac:dyDescent="0.3">
      <c r="A487" s="6">
        <f>IFERROR(MaterialsBoQ[[#This Row],[Scope Element]],0)</f>
        <v>0</v>
      </c>
      <c r="B487" t="str">
        <f>IFERROR(MaterialsBoQ[[#This Row],[Material ]],"")</f>
        <v/>
      </c>
      <c r="C487" t="str">
        <f>IFERROR(MaterialsBoQ[[#This Row],[Unit]],"")</f>
        <v/>
      </c>
      <c r="D487" s="322">
        <f>IFERROR(MaterialsBoQ[[#This Row],[Number]],0)</f>
        <v>0</v>
      </c>
      <c r="E487" s="322">
        <f>IFERROR(MaterialsBoQ[[#This Row],[Kg per unit]],0)</f>
        <v>0</v>
      </c>
      <c r="F487" s="322">
        <f>IFERROR(Calculations[[#This Row],[Number]]*Calculations[[#This Row],[Conversion factor]],0)</f>
        <v>0</v>
      </c>
      <c r="G487" s="322">
        <f>IFERROR(VLOOKUP(Calculations[[#This Row],[Material (choose from dropdown]],MaterialData[#All],7,FALSE),0)</f>
        <v>0</v>
      </c>
      <c r="H487" s="322">
        <f>Calculations[[#This Row],[Total Kg]]*Calculations[[#This Row],[Carbon Factor]]</f>
        <v>0</v>
      </c>
      <c r="I487" t="str">
        <f>IFERROR(VLOOKUP(Calculations[[#This Row],[Material (choose from dropdown]],MaterialData[#All],2,FALSE),"")</f>
        <v/>
      </c>
      <c r="J487" s="322">
        <f>IFERROR(((VLOOKUP(Calculations[[#This Row],[TransportSource]],TransportDistance[],2,FALSE)*'Stage assumptions'!$C$11)+VLOOKUP(Calculations[[#This Row],[TransportSource]],TransportDistance[],3,FALSE)*'Stage assumptions'!$C$12)*Calculations[[#This Row],[Total Kg]],0)</f>
        <v>0</v>
      </c>
      <c r="K487">
        <f>IFERROR(VLOOKUP(Calculations[[#This Row],[Material (choose from dropdown]], MaterialData[#All],3, FALSE),0)</f>
        <v>0</v>
      </c>
      <c r="L487" s="322">
        <f>IFERROR(VLOOKUP(Calculations[[#This Row],[A5type]],A5WastageRate[#All],2,FALSE)*Calculations[[#This Row],[A1-3]],0)</f>
        <v>0</v>
      </c>
      <c r="N487">
        <f>IFERROR(ROUNDUP(50/VLOOKUP(Calculations[[#This Row],[Scope Element]],B4referenceServiceLife[[Tier 2 element]:[Default Service Life]],2, FALSE)-1,0),0)</f>
        <v>0</v>
      </c>
      <c r="O487" s="322">
        <f>IFERROR((Calculations[[#This Row],[A1-3]]+Calculations[[#This Row],[A4]]+Calculations[[#This Row],[A5]]+Calculations[[#This Row],[C2 total]]+Calculations[[#This Row],[C3 total]]+Calculations[[#This Row],[C4 total]])*Calculations[[#This Row],[Replacements]],0)</f>
        <v>0</v>
      </c>
      <c r="S487" t="str">
        <f>IFERROR(VLOOKUP(Calculations[[#This Row],[Material (choose from dropdown]],MaterialData[#All],4,FALSE),"")</f>
        <v/>
      </c>
      <c r="T487" s="322" cm="1">
        <f t="array" ref="T487">IFERROR(VLOOKUP(Calculations[[#This Row],[Waste 1]],WasteScenario[#All],2,FALSE)*'Stage assumptions'!$C$225*WasteTransportMethod[Emissions Factor
kgCO2e/kg.km]*Calculations[[#This Row],[Total Kg]],0)</f>
        <v>0</v>
      </c>
      <c r="U487" s="322" cm="1">
        <f t="array" ref="U487">IFERROR(VLOOKUP(Calculations[[#This Row],[Waste 1]],WasteScenario[#All],3,FALSE)*'Stage assumptions'!$C$224*WasteTransportMethod[Emissions Factor
kgCO2e/kg.km]*Calculations[[#This Row],[Total Kg]],0)</f>
        <v>0</v>
      </c>
      <c r="V487" s="322" cm="1">
        <f t="array" ref="V487">IFERROR(VLOOKUP(Calculations[[#This Row],[Waste 1]],WasteScenario[#All],4,FALSE)*'Stage assumptions'!$C$223*WasteTransportMethod[Emissions Factor
kgCO2e/kg.km]*Calculations[[#This Row],[Total Kg]],0)</f>
        <v>0</v>
      </c>
      <c r="W487" s="322" cm="1">
        <f t="array" ref="W487">IFERROR(VLOOKUP(Calculations[[#This Row],[Waste 1]],WasteScenario[#All],5,FALSE)*'Stage assumptions'!$C$226*WasteTransportMethod[Emissions Factor
kgCO2e/kg.km]*Calculations[[#This Row],[Total Kg]],0)</f>
        <v>0</v>
      </c>
      <c r="X487" s="322">
        <f>SUM(Calculations[[#This Row],[C2 Recycle]:[C2 Reuse]])</f>
        <v>0</v>
      </c>
      <c r="Y487" t="str">
        <f>IFERROR(VLOOKUP(Calculations[[#This Row],[Material (choose from dropdown]],MaterialData[#All],5,FALSE),"")</f>
        <v/>
      </c>
      <c r="Z487" s="322">
        <f>IFERROR(((VLOOKUP(Calculations[[#This Row],[Waste type 2]],WasteDisposalEmissions[#All],2,FALSE))*Calculations[[#This Row],[Total Kg]])*VLOOKUP(Calculations[[#This Row],[Waste 1]],WasteScenario[#All],2,FALSE),0)</f>
        <v>0</v>
      </c>
      <c r="AA487" s="322">
        <f>IFERROR((VLOOKUP(Calculations[[#This Row],[Waste type 2]],WasteDisposalEmissions[#All],3,FALSE))*Calculations[[#This Row],[Total Kg]]*VLOOKUP(Calculations[[#This Row],[Waste 1]],WasteScenario[#All],3,FALSE),0)</f>
        <v>0</v>
      </c>
      <c r="AB487" s="322">
        <f>SUM(Calculations[[#This Row],[C3 recyc]:[C3 incin]])</f>
        <v>0</v>
      </c>
      <c r="AC487" s="334">
        <f>IFERROR((VLOOKUP(Calculations[[#This Row],[Waste type 2]],WasteLandfillEmissions[#All],2,FALSE))*Calculations[[#This Row],[Total Kg]]*VLOOKUP(Calculations[[#This Row],[Waste 1]],WasteScenario[#All],4,FALSE),0)</f>
        <v>0</v>
      </c>
      <c r="AD487" s="322">
        <f>IFERROR((VLOOKUP(Calculations[[#This Row],[Waste type 2]],WasteLandfillEmissions[#All],3,FALSE))*Calculations[[#This Row],[Total Kg]]*VLOOKUP(Calculations[[#This Row],[Waste 1]],WasteScenario[#All],4,FALSE),0)</f>
        <v>0</v>
      </c>
      <c r="AE487" s="322">
        <f>SUM(Calculations[[#This Row],[C4 landfill]:[C4 re-use]])</f>
        <v>0</v>
      </c>
      <c r="AF487" s="322">
        <f>IFERROR(VLOOKUP(Calculations[[#This Row],[Material (choose from dropdown]],MaterialData[#All],8,FALSE),0)</f>
        <v>0</v>
      </c>
      <c r="AG487" s="322">
        <f>IFERROR(Calculations[[#This Row],[Total Kg]]*Calculations[[#This Row],[Seq factor]],0)</f>
        <v>0</v>
      </c>
      <c r="AI487" s="322">
        <f>Calculations[[#This Row],[A1-3]]+Calculations[[#This Row],[A4]]+Calculations[[#This Row],[A5]]+Calculations[[#This Row],[B4]]+Calculations[[#This Row],[C2 total]]+Calculations[[#This Row],[C3 total]]+Calculations[[#This Row],[C4 total]]</f>
        <v>0</v>
      </c>
      <c r="AJ487" s="2">
        <f>IFERROR(VLOOKUP(Calculations[[#This Row],[Material (choose from dropdown]],MaterialData[[#Headers],[#Data]],9,FALSE),0)</f>
        <v>0</v>
      </c>
      <c r="AK487" s="4">
        <f>IFERROR(VLOOKUP(Calculations[[#This Row],[Material (choose from dropdown]],MaterialData[[#Headers],[#Data]],10,FALSE),0)</f>
        <v>0</v>
      </c>
      <c r="AL487" s="322">
        <f>IFERROR(Calculations[[#This Row],[Data Quality Score]]*Calculations[[#This Row],[Total Kg]],0)</f>
        <v>0</v>
      </c>
    </row>
    <row r="488" spans="1:38" x14ac:dyDescent="0.3">
      <c r="A488" s="6">
        <f>IFERROR(MaterialsBoQ[[#This Row],[Scope Element]],0)</f>
        <v>0</v>
      </c>
      <c r="B488" t="str">
        <f>IFERROR(MaterialsBoQ[[#This Row],[Material ]],"")</f>
        <v/>
      </c>
      <c r="C488" t="str">
        <f>IFERROR(MaterialsBoQ[[#This Row],[Unit]],"")</f>
        <v/>
      </c>
      <c r="D488" s="322">
        <f>IFERROR(MaterialsBoQ[[#This Row],[Number]],0)</f>
        <v>0</v>
      </c>
      <c r="E488" s="322">
        <f>IFERROR(MaterialsBoQ[[#This Row],[Kg per unit]],0)</f>
        <v>0</v>
      </c>
      <c r="F488" s="322">
        <f>IFERROR(Calculations[[#This Row],[Number]]*Calculations[[#This Row],[Conversion factor]],0)</f>
        <v>0</v>
      </c>
      <c r="G488" s="322">
        <f>IFERROR(VLOOKUP(Calculations[[#This Row],[Material (choose from dropdown]],MaterialData[#All],7,FALSE),0)</f>
        <v>0</v>
      </c>
      <c r="H488" s="322">
        <f>Calculations[[#This Row],[Total Kg]]*Calculations[[#This Row],[Carbon Factor]]</f>
        <v>0</v>
      </c>
      <c r="I488" t="str">
        <f>IFERROR(VLOOKUP(Calculations[[#This Row],[Material (choose from dropdown]],MaterialData[#All],2,FALSE),"")</f>
        <v/>
      </c>
      <c r="J488" s="322">
        <f>IFERROR(((VLOOKUP(Calculations[[#This Row],[TransportSource]],TransportDistance[],2,FALSE)*'Stage assumptions'!$C$11)+VLOOKUP(Calculations[[#This Row],[TransportSource]],TransportDistance[],3,FALSE)*'Stage assumptions'!$C$12)*Calculations[[#This Row],[Total Kg]],0)</f>
        <v>0</v>
      </c>
      <c r="K488">
        <f>IFERROR(VLOOKUP(Calculations[[#This Row],[Material (choose from dropdown]], MaterialData[#All],3, FALSE),0)</f>
        <v>0</v>
      </c>
      <c r="L488" s="322">
        <f>IFERROR(VLOOKUP(Calculations[[#This Row],[A5type]],A5WastageRate[#All],2,FALSE)*Calculations[[#This Row],[A1-3]],0)</f>
        <v>0</v>
      </c>
      <c r="N488">
        <f>IFERROR(ROUNDUP(50/VLOOKUP(Calculations[[#This Row],[Scope Element]],B4referenceServiceLife[[Tier 2 element]:[Default Service Life]],2, FALSE)-1,0),0)</f>
        <v>0</v>
      </c>
      <c r="O488" s="322">
        <f>IFERROR((Calculations[[#This Row],[A1-3]]+Calculations[[#This Row],[A4]]+Calculations[[#This Row],[A5]]+Calculations[[#This Row],[C2 total]]+Calculations[[#This Row],[C3 total]]+Calculations[[#This Row],[C4 total]])*Calculations[[#This Row],[Replacements]],0)</f>
        <v>0</v>
      </c>
      <c r="S488" t="str">
        <f>IFERROR(VLOOKUP(Calculations[[#This Row],[Material (choose from dropdown]],MaterialData[#All],4,FALSE),"")</f>
        <v/>
      </c>
      <c r="T488" s="322" cm="1">
        <f t="array" ref="T488">IFERROR(VLOOKUP(Calculations[[#This Row],[Waste 1]],WasteScenario[#All],2,FALSE)*'Stage assumptions'!$C$225*WasteTransportMethod[Emissions Factor
kgCO2e/kg.km]*Calculations[[#This Row],[Total Kg]],0)</f>
        <v>0</v>
      </c>
      <c r="U488" s="322" cm="1">
        <f t="array" ref="U488">IFERROR(VLOOKUP(Calculations[[#This Row],[Waste 1]],WasteScenario[#All],3,FALSE)*'Stage assumptions'!$C$224*WasteTransportMethod[Emissions Factor
kgCO2e/kg.km]*Calculations[[#This Row],[Total Kg]],0)</f>
        <v>0</v>
      </c>
      <c r="V488" s="322" cm="1">
        <f t="array" ref="V488">IFERROR(VLOOKUP(Calculations[[#This Row],[Waste 1]],WasteScenario[#All],4,FALSE)*'Stage assumptions'!$C$223*WasteTransportMethod[Emissions Factor
kgCO2e/kg.km]*Calculations[[#This Row],[Total Kg]],0)</f>
        <v>0</v>
      </c>
      <c r="W488" s="322" cm="1">
        <f t="array" ref="W488">IFERROR(VLOOKUP(Calculations[[#This Row],[Waste 1]],WasteScenario[#All],5,FALSE)*'Stage assumptions'!$C$226*WasteTransportMethod[Emissions Factor
kgCO2e/kg.km]*Calculations[[#This Row],[Total Kg]],0)</f>
        <v>0</v>
      </c>
      <c r="X488" s="322">
        <f>SUM(Calculations[[#This Row],[C2 Recycle]:[C2 Reuse]])</f>
        <v>0</v>
      </c>
      <c r="Y488" t="str">
        <f>IFERROR(VLOOKUP(Calculations[[#This Row],[Material (choose from dropdown]],MaterialData[#All],5,FALSE),"")</f>
        <v/>
      </c>
      <c r="Z488" s="322">
        <f>IFERROR(((VLOOKUP(Calculations[[#This Row],[Waste type 2]],WasteDisposalEmissions[#All],2,FALSE))*Calculations[[#This Row],[Total Kg]])*VLOOKUP(Calculations[[#This Row],[Waste 1]],WasteScenario[#All],2,FALSE),0)</f>
        <v>0</v>
      </c>
      <c r="AA488" s="322">
        <f>IFERROR((VLOOKUP(Calculations[[#This Row],[Waste type 2]],WasteDisposalEmissions[#All],3,FALSE))*Calculations[[#This Row],[Total Kg]]*VLOOKUP(Calculations[[#This Row],[Waste 1]],WasteScenario[#All],3,FALSE),0)</f>
        <v>0</v>
      </c>
      <c r="AB488" s="322">
        <f>SUM(Calculations[[#This Row],[C3 recyc]:[C3 incin]])</f>
        <v>0</v>
      </c>
      <c r="AC488" s="334">
        <f>IFERROR((VLOOKUP(Calculations[[#This Row],[Waste type 2]],WasteLandfillEmissions[#All],2,FALSE))*Calculations[[#This Row],[Total Kg]]*VLOOKUP(Calculations[[#This Row],[Waste 1]],WasteScenario[#All],4,FALSE),0)</f>
        <v>0</v>
      </c>
      <c r="AD488" s="322">
        <f>IFERROR((VLOOKUP(Calculations[[#This Row],[Waste type 2]],WasteLandfillEmissions[#All],3,FALSE))*Calculations[[#This Row],[Total Kg]]*VLOOKUP(Calculations[[#This Row],[Waste 1]],WasteScenario[#All],4,FALSE),0)</f>
        <v>0</v>
      </c>
      <c r="AE488" s="322">
        <f>SUM(Calculations[[#This Row],[C4 landfill]:[C4 re-use]])</f>
        <v>0</v>
      </c>
      <c r="AF488" s="322">
        <f>IFERROR(VLOOKUP(Calculations[[#This Row],[Material (choose from dropdown]],MaterialData[#All],8,FALSE),0)</f>
        <v>0</v>
      </c>
      <c r="AG488" s="322">
        <f>IFERROR(Calculations[[#This Row],[Total Kg]]*Calculations[[#This Row],[Seq factor]],0)</f>
        <v>0</v>
      </c>
      <c r="AI488" s="322">
        <f>Calculations[[#This Row],[A1-3]]+Calculations[[#This Row],[A4]]+Calculations[[#This Row],[A5]]+Calculations[[#This Row],[B4]]+Calculations[[#This Row],[C2 total]]+Calculations[[#This Row],[C3 total]]+Calculations[[#This Row],[C4 total]]</f>
        <v>0</v>
      </c>
      <c r="AJ488" s="2">
        <f>IFERROR(VLOOKUP(Calculations[[#This Row],[Material (choose from dropdown]],MaterialData[[#Headers],[#Data]],9,FALSE),0)</f>
        <v>0</v>
      </c>
      <c r="AK488" s="4">
        <f>IFERROR(VLOOKUP(Calculations[[#This Row],[Material (choose from dropdown]],MaterialData[[#Headers],[#Data]],10,FALSE),0)</f>
        <v>0</v>
      </c>
      <c r="AL488" s="322">
        <f>IFERROR(Calculations[[#This Row],[Data Quality Score]]*Calculations[[#This Row],[Total Kg]],0)</f>
        <v>0</v>
      </c>
    </row>
    <row r="489" spans="1:38" x14ac:dyDescent="0.3">
      <c r="A489" s="6">
        <f>IFERROR(MaterialsBoQ[[#This Row],[Scope Element]],0)</f>
        <v>0</v>
      </c>
      <c r="B489" t="str">
        <f>IFERROR(MaterialsBoQ[[#This Row],[Material ]],"")</f>
        <v/>
      </c>
      <c r="C489" t="str">
        <f>IFERROR(MaterialsBoQ[[#This Row],[Unit]],"")</f>
        <v/>
      </c>
      <c r="D489" s="322">
        <f>IFERROR(MaterialsBoQ[[#This Row],[Number]],0)</f>
        <v>0</v>
      </c>
      <c r="E489" s="322">
        <f>IFERROR(MaterialsBoQ[[#This Row],[Kg per unit]],0)</f>
        <v>0</v>
      </c>
      <c r="F489" s="322">
        <f>IFERROR(Calculations[[#This Row],[Number]]*Calculations[[#This Row],[Conversion factor]],0)</f>
        <v>0</v>
      </c>
      <c r="G489" s="322">
        <f>IFERROR(VLOOKUP(Calculations[[#This Row],[Material (choose from dropdown]],MaterialData[#All],7,FALSE),0)</f>
        <v>0</v>
      </c>
      <c r="H489" s="322">
        <f>Calculations[[#This Row],[Total Kg]]*Calculations[[#This Row],[Carbon Factor]]</f>
        <v>0</v>
      </c>
      <c r="I489" t="str">
        <f>IFERROR(VLOOKUP(Calculations[[#This Row],[Material (choose from dropdown]],MaterialData[#All],2,FALSE),"")</f>
        <v/>
      </c>
      <c r="J489" s="322">
        <f>IFERROR(((VLOOKUP(Calculations[[#This Row],[TransportSource]],TransportDistance[],2,FALSE)*'Stage assumptions'!$C$11)+VLOOKUP(Calculations[[#This Row],[TransportSource]],TransportDistance[],3,FALSE)*'Stage assumptions'!$C$12)*Calculations[[#This Row],[Total Kg]],0)</f>
        <v>0</v>
      </c>
      <c r="K489">
        <f>IFERROR(VLOOKUP(Calculations[[#This Row],[Material (choose from dropdown]], MaterialData[#All],3, FALSE),0)</f>
        <v>0</v>
      </c>
      <c r="L489" s="322">
        <f>IFERROR(VLOOKUP(Calculations[[#This Row],[A5type]],A5WastageRate[#All],2,FALSE)*Calculations[[#This Row],[A1-3]],0)</f>
        <v>0</v>
      </c>
      <c r="N489">
        <f>IFERROR(ROUNDUP(50/VLOOKUP(Calculations[[#This Row],[Scope Element]],B4referenceServiceLife[[Tier 2 element]:[Default Service Life]],2, FALSE)-1,0),0)</f>
        <v>0</v>
      </c>
      <c r="O489" s="322">
        <f>IFERROR((Calculations[[#This Row],[A1-3]]+Calculations[[#This Row],[A4]]+Calculations[[#This Row],[A5]]+Calculations[[#This Row],[C2 total]]+Calculations[[#This Row],[C3 total]]+Calculations[[#This Row],[C4 total]])*Calculations[[#This Row],[Replacements]],0)</f>
        <v>0</v>
      </c>
      <c r="S489" t="str">
        <f>IFERROR(VLOOKUP(Calculations[[#This Row],[Material (choose from dropdown]],MaterialData[#All],4,FALSE),"")</f>
        <v/>
      </c>
      <c r="T489" s="322" cm="1">
        <f t="array" ref="T489">IFERROR(VLOOKUP(Calculations[[#This Row],[Waste 1]],WasteScenario[#All],2,FALSE)*'Stage assumptions'!$C$225*WasteTransportMethod[Emissions Factor
kgCO2e/kg.km]*Calculations[[#This Row],[Total Kg]],0)</f>
        <v>0</v>
      </c>
      <c r="U489" s="322" cm="1">
        <f t="array" ref="U489">IFERROR(VLOOKUP(Calculations[[#This Row],[Waste 1]],WasteScenario[#All],3,FALSE)*'Stage assumptions'!$C$224*WasteTransportMethod[Emissions Factor
kgCO2e/kg.km]*Calculations[[#This Row],[Total Kg]],0)</f>
        <v>0</v>
      </c>
      <c r="V489" s="322" cm="1">
        <f t="array" ref="V489">IFERROR(VLOOKUP(Calculations[[#This Row],[Waste 1]],WasteScenario[#All],4,FALSE)*'Stage assumptions'!$C$223*WasteTransportMethod[Emissions Factor
kgCO2e/kg.km]*Calculations[[#This Row],[Total Kg]],0)</f>
        <v>0</v>
      </c>
      <c r="W489" s="322" cm="1">
        <f t="array" ref="W489">IFERROR(VLOOKUP(Calculations[[#This Row],[Waste 1]],WasteScenario[#All],5,FALSE)*'Stage assumptions'!$C$226*WasteTransportMethod[Emissions Factor
kgCO2e/kg.km]*Calculations[[#This Row],[Total Kg]],0)</f>
        <v>0</v>
      </c>
      <c r="X489" s="322">
        <f>SUM(Calculations[[#This Row],[C2 Recycle]:[C2 Reuse]])</f>
        <v>0</v>
      </c>
      <c r="Y489" t="str">
        <f>IFERROR(VLOOKUP(Calculations[[#This Row],[Material (choose from dropdown]],MaterialData[#All],5,FALSE),"")</f>
        <v/>
      </c>
      <c r="Z489" s="322">
        <f>IFERROR(((VLOOKUP(Calculations[[#This Row],[Waste type 2]],WasteDisposalEmissions[#All],2,FALSE))*Calculations[[#This Row],[Total Kg]])*VLOOKUP(Calculations[[#This Row],[Waste 1]],WasteScenario[#All],2,FALSE),0)</f>
        <v>0</v>
      </c>
      <c r="AA489" s="322">
        <f>IFERROR((VLOOKUP(Calculations[[#This Row],[Waste type 2]],WasteDisposalEmissions[#All],3,FALSE))*Calculations[[#This Row],[Total Kg]]*VLOOKUP(Calculations[[#This Row],[Waste 1]],WasteScenario[#All],3,FALSE),0)</f>
        <v>0</v>
      </c>
      <c r="AB489" s="322">
        <f>SUM(Calculations[[#This Row],[C3 recyc]:[C3 incin]])</f>
        <v>0</v>
      </c>
      <c r="AC489" s="334">
        <f>IFERROR((VLOOKUP(Calculations[[#This Row],[Waste type 2]],WasteLandfillEmissions[#All],2,FALSE))*Calculations[[#This Row],[Total Kg]]*VLOOKUP(Calculations[[#This Row],[Waste 1]],WasteScenario[#All],4,FALSE),0)</f>
        <v>0</v>
      </c>
      <c r="AD489" s="322">
        <f>IFERROR((VLOOKUP(Calculations[[#This Row],[Waste type 2]],WasteLandfillEmissions[#All],3,FALSE))*Calculations[[#This Row],[Total Kg]]*VLOOKUP(Calculations[[#This Row],[Waste 1]],WasteScenario[#All],4,FALSE),0)</f>
        <v>0</v>
      </c>
      <c r="AE489" s="322">
        <f>SUM(Calculations[[#This Row],[C4 landfill]:[C4 re-use]])</f>
        <v>0</v>
      </c>
      <c r="AF489" s="322">
        <f>IFERROR(VLOOKUP(Calculations[[#This Row],[Material (choose from dropdown]],MaterialData[#All],8,FALSE),0)</f>
        <v>0</v>
      </c>
      <c r="AG489" s="322">
        <f>IFERROR(Calculations[[#This Row],[Total Kg]]*Calculations[[#This Row],[Seq factor]],0)</f>
        <v>0</v>
      </c>
      <c r="AI489" s="322">
        <f>Calculations[[#This Row],[A1-3]]+Calculations[[#This Row],[A4]]+Calculations[[#This Row],[A5]]+Calculations[[#This Row],[B4]]+Calculations[[#This Row],[C2 total]]+Calculations[[#This Row],[C3 total]]+Calculations[[#This Row],[C4 total]]</f>
        <v>0</v>
      </c>
      <c r="AJ489" s="2">
        <f>IFERROR(VLOOKUP(Calculations[[#This Row],[Material (choose from dropdown]],MaterialData[[#Headers],[#Data]],9,FALSE),0)</f>
        <v>0</v>
      </c>
      <c r="AK489" s="4">
        <f>IFERROR(VLOOKUP(Calculations[[#This Row],[Material (choose from dropdown]],MaterialData[[#Headers],[#Data]],10,FALSE),0)</f>
        <v>0</v>
      </c>
      <c r="AL489" s="322">
        <f>IFERROR(Calculations[[#This Row],[Data Quality Score]]*Calculations[[#This Row],[Total Kg]],0)</f>
        <v>0</v>
      </c>
    </row>
    <row r="490" spans="1:38" x14ac:dyDescent="0.3">
      <c r="A490" s="6">
        <f>IFERROR(MaterialsBoQ[[#This Row],[Scope Element]],0)</f>
        <v>0</v>
      </c>
      <c r="B490" t="str">
        <f>IFERROR(MaterialsBoQ[[#This Row],[Material ]],"")</f>
        <v/>
      </c>
      <c r="C490" t="str">
        <f>IFERROR(MaterialsBoQ[[#This Row],[Unit]],"")</f>
        <v/>
      </c>
      <c r="D490" s="322">
        <f>IFERROR(MaterialsBoQ[[#This Row],[Number]],0)</f>
        <v>0</v>
      </c>
      <c r="E490" s="322">
        <f>IFERROR(MaterialsBoQ[[#This Row],[Kg per unit]],0)</f>
        <v>0</v>
      </c>
      <c r="F490" s="322">
        <f>IFERROR(Calculations[[#This Row],[Number]]*Calculations[[#This Row],[Conversion factor]],0)</f>
        <v>0</v>
      </c>
      <c r="G490" s="322">
        <f>IFERROR(VLOOKUP(Calculations[[#This Row],[Material (choose from dropdown]],MaterialData[#All],7,FALSE),0)</f>
        <v>0</v>
      </c>
      <c r="H490" s="322">
        <f>Calculations[[#This Row],[Total Kg]]*Calculations[[#This Row],[Carbon Factor]]</f>
        <v>0</v>
      </c>
      <c r="I490" t="str">
        <f>IFERROR(VLOOKUP(Calculations[[#This Row],[Material (choose from dropdown]],MaterialData[#All],2,FALSE),"")</f>
        <v/>
      </c>
      <c r="J490" s="322">
        <f>IFERROR(((VLOOKUP(Calculations[[#This Row],[TransportSource]],TransportDistance[],2,FALSE)*'Stage assumptions'!$C$11)+VLOOKUP(Calculations[[#This Row],[TransportSource]],TransportDistance[],3,FALSE)*'Stage assumptions'!$C$12)*Calculations[[#This Row],[Total Kg]],0)</f>
        <v>0</v>
      </c>
      <c r="K490">
        <f>IFERROR(VLOOKUP(Calculations[[#This Row],[Material (choose from dropdown]], MaterialData[#All],3, FALSE),0)</f>
        <v>0</v>
      </c>
      <c r="L490" s="322">
        <f>IFERROR(VLOOKUP(Calculations[[#This Row],[A5type]],A5WastageRate[#All],2,FALSE)*Calculations[[#This Row],[A1-3]],0)</f>
        <v>0</v>
      </c>
      <c r="N490">
        <f>IFERROR(ROUNDUP(50/VLOOKUP(Calculations[[#This Row],[Scope Element]],B4referenceServiceLife[[Tier 2 element]:[Default Service Life]],2, FALSE)-1,0),0)</f>
        <v>0</v>
      </c>
      <c r="O490" s="322">
        <f>IFERROR((Calculations[[#This Row],[A1-3]]+Calculations[[#This Row],[A4]]+Calculations[[#This Row],[A5]]+Calculations[[#This Row],[C2 total]]+Calculations[[#This Row],[C3 total]]+Calculations[[#This Row],[C4 total]])*Calculations[[#This Row],[Replacements]],0)</f>
        <v>0</v>
      </c>
      <c r="S490" t="str">
        <f>IFERROR(VLOOKUP(Calculations[[#This Row],[Material (choose from dropdown]],MaterialData[#All],4,FALSE),"")</f>
        <v/>
      </c>
      <c r="T490" s="322" cm="1">
        <f t="array" ref="T490">IFERROR(VLOOKUP(Calculations[[#This Row],[Waste 1]],WasteScenario[#All],2,FALSE)*'Stage assumptions'!$C$225*WasteTransportMethod[Emissions Factor
kgCO2e/kg.km]*Calculations[[#This Row],[Total Kg]],0)</f>
        <v>0</v>
      </c>
      <c r="U490" s="322" cm="1">
        <f t="array" ref="U490">IFERROR(VLOOKUP(Calculations[[#This Row],[Waste 1]],WasteScenario[#All],3,FALSE)*'Stage assumptions'!$C$224*WasteTransportMethod[Emissions Factor
kgCO2e/kg.km]*Calculations[[#This Row],[Total Kg]],0)</f>
        <v>0</v>
      </c>
      <c r="V490" s="322" cm="1">
        <f t="array" ref="V490">IFERROR(VLOOKUP(Calculations[[#This Row],[Waste 1]],WasteScenario[#All],4,FALSE)*'Stage assumptions'!$C$223*WasteTransportMethod[Emissions Factor
kgCO2e/kg.km]*Calculations[[#This Row],[Total Kg]],0)</f>
        <v>0</v>
      </c>
      <c r="W490" s="322" cm="1">
        <f t="array" ref="W490">IFERROR(VLOOKUP(Calculations[[#This Row],[Waste 1]],WasteScenario[#All],5,FALSE)*'Stage assumptions'!$C$226*WasteTransportMethod[Emissions Factor
kgCO2e/kg.km]*Calculations[[#This Row],[Total Kg]],0)</f>
        <v>0</v>
      </c>
      <c r="X490" s="322">
        <f>SUM(Calculations[[#This Row],[C2 Recycle]:[C2 Reuse]])</f>
        <v>0</v>
      </c>
      <c r="Y490" t="str">
        <f>IFERROR(VLOOKUP(Calculations[[#This Row],[Material (choose from dropdown]],MaterialData[#All],5,FALSE),"")</f>
        <v/>
      </c>
      <c r="Z490" s="322">
        <f>IFERROR(((VLOOKUP(Calculations[[#This Row],[Waste type 2]],WasteDisposalEmissions[#All],2,FALSE))*Calculations[[#This Row],[Total Kg]])*VLOOKUP(Calculations[[#This Row],[Waste 1]],WasteScenario[#All],2,FALSE),0)</f>
        <v>0</v>
      </c>
      <c r="AA490" s="322">
        <f>IFERROR((VLOOKUP(Calculations[[#This Row],[Waste type 2]],WasteDisposalEmissions[#All],3,FALSE))*Calculations[[#This Row],[Total Kg]]*VLOOKUP(Calculations[[#This Row],[Waste 1]],WasteScenario[#All],3,FALSE),0)</f>
        <v>0</v>
      </c>
      <c r="AB490" s="322">
        <f>SUM(Calculations[[#This Row],[C3 recyc]:[C3 incin]])</f>
        <v>0</v>
      </c>
      <c r="AC490" s="334">
        <f>IFERROR((VLOOKUP(Calculations[[#This Row],[Waste type 2]],WasteLandfillEmissions[#All],2,FALSE))*Calculations[[#This Row],[Total Kg]]*VLOOKUP(Calculations[[#This Row],[Waste 1]],WasteScenario[#All],4,FALSE),0)</f>
        <v>0</v>
      </c>
      <c r="AD490" s="322">
        <f>IFERROR((VLOOKUP(Calculations[[#This Row],[Waste type 2]],WasteLandfillEmissions[#All],3,FALSE))*Calculations[[#This Row],[Total Kg]]*VLOOKUP(Calculations[[#This Row],[Waste 1]],WasteScenario[#All],4,FALSE),0)</f>
        <v>0</v>
      </c>
      <c r="AE490" s="322">
        <f>SUM(Calculations[[#This Row],[C4 landfill]:[C4 re-use]])</f>
        <v>0</v>
      </c>
      <c r="AF490" s="322">
        <f>IFERROR(VLOOKUP(Calculations[[#This Row],[Material (choose from dropdown]],MaterialData[#All],8,FALSE),0)</f>
        <v>0</v>
      </c>
      <c r="AG490" s="322">
        <f>IFERROR(Calculations[[#This Row],[Total Kg]]*Calculations[[#This Row],[Seq factor]],0)</f>
        <v>0</v>
      </c>
      <c r="AI490" s="322">
        <f>Calculations[[#This Row],[A1-3]]+Calculations[[#This Row],[A4]]+Calculations[[#This Row],[A5]]+Calculations[[#This Row],[B4]]+Calculations[[#This Row],[C2 total]]+Calculations[[#This Row],[C3 total]]+Calculations[[#This Row],[C4 total]]</f>
        <v>0</v>
      </c>
      <c r="AJ490" s="2">
        <f>IFERROR(VLOOKUP(Calculations[[#This Row],[Material (choose from dropdown]],MaterialData[[#Headers],[#Data]],9,FALSE),0)</f>
        <v>0</v>
      </c>
      <c r="AK490" s="4">
        <f>IFERROR(VLOOKUP(Calculations[[#This Row],[Material (choose from dropdown]],MaterialData[[#Headers],[#Data]],10,FALSE),0)</f>
        <v>0</v>
      </c>
      <c r="AL490" s="322">
        <f>IFERROR(Calculations[[#This Row],[Data Quality Score]]*Calculations[[#This Row],[Total Kg]],0)</f>
        <v>0</v>
      </c>
    </row>
    <row r="491" spans="1:38" x14ac:dyDescent="0.3">
      <c r="A491" s="6">
        <f>IFERROR(MaterialsBoQ[[#This Row],[Scope Element]],0)</f>
        <v>0</v>
      </c>
      <c r="B491" t="str">
        <f>IFERROR(MaterialsBoQ[[#This Row],[Material ]],"")</f>
        <v/>
      </c>
      <c r="C491" t="str">
        <f>IFERROR(MaterialsBoQ[[#This Row],[Unit]],"")</f>
        <v/>
      </c>
      <c r="D491" s="322">
        <f>IFERROR(MaterialsBoQ[[#This Row],[Number]],0)</f>
        <v>0</v>
      </c>
      <c r="E491" s="322">
        <f>IFERROR(MaterialsBoQ[[#This Row],[Kg per unit]],0)</f>
        <v>0</v>
      </c>
      <c r="F491" s="322">
        <f>IFERROR(Calculations[[#This Row],[Number]]*Calculations[[#This Row],[Conversion factor]],0)</f>
        <v>0</v>
      </c>
      <c r="G491" s="322">
        <f>IFERROR(VLOOKUP(Calculations[[#This Row],[Material (choose from dropdown]],MaterialData[#All],7,FALSE),0)</f>
        <v>0</v>
      </c>
      <c r="H491" s="322">
        <f>Calculations[[#This Row],[Total Kg]]*Calculations[[#This Row],[Carbon Factor]]</f>
        <v>0</v>
      </c>
      <c r="I491" t="str">
        <f>IFERROR(VLOOKUP(Calculations[[#This Row],[Material (choose from dropdown]],MaterialData[#All],2,FALSE),"")</f>
        <v/>
      </c>
      <c r="J491" s="322">
        <f>IFERROR(((VLOOKUP(Calculations[[#This Row],[TransportSource]],TransportDistance[],2,FALSE)*'Stage assumptions'!$C$11)+VLOOKUP(Calculations[[#This Row],[TransportSource]],TransportDistance[],3,FALSE)*'Stage assumptions'!$C$12)*Calculations[[#This Row],[Total Kg]],0)</f>
        <v>0</v>
      </c>
      <c r="K491">
        <f>IFERROR(VLOOKUP(Calculations[[#This Row],[Material (choose from dropdown]], MaterialData[#All],3, FALSE),0)</f>
        <v>0</v>
      </c>
      <c r="L491" s="322">
        <f>IFERROR(VLOOKUP(Calculations[[#This Row],[A5type]],A5WastageRate[#All],2,FALSE)*Calculations[[#This Row],[A1-3]],0)</f>
        <v>0</v>
      </c>
      <c r="N491">
        <f>IFERROR(ROUNDUP(50/VLOOKUP(Calculations[[#This Row],[Scope Element]],B4referenceServiceLife[[Tier 2 element]:[Default Service Life]],2, FALSE)-1,0),0)</f>
        <v>0</v>
      </c>
      <c r="O491" s="322">
        <f>IFERROR((Calculations[[#This Row],[A1-3]]+Calculations[[#This Row],[A4]]+Calculations[[#This Row],[A5]]+Calculations[[#This Row],[C2 total]]+Calculations[[#This Row],[C3 total]]+Calculations[[#This Row],[C4 total]])*Calculations[[#This Row],[Replacements]],0)</f>
        <v>0</v>
      </c>
      <c r="S491" t="str">
        <f>IFERROR(VLOOKUP(Calculations[[#This Row],[Material (choose from dropdown]],MaterialData[#All],4,FALSE),"")</f>
        <v/>
      </c>
      <c r="T491" s="322" cm="1">
        <f t="array" ref="T491">IFERROR(VLOOKUP(Calculations[[#This Row],[Waste 1]],WasteScenario[#All],2,FALSE)*'Stage assumptions'!$C$225*WasteTransportMethod[Emissions Factor
kgCO2e/kg.km]*Calculations[[#This Row],[Total Kg]],0)</f>
        <v>0</v>
      </c>
      <c r="U491" s="322" cm="1">
        <f t="array" ref="U491">IFERROR(VLOOKUP(Calculations[[#This Row],[Waste 1]],WasteScenario[#All],3,FALSE)*'Stage assumptions'!$C$224*WasteTransportMethod[Emissions Factor
kgCO2e/kg.km]*Calculations[[#This Row],[Total Kg]],0)</f>
        <v>0</v>
      </c>
      <c r="V491" s="322" cm="1">
        <f t="array" ref="V491">IFERROR(VLOOKUP(Calculations[[#This Row],[Waste 1]],WasteScenario[#All],4,FALSE)*'Stage assumptions'!$C$223*WasteTransportMethod[Emissions Factor
kgCO2e/kg.km]*Calculations[[#This Row],[Total Kg]],0)</f>
        <v>0</v>
      </c>
      <c r="W491" s="322" cm="1">
        <f t="array" ref="W491">IFERROR(VLOOKUP(Calculations[[#This Row],[Waste 1]],WasteScenario[#All],5,FALSE)*'Stage assumptions'!$C$226*WasteTransportMethod[Emissions Factor
kgCO2e/kg.km]*Calculations[[#This Row],[Total Kg]],0)</f>
        <v>0</v>
      </c>
      <c r="X491" s="322">
        <f>SUM(Calculations[[#This Row],[C2 Recycle]:[C2 Reuse]])</f>
        <v>0</v>
      </c>
      <c r="Y491" t="str">
        <f>IFERROR(VLOOKUP(Calculations[[#This Row],[Material (choose from dropdown]],MaterialData[#All],5,FALSE),"")</f>
        <v/>
      </c>
      <c r="Z491" s="322">
        <f>IFERROR(((VLOOKUP(Calculations[[#This Row],[Waste type 2]],WasteDisposalEmissions[#All],2,FALSE))*Calculations[[#This Row],[Total Kg]])*VLOOKUP(Calculations[[#This Row],[Waste 1]],WasteScenario[#All],2,FALSE),0)</f>
        <v>0</v>
      </c>
      <c r="AA491" s="322">
        <f>IFERROR((VLOOKUP(Calculations[[#This Row],[Waste type 2]],WasteDisposalEmissions[#All],3,FALSE))*Calculations[[#This Row],[Total Kg]]*VLOOKUP(Calculations[[#This Row],[Waste 1]],WasteScenario[#All],3,FALSE),0)</f>
        <v>0</v>
      </c>
      <c r="AB491" s="322">
        <f>SUM(Calculations[[#This Row],[C3 recyc]:[C3 incin]])</f>
        <v>0</v>
      </c>
      <c r="AC491" s="334">
        <f>IFERROR((VLOOKUP(Calculations[[#This Row],[Waste type 2]],WasteLandfillEmissions[#All],2,FALSE))*Calculations[[#This Row],[Total Kg]]*VLOOKUP(Calculations[[#This Row],[Waste 1]],WasteScenario[#All],4,FALSE),0)</f>
        <v>0</v>
      </c>
      <c r="AD491" s="322">
        <f>IFERROR((VLOOKUP(Calculations[[#This Row],[Waste type 2]],WasteLandfillEmissions[#All],3,FALSE))*Calculations[[#This Row],[Total Kg]]*VLOOKUP(Calculations[[#This Row],[Waste 1]],WasteScenario[#All],4,FALSE),0)</f>
        <v>0</v>
      </c>
      <c r="AE491" s="322">
        <f>SUM(Calculations[[#This Row],[C4 landfill]:[C4 re-use]])</f>
        <v>0</v>
      </c>
      <c r="AF491" s="322">
        <f>IFERROR(VLOOKUP(Calculations[[#This Row],[Material (choose from dropdown]],MaterialData[#All],8,FALSE),0)</f>
        <v>0</v>
      </c>
      <c r="AG491" s="322">
        <f>IFERROR(Calculations[[#This Row],[Total Kg]]*Calculations[[#This Row],[Seq factor]],0)</f>
        <v>0</v>
      </c>
      <c r="AI491" s="322">
        <f>Calculations[[#This Row],[A1-3]]+Calculations[[#This Row],[A4]]+Calculations[[#This Row],[A5]]+Calculations[[#This Row],[B4]]+Calculations[[#This Row],[C2 total]]+Calculations[[#This Row],[C3 total]]+Calculations[[#This Row],[C4 total]]</f>
        <v>0</v>
      </c>
      <c r="AJ491" s="2">
        <f>IFERROR(VLOOKUP(Calculations[[#This Row],[Material (choose from dropdown]],MaterialData[[#Headers],[#Data]],9,FALSE),0)</f>
        <v>0</v>
      </c>
      <c r="AK491" s="4">
        <f>IFERROR(VLOOKUP(Calculations[[#This Row],[Material (choose from dropdown]],MaterialData[[#Headers],[#Data]],10,FALSE),0)</f>
        <v>0</v>
      </c>
      <c r="AL491" s="322">
        <f>IFERROR(Calculations[[#This Row],[Data Quality Score]]*Calculations[[#This Row],[Total Kg]],0)</f>
        <v>0</v>
      </c>
    </row>
    <row r="492" spans="1:38" x14ac:dyDescent="0.3">
      <c r="A492" s="6">
        <f>IFERROR(MaterialsBoQ[[#This Row],[Scope Element]],0)</f>
        <v>0</v>
      </c>
      <c r="B492" t="str">
        <f>IFERROR(MaterialsBoQ[[#This Row],[Material ]],"")</f>
        <v/>
      </c>
      <c r="C492" t="str">
        <f>IFERROR(MaterialsBoQ[[#This Row],[Unit]],"")</f>
        <v/>
      </c>
      <c r="D492" s="322">
        <f>IFERROR(MaterialsBoQ[[#This Row],[Number]],0)</f>
        <v>0</v>
      </c>
      <c r="E492" s="322">
        <f>IFERROR(MaterialsBoQ[[#This Row],[Kg per unit]],0)</f>
        <v>0</v>
      </c>
      <c r="F492" s="322">
        <f>IFERROR(Calculations[[#This Row],[Number]]*Calculations[[#This Row],[Conversion factor]],0)</f>
        <v>0</v>
      </c>
      <c r="G492" s="322">
        <f>IFERROR(VLOOKUP(Calculations[[#This Row],[Material (choose from dropdown]],MaterialData[#All],7,FALSE),0)</f>
        <v>0</v>
      </c>
      <c r="H492" s="322">
        <f>Calculations[[#This Row],[Total Kg]]*Calculations[[#This Row],[Carbon Factor]]</f>
        <v>0</v>
      </c>
      <c r="I492" t="str">
        <f>IFERROR(VLOOKUP(Calculations[[#This Row],[Material (choose from dropdown]],MaterialData[#All],2,FALSE),"")</f>
        <v/>
      </c>
      <c r="J492" s="322">
        <f>IFERROR(((VLOOKUP(Calculations[[#This Row],[TransportSource]],TransportDistance[],2,FALSE)*'Stage assumptions'!$C$11)+VLOOKUP(Calculations[[#This Row],[TransportSource]],TransportDistance[],3,FALSE)*'Stage assumptions'!$C$12)*Calculations[[#This Row],[Total Kg]],0)</f>
        <v>0</v>
      </c>
      <c r="K492">
        <f>IFERROR(VLOOKUP(Calculations[[#This Row],[Material (choose from dropdown]], MaterialData[#All],3, FALSE),0)</f>
        <v>0</v>
      </c>
      <c r="L492" s="322">
        <f>IFERROR(VLOOKUP(Calculations[[#This Row],[A5type]],A5WastageRate[#All],2,FALSE)*Calculations[[#This Row],[A1-3]],0)</f>
        <v>0</v>
      </c>
      <c r="N492">
        <f>IFERROR(ROUNDUP(50/VLOOKUP(Calculations[[#This Row],[Scope Element]],B4referenceServiceLife[[Tier 2 element]:[Default Service Life]],2, FALSE)-1,0),0)</f>
        <v>0</v>
      </c>
      <c r="O492" s="322">
        <f>IFERROR((Calculations[[#This Row],[A1-3]]+Calculations[[#This Row],[A4]]+Calculations[[#This Row],[A5]]+Calculations[[#This Row],[C2 total]]+Calculations[[#This Row],[C3 total]]+Calculations[[#This Row],[C4 total]])*Calculations[[#This Row],[Replacements]],0)</f>
        <v>0</v>
      </c>
      <c r="S492" t="str">
        <f>IFERROR(VLOOKUP(Calculations[[#This Row],[Material (choose from dropdown]],MaterialData[#All],4,FALSE),"")</f>
        <v/>
      </c>
      <c r="T492" s="322" cm="1">
        <f t="array" ref="T492">IFERROR(VLOOKUP(Calculations[[#This Row],[Waste 1]],WasteScenario[#All],2,FALSE)*'Stage assumptions'!$C$225*WasteTransportMethod[Emissions Factor
kgCO2e/kg.km]*Calculations[[#This Row],[Total Kg]],0)</f>
        <v>0</v>
      </c>
      <c r="U492" s="322" cm="1">
        <f t="array" ref="U492">IFERROR(VLOOKUP(Calculations[[#This Row],[Waste 1]],WasteScenario[#All],3,FALSE)*'Stage assumptions'!$C$224*WasteTransportMethod[Emissions Factor
kgCO2e/kg.km]*Calculations[[#This Row],[Total Kg]],0)</f>
        <v>0</v>
      </c>
      <c r="V492" s="322" cm="1">
        <f t="array" ref="V492">IFERROR(VLOOKUP(Calculations[[#This Row],[Waste 1]],WasteScenario[#All],4,FALSE)*'Stage assumptions'!$C$223*WasteTransportMethod[Emissions Factor
kgCO2e/kg.km]*Calculations[[#This Row],[Total Kg]],0)</f>
        <v>0</v>
      </c>
      <c r="W492" s="322" cm="1">
        <f t="array" ref="W492">IFERROR(VLOOKUP(Calculations[[#This Row],[Waste 1]],WasteScenario[#All],5,FALSE)*'Stage assumptions'!$C$226*WasteTransportMethod[Emissions Factor
kgCO2e/kg.km]*Calculations[[#This Row],[Total Kg]],0)</f>
        <v>0</v>
      </c>
      <c r="X492" s="322">
        <f>SUM(Calculations[[#This Row],[C2 Recycle]:[C2 Reuse]])</f>
        <v>0</v>
      </c>
      <c r="Y492" t="str">
        <f>IFERROR(VLOOKUP(Calculations[[#This Row],[Material (choose from dropdown]],MaterialData[#All],5,FALSE),"")</f>
        <v/>
      </c>
      <c r="Z492" s="322">
        <f>IFERROR(((VLOOKUP(Calculations[[#This Row],[Waste type 2]],WasteDisposalEmissions[#All],2,FALSE))*Calculations[[#This Row],[Total Kg]])*VLOOKUP(Calculations[[#This Row],[Waste 1]],WasteScenario[#All],2,FALSE),0)</f>
        <v>0</v>
      </c>
      <c r="AA492" s="322">
        <f>IFERROR((VLOOKUP(Calculations[[#This Row],[Waste type 2]],WasteDisposalEmissions[#All],3,FALSE))*Calculations[[#This Row],[Total Kg]]*VLOOKUP(Calculations[[#This Row],[Waste 1]],WasteScenario[#All],3,FALSE),0)</f>
        <v>0</v>
      </c>
      <c r="AB492" s="322">
        <f>SUM(Calculations[[#This Row],[C3 recyc]:[C3 incin]])</f>
        <v>0</v>
      </c>
      <c r="AC492" s="334">
        <f>IFERROR((VLOOKUP(Calculations[[#This Row],[Waste type 2]],WasteLandfillEmissions[#All],2,FALSE))*Calculations[[#This Row],[Total Kg]]*VLOOKUP(Calculations[[#This Row],[Waste 1]],WasteScenario[#All],4,FALSE),0)</f>
        <v>0</v>
      </c>
      <c r="AD492" s="322">
        <f>IFERROR((VLOOKUP(Calculations[[#This Row],[Waste type 2]],WasteLandfillEmissions[#All],3,FALSE))*Calculations[[#This Row],[Total Kg]]*VLOOKUP(Calculations[[#This Row],[Waste 1]],WasteScenario[#All],4,FALSE),0)</f>
        <v>0</v>
      </c>
      <c r="AE492" s="322">
        <f>SUM(Calculations[[#This Row],[C4 landfill]:[C4 re-use]])</f>
        <v>0</v>
      </c>
      <c r="AF492" s="322">
        <f>IFERROR(VLOOKUP(Calculations[[#This Row],[Material (choose from dropdown]],MaterialData[#All],8,FALSE),0)</f>
        <v>0</v>
      </c>
      <c r="AG492" s="322">
        <f>IFERROR(Calculations[[#This Row],[Total Kg]]*Calculations[[#This Row],[Seq factor]],0)</f>
        <v>0</v>
      </c>
      <c r="AI492" s="322">
        <f>Calculations[[#This Row],[A1-3]]+Calculations[[#This Row],[A4]]+Calculations[[#This Row],[A5]]+Calculations[[#This Row],[B4]]+Calculations[[#This Row],[C2 total]]+Calculations[[#This Row],[C3 total]]+Calculations[[#This Row],[C4 total]]</f>
        <v>0</v>
      </c>
      <c r="AJ492" s="2">
        <f>IFERROR(VLOOKUP(Calculations[[#This Row],[Material (choose from dropdown]],MaterialData[[#Headers],[#Data]],9,FALSE),0)</f>
        <v>0</v>
      </c>
      <c r="AK492" s="4">
        <f>IFERROR(VLOOKUP(Calculations[[#This Row],[Material (choose from dropdown]],MaterialData[[#Headers],[#Data]],10,FALSE),0)</f>
        <v>0</v>
      </c>
      <c r="AL492" s="322">
        <f>IFERROR(Calculations[[#This Row],[Data Quality Score]]*Calculations[[#This Row],[Total Kg]],0)</f>
        <v>0</v>
      </c>
    </row>
    <row r="493" spans="1:38" x14ac:dyDescent="0.3">
      <c r="A493" s="6">
        <f>IFERROR(MaterialsBoQ[[#This Row],[Scope Element]],0)</f>
        <v>0</v>
      </c>
      <c r="B493" t="str">
        <f>IFERROR(MaterialsBoQ[[#This Row],[Material ]],"")</f>
        <v/>
      </c>
      <c r="C493" t="str">
        <f>IFERROR(MaterialsBoQ[[#This Row],[Unit]],"")</f>
        <v/>
      </c>
      <c r="D493" s="322">
        <f>IFERROR(MaterialsBoQ[[#This Row],[Number]],0)</f>
        <v>0</v>
      </c>
      <c r="E493" s="322">
        <f>IFERROR(MaterialsBoQ[[#This Row],[Kg per unit]],0)</f>
        <v>0</v>
      </c>
      <c r="F493" s="322">
        <f>IFERROR(Calculations[[#This Row],[Number]]*Calculations[[#This Row],[Conversion factor]],0)</f>
        <v>0</v>
      </c>
      <c r="G493" s="322">
        <f>IFERROR(VLOOKUP(Calculations[[#This Row],[Material (choose from dropdown]],MaterialData[#All],7,FALSE),0)</f>
        <v>0</v>
      </c>
      <c r="H493" s="322">
        <f>Calculations[[#This Row],[Total Kg]]*Calculations[[#This Row],[Carbon Factor]]</f>
        <v>0</v>
      </c>
      <c r="I493" t="str">
        <f>IFERROR(VLOOKUP(Calculations[[#This Row],[Material (choose from dropdown]],MaterialData[#All],2,FALSE),"")</f>
        <v/>
      </c>
      <c r="J493" s="322">
        <f>IFERROR(((VLOOKUP(Calculations[[#This Row],[TransportSource]],TransportDistance[],2,FALSE)*'Stage assumptions'!$C$11)+VLOOKUP(Calculations[[#This Row],[TransportSource]],TransportDistance[],3,FALSE)*'Stage assumptions'!$C$12)*Calculations[[#This Row],[Total Kg]],0)</f>
        <v>0</v>
      </c>
      <c r="K493">
        <f>IFERROR(VLOOKUP(Calculations[[#This Row],[Material (choose from dropdown]], MaterialData[#All],3, FALSE),0)</f>
        <v>0</v>
      </c>
      <c r="L493" s="322">
        <f>IFERROR(VLOOKUP(Calculations[[#This Row],[A5type]],A5WastageRate[#All],2,FALSE)*Calculations[[#This Row],[A1-3]],0)</f>
        <v>0</v>
      </c>
      <c r="N493">
        <f>IFERROR(ROUNDUP(50/VLOOKUP(Calculations[[#This Row],[Scope Element]],B4referenceServiceLife[[Tier 2 element]:[Default Service Life]],2, FALSE)-1,0),0)</f>
        <v>0</v>
      </c>
      <c r="O493" s="322">
        <f>IFERROR((Calculations[[#This Row],[A1-3]]+Calculations[[#This Row],[A4]]+Calculations[[#This Row],[A5]]+Calculations[[#This Row],[C2 total]]+Calculations[[#This Row],[C3 total]]+Calculations[[#This Row],[C4 total]])*Calculations[[#This Row],[Replacements]],0)</f>
        <v>0</v>
      </c>
      <c r="S493" t="str">
        <f>IFERROR(VLOOKUP(Calculations[[#This Row],[Material (choose from dropdown]],MaterialData[#All],4,FALSE),"")</f>
        <v/>
      </c>
      <c r="T493" s="322" cm="1">
        <f t="array" ref="T493">IFERROR(VLOOKUP(Calculations[[#This Row],[Waste 1]],WasteScenario[#All],2,FALSE)*'Stage assumptions'!$C$225*WasteTransportMethod[Emissions Factor
kgCO2e/kg.km]*Calculations[[#This Row],[Total Kg]],0)</f>
        <v>0</v>
      </c>
      <c r="U493" s="322" cm="1">
        <f t="array" ref="U493">IFERROR(VLOOKUP(Calculations[[#This Row],[Waste 1]],WasteScenario[#All],3,FALSE)*'Stage assumptions'!$C$224*WasteTransportMethod[Emissions Factor
kgCO2e/kg.km]*Calculations[[#This Row],[Total Kg]],0)</f>
        <v>0</v>
      </c>
      <c r="V493" s="322" cm="1">
        <f t="array" ref="V493">IFERROR(VLOOKUP(Calculations[[#This Row],[Waste 1]],WasteScenario[#All],4,FALSE)*'Stage assumptions'!$C$223*WasteTransportMethod[Emissions Factor
kgCO2e/kg.km]*Calculations[[#This Row],[Total Kg]],0)</f>
        <v>0</v>
      </c>
      <c r="W493" s="322" cm="1">
        <f t="array" ref="W493">IFERROR(VLOOKUP(Calculations[[#This Row],[Waste 1]],WasteScenario[#All],5,FALSE)*'Stage assumptions'!$C$226*WasteTransportMethod[Emissions Factor
kgCO2e/kg.km]*Calculations[[#This Row],[Total Kg]],0)</f>
        <v>0</v>
      </c>
      <c r="X493" s="322">
        <f>SUM(Calculations[[#This Row],[C2 Recycle]:[C2 Reuse]])</f>
        <v>0</v>
      </c>
      <c r="Y493" t="str">
        <f>IFERROR(VLOOKUP(Calculations[[#This Row],[Material (choose from dropdown]],MaterialData[#All],5,FALSE),"")</f>
        <v/>
      </c>
      <c r="Z493" s="322">
        <f>IFERROR(((VLOOKUP(Calculations[[#This Row],[Waste type 2]],WasteDisposalEmissions[#All],2,FALSE))*Calculations[[#This Row],[Total Kg]])*VLOOKUP(Calculations[[#This Row],[Waste 1]],WasteScenario[#All],2,FALSE),0)</f>
        <v>0</v>
      </c>
      <c r="AA493" s="322">
        <f>IFERROR((VLOOKUP(Calculations[[#This Row],[Waste type 2]],WasteDisposalEmissions[#All],3,FALSE))*Calculations[[#This Row],[Total Kg]]*VLOOKUP(Calculations[[#This Row],[Waste 1]],WasteScenario[#All],3,FALSE),0)</f>
        <v>0</v>
      </c>
      <c r="AB493" s="322">
        <f>SUM(Calculations[[#This Row],[C3 recyc]:[C3 incin]])</f>
        <v>0</v>
      </c>
      <c r="AC493" s="334">
        <f>IFERROR((VLOOKUP(Calculations[[#This Row],[Waste type 2]],WasteLandfillEmissions[#All],2,FALSE))*Calculations[[#This Row],[Total Kg]]*VLOOKUP(Calculations[[#This Row],[Waste 1]],WasteScenario[#All],4,FALSE),0)</f>
        <v>0</v>
      </c>
      <c r="AD493" s="322">
        <f>IFERROR((VLOOKUP(Calculations[[#This Row],[Waste type 2]],WasteLandfillEmissions[#All],3,FALSE))*Calculations[[#This Row],[Total Kg]]*VLOOKUP(Calculations[[#This Row],[Waste 1]],WasteScenario[#All],4,FALSE),0)</f>
        <v>0</v>
      </c>
      <c r="AE493" s="322">
        <f>SUM(Calculations[[#This Row],[C4 landfill]:[C4 re-use]])</f>
        <v>0</v>
      </c>
      <c r="AF493" s="322">
        <f>IFERROR(VLOOKUP(Calculations[[#This Row],[Material (choose from dropdown]],MaterialData[#All],8,FALSE),0)</f>
        <v>0</v>
      </c>
      <c r="AG493" s="322">
        <f>IFERROR(Calculations[[#This Row],[Total Kg]]*Calculations[[#This Row],[Seq factor]],0)</f>
        <v>0</v>
      </c>
      <c r="AI493" s="322">
        <f>Calculations[[#This Row],[A1-3]]+Calculations[[#This Row],[A4]]+Calculations[[#This Row],[A5]]+Calculations[[#This Row],[B4]]+Calculations[[#This Row],[C2 total]]+Calculations[[#This Row],[C3 total]]+Calculations[[#This Row],[C4 total]]</f>
        <v>0</v>
      </c>
      <c r="AJ493" s="2">
        <f>IFERROR(VLOOKUP(Calculations[[#This Row],[Material (choose from dropdown]],MaterialData[[#Headers],[#Data]],9,FALSE),0)</f>
        <v>0</v>
      </c>
      <c r="AK493" s="4">
        <f>IFERROR(VLOOKUP(Calculations[[#This Row],[Material (choose from dropdown]],MaterialData[[#Headers],[#Data]],10,FALSE),0)</f>
        <v>0</v>
      </c>
      <c r="AL493" s="322">
        <f>IFERROR(Calculations[[#This Row],[Data Quality Score]]*Calculations[[#This Row],[Total Kg]],0)</f>
        <v>0</v>
      </c>
    </row>
    <row r="494" spans="1:38" x14ac:dyDescent="0.3">
      <c r="A494" s="6">
        <f>IFERROR(MaterialsBoQ[[#This Row],[Scope Element]],0)</f>
        <v>0</v>
      </c>
      <c r="B494" t="str">
        <f>IFERROR(MaterialsBoQ[[#This Row],[Material ]],"")</f>
        <v/>
      </c>
      <c r="C494" t="str">
        <f>IFERROR(MaterialsBoQ[[#This Row],[Unit]],"")</f>
        <v/>
      </c>
      <c r="D494" s="322">
        <f>IFERROR(MaterialsBoQ[[#This Row],[Number]],0)</f>
        <v>0</v>
      </c>
      <c r="E494" s="322">
        <f>IFERROR(MaterialsBoQ[[#This Row],[Kg per unit]],0)</f>
        <v>0</v>
      </c>
      <c r="F494" s="322">
        <f>IFERROR(Calculations[[#This Row],[Number]]*Calculations[[#This Row],[Conversion factor]],0)</f>
        <v>0</v>
      </c>
      <c r="G494" s="322">
        <f>IFERROR(VLOOKUP(Calculations[[#This Row],[Material (choose from dropdown]],MaterialData[#All],7,FALSE),0)</f>
        <v>0</v>
      </c>
      <c r="H494" s="322">
        <f>Calculations[[#This Row],[Total Kg]]*Calculations[[#This Row],[Carbon Factor]]</f>
        <v>0</v>
      </c>
      <c r="I494" t="str">
        <f>IFERROR(VLOOKUP(Calculations[[#This Row],[Material (choose from dropdown]],MaterialData[#All],2,FALSE),"")</f>
        <v/>
      </c>
      <c r="J494" s="322">
        <f>IFERROR(((VLOOKUP(Calculations[[#This Row],[TransportSource]],TransportDistance[],2,FALSE)*'Stage assumptions'!$C$11)+VLOOKUP(Calculations[[#This Row],[TransportSource]],TransportDistance[],3,FALSE)*'Stage assumptions'!$C$12)*Calculations[[#This Row],[Total Kg]],0)</f>
        <v>0</v>
      </c>
      <c r="K494">
        <f>IFERROR(VLOOKUP(Calculations[[#This Row],[Material (choose from dropdown]], MaterialData[#All],3, FALSE),0)</f>
        <v>0</v>
      </c>
      <c r="L494" s="322">
        <f>IFERROR(VLOOKUP(Calculations[[#This Row],[A5type]],A5WastageRate[#All],2,FALSE)*Calculations[[#This Row],[A1-3]],0)</f>
        <v>0</v>
      </c>
      <c r="N494">
        <f>IFERROR(ROUNDUP(50/VLOOKUP(Calculations[[#This Row],[Scope Element]],B4referenceServiceLife[[Tier 2 element]:[Default Service Life]],2, FALSE)-1,0),0)</f>
        <v>0</v>
      </c>
      <c r="O494" s="322">
        <f>IFERROR((Calculations[[#This Row],[A1-3]]+Calculations[[#This Row],[A4]]+Calculations[[#This Row],[A5]]+Calculations[[#This Row],[C2 total]]+Calculations[[#This Row],[C3 total]]+Calculations[[#This Row],[C4 total]])*Calculations[[#This Row],[Replacements]],0)</f>
        <v>0</v>
      </c>
      <c r="S494" t="str">
        <f>IFERROR(VLOOKUP(Calculations[[#This Row],[Material (choose from dropdown]],MaterialData[#All],4,FALSE),"")</f>
        <v/>
      </c>
      <c r="T494" s="322" cm="1">
        <f t="array" ref="T494">IFERROR(VLOOKUP(Calculations[[#This Row],[Waste 1]],WasteScenario[#All],2,FALSE)*'Stage assumptions'!$C$225*WasteTransportMethod[Emissions Factor
kgCO2e/kg.km]*Calculations[[#This Row],[Total Kg]],0)</f>
        <v>0</v>
      </c>
      <c r="U494" s="322" cm="1">
        <f t="array" ref="U494">IFERROR(VLOOKUP(Calculations[[#This Row],[Waste 1]],WasteScenario[#All],3,FALSE)*'Stage assumptions'!$C$224*WasteTransportMethod[Emissions Factor
kgCO2e/kg.km]*Calculations[[#This Row],[Total Kg]],0)</f>
        <v>0</v>
      </c>
      <c r="V494" s="322" cm="1">
        <f t="array" ref="V494">IFERROR(VLOOKUP(Calculations[[#This Row],[Waste 1]],WasteScenario[#All],4,FALSE)*'Stage assumptions'!$C$223*WasteTransportMethod[Emissions Factor
kgCO2e/kg.km]*Calculations[[#This Row],[Total Kg]],0)</f>
        <v>0</v>
      </c>
      <c r="W494" s="322" cm="1">
        <f t="array" ref="W494">IFERROR(VLOOKUP(Calculations[[#This Row],[Waste 1]],WasteScenario[#All],5,FALSE)*'Stage assumptions'!$C$226*WasteTransportMethod[Emissions Factor
kgCO2e/kg.km]*Calculations[[#This Row],[Total Kg]],0)</f>
        <v>0</v>
      </c>
      <c r="X494" s="322">
        <f>SUM(Calculations[[#This Row],[C2 Recycle]:[C2 Reuse]])</f>
        <v>0</v>
      </c>
      <c r="Y494" t="str">
        <f>IFERROR(VLOOKUP(Calculations[[#This Row],[Material (choose from dropdown]],MaterialData[#All],5,FALSE),"")</f>
        <v/>
      </c>
      <c r="Z494" s="322">
        <f>IFERROR(((VLOOKUP(Calculations[[#This Row],[Waste type 2]],WasteDisposalEmissions[#All],2,FALSE))*Calculations[[#This Row],[Total Kg]])*VLOOKUP(Calculations[[#This Row],[Waste 1]],WasteScenario[#All],2,FALSE),0)</f>
        <v>0</v>
      </c>
      <c r="AA494" s="322">
        <f>IFERROR((VLOOKUP(Calculations[[#This Row],[Waste type 2]],WasteDisposalEmissions[#All],3,FALSE))*Calculations[[#This Row],[Total Kg]]*VLOOKUP(Calculations[[#This Row],[Waste 1]],WasteScenario[#All],3,FALSE),0)</f>
        <v>0</v>
      </c>
      <c r="AB494" s="322">
        <f>SUM(Calculations[[#This Row],[C3 recyc]:[C3 incin]])</f>
        <v>0</v>
      </c>
      <c r="AC494" s="334">
        <f>IFERROR((VLOOKUP(Calculations[[#This Row],[Waste type 2]],WasteLandfillEmissions[#All],2,FALSE))*Calculations[[#This Row],[Total Kg]]*VLOOKUP(Calculations[[#This Row],[Waste 1]],WasteScenario[#All],4,FALSE),0)</f>
        <v>0</v>
      </c>
      <c r="AD494" s="322">
        <f>IFERROR((VLOOKUP(Calculations[[#This Row],[Waste type 2]],WasteLandfillEmissions[#All],3,FALSE))*Calculations[[#This Row],[Total Kg]]*VLOOKUP(Calculations[[#This Row],[Waste 1]],WasteScenario[#All],4,FALSE),0)</f>
        <v>0</v>
      </c>
      <c r="AE494" s="322">
        <f>SUM(Calculations[[#This Row],[C4 landfill]:[C4 re-use]])</f>
        <v>0</v>
      </c>
      <c r="AF494" s="322">
        <f>IFERROR(VLOOKUP(Calculations[[#This Row],[Material (choose from dropdown]],MaterialData[#All],8,FALSE),0)</f>
        <v>0</v>
      </c>
      <c r="AG494" s="322">
        <f>IFERROR(Calculations[[#This Row],[Total Kg]]*Calculations[[#This Row],[Seq factor]],0)</f>
        <v>0</v>
      </c>
      <c r="AI494" s="322">
        <f>Calculations[[#This Row],[A1-3]]+Calculations[[#This Row],[A4]]+Calculations[[#This Row],[A5]]+Calculations[[#This Row],[B4]]+Calculations[[#This Row],[C2 total]]+Calculations[[#This Row],[C3 total]]+Calculations[[#This Row],[C4 total]]</f>
        <v>0</v>
      </c>
      <c r="AJ494" s="2">
        <f>IFERROR(VLOOKUP(Calculations[[#This Row],[Material (choose from dropdown]],MaterialData[[#Headers],[#Data]],9,FALSE),0)</f>
        <v>0</v>
      </c>
      <c r="AK494" s="4">
        <f>IFERROR(VLOOKUP(Calculations[[#This Row],[Material (choose from dropdown]],MaterialData[[#Headers],[#Data]],10,FALSE),0)</f>
        <v>0</v>
      </c>
      <c r="AL494" s="322">
        <f>IFERROR(Calculations[[#This Row],[Data Quality Score]]*Calculations[[#This Row],[Total Kg]],0)</f>
        <v>0</v>
      </c>
    </row>
    <row r="495" spans="1:38" x14ac:dyDescent="0.3">
      <c r="A495" s="6">
        <f>IFERROR(MaterialsBoQ[[#This Row],[Scope Element]],0)</f>
        <v>0</v>
      </c>
      <c r="B495" t="str">
        <f>IFERROR(MaterialsBoQ[[#This Row],[Material ]],"")</f>
        <v/>
      </c>
      <c r="C495" t="str">
        <f>IFERROR(MaterialsBoQ[[#This Row],[Unit]],"")</f>
        <v/>
      </c>
      <c r="D495" s="322">
        <f>IFERROR(MaterialsBoQ[[#This Row],[Number]],0)</f>
        <v>0</v>
      </c>
      <c r="E495" s="322">
        <f>IFERROR(MaterialsBoQ[[#This Row],[Kg per unit]],0)</f>
        <v>0</v>
      </c>
      <c r="F495" s="322">
        <f>IFERROR(Calculations[[#This Row],[Number]]*Calculations[[#This Row],[Conversion factor]],0)</f>
        <v>0</v>
      </c>
      <c r="G495" s="322">
        <f>IFERROR(VLOOKUP(Calculations[[#This Row],[Material (choose from dropdown]],MaterialData[#All],7,FALSE),0)</f>
        <v>0</v>
      </c>
      <c r="H495" s="322">
        <f>Calculations[[#This Row],[Total Kg]]*Calculations[[#This Row],[Carbon Factor]]</f>
        <v>0</v>
      </c>
      <c r="I495" t="str">
        <f>IFERROR(VLOOKUP(Calculations[[#This Row],[Material (choose from dropdown]],MaterialData[#All],2,FALSE),"")</f>
        <v/>
      </c>
      <c r="J495" s="322">
        <f>IFERROR(((VLOOKUP(Calculations[[#This Row],[TransportSource]],TransportDistance[],2,FALSE)*'Stage assumptions'!$C$11)+VLOOKUP(Calculations[[#This Row],[TransportSource]],TransportDistance[],3,FALSE)*'Stage assumptions'!$C$12)*Calculations[[#This Row],[Total Kg]],0)</f>
        <v>0</v>
      </c>
      <c r="K495">
        <f>IFERROR(VLOOKUP(Calculations[[#This Row],[Material (choose from dropdown]], MaterialData[#All],3, FALSE),0)</f>
        <v>0</v>
      </c>
      <c r="L495" s="322">
        <f>IFERROR(VLOOKUP(Calculations[[#This Row],[A5type]],A5WastageRate[#All],2,FALSE)*Calculations[[#This Row],[A1-3]],0)</f>
        <v>0</v>
      </c>
      <c r="N495">
        <f>IFERROR(ROUNDUP(50/VLOOKUP(Calculations[[#This Row],[Scope Element]],B4referenceServiceLife[[Tier 2 element]:[Default Service Life]],2, FALSE)-1,0),0)</f>
        <v>0</v>
      </c>
      <c r="O495" s="322">
        <f>IFERROR((Calculations[[#This Row],[A1-3]]+Calculations[[#This Row],[A4]]+Calculations[[#This Row],[A5]]+Calculations[[#This Row],[C2 total]]+Calculations[[#This Row],[C3 total]]+Calculations[[#This Row],[C4 total]])*Calculations[[#This Row],[Replacements]],0)</f>
        <v>0</v>
      </c>
      <c r="S495" t="str">
        <f>IFERROR(VLOOKUP(Calculations[[#This Row],[Material (choose from dropdown]],MaterialData[#All],4,FALSE),"")</f>
        <v/>
      </c>
      <c r="T495" s="322" cm="1">
        <f t="array" ref="T495">IFERROR(VLOOKUP(Calculations[[#This Row],[Waste 1]],WasteScenario[#All],2,FALSE)*'Stage assumptions'!$C$225*WasteTransportMethod[Emissions Factor
kgCO2e/kg.km]*Calculations[[#This Row],[Total Kg]],0)</f>
        <v>0</v>
      </c>
      <c r="U495" s="322" cm="1">
        <f t="array" ref="U495">IFERROR(VLOOKUP(Calculations[[#This Row],[Waste 1]],WasteScenario[#All],3,FALSE)*'Stage assumptions'!$C$224*WasteTransportMethod[Emissions Factor
kgCO2e/kg.km]*Calculations[[#This Row],[Total Kg]],0)</f>
        <v>0</v>
      </c>
      <c r="V495" s="322" cm="1">
        <f t="array" ref="V495">IFERROR(VLOOKUP(Calculations[[#This Row],[Waste 1]],WasteScenario[#All],4,FALSE)*'Stage assumptions'!$C$223*WasteTransportMethod[Emissions Factor
kgCO2e/kg.km]*Calculations[[#This Row],[Total Kg]],0)</f>
        <v>0</v>
      </c>
      <c r="W495" s="322" cm="1">
        <f t="array" ref="W495">IFERROR(VLOOKUP(Calculations[[#This Row],[Waste 1]],WasteScenario[#All],5,FALSE)*'Stage assumptions'!$C$226*WasteTransportMethod[Emissions Factor
kgCO2e/kg.km]*Calculations[[#This Row],[Total Kg]],0)</f>
        <v>0</v>
      </c>
      <c r="X495" s="322">
        <f>SUM(Calculations[[#This Row],[C2 Recycle]:[C2 Reuse]])</f>
        <v>0</v>
      </c>
      <c r="Y495" t="str">
        <f>IFERROR(VLOOKUP(Calculations[[#This Row],[Material (choose from dropdown]],MaterialData[#All],5,FALSE),"")</f>
        <v/>
      </c>
      <c r="Z495" s="322">
        <f>IFERROR(((VLOOKUP(Calculations[[#This Row],[Waste type 2]],WasteDisposalEmissions[#All],2,FALSE))*Calculations[[#This Row],[Total Kg]])*VLOOKUP(Calculations[[#This Row],[Waste 1]],WasteScenario[#All],2,FALSE),0)</f>
        <v>0</v>
      </c>
      <c r="AA495" s="322">
        <f>IFERROR((VLOOKUP(Calculations[[#This Row],[Waste type 2]],WasteDisposalEmissions[#All],3,FALSE))*Calculations[[#This Row],[Total Kg]]*VLOOKUP(Calculations[[#This Row],[Waste 1]],WasteScenario[#All],3,FALSE),0)</f>
        <v>0</v>
      </c>
      <c r="AB495" s="322">
        <f>SUM(Calculations[[#This Row],[C3 recyc]:[C3 incin]])</f>
        <v>0</v>
      </c>
      <c r="AC495" s="334">
        <f>IFERROR((VLOOKUP(Calculations[[#This Row],[Waste type 2]],WasteLandfillEmissions[#All],2,FALSE))*Calculations[[#This Row],[Total Kg]]*VLOOKUP(Calculations[[#This Row],[Waste 1]],WasteScenario[#All],4,FALSE),0)</f>
        <v>0</v>
      </c>
      <c r="AD495" s="322">
        <f>IFERROR((VLOOKUP(Calculations[[#This Row],[Waste type 2]],WasteLandfillEmissions[#All],3,FALSE))*Calculations[[#This Row],[Total Kg]]*VLOOKUP(Calculations[[#This Row],[Waste 1]],WasteScenario[#All],4,FALSE),0)</f>
        <v>0</v>
      </c>
      <c r="AE495" s="322">
        <f>SUM(Calculations[[#This Row],[C4 landfill]:[C4 re-use]])</f>
        <v>0</v>
      </c>
      <c r="AF495" s="322">
        <f>IFERROR(VLOOKUP(Calculations[[#This Row],[Material (choose from dropdown]],MaterialData[#All],8,FALSE),0)</f>
        <v>0</v>
      </c>
      <c r="AG495" s="322">
        <f>IFERROR(Calculations[[#This Row],[Total Kg]]*Calculations[[#This Row],[Seq factor]],0)</f>
        <v>0</v>
      </c>
      <c r="AI495" s="322">
        <f>Calculations[[#This Row],[A1-3]]+Calculations[[#This Row],[A4]]+Calculations[[#This Row],[A5]]+Calculations[[#This Row],[B4]]+Calculations[[#This Row],[C2 total]]+Calculations[[#This Row],[C3 total]]+Calculations[[#This Row],[C4 total]]</f>
        <v>0</v>
      </c>
      <c r="AJ495" s="2">
        <f>IFERROR(VLOOKUP(Calculations[[#This Row],[Material (choose from dropdown]],MaterialData[[#Headers],[#Data]],9,FALSE),0)</f>
        <v>0</v>
      </c>
      <c r="AK495" s="4">
        <f>IFERROR(VLOOKUP(Calculations[[#This Row],[Material (choose from dropdown]],MaterialData[[#Headers],[#Data]],10,FALSE),0)</f>
        <v>0</v>
      </c>
      <c r="AL495" s="322">
        <f>IFERROR(Calculations[[#This Row],[Data Quality Score]]*Calculations[[#This Row],[Total Kg]],0)</f>
        <v>0</v>
      </c>
    </row>
    <row r="496" spans="1:38" x14ac:dyDescent="0.3">
      <c r="A496" s="6">
        <f>IFERROR(MaterialsBoQ[[#This Row],[Scope Element]],0)</f>
        <v>0</v>
      </c>
      <c r="B496" t="str">
        <f>IFERROR(MaterialsBoQ[[#This Row],[Material ]],"")</f>
        <v/>
      </c>
      <c r="C496" t="str">
        <f>IFERROR(MaterialsBoQ[[#This Row],[Unit]],"")</f>
        <v/>
      </c>
      <c r="D496" s="322">
        <f>IFERROR(MaterialsBoQ[[#This Row],[Number]],0)</f>
        <v>0</v>
      </c>
      <c r="E496" s="322">
        <f>IFERROR(MaterialsBoQ[[#This Row],[Kg per unit]],0)</f>
        <v>0</v>
      </c>
      <c r="F496" s="322">
        <f>IFERROR(Calculations[[#This Row],[Number]]*Calculations[[#This Row],[Conversion factor]],0)</f>
        <v>0</v>
      </c>
      <c r="G496" s="322">
        <f>IFERROR(VLOOKUP(Calculations[[#This Row],[Material (choose from dropdown]],MaterialData[#All],7,FALSE),0)</f>
        <v>0</v>
      </c>
      <c r="H496" s="322">
        <f>Calculations[[#This Row],[Total Kg]]*Calculations[[#This Row],[Carbon Factor]]</f>
        <v>0</v>
      </c>
      <c r="I496" t="str">
        <f>IFERROR(VLOOKUP(Calculations[[#This Row],[Material (choose from dropdown]],MaterialData[#All],2,FALSE),"")</f>
        <v/>
      </c>
      <c r="J496" s="322">
        <f>IFERROR(((VLOOKUP(Calculations[[#This Row],[TransportSource]],TransportDistance[],2,FALSE)*'Stage assumptions'!$C$11)+VLOOKUP(Calculations[[#This Row],[TransportSource]],TransportDistance[],3,FALSE)*'Stage assumptions'!$C$12)*Calculations[[#This Row],[Total Kg]],0)</f>
        <v>0</v>
      </c>
      <c r="K496">
        <f>IFERROR(VLOOKUP(Calculations[[#This Row],[Material (choose from dropdown]], MaterialData[#All],3, FALSE),0)</f>
        <v>0</v>
      </c>
      <c r="L496" s="322">
        <f>IFERROR(VLOOKUP(Calculations[[#This Row],[A5type]],A5WastageRate[#All],2,FALSE)*Calculations[[#This Row],[A1-3]],0)</f>
        <v>0</v>
      </c>
      <c r="N496">
        <f>IFERROR(ROUNDUP(50/VLOOKUP(Calculations[[#This Row],[Scope Element]],B4referenceServiceLife[[Tier 2 element]:[Default Service Life]],2, FALSE)-1,0),0)</f>
        <v>0</v>
      </c>
      <c r="O496" s="322">
        <f>IFERROR((Calculations[[#This Row],[A1-3]]+Calculations[[#This Row],[A4]]+Calculations[[#This Row],[A5]]+Calculations[[#This Row],[C2 total]]+Calculations[[#This Row],[C3 total]]+Calculations[[#This Row],[C4 total]])*Calculations[[#This Row],[Replacements]],0)</f>
        <v>0</v>
      </c>
      <c r="S496" t="str">
        <f>IFERROR(VLOOKUP(Calculations[[#This Row],[Material (choose from dropdown]],MaterialData[#All],4,FALSE),"")</f>
        <v/>
      </c>
      <c r="T496" s="322" cm="1">
        <f t="array" ref="T496">IFERROR(VLOOKUP(Calculations[[#This Row],[Waste 1]],WasteScenario[#All],2,FALSE)*'Stage assumptions'!$C$225*WasteTransportMethod[Emissions Factor
kgCO2e/kg.km]*Calculations[[#This Row],[Total Kg]],0)</f>
        <v>0</v>
      </c>
      <c r="U496" s="322" cm="1">
        <f t="array" ref="U496">IFERROR(VLOOKUP(Calculations[[#This Row],[Waste 1]],WasteScenario[#All],3,FALSE)*'Stage assumptions'!$C$224*WasteTransportMethod[Emissions Factor
kgCO2e/kg.km]*Calculations[[#This Row],[Total Kg]],0)</f>
        <v>0</v>
      </c>
      <c r="V496" s="322" cm="1">
        <f t="array" ref="V496">IFERROR(VLOOKUP(Calculations[[#This Row],[Waste 1]],WasteScenario[#All],4,FALSE)*'Stage assumptions'!$C$223*WasteTransportMethod[Emissions Factor
kgCO2e/kg.km]*Calculations[[#This Row],[Total Kg]],0)</f>
        <v>0</v>
      </c>
      <c r="W496" s="322" cm="1">
        <f t="array" ref="W496">IFERROR(VLOOKUP(Calculations[[#This Row],[Waste 1]],WasteScenario[#All],5,FALSE)*'Stage assumptions'!$C$226*WasteTransportMethod[Emissions Factor
kgCO2e/kg.km]*Calculations[[#This Row],[Total Kg]],0)</f>
        <v>0</v>
      </c>
      <c r="X496" s="322">
        <f>SUM(Calculations[[#This Row],[C2 Recycle]:[C2 Reuse]])</f>
        <v>0</v>
      </c>
      <c r="Y496" t="str">
        <f>IFERROR(VLOOKUP(Calculations[[#This Row],[Material (choose from dropdown]],MaterialData[#All],5,FALSE),"")</f>
        <v/>
      </c>
      <c r="Z496" s="322">
        <f>IFERROR(((VLOOKUP(Calculations[[#This Row],[Waste type 2]],WasteDisposalEmissions[#All],2,FALSE))*Calculations[[#This Row],[Total Kg]])*VLOOKUP(Calculations[[#This Row],[Waste 1]],WasteScenario[#All],2,FALSE),0)</f>
        <v>0</v>
      </c>
      <c r="AA496" s="322">
        <f>IFERROR((VLOOKUP(Calculations[[#This Row],[Waste type 2]],WasteDisposalEmissions[#All],3,FALSE))*Calculations[[#This Row],[Total Kg]]*VLOOKUP(Calculations[[#This Row],[Waste 1]],WasteScenario[#All],3,FALSE),0)</f>
        <v>0</v>
      </c>
      <c r="AB496" s="322">
        <f>SUM(Calculations[[#This Row],[C3 recyc]:[C3 incin]])</f>
        <v>0</v>
      </c>
      <c r="AC496" s="334">
        <f>IFERROR((VLOOKUP(Calculations[[#This Row],[Waste type 2]],WasteLandfillEmissions[#All],2,FALSE))*Calculations[[#This Row],[Total Kg]]*VLOOKUP(Calculations[[#This Row],[Waste 1]],WasteScenario[#All],4,FALSE),0)</f>
        <v>0</v>
      </c>
      <c r="AD496" s="322">
        <f>IFERROR((VLOOKUP(Calculations[[#This Row],[Waste type 2]],WasteLandfillEmissions[#All],3,FALSE))*Calculations[[#This Row],[Total Kg]]*VLOOKUP(Calculations[[#This Row],[Waste 1]],WasteScenario[#All],4,FALSE),0)</f>
        <v>0</v>
      </c>
      <c r="AE496" s="322">
        <f>SUM(Calculations[[#This Row],[C4 landfill]:[C4 re-use]])</f>
        <v>0</v>
      </c>
      <c r="AF496" s="322">
        <f>IFERROR(VLOOKUP(Calculations[[#This Row],[Material (choose from dropdown]],MaterialData[#All],8,FALSE),0)</f>
        <v>0</v>
      </c>
      <c r="AG496" s="322">
        <f>IFERROR(Calculations[[#This Row],[Total Kg]]*Calculations[[#This Row],[Seq factor]],0)</f>
        <v>0</v>
      </c>
      <c r="AI496" s="322">
        <f>Calculations[[#This Row],[A1-3]]+Calculations[[#This Row],[A4]]+Calculations[[#This Row],[A5]]+Calculations[[#This Row],[B4]]+Calculations[[#This Row],[C2 total]]+Calculations[[#This Row],[C3 total]]+Calculations[[#This Row],[C4 total]]</f>
        <v>0</v>
      </c>
      <c r="AJ496" s="2">
        <f>IFERROR(VLOOKUP(Calculations[[#This Row],[Material (choose from dropdown]],MaterialData[[#Headers],[#Data]],9,FALSE),0)</f>
        <v>0</v>
      </c>
      <c r="AK496" s="4">
        <f>IFERROR(VLOOKUP(Calculations[[#This Row],[Material (choose from dropdown]],MaterialData[[#Headers],[#Data]],10,FALSE),0)</f>
        <v>0</v>
      </c>
      <c r="AL496" s="322">
        <f>IFERROR(Calculations[[#This Row],[Data Quality Score]]*Calculations[[#This Row],[Total Kg]],0)</f>
        <v>0</v>
      </c>
    </row>
    <row r="497" spans="1:38" x14ac:dyDescent="0.3">
      <c r="A497" s="6">
        <f>IFERROR(MaterialsBoQ[[#This Row],[Scope Element]],0)</f>
        <v>0</v>
      </c>
      <c r="B497" t="str">
        <f>IFERROR(MaterialsBoQ[[#This Row],[Material ]],"")</f>
        <v/>
      </c>
      <c r="C497" t="str">
        <f>IFERROR(MaterialsBoQ[[#This Row],[Unit]],"")</f>
        <v/>
      </c>
      <c r="D497" s="322">
        <f>IFERROR(MaterialsBoQ[[#This Row],[Number]],0)</f>
        <v>0</v>
      </c>
      <c r="E497" s="322">
        <f>IFERROR(MaterialsBoQ[[#This Row],[Kg per unit]],0)</f>
        <v>0</v>
      </c>
      <c r="F497" s="322">
        <f>IFERROR(Calculations[[#This Row],[Number]]*Calculations[[#This Row],[Conversion factor]],0)</f>
        <v>0</v>
      </c>
      <c r="G497" s="322">
        <f>IFERROR(VLOOKUP(Calculations[[#This Row],[Material (choose from dropdown]],MaterialData[#All],7,FALSE),0)</f>
        <v>0</v>
      </c>
      <c r="H497" s="322">
        <f>Calculations[[#This Row],[Total Kg]]*Calculations[[#This Row],[Carbon Factor]]</f>
        <v>0</v>
      </c>
      <c r="I497" t="str">
        <f>IFERROR(VLOOKUP(Calculations[[#This Row],[Material (choose from dropdown]],MaterialData[#All],2,FALSE),"")</f>
        <v/>
      </c>
      <c r="J497" s="322">
        <f>IFERROR(((VLOOKUP(Calculations[[#This Row],[TransportSource]],TransportDistance[],2,FALSE)*'Stage assumptions'!$C$11)+VLOOKUP(Calculations[[#This Row],[TransportSource]],TransportDistance[],3,FALSE)*'Stage assumptions'!$C$12)*Calculations[[#This Row],[Total Kg]],0)</f>
        <v>0</v>
      </c>
      <c r="K497">
        <f>IFERROR(VLOOKUP(Calculations[[#This Row],[Material (choose from dropdown]], MaterialData[#All],3, FALSE),0)</f>
        <v>0</v>
      </c>
      <c r="L497" s="322">
        <f>IFERROR(VLOOKUP(Calculations[[#This Row],[A5type]],A5WastageRate[#All],2,FALSE)*Calculations[[#This Row],[A1-3]],0)</f>
        <v>0</v>
      </c>
      <c r="N497">
        <f>IFERROR(ROUNDUP(50/VLOOKUP(Calculations[[#This Row],[Scope Element]],B4referenceServiceLife[[Tier 2 element]:[Default Service Life]],2, FALSE)-1,0),0)</f>
        <v>0</v>
      </c>
      <c r="O497" s="322">
        <f>IFERROR((Calculations[[#This Row],[A1-3]]+Calculations[[#This Row],[A4]]+Calculations[[#This Row],[A5]]+Calculations[[#This Row],[C2 total]]+Calculations[[#This Row],[C3 total]]+Calculations[[#This Row],[C4 total]])*Calculations[[#This Row],[Replacements]],0)</f>
        <v>0</v>
      </c>
      <c r="S497" t="str">
        <f>IFERROR(VLOOKUP(Calculations[[#This Row],[Material (choose from dropdown]],MaterialData[#All],4,FALSE),"")</f>
        <v/>
      </c>
      <c r="T497" s="322" cm="1">
        <f t="array" ref="T497">IFERROR(VLOOKUP(Calculations[[#This Row],[Waste 1]],WasteScenario[#All],2,FALSE)*'Stage assumptions'!$C$225*WasteTransportMethod[Emissions Factor
kgCO2e/kg.km]*Calculations[[#This Row],[Total Kg]],0)</f>
        <v>0</v>
      </c>
      <c r="U497" s="322" cm="1">
        <f t="array" ref="U497">IFERROR(VLOOKUP(Calculations[[#This Row],[Waste 1]],WasteScenario[#All],3,FALSE)*'Stage assumptions'!$C$224*WasteTransportMethod[Emissions Factor
kgCO2e/kg.km]*Calculations[[#This Row],[Total Kg]],0)</f>
        <v>0</v>
      </c>
      <c r="V497" s="322" cm="1">
        <f t="array" ref="V497">IFERROR(VLOOKUP(Calculations[[#This Row],[Waste 1]],WasteScenario[#All],4,FALSE)*'Stage assumptions'!$C$223*WasteTransportMethod[Emissions Factor
kgCO2e/kg.km]*Calculations[[#This Row],[Total Kg]],0)</f>
        <v>0</v>
      </c>
      <c r="W497" s="322" cm="1">
        <f t="array" ref="W497">IFERROR(VLOOKUP(Calculations[[#This Row],[Waste 1]],WasteScenario[#All],5,FALSE)*'Stage assumptions'!$C$226*WasteTransportMethod[Emissions Factor
kgCO2e/kg.km]*Calculations[[#This Row],[Total Kg]],0)</f>
        <v>0</v>
      </c>
      <c r="X497" s="322">
        <f>SUM(Calculations[[#This Row],[C2 Recycle]:[C2 Reuse]])</f>
        <v>0</v>
      </c>
      <c r="Y497" t="str">
        <f>IFERROR(VLOOKUP(Calculations[[#This Row],[Material (choose from dropdown]],MaterialData[#All],5,FALSE),"")</f>
        <v/>
      </c>
      <c r="Z497" s="322">
        <f>IFERROR(((VLOOKUP(Calculations[[#This Row],[Waste type 2]],WasteDisposalEmissions[#All],2,FALSE))*Calculations[[#This Row],[Total Kg]])*VLOOKUP(Calculations[[#This Row],[Waste 1]],WasteScenario[#All],2,FALSE),0)</f>
        <v>0</v>
      </c>
      <c r="AA497" s="322">
        <f>IFERROR((VLOOKUP(Calculations[[#This Row],[Waste type 2]],WasteDisposalEmissions[#All],3,FALSE))*Calculations[[#This Row],[Total Kg]]*VLOOKUP(Calculations[[#This Row],[Waste 1]],WasteScenario[#All],3,FALSE),0)</f>
        <v>0</v>
      </c>
      <c r="AB497" s="322">
        <f>SUM(Calculations[[#This Row],[C3 recyc]:[C3 incin]])</f>
        <v>0</v>
      </c>
      <c r="AC497" s="334">
        <f>IFERROR((VLOOKUP(Calculations[[#This Row],[Waste type 2]],WasteLandfillEmissions[#All],2,FALSE))*Calculations[[#This Row],[Total Kg]]*VLOOKUP(Calculations[[#This Row],[Waste 1]],WasteScenario[#All],4,FALSE),0)</f>
        <v>0</v>
      </c>
      <c r="AD497" s="322">
        <f>IFERROR((VLOOKUP(Calculations[[#This Row],[Waste type 2]],WasteLandfillEmissions[#All],3,FALSE))*Calculations[[#This Row],[Total Kg]]*VLOOKUP(Calculations[[#This Row],[Waste 1]],WasteScenario[#All],4,FALSE),0)</f>
        <v>0</v>
      </c>
      <c r="AE497" s="322">
        <f>SUM(Calculations[[#This Row],[C4 landfill]:[C4 re-use]])</f>
        <v>0</v>
      </c>
      <c r="AF497" s="322">
        <f>IFERROR(VLOOKUP(Calculations[[#This Row],[Material (choose from dropdown]],MaterialData[#All],8,FALSE),0)</f>
        <v>0</v>
      </c>
      <c r="AG497" s="322">
        <f>IFERROR(Calculations[[#This Row],[Total Kg]]*Calculations[[#This Row],[Seq factor]],0)</f>
        <v>0</v>
      </c>
      <c r="AI497" s="322">
        <f>Calculations[[#This Row],[A1-3]]+Calculations[[#This Row],[A4]]+Calculations[[#This Row],[A5]]+Calculations[[#This Row],[B4]]+Calculations[[#This Row],[C2 total]]+Calculations[[#This Row],[C3 total]]+Calculations[[#This Row],[C4 total]]</f>
        <v>0</v>
      </c>
      <c r="AJ497" s="2">
        <f>IFERROR(VLOOKUP(Calculations[[#This Row],[Material (choose from dropdown]],MaterialData[[#Headers],[#Data]],9,FALSE),0)</f>
        <v>0</v>
      </c>
      <c r="AK497" s="4">
        <f>IFERROR(VLOOKUP(Calculations[[#This Row],[Material (choose from dropdown]],MaterialData[[#Headers],[#Data]],10,FALSE),0)</f>
        <v>0</v>
      </c>
      <c r="AL497" s="322">
        <f>IFERROR(Calculations[[#This Row],[Data Quality Score]]*Calculations[[#This Row],[Total Kg]],0)</f>
        <v>0</v>
      </c>
    </row>
    <row r="498" spans="1:38" x14ac:dyDescent="0.3">
      <c r="A498" s="6">
        <f>IFERROR(MaterialsBoQ[[#This Row],[Scope Element]],0)</f>
        <v>0</v>
      </c>
      <c r="B498" t="str">
        <f>IFERROR(MaterialsBoQ[[#This Row],[Material ]],"")</f>
        <v/>
      </c>
      <c r="C498" t="str">
        <f>IFERROR(MaterialsBoQ[[#This Row],[Unit]],"")</f>
        <v/>
      </c>
      <c r="D498" s="322">
        <f>IFERROR(MaterialsBoQ[[#This Row],[Number]],0)</f>
        <v>0</v>
      </c>
      <c r="E498" s="322">
        <f>IFERROR(MaterialsBoQ[[#This Row],[Kg per unit]],0)</f>
        <v>0</v>
      </c>
      <c r="F498" s="322">
        <f>IFERROR(Calculations[[#This Row],[Number]]*Calculations[[#This Row],[Conversion factor]],0)</f>
        <v>0</v>
      </c>
      <c r="G498" s="322">
        <f>IFERROR(VLOOKUP(Calculations[[#This Row],[Material (choose from dropdown]],MaterialData[#All],7,FALSE),0)</f>
        <v>0</v>
      </c>
      <c r="H498" s="322">
        <f>Calculations[[#This Row],[Total Kg]]*Calculations[[#This Row],[Carbon Factor]]</f>
        <v>0</v>
      </c>
      <c r="I498" t="str">
        <f>IFERROR(VLOOKUP(Calculations[[#This Row],[Material (choose from dropdown]],MaterialData[#All],2,FALSE),"")</f>
        <v/>
      </c>
      <c r="J498" s="322">
        <f>IFERROR(((VLOOKUP(Calculations[[#This Row],[TransportSource]],TransportDistance[],2,FALSE)*'Stage assumptions'!$C$11)+VLOOKUP(Calculations[[#This Row],[TransportSource]],TransportDistance[],3,FALSE)*'Stage assumptions'!$C$12)*Calculations[[#This Row],[Total Kg]],0)</f>
        <v>0</v>
      </c>
      <c r="K498">
        <f>IFERROR(VLOOKUP(Calculations[[#This Row],[Material (choose from dropdown]], MaterialData[#All],3, FALSE),0)</f>
        <v>0</v>
      </c>
      <c r="L498" s="322">
        <f>IFERROR(VLOOKUP(Calculations[[#This Row],[A5type]],A5WastageRate[#All],2,FALSE)*Calculations[[#This Row],[A1-3]],0)</f>
        <v>0</v>
      </c>
      <c r="N498">
        <f>IFERROR(ROUNDUP(50/VLOOKUP(Calculations[[#This Row],[Scope Element]],B4referenceServiceLife[[Tier 2 element]:[Default Service Life]],2, FALSE)-1,0),0)</f>
        <v>0</v>
      </c>
      <c r="O498" s="322">
        <f>IFERROR((Calculations[[#This Row],[A1-3]]+Calculations[[#This Row],[A4]]+Calculations[[#This Row],[A5]]+Calculations[[#This Row],[C2 total]]+Calculations[[#This Row],[C3 total]]+Calculations[[#This Row],[C4 total]])*Calculations[[#This Row],[Replacements]],0)</f>
        <v>0</v>
      </c>
      <c r="S498" t="str">
        <f>IFERROR(VLOOKUP(Calculations[[#This Row],[Material (choose from dropdown]],MaterialData[#All],4,FALSE),"")</f>
        <v/>
      </c>
      <c r="T498" s="322" cm="1">
        <f t="array" ref="T498">IFERROR(VLOOKUP(Calculations[[#This Row],[Waste 1]],WasteScenario[#All],2,FALSE)*'Stage assumptions'!$C$225*WasteTransportMethod[Emissions Factor
kgCO2e/kg.km]*Calculations[[#This Row],[Total Kg]],0)</f>
        <v>0</v>
      </c>
      <c r="U498" s="322" cm="1">
        <f t="array" ref="U498">IFERROR(VLOOKUP(Calculations[[#This Row],[Waste 1]],WasteScenario[#All],3,FALSE)*'Stage assumptions'!$C$224*WasteTransportMethod[Emissions Factor
kgCO2e/kg.km]*Calculations[[#This Row],[Total Kg]],0)</f>
        <v>0</v>
      </c>
      <c r="V498" s="322" cm="1">
        <f t="array" ref="V498">IFERROR(VLOOKUP(Calculations[[#This Row],[Waste 1]],WasteScenario[#All],4,FALSE)*'Stage assumptions'!$C$223*WasteTransportMethod[Emissions Factor
kgCO2e/kg.km]*Calculations[[#This Row],[Total Kg]],0)</f>
        <v>0</v>
      </c>
      <c r="W498" s="322" cm="1">
        <f t="array" ref="W498">IFERROR(VLOOKUP(Calculations[[#This Row],[Waste 1]],WasteScenario[#All],5,FALSE)*'Stage assumptions'!$C$226*WasteTransportMethod[Emissions Factor
kgCO2e/kg.km]*Calculations[[#This Row],[Total Kg]],0)</f>
        <v>0</v>
      </c>
      <c r="X498" s="322">
        <f>SUM(Calculations[[#This Row],[C2 Recycle]:[C2 Reuse]])</f>
        <v>0</v>
      </c>
      <c r="Y498" t="str">
        <f>IFERROR(VLOOKUP(Calculations[[#This Row],[Material (choose from dropdown]],MaterialData[#All],5,FALSE),"")</f>
        <v/>
      </c>
      <c r="Z498" s="322">
        <f>IFERROR(((VLOOKUP(Calculations[[#This Row],[Waste type 2]],WasteDisposalEmissions[#All],2,FALSE))*Calculations[[#This Row],[Total Kg]])*VLOOKUP(Calculations[[#This Row],[Waste 1]],WasteScenario[#All],2,FALSE),0)</f>
        <v>0</v>
      </c>
      <c r="AA498" s="322">
        <f>IFERROR((VLOOKUP(Calculations[[#This Row],[Waste type 2]],WasteDisposalEmissions[#All],3,FALSE))*Calculations[[#This Row],[Total Kg]]*VLOOKUP(Calculations[[#This Row],[Waste 1]],WasteScenario[#All],3,FALSE),0)</f>
        <v>0</v>
      </c>
      <c r="AB498" s="322">
        <f>SUM(Calculations[[#This Row],[C3 recyc]:[C3 incin]])</f>
        <v>0</v>
      </c>
      <c r="AC498" s="334">
        <f>IFERROR((VLOOKUP(Calculations[[#This Row],[Waste type 2]],WasteLandfillEmissions[#All],2,FALSE))*Calculations[[#This Row],[Total Kg]]*VLOOKUP(Calculations[[#This Row],[Waste 1]],WasteScenario[#All],4,FALSE),0)</f>
        <v>0</v>
      </c>
      <c r="AD498" s="322">
        <f>IFERROR((VLOOKUP(Calculations[[#This Row],[Waste type 2]],WasteLandfillEmissions[#All],3,FALSE))*Calculations[[#This Row],[Total Kg]]*VLOOKUP(Calculations[[#This Row],[Waste 1]],WasteScenario[#All],4,FALSE),0)</f>
        <v>0</v>
      </c>
      <c r="AE498" s="322">
        <f>SUM(Calculations[[#This Row],[C4 landfill]:[C4 re-use]])</f>
        <v>0</v>
      </c>
      <c r="AF498" s="322">
        <f>IFERROR(VLOOKUP(Calculations[[#This Row],[Material (choose from dropdown]],MaterialData[#All],8,FALSE),0)</f>
        <v>0</v>
      </c>
      <c r="AG498" s="322">
        <f>IFERROR(Calculations[[#This Row],[Total Kg]]*Calculations[[#This Row],[Seq factor]],0)</f>
        <v>0</v>
      </c>
      <c r="AI498" s="322">
        <f>Calculations[[#This Row],[A1-3]]+Calculations[[#This Row],[A4]]+Calculations[[#This Row],[A5]]+Calculations[[#This Row],[B4]]+Calculations[[#This Row],[C2 total]]+Calculations[[#This Row],[C3 total]]+Calculations[[#This Row],[C4 total]]</f>
        <v>0</v>
      </c>
      <c r="AJ498" s="2">
        <f>IFERROR(VLOOKUP(Calculations[[#This Row],[Material (choose from dropdown]],MaterialData[[#Headers],[#Data]],9,FALSE),0)</f>
        <v>0</v>
      </c>
      <c r="AK498" s="4">
        <f>IFERROR(VLOOKUP(Calculations[[#This Row],[Material (choose from dropdown]],MaterialData[[#Headers],[#Data]],10,FALSE),0)</f>
        <v>0</v>
      </c>
      <c r="AL498" s="322">
        <f>IFERROR(Calculations[[#This Row],[Data Quality Score]]*Calculations[[#This Row],[Total Kg]],0)</f>
        <v>0</v>
      </c>
    </row>
    <row r="499" spans="1:38" x14ac:dyDescent="0.3">
      <c r="A499" s="6">
        <f>IFERROR(MaterialsBoQ[[#This Row],[Scope Element]],0)</f>
        <v>0</v>
      </c>
      <c r="B499" t="str">
        <f>IFERROR(MaterialsBoQ[[#This Row],[Material ]],"")</f>
        <v/>
      </c>
      <c r="C499" t="str">
        <f>IFERROR(MaterialsBoQ[[#This Row],[Unit]],"")</f>
        <v/>
      </c>
      <c r="D499" s="322">
        <f>IFERROR(MaterialsBoQ[[#This Row],[Number]],0)</f>
        <v>0</v>
      </c>
      <c r="E499" s="322">
        <f>IFERROR(MaterialsBoQ[[#This Row],[Kg per unit]],0)</f>
        <v>0</v>
      </c>
      <c r="F499" s="322">
        <f>IFERROR(Calculations[[#This Row],[Number]]*Calculations[[#This Row],[Conversion factor]],0)</f>
        <v>0</v>
      </c>
      <c r="G499" s="322">
        <f>IFERROR(VLOOKUP(Calculations[[#This Row],[Material (choose from dropdown]],MaterialData[#All],7,FALSE),0)</f>
        <v>0</v>
      </c>
      <c r="H499" s="322">
        <f>Calculations[[#This Row],[Total Kg]]*Calculations[[#This Row],[Carbon Factor]]</f>
        <v>0</v>
      </c>
      <c r="I499" t="str">
        <f>IFERROR(VLOOKUP(Calculations[[#This Row],[Material (choose from dropdown]],MaterialData[#All],2,FALSE),"")</f>
        <v/>
      </c>
      <c r="J499" s="322">
        <f>IFERROR(((VLOOKUP(Calculations[[#This Row],[TransportSource]],TransportDistance[],2,FALSE)*'Stage assumptions'!$C$11)+VLOOKUP(Calculations[[#This Row],[TransportSource]],TransportDistance[],3,FALSE)*'Stage assumptions'!$C$12)*Calculations[[#This Row],[Total Kg]],0)</f>
        <v>0</v>
      </c>
      <c r="K499">
        <f>IFERROR(VLOOKUP(Calculations[[#This Row],[Material (choose from dropdown]], MaterialData[#All],3, FALSE),0)</f>
        <v>0</v>
      </c>
      <c r="L499" s="322">
        <f>IFERROR(VLOOKUP(Calculations[[#This Row],[A5type]],A5WastageRate[#All],2,FALSE)*Calculations[[#This Row],[A1-3]],0)</f>
        <v>0</v>
      </c>
      <c r="N499">
        <f>IFERROR(ROUNDUP(50/VLOOKUP(Calculations[[#This Row],[Scope Element]],B4referenceServiceLife[[Tier 2 element]:[Default Service Life]],2, FALSE)-1,0),0)</f>
        <v>0</v>
      </c>
      <c r="O499" s="322">
        <f>IFERROR((Calculations[[#This Row],[A1-3]]+Calculations[[#This Row],[A4]]+Calculations[[#This Row],[A5]]+Calculations[[#This Row],[C2 total]]+Calculations[[#This Row],[C3 total]]+Calculations[[#This Row],[C4 total]])*Calculations[[#This Row],[Replacements]],0)</f>
        <v>0</v>
      </c>
      <c r="S499" t="str">
        <f>IFERROR(VLOOKUP(Calculations[[#This Row],[Material (choose from dropdown]],MaterialData[#All],4,FALSE),"")</f>
        <v/>
      </c>
      <c r="T499" s="322" cm="1">
        <f t="array" ref="T499">IFERROR(VLOOKUP(Calculations[[#This Row],[Waste 1]],WasteScenario[#All],2,FALSE)*'Stage assumptions'!$C$225*WasteTransportMethod[Emissions Factor
kgCO2e/kg.km]*Calculations[[#This Row],[Total Kg]],0)</f>
        <v>0</v>
      </c>
      <c r="U499" s="322" cm="1">
        <f t="array" ref="U499">IFERROR(VLOOKUP(Calculations[[#This Row],[Waste 1]],WasteScenario[#All],3,FALSE)*'Stage assumptions'!$C$224*WasteTransportMethod[Emissions Factor
kgCO2e/kg.km]*Calculations[[#This Row],[Total Kg]],0)</f>
        <v>0</v>
      </c>
      <c r="V499" s="322" cm="1">
        <f t="array" ref="V499">IFERROR(VLOOKUP(Calculations[[#This Row],[Waste 1]],WasteScenario[#All],4,FALSE)*'Stage assumptions'!$C$223*WasteTransportMethod[Emissions Factor
kgCO2e/kg.km]*Calculations[[#This Row],[Total Kg]],0)</f>
        <v>0</v>
      </c>
      <c r="W499" s="322" cm="1">
        <f t="array" ref="W499">IFERROR(VLOOKUP(Calculations[[#This Row],[Waste 1]],WasteScenario[#All],5,FALSE)*'Stage assumptions'!$C$226*WasteTransportMethod[Emissions Factor
kgCO2e/kg.km]*Calculations[[#This Row],[Total Kg]],0)</f>
        <v>0</v>
      </c>
      <c r="X499" s="322">
        <f>SUM(Calculations[[#This Row],[C2 Recycle]:[C2 Reuse]])</f>
        <v>0</v>
      </c>
      <c r="Y499" t="str">
        <f>IFERROR(VLOOKUP(Calculations[[#This Row],[Material (choose from dropdown]],MaterialData[#All],5,FALSE),"")</f>
        <v/>
      </c>
      <c r="Z499" s="322">
        <f>IFERROR(((VLOOKUP(Calculations[[#This Row],[Waste type 2]],WasteDisposalEmissions[#All],2,FALSE))*Calculations[[#This Row],[Total Kg]])*VLOOKUP(Calculations[[#This Row],[Waste 1]],WasteScenario[#All],2,FALSE),0)</f>
        <v>0</v>
      </c>
      <c r="AA499" s="322">
        <f>IFERROR((VLOOKUP(Calculations[[#This Row],[Waste type 2]],WasteDisposalEmissions[#All],3,FALSE))*Calculations[[#This Row],[Total Kg]]*VLOOKUP(Calculations[[#This Row],[Waste 1]],WasteScenario[#All],3,FALSE),0)</f>
        <v>0</v>
      </c>
      <c r="AB499" s="322">
        <f>SUM(Calculations[[#This Row],[C3 recyc]:[C3 incin]])</f>
        <v>0</v>
      </c>
      <c r="AC499" s="334">
        <f>IFERROR((VLOOKUP(Calculations[[#This Row],[Waste type 2]],WasteLandfillEmissions[#All],2,FALSE))*Calculations[[#This Row],[Total Kg]]*VLOOKUP(Calculations[[#This Row],[Waste 1]],WasteScenario[#All],4,FALSE),0)</f>
        <v>0</v>
      </c>
      <c r="AD499" s="322">
        <f>IFERROR((VLOOKUP(Calculations[[#This Row],[Waste type 2]],WasteLandfillEmissions[#All],3,FALSE))*Calculations[[#This Row],[Total Kg]]*VLOOKUP(Calculations[[#This Row],[Waste 1]],WasteScenario[#All],4,FALSE),0)</f>
        <v>0</v>
      </c>
      <c r="AE499" s="322">
        <f>SUM(Calculations[[#This Row],[C4 landfill]:[C4 re-use]])</f>
        <v>0</v>
      </c>
      <c r="AF499" s="322">
        <f>IFERROR(VLOOKUP(Calculations[[#This Row],[Material (choose from dropdown]],MaterialData[#All],8,FALSE),0)</f>
        <v>0</v>
      </c>
      <c r="AG499" s="322">
        <f>IFERROR(Calculations[[#This Row],[Total Kg]]*Calculations[[#This Row],[Seq factor]],0)</f>
        <v>0</v>
      </c>
      <c r="AI499" s="322">
        <f>Calculations[[#This Row],[A1-3]]+Calculations[[#This Row],[A4]]+Calculations[[#This Row],[A5]]+Calculations[[#This Row],[B4]]+Calculations[[#This Row],[C2 total]]+Calculations[[#This Row],[C3 total]]+Calculations[[#This Row],[C4 total]]</f>
        <v>0</v>
      </c>
      <c r="AJ499" s="2">
        <f>IFERROR(VLOOKUP(Calculations[[#This Row],[Material (choose from dropdown]],MaterialData[[#Headers],[#Data]],9,FALSE),0)</f>
        <v>0</v>
      </c>
      <c r="AK499" s="4">
        <f>IFERROR(VLOOKUP(Calculations[[#This Row],[Material (choose from dropdown]],MaterialData[[#Headers],[#Data]],10,FALSE),0)</f>
        <v>0</v>
      </c>
      <c r="AL499" s="322">
        <f>IFERROR(Calculations[[#This Row],[Data Quality Score]]*Calculations[[#This Row],[Total Kg]],0)</f>
        <v>0</v>
      </c>
    </row>
    <row r="500" spans="1:38" x14ac:dyDescent="0.3">
      <c r="A500" s="6">
        <f>IFERROR(MaterialsBoQ[[#This Row],[Scope Element]],0)</f>
        <v>0</v>
      </c>
      <c r="B500" t="str">
        <f>IFERROR(MaterialsBoQ[[#This Row],[Material ]],"")</f>
        <v/>
      </c>
      <c r="C500" t="str">
        <f>IFERROR(MaterialsBoQ[[#This Row],[Unit]],"")</f>
        <v/>
      </c>
      <c r="D500" s="322">
        <f>IFERROR(MaterialsBoQ[[#This Row],[Number]],0)</f>
        <v>0</v>
      </c>
      <c r="E500" s="322">
        <f>IFERROR(MaterialsBoQ[[#This Row],[Kg per unit]],0)</f>
        <v>0</v>
      </c>
      <c r="F500" s="322">
        <f>IFERROR(Calculations[[#This Row],[Number]]*Calculations[[#This Row],[Conversion factor]],0)</f>
        <v>0</v>
      </c>
      <c r="G500" s="322">
        <f>IFERROR(VLOOKUP(Calculations[[#This Row],[Material (choose from dropdown]],MaterialData[#All],7,FALSE),0)</f>
        <v>0</v>
      </c>
      <c r="H500" s="322">
        <f>Calculations[[#This Row],[Total Kg]]*Calculations[[#This Row],[Carbon Factor]]</f>
        <v>0</v>
      </c>
      <c r="I500" t="str">
        <f>IFERROR(VLOOKUP(Calculations[[#This Row],[Material (choose from dropdown]],MaterialData[#All],2,FALSE),"")</f>
        <v/>
      </c>
      <c r="J500" s="322">
        <f>IFERROR(((VLOOKUP(Calculations[[#This Row],[TransportSource]],TransportDistance[],2,FALSE)*'Stage assumptions'!$C$11)+VLOOKUP(Calculations[[#This Row],[TransportSource]],TransportDistance[],3,FALSE)*'Stage assumptions'!$C$12)*Calculations[[#This Row],[Total Kg]],0)</f>
        <v>0</v>
      </c>
      <c r="K500">
        <f>IFERROR(VLOOKUP(Calculations[[#This Row],[Material (choose from dropdown]], MaterialData[#All],3, FALSE),0)</f>
        <v>0</v>
      </c>
      <c r="L500" s="322">
        <f>IFERROR(VLOOKUP(Calculations[[#This Row],[A5type]],A5WastageRate[#All],2,FALSE)*Calculations[[#This Row],[A1-3]],0)</f>
        <v>0</v>
      </c>
      <c r="N500">
        <f>IFERROR(ROUNDUP(50/VLOOKUP(Calculations[[#This Row],[Scope Element]],B4referenceServiceLife[[Tier 2 element]:[Default Service Life]],2, FALSE)-1,0),0)</f>
        <v>0</v>
      </c>
      <c r="O500" s="322">
        <f>IFERROR((Calculations[[#This Row],[A1-3]]+Calculations[[#This Row],[A4]]+Calculations[[#This Row],[A5]]+Calculations[[#This Row],[C2 total]]+Calculations[[#This Row],[C3 total]]+Calculations[[#This Row],[C4 total]])*Calculations[[#This Row],[Replacements]],0)</f>
        <v>0</v>
      </c>
      <c r="S500" t="str">
        <f>IFERROR(VLOOKUP(Calculations[[#This Row],[Material (choose from dropdown]],MaterialData[#All],4,FALSE),"")</f>
        <v/>
      </c>
      <c r="T500" s="322" cm="1">
        <f t="array" ref="T500">IFERROR(VLOOKUP(Calculations[[#This Row],[Waste 1]],WasteScenario[#All],2,FALSE)*'Stage assumptions'!$C$225*WasteTransportMethod[Emissions Factor
kgCO2e/kg.km]*Calculations[[#This Row],[Total Kg]],0)</f>
        <v>0</v>
      </c>
      <c r="U500" s="322" cm="1">
        <f t="array" ref="U500">IFERROR(VLOOKUP(Calculations[[#This Row],[Waste 1]],WasteScenario[#All],3,FALSE)*'Stage assumptions'!$C$224*WasteTransportMethod[Emissions Factor
kgCO2e/kg.km]*Calculations[[#This Row],[Total Kg]],0)</f>
        <v>0</v>
      </c>
      <c r="V500" s="322" cm="1">
        <f t="array" ref="V500">IFERROR(VLOOKUP(Calculations[[#This Row],[Waste 1]],WasteScenario[#All],4,FALSE)*'Stage assumptions'!$C$223*WasteTransportMethod[Emissions Factor
kgCO2e/kg.km]*Calculations[[#This Row],[Total Kg]],0)</f>
        <v>0</v>
      </c>
      <c r="W500" s="322" cm="1">
        <f t="array" ref="W500">IFERROR(VLOOKUP(Calculations[[#This Row],[Waste 1]],WasteScenario[#All],5,FALSE)*'Stage assumptions'!$C$226*WasteTransportMethod[Emissions Factor
kgCO2e/kg.km]*Calculations[[#This Row],[Total Kg]],0)</f>
        <v>0</v>
      </c>
      <c r="X500" s="322">
        <f>SUM(Calculations[[#This Row],[C2 Recycle]:[C2 Reuse]])</f>
        <v>0</v>
      </c>
      <c r="Y500" t="str">
        <f>IFERROR(VLOOKUP(Calculations[[#This Row],[Material (choose from dropdown]],MaterialData[#All],5,FALSE),"")</f>
        <v/>
      </c>
      <c r="Z500" s="322">
        <f>IFERROR(((VLOOKUP(Calculations[[#This Row],[Waste type 2]],WasteDisposalEmissions[#All],2,FALSE))*Calculations[[#This Row],[Total Kg]])*VLOOKUP(Calculations[[#This Row],[Waste 1]],WasteScenario[#All],2,FALSE),0)</f>
        <v>0</v>
      </c>
      <c r="AA500" s="322">
        <f>IFERROR((VLOOKUP(Calculations[[#This Row],[Waste type 2]],WasteDisposalEmissions[#All],3,FALSE))*Calculations[[#This Row],[Total Kg]]*VLOOKUP(Calculations[[#This Row],[Waste 1]],WasteScenario[#All],3,FALSE),0)</f>
        <v>0</v>
      </c>
      <c r="AB500" s="322">
        <f>SUM(Calculations[[#This Row],[C3 recyc]:[C3 incin]])</f>
        <v>0</v>
      </c>
      <c r="AC500" s="334">
        <f>IFERROR((VLOOKUP(Calculations[[#This Row],[Waste type 2]],WasteLandfillEmissions[#All],2,FALSE))*Calculations[[#This Row],[Total Kg]]*VLOOKUP(Calculations[[#This Row],[Waste 1]],WasteScenario[#All],4,FALSE),0)</f>
        <v>0</v>
      </c>
      <c r="AD500" s="322">
        <f>IFERROR((VLOOKUP(Calculations[[#This Row],[Waste type 2]],WasteLandfillEmissions[#All],3,FALSE))*Calculations[[#This Row],[Total Kg]]*VLOOKUP(Calculations[[#This Row],[Waste 1]],WasteScenario[#All],4,FALSE),0)</f>
        <v>0</v>
      </c>
      <c r="AE500" s="322">
        <f>SUM(Calculations[[#This Row],[C4 landfill]:[C4 re-use]])</f>
        <v>0</v>
      </c>
      <c r="AF500" s="322">
        <f>IFERROR(VLOOKUP(Calculations[[#This Row],[Material (choose from dropdown]],MaterialData[#All],8,FALSE),0)</f>
        <v>0</v>
      </c>
      <c r="AG500" s="322">
        <f>IFERROR(Calculations[[#This Row],[Total Kg]]*Calculations[[#This Row],[Seq factor]],0)</f>
        <v>0</v>
      </c>
      <c r="AI500" s="322">
        <f>Calculations[[#This Row],[A1-3]]+Calculations[[#This Row],[A4]]+Calculations[[#This Row],[A5]]+Calculations[[#This Row],[B4]]+Calculations[[#This Row],[C2 total]]+Calculations[[#This Row],[C3 total]]+Calculations[[#This Row],[C4 total]]</f>
        <v>0</v>
      </c>
      <c r="AJ500" s="2">
        <f>IFERROR(VLOOKUP(Calculations[[#This Row],[Material (choose from dropdown]],MaterialData[[#Headers],[#Data]],9,FALSE),0)</f>
        <v>0</v>
      </c>
      <c r="AK500" s="4">
        <f>IFERROR(VLOOKUP(Calculations[[#This Row],[Material (choose from dropdown]],MaterialData[[#Headers],[#Data]],10,FALSE),0)</f>
        <v>0</v>
      </c>
      <c r="AL500" s="322">
        <f>IFERROR(Calculations[[#This Row],[Data Quality Score]]*Calculations[[#This Row],[Total Kg]],0)</f>
        <v>0</v>
      </c>
    </row>
    <row r="501" spans="1:38" x14ac:dyDescent="0.3">
      <c r="A501" s="6">
        <f>IFERROR(MaterialsBoQ[[#This Row],[Scope Element]],0)</f>
        <v>0</v>
      </c>
      <c r="B501" t="str">
        <f>IFERROR(MaterialsBoQ[[#This Row],[Material ]],"")</f>
        <v/>
      </c>
      <c r="C501" t="str">
        <f>IFERROR(MaterialsBoQ[[#This Row],[Unit]],"")</f>
        <v/>
      </c>
      <c r="D501" s="322">
        <f>IFERROR(MaterialsBoQ[[#This Row],[Number]],0)</f>
        <v>0</v>
      </c>
      <c r="E501" s="322">
        <f>IFERROR(MaterialsBoQ[[#This Row],[Kg per unit]],0)</f>
        <v>0</v>
      </c>
      <c r="F501" s="322">
        <f>IFERROR(Calculations[[#This Row],[Number]]*Calculations[[#This Row],[Conversion factor]],0)</f>
        <v>0</v>
      </c>
      <c r="G501" s="322">
        <f>IFERROR(VLOOKUP(Calculations[[#This Row],[Material (choose from dropdown]],MaterialData[#All],7,FALSE),0)</f>
        <v>0</v>
      </c>
      <c r="H501" s="322">
        <f>Calculations[[#This Row],[Total Kg]]*Calculations[[#This Row],[Carbon Factor]]</f>
        <v>0</v>
      </c>
      <c r="I501" t="str">
        <f>IFERROR(VLOOKUP(Calculations[[#This Row],[Material (choose from dropdown]],MaterialData[#All],2,FALSE),"")</f>
        <v/>
      </c>
      <c r="J501" s="322">
        <f>IFERROR(((VLOOKUP(Calculations[[#This Row],[TransportSource]],TransportDistance[],2,FALSE)*'Stage assumptions'!$C$11)+VLOOKUP(Calculations[[#This Row],[TransportSource]],TransportDistance[],3,FALSE)*'Stage assumptions'!$C$12)*Calculations[[#This Row],[Total Kg]],0)</f>
        <v>0</v>
      </c>
      <c r="K501">
        <f>IFERROR(VLOOKUP(Calculations[[#This Row],[Material (choose from dropdown]], MaterialData[#All],3, FALSE),0)</f>
        <v>0</v>
      </c>
      <c r="L501" s="322">
        <f>IFERROR(VLOOKUP(Calculations[[#This Row],[A5type]],A5WastageRate[#All],2,FALSE)*Calculations[[#This Row],[A1-3]],0)</f>
        <v>0</v>
      </c>
      <c r="N501">
        <f>IFERROR(ROUNDUP(50/VLOOKUP(Calculations[[#This Row],[Scope Element]],B4referenceServiceLife[[Tier 2 element]:[Default Service Life]],2, FALSE)-1,0),0)</f>
        <v>0</v>
      </c>
      <c r="O501" s="322">
        <f>IFERROR((Calculations[[#This Row],[A1-3]]+Calculations[[#This Row],[A4]]+Calculations[[#This Row],[A5]]+Calculations[[#This Row],[C2 total]]+Calculations[[#This Row],[C3 total]]+Calculations[[#This Row],[C4 total]])*Calculations[[#This Row],[Replacements]],0)</f>
        <v>0</v>
      </c>
      <c r="S501" t="str">
        <f>IFERROR(VLOOKUP(Calculations[[#This Row],[Material (choose from dropdown]],MaterialData[#All],4,FALSE),"")</f>
        <v/>
      </c>
      <c r="T501" s="322" cm="1">
        <f t="array" ref="T501">IFERROR(VLOOKUP(Calculations[[#This Row],[Waste 1]],WasteScenario[#All],2,FALSE)*'Stage assumptions'!$C$225*WasteTransportMethod[Emissions Factor
kgCO2e/kg.km]*Calculations[[#This Row],[Total Kg]],0)</f>
        <v>0</v>
      </c>
      <c r="U501" s="322" cm="1">
        <f t="array" ref="U501">IFERROR(VLOOKUP(Calculations[[#This Row],[Waste 1]],WasteScenario[#All],3,FALSE)*'Stage assumptions'!$C$224*WasteTransportMethod[Emissions Factor
kgCO2e/kg.km]*Calculations[[#This Row],[Total Kg]],0)</f>
        <v>0</v>
      </c>
      <c r="V501" s="322" cm="1">
        <f t="array" ref="V501">IFERROR(VLOOKUP(Calculations[[#This Row],[Waste 1]],WasteScenario[#All],4,FALSE)*'Stage assumptions'!$C$223*WasteTransportMethod[Emissions Factor
kgCO2e/kg.km]*Calculations[[#This Row],[Total Kg]],0)</f>
        <v>0</v>
      </c>
      <c r="W501" s="322" cm="1">
        <f t="array" ref="W501">IFERROR(VLOOKUP(Calculations[[#This Row],[Waste 1]],WasteScenario[#All],5,FALSE)*'Stage assumptions'!$C$226*WasteTransportMethod[Emissions Factor
kgCO2e/kg.km]*Calculations[[#This Row],[Total Kg]],0)</f>
        <v>0</v>
      </c>
      <c r="X501" s="322">
        <f>SUM(Calculations[[#This Row],[C2 Recycle]:[C2 Reuse]])</f>
        <v>0</v>
      </c>
      <c r="Y501" t="str">
        <f>IFERROR(VLOOKUP(Calculations[[#This Row],[Material (choose from dropdown]],MaterialData[#All],5,FALSE),"")</f>
        <v/>
      </c>
      <c r="Z501" s="322">
        <f>IFERROR(((VLOOKUP(Calculations[[#This Row],[Waste type 2]],WasteDisposalEmissions[#All],2,FALSE))*Calculations[[#This Row],[Total Kg]])*VLOOKUP(Calculations[[#This Row],[Waste 1]],WasteScenario[#All],2,FALSE),0)</f>
        <v>0</v>
      </c>
      <c r="AA501" s="322">
        <f>IFERROR((VLOOKUP(Calculations[[#This Row],[Waste type 2]],WasteDisposalEmissions[#All],3,FALSE))*Calculations[[#This Row],[Total Kg]]*VLOOKUP(Calculations[[#This Row],[Waste 1]],WasteScenario[#All],3,FALSE),0)</f>
        <v>0</v>
      </c>
      <c r="AB501" s="322">
        <f>SUM(Calculations[[#This Row],[C3 recyc]:[C3 incin]])</f>
        <v>0</v>
      </c>
      <c r="AC501" s="334">
        <f>IFERROR((VLOOKUP(Calculations[[#This Row],[Waste type 2]],WasteLandfillEmissions[#All],2,FALSE))*Calculations[[#This Row],[Total Kg]]*VLOOKUP(Calculations[[#This Row],[Waste 1]],WasteScenario[#All],4,FALSE),0)</f>
        <v>0</v>
      </c>
      <c r="AD501" s="322">
        <f>IFERROR((VLOOKUP(Calculations[[#This Row],[Waste type 2]],WasteLandfillEmissions[#All],3,FALSE))*Calculations[[#This Row],[Total Kg]]*VLOOKUP(Calculations[[#This Row],[Waste 1]],WasteScenario[#All],4,FALSE),0)</f>
        <v>0</v>
      </c>
      <c r="AE501" s="322">
        <f>SUM(Calculations[[#This Row],[C4 landfill]:[C4 re-use]])</f>
        <v>0</v>
      </c>
      <c r="AF501" s="322">
        <f>IFERROR(VLOOKUP(Calculations[[#This Row],[Material (choose from dropdown]],MaterialData[#All],8,FALSE),0)</f>
        <v>0</v>
      </c>
      <c r="AG501" s="322">
        <f>IFERROR(Calculations[[#This Row],[Total Kg]]*Calculations[[#This Row],[Seq factor]],0)</f>
        <v>0</v>
      </c>
      <c r="AI501" s="322">
        <f>Calculations[[#This Row],[A1-3]]+Calculations[[#This Row],[A4]]+Calculations[[#This Row],[A5]]+Calculations[[#This Row],[B4]]+Calculations[[#This Row],[C2 total]]+Calculations[[#This Row],[C3 total]]+Calculations[[#This Row],[C4 total]]</f>
        <v>0</v>
      </c>
      <c r="AJ501" s="2">
        <f>IFERROR(VLOOKUP(Calculations[[#This Row],[Material (choose from dropdown]],MaterialData[[#Headers],[#Data]],9,FALSE),0)</f>
        <v>0</v>
      </c>
      <c r="AK501" s="4">
        <f>IFERROR(VLOOKUP(Calculations[[#This Row],[Material (choose from dropdown]],MaterialData[[#Headers],[#Data]],10,FALSE),0)</f>
        <v>0</v>
      </c>
      <c r="AL501" s="322">
        <f>IFERROR(Calculations[[#This Row],[Data Quality Score]]*Calculations[[#This Row],[Total Kg]],0)</f>
        <v>0</v>
      </c>
    </row>
    <row r="502" spans="1:38" x14ac:dyDescent="0.3">
      <c r="A502" s="6">
        <f>IFERROR(MaterialsBoQ[[#This Row],[Scope Element]],0)</f>
        <v>0</v>
      </c>
      <c r="B502" t="str">
        <f>IFERROR(MaterialsBoQ[[#This Row],[Material ]],"")</f>
        <v/>
      </c>
      <c r="C502" t="str">
        <f>IFERROR(MaterialsBoQ[[#This Row],[Unit]],"")</f>
        <v/>
      </c>
      <c r="D502" s="322">
        <f>IFERROR(MaterialsBoQ[[#This Row],[Number]],0)</f>
        <v>0</v>
      </c>
      <c r="E502" s="322">
        <f>IFERROR(MaterialsBoQ[[#This Row],[Kg per unit]],0)</f>
        <v>0</v>
      </c>
      <c r="F502" s="322">
        <f>IFERROR(Calculations[[#This Row],[Number]]*Calculations[[#This Row],[Conversion factor]],0)</f>
        <v>0</v>
      </c>
      <c r="G502" s="322">
        <f>IFERROR(VLOOKUP(Calculations[[#This Row],[Material (choose from dropdown]],MaterialData[#All],7,FALSE),0)</f>
        <v>0</v>
      </c>
      <c r="H502" s="322">
        <f>Calculations[[#This Row],[Total Kg]]*Calculations[[#This Row],[Carbon Factor]]</f>
        <v>0</v>
      </c>
      <c r="I502" t="str">
        <f>IFERROR(VLOOKUP(Calculations[[#This Row],[Material (choose from dropdown]],MaterialData[#All],2,FALSE),"")</f>
        <v/>
      </c>
      <c r="J502" s="322">
        <f>IFERROR(((VLOOKUP(Calculations[[#This Row],[TransportSource]],TransportDistance[],2,FALSE)*'Stage assumptions'!$C$11)+VLOOKUP(Calculations[[#This Row],[TransportSource]],TransportDistance[],3,FALSE)*'Stage assumptions'!$C$12)*Calculations[[#This Row],[Total Kg]],0)</f>
        <v>0</v>
      </c>
      <c r="K502">
        <f>IFERROR(VLOOKUP(Calculations[[#This Row],[Material (choose from dropdown]], MaterialData[#All],3, FALSE),0)</f>
        <v>0</v>
      </c>
      <c r="L502" s="322">
        <f>IFERROR(VLOOKUP(Calculations[[#This Row],[A5type]],A5WastageRate[#All],2,FALSE)*Calculations[[#This Row],[A1-3]],0)</f>
        <v>0</v>
      </c>
      <c r="N502">
        <f>IFERROR(ROUNDUP(50/VLOOKUP(Calculations[[#This Row],[Scope Element]],B4referenceServiceLife[[Tier 2 element]:[Default Service Life]],2, FALSE)-1,0),0)</f>
        <v>0</v>
      </c>
      <c r="O502" s="322">
        <f>IFERROR((Calculations[[#This Row],[A1-3]]+Calculations[[#This Row],[A4]]+Calculations[[#This Row],[A5]]+Calculations[[#This Row],[C2 total]]+Calculations[[#This Row],[C3 total]]+Calculations[[#This Row],[C4 total]])*Calculations[[#This Row],[Replacements]],0)</f>
        <v>0</v>
      </c>
      <c r="S502" t="str">
        <f>IFERROR(VLOOKUP(Calculations[[#This Row],[Material (choose from dropdown]],MaterialData[#All],4,FALSE),"")</f>
        <v/>
      </c>
      <c r="T502" s="322" cm="1">
        <f t="array" ref="T502">IFERROR(VLOOKUP(Calculations[[#This Row],[Waste 1]],WasteScenario[#All],2,FALSE)*'Stage assumptions'!$C$225*WasteTransportMethod[Emissions Factor
kgCO2e/kg.km]*Calculations[[#This Row],[Total Kg]],0)</f>
        <v>0</v>
      </c>
      <c r="U502" s="322" cm="1">
        <f t="array" ref="U502">IFERROR(VLOOKUP(Calculations[[#This Row],[Waste 1]],WasteScenario[#All],3,FALSE)*'Stage assumptions'!$C$224*WasteTransportMethod[Emissions Factor
kgCO2e/kg.km]*Calculations[[#This Row],[Total Kg]],0)</f>
        <v>0</v>
      </c>
      <c r="V502" s="322" cm="1">
        <f t="array" ref="V502">IFERROR(VLOOKUP(Calculations[[#This Row],[Waste 1]],WasteScenario[#All],4,FALSE)*'Stage assumptions'!$C$223*WasteTransportMethod[Emissions Factor
kgCO2e/kg.km]*Calculations[[#This Row],[Total Kg]],0)</f>
        <v>0</v>
      </c>
      <c r="W502" s="322" cm="1">
        <f t="array" ref="W502">IFERROR(VLOOKUP(Calculations[[#This Row],[Waste 1]],WasteScenario[#All],5,FALSE)*'Stage assumptions'!$C$226*WasteTransportMethod[Emissions Factor
kgCO2e/kg.km]*Calculations[[#This Row],[Total Kg]],0)</f>
        <v>0</v>
      </c>
      <c r="X502" s="322">
        <f>SUM(Calculations[[#This Row],[C2 Recycle]:[C2 Reuse]])</f>
        <v>0</v>
      </c>
      <c r="Y502" t="str">
        <f>IFERROR(VLOOKUP(Calculations[[#This Row],[Material (choose from dropdown]],MaterialData[#All],5,FALSE),"")</f>
        <v/>
      </c>
      <c r="Z502" s="322">
        <f>IFERROR(((VLOOKUP(Calculations[[#This Row],[Waste type 2]],WasteDisposalEmissions[#All],2,FALSE))*Calculations[[#This Row],[Total Kg]])*VLOOKUP(Calculations[[#This Row],[Waste 1]],WasteScenario[#All],2,FALSE),0)</f>
        <v>0</v>
      </c>
      <c r="AA502" s="322">
        <f>IFERROR((VLOOKUP(Calculations[[#This Row],[Waste type 2]],WasteDisposalEmissions[#All],3,FALSE))*Calculations[[#This Row],[Total Kg]]*VLOOKUP(Calculations[[#This Row],[Waste 1]],WasteScenario[#All],3,FALSE),0)</f>
        <v>0</v>
      </c>
      <c r="AB502" s="322">
        <f>SUM(Calculations[[#This Row],[C3 recyc]:[C3 incin]])</f>
        <v>0</v>
      </c>
      <c r="AC502" s="334">
        <f>IFERROR((VLOOKUP(Calculations[[#This Row],[Waste type 2]],WasteLandfillEmissions[#All],2,FALSE))*Calculations[[#This Row],[Total Kg]]*VLOOKUP(Calculations[[#This Row],[Waste 1]],WasteScenario[#All],4,FALSE),0)</f>
        <v>0</v>
      </c>
      <c r="AD502" s="322">
        <f>IFERROR((VLOOKUP(Calculations[[#This Row],[Waste type 2]],WasteLandfillEmissions[#All],3,FALSE))*Calculations[[#This Row],[Total Kg]]*VLOOKUP(Calculations[[#This Row],[Waste 1]],WasteScenario[#All],4,FALSE),0)</f>
        <v>0</v>
      </c>
      <c r="AE502" s="322">
        <f>SUM(Calculations[[#This Row],[C4 landfill]:[C4 re-use]])</f>
        <v>0</v>
      </c>
      <c r="AF502" s="322">
        <f>IFERROR(VLOOKUP(Calculations[[#This Row],[Material (choose from dropdown]],MaterialData[#All],8,FALSE),0)</f>
        <v>0</v>
      </c>
      <c r="AG502" s="322">
        <f>IFERROR(Calculations[[#This Row],[Total Kg]]*Calculations[[#This Row],[Seq factor]],0)</f>
        <v>0</v>
      </c>
      <c r="AI502" s="322">
        <f>Calculations[[#This Row],[A1-3]]+Calculations[[#This Row],[A4]]+Calculations[[#This Row],[A5]]+Calculations[[#This Row],[B4]]+Calculations[[#This Row],[C2 total]]+Calculations[[#This Row],[C3 total]]+Calculations[[#This Row],[C4 total]]</f>
        <v>0</v>
      </c>
      <c r="AJ502" s="2">
        <f>IFERROR(VLOOKUP(Calculations[[#This Row],[Material (choose from dropdown]],MaterialData[[#Headers],[#Data]],9,FALSE),0)</f>
        <v>0</v>
      </c>
      <c r="AK502" s="4">
        <f>IFERROR(VLOOKUP(Calculations[[#This Row],[Material (choose from dropdown]],MaterialData[[#Headers],[#Data]],10,FALSE),0)</f>
        <v>0</v>
      </c>
      <c r="AL502" s="322">
        <f>IFERROR(Calculations[[#This Row],[Data Quality Score]]*Calculations[[#This Row],[Total Kg]],0)</f>
        <v>0</v>
      </c>
    </row>
    <row r="503" spans="1:38" x14ac:dyDescent="0.3">
      <c r="A503" s="6">
        <f>IFERROR(MaterialsBoQ[[#This Row],[Scope Element]],0)</f>
        <v>0</v>
      </c>
      <c r="B503" t="str">
        <f>IFERROR(MaterialsBoQ[[#This Row],[Material ]],"")</f>
        <v/>
      </c>
      <c r="C503" t="str">
        <f>IFERROR(MaterialsBoQ[[#This Row],[Unit]],"")</f>
        <v/>
      </c>
      <c r="D503" s="322">
        <f>IFERROR(MaterialsBoQ[[#This Row],[Number]],0)</f>
        <v>0</v>
      </c>
      <c r="E503" s="322">
        <f>IFERROR(MaterialsBoQ[[#This Row],[Kg per unit]],0)</f>
        <v>0</v>
      </c>
      <c r="F503" s="322">
        <f>IFERROR(Calculations[[#This Row],[Number]]*Calculations[[#This Row],[Conversion factor]],0)</f>
        <v>0</v>
      </c>
      <c r="G503" s="322">
        <f>IFERROR(VLOOKUP(Calculations[[#This Row],[Material (choose from dropdown]],MaterialData[#All],7,FALSE),0)</f>
        <v>0</v>
      </c>
      <c r="H503" s="322">
        <f>Calculations[[#This Row],[Total Kg]]*Calculations[[#This Row],[Carbon Factor]]</f>
        <v>0</v>
      </c>
      <c r="I503" t="str">
        <f>IFERROR(VLOOKUP(Calculations[[#This Row],[Material (choose from dropdown]],MaterialData[#All],2,FALSE),"")</f>
        <v/>
      </c>
      <c r="J503" s="322">
        <f>IFERROR(((VLOOKUP(Calculations[[#This Row],[TransportSource]],TransportDistance[],2,FALSE)*'Stage assumptions'!$C$11)+VLOOKUP(Calculations[[#This Row],[TransportSource]],TransportDistance[],3,FALSE)*'Stage assumptions'!$C$12)*Calculations[[#This Row],[Total Kg]],0)</f>
        <v>0</v>
      </c>
      <c r="K503">
        <f>IFERROR(VLOOKUP(Calculations[[#This Row],[Material (choose from dropdown]], MaterialData[#All],3, FALSE),0)</f>
        <v>0</v>
      </c>
      <c r="L503" s="322">
        <f>IFERROR(VLOOKUP(Calculations[[#This Row],[A5type]],A5WastageRate[#All],2,FALSE)*Calculations[[#This Row],[A1-3]],0)</f>
        <v>0</v>
      </c>
      <c r="N503">
        <f>IFERROR(ROUNDUP(50/VLOOKUP(Calculations[[#This Row],[Scope Element]],B4referenceServiceLife[[Tier 2 element]:[Default Service Life]],2, FALSE)-1,0),0)</f>
        <v>0</v>
      </c>
      <c r="O503" s="322">
        <f>IFERROR((Calculations[[#This Row],[A1-3]]+Calculations[[#This Row],[A4]]+Calculations[[#This Row],[A5]]+Calculations[[#This Row],[C2 total]]+Calculations[[#This Row],[C3 total]]+Calculations[[#This Row],[C4 total]])*Calculations[[#This Row],[Replacements]],0)</f>
        <v>0</v>
      </c>
      <c r="S503" t="str">
        <f>IFERROR(VLOOKUP(Calculations[[#This Row],[Material (choose from dropdown]],MaterialData[#All],4,FALSE),"")</f>
        <v/>
      </c>
      <c r="T503" s="322" cm="1">
        <f t="array" ref="T503">IFERROR(VLOOKUP(Calculations[[#This Row],[Waste 1]],WasteScenario[#All],2,FALSE)*'Stage assumptions'!$C$225*WasteTransportMethod[Emissions Factor
kgCO2e/kg.km]*Calculations[[#This Row],[Total Kg]],0)</f>
        <v>0</v>
      </c>
      <c r="U503" s="322" cm="1">
        <f t="array" ref="U503">IFERROR(VLOOKUP(Calculations[[#This Row],[Waste 1]],WasteScenario[#All],3,FALSE)*'Stage assumptions'!$C$224*WasteTransportMethod[Emissions Factor
kgCO2e/kg.km]*Calculations[[#This Row],[Total Kg]],0)</f>
        <v>0</v>
      </c>
      <c r="V503" s="322" cm="1">
        <f t="array" ref="V503">IFERROR(VLOOKUP(Calculations[[#This Row],[Waste 1]],WasteScenario[#All],4,FALSE)*'Stage assumptions'!$C$223*WasteTransportMethod[Emissions Factor
kgCO2e/kg.km]*Calculations[[#This Row],[Total Kg]],0)</f>
        <v>0</v>
      </c>
      <c r="W503" s="322" cm="1">
        <f t="array" ref="W503">IFERROR(VLOOKUP(Calculations[[#This Row],[Waste 1]],WasteScenario[#All],5,FALSE)*'Stage assumptions'!$C$226*WasteTransportMethod[Emissions Factor
kgCO2e/kg.km]*Calculations[[#This Row],[Total Kg]],0)</f>
        <v>0</v>
      </c>
      <c r="X503" s="322">
        <f>SUM(Calculations[[#This Row],[C2 Recycle]:[C2 Reuse]])</f>
        <v>0</v>
      </c>
      <c r="Y503" t="str">
        <f>IFERROR(VLOOKUP(Calculations[[#This Row],[Material (choose from dropdown]],MaterialData[#All],5,FALSE),"")</f>
        <v/>
      </c>
      <c r="Z503" s="322">
        <f>IFERROR(((VLOOKUP(Calculations[[#This Row],[Waste type 2]],WasteDisposalEmissions[#All],2,FALSE))*Calculations[[#This Row],[Total Kg]])*VLOOKUP(Calculations[[#This Row],[Waste 1]],WasteScenario[#All],2,FALSE),0)</f>
        <v>0</v>
      </c>
      <c r="AA503" s="322">
        <f>IFERROR((VLOOKUP(Calculations[[#This Row],[Waste type 2]],WasteDisposalEmissions[#All],3,FALSE))*Calculations[[#This Row],[Total Kg]]*VLOOKUP(Calculations[[#This Row],[Waste 1]],WasteScenario[#All],3,FALSE),0)</f>
        <v>0</v>
      </c>
      <c r="AB503" s="322">
        <f>SUM(Calculations[[#This Row],[C3 recyc]:[C3 incin]])</f>
        <v>0</v>
      </c>
      <c r="AC503" s="334">
        <f>IFERROR((VLOOKUP(Calculations[[#This Row],[Waste type 2]],WasteLandfillEmissions[#All],2,FALSE))*Calculations[[#This Row],[Total Kg]]*VLOOKUP(Calculations[[#This Row],[Waste 1]],WasteScenario[#All],4,FALSE),0)</f>
        <v>0</v>
      </c>
      <c r="AD503" s="322">
        <f>IFERROR((VLOOKUP(Calculations[[#This Row],[Waste type 2]],WasteLandfillEmissions[#All],3,FALSE))*Calculations[[#This Row],[Total Kg]]*VLOOKUP(Calculations[[#This Row],[Waste 1]],WasteScenario[#All],4,FALSE),0)</f>
        <v>0</v>
      </c>
      <c r="AE503" s="322">
        <f>SUM(Calculations[[#This Row],[C4 landfill]:[C4 re-use]])</f>
        <v>0</v>
      </c>
      <c r="AF503" s="322">
        <f>IFERROR(VLOOKUP(Calculations[[#This Row],[Material (choose from dropdown]],MaterialData[#All],8,FALSE),0)</f>
        <v>0</v>
      </c>
      <c r="AG503" s="322">
        <f>IFERROR(Calculations[[#This Row],[Total Kg]]*Calculations[[#This Row],[Seq factor]],0)</f>
        <v>0</v>
      </c>
      <c r="AI503" s="322">
        <f>Calculations[[#This Row],[A1-3]]+Calculations[[#This Row],[A4]]+Calculations[[#This Row],[A5]]+Calculations[[#This Row],[B4]]+Calculations[[#This Row],[C2 total]]+Calculations[[#This Row],[C3 total]]+Calculations[[#This Row],[C4 total]]</f>
        <v>0</v>
      </c>
      <c r="AJ503" s="2">
        <f>IFERROR(VLOOKUP(Calculations[[#This Row],[Material (choose from dropdown]],MaterialData[[#Headers],[#Data]],9,FALSE),0)</f>
        <v>0</v>
      </c>
      <c r="AK503" s="4">
        <f>IFERROR(VLOOKUP(Calculations[[#This Row],[Material (choose from dropdown]],MaterialData[[#Headers],[#Data]],10,FALSE),0)</f>
        <v>0</v>
      </c>
      <c r="AL503" s="322">
        <f>IFERROR(Calculations[[#This Row],[Data Quality Score]]*Calculations[[#This Row],[Total Kg]],0)</f>
        <v>0</v>
      </c>
    </row>
    <row r="504" spans="1:38" x14ac:dyDescent="0.3">
      <c r="A504" s="6">
        <f>IFERROR(MaterialsBoQ[[#This Row],[Scope Element]],0)</f>
        <v>0</v>
      </c>
      <c r="B504" t="str">
        <f>IFERROR(MaterialsBoQ[[#This Row],[Material ]],"")</f>
        <v/>
      </c>
      <c r="C504" t="str">
        <f>IFERROR(MaterialsBoQ[[#This Row],[Unit]],"")</f>
        <v/>
      </c>
      <c r="D504" s="322">
        <f>IFERROR(MaterialsBoQ[[#This Row],[Number]],0)</f>
        <v>0</v>
      </c>
      <c r="E504" s="322">
        <f>IFERROR(MaterialsBoQ[[#This Row],[Kg per unit]],0)</f>
        <v>0</v>
      </c>
      <c r="F504" s="322">
        <f>IFERROR(Calculations[[#This Row],[Number]]*Calculations[[#This Row],[Conversion factor]],0)</f>
        <v>0</v>
      </c>
      <c r="G504" s="322">
        <f>IFERROR(VLOOKUP(Calculations[[#This Row],[Material (choose from dropdown]],MaterialData[#All],7,FALSE),0)</f>
        <v>0</v>
      </c>
      <c r="H504" s="322">
        <f>Calculations[[#This Row],[Total Kg]]*Calculations[[#This Row],[Carbon Factor]]</f>
        <v>0</v>
      </c>
      <c r="I504" t="str">
        <f>IFERROR(VLOOKUP(Calculations[[#This Row],[Material (choose from dropdown]],MaterialData[#All],2,FALSE),"")</f>
        <v/>
      </c>
      <c r="J504" s="322">
        <f>IFERROR(((VLOOKUP(Calculations[[#This Row],[TransportSource]],TransportDistance[],2,FALSE)*'Stage assumptions'!$C$11)+VLOOKUP(Calculations[[#This Row],[TransportSource]],TransportDistance[],3,FALSE)*'Stage assumptions'!$C$12)*Calculations[[#This Row],[Total Kg]],0)</f>
        <v>0</v>
      </c>
      <c r="K504">
        <f>IFERROR(VLOOKUP(Calculations[[#This Row],[Material (choose from dropdown]], MaterialData[#All],3, FALSE),0)</f>
        <v>0</v>
      </c>
      <c r="L504" s="322">
        <f>IFERROR(VLOOKUP(Calculations[[#This Row],[A5type]],A5WastageRate[#All],2,FALSE)*Calculations[[#This Row],[A1-3]],0)</f>
        <v>0</v>
      </c>
      <c r="N504">
        <f>IFERROR(ROUNDUP(50/VLOOKUP(Calculations[[#This Row],[Scope Element]],B4referenceServiceLife[[Tier 2 element]:[Default Service Life]],2, FALSE)-1,0),0)</f>
        <v>0</v>
      </c>
      <c r="O504" s="322">
        <f>IFERROR((Calculations[[#This Row],[A1-3]]+Calculations[[#This Row],[A4]]+Calculations[[#This Row],[A5]]+Calculations[[#This Row],[C2 total]]+Calculations[[#This Row],[C3 total]]+Calculations[[#This Row],[C4 total]])*Calculations[[#This Row],[Replacements]],0)</f>
        <v>0</v>
      </c>
      <c r="S504" t="str">
        <f>IFERROR(VLOOKUP(Calculations[[#This Row],[Material (choose from dropdown]],MaterialData[#All],4,FALSE),"")</f>
        <v/>
      </c>
      <c r="T504" s="322" cm="1">
        <f t="array" ref="T504">IFERROR(VLOOKUP(Calculations[[#This Row],[Waste 1]],WasteScenario[#All],2,FALSE)*'Stage assumptions'!$C$225*WasteTransportMethod[Emissions Factor
kgCO2e/kg.km]*Calculations[[#This Row],[Total Kg]],0)</f>
        <v>0</v>
      </c>
      <c r="U504" s="322" cm="1">
        <f t="array" ref="U504">IFERROR(VLOOKUP(Calculations[[#This Row],[Waste 1]],WasteScenario[#All],3,FALSE)*'Stage assumptions'!$C$224*WasteTransportMethod[Emissions Factor
kgCO2e/kg.km]*Calculations[[#This Row],[Total Kg]],0)</f>
        <v>0</v>
      </c>
      <c r="V504" s="322" cm="1">
        <f t="array" ref="V504">IFERROR(VLOOKUP(Calculations[[#This Row],[Waste 1]],WasteScenario[#All],4,FALSE)*'Stage assumptions'!$C$223*WasteTransportMethod[Emissions Factor
kgCO2e/kg.km]*Calculations[[#This Row],[Total Kg]],0)</f>
        <v>0</v>
      </c>
      <c r="W504" s="322" cm="1">
        <f t="array" ref="W504">IFERROR(VLOOKUP(Calculations[[#This Row],[Waste 1]],WasteScenario[#All],5,FALSE)*'Stage assumptions'!$C$226*WasteTransportMethod[Emissions Factor
kgCO2e/kg.km]*Calculations[[#This Row],[Total Kg]],0)</f>
        <v>0</v>
      </c>
      <c r="X504" s="322">
        <f>SUM(Calculations[[#This Row],[C2 Recycle]:[C2 Reuse]])</f>
        <v>0</v>
      </c>
      <c r="Y504" t="str">
        <f>IFERROR(VLOOKUP(Calculations[[#This Row],[Material (choose from dropdown]],MaterialData[#All],5,FALSE),"")</f>
        <v/>
      </c>
      <c r="Z504" s="322">
        <f>IFERROR(((VLOOKUP(Calculations[[#This Row],[Waste type 2]],WasteDisposalEmissions[#All],2,FALSE))*Calculations[[#This Row],[Total Kg]])*VLOOKUP(Calculations[[#This Row],[Waste 1]],WasteScenario[#All],2,FALSE),0)</f>
        <v>0</v>
      </c>
      <c r="AA504" s="322">
        <f>IFERROR((VLOOKUP(Calculations[[#This Row],[Waste type 2]],WasteDisposalEmissions[#All],3,FALSE))*Calculations[[#This Row],[Total Kg]]*VLOOKUP(Calculations[[#This Row],[Waste 1]],WasteScenario[#All],3,FALSE),0)</f>
        <v>0</v>
      </c>
      <c r="AB504" s="322">
        <f>SUM(Calculations[[#This Row],[C3 recyc]:[C3 incin]])</f>
        <v>0</v>
      </c>
      <c r="AC504" s="334">
        <f>IFERROR((VLOOKUP(Calculations[[#This Row],[Waste type 2]],WasteLandfillEmissions[#All],2,FALSE))*Calculations[[#This Row],[Total Kg]]*VLOOKUP(Calculations[[#This Row],[Waste 1]],WasteScenario[#All],4,FALSE),0)</f>
        <v>0</v>
      </c>
      <c r="AD504" s="322">
        <f>IFERROR((VLOOKUP(Calculations[[#This Row],[Waste type 2]],WasteLandfillEmissions[#All],3,FALSE))*Calculations[[#This Row],[Total Kg]]*VLOOKUP(Calculations[[#This Row],[Waste 1]],WasteScenario[#All],4,FALSE),0)</f>
        <v>0</v>
      </c>
      <c r="AE504" s="322">
        <f>SUM(Calculations[[#This Row],[C4 landfill]:[C4 re-use]])</f>
        <v>0</v>
      </c>
      <c r="AF504" s="322">
        <f>IFERROR(VLOOKUP(Calculations[[#This Row],[Material (choose from dropdown]],MaterialData[#All],8,FALSE),0)</f>
        <v>0</v>
      </c>
      <c r="AG504" s="322">
        <f>IFERROR(Calculations[[#This Row],[Total Kg]]*Calculations[[#This Row],[Seq factor]],0)</f>
        <v>0</v>
      </c>
      <c r="AI504" s="322">
        <f>Calculations[[#This Row],[A1-3]]+Calculations[[#This Row],[A4]]+Calculations[[#This Row],[A5]]+Calculations[[#This Row],[B4]]+Calculations[[#This Row],[C2 total]]+Calculations[[#This Row],[C3 total]]+Calculations[[#This Row],[C4 total]]</f>
        <v>0</v>
      </c>
      <c r="AJ504" s="2">
        <f>IFERROR(VLOOKUP(Calculations[[#This Row],[Material (choose from dropdown]],MaterialData[[#Headers],[#Data]],9,FALSE),0)</f>
        <v>0</v>
      </c>
      <c r="AK504" s="4">
        <f>IFERROR(VLOOKUP(Calculations[[#This Row],[Material (choose from dropdown]],MaterialData[[#Headers],[#Data]],10,FALSE),0)</f>
        <v>0</v>
      </c>
      <c r="AL504" s="322">
        <f>IFERROR(Calculations[[#This Row],[Data Quality Score]]*Calculations[[#This Row],[Total Kg]],0)</f>
        <v>0</v>
      </c>
    </row>
    <row r="505" spans="1:38" x14ac:dyDescent="0.3">
      <c r="A505" s="6">
        <f>IFERROR(MaterialsBoQ[[#This Row],[Scope Element]],0)</f>
        <v>0</v>
      </c>
      <c r="B505" t="str">
        <f>IFERROR(MaterialsBoQ[[#This Row],[Material ]],"")</f>
        <v/>
      </c>
      <c r="C505" t="str">
        <f>IFERROR(MaterialsBoQ[[#This Row],[Unit]],"")</f>
        <v/>
      </c>
      <c r="D505" s="322">
        <f>IFERROR(MaterialsBoQ[[#This Row],[Number]],0)</f>
        <v>0</v>
      </c>
      <c r="E505" s="322">
        <f>IFERROR(MaterialsBoQ[[#This Row],[Kg per unit]],0)</f>
        <v>0</v>
      </c>
      <c r="F505" s="322">
        <f>IFERROR(Calculations[[#This Row],[Number]]*Calculations[[#This Row],[Conversion factor]],0)</f>
        <v>0</v>
      </c>
      <c r="G505" s="322">
        <f>IFERROR(VLOOKUP(Calculations[[#This Row],[Material (choose from dropdown]],MaterialData[#All],7,FALSE),0)</f>
        <v>0</v>
      </c>
      <c r="H505" s="322">
        <f>Calculations[[#This Row],[Total Kg]]*Calculations[[#This Row],[Carbon Factor]]</f>
        <v>0</v>
      </c>
      <c r="I505" t="str">
        <f>IFERROR(VLOOKUP(Calculations[[#This Row],[Material (choose from dropdown]],MaterialData[#All],2,FALSE),"")</f>
        <v/>
      </c>
      <c r="J505" s="322">
        <f>IFERROR(((VLOOKUP(Calculations[[#This Row],[TransportSource]],TransportDistance[],2,FALSE)*'Stage assumptions'!$C$11)+VLOOKUP(Calculations[[#This Row],[TransportSource]],TransportDistance[],3,FALSE)*'Stage assumptions'!$C$12)*Calculations[[#This Row],[Total Kg]],0)</f>
        <v>0</v>
      </c>
      <c r="K505">
        <f>IFERROR(VLOOKUP(Calculations[[#This Row],[Material (choose from dropdown]], MaterialData[#All],3, FALSE),0)</f>
        <v>0</v>
      </c>
      <c r="L505" s="322">
        <f>IFERROR(VLOOKUP(Calculations[[#This Row],[A5type]],A5WastageRate[#All],2,FALSE)*Calculations[[#This Row],[A1-3]],0)</f>
        <v>0</v>
      </c>
      <c r="N505">
        <f>IFERROR(ROUNDUP(50/VLOOKUP(Calculations[[#This Row],[Scope Element]],B4referenceServiceLife[[Tier 2 element]:[Default Service Life]],2, FALSE)-1,0),0)</f>
        <v>0</v>
      </c>
      <c r="O505" s="322">
        <f>IFERROR((Calculations[[#This Row],[A1-3]]+Calculations[[#This Row],[A4]]+Calculations[[#This Row],[A5]]+Calculations[[#This Row],[C2 total]]+Calculations[[#This Row],[C3 total]]+Calculations[[#This Row],[C4 total]])*Calculations[[#This Row],[Replacements]],0)</f>
        <v>0</v>
      </c>
      <c r="S505" t="str">
        <f>IFERROR(VLOOKUP(Calculations[[#This Row],[Material (choose from dropdown]],MaterialData[#All],4,FALSE),"")</f>
        <v/>
      </c>
      <c r="T505" s="322" cm="1">
        <f t="array" ref="T505">IFERROR(VLOOKUP(Calculations[[#This Row],[Waste 1]],WasteScenario[#All],2,FALSE)*'Stage assumptions'!$C$225*WasteTransportMethod[Emissions Factor
kgCO2e/kg.km]*Calculations[[#This Row],[Total Kg]],0)</f>
        <v>0</v>
      </c>
      <c r="U505" s="322" cm="1">
        <f t="array" ref="U505">IFERROR(VLOOKUP(Calculations[[#This Row],[Waste 1]],WasteScenario[#All],3,FALSE)*'Stage assumptions'!$C$224*WasteTransportMethod[Emissions Factor
kgCO2e/kg.km]*Calculations[[#This Row],[Total Kg]],0)</f>
        <v>0</v>
      </c>
      <c r="V505" s="322" cm="1">
        <f t="array" ref="V505">IFERROR(VLOOKUP(Calculations[[#This Row],[Waste 1]],WasteScenario[#All],4,FALSE)*'Stage assumptions'!$C$223*WasteTransportMethod[Emissions Factor
kgCO2e/kg.km]*Calculations[[#This Row],[Total Kg]],0)</f>
        <v>0</v>
      </c>
      <c r="W505" s="322" cm="1">
        <f t="array" ref="W505">IFERROR(VLOOKUP(Calculations[[#This Row],[Waste 1]],WasteScenario[#All],5,FALSE)*'Stage assumptions'!$C$226*WasteTransportMethod[Emissions Factor
kgCO2e/kg.km]*Calculations[[#This Row],[Total Kg]],0)</f>
        <v>0</v>
      </c>
      <c r="X505" s="322">
        <f>SUM(Calculations[[#This Row],[C2 Recycle]:[C2 Reuse]])</f>
        <v>0</v>
      </c>
      <c r="Y505" t="str">
        <f>IFERROR(VLOOKUP(Calculations[[#This Row],[Material (choose from dropdown]],MaterialData[#All],5,FALSE),"")</f>
        <v/>
      </c>
      <c r="Z505" s="322">
        <f>IFERROR(((VLOOKUP(Calculations[[#This Row],[Waste type 2]],WasteDisposalEmissions[#All],2,FALSE))*Calculations[[#This Row],[Total Kg]])*VLOOKUP(Calculations[[#This Row],[Waste 1]],WasteScenario[#All],2,FALSE),0)</f>
        <v>0</v>
      </c>
      <c r="AA505" s="322">
        <f>IFERROR((VLOOKUP(Calculations[[#This Row],[Waste type 2]],WasteDisposalEmissions[#All],3,FALSE))*Calculations[[#This Row],[Total Kg]]*VLOOKUP(Calculations[[#This Row],[Waste 1]],WasteScenario[#All],3,FALSE),0)</f>
        <v>0</v>
      </c>
      <c r="AB505" s="322">
        <f>SUM(Calculations[[#This Row],[C3 recyc]:[C3 incin]])</f>
        <v>0</v>
      </c>
      <c r="AC505" s="334">
        <f>IFERROR((VLOOKUP(Calculations[[#This Row],[Waste type 2]],WasteLandfillEmissions[#All],2,FALSE))*Calculations[[#This Row],[Total Kg]]*VLOOKUP(Calculations[[#This Row],[Waste 1]],WasteScenario[#All],4,FALSE),0)</f>
        <v>0</v>
      </c>
      <c r="AD505" s="322">
        <f>IFERROR((VLOOKUP(Calculations[[#This Row],[Waste type 2]],WasteLandfillEmissions[#All],3,FALSE))*Calculations[[#This Row],[Total Kg]]*VLOOKUP(Calculations[[#This Row],[Waste 1]],WasteScenario[#All],4,FALSE),0)</f>
        <v>0</v>
      </c>
      <c r="AE505" s="322">
        <f>SUM(Calculations[[#This Row],[C4 landfill]:[C4 re-use]])</f>
        <v>0</v>
      </c>
      <c r="AF505" s="322">
        <f>IFERROR(VLOOKUP(Calculations[[#This Row],[Material (choose from dropdown]],MaterialData[#All],8,FALSE),0)</f>
        <v>0</v>
      </c>
      <c r="AG505" s="322">
        <f>IFERROR(Calculations[[#This Row],[Total Kg]]*Calculations[[#This Row],[Seq factor]],0)</f>
        <v>0</v>
      </c>
      <c r="AI505" s="322">
        <f>Calculations[[#This Row],[A1-3]]+Calculations[[#This Row],[A4]]+Calculations[[#This Row],[A5]]+Calculations[[#This Row],[B4]]+Calculations[[#This Row],[C2 total]]+Calculations[[#This Row],[C3 total]]+Calculations[[#This Row],[C4 total]]</f>
        <v>0</v>
      </c>
      <c r="AJ505" s="2">
        <f>IFERROR(VLOOKUP(Calculations[[#This Row],[Material (choose from dropdown]],MaterialData[[#Headers],[#Data]],9,FALSE),0)</f>
        <v>0</v>
      </c>
      <c r="AK505" s="4">
        <f>IFERROR(VLOOKUP(Calculations[[#This Row],[Material (choose from dropdown]],MaterialData[[#Headers],[#Data]],10,FALSE),0)</f>
        <v>0</v>
      </c>
      <c r="AL505" s="322">
        <f>IFERROR(Calculations[[#This Row],[Data Quality Score]]*Calculations[[#This Row],[Total Kg]],0)</f>
        <v>0</v>
      </c>
    </row>
    <row r="506" spans="1:38" x14ac:dyDescent="0.3">
      <c r="A506" s="6">
        <f>IFERROR(MaterialsBoQ[[#This Row],[Scope Element]],0)</f>
        <v>0</v>
      </c>
      <c r="B506" t="str">
        <f>IFERROR(MaterialsBoQ[[#This Row],[Material ]],"")</f>
        <v/>
      </c>
      <c r="C506" t="str">
        <f>IFERROR(MaterialsBoQ[[#This Row],[Unit]],"")</f>
        <v/>
      </c>
      <c r="D506" s="322">
        <f>IFERROR(MaterialsBoQ[[#This Row],[Number]],0)</f>
        <v>0</v>
      </c>
      <c r="E506" s="322">
        <f>IFERROR(MaterialsBoQ[[#This Row],[Kg per unit]],0)</f>
        <v>0</v>
      </c>
      <c r="F506" s="322">
        <f>IFERROR(Calculations[[#This Row],[Number]]*Calculations[[#This Row],[Conversion factor]],0)</f>
        <v>0</v>
      </c>
      <c r="G506" s="322">
        <f>IFERROR(VLOOKUP(Calculations[[#This Row],[Material (choose from dropdown]],MaterialData[#All],7,FALSE),0)</f>
        <v>0</v>
      </c>
      <c r="H506" s="322">
        <f>Calculations[[#This Row],[Total Kg]]*Calculations[[#This Row],[Carbon Factor]]</f>
        <v>0</v>
      </c>
      <c r="I506" t="str">
        <f>IFERROR(VLOOKUP(Calculations[[#This Row],[Material (choose from dropdown]],MaterialData[#All],2,FALSE),"")</f>
        <v/>
      </c>
      <c r="J506" s="322">
        <f>IFERROR(((VLOOKUP(Calculations[[#This Row],[TransportSource]],TransportDistance[],2,FALSE)*'Stage assumptions'!$C$11)+VLOOKUP(Calculations[[#This Row],[TransportSource]],TransportDistance[],3,FALSE)*'Stage assumptions'!$C$12)*Calculations[[#This Row],[Total Kg]],0)</f>
        <v>0</v>
      </c>
      <c r="K506">
        <f>IFERROR(VLOOKUP(Calculations[[#This Row],[Material (choose from dropdown]], MaterialData[#All],3, FALSE),0)</f>
        <v>0</v>
      </c>
      <c r="L506" s="322">
        <f>IFERROR(VLOOKUP(Calculations[[#This Row],[A5type]],A5WastageRate[#All],2,FALSE)*Calculations[[#This Row],[A1-3]],0)</f>
        <v>0</v>
      </c>
      <c r="N506">
        <f>IFERROR(ROUNDUP(50/VLOOKUP(Calculations[[#This Row],[Scope Element]],B4referenceServiceLife[[Tier 2 element]:[Default Service Life]],2, FALSE)-1,0),0)</f>
        <v>0</v>
      </c>
      <c r="O506" s="322">
        <f>IFERROR((Calculations[[#This Row],[A1-3]]+Calculations[[#This Row],[A4]]+Calculations[[#This Row],[A5]]+Calculations[[#This Row],[C2 total]]+Calculations[[#This Row],[C3 total]]+Calculations[[#This Row],[C4 total]])*Calculations[[#This Row],[Replacements]],0)</f>
        <v>0</v>
      </c>
      <c r="S506" t="str">
        <f>IFERROR(VLOOKUP(Calculations[[#This Row],[Material (choose from dropdown]],MaterialData[#All],4,FALSE),"")</f>
        <v/>
      </c>
      <c r="T506" s="322" cm="1">
        <f t="array" ref="T506">IFERROR(VLOOKUP(Calculations[[#This Row],[Waste 1]],WasteScenario[#All],2,FALSE)*'Stage assumptions'!$C$225*WasteTransportMethod[Emissions Factor
kgCO2e/kg.km]*Calculations[[#This Row],[Total Kg]],0)</f>
        <v>0</v>
      </c>
      <c r="U506" s="322" cm="1">
        <f t="array" ref="U506">IFERROR(VLOOKUP(Calculations[[#This Row],[Waste 1]],WasteScenario[#All],3,FALSE)*'Stage assumptions'!$C$224*WasteTransportMethod[Emissions Factor
kgCO2e/kg.km]*Calculations[[#This Row],[Total Kg]],0)</f>
        <v>0</v>
      </c>
      <c r="V506" s="322" cm="1">
        <f t="array" ref="V506">IFERROR(VLOOKUP(Calculations[[#This Row],[Waste 1]],WasteScenario[#All],4,FALSE)*'Stage assumptions'!$C$223*WasteTransportMethod[Emissions Factor
kgCO2e/kg.km]*Calculations[[#This Row],[Total Kg]],0)</f>
        <v>0</v>
      </c>
      <c r="W506" s="322" cm="1">
        <f t="array" ref="W506">IFERROR(VLOOKUP(Calculations[[#This Row],[Waste 1]],WasteScenario[#All],5,FALSE)*'Stage assumptions'!$C$226*WasteTransportMethod[Emissions Factor
kgCO2e/kg.km]*Calculations[[#This Row],[Total Kg]],0)</f>
        <v>0</v>
      </c>
      <c r="X506" s="322">
        <f>SUM(Calculations[[#This Row],[C2 Recycle]:[C2 Reuse]])</f>
        <v>0</v>
      </c>
      <c r="Y506" t="str">
        <f>IFERROR(VLOOKUP(Calculations[[#This Row],[Material (choose from dropdown]],MaterialData[#All],5,FALSE),"")</f>
        <v/>
      </c>
      <c r="Z506" s="322">
        <f>IFERROR(((VLOOKUP(Calculations[[#This Row],[Waste type 2]],WasteDisposalEmissions[#All],2,FALSE))*Calculations[[#This Row],[Total Kg]])*VLOOKUP(Calculations[[#This Row],[Waste 1]],WasteScenario[#All],2,FALSE),0)</f>
        <v>0</v>
      </c>
      <c r="AA506" s="322">
        <f>IFERROR((VLOOKUP(Calculations[[#This Row],[Waste type 2]],WasteDisposalEmissions[#All],3,FALSE))*Calculations[[#This Row],[Total Kg]]*VLOOKUP(Calculations[[#This Row],[Waste 1]],WasteScenario[#All],3,FALSE),0)</f>
        <v>0</v>
      </c>
      <c r="AB506" s="322">
        <f>SUM(Calculations[[#This Row],[C3 recyc]:[C3 incin]])</f>
        <v>0</v>
      </c>
      <c r="AC506" s="334">
        <f>IFERROR((VLOOKUP(Calculations[[#This Row],[Waste type 2]],WasteLandfillEmissions[#All],2,FALSE))*Calculations[[#This Row],[Total Kg]]*VLOOKUP(Calculations[[#This Row],[Waste 1]],WasteScenario[#All],4,FALSE),0)</f>
        <v>0</v>
      </c>
      <c r="AD506" s="322">
        <f>IFERROR((VLOOKUP(Calculations[[#This Row],[Waste type 2]],WasteLandfillEmissions[#All],3,FALSE))*Calculations[[#This Row],[Total Kg]]*VLOOKUP(Calculations[[#This Row],[Waste 1]],WasteScenario[#All],4,FALSE),0)</f>
        <v>0</v>
      </c>
      <c r="AE506" s="322">
        <f>SUM(Calculations[[#This Row],[C4 landfill]:[C4 re-use]])</f>
        <v>0</v>
      </c>
      <c r="AF506" s="322">
        <f>IFERROR(VLOOKUP(Calculations[[#This Row],[Material (choose from dropdown]],MaterialData[#All],8,FALSE),0)</f>
        <v>0</v>
      </c>
      <c r="AG506" s="322">
        <f>IFERROR(Calculations[[#This Row],[Total Kg]]*Calculations[[#This Row],[Seq factor]],0)</f>
        <v>0</v>
      </c>
      <c r="AI506" s="322">
        <f>Calculations[[#This Row],[A1-3]]+Calculations[[#This Row],[A4]]+Calculations[[#This Row],[A5]]+Calculations[[#This Row],[B4]]+Calculations[[#This Row],[C2 total]]+Calculations[[#This Row],[C3 total]]+Calculations[[#This Row],[C4 total]]</f>
        <v>0</v>
      </c>
      <c r="AJ506" s="2">
        <f>IFERROR(VLOOKUP(Calculations[[#This Row],[Material (choose from dropdown]],MaterialData[[#Headers],[#Data]],9,FALSE),0)</f>
        <v>0</v>
      </c>
      <c r="AK506" s="4">
        <f>IFERROR(VLOOKUP(Calculations[[#This Row],[Material (choose from dropdown]],MaterialData[[#Headers],[#Data]],10,FALSE),0)</f>
        <v>0</v>
      </c>
      <c r="AL506" s="322">
        <f>IFERROR(Calculations[[#This Row],[Data Quality Score]]*Calculations[[#This Row],[Total Kg]],0)</f>
        <v>0</v>
      </c>
    </row>
    <row r="507" spans="1:38" x14ac:dyDescent="0.3">
      <c r="A507" s="6">
        <f>IFERROR(MaterialsBoQ[[#This Row],[Scope Element]],0)</f>
        <v>0</v>
      </c>
      <c r="B507" t="str">
        <f>IFERROR(MaterialsBoQ[[#This Row],[Material ]],"")</f>
        <v/>
      </c>
      <c r="C507" t="str">
        <f>IFERROR(MaterialsBoQ[[#This Row],[Unit]],"")</f>
        <v/>
      </c>
      <c r="D507" s="322">
        <f>IFERROR(MaterialsBoQ[[#This Row],[Number]],0)</f>
        <v>0</v>
      </c>
      <c r="E507" s="322">
        <f>IFERROR(MaterialsBoQ[[#This Row],[Kg per unit]],0)</f>
        <v>0</v>
      </c>
      <c r="F507" s="322">
        <f>IFERROR(Calculations[[#This Row],[Number]]*Calculations[[#This Row],[Conversion factor]],0)</f>
        <v>0</v>
      </c>
      <c r="G507" s="322">
        <f>IFERROR(VLOOKUP(Calculations[[#This Row],[Material (choose from dropdown]],MaterialData[#All],7,FALSE),0)</f>
        <v>0</v>
      </c>
      <c r="H507" s="322">
        <f>Calculations[[#This Row],[Total Kg]]*Calculations[[#This Row],[Carbon Factor]]</f>
        <v>0</v>
      </c>
      <c r="I507" t="str">
        <f>IFERROR(VLOOKUP(Calculations[[#This Row],[Material (choose from dropdown]],MaterialData[#All],2,FALSE),"")</f>
        <v/>
      </c>
      <c r="J507" s="322">
        <f>IFERROR(((VLOOKUP(Calculations[[#This Row],[TransportSource]],TransportDistance[],2,FALSE)*'Stage assumptions'!$C$11)+VLOOKUP(Calculations[[#This Row],[TransportSource]],TransportDistance[],3,FALSE)*'Stage assumptions'!$C$12)*Calculations[[#This Row],[Total Kg]],0)</f>
        <v>0</v>
      </c>
      <c r="K507">
        <f>IFERROR(VLOOKUP(Calculations[[#This Row],[Material (choose from dropdown]], MaterialData[#All],3, FALSE),0)</f>
        <v>0</v>
      </c>
      <c r="L507" s="322">
        <f>IFERROR(VLOOKUP(Calculations[[#This Row],[A5type]],A5WastageRate[#All],2,FALSE)*Calculations[[#This Row],[A1-3]],0)</f>
        <v>0</v>
      </c>
      <c r="N507">
        <f>IFERROR(ROUNDUP(50/VLOOKUP(Calculations[[#This Row],[Scope Element]],B4referenceServiceLife[[Tier 2 element]:[Default Service Life]],2, FALSE)-1,0),0)</f>
        <v>0</v>
      </c>
      <c r="O507" s="322">
        <f>IFERROR((Calculations[[#This Row],[A1-3]]+Calculations[[#This Row],[A4]]+Calculations[[#This Row],[A5]]+Calculations[[#This Row],[C2 total]]+Calculations[[#This Row],[C3 total]]+Calculations[[#This Row],[C4 total]])*Calculations[[#This Row],[Replacements]],0)</f>
        <v>0</v>
      </c>
      <c r="S507" t="str">
        <f>IFERROR(VLOOKUP(Calculations[[#This Row],[Material (choose from dropdown]],MaterialData[#All],4,FALSE),"")</f>
        <v/>
      </c>
      <c r="T507" s="322" cm="1">
        <f t="array" ref="T507">IFERROR(VLOOKUP(Calculations[[#This Row],[Waste 1]],WasteScenario[#All],2,FALSE)*'Stage assumptions'!$C$225*WasteTransportMethod[Emissions Factor
kgCO2e/kg.km]*Calculations[[#This Row],[Total Kg]],0)</f>
        <v>0</v>
      </c>
      <c r="U507" s="322" cm="1">
        <f t="array" ref="U507">IFERROR(VLOOKUP(Calculations[[#This Row],[Waste 1]],WasteScenario[#All],3,FALSE)*'Stage assumptions'!$C$224*WasteTransportMethod[Emissions Factor
kgCO2e/kg.km]*Calculations[[#This Row],[Total Kg]],0)</f>
        <v>0</v>
      </c>
      <c r="V507" s="322" cm="1">
        <f t="array" ref="V507">IFERROR(VLOOKUP(Calculations[[#This Row],[Waste 1]],WasteScenario[#All],4,FALSE)*'Stage assumptions'!$C$223*WasteTransportMethod[Emissions Factor
kgCO2e/kg.km]*Calculations[[#This Row],[Total Kg]],0)</f>
        <v>0</v>
      </c>
      <c r="W507" s="322" cm="1">
        <f t="array" ref="W507">IFERROR(VLOOKUP(Calculations[[#This Row],[Waste 1]],WasteScenario[#All],5,FALSE)*'Stage assumptions'!$C$226*WasteTransportMethod[Emissions Factor
kgCO2e/kg.km]*Calculations[[#This Row],[Total Kg]],0)</f>
        <v>0</v>
      </c>
      <c r="X507" s="322">
        <f>SUM(Calculations[[#This Row],[C2 Recycle]:[C2 Reuse]])</f>
        <v>0</v>
      </c>
      <c r="Y507" t="str">
        <f>IFERROR(VLOOKUP(Calculations[[#This Row],[Material (choose from dropdown]],MaterialData[#All],5,FALSE),"")</f>
        <v/>
      </c>
      <c r="Z507" s="322">
        <f>IFERROR(((VLOOKUP(Calculations[[#This Row],[Waste type 2]],WasteDisposalEmissions[#All],2,FALSE))*Calculations[[#This Row],[Total Kg]])*VLOOKUP(Calculations[[#This Row],[Waste 1]],WasteScenario[#All],2,FALSE),0)</f>
        <v>0</v>
      </c>
      <c r="AA507" s="322">
        <f>IFERROR((VLOOKUP(Calculations[[#This Row],[Waste type 2]],WasteDisposalEmissions[#All],3,FALSE))*Calculations[[#This Row],[Total Kg]]*VLOOKUP(Calculations[[#This Row],[Waste 1]],WasteScenario[#All],3,FALSE),0)</f>
        <v>0</v>
      </c>
      <c r="AB507" s="322">
        <f>SUM(Calculations[[#This Row],[C3 recyc]:[C3 incin]])</f>
        <v>0</v>
      </c>
      <c r="AC507" s="334">
        <f>IFERROR((VLOOKUP(Calculations[[#This Row],[Waste type 2]],WasteLandfillEmissions[#All],2,FALSE))*Calculations[[#This Row],[Total Kg]]*VLOOKUP(Calculations[[#This Row],[Waste 1]],WasteScenario[#All],4,FALSE),0)</f>
        <v>0</v>
      </c>
      <c r="AD507" s="322">
        <f>IFERROR((VLOOKUP(Calculations[[#This Row],[Waste type 2]],WasteLandfillEmissions[#All],3,FALSE))*Calculations[[#This Row],[Total Kg]]*VLOOKUP(Calculations[[#This Row],[Waste 1]],WasteScenario[#All],4,FALSE),0)</f>
        <v>0</v>
      </c>
      <c r="AE507" s="322">
        <f>SUM(Calculations[[#This Row],[C4 landfill]:[C4 re-use]])</f>
        <v>0</v>
      </c>
      <c r="AF507" s="322">
        <f>IFERROR(VLOOKUP(Calculations[[#This Row],[Material (choose from dropdown]],MaterialData[#All],8,FALSE),0)</f>
        <v>0</v>
      </c>
      <c r="AG507" s="322">
        <f>IFERROR(Calculations[[#This Row],[Total Kg]]*Calculations[[#This Row],[Seq factor]],0)</f>
        <v>0</v>
      </c>
      <c r="AI507" s="322">
        <f>Calculations[[#This Row],[A1-3]]+Calculations[[#This Row],[A4]]+Calculations[[#This Row],[A5]]+Calculations[[#This Row],[B4]]+Calculations[[#This Row],[C2 total]]+Calculations[[#This Row],[C3 total]]+Calculations[[#This Row],[C4 total]]</f>
        <v>0</v>
      </c>
      <c r="AJ507" s="2">
        <f>IFERROR(VLOOKUP(Calculations[[#This Row],[Material (choose from dropdown]],MaterialData[[#Headers],[#Data]],9,FALSE),0)</f>
        <v>0</v>
      </c>
      <c r="AK507" s="4">
        <f>IFERROR(VLOOKUP(Calculations[[#This Row],[Material (choose from dropdown]],MaterialData[[#Headers],[#Data]],10,FALSE),0)</f>
        <v>0</v>
      </c>
      <c r="AL507" s="322">
        <f>IFERROR(Calculations[[#This Row],[Data Quality Score]]*Calculations[[#This Row],[Total Kg]],0)</f>
        <v>0</v>
      </c>
    </row>
    <row r="508" spans="1:38" x14ac:dyDescent="0.3">
      <c r="A508" s="6">
        <f>IFERROR(MaterialsBoQ[[#This Row],[Scope Element]],0)</f>
        <v>0</v>
      </c>
      <c r="B508" t="str">
        <f>IFERROR(MaterialsBoQ[[#This Row],[Material ]],"")</f>
        <v/>
      </c>
      <c r="C508" t="str">
        <f>IFERROR(MaterialsBoQ[[#This Row],[Unit]],"")</f>
        <v/>
      </c>
      <c r="D508" s="322">
        <f>IFERROR(MaterialsBoQ[[#This Row],[Number]],0)</f>
        <v>0</v>
      </c>
      <c r="E508" s="322">
        <f>IFERROR(MaterialsBoQ[[#This Row],[Kg per unit]],0)</f>
        <v>0</v>
      </c>
      <c r="F508" s="322">
        <f>IFERROR(Calculations[[#This Row],[Number]]*Calculations[[#This Row],[Conversion factor]],0)</f>
        <v>0</v>
      </c>
      <c r="G508" s="322">
        <f>IFERROR(VLOOKUP(Calculations[[#This Row],[Material (choose from dropdown]],MaterialData[#All],7,FALSE),0)</f>
        <v>0</v>
      </c>
      <c r="H508" s="322">
        <f>Calculations[[#This Row],[Total Kg]]*Calculations[[#This Row],[Carbon Factor]]</f>
        <v>0</v>
      </c>
      <c r="I508" t="str">
        <f>IFERROR(VLOOKUP(Calculations[[#This Row],[Material (choose from dropdown]],MaterialData[#All],2,FALSE),"")</f>
        <v/>
      </c>
      <c r="J508" s="322">
        <f>IFERROR(((VLOOKUP(Calculations[[#This Row],[TransportSource]],TransportDistance[],2,FALSE)*'Stage assumptions'!$C$11)+VLOOKUP(Calculations[[#This Row],[TransportSource]],TransportDistance[],3,FALSE)*'Stage assumptions'!$C$12)*Calculations[[#This Row],[Total Kg]],0)</f>
        <v>0</v>
      </c>
      <c r="K508">
        <f>IFERROR(VLOOKUP(Calculations[[#This Row],[Material (choose from dropdown]], MaterialData[#All],3, FALSE),0)</f>
        <v>0</v>
      </c>
      <c r="L508" s="322">
        <f>IFERROR(VLOOKUP(Calculations[[#This Row],[A5type]],A5WastageRate[#All],2,FALSE)*Calculations[[#This Row],[A1-3]],0)</f>
        <v>0</v>
      </c>
      <c r="N508">
        <f>IFERROR(ROUNDUP(50/VLOOKUP(Calculations[[#This Row],[Scope Element]],B4referenceServiceLife[[Tier 2 element]:[Default Service Life]],2, FALSE)-1,0),0)</f>
        <v>0</v>
      </c>
      <c r="O508" s="322">
        <f>IFERROR((Calculations[[#This Row],[A1-3]]+Calculations[[#This Row],[A4]]+Calculations[[#This Row],[A5]]+Calculations[[#This Row],[C2 total]]+Calculations[[#This Row],[C3 total]]+Calculations[[#This Row],[C4 total]])*Calculations[[#This Row],[Replacements]],0)</f>
        <v>0</v>
      </c>
      <c r="S508" t="str">
        <f>IFERROR(VLOOKUP(Calculations[[#This Row],[Material (choose from dropdown]],MaterialData[#All],4,FALSE),"")</f>
        <v/>
      </c>
      <c r="T508" s="322" cm="1">
        <f t="array" ref="T508">IFERROR(VLOOKUP(Calculations[[#This Row],[Waste 1]],WasteScenario[#All],2,FALSE)*'Stage assumptions'!$C$225*WasteTransportMethod[Emissions Factor
kgCO2e/kg.km]*Calculations[[#This Row],[Total Kg]],0)</f>
        <v>0</v>
      </c>
      <c r="U508" s="322" cm="1">
        <f t="array" ref="U508">IFERROR(VLOOKUP(Calculations[[#This Row],[Waste 1]],WasteScenario[#All],3,FALSE)*'Stage assumptions'!$C$224*WasteTransportMethod[Emissions Factor
kgCO2e/kg.km]*Calculations[[#This Row],[Total Kg]],0)</f>
        <v>0</v>
      </c>
      <c r="V508" s="322" cm="1">
        <f t="array" ref="V508">IFERROR(VLOOKUP(Calculations[[#This Row],[Waste 1]],WasteScenario[#All],4,FALSE)*'Stage assumptions'!$C$223*WasteTransportMethod[Emissions Factor
kgCO2e/kg.km]*Calculations[[#This Row],[Total Kg]],0)</f>
        <v>0</v>
      </c>
      <c r="W508" s="322" cm="1">
        <f t="array" ref="W508">IFERROR(VLOOKUP(Calculations[[#This Row],[Waste 1]],WasteScenario[#All],5,FALSE)*'Stage assumptions'!$C$226*WasteTransportMethod[Emissions Factor
kgCO2e/kg.km]*Calculations[[#This Row],[Total Kg]],0)</f>
        <v>0</v>
      </c>
      <c r="X508" s="322">
        <f>SUM(Calculations[[#This Row],[C2 Recycle]:[C2 Reuse]])</f>
        <v>0</v>
      </c>
      <c r="Y508" t="str">
        <f>IFERROR(VLOOKUP(Calculations[[#This Row],[Material (choose from dropdown]],MaterialData[#All],5,FALSE),"")</f>
        <v/>
      </c>
      <c r="Z508" s="322">
        <f>IFERROR(((VLOOKUP(Calculations[[#This Row],[Waste type 2]],WasteDisposalEmissions[#All],2,FALSE))*Calculations[[#This Row],[Total Kg]])*VLOOKUP(Calculations[[#This Row],[Waste 1]],WasteScenario[#All],2,FALSE),0)</f>
        <v>0</v>
      </c>
      <c r="AA508" s="322">
        <f>IFERROR((VLOOKUP(Calculations[[#This Row],[Waste type 2]],WasteDisposalEmissions[#All],3,FALSE))*Calculations[[#This Row],[Total Kg]]*VLOOKUP(Calculations[[#This Row],[Waste 1]],WasteScenario[#All],3,FALSE),0)</f>
        <v>0</v>
      </c>
      <c r="AB508" s="322">
        <f>SUM(Calculations[[#This Row],[C3 recyc]:[C3 incin]])</f>
        <v>0</v>
      </c>
      <c r="AC508" s="334">
        <f>IFERROR((VLOOKUP(Calculations[[#This Row],[Waste type 2]],WasteLandfillEmissions[#All],2,FALSE))*Calculations[[#This Row],[Total Kg]]*VLOOKUP(Calculations[[#This Row],[Waste 1]],WasteScenario[#All],4,FALSE),0)</f>
        <v>0</v>
      </c>
      <c r="AD508" s="322">
        <f>IFERROR((VLOOKUP(Calculations[[#This Row],[Waste type 2]],WasteLandfillEmissions[#All],3,FALSE))*Calculations[[#This Row],[Total Kg]]*VLOOKUP(Calculations[[#This Row],[Waste 1]],WasteScenario[#All],4,FALSE),0)</f>
        <v>0</v>
      </c>
      <c r="AE508" s="322">
        <f>SUM(Calculations[[#This Row],[C4 landfill]:[C4 re-use]])</f>
        <v>0</v>
      </c>
      <c r="AF508" s="322">
        <f>IFERROR(VLOOKUP(Calculations[[#This Row],[Material (choose from dropdown]],MaterialData[#All],8,FALSE),0)</f>
        <v>0</v>
      </c>
      <c r="AG508" s="322">
        <f>IFERROR(Calculations[[#This Row],[Total Kg]]*Calculations[[#This Row],[Seq factor]],0)</f>
        <v>0</v>
      </c>
      <c r="AI508" s="322">
        <f>Calculations[[#This Row],[A1-3]]+Calculations[[#This Row],[A4]]+Calculations[[#This Row],[A5]]+Calculations[[#This Row],[B4]]+Calculations[[#This Row],[C2 total]]+Calculations[[#This Row],[C3 total]]+Calculations[[#This Row],[C4 total]]</f>
        <v>0</v>
      </c>
      <c r="AJ508" s="2">
        <f>IFERROR(VLOOKUP(Calculations[[#This Row],[Material (choose from dropdown]],MaterialData[[#Headers],[#Data]],9,FALSE),0)</f>
        <v>0</v>
      </c>
      <c r="AK508" s="4">
        <f>IFERROR(VLOOKUP(Calculations[[#This Row],[Material (choose from dropdown]],MaterialData[[#Headers],[#Data]],10,FALSE),0)</f>
        <v>0</v>
      </c>
      <c r="AL508" s="322">
        <f>IFERROR(Calculations[[#This Row],[Data Quality Score]]*Calculations[[#This Row],[Total Kg]],0)</f>
        <v>0</v>
      </c>
    </row>
    <row r="509" spans="1:38" x14ac:dyDescent="0.3">
      <c r="A509" s="6">
        <f>IFERROR(MaterialsBoQ[[#This Row],[Scope Element]],0)</f>
        <v>0</v>
      </c>
      <c r="B509" t="str">
        <f>IFERROR(MaterialsBoQ[[#This Row],[Material ]],"")</f>
        <v/>
      </c>
      <c r="C509" t="str">
        <f>IFERROR(MaterialsBoQ[[#This Row],[Unit]],"")</f>
        <v/>
      </c>
      <c r="D509" s="322">
        <f>IFERROR(MaterialsBoQ[[#This Row],[Number]],0)</f>
        <v>0</v>
      </c>
      <c r="E509" s="322">
        <f>IFERROR(MaterialsBoQ[[#This Row],[Kg per unit]],0)</f>
        <v>0</v>
      </c>
      <c r="F509" s="322">
        <f>IFERROR(Calculations[[#This Row],[Number]]*Calculations[[#This Row],[Conversion factor]],0)</f>
        <v>0</v>
      </c>
      <c r="G509" s="322">
        <f>IFERROR(VLOOKUP(Calculations[[#This Row],[Material (choose from dropdown]],MaterialData[#All],7,FALSE),0)</f>
        <v>0</v>
      </c>
      <c r="H509" s="322">
        <f>Calculations[[#This Row],[Total Kg]]*Calculations[[#This Row],[Carbon Factor]]</f>
        <v>0</v>
      </c>
      <c r="I509" t="str">
        <f>IFERROR(VLOOKUP(Calculations[[#This Row],[Material (choose from dropdown]],MaterialData[#All],2,FALSE),"")</f>
        <v/>
      </c>
      <c r="J509" s="322">
        <f>IFERROR(((VLOOKUP(Calculations[[#This Row],[TransportSource]],TransportDistance[],2,FALSE)*'Stage assumptions'!$C$11)+VLOOKUP(Calculations[[#This Row],[TransportSource]],TransportDistance[],3,FALSE)*'Stage assumptions'!$C$12)*Calculations[[#This Row],[Total Kg]],0)</f>
        <v>0</v>
      </c>
      <c r="K509">
        <f>IFERROR(VLOOKUP(Calculations[[#This Row],[Material (choose from dropdown]], MaterialData[#All],3, FALSE),0)</f>
        <v>0</v>
      </c>
      <c r="L509" s="322">
        <f>IFERROR(VLOOKUP(Calculations[[#This Row],[A5type]],A5WastageRate[#All],2,FALSE)*Calculations[[#This Row],[A1-3]],0)</f>
        <v>0</v>
      </c>
      <c r="N509">
        <f>IFERROR(ROUNDUP(50/VLOOKUP(Calculations[[#This Row],[Scope Element]],B4referenceServiceLife[[Tier 2 element]:[Default Service Life]],2, FALSE)-1,0),0)</f>
        <v>0</v>
      </c>
      <c r="O509" s="322">
        <f>IFERROR((Calculations[[#This Row],[A1-3]]+Calculations[[#This Row],[A4]]+Calculations[[#This Row],[A5]]+Calculations[[#This Row],[C2 total]]+Calculations[[#This Row],[C3 total]]+Calculations[[#This Row],[C4 total]])*Calculations[[#This Row],[Replacements]],0)</f>
        <v>0</v>
      </c>
      <c r="S509" t="str">
        <f>IFERROR(VLOOKUP(Calculations[[#This Row],[Material (choose from dropdown]],MaterialData[#All],4,FALSE),"")</f>
        <v/>
      </c>
      <c r="T509" s="322" cm="1">
        <f t="array" ref="T509">IFERROR(VLOOKUP(Calculations[[#This Row],[Waste 1]],WasteScenario[#All],2,FALSE)*'Stage assumptions'!$C$225*WasteTransportMethod[Emissions Factor
kgCO2e/kg.km]*Calculations[[#This Row],[Total Kg]],0)</f>
        <v>0</v>
      </c>
      <c r="U509" s="322" cm="1">
        <f t="array" ref="U509">IFERROR(VLOOKUP(Calculations[[#This Row],[Waste 1]],WasteScenario[#All],3,FALSE)*'Stage assumptions'!$C$224*WasteTransportMethod[Emissions Factor
kgCO2e/kg.km]*Calculations[[#This Row],[Total Kg]],0)</f>
        <v>0</v>
      </c>
      <c r="V509" s="322" cm="1">
        <f t="array" ref="V509">IFERROR(VLOOKUP(Calculations[[#This Row],[Waste 1]],WasteScenario[#All],4,FALSE)*'Stage assumptions'!$C$223*WasteTransportMethod[Emissions Factor
kgCO2e/kg.km]*Calculations[[#This Row],[Total Kg]],0)</f>
        <v>0</v>
      </c>
      <c r="W509" s="322" cm="1">
        <f t="array" ref="W509">IFERROR(VLOOKUP(Calculations[[#This Row],[Waste 1]],WasteScenario[#All],5,FALSE)*'Stage assumptions'!$C$226*WasteTransportMethod[Emissions Factor
kgCO2e/kg.km]*Calculations[[#This Row],[Total Kg]],0)</f>
        <v>0</v>
      </c>
      <c r="X509" s="322">
        <f>SUM(Calculations[[#This Row],[C2 Recycle]:[C2 Reuse]])</f>
        <v>0</v>
      </c>
      <c r="Y509" t="str">
        <f>IFERROR(VLOOKUP(Calculations[[#This Row],[Material (choose from dropdown]],MaterialData[#All],5,FALSE),"")</f>
        <v/>
      </c>
      <c r="Z509" s="322">
        <f>IFERROR(((VLOOKUP(Calculations[[#This Row],[Waste type 2]],WasteDisposalEmissions[#All],2,FALSE))*Calculations[[#This Row],[Total Kg]])*VLOOKUP(Calculations[[#This Row],[Waste 1]],WasteScenario[#All],2,FALSE),0)</f>
        <v>0</v>
      </c>
      <c r="AA509" s="322">
        <f>IFERROR((VLOOKUP(Calculations[[#This Row],[Waste type 2]],WasteDisposalEmissions[#All],3,FALSE))*Calculations[[#This Row],[Total Kg]]*VLOOKUP(Calculations[[#This Row],[Waste 1]],WasteScenario[#All],3,FALSE),0)</f>
        <v>0</v>
      </c>
      <c r="AB509" s="322">
        <f>SUM(Calculations[[#This Row],[C3 recyc]:[C3 incin]])</f>
        <v>0</v>
      </c>
      <c r="AC509" s="334">
        <f>IFERROR((VLOOKUP(Calculations[[#This Row],[Waste type 2]],WasteLandfillEmissions[#All],2,FALSE))*Calculations[[#This Row],[Total Kg]]*VLOOKUP(Calculations[[#This Row],[Waste 1]],WasteScenario[#All],4,FALSE),0)</f>
        <v>0</v>
      </c>
      <c r="AD509" s="322">
        <f>IFERROR((VLOOKUP(Calculations[[#This Row],[Waste type 2]],WasteLandfillEmissions[#All],3,FALSE))*Calculations[[#This Row],[Total Kg]]*VLOOKUP(Calculations[[#This Row],[Waste 1]],WasteScenario[#All],4,FALSE),0)</f>
        <v>0</v>
      </c>
      <c r="AE509" s="322">
        <f>SUM(Calculations[[#This Row],[C4 landfill]:[C4 re-use]])</f>
        <v>0</v>
      </c>
      <c r="AF509" s="322">
        <f>IFERROR(VLOOKUP(Calculations[[#This Row],[Material (choose from dropdown]],MaterialData[#All],8,FALSE),0)</f>
        <v>0</v>
      </c>
      <c r="AG509" s="322">
        <f>IFERROR(Calculations[[#This Row],[Total Kg]]*Calculations[[#This Row],[Seq factor]],0)</f>
        <v>0</v>
      </c>
      <c r="AI509" s="322">
        <f>Calculations[[#This Row],[A1-3]]+Calculations[[#This Row],[A4]]+Calculations[[#This Row],[A5]]+Calculations[[#This Row],[B4]]+Calculations[[#This Row],[C2 total]]+Calculations[[#This Row],[C3 total]]+Calculations[[#This Row],[C4 total]]</f>
        <v>0</v>
      </c>
      <c r="AJ509" s="2">
        <f>IFERROR(VLOOKUP(Calculations[[#This Row],[Material (choose from dropdown]],MaterialData[[#Headers],[#Data]],9,FALSE),0)</f>
        <v>0</v>
      </c>
      <c r="AK509" s="4">
        <f>IFERROR(VLOOKUP(Calculations[[#This Row],[Material (choose from dropdown]],MaterialData[[#Headers],[#Data]],10,FALSE),0)</f>
        <v>0</v>
      </c>
      <c r="AL509" s="322">
        <f>IFERROR(Calculations[[#This Row],[Data Quality Score]]*Calculations[[#This Row],[Total Kg]],0)</f>
        <v>0</v>
      </c>
    </row>
    <row r="510" spans="1:38" x14ac:dyDescent="0.3">
      <c r="A510" s="6">
        <f>IFERROR(MaterialsBoQ[[#This Row],[Scope Element]],0)</f>
        <v>0</v>
      </c>
      <c r="B510" t="str">
        <f>IFERROR(MaterialsBoQ[[#This Row],[Material ]],"")</f>
        <v/>
      </c>
      <c r="C510" t="str">
        <f>IFERROR(MaterialsBoQ[[#This Row],[Unit]],"")</f>
        <v/>
      </c>
      <c r="D510" s="322">
        <f>IFERROR(MaterialsBoQ[[#This Row],[Number]],0)</f>
        <v>0</v>
      </c>
      <c r="E510" s="322">
        <f>IFERROR(MaterialsBoQ[[#This Row],[Kg per unit]],0)</f>
        <v>0</v>
      </c>
      <c r="F510" s="322">
        <f>IFERROR(Calculations[[#This Row],[Number]]*Calculations[[#This Row],[Conversion factor]],0)</f>
        <v>0</v>
      </c>
      <c r="G510" s="322">
        <f>IFERROR(VLOOKUP(Calculations[[#This Row],[Material (choose from dropdown]],MaterialData[#All],7,FALSE),0)</f>
        <v>0</v>
      </c>
      <c r="H510" s="322">
        <f>Calculations[[#This Row],[Total Kg]]*Calculations[[#This Row],[Carbon Factor]]</f>
        <v>0</v>
      </c>
      <c r="I510" t="str">
        <f>IFERROR(VLOOKUP(Calculations[[#This Row],[Material (choose from dropdown]],MaterialData[#All],2,FALSE),"")</f>
        <v/>
      </c>
      <c r="J510" s="322">
        <f>IFERROR(((VLOOKUP(Calculations[[#This Row],[TransportSource]],TransportDistance[],2,FALSE)*'Stage assumptions'!$C$11)+VLOOKUP(Calculations[[#This Row],[TransportSource]],TransportDistance[],3,FALSE)*'Stage assumptions'!$C$12)*Calculations[[#This Row],[Total Kg]],0)</f>
        <v>0</v>
      </c>
      <c r="K510">
        <f>IFERROR(VLOOKUP(Calculations[[#This Row],[Material (choose from dropdown]], MaterialData[#All],3, FALSE),0)</f>
        <v>0</v>
      </c>
      <c r="L510" s="322">
        <f>IFERROR(VLOOKUP(Calculations[[#This Row],[A5type]],A5WastageRate[#All],2,FALSE)*Calculations[[#This Row],[A1-3]],0)</f>
        <v>0</v>
      </c>
      <c r="N510">
        <f>IFERROR(ROUNDUP(50/VLOOKUP(Calculations[[#This Row],[Scope Element]],B4referenceServiceLife[[Tier 2 element]:[Default Service Life]],2, FALSE)-1,0),0)</f>
        <v>0</v>
      </c>
      <c r="O510" s="322">
        <f>IFERROR((Calculations[[#This Row],[A1-3]]+Calculations[[#This Row],[A4]]+Calculations[[#This Row],[A5]]+Calculations[[#This Row],[C2 total]]+Calculations[[#This Row],[C3 total]]+Calculations[[#This Row],[C4 total]])*Calculations[[#This Row],[Replacements]],0)</f>
        <v>0</v>
      </c>
      <c r="S510" t="str">
        <f>IFERROR(VLOOKUP(Calculations[[#This Row],[Material (choose from dropdown]],MaterialData[#All],4,FALSE),"")</f>
        <v/>
      </c>
      <c r="T510" s="322" cm="1">
        <f t="array" ref="T510">IFERROR(VLOOKUP(Calculations[[#This Row],[Waste 1]],WasteScenario[#All],2,FALSE)*'Stage assumptions'!$C$225*WasteTransportMethod[Emissions Factor
kgCO2e/kg.km]*Calculations[[#This Row],[Total Kg]],0)</f>
        <v>0</v>
      </c>
      <c r="U510" s="322" cm="1">
        <f t="array" ref="U510">IFERROR(VLOOKUP(Calculations[[#This Row],[Waste 1]],WasteScenario[#All],3,FALSE)*'Stage assumptions'!$C$224*WasteTransportMethod[Emissions Factor
kgCO2e/kg.km]*Calculations[[#This Row],[Total Kg]],0)</f>
        <v>0</v>
      </c>
      <c r="V510" s="322" cm="1">
        <f t="array" ref="V510">IFERROR(VLOOKUP(Calculations[[#This Row],[Waste 1]],WasteScenario[#All],4,FALSE)*'Stage assumptions'!$C$223*WasteTransportMethod[Emissions Factor
kgCO2e/kg.km]*Calculations[[#This Row],[Total Kg]],0)</f>
        <v>0</v>
      </c>
      <c r="W510" s="322" cm="1">
        <f t="array" ref="W510">IFERROR(VLOOKUP(Calculations[[#This Row],[Waste 1]],WasteScenario[#All],5,FALSE)*'Stage assumptions'!$C$226*WasteTransportMethod[Emissions Factor
kgCO2e/kg.km]*Calculations[[#This Row],[Total Kg]],0)</f>
        <v>0</v>
      </c>
      <c r="X510" s="322">
        <f>SUM(Calculations[[#This Row],[C2 Recycle]:[C2 Reuse]])</f>
        <v>0</v>
      </c>
      <c r="Y510" t="str">
        <f>IFERROR(VLOOKUP(Calculations[[#This Row],[Material (choose from dropdown]],MaterialData[#All],5,FALSE),"")</f>
        <v/>
      </c>
      <c r="Z510" s="322">
        <f>IFERROR(((VLOOKUP(Calculations[[#This Row],[Waste type 2]],WasteDisposalEmissions[#All],2,FALSE))*Calculations[[#This Row],[Total Kg]])*VLOOKUP(Calculations[[#This Row],[Waste 1]],WasteScenario[#All],2,FALSE),0)</f>
        <v>0</v>
      </c>
      <c r="AA510" s="322">
        <f>IFERROR((VLOOKUP(Calculations[[#This Row],[Waste type 2]],WasteDisposalEmissions[#All],3,FALSE))*Calculations[[#This Row],[Total Kg]]*VLOOKUP(Calculations[[#This Row],[Waste 1]],WasteScenario[#All],3,FALSE),0)</f>
        <v>0</v>
      </c>
      <c r="AB510" s="322">
        <f>SUM(Calculations[[#This Row],[C3 recyc]:[C3 incin]])</f>
        <v>0</v>
      </c>
      <c r="AC510" s="334">
        <f>IFERROR((VLOOKUP(Calculations[[#This Row],[Waste type 2]],WasteLandfillEmissions[#All],2,FALSE))*Calculations[[#This Row],[Total Kg]]*VLOOKUP(Calculations[[#This Row],[Waste 1]],WasteScenario[#All],4,FALSE),0)</f>
        <v>0</v>
      </c>
      <c r="AD510" s="322">
        <f>IFERROR((VLOOKUP(Calculations[[#This Row],[Waste type 2]],WasteLandfillEmissions[#All],3,FALSE))*Calculations[[#This Row],[Total Kg]]*VLOOKUP(Calculations[[#This Row],[Waste 1]],WasteScenario[#All],4,FALSE),0)</f>
        <v>0</v>
      </c>
      <c r="AE510" s="322">
        <f>SUM(Calculations[[#This Row],[C4 landfill]:[C4 re-use]])</f>
        <v>0</v>
      </c>
      <c r="AF510" s="322">
        <f>IFERROR(VLOOKUP(Calculations[[#This Row],[Material (choose from dropdown]],MaterialData[#All],8,FALSE),0)</f>
        <v>0</v>
      </c>
      <c r="AG510" s="322">
        <f>IFERROR(Calculations[[#This Row],[Total Kg]]*Calculations[[#This Row],[Seq factor]],0)</f>
        <v>0</v>
      </c>
      <c r="AI510" s="322">
        <f>Calculations[[#This Row],[A1-3]]+Calculations[[#This Row],[A4]]+Calculations[[#This Row],[A5]]+Calculations[[#This Row],[B4]]+Calculations[[#This Row],[C2 total]]+Calculations[[#This Row],[C3 total]]+Calculations[[#This Row],[C4 total]]</f>
        <v>0</v>
      </c>
      <c r="AJ510" s="2">
        <f>IFERROR(VLOOKUP(Calculations[[#This Row],[Material (choose from dropdown]],MaterialData[[#Headers],[#Data]],9,FALSE),0)</f>
        <v>0</v>
      </c>
      <c r="AK510" s="4">
        <f>IFERROR(VLOOKUP(Calculations[[#This Row],[Material (choose from dropdown]],MaterialData[[#Headers],[#Data]],10,FALSE),0)</f>
        <v>0</v>
      </c>
      <c r="AL510" s="322">
        <f>IFERROR(Calculations[[#This Row],[Data Quality Score]]*Calculations[[#This Row],[Total Kg]],0)</f>
        <v>0</v>
      </c>
    </row>
    <row r="511" spans="1:38" x14ac:dyDescent="0.3">
      <c r="A511" s="6">
        <f>IFERROR(MaterialsBoQ[[#This Row],[Scope Element]],0)</f>
        <v>0</v>
      </c>
      <c r="B511" t="str">
        <f>IFERROR(MaterialsBoQ[[#This Row],[Material ]],"")</f>
        <v/>
      </c>
      <c r="C511" t="str">
        <f>IFERROR(MaterialsBoQ[[#This Row],[Unit]],"")</f>
        <v/>
      </c>
      <c r="D511" s="322">
        <f>IFERROR(MaterialsBoQ[[#This Row],[Number]],0)</f>
        <v>0</v>
      </c>
      <c r="E511" s="322">
        <f>IFERROR(MaterialsBoQ[[#This Row],[Kg per unit]],0)</f>
        <v>0</v>
      </c>
      <c r="F511" s="322">
        <f>IFERROR(Calculations[[#This Row],[Number]]*Calculations[[#This Row],[Conversion factor]],0)</f>
        <v>0</v>
      </c>
      <c r="G511" s="322">
        <f>IFERROR(VLOOKUP(Calculations[[#This Row],[Material (choose from dropdown]],MaterialData[#All],7,FALSE),0)</f>
        <v>0</v>
      </c>
      <c r="H511" s="322">
        <f>Calculations[[#This Row],[Total Kg]]*Calculations[[#This Row],[Carbon Factor]]</f>
        <v>0</v>
      </c>
      <c r="I511" t="str">
        <f>IFERROR(VLOOKUP(Calculations[[#This Row],[Material (choose from dropdown]],MaterialData[#All],2,FALSE),"")</f>
        <v/>
      </c>
      <c r="J511" s="322">
        <f>IFERROR(((VLOOKUP(Calculations[[#This Row],[TransportSource]],TransportDistance[],2,FALSE)*'Stage assumptions'!$C$11)+VLOOKUP(Calculations[[#This Row],[TransportSource]],TransportDistance[],3,FALSE)*'Stage assumptions'!$C$12)*Calculations[[#This Row],[Total Kg]],0)</f>
        <v>0</v>
      </c>
      <c r="K511">
        <f>IFERROR(VLOOKUP(Calculations[[#This Row],[Material (choose from dropdown]], MaterialData[#All],3, FALSE),0)</f>
        <v>0</v>
      </c>
      <c r="L511" s="322">
        <f>IFERROR(VLOOKUP(Calculations[[#This Row],[A5type]],A5WastageRate[#All],2,FALSE)*Calculations[[#This Row],[A1-3]],0)</f>
        <v>0</v>
      </c>
      <c r="N511">
        <f>IFERROR(ROUNDUP(50/VLOOKUP(Calculations[[#This Row],[Scope Element]],B4referenceServiceLife[[Tier 2 element]:[Default Service Life]],2, FALSE)-1,0),0)</f>
        <v>0</v>
      </c>
      <c r="O511" s="322">
        <f>IFERROR((Calculations[[#This Row],[A1-3]]+Calculations[[#This Row],[A4]]+Calculations[[#This Row],[A5]]+Calculations[[#This Row],[C2 total]]+Calculations[[#This Row],[C3 total]]+Calculations[[#This Row],[C4 total]])*Calculations[[#This Row],[Replacements]],0)</f>
        <v>0</v>
      </c>
      <c r="S511" t="str">
        <f>IFERROR(VLOOKUP(Calculations[[#This Row],[Material (choose from dropdown]],MaterialData[#All],4,FALSE),"")</f>
        <v/>
      </c>
      <c r="T511" s="322" cm="1">
        <f t="array" ref="T511">IFERROR(VLOOKUP(Calculations[[#This Row],[Waste 1]],WasteScenario[#All],2,FALSE)*'Stage assumptions'!$C$225*WasteTransportMethod[Emissions Factor
kgCO2e/kg.km]*Calculations[[#This Row],[Total Kg]],0)</f>
        <v>0</v>
      </c>
      <c r="U511" s="322" cm="1">
        <f t="array" ref="U511">IFERROR(VLOOKUP(Calculations[[#This Row],[Waste 1]],WasteScenario[#All],3,FALSE)*'Stage assumptions'!$C$224*WasteTransportMethod[Emissions Factor
kgCO2e/kg.km]*Calculations[[#This Row],[Total Kg]],0)</f>
        <v>0</v>
      </c>
      <c r="V511" s="322" cm="1">
        <f t="array" ref="V511">IFERROR(VLOOKUP(Calculations[[#This Row],[Waste 1]],WasteScenario[#All],4,FALSE)*'Stage assumptions'!$C$223*WasteTransportMethod[Emissions Factor
kgCO2e/kg.km]*Calculations[[#This Row],[Total Kg]],0)</f>
        <v>0</v>
      </c>
      <c r="W511" s="322" cm="1">
        <f t="array" ref="W511">IFERROR(VLOOKUP(Calculations[[#This Row],[Waste 1]],WasteScenario[#All],5,FALSE)*'Stage assumptions'!$C$226*WasteTransportMethod[Emissions Factor
kgCO2e/kg.km]*Calculations[[#This Row],[Total Kg]],0)</f>
        <v>0</v>
      </c>
      <c r="X511" s="322">
        <f>SUM(Calculations[[#This Row],[C2 Recycle]:[C2 Reuse]])</f>
        <v>0</v>
      </c>
      <c r="Y511" t="str">
        <f>IFERROR(VLOOKUP(Calculations[[#This Row],[Material (choose from dropdown]],MaterialData[#All],5,FALSE),"")</f>
        <v/>
      </c>
      <c r="Z511" s="322">
        <f>IFERROR(((VLOOKUP(Calculations[[#This Row],[Waste type 2]],WasteDisposalEmissions[#All],2,FALSE))*Calculations[[#This Row],[Total Kg]])*VLOOKUP(Calculations[[#This Row],[Waste 1]],WasteScenario[#All],2,FALSE),0)</f>
        <v>0</v>
      </c>
      <c r="AA511" s="322">
        <f>IFERROR((VLOOKUP(Calculations[[#This Row],[Waste type 2]],WasteDisposalEmissions[#All],3,FALSE))*Calculations[[#This Row],[Total Kg]]*VLOOKUP(Calculations[[#This Row],[Waste 1]],WasteScenario[#All],3,FALSE),0)</f>
        <v>0</v>
      </c>
      <c r="AB511" s="322">
        <f>SUM(Calculations[[#This Row],[C3 recyc]:[C3 incin]])</f>
        <v>0</v>
      </c>
      <c r="AC511" s="334">
        <f>IFERROR((VLOOKUP(Calculations[[#This Row],[Waste type 2]],WasteLandfillEmissions[#All],2,FALSE))*Calculations[[#This Row],[Total Kg]]*VLOOKUP(Calculations[[#This Row],[Waste 1]],WasteScenario[#All],4,FALSE),0)</f>
        <v>0</v>
      </c>
      <c r="AD511" s="322">
        <f>IFERROR((VLOOKUP(Calculations[[#This Row],[Waste type 2]],WasteLandfillEmissions[#All],3,FALSE))*Calculations[[#This Row],[Total Kg]]*VLOOKUP(Calculations[[#This Row],[Waste 1]],WasteScenario[#All],4,FALSE),0)</f>
        <v>0</v>
      </c>
      <c r="AE511" s="322">
        <f>SUM(Calculations[[#This Row],[C4 landfill]:[C4 re-use]])</f>
        <v>0</v>
      </c>
      <c r="AF511" s="322">
        <f>IFERROR(VLOOKUP(Calculations[[#This Row],[Material (choose from dropdown]],MaterialData[#All],8,FALSE),0)</f>
        <v>0</v>
      </c>
      <c r="AG511" s="322">
        <f>IFERROR(Calculations[[#This Row],[Total Kg]]*Calculations[[#This Row],[Seq factor]],0)</f>
        <v>0</v>
      </c>
      <c r="AI511" s="322">
        <f>Calculations[[#This Row],[A1-3]]+Calculations[[#This Row],[A4]]+Calculations[[#This Row],[A5]]+Calculations[[#This Row],[B4]]+Calculations[[#This Row],[C2 total]]+Calculations[[#This Row],[C3 total]]+Calculations[[#This Row],[C4 total]]</f>
        <v>0</v>
      </c>
      <c r="AJ511" s="2">
        <f>IFERROR(VLOOKUP(Calculations[[#This Row],[Material (choose from dropdown]],MaterialData[[#Headers],[#Data]],9,FALSE),0)</f>
        <v>0</v>
      </c>
      <c r="AK511" s="4">
        <f>IFERROR(VLOOKUP(Calculations[[#This Row],[Material (choose from dropdown]],MaterialData[[#Headers],[#Data]],10,FALSE),0)</f>
        <v>0</v>
      </c>
      <c r="AL511" s="322">
        <f>IFERROR(Calculations[[#This Row],[Data Quality Score]]*Calculations[[#This Row],[Total Kg]],0)</f>
        <v>0</v>
      </c>
    </row>
    <row r="512" spans="1:38" x14ac:dyDescent="0.3">
      <c r="A512" s="6">
        <f>IFERROR(MaterialsBoQ[[#This Row],[Scope Element]],0)</f>
        <v>0</v>
      </c>
      <c r="B512" t="str">
        <f>IFERROR(MaterialsBoQ[[#This Row],[Material ]],"")</f>
        <v/>
      </c>
      <c r="C512" t="str">
        <f>IFERROR(MaterialsBoQ[[#This Row],[Unit]],"")</f>
        <v/>
      </c>
      <c r="D512" s="322">
        <f>IFERROR(MaterialsBoQ[[#This Row],[Number]],0)</f>
        <v>0</v>
      </c>
      <c r="E512" s="322">
        <f>IFERROR(MaterialsBoQ[[#This Row],[Kg per unit]],0)</f>
        <v>0</v>
      </c>
      <c r="F512" s="322">
        <f>IFERROR(Calculations[[#This Row],[Number]]*Calculations[[#This Row],[Conversion factor]],0)</f>
        <v>0</v>
      </c>
      <c r="G512" s="322">
        <f>IFERROR(VLOOKUP(Calculations[[#This Row],[Material (choose from dropdown]],MaterialData[#All],7,FALSE),0)</f>
        <v>0</v>
      </c>
      <c r="H512" s="322">
        <f>Calculations[[#This Row],[Total Kg]]*Calculations[[#This Row],[Carbon Factor]]</f>
        <v>0</v>
      </c>
      <c r="I512" t="str">
        <f>IFERROR(VLOOKUP(Calculations[[#This Row],[Material (choose from dropdown]],MaterialData[#All],2,FALSE),"")</f>
        <v/>
      </c>
      <c r="J512" s="322">
        <f>IFERROR(((VLOOKUP(Calculations[[#This Row],[TransportSource]],TransportDistance[],2,FALSE)*'Stage assumptions'!$C$11)+VLOOKUP(Calculations[[#This Row],[TransportSource]],TransportDistance[],3,FALSE)*'Stage assumptions'!$C$12)*Calculations[[#This Row],[Total Kg]],0)</f>
        <v>0</v>
      </c>
      <c r="K512">
        <f>IFERROR(VLOOKUP(Calculations[[#This Row],[Material (choose from dropdown]], MaterialData[#All],3, FALSE),0)</f>
        <v>0</v>
      </c>
      <c r="L512" s="322">
        <f>IFERROR(VLOOKUP(Calculations[[#This Row],[A5type]],A5WastageRate[#All],2,FALSE)*Calculations[[#This Row],[A1-3]],0)</f>
        <v>0</v>
      </c>
      <c r="N512">
        <f>IFERROR(ROUNDUP(50/VLOOKUP(Calculations[[#This Row],[Scope Element]],B4referenceServiceLife[[Tier 2 element]:[Default Service Life]],2, FALSE)-1,0),0)</f>
        <v>0</v>
      </c>
      <c r="O512" s="322">
        <f>IFERROR((Calculations[[#This Row],[A1-3]]+Calculations[[#This Row],[A4]]+Calculations[[#This Row],[A5]]+Calculations[[#This Row],[C2 total]]+Calculations[[#This Row],[C3 total]]+Calculations[[#This Row],[C4 total]])*Calculations[[#This Row],[Replacements]],0)</f>
        <v>0</v>
      </c>
      <c r="S512" t="str">
        <f>IFERROR(VLOOKUP(Calculations[[#This Row],[Material (choose from dropdown]],MaterialData[#All],4,FALSE),"")</f>
        <v/>
      </c>
      <c r="T512" s="322" cm="1">
        <f t="array" ref="T512">IFERROR(VLOOKUP(Calculations[[#This Row],[Waste 1]],WasteScenario[#All],2,FALSE)*'Stage assumptions'!$C$225*WasteTransportMethod[Emissions Factor
kgCO2e/kg.km]*Calculations[[#This Row],[Total Kg]],0)</f>
        <v>0</v>
      </c>
      <c r="U512" s="322" cm="1">
        <f t="array" ref="U512">IFERROR(VLOOKUP(Calculations[[#This Row],[Waste 1]],WasteScenario[#All],3,FALSE)*'Stage assumptions'!$C$224*WasteTransportMethod[Emissions Factor
kgCO2e/kg.km]*Calculations[[#This Row],[Total Kg]],0)</f>
        <v>0</v>
      </c>
      <c r="V512" s="322" cm="1">
        <f t="array" ref="V512">IFERROR(VLOOKUP(Calculations[[#This Row],[Waste 1]],WasteScenario[#All],4,FALSE)*'Stage assumptions'!$C$223*WasteTransportMethod[Emissions Factor
kgCO2e/kg.km]*Calculations[[#This Row],[Total Kg]],0)</f>
        <v>0</v>
      </c>
      <c r="W512" s="322" cm="1">
        <f t="array" ref="W512">IFERROR(VLOOKUP(Calculations[[#This Row],[Waste 1]],WasteScenario[#All],5,FALSE)*'Stage assumptions'!$C$226*WasteTransportMethod[Emissions Factor
kgCO2e/kg.km]*Calculations[[#This Row],[Total Kg]],0)</f>
        <v>0</v>
      </c>
      <c r="X512" s="322">
        <f>SUM(Calculations[[#This Row],[C2 Recycle]:[C2 Reuse]])</f>
        <v>0</v>
      </c>
      <c r="Y512" t="str">
        <f>IFERROR(VLOOKUP(Calculations[[#This Row],[Material (choose from dropdown]],MaterialData[#All],5,FALSE),"")</f>
        <v/>
      </c>
      <c r="Z512" s="322">
        <f>IFERROR(((VLOOKUP(Calculations[[#This Row],[Waste type 2]],WasteDisposalEmissions[#All],2,FALSE))*Calculations[[#This Row],[Total Kg]])*VLOOKUP(Calculations[[#This Row],[Waste 1]],WasteScenario[#All],2,FALSE),0)</f>
        <v>0</v>
      </c>
      <c r="AA512" s="322">
        <f>IFERROR((VLOOKUP(Calculations[[#This Row],[Waste type 2]],WasteDisposalEmissions[#All],3,FALSE))*Calculations[[#This Row],[Total Kg]]*VLOOKUP(Calculations[[#This Row],[Waste 1]],WasteScenario[#All],3,FALSE),0)</f>
        <v>0</v>
      </c>
      <c r="AB512" s="322">
        <f>SUM(Calculations[[#This Row],[C3 recyc]:[C3 incin]])</f>
        <v>0</v>
      </c>
      <c r="AC512" s="334">
        <f>IFERROR((VLOOKUP(Calculations[[#This Row],[Waste type 2]],WasteLandfillEmissions[#All],2,FALSE))*Calculations[[#This Row],[Total Kg]]*VLOOKUP(Calculations[[#This Row],[Waste 1]],WasteScenario[#All],4,FALSE),0)</f>
        <v>0</v>
      </c>
      <c r="AD512" s="322">
        <f>IFERROR((VLOOKUP(Calculations[[#This Row],[Waste type 2]],WasteLandfillEmissions[#All],3,FALSE))*Calculations[[#This Row],[Total Kg]]*VLOOKUP(Calculations[[#This Row],[Waste 1]],WasteScenario[#All],4,FALSE),0)</f>
        <v>0</v>
      </c>
      <c r="AE512" s="322">
        <f>SUM(Calculations[[#This Row],[C4 landfill]:[C4 re-use]])</f>
        <v>0</v>
      </c>
      <c r="AF512" s="322">
        <f>IFERROR(VLOOKUP(Calculations[[#This Row],[Material (choose from dropdown]],MaterialData[#All],8,FALSE),0)</f>
        <v>0</v>
      </c>
      <c r="AG512" s="322">
        <f>IFERROR(Calculations[[#This Row],[Total Kg]]*Calculations[[#This Row],[Seq factor]],0)</f>
        <v>0</v>
      </c>
      <c r="AI512" s="322">
        <f>Calculations[[#This Row],[A1-3]]+Calculations[[#This Row],[A4]]+Calculations[[#This Row],[A5]]+Calculations[[#This Row],[B4]]+Calculations[[#This Row],[C2 total]]+Calculations[[#This Row],[C3 total]]+Calculations[[#This Row],[C4 total]]</f>
        <v>0</v>
      </c>
      <c r="AJ512" s="2">
        <f>IFERROR(VLOOKUP(Calculations[[#This Row],[Material (choose from dropdown]],MaterialData[[#Headers],[#Data]],9,FALSE),0)</f>
        <v>0</v>
      </c>
      <c r="AK512" s="4">
        <f>IFERROR(VLOOKUP(Calculations[[#This Row],[Material (choose from dropdown]],MaterialData[[#Headers],[#Data]],10,FALSE),0)</f>
        <v>0</v>
      </c>
      <c r="AL512" s="322">
        <f>IFERROR(Calculations[[#This Row],[Data Quality Score]]*Calculations[[#This Row],[Total Kg]],0)</f>
        <v>0</v>
      </c>
    </row>
    <row r="513" spans="1:38" x14ac:dyDescent="0.3">
      <c r="A513" s="6">
        <f>IFERROR(MaterialsBoQ[[#This Row],[Scope Element]],0)</f>
        <v>0</v>
      </c>
      <c r="B513" t="str">
        <f>IFERROR(MaterialsBoQ[[#This Row],[Material ]],"")</f>
        <v/>
      </c>
      <c r="C513" t="str">
        <f>IFERROR(MaterialsBoQ[[#This Row],[Unit]],"")</f>
        <v/>
      </c>
      <c r="D513" s="322">
        <f>IFERROR(MaterialsBoQ[[#This Row],[Number]],0)</f>
        <v>0</v>
      </c>
      <c r="E513" s="322">
        <f>IFERROR(MaterialsBoQ[[#This Row],[Kg per unit]],0)</f>
        <v>0</v>
      </c>
      <c r="F513" s="322">
        <f>IFERROR(Calculations[[#This Row],[Number]]*Calculations[[#This Row],[Conversion factor]],0)</f>
        <v>0</v>
      </c>
      <c r="G513" s="322">
        <f>IFERROR(VLOOKUP(Calculations[[#This Row],[Material (choose from dropdown]],MaterialData[#All],7,FALSE),0)</f>
        <v>0</v>
      </c>
      <c r="H513" s="322">
        <f>Calculations[[#This Row],[Total Kg]]*Calculations[[#This Row],[Carbon Factor]]</f>
        <v>0</v>
      </c>
      <c r="I513" t="str">
        <f>IFERROR(VLOOKUP(Calculations[[#This Row],[Material (choose from dropdown]],MaterialData[#All],2,FALSE),"")</f>
        <v/>
      </c>
      <c r="J513" s="322">
        <f>IFERROR(((VLOOKUP(Calculations[[#This Row],[TransportSource]],TransportDistance[],2,FALSE)*'Stage assumptions'!$C$11)+VLOOKUP(Calculations[[#This Row],[TransportSource]],TransportDistance[],3,FALSE)*'Stage assumptions'!$C$12)*Calculations[[#This Row],[Total Kg]],0)</f>
        <v>0</v>
      </c>
      <c r="K513">
        <f>IFERROR(VLOOKUP(Calculations[[#This Row],[Material (choose from dropdown]], MaterialData[#All],3, FALSE),0)</f>
        <v>0</v>
      </c>
      <c r="L513" s="322">
        <f>IFERROR(VLOOKUP(Calculations[[#This Row],[A5type]],A5WastageRate[#All],2,FALSE)*Calculations[[#This Row],[A1-3]],0)</f>
        <v>0</v>
      </c>
      <c r="N513">
        <f>IFERROR(ROUNDUP(50/VLOOKUP(Calculations[[#This Row],[Scope Element]],B4referenceServiceLife[[Tier 2 element]:[Default Service Life]],2, FALSE)-1,0),0)</f>
        <v>0</v>
      </c>
      <c r="O513" s="322">
        <f>IFERROR((Calculations[[#This Row],[A1-3]]+Calculations[[#This Row],[A4]]+Calculations[[#This Row],[A5]]+Calculations[[#This Row],[C2 total]]+Calculations[[#This Row],[C3 total]]+Calculations[[#This Row],[C4 total]])*Calculations[[#This Row],[Replacements]],0)</f>
        <v>0</v>
      </c>
      <c r="S513" t="str">
        <f>IFERROR(VLOOKUP(Calculations[[#This Row],[Material (choose from dropdown]],MaterialData[#All],4,FALSE),"")</f>
        <v/>
      </c>
      <c r="T513" s="322" cm="1">
        <f t="array" ref="T513">IFERROR(VLOOKUP(Calculations[[#This Row],[Waste 1]],WasteScenario[#All],2,FALSE)*'Stage assumptions'!$C$225*WasteTransportMethod[Emissions Factor
kgCO2e/kg.km]*Calculations[[#This Row],[Total Kg]],0)</f>
        <v>0</v>
      </c>
      <c r="U513" s="322" cm="1">
        <f t="array" ref="U513">IFERROR(VLOOKUP(Calculations[[#This Row],[Waste 1]],WasteScenario[#All],3,FALSE)*'Stage assumptions'!$C$224*WasteTransportMethod[Emissions Factor
kgCO2e/kg.km]*Calculations[[#This Row],[Total Kg]],0)</f>
        <v>0</v>
      </c>
      <c r="V513" s="322" cm="1">
        <f t="array" ref="V513">IFERROR(VLOOKUP(Calculations[[#This Row],[Waste 1]],WasteScenario[#All],4,FALSE)*'Stage assumptions'!$C$223*WasteTransportMethod[Emissions Factor
kgCO2e/kg.km]*Calculations[[#This Row],[Total Kg]],0)</f>
        <v>0</v>
      </c>
      <c r="W513" s="322" cm="1">
        <f t="array" ref="W513">IFERROR(VLOOKUP(Calculations[[#This Row],[Waste 1]],WasteScenario[#All],5,FALSE)*'Stage assumptions'!$C$226*WasteTransportMethod[Emissions Factor
kgCO2e/kg.km]*Calculations[[#This Row],[Total Kg]],0)</f>
        <v>0</v>
      </c>
      <c r="X513" s="322">
        <f>SUM(Calculations[[#This Row],[C2 Recycle]:[C2 Reuse]])</f>
        <v>0</v>
      </c>
      <c r="Y513" t="str">
        <f>IFERROR(VLOOKUP(Calculations[[#This Row],[Material (choose from dropdown]],MaterialData[#All],5,FALSE),"")</f>
        <v/>
      </c>
      <c r="Z513" s="322">
        <f>IFERROR(((VLOOKUP(Calculations[[#This Row],[Waste type 2]],WasteDisposalEmissions[#All],2,FALSE))*Calculations[[#This Row],[Total Kg]])*VLOOKUP(Calculations[[#This Row],[Waste 1]],WasteScenario[#All],2,FALSE),0)</f>
        <v>0</v>
      </c>
      <c r="AA513" s="322">
        <f>IFERROR((VLOOKUP(Calculations[[#This Row],[Waste type 2]],WasteDisposalEmissions[#All],3,FALSE))*Calculations[[#This Row],[Total Kg]]*VLOOKUP(Calculations[[#This Row],[Waste 1]],WasteScenario[#All],3,FALSE),0)</f>
        <v>0</v>
      </c>
      <c r="AB513" s="322">
        <f>SUM(Calculations[[#This Row],[C3 recyc]:[C3 incin]])</f>
        <v>0</v>
      </c>
      <c r="AC513" s="334">
        <f>IFERROR((VLOOKUP(Calculations[[#This Row],[Waste type 2]],WasteLandfillEmissions[#All],2,FALSE))*Calculations[[#This Row],[Total Kg]]*VLOOKUP(Calculations[[#This Row],[Waste 1]],WasteScenario[#All],4,FALSE),0)</f>
        <v>0</v>
      </c>
      <c r="AD513" s="322">
        <f>IFERROR((VLOOKUP(Calculations[[#This Row],[Waste type 2]],WasteLandfillEmissions[#All],3,FALSE))*Calculations[[#This Row],[Total Kg]]*VLOOKUP(Calculations[[#This Row],[Waste 1]],WasteScenario[#All],4,FALSE),0)</f>
        <v>0</v>
      </c>
      <c r="AE513" s="322">
        <f>SUM(Calculations[[#This Row],[C4 landfill]:[C4 re-use]])</f>
        <v>0</v>
      </c>
      <c r="AF513" s="322">
        <f>IFERROR(VLOOKUP(Calculations[[#This Row],[Material (choose from dropdown]],MaterialData[#All],8,FALSE),0)</f>
        <v>0</v>
      </c>
      <c r="AG513" s="322">
        <f>IFERROR(Calculations[[#This Row],[Total Kg]]*Calculations[[#This Row],[Seq factor]],0)</f>
        <v>0</v>
      </c>
      <c r="AI513" s="322">
        <f>Calculations[[#This Row],[A1-3]]+Calculations[[#This Row],[A4]]+Calculations[[#This Row],[A5]]+Calculations[[#This Row],[B4]]+Calculations[[#This Row],[C2 total]]+Calculations[[#This Row],[C3 total]]+Calculations[[#This Row],[C4 total]]</f>
        <v>0</v>
      </c>
      <c r="AJ513" s="2">
        <f>IFERROR(VLOOKUP(Calculations[[#This Row],[Material (choose from dropdown]],MaterialData[[#Headers],[#Data]],9,FALSE),0)</f>
        <v>0</v>
      </c>
      <c r="AK513" s="4">
        <f>IFERROR(VLOOKUP(Calculations[[#This Row],[Material (choose from dropdown]],MaterialData[[#Headers],[#Data]],10,FALSE),0)</f>
        <v>0</v>
      </c>
      <c r="AL513" s="322">
        <f>IFERROR(Calculations[[#This Row],[Data Quality Score]]*Calculations[[#This Row],[Total Kg]],0)</f>
        <v>0</v>
      </c>
    </row>
    <row r="514" spans="1:38" x14ac:dyDescent="0.3">
      <c r="A514" s="6">
        <f>IFERROR(MaterialsBoQ[[#This Row],[Scope Element]],0)</f>
        <v>0</v>
      </c>
      <c r="B514" t="str">
        <f>IFERROR(MaterialsBoQ[[#This Row],[Material ]],"")</f>
        <v/>
      </c>
      <c r="C514" t="str">
        <f>IFERROR(MaterialsBoQ[[#This Row],[Unit]],"")</f>
        <v/>
      </c>
      <c r="D514" s="322">
        <f>IFERROR(MaterialsBoQ[[#This Row],[Number]],0)</f>
        <v>0</v>
      </c>
      <c r="E514" s="322">
        <f>IFERROR(MaterialsBoQ[[#This Row],[Kg per unit]],0)</f>
        <v>0</v>
      </c>
      <c r="F514" s="322">
        <f>IFERROR(Calculations[[#This Row],[Number]]*Calculations[[#This Row],[Conversion factor]],0)</f>
        <v>0</v>
      </c>
      <c r="G514" s="322">
        <f>IFERROR(VLOOKUP(Calculations[[#This Row],[Material (choose from dropdown]],MaterialData[#All],7,FALSE),0)</f>
        <v>0</v>
      </c>
      <c r="H514" s="322">
        <f>Calculations[[#This Row],[Total Kg]]*Calculations[[#This Row],[Carbon Factor]]</f>
        <v>0</v>
      </c>
      <c r="I514" t="str">
        <f>IFERROR(VLOOKUP(Calculations[[#This Row],[Material (choose from dropdown]],MaterialData[#All],2,FALSE),"")</f>
        <v/>
      </c>
      <c r="J514" s="322">
        <f>IFERROR(((VLOOKUP(Calculations[[#This Row],[TransportSource]],TransportDistance[],2,FALSE)*'Stage assumptions'!$C$11)+VLOOKUP(Calculations[[#This Row],[TransportSource]],TransportDistance[],3,FALSE)*'Stage assumptions'!$C$12)*Calculations[[#This Row],[Total Kg]],0)</f>
        <v>0</v>
      </c>
      <c r="K514">
        <f>IFERROR(VLOOKUP(Calculations[[#This Row],[Material (choose from dropdown]], MaterialData[#All],3, FALSE),0)</f>
        <v>0</v>
      </c>
      <c r="L514" s="322">
        <f>IFERROR(VLOOKUP(Calculations[[#This Row],[A5type]],A5WastageRate[#All],2,FALSE)*Calculations[[#This Row],[A1-3]],0)</f>
        <v>0</v>
      </c>
      <c r="N514">
        <f>IFERROR(ROUNDUP(50/VLOOKUP(Calculations[[#This Row],[Scope Element]],B4referenceServiceLife[[Tier 2 element]:[Default Service Life]],2, FALSE)-1,0),0)</f>
        <v>0</v>
      </c>
      <c r="O514" s="322">
        <f>IFERROR((Calculations[[#This Row],[A1-3]]+Calculations[[#This Row],[A4]]+Calculations[[#This Row],[A5]]+Calculations[[#This Row],[C2 total]]+Calculations[[#This Row],[C3 total]]+Calculations[[#This Row],[C4 total]])*Calculations[[#This Row],[Replacements]],0)</f>
        <v>0</v>
      </c>
      <c r="S514" t="str">
        <f>IFERROR(VLOOKUP(Calculations[[#This Row],[Material (choose from dropdown]],MaterialData[#All],4,FALSE),"")</f>
        <v/>
      </c>
      <c r="T514" s="322" cm="1">
        <f t="array" ref="T514">IFERROR(VLOOKUP(Calculations[[#This Row],[Waste 1]],WasteScenario[#All],2,FALSE)*'Stage assumptions'!$C$225*WasteTransportMethod[Emissions Factor
kgCO2e/kg.km]*Calculations[[#This Row],[Total Kg]],0)</f>
        <v>0</v>
      </c>
      <c r="U514" s="322" cm="1">
        <f t="array" ref="U514">IFERROR(VLOOKUP(Calculations[[#This Row],[Waste 1]],WasteScenario[#All],3,FALSE)*'Stage assumptions'!$C$224*WasteTransportMethod[Emissions Factor
kgCO2e/kg.km]*Calculations[[#This Row],[Total Kg]],0)</f>
        <v>0</v>
      </c>
      <c r="V514" s="322" cm="1">
        <f t="array" ref="V514">IFERROR(VLOOKUP(Calculations[[#This Row],[Waste 1]],WasteScenario[#All],4,FALSE)*'Stage assumptions'!$C$223*WasteTransportMethod[Emissions Factor
kgCO2e/kg.km]*Calculations[[#This Row],[Total Kg]],0)</f>
        <v>0</v>
      </c>
      <c r="W514" s="322" cm="1">
        <f t="array" ref="W514">IFERROR(VLOOKUP(Calculations[[#This Row],[Waste 1]],WasteScenario[#All],5,FALSE)*'Stage assumptions'!$C$226*WasteTransportMethod[Emissions Factor
kgCO2e/kg.km]*Calculations[[#This Row],[Total Kg]],0)</f>
        <v>0</v>
      </c>
      <c r="X514" s="322">
        <f>SUM(Calculations[[#This Row],[C2 Recycle]:[C2 Reuse]])</f>
        <v>0</v>
      </c>
      <c r="Y514" t="str">
        <f>IFERROR(VLOOKUP(Calculations[[#This Row],[Material (choose from dropdown]],MaterialData[#All],5,FALSE),"")</f>
        <v/>
      </c>
      <c r="Z514" s="322">
        <f>IFERROR(((VLOOKUP(Calculations[[#This Row],[Waste type 2]],WasteDisposalEmissions[#All],2,FALSE))*Calculations[[#This Row],[Total Kg]])*VLOOKUP(Calculations[[#This Row],[Waste 1]],WasteScenario[#All],2,FALSE),0)</f>
        <v>0</v>
      </c>
      <c r="AA514" s="322">
        <f>IFERROR((VLOOKUP(Calculations[[#This Row],[Waste type 2]],WasteDisposalEmissions[#All],3,FALSE))*Calculations[[#This Row],[Total Kg]]*VLOOKUP(Calculations[[#This Row],[Waste 1]],WasteScenario[#All],3,FALSE),0)</f>
        <v>0</v>
      </c>
      <c r="AB514" s="322">
        <f>SUM(Calculations[[#This Row],[C3 recyc]:[C3 incin]])</f>
        <v>0</v>
      </c>
      <c r="AC514" s="334">
        <f>IFERROR((VLOOKUP(Calculations[[#This Row],[Waste type 2]],WasteLandfillEmissions[#All],2,FALSE))*Calculations[[#This Row],[Total Kg]]*VLOOKUP(Calculations[[#This Row],[Waste 1]],WasteScenario[#All],4,FALSE),0)</f>
        <v>0</v>
      </c>
      <c r="AD514" s="322">
        <f>IFERROR((VLOOKUP(Calculations[[#This Row],[Waste type 2]],WasteLandfillEmissions[#All],3,FALSE))*Calculations[[#This Row],[Total Kg]]*VLOOKUP(Calculations[[#This Row],[Waste 1]],WasteScenario[#All],4,FALSE),0)</f>
        <v>0</v>
      </c>
      <c r="AE514" s="322">
        <f>SUM(Calculations[[#This Row],[C4 landfill]:[C4 re-use]])</f>
        <v>0</v>
      </c>
      <c r="AF514" s="322">
        <f>IFERROR(VLOOKUP(Calculations[[#This Row],[Material (choose from dropdown]],MaterialData[#All],8,FALSE),0)</f>
        <v>0</v>
      </c>
      <c r="AG514" s="322">
        <f>IFERROR(Calculations[[#This Row],[Total Kg]]*Calculations[[#This Row],[Seq factor]],0)</f>
        <v>0</v>
      </c>
      <c r="AI514" s="322">
        <f>Calculations[[#This Row],[A1-3]]+Calculations[[#This Row],[A4]]+Calculations[[#This Row],[A5]]+Calculations[[#This Row],[B4]]+Calculations[[#This Row],[C2 total]]+Calculations[[#This Row],[C3 total]]+Calculations[[#This Row],[C4 total]]</f>
        <v>0</v>
      </c>
      <c r="AJ514" s="2">
        <f>IFERROR(VLOOKUP(Calculations[[#This Row],[Material (choose from dropdown]],MaterialData[[#Headers],[#Data]],9,FALSE),0)</f>
        <v>0</v>
      </c>
      <c r="AK514" s="4">
        <f>IFERROR(VLOOKUP(Calculations[[#This Row],[Material (choose from dropdown]],MaterialData[[#Headers],[#Data]],10,FALSE),0)</f>
        <v>0</v>
      </c>
      <c r="AL514" s="322">
        <f>IFERROR(Calculations[[#This Row],[Data Quality Score]]*Calculations[[#This Row],[Total Kg]],0)</f>
        <v>0</v>
      </c>
    </row>
    <row r="515" spans="1:38" x14ac:dyDescent="0.3">
      <c r="A515" s="6">
        <f>IFERROR(MaterialsBoQ[[#This Row],[Scope Element]],0)</f>
        <v>0</v>
      </c>
      <c r="B515" t="str">
        <f>IFERROR(MaterialsBoQ[[#This Row],[Material ]],"")</f>
        <v/>
      </c>
      <c r="C515" t="str">
        <f>IFERROR(MaterialsBoQ[[#This Row],[Unit]],"")</f>
        <v/>
      </c>
      <c r="D515" s="322">
        <f>IFERROR(MaterialsBoQ[[#This Row],[Number]],0)</f>
        <v>0</v>
      </c>
      <c r="E515" s="322">
        <f>IFERROR(MaterialsBoQ[[#This Row],[Kg per unit]],0)</f>
        <v>0</v>
      </c>
      <c r="F515" s="322">
        <f>IFERROR(Calculations[[#This Row],[Number]]*Calculations[[#This Row],[Conversion factor]],0)</f>
        <v>0</v>
      </c>
      <c r="G515" s="322">
        <f>IFERROR(VLOOKUP(Calculations[[#This Row],[Material (choose from dropdown]],MaterialData[#All],7,FALSE),0)</f>
        <v>0</v>
      </c>
      <c r="H515" s="322">
        <f>Calculations[[#This Row],[Total Kg]]*Calculations[[#This Row],[Carbon Factor]]</f>
        <v>0</v>
      </c>
      <c r="I515" t="str">
        <f>IFERROR(VLOOKUP(Calculations[[#This Row],[Material (choose from dropdown]],MaterialData[#All],2,FALSE),"")</f>
        <v/>
      </c>
      <c r="J515" s="322">
        <f>IFERROR(((VLOOKUP(Calculations[[#This Row],[TransportSource]],TransportDistance[],2,FALSE)*'Stage assumptions'!$C$11)+VLOOKUP(Calculations[[#This Row],[TransportSource]],TransportDistance[],3,FALSE)*'Stage assumptions'!$C$12)*Calculations[[#This Row],[Total Kg]],0)</f>
        <v>0</v>
      </c>
      <c r="K515">
        <f>IFERROR(VLOOKUP(Calculations[[#This Row],[Material (choose from dropdown]], MaterialData[#All],3, FALSE),0)</f>
        <v>0</v>
      </c>
      <c r="L515" s="322">
        <f>IFERROR(VLOOKUP(Calculations[[#This Row],[A5type]],A5WastageRate[#All],2,FALSE)*Calculations[[#This Row],[A1-3]],0)</f>
        <v>0</v>
      </c>
      <c r="N515">
        <f>IFERROR(ROUNDUP(50/VLOOKUP(Calculations[[#This Row],[Scope Element]],B4referenceServiceLife[[Tier 2 element]:[Default Service Life]],2, FALSE)-1,0),0)</f>
        <v>0</v>
      </c>
      <c r="O515" s="322">
        <f>IFERROR((Calculations[[#This Row],[A1-3]]+Calculations[[#This Row],[A4]]+Calculations[[#This Row],[A5]]+Calculations[[#This Row],[C2 total]]+Calculations[[#This Row],[C3 total]]+Calculations[[#This Row],[C4 total]])*Calculations[[#This Row],[Replacements]],0)</f>
        <v>0</v>
      </c>
      <c r="S515" t="str">
        <f>IFERROR(VLOOKUP(Calculations[[#This Row],[Material (choose from dropdown]],MaterialData[#All],4,FALSE),"")</f>
        <v/>
      </c>
      <c r="T515" s="322" cm="1">
        <f t="array" ref="T515">IFERROR(VLOOKUP(Calculations[[#This Row],[Waste 1]],WasteScenario[#All],2,FALSE)*'Stage assumptions'!$C$225*WasteTransportMethod[Emissions Factor
kgCO2e/kg.km]*Calculations[[#This Row],[Total Kg]],0)</f>
        <v>0</v>
      </c>
      <c r="U515" s="322" cm="1">
        <f t="array" ref="U515">IFERROR(VLOOKUP(Calculations[[#This Row],[Waste 1]],WasteScenario[#All],3,FALSE)*'Stage assumptions'!$C$224*WasteTransportMethod[Emissions Factor
kgCO2e/kg.km]*Calculations[[#This Row],[Total Kg]],0)</f>
        <v>0</v>
      </c>
      <c r="V515" s="322" cm="1">
        <f t="array" ref="V515">IFERROR(VLOOKUP(Calculations[[#This Row],[Waste 1]],WasteScenario[#All],4,FALSE)*'Stage assumptions'!$C$223*WasteTransportMethod[Emissions Factor
kgCO2e/kg.km]*Calculations[[#This Row],[Total Kg]],0)</f>
        <v>0</v>
      </c>
      <c r="W515" s="322" cm="1">
        <f t="array" ref="W515">IFERROR(VLOOKUP(Calculations[[#This Row],[Waste 1]],WasteScenario[#All],5,FALSE)*'Stage assumptions'!$C$226*WasteTransportMethod[Emissions Factor
kgCO2e/kg.km]*Calculations[[#This Row],[Total Kg]],0)</f>
        <v>0</v>
      </c>
      <c r="X515" s="322">
        <f>SUM(Calculations[[#This Row],[C2 Recycle]:[C2 Reuse]])</f>
        <v>0</v>
      </c>
      <c r="Y515" t="str">
        <f>IFERROR(VLOOKUP(Calculations[[#This Row],[Material (choose from dropdown]],MaterialData[#All],5,FALSE),"")</f>
        <v/>
      </c>
      <c r="Z515" s="322">
        <f>IFERROR(((VLOOKUP(Calculations[[#This Row],[Waste type 2]],WasteDisposalEmissions[#All],2,FALSE))*Calculations[[#This Row],[Total Kg]])*VLOOKUP(Calculations[[#This Row],[Waste 1]],WasteScenario[#All],2,FALSE),0)</f>
        <v>0</v>
      </c>
      <c r="AA515" s="322">
        <f>IFERROR((VLOOKUP(Calculations[[#This Row],[Waste type 2]],WasteDisposalEmissions[#All],3,FALSE))*Calculations[[#This Row],[Total Kg]]*VLOOKUP(Calculations[[#This Row],[Waste 1]],WasteScenario[#All],3,FALSE),0)</f>
        <v>0</v>
      </c>
      <c r="AB515" s="322">
        <f>SUM(Calculations[[#This Row],[C3 recyc]:[C3 incin]])</f>
        <v>0</v>
      </c>
      <c r="AC515" s="334">
        <f>IFERROR((VLOOKUP(Calculations[[#This Row],[Waste type 2]],WasteLandfillEmissions[#All],2,FALSE))*Calculations[[#This Row],[Total Kg]]*VLOOKUP(Calculations[[#This Row],[Waste 1]],WasteScenario[#All],4,FALSE),0)</f>
        <v>0</v>
      </c>
      <c r="AD515" s="322">
        <f>IFERROR((VLOOKUP(Calculations[[#This Row],[Waste type 2]],WasteLandfillEmissions[#All],3,FALSE))*Calculations[[#This Row],[Total Kg]]*VLOOKUP(Calculations[[#This Row],[Waste 1]],WasteScenario[#All],4,FALSE),0)</f>
        <v>0</v>
      </c>
      <c r="AE515" s="322">
        <f>SUM(Calculations[[#This Row],[C4 landfill]:[C4 re-use]])</f>
        <v>0</v>
      </c>
      <c r="AF515" s="322">
        <f>IFERROR(VLOOKUP(Calculations[[#This Row],[Material (choose from dropdown]],MaterialData[#All],8,FALSE),0)</f>
        <v>0</v>
      </c>
      <c r="AG515" s="322">
        <f>IFERROR(Calculations[[#This Row],[Total Kg]]*Calculations[[#This Row],[Seq factor]],0)</f>
        <v>0</v>
      </c>
      <c r="AI515" s="322">
        <f>Calculations[[#This Row],[A1-3]]+Calculations[[#This Row],[A4]]+Calculations[[#This Row],[A5]]+Calculations[[#This Row],[B4]]+Calculations[[#This Row],[C2 total]]+Calculations[[#This Row],[C3 total]]+Calculations[[#This Row],[C4 total]]</f>
        <v>0</v>
      </c>
      <c r="AJ515" s="2">
        <f>IFERROR(VLOOKUP(Calculations[[#This Row],[Material (choose from dropdown]],MaterialData[[#Headers],[#Data]],9,FALSE),0)</f>
        <v>0</v>
      </c>
      <c r="AK515" s="4">
        <f>IFERROR(VLOOKUP(Calculations[[#This Row],[Material (choose from dropdown]],MaterialData[[#Headers],[#Data]],10,FALSE),0)</f>
        <v>0</v>
      </c>
      <c r="AL515" s="322">
        <f>IFERROR(Calculations[[#This Row],[Data Quality Score]]*Calculations[[#This Row],[Total Kg]],0)</f>
        <v>0</v>
      </c>
    </row>
    <row r="516" spans="1:38" x14ac:dyDescent="0.3">
      <c r="A516" s="6">
        <f>IFERROR(MaterialsBoQ[[#This Row],[Scope Element]],0)</f>
        <v>0</v>
      </c>
      <c r="B516" t="str">
        <f>IFERROR(MaterialsBoQ[[#This Row],[Material ]],"")</f>
        <v/>
      </c>
      <c r="C516" t="str">
        <f>IFERROR(MaterialsBoQ[[#This Row],[Unit]],"")</f>
        <v/>
      </c>
      <c r="D516" s="322">
        <f>IFERROR(MaterialsBoQ[[#This Row],[Number]],0)</f>
        <v>0</v>
      </c>
      <c r="E516" s="322">
        <f>IFERROR(MaterialsBoQ[[#This Row],[Kg per unit]],0)</f>
        <v>0</v>
      </c>
      <c r="F516" s="322">
        <f>IFERROR(Calculations[[#This Row],[Number]]*Calculations[[#This Row],[Conversion factor]],0)</f>
        <v>0</v>
      </c>
      <c r="G516" s="322">
        <f>IFERROR(VLOOKUP(Calculations[[#This Row],[Material (choose from dropdown]],MaterialData[#All],7,FALSE),0)</f>
        <v>0</v>
      </c>
      <c r="H516" s="322">
        <f>Calculations[[#This Row],[Total Kg]]*Calculations[[#This Row],[Carbon Factor]]</f>
        <v>0</v>
      </c>
      <c r="I516" t="str">
        <f>IFERROR(VLOOKUP(Calculations[[#This Row],[Material (choose from dropdown]],MaterialData[#All],2,FALSE),"")</f>
        <v/>
      </c>
      <c r="J516" s="322">
        <f>IFERROR(((VLOOKUP(Calculations[[#This Row],[TransportSource]],TransportDistance[],2,FALSE)*'Stage assumptions'!$C$11)+VLOOKUP(Calculations[[#This Row],[TransportSource]],TransportDistance[],3,FALSE)*'Stage assumptions'!$C$12)*Calculations[[#This Row],[Total Kg]],0)</f>
        <v>0</v>
      </c>
      <c r="K516">
        <f>IFERROR(VLOOKUP(Calculations[[#This Row],[Material (choose from dropdown]], MaterialData[#All],3, FALSE),0)</f>
        <v>0</v>
      </c>
      <c r="L516" s="322">
        <f>IFERROR(VLOOKUP(Calculations[[#This Row],[A5type]],A5WastageRate[#All],2,FALSE)*Calculations[[#This Row],[A1-3]],0)</f>
        <v>0</v>
      </c>
      <c r="N516">
        <f>IFERROR(ROUNDUP(50/VLOOKUP(Calculations[[#This Row],[Scope Element]],B4referenceServiceLife[[Tier 2 element]:[Default Service Life]],2, FALSE)-1,0),0)</f>
        <v>0</v>
      </c>
      <c r="O516" s="322">
        <f>IFERROR((Calculations[[#This Row],[A1-3]]+Calculations[[#This Row],[A4]]+Calculations[[#This Row],[A5]]+Calculations[[#This Row],[C2 total]]+Calculations[[#This Row],[C3 total]]+Calculations[[#This Row],[C4 total]])*Calculations[[#This Row],[Replacements]],0)</f>
        <v>0</v>
      </c>
      <c r="S516" t="str">
        <f>IFERROR(VLOOKUP(Calculations[[#This Row],[Material (choose from dropdown]],MaterialData[#All],4,FALSE),"")</f>
        <v/>
      </c>
      <c r="T516" s="322" cm="1">
        <f t="array" ref="T516">IFERROR(VLOOKUP(Calculations[[#This Row],[Waste 1]],WasteScenario[#All],2,FALSE)*'Stage assumptions'!$C$225*WasteTransportMethod[Emissions Factor
kgCO2e/kg.km]*Calculations[[#This Row],[Total Kg]],0)</f>
        <v>0</v>
      </c>
      <c r="U516" s="322" cm="1">
        <f t="array" ref="U516">IFERROR(VLOOKUP(Calculations[[#This Row],[Waste 1]],WasteScenario[#All],3,FALSE)*'Stage assumptions'!$C$224*WasteTransportMethod[Emissions Factor
kgCO2e/kg.km]*Calculations[[#This Row],[Total Kg]],0)</f>
        <v>0</v>
      </c>
      <c r="V516" s="322" cm="1">
        <f t="array" ref="V516">IFERROR(VLOOKUP(Calculations[[#This Row],[Waste 1]],WasteScenario[#All],4,FALSE)*'Stage assumptions'!$C$223*WasteTransportMethod[Emissions Factor
kgCO2e/kg.km]*Calculations[[#This Row],[Total Kg]],0)</f>
        <v>0</v>
      </c>
      <c r="W516" s="322" cm="1">
        <f t="array" ref="W516">IFERROR(VLOOKUP(Calculations[[#This Row],[Waste 1]],WasteScenario[#All],5,FALSE)*'Stage assumptions'!$C$226*WasteTransportMethod[Emissions Factor
kgCO2e/kg.km]*Calculations[[#This Row],[Total Kg]],0)</f>
        <v>0</v>
      </c>
      <c r="X516" s="322">
        <f>SUM(Calculations[[#This Row],[C2 Recycle]:[C2 Reuse]])</f>
        <v>0</v>
      </c>
      <c r="Y516" t="str">
        <f>IFERROR(VLOOKUP(Calculations[[#This Row],[Material (choose from dropdown]],MaterialData[#All],5,FALSE),"")</f>
        <v/>
      </c>
      <c r="Z516" s="322">
        <f>IFERROR(((VLOOKUP(Calculations[[#This Row],[Waste type 2]],WasteDisposalEmissions[#All],2,FALSE))*Calculations[[#This Row],[Total Kg]])*VLOOKUP(Calculations[[#This Row],[Waste 1]],WasteScenario[#All],2,FALSE),0)</f>
        <v>0</v>
      </c>
      <c r="AA516" s="322">
        <f>IFERROR((VLOOKUP(Calculations[[#This Row],[Waste type 2]],WasteDisposalEmissions[#All],3,FALSE))*Calculations[[#This Row],[Total Kg]]*VLOOKUP(Calculations[[#This Row],[Waste 1]],WasteScenario[#All],3,FALSE),0)</f>
        <v>0</v>
      </c>
      <c r="AB516" s="322">
        <f>SUM(Calculations[[#This Row],[C3 recyc]:[C3 incin]])</f>
        <v>0</v>
      </c>
      <c r="AC516" s="334">
        <f>IFERROR((VLOOKUP(Calculations[[#This Row],[Waste type 2]],WasteLandfillEmissions[#All],2,FALSE))*Calculations[[#This Row],[Total Kg]]*VLOOKUP(Calculations[[#This Row],[Waste 1]],WasteScenario[#All],4,FALSE),0)</f>
        <v>0</v>
      </c>
      <c r="AD516" s="322">
        <f>IFERROR((VLOOKUP(Calculations[[#This Row],[Waste type 2]],WasteLandfillEmissions[#All],3,FALSE))*Calculations[[#This Row],[Total Kg]]*VLOOKUP(Calculations[[#This Row],[Waste 1]],WasteScenario[#All],4,FALSE),0)</f>
        <v>0</v>
      </c>
      <c r="AE516" s="322">
        <f>SUM(Calculations[[#This Row],[C4 landfill]:[C4 re-use]])</f>
        <v>0</v>
      </c>
      <c r="AF516" s="322">
        <f>IFERROR(VLOOKUP(Calculations[[#This Row],[Material (choose from dropdown]],MaterialData[#All],8,FALSE),0)</f>
        <v>0</v>
      </c>
      <c r="AG516" s="322">
        <f>IFERROR(Calculations[[#This Row],[Total Kg]]*Calculations[[#This Row],[Seq factor]],0)</f>
        <v>0</v>
      </c>
      <c r="AI516" s="322">
        <f>Calculations[[#This Row],[A1-3]]+Calculations[[#This Row],[A4]]+Calculations[[#This Row],[A5]]+Calculations[[#This Row],[B4]]+Calculations[[#This Row],[C2 total]]+Calculations[[#This Row],[C3 total]]+Calculations[[#This Row],[C4 total]]</f>
        <v>0</v>
      </c>
      <c r="AJ516" s="2">
        <f>IFERROR(VLOOKUP(Calculations[[#This Row],[Material (choose from dropdown]],MaterialData[[#Headers],[#Data]],9,FALSE),0)</f>
        <v>0</v>
      </c>
      <c r="AK516" s="4">
        <f>IFERROR(VLOOKUP(Calculations[[#This Row],[Material (choose from dropdown]],MaterialData[[#Headers],[#Data]],10,FALSE),0)</f>
        <v>0</v>
      </c>
      <c r="AL516" s="322">
        <f>IFERROR(Calculations[[#This Row],[Data Quality Score]]*Calculations[[#This Row],[Total Kg]],0)</f>
        <v>0</v>
      </c>
    </row>
    <row r="517" spans="1:38" x14ac:dyDescent="0.3">
      <c r="A517" s="6">
        <f>IFERROR(MaterialsBoQ[[#This Row],[Scope Element]],0)</f>
        <v>0</v>
      </c>
      <c r="B517" t="str">
        <f>IFERROR(MaterialsBoQ[[#This Row],[Material ]],"")</f>
        <v/>
      </c>
      <c r="C517" t="str">
        <f>IFERROR(MaterialsBoQ[[#This Row],[Unit]],"")</f>
        <v/>
      </c>
      <c r="D517" s="322">
        <f>IFERROR(MaterialsBoQ[[#This Row],[Number]],0)</f>
        <v>0</v>
      </c>
      <c r="E517" s="322">
        <f>IFERROR(MaterialsBoQ[[#This Row],[Kg per unit]],0)</f>
        <v>0</v>
      </c>
      <c r="F517" s="322">
        <f>IFERROR(Calculations[[#This Row],[Number]]*Calculations[[#This Row],[Conversion factor]],0)</f>
        <v>0</v>
      </c>
      <c r="G517" s="322">
        <f>IFERROR(VLOOKUP(Calculations[[#This Row],[Material (choose from dropdown]],MaterialData[#All],7,FALSE),0)</f>
        <v>0</v>
      </c>
      <c r="H517" s="322">
        <f>Calculations[[#This Row],[Total Kg]]*Calculations[[#This Row],[Carbon Factor]]</f>
        <v>0</v>
      </c>
      <c r="I517" t="str">
        <f>IFERROR(VLOOKUP(Calculations[[#This Row],[Material (choose from dropdown]],MaterialData[#All],2,FALSE),"")</f>
        <v/>
      </c>
      <c r="J517" s="322">
        <f>IFERROR(((VLOOKUP(Calculations[[#This Row],[TransportSource]],TransportDistance[],2,FALSE)*'Stage assumptions'!$C$11)+VLOOKUP(Calculations[[#This Row],[TransportSource]],TransportDistance[],3,FALSE)*'Stage assumptions'!$C$12)*Calculations[[#This Row],[Total Kg]],0)</f>
        <v>0</v>
      </c>
      <c r="K517">
        <f>IFERROR(VLOOKUP(Calculations[[#This Row],[Material (choose from dropdown]], MaterialData[#All],3, FALSE),0)</f>
        <v>0</v>
      </c>
      <c r="L517" s="322">
        <f>IFERROR(VLOOKUP(Calculations[[#This Row],[A5type]],A5WastageRate[#All],2,FALSE)*Calculations[[#This Row],[A1-3]],0)</f>
        <v>0</v>
      </c>
      <c r="N517">
        <f>IFERROR(ROUNDUP(50/VLOOKUP(Calculations[[#This Row],[Scope Element]],B4referenceServiceLife[[Tier 2 element]:[Default Service Life]],2, FALSE)-1,0),0)</f>
        <v>0</v>
      </c>
      <c r="O517" s="322">
        <f>IFERROR((Calculations[[#This Row],[A1-3]]+Calculations[[#This Row],[A4]]+Calculations[[#This Row],[A5]]+Calculations[[#This Row],[C2 total]]+Calculations[[#This Row],[C3 total]]+Calculations[[#This Row],[C4 total]])*Calculations[[#This Row],[Replacements]],0)</f>
        <v>0</v>
      </c>
      <c r="S517" t="str">
        <f>IFERROR(VLOOKUP(Calculations[[#This Row],[Material (choose from dropdown]],MaterialData[#All],4,FALSE),"")</f>
        <v/>
      </c>
      <c r="T517" s="322" cm="1">
        <f t="array" ref="T517">IFERROR(VLOOKUP(Calculations[[#This Row],[Waste 1]],WasteScenario[#All],2,FALSE)*'Stage assumptions'!$C$225*WasteTransportMethod[Emissions Factor
kgCO2e/kg.km]*Calculations[[#This Row],[Total Kg]],0)</f>
        <v>0</v>
      </c>
      <c r="U517" s="322" cm="1">
        <f t="array" ref="U517">IFERROR(VLOOKUP(Calculations[[#This Row],[Waste 1]],WasteScenario[#All],3,FALSE)*'Stage assumptions'!$C$224*WasteTransportMethod[Emissions Factor
kgCO2e/kg.km]*Calculations[[#This Row],[Total Kg]],0)</f>
        <v>0</v>
      </c>
      <c r="V517" s="322" cm="1">
        <f t="array" ref="V517">IFERROR(VLOOKUP(Calculations[[#This Row],[Waste 1]],WasteScenario[#All],4,FALSE)*'Stage assumptions'!$C$223*WasteTransportMethod[Emissions Factor
kgCO2e/kg.km]*Calculations[[#This Row],[Total Kg]],0)</f>
        <v>0</v>
      </c>
      <c r="W517" s="322" cm="1">
        <f t="array" ref="W517">IFERROR(VLOOKUP(Calculations[[#This Row],[Waste 1]],WasteScenario[#All],5,FALSE)*'Stage assumptions'!$C$226*WasteTransportMethod[Emissions Factor
kgCO2e/kg.km]*Calculations[[#This Row],[Total Kg]],0)</f>
        <v>0</v>
      </c>
      <c r="X517" s="322">
        <f>SUM(Calculations[[#This Row],[C2 Recycle]:[C2 Reuse]])</f>
        <v>0</v>
      </c>
      <c r="Y517" t="str">
        <f>IFERROR(VLOOKUP(Calculations[[#This Row],[Material (choose from dropdown]],MaterialData[#All],5,FALSE),"")</f>
        <v/>
      </c>
      <c r="Z517" s="322">
        <f>IFERROR(((VLOOKUP(Calculations[[#This Row],[Waste type 2]],WasteDisposalEmissions[#All],2,FALSE))*Calculations[[#This Row],[Total Kg]])*VLOOKUP(Calculations[[#This Row],[Waste 1]],WasteScenario[#All],2,FALSE),0)</f>
        <v>0</v>
      </c>
      <c r="AA517" s="322">
        <f>IFERROR((VLOOKUP(Calculations[[#This Row],[Waste type 2]],WasteDisposalEmissions[#All],3,FALSE))*Calculations[[#This Row],[Total Kg]]*VLOOKUP(Calculations[[#This Row],[Waste 1]],WasteScenario[#All],3,FALSE),0)</f>
        <v>0</v>
      </c>
      <c r="AB517" s="322">
        <f>SUM(Calculations[[#This Row],[C3 recyc]:[C3 incin]])</f>
        <v>0</v>
      </c>
      <c r="AC517" s="334">
        <f>IFERROR((VLOOKUP(Calculations[[#This Row],[Waste type 2]],WasteLandfillEmissions[#All],2,FALSE))*Calculations[[#This Row],[Total Kg]]*VLOOKUP(Calculations[[#This Row],[Waste 1]],WasteScenario[#All],4,FALSE),0)</f>
        <v>0</v>
      </c>
      <c r="AD517" s="322">
        <f>IFERROR((VLOOKUP(Calculations[[#This Row],[Waste type 2]],WasteLandfillEmissions[#All],3,FALSE))*Calculations[[#This Row],[Total Kg]]*VLOOKUP(Calculations[[#This Row],[Waste 1]],WasteScenario[#All],4,FALSE),0)</f>
        <v>0</v>
      </c>
      <c r="AE517" s="322">
        <f>SUM(Calculations[[#This Row],[C4 landfill]:[C4 re-use]])</f>
        <v>0</v>
      </c>
      <c r="AF517" s="322">
        <f>IFERROR(VLOOKUP(Calculations[[#This Row],[Material (choose from dropdown]],MaterialData[#All],8,FALSE),0)</f>
        <v>0</v>
      </c>
      <c r="AG517" s="322">
        <f>IFERROR(Calculations[[#This Row],[Total Kg]]*Calculations[[#This Row],[Seq factor]],0)</f>
        <v>0</v>
      </c>
      <c r="AI517" s="322">
        <f>Calculations[[#This Row],[A1-3]]+Calculations[[#This Row],[A4]]+Calculations[[#This Row],[A5]]+Calculations[[#This Row],[B4]]+Calculations[[#This Row],[C2 total]]+Calculations[[#This Row],[C3 total]]+Calculations[[#This Row],[C4 total]]</f>
        <v>0</v>
      </c>
      <c r="AJ517" s="2">
        <f>IFERROR(VLOOKUP(Calculations[[#This Row],[Material (choose from dropdown]],MaterialData[[#Headers],[#Data]],9,FALSE),0)</f>
        <v>0</v>
      </c>
      <c r="AK517" s="4">
        <f>IFERROR(VLOOKUP(Calculations[[#This Row],[Material (choose from dropdown]],MaterialData[[#Headers],[#Data]],10,FALSE),0)</f>
        <v>0</v>
      </c>
      <c r="AL517" s="322">
        <f>IFERROR(Calculations[[#This Row],[Data Quality Score]]*Calculations[[#This Row],[Total Kg]],0)</f>
        <v>0</v>
      </c>
    </row>
    <row r="518" spans="1:38" x14ac:dyDescent="0.3">
      <c r="A518" s="6">
        <f>IFERROR(MaterialsBoQ[[#This Row],[Scope Element]],0)</f>
        <v>0</v>
      </c>
      <c r="B518" t="str">
        <f>IFERROR(MaterialsBoQ[[#This Row],[Material ]],"")</f>
        <v/>
      </c>
      <c r="C518" t="str">
        <f>IFERROR(MaterialsBoQ[[#This Row],[Unit]],"")</f>
        <v/>
      </c>
      <c r="D518" s="322">
        <f>IFERROR(MaterialsBoQ[[#This Row],[Number]],0)</f>
        <v>0</v>
      </c>
      <c r="E518" s="322">
        <f>IFERROR(MaterialsBoQ[[#This Row],[Kg per unit]],0)</f>
        <v>0</v>
      </c>
      <c r="F518" s="322">
        <f>IFERROR(Calculations[[#This Row],[Number]]*Calculations[[#This Row],[Conversion factor]],0)</f>
        <v>0</v>
      </c>
      <c r="G518" s="322">
        <f>IFERROR(VLOOKUP(Calculations[[#This Row],[Material (choose from dropdown]],MaterialData[#All],7,FALSE),0)</f>
        <v>0</v>
      </c>
      <c r="H518" s="322">
        <f>Calculations[[#This Row],[Total Kg]]*Calculations[[#This Row],[Carbon Factor]]</f>
        <v>0</v>
      </c>
      <c r="I518" t="str">
        <f>IFERROR(VLOOKUP(Calculations[[#This Row],[Material (choose from dropdown]],MaterialData[#All],2,FALSE),"")</f>
        <v/>
      </c>
      <c r="J518" s="322">
        <f>IFERROR(((VLOOKUP(Calculations[[#This Row],[TransportSource]],TransportDistance[],2,FALSE)*'Stage assumptions'!$C$11)+VLOOKUP(Calculations[[#This Row],[TransportSource]],TransportDistance[],3,FALSE)*'Stage assumptions'!$C$12)*Calculations[[#This Row],[Total Kg]],0)</f>
        <v>0</v>
      </c>
      <c r="K518">
        <f>IFERROR(VLOOKUP(Calculations[[#This Row],[Material (choose from dropdown]], MaterialData[#All],3, FALSE),0)</f>
        <v>0</v>
      </c>
      <c r="L518" s="322">
        <f>IFERROR(VLOOKUP(Calculations[[#This Row],[A5type]],A5WastageRate[#All],2,FALSE)*Calculations[[#This Row],[A1-3]],0)</f>
        <v>0</v>
      </c>
      <c r="N518">
        <f>IFERROR(ROUNDUP(50/VLOOKUP(Calculations[[#This Row],[Scope Element]],B4referenceServiceLife[[Tier 2 element]:[Default Service Life]],2, FALSE)-1,0),0)</f>
        <v>0</v>
      </c>
      <c r="O518" s="322">
        <f>IFERROR((Calculations[[#This Row],[A1-3]]+Calculations[[#This Row],[A4]]+Calculations[[#This Row],[A5]]+Calculations[[#This Row],[C2 total]]+Calculations[[#This Row],[C3 total]]+Calculations[[#This Row],[C4 total]])*Calculations[[#This Row],[Replacements]],0)</f>
        <v>0</v>
      </c>
      <c r="S518" t="str">
        <f>IFERROR(VLOOKUP(Calculations[[#This Row],[Material (choose from dropdown]],MaterialData[#All],4,FALSE),"")</f>
        <v/>
      </c>
      <c r="T518" s="322" cm="1">
        <f t="array" ref="T518">IFERROR(VLOOKUP(Calculations[[#This Row],[Waste 1]],WasteScenario[#All],2,FALSE)*'Stage assumptions'!$C$225*WasteTransportMethod[Emissions Factor
kgCO2e/kg.km]*Calculations[[#This Row],[Total Kg]],0)</f>
        <v>0</v>
      </c>
      <c r="U518" s="322" cm="1">
        <f t="array" ref="U518">IFERROR(VLOOKUP(Calculations[[#This Row],[Waste 1]],WasteScenario[#All],3,FALSE)*'Stage assumptions'!$C$224*WasteTransportMethod[Emissions Factor
kgCO2e/kg.km]*Calculations[[#This Row],[Total Kg]],0)</f>
        <v>0</v>
      </c>
      <c r="V518" s="322" cm="1">
        <f t="array" ref="V518">IFERROR(VLOOKUP(Calculations[[#This Row],[Waste 1]],WasteScenario[#All],4,FALSE)*'Stage assumptions'!$C$223*WasteTransportMethod[Emissions Factor
kgCO2e/kg.km]*Calculations[[#This Row],[Total Kg]],0)</f>
        <v>0</v>
      </c>
      <c r="W518" s="322" cm="1">
        <f t="array" ref="W518">IFERROR(VLOOKUP(Calculations[[#This Row],[Waste 1]],WasteScenario[#All],5,FALSE)*'Stage assumptions'!$C$226*WasteTransportMethod[Emissions Factor
kgCO2e/kg.km]*Calculations[[#This Row],[Total Kg]],0)</f>
        <v>0</v>
      </c>
      <c r="X518" s="322">
        <f>SUM(Calculations[[#This Row],[C2 Recycle]:[C2 Reuse]])</f>
        <v>0</v>
      </c>
      <c r="Y518" t="str">
        <f>IFERROR(VLOOKUP(Calculations[[#This Row],[Material (choose from dropdown]],MaterialData[#All],5,FALSE),"")</f>
        <v/>
      </c>
      <c r="Z518" s="322">
        <f>IFERROR(((VLOOKUP(Calculations[[#This Row],[Waste type 2]],WasteDisposalEmissions[#All],2,FALSE))*Calculations[[#This Row],[Total Kg]])*VLOOKUP(Calculations[[#This Row],[Waste 1]],WasteScenario[#All],2,FALSE),0)</f>
        <v>0</v>
      </c>
      <c r="AA518" s="322">
        <f>IFERROR((VLOOKUP(Calculations[[#This Row],[Waste type 2]],WasteDisposalEmissions[#All],3,FALSE))*Calculations[[#This Row],[Total Kg]]*VLOOKUP(Calculations[[#This Row],[Waste 1]],WasteScenario[#All],3,FALSE),0)</f>
        <v>0</v>
      </c>
      <c r="AB518" s="322">
        <f>SUM(Calculations[[#This Row],[C3 recyc]:[C3 incin]])</f>
        <v>0</v>
      </c>
      <c r="AC518" s="334">
        <f>IFERROR((VLOOKUP(Calculations[[#This Row],[Waste type 2]],WasteLandfillEmissions[#All],2,FALSE))*Calculations[[#This Row],[Total Kg]]*VLOOKUP(Calculations[[#This Row],[Waste 1]],WasteScenario[#All],4,FALSE),0)</f>
        <v>0</v>
      </c>
      <c r="AD518" s="322">
        <f>IFERROR((VLOOKUP(Calculations[[#This Row],[Waste type 2]],WasteLandfillEmissions[#All],3,FALSE))*Calculations[[#This Row],[Total Kg]]*VLOOKUP(Calculations[[#This Row],[Waste 1]],WasteScenario[#All],4,FALSE),0)</f>
        <v>0</v>
      </c>
      <c r="AE518" s="322">
        <f>SUM(Calculations[[#This Row],[C4 landfill]:[C4 re-use]])</f>
        <v>0</v>
      </c>
      <c r="AF518" s="322">
        <f>IFERROR(VLOOKUP(Calculations[[#This Row],[Material (choose from dropdown]],MaterialData[#All],8,FALSE),0)</f>
        <v>0</v>
      </c>
      <c r="AG518" s="322">
        <f>IFERROR(Calculations[[#This Row],[Total Kg]]*Calculations[[#This Row],[Seq factor]],0)</f>
        <v>0</v>
      </c>
      <c r="AI518" s="322">
        <f>Calculations[[#This Row],[A1-3]]+Calculations[[#This Row],[A4]]+Calculations[[#This Row],[A5]]+Calculations[[#This Row],[B4]]+Calculations[[#This Row],[C2 total]]+Calculations[[#This Row],[C3 total]]+Calculations[[#This Row],[C4 total]]</f>
        <v>0</v>
      </c>
      <c r="AJ518" s="2">
        <f>IFERROR(VLOOKUP(Calculations[[#This Row],[Material (choose from dropdown]],MaterialData[[#Headers],[#Data]],9,FALSE),0)</f>
        <v>0</v>
      </c>
      <c r="AK518" s="4">
        <f>IFERROR(VLOOKUP(Calculations[[#This Row],[Material (choose from dropdown]],MaterialData[[#Headers],[#Data]],10,FALSE),0)</f>
        <v>0</v>
      </c>
      <c r="AL518" s="322">
        <f>IFERROR(Calculations[[#This Row],[Data Quality Score]]*Calculations[[#This Row],[Total Kg]],0)</f>
        <v>0</v>
      </c>
    </row>
    <row r="519" spans="1:38" x14ac:dyDescent="0.3">
      <c r="A519" s="6">
        <f>IFERROR(MaterialsBoQ[[#This Row],[Scope Element]],0)</f>
        <v>0</v>
      </c>
      <c r="B519" t="str">
        <f>IFERROR(MaterialsBoQ[[#This Row],[Material ]],"")</f>
        <v/>
      </c>
      <c r="C519" t="str">
        <f>IFERROR(MaterialsBoQ[[#This Row],[Unit]],"")</f>
        <v/>
      </c>
      <c r="D519" s="322">
        <f>IFERROR(MaterialsBoQ[[#This Row],[Number]],0)</f>
        <v>0</v>
      </c>
      <c r="E519" s="322">
        <f>IFERROR(MaterialsBoQ[[#This Row],[Kg per unit]],0)</f>
        <v>0</v>
      </c>
      <c r="F519" s="322">
        <f>IFERROR(Calculations[[#This Row],[Number]]*Calculations[[#This Row],[Conversion factor]],0)</f>
        <v>0</v>
      </c>
      <c r="G519" s="322">
        <f>IFERROR(VLOOKUP(Calculations[[#This Row],[Material (choose from dropdown]],MaterialData[#All],7,FALSE),0)</f>
        <v>0</v>
      </c>
      <c r="H519" s="322">
        <f>Calculations[[#This Row],[Total Kg]]*Calculations[[#This Row],[Carbon Factor]]</f>
        <v>0</v>
      </c>
      <c r="I519" t="str">
        <f>IFERROR(VLOOKUP(Calculations[[#This Row],[Material (choose from dropdown]],MaterialData[#All],2,FALSE),"")</f>
        <v/>
      </c>
      <c r="J519" s="322">
        <f>IFERROR(((VLOOKUP(Calculations[[#This Row],[TransportSource]],TransportDistance[],2,FALSE)*'Stage assumptions'!$C$11)+VLOOKUP(Calculations[[#This Row],[TransportSource]],TransportDistance[],3,FALSE)*'Stage assumptions'!$C$12)*Calculations[[#This Row],[Total Kg]],0)</f>
        <v>0</v>
      </c>
      <c r="K519">
        <f>IFERROR(VLOOKUP(Calculations[[#This Row],[Material (choose from dropdown]], MaterialData[#All],3, FALSE),0)</f>
        <v>0</v>
      </c>
      <c r="L519" s="322">
        <f>IFERROR(VLOOKUP(Calculations[[#This Row],[A5type]],A5WastageRate[#All],2,FALSE)*Calculations[[#This Row],[A1-3]],0)</f>
        <v>0</v>
      </c>
      <c r="N519">
        <f>IFERROR(ROUNDUP(50/VLOOKUP(Calculations[[#This Row],[Scope Element]],B4referenceServiceLife[[Tier 2 element]:[Default Service Life]],2, FALSE)-1,0),0)</f>
        <v>0</v>
      </c>
      <c r="O519" s="322">
        <f>IFERROR((Calculations[[#This Row],[A1-3]]+Calculations[[#This Row],[A4]]+Calculations[[#This Row],[A5]]+Calculations[[#This Row],[C2 total]]+Calculations[[#This Row],[C3 total]]+Calculations[[#This Row],[C4 total]])*Calculations[[#This Row],[Replacements]],0)</f>
        <v>0</v>
      </c>
      <c r="S519" t="str">
        <f>IFERROR(VLOOKUP(Calculations[[#This Row],[Material (choose from dropdown]],MaterialData[#All],4,FALSE),"")</f>
        <v/>
      </c>
      <c r="T519" s="322" cm="1">
        <f t="array" ref="T519">IFERROR(VLOOKUP(Calculations[[#This Row],[Waste 1]],WasteScenario[#All],2,FALSE)*'Stage assumptions'!$C$225*WasteTransportMethod[Emissions Factor
kgCO2e/kg.km]*Calculations[[#This Row],[Total Kg]],0)</f>
        <v>0</v>
      </c>
      <c r="U519" s="322" cm="1">
        <f t="array" ref="U519">IFERROR(VLOOKUP(Calculations[[#This Row],[Waste 1]],WasteScenario[#All],3,FALSE)*'Stage assumptions'!$C$224*WasteTransportMethod[Emissions Factor
kgCO2e/kg.km]*Calculations[[#This Row],[Total Kg]],0)</f>
        <v>0</v>
      </c>
      <c r="V519" s="322" cm="1">
        <f t="array" ref="V519">IFERROR(VLOOKUP(Calculations[[#This Row],[Waste 1]],WasteScenario[#All],4,FALSE)*'Stage assumptions'!$C$223*WasteTransportMethod[Emissions Factor
kgCO2e/kg.km]*Calculations[[#This Row],[Total Kg]],0)</f>
        <v>0</v>
      </c>
      <c r="W519" s="322" cm="1">
        <f t="array" ref="W519">IFERROR(VLOOKUP(Calculations[[#This Row],[Waste 1]],WasteScenario[#All],5,FALSE)*'Stage assumptions'!$C$226*WasteTransportMethod[Emissions Factor
kgCO2e/kg.km]*Calculations[[#This Row],[Total Kg]],0)</f>
        <v>0</v>
      </c>
      <c r="X519" s="322">
        <f>SUM(Calculations[[#This Row],[C2 Recycle]:[C2 Reuse]])</f>
        <v>0</v>
      </c>
      <c r="Y519" t="str">
        <f>IFERROR(VLOOKUP(Calculations[[#This Row],[Material (choose from dropdown]],MaterialData[#All],5,FALSE),"")</f>
        <v/>
      </c>
      <c r="Z519" s="322">
        <f>IFERROR(((VLOOKUP(Calculations[[#This Row],[Waste type 2]],WasteDisposalEmissions[#All],2,FALSE))*Calculations[[#This Row],[Total Kg]])*VLOOKUP(Calculations[[#This Row],[Waste 1]],WasteScenario[#All],2,FALSE),0)</f>
        <v>0</v>
      </c>
      <c r="AA519" s="322">
        <f>IFERROR((VLOOKUP(Calculations[[#This Row],[Waste type 2]],WasteDisposalEmissions[#All],3,FALSE))*Calculations[[#This Row],[Total Kg]]*VLOOKUP(Calculations[[#This Row],[Waste 1]],WasteScenario[#All],3,FALSE),0)</f>
        <v>0</v>
      </c>
      <c r="AB519" s="322">
        <f>SUM(Calculations[[#This Row],[C3 recyc]:[C3 incin]])</f>
        <v>0</v>
      </c>
      <c r="AC519" s="334">
        <f>IFERROR((VLOOKUP(Calculations[[#This Row],[Waste type 2]],WasteLandfillEmissions[#All],2,FALSE))*Calculations[[#This Row],[Total Kg]]*VLOOKUP(Calculations[[#This Row],[Waste 1]],WasteScenario[#All],4,FALSE),0)</f>
        <v>0</v>
      </c>
      <c r="AD519" s="322">
        <f>IFERROR((VLOOKUP(Calculations[[#This Row],[Waste type 2]],WasteLandfillEmissions[#All],3,FALSE))*Calculations[[#This Row],[Total Kg]]*VLOOKUP(Calculations[[#This Row],[Waste 1]],WasteScenario[#All],4,FALSE),0)</f>
        <v>0</v>
      </c>
      <c r="AE519" s="322">
        <f>SUM(Calculations[[#This Row],[C4 landfill]:[C4 re-use]])</f>
        <v>0</v>
      </c>
      <c r="AF519" s="322">
        <f>IFERROR(VLOOKUP(Calculations[[#This Row],[Material (choose from dropdown]],MaterialData[#All],8,FALSE),0)</f>
        <v>0</v>
      </c>
      <c r="AG519" s="322">
        <f>IFERROR(Calculations[[#This Row],[Total Kg]]*Calculations[[#This Row],[Seq factor]],0)</f>
        <v>0</v>
      </c>
      <c r="AI519" s="322">
        <f>Calculations[[#This Row],[A1-3]]+Calculations[[#This Row],[A4]]+Calculations[[#This Row],[A5]]+Calculations[[#This Row],[B4]]+Calculations[[#This Row],[C2 total]]+Calculations[[#This Row],[C3 total]]+Calculations[[#This Row],[C4 total]]</f>
        <v>0</v>
      </c>
      <c r="AJ519" s="2">
        <f>IFERROR(VLOOKUP(Calculations[[#This Row],[Material (choose from dropdown]],MaterialData[[#Headers],[#Data]],9,FALSE),0)</f>
        <v>0</v>
      </c>
      <c r="AK519" s="4">
        <f>IFERROR(VLOOKUP(Calculations[[#This Row],[Material (choose from dropdown]],MaterialData[[#Headers],[#Data]],10,FALSE),0)</f>
        <v>0</v>
      </c>
      <c r="AL519" s="322">
        <f>IFERROR(Calculations[[#This Row],[Data Quality Score]]*Calculations[[#This Row],[Total Kg]],0)</f>
        <v>0</v>
      </c>
    </row>
    <row r="520" spans="1:38" x14ac:dyDescent="0.3">
      <c r="A520" s="6">
        <f>IFERROR(MaterialsBoQ[[#This Row],[Scope Element]],0)</f>
        <v>0</v>
      </c>
      <c r="B520" t="str">
        <f>IFERROR(MaterialsBoQ[[#This Row],[Material ]],"")</f>
        <v/>
      </c>
      <c r="C520" t="str">
        <f>IFERROR(MaterialsBoQ[[#This Row],[Unit]],"")</f>
        <v/>
      </c>
      <c r="D520" s="322">
        <f>IFERROR(MaterialsBoQ[[#This Row],[Number]],0)</f>
        <v>0</v>
      </c>
      <c r="E520" s="322">
        <f>IFERROR(MaterialsBoQ[[#This Row],[Kg per unit]],0)</f>
        <v>0</v>
      </c>
      <c r="F520" s="322">
        <f>IFERROR(Calculations[[#This Row],[Number]]*Calculations[[#This Row],[Conversion factor]],0)</f>
        <v>0</v>
      </c>
      <c r="G520" s="322">
        <f>IFERROR(VLOOKUP(Calculations[[#This Row],[Material (choose from dropdown]],MaterialData[#All],7,FALSE),0)</f>
        <v>0</v>
      </c>
      <c r="H520" s="322">
        <f>Calculations[[#This Row],[Total Kg]]*Calculations[[#This Row],[Carbon Factor]]</f>
        <v>0</v>
      </c>
      <c r="I520" t="str">
        <f>IFERROR(VLOOKUP(Calculations[[#This Row],[Material (choose from dropdown]],MaterialData[#All],2,FALSE),"")</f>
        <v/>
      </c>
      <c r="J520" s="322">
        <f>IFERROR(((VLOOKUP(Calculations[[#This Row],[TransportSource]],TransportDistance[],2,FALSE)*'Stage assumptions'!$C$11)+VLOOKUP(Calculations[[#This Row],[TransportSource]],TransportDistance[],3,FALSE)*'Stage assumptions'!$C$12)*Calculations[[#This Row],[Total Kg]],0)</f>
        <v>0</v>
      </c>
      <c r="K520">
        <f>IFERROR(VLOOKUP(Calculations[[#This Row],[Material (choose from dropdown]], MaterialData[#All],3, FALSE),0)</f>
        <v>0</v>
      </c>
      <c r="L520" s="322">
        <f>IFERROR(VLOOKUP(Calculations[[#This Row],[A5type]],A5WastageRate[#All],2,FALSE)*Calculations[[#This Row],[A1-3]],0)</f>
        <v>0</v>
      </c>
      <c r="N520">
        <f>IFERROR(ROUNDUP(50/VLOOKUP(Calculations[[#This Row],[Scope Element]],B4referenceServiceLife[[Tier 2 element]:[Default Service Life]],2, FALSE)-1,0),0)</f>
        <v>0</v>
      </c>
      <c r="O520" s="322">
        <f>IFERROR((Calculations[[#This Row],[A1-3]]+Calculations[[#This Row],[A4]]+Calculations[[#This Row],[A5]]+Calculations[[#This Row],[C2 total]]+Calculations[[#This Row],[C3 total]]+Calculations[[#This Row],[C4 total]])*Calculations[[#This Row],[Replacements]],0)</f>
        <v>0</v>
      </c>
      <c r="S520" t="str">
        <f>IFERROR(VLOOKUP(Calculations[[#This Row],[Material (choose from dropdown]],MaterialData[#All],4,FALSE),"")</f>
        <v/>
      </c>
      <c r="T520" s="322" cm="1">
        <f t="array" ref="T520">IFERROR(VLOOKUP(Calculations[[#This Row],[Waste 1]],WasteScenario[#All],2,FALSE)*'Stage assumptions'!$C$225*WasteTransportMethod[Emissions Factor
kgCO2e/kg.km]*Calculations[[#This Row],[Total Kg]],0)</f>
        <v>0</v>
      </c>
      <c r="U520" s="322" cm="1">
        <f t="array" ref="U520">IFERROR(VLOOKUP(Calculations[[#This Row],[Waste 1]],WasteScenario[#All],3,FALSE)*'Stage assumptions'!$C$224*WasteTransportMethod[Emissions Factor
kgCO2e/kg.km]*Calculations[[#This Row],[Total Kg]],0)</f>
        <v>0</v>
      </c>
      <c r="V520" s="322" cm="1">
        <f t="array" ref="V520">IFERROR(VLOOKUP(Calculations[[#This Row],[Waste 1]],WasteScenario[#All],4,FALSE)*'Stage assumptions'!$C$223*WasteTransportMethod[Emissions Factor
kgCO2e/kg.km]*Calculations[[#This Row],[Total Kg]],0)</f>
        <v>0</v>
      </c>
      <c r="W520" s="322" cm="1">
        <f t="array" ref="W520">IFERROR(VLOOKUP(Calculations[[#This Row],[Waste 1]],WasteScenario[#All],5,FALSE)*'Stage assumptions'!$C$226*WasteTransportMethod[Emissions Factor
kgCO2e/kg.km]*Calculations[[#This Row],[Total Kg]],0)</f>
        <v>0</v>
      </c>
      <c r="X520" s="322">
        <f>SUM(Calculations[[#This Row],[C2 Recycle]:[C2 Reuse]])</f>
        <v>0</v>
      </c>
      <c r="Y520" t="str">
        <f>IFERROR(VLOOKUP(Calculations[[#This Row],[Material (choose from dropdown]],MaterialData[#All],5,FALSE),"")</f>
        <v/>
      </c>
      <c r="Z520" s="322">
        <f>IFERROR(((VLOOKUP(Calculations[[#This Row],[Waste type 2]],WasteDisposalEmissions[#All],2,FALSE))*Calculations[[#This Row],[Total Kg]])*VLOOKUP(Calculations[[#This Row],[Waste 1]],WasteScenario[#All],2,FALSE),0)</f>
        <v>0</v>
      </c>
      <c r="AA520" s="322">
        <f>IFERROR((VLOOKUP(Calculations[[#This Row],[Waste type 2]],WasteDisposalEmissions[#All],3,FALSE))*Calculations[[#This Row],[Total Kg]]*VLOOKUP(Calculations[[#This Row],[Waste 1]],WasteScenario[#All],3,FALSE),0)</f>
        <v>0</v>
      </c>
      <c r="AB520" s="322">
        <f>SUM(Calculations[[#This Row],[C3 recyc]:[C3 incin]])</f>
        <v>0</v>
      </c>
      <c r="AC520" s="334">
        <f>IFERROR((VLOOKUP(Calculations[[#This Row],[Waste type 2]],WasteLandfillEmissions[#All],2,FALSE))*Calculations[[#This Row],[Total Kg]]*VLOOKUP(Calculations[[#This Row],[Waste 1]],WasteScenario[#All],4,FALSE),0)</f>
        <v>0</v>
      </c>
      <c r="AD520" s="322">
        <f>IFERROR((VLOOKUP(Calculations[[#This Row],[Waste type 2]],WasteLandfillEmissions[#All],3,FALSE))*Calculations[[#This Row],[Total Kg]]*VLOOKUP(Calculations[[#This Row],[Waste 1]],WasteScenario[#All],4,FALSE),0)</f>
        <v>0</v>
      </c>
      <c r="AE520" s="322">
        <f>SUM(Calculations[[#This Row],[C4 landfill]:[C4 re-use]])</f>
        <v>0</v>
      </c>
      <c r="AF520" s="322">
        <f>IFERROR(VLOOKUP(Calculations[[#This Row],[Material (choose from dropdown]],MaterialData[#All],8,FALSE),0)</f>
        <v>0</v>
      </c>
      <c r="AG520" s="322">
        <f>IFERROR(Calculations[[#This Row],[Total Kg]]*Calculations[[#This Row],[Seq factor]],0)</f>
        <v>0</v>
      </c>
      <c r="AI520" s="322">
        <f>Calculations[[#This Row],[A1-3]]+Calculations[[#This Row],[A4]]+Calculations[[#This Row],[A5]]+Calculations[[#This Row],[B4]]+Calculations[[#This Row],[C2 total]]+Calculations[[#This Row],[C3 total]]+Calculations[[#This Row],[C4 total]]</f>
        <v>0</v>
      </c>
      <c r="AJ520" s="2">
        <f>IFERROR(VLOOKUP(Calculations[[#This Row],[Material (choose from dropdown]],MaterialData[[#Headers],[#Data]],9,FALSE),0)</f>
        <v>0</v>
      </c>
      <c r="AK520" s="4">
        <f>IFERROR(VLOOKUP(Calculations[[#This Row],[Material (choose from dropdown]],MaterialData[[#Headers],[#Data]],10,FALSE),0)</f>
        <v>0</v>
      </c>
      <c r="AL520" s="322">
        <f>IFERROR(Calculations[[#This Row],[Data Quality Score]]*Calculations[[#This Row],[Total Kg]],0)</f>
        <v>0</v>
      </c>
    </row>
    <row r="521" spans="1:38" x14ac:dyDescent="0.3">
      <c r="A521" s="6">
        <f>IFERROR(MaterialsBoQ[[#This Row],[Scope Element]],0)</f>
        <v>0</v>
      </c>
      <c r="B521" t="str">
        <f>IFERROR(MaterialsBoQ[[#This Row],[Material ]],"")</f>
        <v/>
      </c>
      <c r="C521" t="str">
        <f>IFERROR(MaterialsBoQ[[#This Row],[Unit]],"")</f>
        <v/>
      </c>
      <c r="D521" s="322">
        <f>IFERROR(MaterialsBoQ[[#This Row],[Number]],0)</f>
        <v>0</v>
      </c>
      <c r="E521" s="322">
        <f>IFERROR(MaterialsBoQ[[#This Row],[Kg per unit]],0)</f>
        <v>0</v>
      </c>
      <c r="F521" s="322">
        <f>IFERROR(Calculations[[#This Row],[Number]]*Calculations[[#This Row],[Conversion factor]],0)</f>
        <v>0</v>
      </c>
      <c r="G521" s="322">
        <f>IFERROR(VLOOKUP(Calculations[[#This Row],[Material (choose from dropdown]],MaterialData[#All],7,FALSE),0)</f>
        <v>0</v>
      </c>
      <c r="H521" s="322">
        <f>Calculations[[#This Row],[Total Kg]]*Calculations[[#This Row],[Carbon Factor]]</f>
        <v>0</v>
      </c>
      <c r="I521" t="str">
        <f>IFERROR(VLOOKUP(Calculations[[#This Row],[Material (choose from dropdown]],MaterialData[#All],2,FALSE),"")</f>
        <v/>
      </c>
      <c r="J521" s="322">
        <f>IFERROR(((VLOOKUP(Calculations[[#This Row],[TransportSource]],TransportDistance[],2,FALSE)*'Stage assumptions'!$C$11)+VLOOKUP(Calculations[[#This Row],[TransportSource]],TransportDistance[],3,FALSE)*'Stage assumptions'!$C$12)*Calculations[[#This Row],[Total Kg]],0)</f>
        <v>0</v>
      </c>
      <c r="K521">
        <f>IFERROR(VLOOKUP(Calculations[[#This Row],[Material (choose from dropdown]], MaterialData[#All],3, FALSE),0)</f>
        <v>0</v>
      </c>
      <c r="L521" s="322">
        <f>IFERROR(VLOOKUP(Calculations[[#This Row],[A5type]],A5WastageRate[#All],2,FALSE)*Calculations[[#This Row],[A1-3]],0)</f>
        <v>0</v>
      </c>
      <c r="N521">
        <f>IFERROR(ROUNDUP(50/VLOOKUP(Calculations[[#This Row],[Scope Element]],B4referenceServiceLife[[Tier 2 element]:[Default Service Life]],2, FALSE)-1,0),0)</f>
        <v>0</v>
      </c>
      <c r="O521" s="322">
        <f>IFERROR((Calculations[[#This Row],[A1-3]]+Calculations[[#This Row],[A4]]+Calculations[[#This Row],[A5]]+Calculations[[#This Row],[C2 total]]+Calculations[[#This Row],[C3 total]]+Calculations[[#This Row],[C4 total]])*Calculations[[#This Row],[Replacements]],0)</f>
        <v>0</v>
      </c>
      <c r="S521" t="str">
        <f>IFERROR(VLOOKUP(Calculations[[#This Row],[Material (choose from dropdown]],MaterialData[#All],4,FALSE),"")</f>
        <v/>
      </c>
      <c r="T521" s="322" cm="1">
        <f t="array" ref="T521">IFERROR(VLOOKUP(Calculations[[#This Row],[Waste 1]],WasteScenario[#All],2,FALSE)*'Stage assumptions'!$C$225*WasteTransportMethod[Emissions Factor
kgCO2e/kg.km]*Calculations[[#This Row],[Total Kg]],0)</f>
        <v>0</v>
      </c>
      <c r="U521" s="322" cm="1">
        <f t="array" ref="U521">IFERROR(VLOOKUP(Calculations[[#This Row],[Waste 1]],WasteScenario[#All],3,FALSE)*'Stage assumptions'!$C$224*WasteTransportMethod[Emissions Factor
kgCO2e/kg.km]*Calculations[[#This Row],[Total Kg]],0)</f>
        <v>0</v>
      </c>
      <c r="V521" s="322" cm="1">
        <f t="array" ref="V521">IFERROR(VLOOKUP(Calculations[[#This Row],[Waste 1]],WasteScenario[#All],4,FALSE)*'Stage assumptions'!$C$223*WasteTransportMethod[Emissions Factor
kgCO2e/kg.km]*Calculations[[#This Row],[Total Kg]],0)</f>
        <v>0</v>
      </c>
      <c r="W521" s="322" cm="1">
        <f t="array" ref="W521">IFERROR(VLOOKUP(Calculations[[#This Row],[Waste 1]],WasteScenario[#All],5,FALSE)*'Stage assumptions'!$C$226*WasteTransportMethod[Emissions Factor
kgCO2e/kg.km]*Calculations[[#This Row],[Total Kg]],0)</f>
        <v>0</v>
      </c>
      <c r="X521" s="322">
        <f>SUM(Calculations[[#This Row],[C2 Recycle]:[C2 Reuse]])</f>
        <v>0</v>
      </c>
      <c r="Y521" t="str">
        <f>IFERROR(VLOOKUP(Calculations[[#This Row],[Material (choose from dropdown]],MaterialData[#All],5,FALSE),"")</f>
        <v/>
      </c>
      <c r="Z521" s="322">
        <f>IFERROR(((VLOOKUP(Calculations[[#This Row],[Waste type 2]],WasteDisposalEmissions[#All],2,FALSE))*Calculations[[#This Row],[Total Kg]])*VLOOKUP(Calculations[[#This Row],[Waste 1]],WasteScenario[#All],2,FALSE),0)</f>
        <v>0</v>
      </c>
      <c r="AA521" s="322">
        <f>IFERROR((VLOOKUP(Calculations[[#This Row],[Waste type 2]],WasteDisposalEmissions[#All],3,FALSE))*Calculations[[#This Row],[Total Kg]]*VLOOKUP(Calculations[[#This Row],[Waste 1]],WasteScenario[#All],3,FALSE),0)</f>
        <v>0</v>
      </c>
      <c r="AB521" s="322">
        <f>SUM(Calculations[[#This Row],[C3 recyc]:[C3 incin]])</f>
        <v>0</v>
      </c>
      <c r="AC521" s="334">
        <f>IFERROR((VLOOKUP(Calculations[[#This Row],[Waste type 2]],WasteLandfillEmissions[#All],2,FALSE))*Calculations[[#This Row],[Total Kg]]*VLOOKUP(Calculations[[#This Row],[Waste 1]],WasteScenario[#All],4,FALSE),0)</f>
        <v>0</v>
      </c>
      <c r="AD521" s="322">
        <f>IFERROR((VLOOKUP(Calculations[[#This Row],[Waste type 2]],WasteLandfillEmissions[#All],3,FALSE))*Calculations[[#This Row],[Total Kg]]*VLOOKUP(Calculations[[#This Row],[Waste 1]],WasteScenario[#All],4,FALSE),0)</f>
        <v>0</v>
      </c>
      <c r="AE521" s="322">
        <f>SUM(Calculations[[#This Row],[C4 landfill]:[C4 re-use]])</f>
        <v>0</v>
      </c>
      <c r="AF521" s="322">
        <f>IFERROR(VLOOKUP(Calculations[[#This Row],[Material (choose from dropdown]],MaterialData[#All],8,FALSE),0)</f>
        <v>0</v>
      </c>
      <c r="AG521" s="322">
        <f>IFERROR(Calculations[[#This Row],[Total Kg]]*Calculations[[#This Row],[Seq factor]],0)</f>
        <v>0</v>
      </c>
      <c r="AI521" s="322">
        <f>Calculations[[#This Row],[A1-3]]+Calculations[[#This Row],[A4]]+Calculations[[#This Row],[A5]]+Calculations[[#This Row],[B4]]+Calculations[[#This Row],[C2 total]]+Calculations[[#This Row],[C3 total]]+Calculations[[#This Row],[C4 total]]</f>
        <v>0</v>
      </c>
      <c r="AJ521" s="2">
        <f>IFERROR(VLOOKUP(Calculations[[#This Row],[Material (choose from dropdown]],MaterialData[[#Headers],[#Data]],9,FALSE),0)</f>
        <v>0</v>
      </c>
      <c r="AK521" s="4">
        <f>IFERROR(VLOOKUP(Calculations[[#This Row],[Material (choose from dropdown]],MaterialData[[#Headers],[#Data]],10,FALSE),0)</f>
        <v>0</v>
      </c>
      <c r="AL521" s="322">
        <f>IFERROR(Calculations[[#This Row],[Data Quality Score]]*Calculations[[#This Row],[Total Kg]],0)</f>
        <v>0</v>
      </c>
    </row>
    <row r="522" spans="1:38" x14ac:dyDescent="0.3">
      <c r="A522" s="6">
        <f>IFERROR(MaterialsBoQ[[#This Row],[Scope Element]],0)</f>
        <v>0</v>
      </c>
      <c r="B522" t="str">
        <f>IFERROR(MaterialsBoQ[[#This Row],[Material ]],"")</f>
        <v/>
      </c>
      <c r="C522" t="str">
        <f>IFERROR(MaterialsBoQ[[#This Row],[Unit]],"")</f>
        <v/>
      </c>
      <c r="D522" s="322">
        <f>IFERROR(MaterialsBoQ[[#This Row],[Number]],0)</f>
        <v>0</v>
      </c>
      <c r="E522" s="322">
        <f>IFERROR(MaterialsBoQ[[#This Row],[Kg per unit]],0)</f>
        <v>0</v>
      </c>
      <c r="F522" s="322">
        <f>IFERROR(Calculations[[#This Row],[Number]]*Calculations[[#This Row],[Conversion factor]],0)</f>
        <v>0</v>
      </c>
      <c r="G522" s="322">
        <f>IFERROR(VLOOKUP(Calculations[[#This Row],[Material (choose from dropdown]],MaterialData[#All],7,FALSE),0)</f>
        <v>0</v>
      </c>
      <c r="H522" s="322">
        <f>Calculations[[#This Row],[Total Kg]]*Calculations[[#This Row],[Carbon Factor]]</f>
        <v>0</v>
      </c>
      <c r="I522" t="str">
        <f>IFERROR(VLOOKUP(Calculations[[#This Row],[Material (choose from dropdown]],MaterialData[#All],2,FALSE),"")</f>
        <v/>
      </c>
      <c r="J522" s="322">
        <f>IFERROR(((VLOOKUP(Calculations[[#This Row],[TransportSource]],TransportDistance[],2,FALSE)*'Stage assumptions'!$C$11)+VLOOKUP(Calculations[[#This Row],[TransportSource]],TransportDistance[],3,FALSE)*'Stage assumptions'!$C$12)*Calculations[[#This Row],[Total Kg]],0)</f>
        <v>0</v>
      </c>
      <c r="K522">
        <f>IFERROR(VLOOKUP(Calculations[[#This Row],[Material (choose from dropdown]], MaterialData[#All],3, FALSE),0)</f>
        <v>0</v>
      </c>
      <c r="L522" s="322">
        <f>IFERROR(VLOOKUP(Calculations[[#This Row],[A5type]],A5WastageRate[#All],2,FALSE)*Calculations[[#This Row],[A1-3]],0)</f>
        <v>0</v>
      </c>
      <c r="N522">
        <f>IFERROR(ROUNDUP(50/VLOOKUP(Calculations[[#This Row],[Scope Element]],B4referenceServiceLife[[Tier 2 element]:[Default Service Life]],2, FALSE)-1,0),0)</f>
        <v>0</v>
      </c>
      <c r="O522" s="322">
        <f>IFERROR((Calculations[[#This Row],[A1-3]]+Calculations[[#This Row],[A4]]+Calculations[[#This Row],[A5]]+Calculations[[#This Row],[C2 total]]+Calculations[[#This Row],[C3 total]]+Calculations[[#This Row],[C4 total]])*Calculations[[#This Row],[Replacements]],0)</f>
        <v>0</v>
      </c>
      <c r="S522" t="str">
        <f>IFERROR(VLOOKUP(Calculations[[#This Row],[Material (choose from dropdown]],MaterialData[#All],4,FALSE),"")</f>
        <v/>
      </c>
      <c r="T522" s="322" cm="1">
        <f t="array" ref="T522">IFERROR(VLOOKUP(Calculations[[#This Row],[Waste 1]],WasteScenario[#All],2,FALSE)*'Stage assumptions'!$C$225*WasteTransportMethod[Emissions Factor
kgCO2e/kg.km]*Calculations[[#This Row],[Total Kg]],0)</f>
        <v>0</v>
      </c>
      <c r="U522" s="322" cm="1">
        <f t="array" ref="U522">IFERROR(VLOOKUP(Calculations[[#This Row],[Waste 1]],WasteScenario[#All],3,FALSE)*'Stage assumptions'!$C$224*WasteTransportMethod[Emissions Factor
kgCO2e/kg.km]*Calculations[[#This Row],[Total Kg]],0)</f>
        <v>0</v>
      </c>
      <c r="V522" s="322" cm="1">
        <f t="array" ref="V522">IFERROR(VLOOKUP(Calculations[[#This Row],[Waste 1]],WasteScenario[#All],4,FALSE)*'Stage assumptions'!$C$223*WasteTransportMethod[Emissions Factor
kgCO2e/kg.km]*Calculations[[#This Row],[Total Kg]],0)</f>
        <v>0</v>
      </c>
      <c r="W522" s="322" cm="1">
        <f t="array" ref="W522">IFERROR(VLOOKUP(Calculations[[#This Row],[Waste 1]],WasteScenario[#All],5,FALSE)*'Stage assumptions'!$C$226*WasteTransportMethod[Emissions Factor
kgCO2e/kg.km]*Calculations[[#This Row],[Total Kg]],0)</f>
        <v>0</v>
      </c>
      <c r="X522" s="322">
        <f>SUM(Calculations[[#This Row],[C2 Recycle]:[C2 Reuse]])</f>
        <v>0</v>
      </c>
      <c r="Y522" t="str">
        <f>IFERROR(VLOOKUP(Calculations[[#This Row],[Material (choose from dropdown]],MaterialData[#All],5,FALSE),"")</f>
        <v/>
      </c>
      <c r="Z522" s="322">
        <f>IFERROR(((VLOOKUP(Calculations[[#This Row],[Waste type 2]],WasteDisposalEmissions[#All],2,FALSE))*Calculations[[#This Row],[Total Kg]])*VLOOKUP(Calculations[[#This Row],[Waste 1]],WasteScenario[#All],2,FALSE),0)</f>
        <v>0</v>
      </c>
      <c r="AA522" s="322">
        <f>IFERROR((VLOOKUP(Calculations[[#This Row],[Waste type 2]],WasteDisposalEmissions[#All],3,FALSE))*Calculations[[#This Row],[Total Kg]]*VLOOKUP(Calculations[[#This Row],[Waste 1]],WasteScenario[#All],3,FALSE),0)</f>
        <v>0</v>
      </c>
      <c r="AB522" s="322">
        <f>SUM(Calculations[[#This Row],[C3 recyc]:[C3 incin]])</f>
        <v>0</v>
      </c>
      <c r="AC522" s="334">
        <f>IFERROR((VLOOKUP(Calculations[[#This Row],[Waste type 2]],WasteLandfillEmissions[#All],2,FALSE))*Calculations[[#This Row],[Total Kg]]*VLOOKUP(Calculations[[#This Row],[Waste 1]],WasteScenario[#All],4,FALSE),0)</f>
        <v>0</v>
      </c>
      <c r="AD522" s="322">
        <f>IFERROR((VLOOKUP(Calculations[[#This Row],[Waste type 2]],WasteLandfillEmissions[#All],3,FALSE))*Calculations[[#This Row],[Total Kg]]*VLOOKUP(Calculations[[#This Row],[Waste 1]],WasteScenario[#All],4,FALSE),0)</f>
        <v>0</v>
      </c>
      <c r="AE522" s="322">
        <f>SUM(Calculations[[#This Row],[C4 landfill]:[C4 re-use]])</f>
        <v>0</v>
      </c>
      <c r="AF522" s="322">
        <f>IFERROR(VLOOKUP(Calculations[[#This Row],[Material (choose from dropdown]],MaterialData[#All],8,FALSE),0)</f>
        <v>0</v>
      </c>
      <c r="AG522" s="322">
        <f>IFERROR(Calculations[[#This Row],[Total Kg]]*Calculations[[#This Row],[Seq factor]],0)</f>
        <v>0</v>
      </c>
      <c r="AI522" s="322">
        <f>Calculations[[#This Row],[A1-3]]+Calculations[[#This Row],[A4]]+Calculations[[#This Row],[A5]]+Calculations[[#This Row],[B4]]+Calculations[[#This Row],[C2 total]]+Calculations[[#This Row],[C3 total]]+Calculations[[#This Row],[C4 total]]</f>
        <v>0</v>
      </c>
      <c r="AJ522" s="2">
        <f>IFERROR(VLOOKUP(Calculations[[#This Row],[Material (choose from dropdown]],MaterialData[[#Headers],[#Data]],9,FALSE),0)</f>
        <v>0</v>
      </c>
      <c r="AK522" s="4">
        <f>IFERROR(VLOOKUP(Calculations[[#This Row],[Material (choose from dropdown]],MaterialData[[#Headers],[#Data]],10,FALSE),0)</f>
        <v>0</v>
      </c>
      <c r="AL522" s="322">
        <f>IFERROR(Calculations[[#This Row],[Data Quality Score]]*Calculations[[#This Row],[Total Kg]],0)</f>
        <v>0</v>
      </c>
    </row>
    <row r="523" spans="1:38" x14ac:dyDescent="0.3">
      <c r="A523" s="6">
        <f>IFERROR(MaterialsBoQ[[#This Row],[Scope Element]],0)</f>
        <v>0</v>
      </c>
      <c r="B523" t="str">
        <f>IFERROR(MaterialsBoQ[[#This Row],[Material ]],"")</f>
        <v/>
      </c>
      <c r="C523" t="str">
        <f>IFERROR(MaterialsBoQ[[#This Row],[Unit]],"")</f>
        <v/>
      </c>
      <c r="D523" s="322">
        <f>IFERROR(MaterialsBoQ[[#This Row],[Number]],0)</f>
        <v>0</v>
      </c>
      <c r="E523" s="322">
        <f>IFERROR(MaterialsBoQ[[#This Row],[Kg per unit]],0)</f>
        <v>0</v>
      </c>
      <c r="F523" s="322">
        <f>IFERROR(Calculations[[#This Row],[Number]]*Calculations[[#This Row],[Conversion factor]],0)</f>
        <v>0</v>
      </c>
      <c r="G523" s="322">
        <f>IFERROR(VLOOKUP(Calculations[[#This Row],[Material (choose from dropdown]],MaterialData[#All],7,FALSE),0)</f>
        <v>0</v>
      </c>
      <c r="H523" s="322">
        <f>Calculations[[#This Row],[Total Kg]]*Calculations[[#This Row],[Carbon Factor]]</f>
        <v>0</v>
      </c>
      <c r="I523" t="str">
        <f>IFERROR(VLOOKUP(Calculations[[#This Row],[Material (choose from dropdown]],MaterialData[#All],2,FALSE),"")</f>
        <v/>
      </c>
      <c r="J523" s="322">
        <f>IFERROR(((VLOOKUP(Calculations[[#This Row],[TransportSource]],TransportDistance[],2,FALSE)*'Stage assumptions'!$C$11)+VLOOKUP(Calculations[[#This Row],[TransportSource]],TransportDistance[],3,FALSE)*'Stage assumptions'!$C$12)*Calculations[[#This Row],[Total Kg]],0)</f>
        <v>0</v>
      </c>
      <c r="K523">
        <f>IFERROR(VLOOKUP(Calculations[[#This Row],[Material (choose from dropdown]], MaterialData[#All],3, FALSE),0)</f>
        <v>0</v>
      </c>
      <c r="L523" s="322">
        <f>IFERROR(VLOOKUP(Calculations[[#This Row],[A5type]],A5WastageRate[#All],2,FALSE)*Calculations[[#This Row],[A1-3]],0)</f>
        <v>0</v>
      </c>
      <c r="N523">
        <f>IFERROR(ROUNDUP(50/VLOOKUP(Calculations[[#This Row],[Scope Element]],B4referenceServiceLife[[Tier 2 element]:[Default Service Life]],2, FALSE)-1,0),0)</f>
        <v>0</v>
      </c>
      <c r="O523" s="322">
        <f>IFERROR((Calculations[[#This Row],[A1-3]]+Calculations[[#This Row],[A4]]+Calculations[[#This Row],[A5]]+Calculations[[#This Row],[C2 total]]+Calculations[[#This Row],[C3 total]]+Calculations[[#This Row],[C4 total]])*Calculations[[#This Row],[Replacements]],0)</f>
        <v>0</v>
      </c>
      <c r="S523" t="str">
        <f>IFERROR(VLOOKUP(Calculations[[#This Row],[Material (choose from dropdown]],MaterialData[#All],4,FALSE),"")</f>
        <v/>
      </c>
      <c r="T523" s="322" cm="1">
        <f t="array" ref="T523">IFERROR(VLOOKUP(Calculations[[#This Row],[Waste 1]],WasteScenario[#All],2,FALSE)*'Stage assumptions'!$C$225*WasteTransportMethod[Emissions Factor
kgCO2e/kg.km]*Calculations[[#This Row],[Total Kg]],0)</f>
        <v>0</v>
      </c>
      <c r="U523" s="322" cm="1">
        <f t="array" ref="U523">IFERROR(VLOOKUP(Calculations[[#This Row],[Waste 1]],WasteScenario[#All],3,FALSE)*'Stage assumptions'!$C$224*WasteTransportMethod[Emissions Factor
kgCO2e/kg.km]*Calculations[[#This Row],[Total Kg]],0)</f>
        <v>0</v>
      </c>
      <c r="V523" s="322" cm="1">
        <f t="array" ref="V523">IFERROR(VLOOKUP(Calculations[[#This Row],[Waste 1]],WasteScenario[#All],4,FALSE)*'Stage assumptions'!$C$223*WasteTransportMethod[Emissions Factor
kgCO2e/kg.km]*Calculations[[#This Row],[Total Kg]],0)</f>
        <v>0</v>
      </c>
      <c r="W523" s="322" cm="1">
        <f t="array" ref="W523">IFERROR(VLOOKUP(Calculations[[#This Row],[Waste 1]],WasteScenario[#All],5,FALSE)*'Stage assumptions'!$C$226*WasteTransportMethod[Emissions Factor
kgCO2e/kg.km]*Calculations[[#This Row],[Total Kg]],0)</f>
        <v>0</v>
      </c>
      <c r="X523" s="322">
        <f>SUM(Calculations[[#This Row],[C2 Recycle]:[C2 Reuse]])</f>
        <v>0</v>
      </c>
      <c r="Y523" t="str">
        <f>IFERROR(VLOOKUP(Calculations[[#This Row],[Material (choose from dropdown]],MaterialData[#All],5,FALSE),"")</f>
        <v/>
      </c>
      <c r="Z523" s="322">
        <f>IFERROR(((VLOOKUP(Calculations[[#This Row],[Waste type 2]],WasteDisposalEmissions[#All],2,FALSE))*Calculations[[#This Row],[Total Kg]])*VLOOKUP(Calculations[[#This Row],[Waste 1]],WasteScenario[#All],2,FALSE),0)</f>
        <v>0</v>
      </c>
      <c r="AA523" s="322">
        <f>IFERROR((VLOOKUP(Calculations[[#This Row],[Waste type 2]],WasteDisposalEmissions[#All],3,FALSE))*Calculations[[#This Row],[Total Kg]]*VLOOKUP(Calculations[[#This Row],[Waste 1]],WasteScenario[#All],3,FALSE),0)</f>
        <v>0</v>
      </c>
      <c r="AB523" s="322">
        <f>SUM(Calculations[[#This Row],[C3 recyc]:[C3 incin]])</f>
        <v>0</v>
      </c>
      <c r="AC523" s="334">
        <f>IFERROR((VLOOKUP(Calculations[[#This Row],[Waste type 2]],WasteLandfillEmissions[#All],2,FALSE))*Calculations[[#This Row],[Total Kg]]*VLOOKUP(Calculations[[#This Row],[Waste 1]],WasteScenario[#All],4,FALSE),0)</f>
        <v>0</v>
      </c>
      <c r="AD523" s="322">
        <f>IFERROR((VLOOKUP(Calculations[[#This Row],[Waste type 2]],WasteLandfillEmissions[#All],3,FALSE))*Calculations[[#This Row],[Total Kg]]*VLOOKUP(Calculations[[#This Row],[Waste 1]],WasteScenario[#All],4,FALSE),0)</f>
        <v>0</v>
      </c>
      <c r="AE523" s="322">
        <f>SUM(Calculations[[#This Row],[C4 landfill]:[C4 re-use]])</f>
        <v>0</v>
      </c>
      <c r="AF523" s="322">
        <f>IFERROR(VLOOKUP(Calculations[[#This Row],[Material (choose from dropdown]],MaterialData[#All],8,FALSE),0)</f>
        <v>0</v>
      </c>
      <c r="AG523" s="322">
        <f>IFERROR(Calculations[[#This Row],[Total Kg]]*Calculations[[#This Row],[Seq factor]],0)</f>
        <v>0</v>
      </c>
      <c r="AI523" s="322">
        <f>Calculations[[#This Row],[A1-3]]+Calculations[[#This Row],[A4]]+Calculations[[#This Row],[A5]]+Calculations[[#This Row],[B4]]+Calculations[[#This Row],[C2 total]]+Calculations[[#This Row],[C3 total]]+Calculations[[#This Row],[C4 total]]</f>
        <v>0</v>
      </c>
      <c r="AJ523" s="2">
        <f>IFERROR(VLOOKUP(Calculations[[#This Row],[Material (choose from dropdown]],MaterialData[[#Headers],[#Data]],9,FALSE),0)</f>
        <v>0</v>
      </c>
      <c r="AK523" s="4">
        <f>IFERROR(VLOOKUP(Calculations[[#This Row],[Material (choose from dropdown]],MaterialData[[#Headers],[#Data]],10,FALSE),0)</f>
        <v>0</v>
      </c>
      <c r="AL523" s="322">
        <f>IFERROR(Calculations[[#This Row],[Data Quality Score]]*Calculations[[#This Row],[Total Kg]],0)</f>
        <v>0</v>
      </c>
    </row>
    <row r="524" spans="1:38" x14ac:dyDescent="0.3">
      <c r="A524" s="6">
        <f>IFERROR(MaterialsBoQ[[#This Row],[Scope Element]],0)</f>
        <v>0</v>
      </c>
      <c r="B524" t="str">
        <f>IFERROR(MaterialsBoQ[[#This Row],[Material ]],"")</f>
        <v/>
      </c>
      <c r="C524" t="str">
        <f>IFERROR(MaterialsBoQ[[#This Row],[Unit]],"")</f>
        <v/>
      </c>
      <c r="D524" s="322">
        <f>IFERROR(MaterialsBoQ[[#This Row],[Number]],0)</f>
        <v>0</v>
      </c>
      <c r="E524" s="322">
        <f>IFERROR(MaterialsBoQ[[#This Row],[Kg per unit]],0)</f>
        <v>0</v>
      </c>
      <c r="F524" s="322">
        <f>IFERROR(Calculations[[#This Row],[Number]]*Calculations[[#This Row],[Conversion factor]],0)</f>
        <v>0</v>
      </c>
      <c r="G524" s="322">
        <f>IFERROR(VLOOKUP(Calculations[[#This Row],[Material (choose from dropdown]],MaterialData[#All],7,FALSE),0)</f>
        <v>0</v>
      </c>
      <c r="H524" s="322">
        <f>Calculations[[#This Row],[Total Kg]]*Calculations[[#This Row],[Carbon Factor]]</f>
        <v>0</v>
      </c>
      <c r="I524" t="str">
        <f>IFERROR(VLOOKUP(Calculations[[#This Row],[Material (choose from dropdown]],MaterialData[#All],2,FALSE),"")</f>
        <v/>
      </c>
      <c r="J524" s="322">
        <f>IFERROR(((VLOOKUP(Calculations[[#This Row],[TransportSource]],TransportDistance[],2,FALSE)*'Stage assumptions'!$C$11)+VLOOKUP(Calculations[[#This Row],[TransportSource]],TransportDistance[],3,FALSE)*'Stage assumptions'!$C$12)*Calculations[[#This Row],[Total Kg]],0)</f>
        <v>0</v>
      </c>
      <c r="K524">
        <f>IFERROR(VLOOKUP(Calculations[[#This Row],[Material (choose from dropdown]], MaterialData[#All],3, FALSE),0)</f>
        <v>0</v>
      </c>
      <c r="L524" s="322">
        <f>IFERROR(VLOOKUP(Calculations[[#This Row],[A5type]],A5WastageRate[#All],2,FALSE)*Calculations[[#This Row],[A1-3]],0)</f>
        <v>0</v>
      </c>
      <c r="N524">
        <f>IFERROR(ROUNDUP(50/VLOOKUP(Calculations[[#This Row],[Scope Element]],B4referenceServiceLife[[Tier 2 element]:[Default Service Life]],2, FALSE)-1,0),0)</f>
        <v>0</v>
      </c>
      <c r="O524" s="322">
        <f>IFERROR((Calculations[[#This Row],[A1-3]]+Calculations[[#This Row],[A4]]+Calculations[[#This Row],[A5]]+Calculations[[#This Row],[C2 total]]+Calculations[[#This Row],[C3 total]]+Calculations[[#This Row],[C4 total]])*Calculations[[#This Row],[Replacements]],0)</f>
        <v>0</v>
      </c>
      <c r="S524" t="str">
        <f>IFERROR(VLOOKUP(Calculations[[#This Row],[Material (choose from dropdown]],MaterialData[#All],4,FALSE),"")</f>
        <v/>
      </c>
      <c r="T524" s="322" cm="1">
        <f t="array" ref="T524">IFERROR(VLOOKUP(Calculations[[#This Row],[Waste 1]],WasteScenario[#All],2,FALSE)*'Stage assumptions'!$C$225*WasteTransportMethod[Emissions Factor
kgCO2e/kg.km]*Calculations[[#This Row],[Total Kg]],0)</f>
        <v>0</v>
      </c>
      <c r="U524" s="322" cm="1">
        <f t="array" ref="U524">IFERROR(VLOOKUP(Calculations[[#This Row],[Waste 1]],WasteScenario[#All],3,FALSE)*'Stage assumptions'!$C$224*WasteTransportMethod[Emissions Factor
kgCO2e/kg.km]*Calculations[[#This Row],[Total Kg]],0)</f>
        <v>0</v>
      </c>
      <c r="V524" s="322" cm="1">
        <f t="array" ref="V524">IFERROR(VLOOKUP(Calculations[[#This Row],[Waste 1]],WasteScenario[#All],4,FALSE)*'Stage assumptions'!$C$223*WasteTransportMethod[Emissions Factor
kgCO2e/kg.km]*Calculations[[#This Row],[Total Kg]],0)</f>
        <v>0</v>
      </c>
      <c r="W524" s="322" cm="1">
        <f t="array" ref="W524">IFERROR(VLOOKUP(Calculations[[#This Row],[Waste 1]],WasteScenario[#All],5,FALSE)*'Stage assumptions'!$C$226*WasteTransportMethod[Emissions Factor
kgCO2e/kg.km]*Calculations[[#This Row],[Total Kg]],0)</f>
        <v>0</v>
      </c>
      <c r="X524" s="322">
        <f>SUM(Calculations[[#This Row],[C2 Recycle]:[C2 Reuse]])</f>
        <v>0</v>
      </c>
      <c r="Y524" t="str">
        <f>IFERROR(VLOOKUP(Calculations[[#This Row],[Material (choose from dropdown]],MaterialData[#All],5,FALSE),"")</f>
        <v/>
      </c>
      <c r="Z524" s="322">
        <f>IFERROR(((VLOOKUP(Calculations[[#This Row],[Waste type 2]],WasteDisposalEmissions[#All],2,FALSE))*Calculations[[#This Row],[Total Kg]])*VLOOKUP(Calculations[[#This Row],[Waste 1]],WasteScenario[#All],2,FALSE),0)</f>
        <v>0</v>
      </c>
      <c r="AA524" s="322">
        <f>IFERROR((VLOOKUP(Calculations[[#This Row],[Waste type 2]],WasteDisposalEmissions[#All],3,FALSE))*Calculations[[#This Row],[Total Kg]]*VLOOKUP(Calculations[[#This Row],[Waste 1]],WasteScenario[#All],3,FALSE),0)</f>
        <v>0</v>
      </c>
      <c r="AB524" s="322">
        <f>SUM(Calculations[[#This Row],[C3 recyc]:[C3 incin]])</f>
        <v>0</v>
      </c>
      <c r="AC524" s="334">
        <f>IFERROR((VLOOKUP(Calculations[[#This Row],[Waste type 2]],WasteLandfillEmissions[#All],2,FALSE))*Calculations[[#This Row],[Total Kg]]*VLOOKUP(Calculations[[#This Row],[Waste 1]],WasteScenario[#All],4,FALSE),0)</f>
        <v>0</v>
      </c>
      <c r="AD524" s="322">
        <f>IFERROR((VLOOKUP(Calculations[[#This Row],[Waste type 2]],WasteLandfillEmissions[#All],3,FALSE))*Calculations[[#This Row],[Total Kg]]*VLOOKUP(Calculations[[#This Row],[Waste 1]],WasteScenario[#All],4,FALSE),0)</f>
        <v>0</v>
      </c>
      <c r="AE524" s="322">
        <f>SUM(Calculations[[#This Row],[C4 landfill]:[C4 re-use]])</f>
        <v>0</v>
      </c>
      <c r="AF524" s="322">
        <f>IFERROR(VLOOKUP(Calculations[[#This Row],[Material (choose from dropdown]],MaterialData[#All],8,FALSE),0)</f>
        <v>0</v>
      </c>
      <c r="AG524" s="322">
        <f>IFERROR(Calculations[[#This Row],[Total Kg]]*Calculations[[#This Row],[Seq factor]],0)</f>
        <v>0</v>
      </c>
      <c r="AI524" s="322">
        <f>Calculations[[#This Row],[A1-3]]+Calculations[[#This Row],[A4]]+Calculations[[#This Row],[A5]]+Calculations[[#This Row],[B4]]+Calculations[[#This Row],[C2 total]]+Calculations[[#This Row],[C3 total]]+Calculations[[#This Row],[C4 total]]</f>
        <v>0</v>
      </c>
      <c r="AJ524" s="2">
        <f>IFERROR(VLOOKUP(Calculations[[#This Row],[Material (choose from dropdown]],MaterialData[[#Headers],[#Data]],9,FALSE),0)</f>
        <v>0</v>
      </c>
      <c r="AK524" s="4">
        <f>IFERROR(VLOOKUP(Calculations[[#This Row],[Material (choose from dropdown]],MaterialData[[#Headers],[#Data]],10,FALSE),0)</f>
        <v>0</v>
      </c>
      <c r="AL524" s="322">
        <f>IFERROR(Calculations[[#This Row],[Data Quality Score]]*Calculations[[#This Row],[Total Kg]],0)</f>
        <v>0</v>
      </c>
    </row>
    <row r="525" spans="1:38" x14ac:dyDescent="0.3">
      <c r="A525" s="6">
        <f>IFERROR(MaterialsBoQ[[#This Row],[Scope Element]],0)</f>
        <v>0</v>
      </c>
      <c r="B525" t="str">
        <f>IFERROR(MaterialsBoQ[[#This Row],[Material ]],"")</f>
        <v/>
      </c>
      <c r="C525" t="str">
        <f>IFERROR(MaterialsBoQ[[#This Row],[Unit]],"")</f>
        <v/>
      </c>
      <c r="D525" s="322">
        <f>IFERROR(MaterialsBoQ[[#This Row],[Number]],0)</f>
        <v>0</v>
      </c>
      <c r="E525" s="322">
        <f>IFERROR(MaterialsBoQ[[#This Row],[Kg per unit]],0)</f>
        <v>0</v>
      </c>
      <c r="F525" s="322">
        <f>IFERROR(Calculations[[#This Row],[Number]]*Calculations[[#This Row],[Conversion factor]],0)</f>
        <v>0</v>
      </c>
      <c r="G525" s="322">
        <f>IFERROR(VLOOKUP(Calculations[[#This Row],[Material (choose from dropdown]],MaterialData[#All],7,FALSE),0)</f>
        <v>0</v>
      </c>
      <c r="H525" s="322">
        <f>Calculations[[#This Row],[Total Kg]]*Calculations[[#This Row],[Carbon Factor]]</f>
        <v>0</v>
      </c>
      <c r="I525" t="str">
        <f>IFERROR(VLOOKUP(Calculations[[#This Row],[Material (choose from dropdown]],MaterialData[#All],2,FALSE),"")</f>
        <v/>
      </c>
      <c r="J525" s="322">
        <f>IFERROR(((VLOOKUP(Calculations[[#This Row],[TransportSource]],TransportDistance[],2,FALSE)*'Stage assumptions'!$C$11)+VLOOKUP(Calculations[[#This Row],[TransportSource]],TransportDistance[],3,FALSE)*'Stage assumptions'!$C$12)*Calculations[[#This Row],[Total Kg]],0)</f>
        <v>0</v>
      </c>
      <c r="K525">
        <f>IFERROR(VLOOKUP(Calculations[[#This Row],[Material (choose from dropdown]], MaterialData[#All],3, FALSE),0)</f>
        <v>0</v>
      </c>
      <c r="L525" s="322">
        <f>IFERROR(VLOOKUP(Calculations[[#This Row],[A5type]],A5WastageRate[#All],2,FALSE)*Calculations[[#This Row],[A1-3]],0)</f>
        <v>0</v>
      </c>
      <c r="N525">
        <f>IFERROR(ROUNDUP(50/VLOOKUP(Calculations[[#This Row],[Scope Element]],B4referenceServiceLife[[Tier 2 element]:[Default Service Life]],2, FALSE)-1,0),0)</f>
        <v>0</v>
      </c>
      <c r="O525" s="322">
        <f>IFERROR((Calculations[[#This Row],[A1-3]]+Calculations[[#This Row],[A4]]+Calculations[[#This Row],[A5]]+Calculations[[#This Row],[C2 total]]+Calculations[[#This Row],[C3 total]]+Calculations[[#This Row],[C4 total]])*Calculations[[#This Row],[Replacements]],0)</f>
        <v>0</v>
      </c>
      <c r="S525" t="str">
        <f>IFERROR(VLOOKUP(Calculations[[#This Row],[Material (choose from dropdown]],MaterialData[#All],4,FALSE),"")</f>
        <v/>
      </c>
      <c r="T525" s="322" cm="1">
        <f t="array" ref="T525">IFERROR(VLOOKUP(Calculations[[#This Row],[Waste 1]],WasteScenario[#All],2,FALSE)*'Stage assumptions'!$C$225*WasteTransportMethod[Emissions Factor
kgCO2e/kg.km]*Calculations[[#This Row],[Total Kg]],0)</f>
        <v>0</v>
      </c>
      <c r="U525" s="322" cm="1">
        <f t="array" ref="U525">IFERROR(VLOOKUP(Calculations[[#This Row],[Waste 1]],WasteScenario[#All],3,FALSE)*'Stage assumptions'!$C$224*WasteTransportMethod[Emissions Factor
kgCO2e/kg.km]*Calculations[[#This Row],[Total Kg]],0)</f>
        <v>0</v>
      </c>
      <c r="V525" s="322" cm="1">
        <f t="array" ref="V525">IFERROR(VLOOKUP(Calculations[[#This Row],[Waste 1]],WasteScenario[#All],4,FALSE)*'Stage assumptions'!$C$223*WasteTransportMethod[Emissions Factor
kgCO2e/kg.km]*Calculations[[#This Row],[Total Kg]],0)</f>
        <v>0</v>
      </c>
      <c r="W525" s="322" cm="1">
        <f t="array" ref="W525">IFERROR(VLOOKUP(Calculations[[#This Row],[Waste 1]],WasteScenario[#All],5,FALSE)*'Stage assumptions'!$C$226*WasteTransportMethod[Emissions Factor
kgCO2e/kg.km]*Calculations[[#This Row],[Total Kg]],0)</f>
        <v>0</v>
      </c>
      <c r="X525" s="322">
        <f>SUM(Calculations[[#This Row],[C2 Recycle]:[C2 Reuse]])</f>
        <v>0</v>
      </c>
      <c r="Y525" t="str">
        <f>IFERROR(VLOOKUP(Calculations[[#This Row],[Material (choose from dropdown]],MaterialData[#All],5,FALSE),"")</f>
        <v/>
      </c>
      <c r="Z525" s="322">
        <f>IFERROR(((VLOOKUP(Calculations[[#This Row],[Waste type 2]],WasteDisposalEmissions[#All],2,FALSE))*Calculations[[#This Row],[Total Kg]])*VLOOKUP(Calculations[[#This Row],[Waste 1]],WasteScenario[#All],2,FALSE),0)</f>
        <v>0</v>
      </c>
      <c r="AA525" s="322">
        <f>IFERROR((VLOOKUP(Calculations[[#This Row],[Waste type 2]],WasteDisposalEmissions[#All],3,FALSE))*Calculations[[#This Row],[Total Kg]]*VLOOKUP(Calculations[[#This Row],[Waste 1]],WasteScenario[#All],3,FALSE),0)</f>
        <v>0</v>
      </c>
      <c r="AB525" s="322">
        <f>SUM(Calculations[[#This Row],[C3 recyc]:[C3 incin]])</f>
        <v>0</v>
      </c>
      <c r="AC525" s="334">
        <f>IFERROR((VLOOKUP(Calculations[[#This Row],[Waste type 2]],WasteLandfillEmissions[#All],2,FALSE))*Calculations[[#This Row],[Total Kg]]*VLOOKUP(Calculations[[#This Row],[Waste 1]],WasteScenario[#All],4,FALSE),0)</f>
        <v>0</v>
      </c>
      <c r="AD525" s="322">
        <f>IFERROR((VLOOKUP(Calculations[[#This Row],[Waste type 2]],WasteLandfillEmissions[#All],3,FALSE))*Calculations[[#This Row],[Total Kg]]*VLOOKUP(Calculations[[#This Row],[Waste 1]],WasteScenario[#All],4,FALSE),0)</f>
        <v>0</v>
      </c>
      <c r="AE525" s="322">
        <f>SUM(Calculations[[#This Row],[C4 landfill]:[C4 re-use]])</f>
        <v>0</v>
      </c>
      <c r="AF525" s="322">
        <f>IFERROR(VLOOKUP(Calculations[[#This Row],[Material (choose from dropdown]],MaterialData[#All],8,FALSE),0)</f>
        <v>0</v>
      </c>
      <c r="AG525" s="322">
        <f>IFERROR(Calculations[[#This Row],[Total Kg]]*Calculations[[#This Row],[Seq factor]],0)</f>
        <v>0</v>
      </c>
      <c r="AI525" s="322">
        <f>Calculations[[#This Row],[A1-3]]+Calculations[[#This Row],[A4]]+Calculations[[#This Row],[A5]]+Calculations[[#This Row],[B4]]+Calculations[[#This Row],[C2 total]]+Calculations[[#This Row],[C3 total]]+Calculations[[#This Row],[C4 total]]</f>
        <v>0</v>
      </c>
      <c r="AJ525" s="2">
        <f>IFERROR(VLOOKUP(Calculations[[#This Row],[Material (choose from dropdown]],MaterialData[[#Headers],[#Data]],9,FALSE),0)</f>
        <v>0</v>
      </c>
      <c r="AK525" s="4">
        <f>IFERROR(VLOOKUP(Calculations[[#This Row],[Material (choose from dropdown]],MaterialData[[#Headers],[#Data]],10,FALSE),0)</f>
        <v>0</v>
      </c>
      <c r="AL525" s="322">
        <f>IFERROR(Calculations[[#This Row],[Data Quality Score]]*Calculations[[#This Row],[Total Kg]],0)</f>
        <v>0</v>
      </c>
    </row>
    <row r="526" spans="1:38" x14ac:dyDescent="0.3">
      <c r="A526" s="6">
        <f>IFERROR(MaterialsBoQ[[#This Row],[Scope Element]],0)</f>
        <v>0</v>
      </c>
      <c r="B526" t="str">
        <f>IFERROR(MaterialsBoQ[[#This Row],[Material ]],"")</f>
        <v/>
      </c>
      <c r="C526" t="str">
        <f>IFERROR(MaterialsBoQ[[#This Row],[Unit]],"")</f>
        <v/>
      </c>
      <c r="D526" s="322">
        <f>IFERROR(MaterialsBoQ[[#This Row],[Number]],0)</f>
        <v>0</v>
      </c>
      <c r="E526" s="322">
        <f>IFERROR(MaterialsBoQ[[#This Row],[Kg per unit]],0)</f>
        <v>0</v>
      </c>
      <c r="F526" s="322">
        <f>IFERROR(Calculations[[#This Row],[Number]]*Calculations[[#This Row],[Conversion factor]],0)</f>
        <v>0</v>
      </c>
      <c r="G526" s="322">
        <f>IFERROR(VLOOKUP(Calculations[[#This Row],[Material (choose from dropdown]],MaterialData[#All],7,FALSE),0)</f>
        <v>0</v>
      </c>
      <c r="H526" s="322">
        <f>Calculations[[#This Row],[Total Kg]]*Calculations[[#This Row],[Carbon Factor]]</f>
        <v>0</v>
      </c>
      <c r="I526" t="str">
        <f>IFERROR(VLOOKUP(Calculations[[#This Row],[Material (choose from dropdown]],MaterialData[#All],2,FALSE),"")</f>
        <v/>
      </c>
      <c r="J526" s="322">
        <f>IFERROR(((VLOOKUP(Calculations[[#This Row],[TransportSource]],TransportDistance[],2,FALSE)*'Stage assumptions'!$C$11)+VLOOKUP(Calculations[[#This Row],[TransportSource]],TransportDistance[],3,FALSE)*'Stage assumptions'!$C$12)*Calculations[[#This Row],[Total Kg]],0)</f>
        <v>0</v>
      </c>
      <c r="K526">
        <f>IFERROR(VLOOKUP(Calculations[[#This Row],[Material (choose from dropdown]], MaterialData[#All],3, FALSE),0)</f>
        <v>0</v>
      </c>
      <c r="L526" s="322">
        <f>IFERROR(VLOOKUP(Calculations[[#This Row],[A5type]],A5WastageRate[#All],2,FALSE)*Calculations[[#This Row],[A1-3]],0)</f>
        <v>0</v>
      </c>
      <c r="N526">
        <f>IFERROR(ROUNDUP(50/VLOOKUP(Calculations[[#This Row],[Scope Element]],B4referenceServiceLife[[Tier 2 element]:[Default Service Life]],2, FALSE)-1,0),0)</f>
        <v>0</v>
      </c>
      <c r="O526" s="322">
        <f>IFERROR((Calculations[[#This Row],[A1-3]]+Calculations[[#This Row],[A4]]+Calculations[[#This Row],[A5]]+Calculations[[#This Row],[C2 total]]+Calculations[[#This Row],[C3 total]]+Calculations[[#This Row],[C4 total]])*Calculations[[#This Row],[Replacements]],0)</f>
        <v>0</v>
      </c>
      <c r="S526" t="str">
        <f>IFERROR(VLOOKUP(Calculations[[#This Row],[Material (choose from dropdown]],MaterialData[#All],4,FALSE),"")</f>
        <v/>
      </c>
      <c r="T526" s="322" cm="1">
        <f t="array" ref="T526">IFERROR(VLOOKUP(Calculations[[#This Row],[Waste 1]],WasteScenario[#All],2,FALSE)*'Stage assumptions'!$C$225*WasteTransportMethod[Emissions Factor
kgCO2e/kg.km]*Calculations[[#This Row],[Total Kg]],0)</f>
        <v>0</v>
      </c>
      <c r="U526" s="322" cm="1">
        <f t="array" ref="U526">IFERROR(VLOOKUP(Calculations[[#This Row],[Waste 1]],WasteScenario[#All],3,FALSE)*'Stage assumptions'!$C$224*WasteTransportMethod[Emissions Factor
kgCO2e/kg.km]*Calculations[[#This Row],[Total Kg]],0)</f>
        <v>0</v>
      </c>
      <c r="V526" s="322" cm="1">
        <f t="array" ref="V526">IFERROR(VLOOKUP(Calculations[[#This Row],[Waste 1]],WasteScenario[#All],4,FALSE)*'Stage assumptions'!$C$223*WasteTransportMethod[Emissions Factor
kgCO2e/kg.km]*Calculations[[#This Row],[Total Kg]],0)</f>
        <v>0</v>
      </c>
      <c r="W526" s="322" cm="1">
        <f t="array" ref="W526">IFERROR(VLOOKUP(Calculations[[#This Row],[Waste 1]],WasteScenario[#All],5,FALSE)*'Stage assumptions'!$C$226*WasteTransportMethod[Emissions Factor
kgCO2e/kg.km]*Calculations[[#This Row],[Total Kg]],0)</f>
        <v>0</v>
      </c>
      <c r="X526" s="322">
        <f>SUM(Calculations[[#This Row],[C2 Recycle]:[C2 Reuse]])</f>
        <v>0</v>
      </c>
      <c r="Y526" t="str">
        <f>IFERROR(VLOOKUP(Calculations[[#This Row],[Material (choose from dropdown]],MaterialData[#All],5,FALSE),"")</f>
        <v/>
      </c>
      <c r="Z526" s="322">
        <f>IFERROR(((VLOOKUP(Calculations[[#This Row],[Waste type 2]],WasteDisposalEmissions[#All],2,FALSE))*Calculations[[#This Row],[Total Kg]])*VLOOKUP(Calculations[[#This Row],[Waste 1]],WasteScenario[#All],2,FALSE),0)</f>
        <v>0</v>
      </c>
      <c r="AA526" s="322">
        <f>IFERROR((VLOOKUP(Calculations[[#This Row],[Waste type 2]],WasteDisposalEmissions[#All],3,FALSE))*Calculations[[#This Row],[Total Kg]]*VLOOKUP(Calculations[[#This Row],[Waste 1]],WasteScenario[#All],3,FALSE),0)</f>
        <v>0</v>
      </c>
      <c r="AB526" s="322">
        <f>SUM(Calculations[[#This Row],[C3 recyc]:[C3 incin]])</f>
        <v>0</v>
      </c>
      <c r="AC526" s="334">
        <f>IFERROR((VLOOKUP(Calculations[[#This Row],[Waste type 2]],WasteLandfillEmissions[#All],2,FALSE))*Calculations[[#This Row],[Total Kg]]*VLOOKUP(Calculations[[#This Row],[Waste 1]],WasteScenario[#All],4,FALSE),0)</f>
        <v>0</v>
      </c>
      <c r="AD526" s="322">
        <f>IFERROR((VLOOKUP(Calculations[[#This Row],[Waste type 2]],WasteLandfillEmissions[#All],3,FALSE))*Calculations[[#This Row],[Total Kg]]*VLOOKUP(Calculations[[#This Row],[Waste 1]],WasteScenario[#All],4,FALSE),0)</f>
        <v>0</v>
      </c>
      <c r="AE526" s="322">
        <f>SUM(Calculations[[#This Row],[C4 landfill]:[C4 re-use]])</f>
        <v>0</v>
      </c>
      <c r="AF526" s="322">
        <f>IFERROR(VLOOKUP(Calculations[[#This Row],[Material (choose from dropdown]],MaterialData[#All],8,FALSE),0)</f>
        <v>0</v>
      </c>
      <c r="AG526" s="322">
        <f>IFERROR(Calculations[[#This Row],[Total Kg]]*Calculations[[#This Row],[Seq factor]],0)</f>
        <v>0</v>
      </c>
      <c r="AI526" s="322">
        <f>Calculations[[#This Row],[A1-3]]+Calculations[[#This Row],[A4]]+Calculations[[#This Row],[A5]]+Calculations[[#This Row],[B4]]+Calculations[[#This Row],[C2 total]]+Calculations[[#This Row],[C3 total]]+Calculations[[#This Row],[C4 total]]</f>
        <v>0</v>
      </c>
      <c r="AJ526" s="2">
        <f>IFERROR(VLOOKUP(Calculations[[#This Row],[Material (choose from dropdown]],MaterialData[[#Headers],[#Data]],9,FALSE),0)</f>
        <v>0</v>
      </c>
      <c r="AK526" s="4">
        <f>IFERROR(VLOOKUP(Calculations[[#This Row],[Material (choose from dropdown]],MaterialData[[#Headers],[#Data]],10,FALSE),0)</f>
        <v>0</v>
      </c>
      <c r="AL526" s="322">
        <f>IFERROR(Calculations[[#This Row],[Data Quality Score]]*Calculations[[#This Row],[Total Kg]],0)</f>
        <v>0</v>
      </c>
    </row>
    <row r="527" spans="1:38" x14ac:dyDescent="0.3">
      <c r="A527" s="6">
        <f>IFERROR(MaterialsBoQ[[#This Row],[Scope Element]],0)</f>
        <v>0</v>
      </c>
      <c r="B527" t="str">
        <f>IFERROR(MaterialsBoQ[[#This Row],[Material ]],"")</f>
        <v/>
      </c>
      <c r="C527" t="str">
        <f>IFERROR(MaterialsBoQ[[#This Row],[Unit]],"")</f>
        <v/>
      </c>
      <c r="D527" s="322">
        <f>IFERROR(MaterialsBoQ[[#This Row],[Number]],0)</f>
        <v>0</v>
      </c>
      <c r="E527" s="322">
        <f>IFERROR(MaterialsBoQ[[#This Row],[Kg per unit]],0)</f>
        <v>0</v>
      </c>
      <c r="F527" s="322">
        <f>IFERROR(Calculations[[#This Row],[Number]]*Calculations[[#This Row],[Conversion factor]],0)</f>
        <v>0</v>
      </c>
      <c r="G527" s="322">
        <f>IFERROR(VLOOKUP(Calculations[[#This Row],[Material (choose from dropdown]],MaterialData[#All],7,FALSE),0)</f>
        <v>0</v>
      </c>
      <c r="H527" s="322">
        <f>Calculations[[#This Row],[Total Kg]]*Calculations[[#This Row],[Carbon Factor]]</f>
        <v>0</v>
      </c>
      <c r="I527" t="str">
        <f>IFERROR(VLOOKUP(Calculations[[#This Row],[Material (choose from dropdown]],MaterialData[#All],2,FALSE),"")</f>
        <v/>
      </c>
      <c r="J527" s="322">
        <f>IFERROR(((VLOOKUP(Calculations[[#This Row],[TransportSource]],TransportDistance[],2,FALSE)*'Stage assumptions'!$C$11)+VLOOKUP(Calculations[[#This Row],[TransportSource]],TransportDistance[],3,FALSE)*'Stage assumptions'!$C$12)*Calculations[[#This Row],[Total Kg]],0)</f>
        <v>0</v>
      </c>
      <c r="K527">
        <f>IFERROR(VLOOKUP(Calculations[[#This Row],[Material (choose from dropdown]], MaterialData[#All],3, FALSE),0)</f>
        <v>0</v>
      </c>
      <c r="L527" s="322">
        <f>IFERROR(VLOOKUP(Calculations[[#This Row],[A5type]],A5WastageRate[#All],2,FALSE)*Calculations[[#This Row],[A1-3]],0)</f>
        <v>0</v>
      </c>
      <c r="N527">
        <f>IFERROR(ROUNDUP(50/VLOOKUP(Calculations[[#This Row],[Scope Element]],B4referenceServiceLife[[Tier 2 element]:[Default Service Life]],2, FALSE)-1,0),0)</f>
        <v>0</v>
      </c>
      <c r="O527" s="322">
        <f>IFERROR((Calculations[[#This Row],[A1-3]]+Calculations[[#This Row],[A4]]+Calculations[[#This Row],[A5]]+Calculations[[#This Row],[C2 total]]+Calculations[[#This Row],[C3 total]]+Calculations[[#This Row],[C4 total]])*Calculations[[#This Row],[Replacements]],0)</f>
        <v>0</v>
      </c>
      <c r="S527" t="str">
        <f>IFERROR(VLOOKUP(Calculations[[#This Row],[Material (choose from dropdown]],MaterialData[#All],4,FALSE),"")</f>
        <v/>
      </c>
      <c r="T527" s="322" cm="1">
        <f t="array" ref="T527">IFERROR(VLOOKUP(Calculations[[#This Row],[Waste 1]],WasteScenario[#All],2,FALSE)*'Stage assumptions'!$C$225*WasteTransportMethod[Emissions Factor
kgCO2e/kg.km]*Calculations[[#This Row],[Total Kg]],0)</f>
        <v>0</v>
      </c>
      <c r="U527" s="322" cm="1">
        <f t="array" ref="U527">IFERROR(VLOOKUP(Calculations[[#This Row],[Waste 1]],WasteScenario[#All],3,FALSE)*'Stage assumptions'!$C$224*WasteTransportMethod[Emissions Factor
kgCO2e/kg.km]*Calculations[[#This Row],[Total Kg]],0)</f>
        <v>0</v>
      </c>
      <c r="V527" s="322" cm="1">
        <f t="array" ref="V527">IFERROR(VLOOKUP(Calculations[[#This Row],[Waste 1]],WasteScenario[#All],4,FALSE)*'Stage assumptions'!$C$223*WasteTransportMethod[Emissions Factor
kgCO2e/kg.km]*Calculations[[#This Row],[Total Kg]],0)</f>
        <v>0</v>
      </c>
      <c r="W527" s="322" cm="1">
        <f t="array" ref="W527">IFERROR(VLOOKUP(Calculations[[#This Row],[Waste 1]],WasteScenario[#All],5,FALSE)*'Stage assumptions'!$C$226*WasteTransportMethod[Emissions Factor
kgCO2e/kg.km]*Calculations[[#This Row],[Total Kg]],0)</f>
        <v>0</v>
      </c>
      <c r="X527" s="322">
        <f>SUM(Calculations[[#This Row],[C2 Recycle]:[C2 Reuse]])</f>
        <v>0</v>
      </c>
      <c r="Y527" t="str">
        <f>IFERROR(VLOOKUP(Calculations[[#This Row],[Material (choose from dropdown]],MaterialData[#All],5,FALSE),"")</f>
        <v/>
      </c>
      <c r="Z527" s="322">
        <f>IFERROR(((VLOOKUP(Calculations[[#This Row],[Waste type 2]],WasteDisposalEmissions[#All],2,FALSE))*Calculations[[#This Row],[Total Kg]])*VLOOKUP(Calculations[[#This Row],[Waste 1]],WasteScenario[#All],2,FALSE),0)</f>
        <v>0</v>
      </c>
      <c r="AA527" s="322">
        <f>IFERROR((VLOOKUP(Calculations[[#This Row],[Waste type 2]],WasteDisposalEmissions[#All],3,FALSE))*Calculations[[#This Row],[Total Kg]]*VLOOKUP(Calculations[[#This Row],[Waste 1]],WasteScenario[#All],3,FALSE),0)</f>
        <v>0</v>
      </c>
      <c r="AB527" s="322">
        <f>SUM(Calculations[[#This Row],[C3 recyc]:[C3 incin]])</f>
        <v>0</v>
      </c>
      <c r="AC527" s="334">
        <f>IFERROR((VLOOKUP(Calculations[[#This Row],[Waste type 2]],WasteLandfillEmissions[#All],2,FALSE))*Calculations[[#This Row],[Total Kg]]*VLOOKUP(Calculations[[#This Row],[Waste 1]],WasteScenario[#All],4,FALSE),0)</f>
        <v>0</v>
      </c>
      <c r="AD527" s="322">
        <f>IFERROR((VLOOKUP(Calculations[[#This Row],[Waste type 2]],WasteLandfillEmissions[#All],3,FALSE))*Calculations[[#This Row],[Total Kg]]*VLOOKUP(Calculations[[#This Row],[Waste 1]],WasteScenario[#All],4,FALSE),0)</f>
        <v>0</v>
      </c>
      <c r="AE527" s="322">
        <f>SUM(Calculations[[#This Row],[C4 landfill]:[C4 re-use]])</f>
        <v>0</v>
      </c>
      <c r="AF527" s="322">
        <f>IFERROR(VLOOKUP(Calculations[[#This Row],[Material (choose from dropdown]],MaterialData[#All],8,FALSE),0)</f>
        <v>0</v>
      </c>
      <c r="AG527" s="322">
        <f>IFERROR(Calculations[[#This Row],[Total Kg]]*Calculations[[#This Row],[Seq factor]],0)</f>
        <v>0</v>
      </c>
      <c r="AI527" s="322">
        <f>Calculations[[#This Row],[A1-3]]+Calculations[[#This Row],[A4]]+Calculations[[#This Row],[A5]]+Calculations[[#This Row],[B4]]+Calculations[[#This Row],[C2 total]]+Calculations[[#This Row],[C3 total]]+Calculations[[#This Row],[C4 total]]</f>
        <v>0</v>
      </c>
      <c r="AJ527" s="2">
        <f>IFERROR(VLOOKUP(Calculations[[#This Row],[Material (choose from dropdown]],MaterialData[[#Headers],[#Data]],9,FALSE),0)</f>
        <v>0</v>
      </c>
      <c r="AK527" s="4">
        <f>IFERROR(VLOOKUP(Calculations[[#This Row],[Material (choose from dropdown]],MaterialData[[#Headers],[#Data]],10,FALSE),0)</f>
        <v>0</v>
      </c>
      <c r="AL527" s="322">
        <f>IFERROR(Calculations[[#This Row],[Data Quality Score]]*Calculations[[#This Row],[Total Kg]],0)</f>
        <v>0</v>
      </c>
    </row>
    <row r="528" spans="1:38" x14ac:dyDescent="0.3">
      <c r="A528" s="6">
        <f>IFERROR(MaterialsBoQ[[#This Row],[Scope Element]],0)</f>
        <v>0</v>
      </c>
      <c r="B528" t="str">
        <f>IFERROR(MaterialsBoQ[[#This Row],[Material ]],"")</f>
        <v/>
      </c>
      <c r="C528" t="str">
        <f>IFERROR(MaterialsBoQ[[#This Row],[Unit]],"")</f>
        <v/>
      </c>
      <c r="D528" s="322">
        <f>IFERROR(MaterialsBoQ[[#This Row],[Number]],0)</f>
        <v>0</v>
      </c>
      <c r="E528" s="322">
        <f>IFERROR(MaterialsBoQ[[#This Row],[Kg per unit]],0)</f>
        <v>0</v>
      </c>
      <c r="F528" s="322">
        <f>IFERROR(Calculations[[#This Row],[Number]]*Calculations[[#This Row],[Conversion factor]],0)</f>
        <v>0</v>
      </c>
      <c r="G528" s="322">
        <f>IFERROR(VLOOKUP(Calculations[[#This Row],[Material (choose from dropdown]],MaterialData[#All],7,FALSE),0)</f>
        <v>0</v>
      </c>
      <c r="H528" s="322">
        <f>Calculations[[#This Row],[Total Kg]]*Calculations[[#This Row],[Carbon Factor]]</f>
        <v>0</v>
      </c>
      <c r="I528" t="str">
        <f>IFERROR(VLOOKUP(Calculations[[#This Row],[Material (choose from dropdown]],MaterialData[#All],2,FALSE),"")</f>
        <v/>
      </c>
      <c r="J528" s="322">
        <f>IFERROR(((VLOOKUP(Calculations[[#This Row],[TransportSource]],TransportDistance[],2,FALSE)*'Stage assumptions'!$C$11)+VLOOKUP(Calculations[[#This Row],[TransportSource]],TransportDistance[],3,FALSE)*'Stage assumptions'!$C$12)*Calculations[[#This Row],[Total Kg]],0)</f>
        <v>0</v>
      </c>
      <c r="K528">
        <f>IFERROR(VLOOKUP(Calculations[[#This Row],[Material (choose from dropdown]], MaterialData[#All],3, FALSE),0)</f>
        <v>0</v>
      </c>
      <c r="L528" s="322">
        <f>IFERROR(VLOOKUP(Calculations[[#This Row],[A5type]],A5WastageRate[#All],2,FALSE)*Calculations[[#This Row],[A1-3]],0)</f>
        <v>0</v>
      </c>
      <c r="N528">
        <f>IFERROR(ROUNDUP(50/VLOOKUP(Calculations[[#This Row],[Scope Element]],B4referenceServiceLife[[Tier 2 element]:[Default Service Life]],2, FALSE)-1,0),0)</f>
        <v>0</v>
      </c>
      <c r="O528" s="322">
        <f>IFERROR((Calculations[[#This Row],[A1-3]]+Calculations[[#This Row],[A4]]+Calculations[[#This Row],[A5]]+Calculations[[#This Row],[C2 total]]+Calculations[[#This Row],[C3 total]]+Calculations[[#This Row],[C4 total]])*Calculations[[#This Row],[Replacements]],0)</f>
        <v>0</v>
      </c>
      <c r="S528" t="str">
        <f>IFERROR(VLOOKUP(Calculations[[#This Row],[Material (choose from dropdown]],MaterialData[#All],4,FALSE),"")</f>
        <v/>
      </c>
      <c r="T528" s="322" cm="1">
        <f t="array" ref="T528">IFERROR(VLOOKUP(Calculations[[#This Row],[Waste 1]],WasteScenario[#All],2,FALSE)*'Stage assumptions'!$C$225*WasteTransportMethod[Emissions Factor
kgCO2e/kg.km]*Calculations[[#This Row],[Total Kg]],0)</f>
        <v>0</v>
      </c>
      <c r="U528" s="322" cm="1">
        <f t="array" ref="U528">IFERROR(VLOOKUP(Calculations[[#This Row],[Waste 1]],WasteScenario[#All],3,FALSE)*'Stage assumptions'!$C$224*WasteTransportMethod[Emissions Factor
kgCO2e/kg.km]*Calculations[[#This Row],[Total Kg]],0)</f>
        <v>0</v>
      </c>
      <c r="V528" s="322" cm="1">
        <f t="array" ref="V528">IFERROR(VLOOKUP(Calculations[[#This Row],[Waste 1]],WasteScenario[#All],4,FALSE)*'Stage assumptions'!$C$223*WasteTransportMethod[Emissions Factor
kgCO2e/kg.km]*Calculations[[#This Row],[Total Kg]],0)</f>
        <v>0</v>
      </c>
      <c r="W528" s="322" cm="1">
        <f t="array" ref="W528">IFERROR(VLOOKUP(Calculations[[#This Row],[Waste 1]],WasteScenario[#All],5,FALSE)*'Stage assumptions'!$C$226*WasteTransportMethod[Emissions Factor
kgCO2e/kg.km]*Calculations[[#This Row],[Total Kg]],0)</f>
        <v>0</v>
      </c>
      <c r="X528" s="322">
        <f>SUM(Calculations[[#This Row],[C2 Recycle]:[C2 Reuse]])</f>
        <v>0</v>
      </c>
      <c r="Y528" t="str">
        <f>IFERROR(VLOOKUP(Calculations[[#This Row],[Material (choose from dropdown]],MaterialData[#All],5,FALSE),"")</f>
        <v/>
      </c>
      <c r="Z528" s="322">
        <f>IFERROR(((VLOOKUP(Calculations[[#This Row],[Waste type 2]],WasteDisposalEmissions[#All],2,FALSE))*Calculations[[#This Row],[Total Kg]])*VLOOKUP(Calculations[[#This Row],[Waste 1]],WasteScenario[#All],2,FALSE),0)</f>
        <v>0</v>
      </c>
      <c r="AA528" s="322">
        <f>IFERROR((VLOOKUP(Calculations[[#This Row],[Waste type 2]],WasteDisposalEmissions[#All],3,FALSE))*Calculations[[#This Row],[Total Kg]]*VLOOKUP(Calculations[[#This Row],[Waste 1]],WasteScenario[#All],3,FALSE),0)</f>
        <v>0</v>
      </c>
      <c r="AB528" s="322">
        <f>SUM(Calculations[[#This Row],[C3 recyc]:[C3 incin]])</f>
        <v>0</v>
      </c>
      <c r="AC528" s="334">
        <f>IFERROR((VLOOKUP(Calculations[[#This Row],[Waste type 2]],WasteLandfillEmissions[#All],2,FALSE))*Calculations[[#This Row],[Total Kg]]*VLOOKUP(Calculations[[#This Row],[Waste 1]],WasteScenario[#All],4,FALSE),0)</f>
        <v>0</v>
      </c>
      <c r="AD528" s="322">
        <f>IFERROR((VLOOKUP(Calculations[[#This Row],[Waste type 2]],WasteLandfillEmissions[#All],3,FALSE))*Calculations[[#This Row],[Total Kg]]*VLOOKUP(Calculations[[#This Row],[Waste 1]],WasteScenario[#All],4,FALSE),0)</f>
        <v>0</v>
      </c>
      <c r="AE528" s="322">
        <f>SUM(Calculations[[#This Row],[C4 landfill]:[C4 re-use]])</f>
        <v>0</v>
      </c>
      <c r="AF528" s="322">
        <f>IFERROR(VLOOKUP(Calculations[[#This Row],[Material (choose from dropdown]],MaterialData[#All],8,FALSE),0)</f>
        <v>0</v>
      </c>
      <c r="AG528" s="322">
        <f>IFERROR(Calculations[[#This Row],[Total Kg]]*Calculations[[#This Row],[Seq factor]],0)</f>
        <v>0</v>
      </c>
      <c r="AI528" s="322">
        <f>Calculations[[#This Row],[A1-3]]+Calculations[[#This Row],[A4]]+Calculations[[#This Row],[A5]]+Calculations[[#This Row],[B4]]+Calculations[[#This Row],[C2 total]]+Calculations[[#This Row],[C3 total]]+Calculations[[#This Row],[C4 total]]</f>
        <v>0</v>
      </c>
      <c r="AJ528" s="2">
        <f>IFERROR(VLOOKUP(Calculations[[#This Row],[Material (choose from dropdown]],MaterialData[[#Headers],[#Data]],9,FALSE),0)</f>
        <v>0</v>
      </c>
      <c r="AK528" s="4">
        <f>IFERROR(VLOOKUP(Calculations[[#This Row],[Material (choose from dropdown]],MaterialData[[#Headers],[#Data]],10,FALSE),0)</f>
        <v>0</v>
      </c>
      <c r="AL528" s="322">
        <f>IFERROR(Calculations[[#This Row],[Data Quality Score]]*Calculations[[#This Row],[Total Kg]],0)</f>
        <v>0</v>
      </c>
    </row>
    <row r="529" spans="1:38" x14ac:dyDescent="0.3">
      <c r="A529" s="6">
        <f>IFERROR(MaterialsBoQ[[#This Row],[Scope Element]],0)</f>
        <v>0</v>
      </c>
      <c r="B529" t="str">
        <f>IFERROR(MaterialsBoQ[[#This Row],[Material ]],"")</f>
        <v/>
      </c>
      <c r="C529" t="str">
        <f>IFERROR(MaterialsBoQ[[#This Row],[Unit]],"")</f>
        <v/>
      </c>
      <c r="D529" s="322">
        <f>IFERROR(MaterialsBoQ[[#This Row],[Number]],0)</f>
        <v>0</v>
      </c>
      <c r="E529" s="322">
        <f>IFERROR(MaterialsBoQ[[#This Row],[Kg per unit]],0)</f>
        <v>0</v>
      </c>
      <c r="F529" s="322">
        <f>IFERROR(Calculations[[#This Row],[Number]]*Calculations[[#This Row],[Conversion factor]],0)</f>
        <v>0</v>
      </c>
      <c r="G529" s="322">
        <f>IFERROR(VLOOKUP(Calculations[[#This Row],[Material (choose from dropdown]],MaterialData[#All],7,FALSE),0)</f>
        <v>0</v>
      </c>
      <c r="H529" s="322">
        <f>Calculations[[#This Row],[Total Kg]]*Calculations[[#This Row],[Carbon Factor]]</f>
        <v>0</v>
      </c>
      <c r="I529" t="str">
        <f>IFERROR(VLOOKUP(Calculations[[#This Row],[Material (choose from dropdown]],MaterialData[#All],2,FALSE),"")</f>
        <v/>
      </c>
      <c r="J529" s="322">
        <f>IFERROR(((VLOOKUP(Calculations[[#This Row],[TransportSource]],TransportDistance[],2,FALSE)*'Stage assumptions'!$C$11)+VLOOKUP(Calculations[[#This Row],[TransportSource]],TransportDistance[],3,FALSE)*'Stage assumptions'!$C$12)*Calculations[[#This Row],[Total Kg]],0)</f>
        <v>0</v>
      </c>
      <c r="K529">
        <f>IFERROR(VLOOKUP(Calculations[[#This Row],[Material (choose from dropdown]], MaterialData[#All],3, FALSE),0)</f>
        <v>0</v>
      </c>
      <c r="L529" s="322">
        <f>IFERROR(VLOOKUP(Calculations[[#This Row],[A5type]],A5WastageRate[#All],2,FALSE)*Calculations[[#This Row],[A1-3]],0)</f>
        <v>0</v>
      </c>
      <c r="N529">
        <f>IFERROR(ROUNDUP(50/VLOOKUP(Calculations[[#This Row],[Scope Element]],B4referenceServiceLife[[Tier 2 element]:[Default Service Life]],2, FALSE)-1,0),0)</f>
        <v>0</v>
      </c>
      <c r="O529" s="322">
        <f>IFERROR((Calculations[[#This Row],[A1-3]]+Calculations[[#This Row],[A4]]+Calculations[[#This Row],[A5]]+Calculations[[#This Row],[C2 total]]+Calculations[[#This Row],[C3 total]]+Calculations[[#This Row],[C4 total]])*Calculations[[#This Row],[Replacements]],0)</f>
        <v>0</v>
      </c>
      <c r="S529" t="str">
        <f>IFERROR(VLOOKUP(Calculations[[#This Row],[Material (choose from dropdown]],MaterialData[#All],4,FALSE),"")</f>
        <v/>
      </c>
      <c r="T529" s="322" cm="1">
        <f t="array" ref="T529">IFERROR(VLOOKUP(Calculations[[#This Row],[Waste 1]],WasteScenario[#All],2,FALSE)*'Stage assumptions'!$C$225*WasteTransportMethod[Emissions Factor
kgCO2e/kg.km]*Calculations[[#This Row],[Total Kg]],0)</f>
        <v>0</v>
      </c>
      <c r="U529" s="322" cm="1">
        <f t="array" ref="U529">IFERROR(VLOOKUP(Calculations[[#This Row],[Waste 1]],WasteScenario[#All],3,FALSE)*'Stage assumptions'!$C$224*WasteTransportMethod[Emissions Factor
kgCO2e/kg.km]*Calculations[[#This Row],[Total Kg]],0)</f>
        <v>0</v>
      </c>
      <c r="V529" s="322" cm="1">
        <f t="array" ref="V529">IFERROR(VLOOKUP(Calculations[[#This Row],[Waste 1]],WasteScenario[#All],4,FALSE)*'Stage assumptions'!$C$223*WasteTransportMethod[Emissions Factor
kgCO2e/kg.km]*Calculations[[#This Row],[Total Kg]],0)</f>
        <v>0</v>
      </c>
      <c r="W529" s="322" cm="1">
        <f t="array" ref="W529">IFERROR(VLOOKUP(Calculations[[#This Row],[Waste 1]],WasteScenario[#All],5,FALSE)*'Stage assumptions'!$C$226*WasteTransportMethod[Emissions Factor
kgCO2e/kg.km]*Calculations[[#This Row],[Total Kg]],0)</f>
        <v>0</v>
      </c>
      <c r="X529" s="322">
        <f>SUM(Calculations[[#This Row],[C2 Recycle]:[C2 Reuse]])</f>
        <v>0</v>
      </c>
      <c r="Y529" t="str">
        <f>IFERROR(VLOOKUP(Calculations[[#This Row],[Material (choose from dropdown]],MaterialData[#All],5,FALSE),"")</f>
        <v/>
      </c>
      <c r="Z529" s="322">
        <f>IFERROR(((VLOOKUP(Calculations[[#This Row],[Waste type 2]],WasteDisposalEmissions[#All],2,FALSE))*Calculations[[#This Row],[Total Kg]])*VLOOKUP(Calculations[[#This Row],[Waste 1]],WasteScenario[#All],2,FALSE),0)</f>
        <v>0</v>
      </c>
      <c r="AA529" s="322">
        <f>IFERROR((VLOOKUP(Calculations[[#This Row],[Waste type 2]],WasteDisposalEmissions[#All],3,FALSE))*Calculations[[#This Row],[Total Kg]]*VLOOKUP(Calculations[[#This Row],[Waste 1]],WasteScenario[#All],3,FALSE),0)</f>
        <v>0</v>
      </c>
      <c r="AB529" s="322">
        <f>SUM(Calculations[[#This Row],[C3 recyc]:[C3 incin]])</f>
        <v>0</v>
      </c>
      <c r="AC529" s="334">
        <f>IFERROR((VLOOKUP(Calculations[[#This Row],[Waste type 2]],WasteLandfillEmissions[#All],2,FALSE))*Calculations[[#This Row],[Total Kg]]*VLOOKUP(Calculations[[#This Row],[Waste 1]],WasteScenario[#All],4,FALSE),0)</f>
        <v>0</v>
      </c>
      <c r="AD529" s="322">
        <f>IFERROR((VLOOKUP(Calculations[[#This Row],[Waste type 2]],WasteLandfillEmissions[#All],3,FALSE))*Calculations[[#This Row],[Total Kg]]*VLOOKUP(Calculations[[#This Row],[Waste 1]],WasteScenario[#All],4,FALSE),0)</f>
        <v>0</v>
      </c>
      <c r="AE529" s="322">
        <f>SUM(Calculations[[#This Row],[C4 landfill]:[C4 re-use]])</f>
        <v>0</v>
      </c>
      <c r="AF529" s="322">
        <f>IFERROR(VLOOKUP(Calculations[[#This Row],[Material (choose from dropdown]],MaterialData[#All],8,FALSE),0)</f>
        <v>0</v>
      </c>
      <c r="AG529" s="322">
        <f>IFERROR(Calculations[[#This Row],[Total Kg]]*Calculations[[#This Row],[Seq factor]],0)</f>
        <v>0</v>
      </c>
      <c r="AI529" s="322">
        <f>Calculations[[#This Row],[A1-3]]+Calculations[[#This Row],[A4]]+Calculations[[#This Row],[A5]]+Calculations[[#This Row],[B4]]+Calculations[[#This Row],[C2 total]]+Calculations[[#This Row],[C3 total]]+Calculations[[#This Row],[C4 total]]</f>
        <v>0</v>
      </c>
      <c r="AJ529" s="2">
        <f>IFERROR(VLOOKUP(Calculations[[#This Row],[Material (choose from dropdown]],MaterialData[[#Headers],[#Data]],9,FALSE),0)</f>
        <v>0</v>
      </c>
      <c r="AK529" s="4">
        <f>IFERROR(VLOOKUP(Calculations[[#This Row],[Material (choose from dropdown]],MaterialData[[#Headers],[#Data]],10,FALSE),0)</f>
        <v>0</v>
      </c>
      <c r="AL529" s="322">
        <f>IFERROR(Calculations[[#This Row],[Data Quality Score]]*Calculations[[#This Row],[Total Kg]],0)</f>
        <v>0</v>
      </c>
    </row>
    <row r="530" spans="1:38" x14ac:dyDescent="0.3">
      <c r="A530" s="6">
        <f>IFERROR(MaterialsBoQ[[#This Row],[Scope Element]],0)</f>
        <v>0</v>
      </c>
      <c r="B530" t="str">
        <f>IFERROR(MaterialsBoQ[[#This Row],[Material ]],"")</f>
        <v/>
      </c>
      <c r="C530" t="str">
        <f>IFERROR(MaterialsBoQ[[#This Row],[Unit]],"")</f>
        <v/>
      </c>
      <c r="D530" s="322">
        <f>IFERROR(MaterialsBoQ[[#This Row],[Number]],0)</f>
        <v>0</v>
      </c>
      <c r="E530" s="322">
        <f>IFERROR(MaterialsBoQ[[#This Row],[Kg per unit]],0)</f>
        <v>0</v>
      </c>
      <c r="F530" s="322">
        <f>IFERROR(Calculations[[#This Row],[Number]]*Calculations[[#This Row],[Conversion factor]],0)</f>
        <v>0</v>
      </c>
      <c r="G530" s="322">
        <f>IFERROR(VLOOKUP(Calculations[[#This Row],[Material (choose from dropdown]],MaterialData[#All],7,FALSE),0)</f>
        <v>0</v>
      </c>
      <c r="H530" s="322">
        <f>Calculations[[#This Row],[Total Kg]]*Calculations[[#This Row],[Carbon Factor]]</f>
        <v>0</v>
      </c>
      <c r="I530" t="str">
        <f>IFERROR(VLOOKUP(Calculations[[#This Row],[Material (choose from dropdown]],MaterialData[#All],2,FALSE),"")</f>
        <v/>
      </c>
      <c r="J530" s="322">
        <f>IFERROR(((VLOOKUP(Calculations[[#This Row],[TransportSource]],TransportDistance[],2,FALSE)*'Stage assumptions'!$C$11)+VLOOKUP(Calculations[[#This Row],[TransportSource]],TransportDistance[],3,FALSE)*'Stage assumptions'!$C$12)*Calculations[[#This Row],[Total Kg]],0)</f>
        <v>0</v>
      </c>
      <c r="K530">
        <f>IFERROR(VLOOKUP(Calculations[[#This Row],[Material (choose from dropdown]], MaterialData[#All],3, FALSE),0)</f>
        <v>0</v>
      </c>
      <c r="L530" s="322">
        <f>IFERROR(VLOOKUP(Calculations[[#This Row],[A5type]],A5WastageRate[#All],2,FALSE)*Calculations[[#This Row],[A1-3]],0)</f>
        <v>0</v>
      </c>
      <c r="N530">
        <f>IFERROR(ROUNDUP(50/VLOOKUP(Calculations[[#This Row],[Scope Element]],B4referenceServiceLife[[Tier 2 element]:[Default Service Life]],2, FALSE)-1,0),0)</f>
        <v>0</v>
      </c>
      <c r="O530" s="322">
        <f>IFERROR((Calculations[[#This Row],[A1-3]]+Calculations[[#This Row],[A4]]+Calculations[[#This Row],[A5]]+Calculations[[#This Row],[C2 total]]+Calculations[[#This Row],[C3 total]]+Calculations[[#This Row],[C4 total]])*Calculations[[#This Row],[Replacements]],0)</f>
        <v>0</v>
      </c>
      <c r="S530" t="str">
        <f>IFERROR(VLOOKUP(Calculations[[#This Row],[Material (choose from dropdown]],MaterialData[#All],4,FALSE),"")</f>
        <v/>
      </c>
      <c r="T530" s="322" cm="1">
        <f t="array" ref="T530">IFERROR(VLOOKUP(Calculations[[#This Row],[Waste 1]],WasteScenario[#All],2,FALSE)*'Stage assumptions'!$C$225*WasteTransportMethod[Emissions Factor
kgCO2e/kg.km]*Calculations[[#This Row],[Total Kg]],0)</f>
        <v>0</v>
      </c>
      <c r="U530" s="322" cm="1">
        <f t="array" ref="U530">IFERROR(VLOOKUP(Calculations[[#This Row],[Waste 1]],WasteScenario[#All],3,FALSE)*'Stage assumptions'!$C$224*WasteTransportMethod[Emissions Factor
kgCO2e/kg.km]*Calculations[[#This Row],[Total Kg]],0)</f>
        <v>0</v>
      </c>
      <c r="V530" s="322" cm="1">
        <f t="array" ref="V530">IFERROR(VLOOKUP(Calculations[[#This Row],[Waste 1]],WasteScenario[#All],4,FALSE)*'Stage assumptions'!$C$223*WasteTransportMethod[Emissions Factor
kgCO2e/kg.km]*Calculations[[#This Row],[Total Kg]],0)</f>
        <v>0</v>
      </c>
      <c r="W530" s="322" cm="1">
        <f t="array" ref="W530">IFERROR(VLOOKUP(Calculations[[#This Row],[Waste 1]],WasteScenario[#All],5,FALSE)*'Stage assumptions'!$C$226*WasteTransportMethod[Emissions Factor
kgCO2e/kg.km]*Calculations[[#This Row],[Total Kg]],0)</f>
        <v>0</v>
      </c>
      <c r="X530" s="322">
        <f>SUM(Calculations[[#This Row],[C2 Recycle]:[C2 Reuse]])</f>
        <v>0</v>
      </c>
      <c r="Y530" t="str">
        <f>IFERROR(VLOOKUP(Calculations[[#This Row],[Material (choose from dropdown]],MaterialData[#All],5,FALSE),"")</f>
        <v/>
      </c>
      <c r="Z530" s="322">
        <f>IFERROR(((VLOOKUP(Calculations[[#This Row],[Waste type 2]],WasteDisposalEmissions[#All],2,FALSE))*Calculations[[#This Row],[Total Kg]])*VLOOKUP(Calculations[[#This Row],[Waste 1]],WasteScenario[#All],2,FALSE),0)</f>
        <v>0</v>
      </c>
      <c r="AA530" s="322">
        <f>IFERROR((VLOOKUP(Calculations[[#This Row],[Waste type 2]],WasteDisposalEmissions[#All],3,FALSE))*Calculations[[#This Row],[Total Kg]]*VLOOKUP(Calculations[[#This Row],[Waste 1]],WasteScenario[#All],3,FALSE),0)</f>
        <v>0</v>
      </c>
      <c r="AB530" s="322">
        <f>SUM(Calculations[[#This Row],[C3 recyc]:[C3 incin]])</f>
        <v>0</v>
      </c>
      <c r="AC530" s="334">
        <f>IFERROR((VLOOKUP(Calculations[[#This Row],[Waste type 2]],WasteLandfillEmissions[#All],2,FALSE))*Calculations[[#This Row],[Total Kg]]*VLOOKUP(Calculations[[#This Row],[Waste 1]],WasteScenario[#All],4,FALSE),0)</f>
        <v>0</v>
      </c>
      <c r="AD530" s="322">
        <f>IFERROR((VLOOKUP(Calculations[[#This Row],[Waste type 2]],WasteLandfillEmissions[#All],3,FALSE))*Calculations[[#This Row],[Total Kg]]*VLOOKUP(Calculations[[#This Row],[Waste 1]],WasteScenario[#All],4,FALSE),0)</f>
        <v>0</v>
      </c>
      <c r="AE530" s="322">
        <f>SUM(Calculations[[#This Row],[C4 landfill]:[C4 re-use]])</f>
        <v>0</v>
      </c>
      <c r="AF530" s="322">
        <f>IFERROR(VLOOKUP(Calculations[[#This Row],[Material (choose from dropdown]],MaterialData[#All],8,FALSE),0)</f>
        <v>0</v>
      </c>
      <c r="AG530" s="322">
        <f>IFERROR(Calculations[[#This Row],[Total Kg]]*Calculations[[#This Row],[Seq factor]],0)</f>
        <v>0</v>
      </c>
      <c r="AI530" s="322">
        <f>Calculations[[#This Row],[A1-3]]+Calculations[[#This Row],[A4]]+Calculations[[#This Row],[A5]]+Calculations[[#This Row],[B4]]+Calculations[[#This Row],[C2 total]]+Calculations[[#This Row],[C3 total]]+Calculations[[#This Row],[C4 total]]</f>
        <v>0</v>
      </c>
      <c r="AJ530" s="2">
        <f>IFERROR(VLOOKUP(Calculations[[#This Row],[Material (choose from dropdown]],MaterialData[[#Headers],[#Data]],9,FALSE),0)</f>
        <v>0</v>
      </c>
      <c r="AK530" s="4">
        <f>IFERROR(VLOOKUP(Calculations[[#This Row],[Material (choose from dropdown]],MaterialData[[#Headers],[#Data]],10,FALSE),0)</f>
        <v>0</v>
      </c>
      <c r="AL530" s="322">
        <f>IFERROR(Calculations[[#This Row],[Data Quality Score]]*Calculations[[#This Row],[Total Kg]],0)</f>
        <v>0</v>
      </c>
    </row>
    <row r="531" spans="1:38" x14ac:dyDescent="0.3">
      <c r="A531" s="6">
        <f>IFERROR(MaterialsBoQ[[#This Row],[Scope Element]],0)</f>
        <v>0</v>
      </c>
      <c r="B531" t="str">
        <f>IFERROR(MaterialsBoQ[[#This Row],[Material ]],"")</f>
        <v/>
      </c>
      <c r="C531" t="str">
        <f>IFERROR(MaterialsBoQ[[#This Row],[Unit]],"")</f>
        <v/>
      </c>
      <c r="D531" s="322">
        <f>IFERROR(MaterialsBoQ[[#This Row],[Number]],0)</f>
        <v>0</v>
      </c>
      <c r="E531" s="322">
        <f>IFERROR(MaterialsBoQ[[#This Row],[Kg per unit]],0)</f>
        <v>0</v>
      </c>
      <c r="F531" s="322">
        <f>IFERROR(Calculations[[#This Row],[Number]]*Calculations[[#This Row],[Conversion factor]],0)</f>
        <v>0</v>
      </c>
      <c r="G531" s="322">
        <f>IFERROR(VLOOKUP(Calculations[[#This Row],[Material (choose from dropdown]],MaterialData[#All],7,FALSE),0)</f>
        <v>0</v>
      </c>
      <c r="H531" s="322">
        <f>Calculations[[#This Row],[Total Kg]]*Calculations[[#This Row],[Carbon Factor]]</f>
        <v>0</v>
      </c>
      <c r="I531" t="str">
        <f>IFERROR(VLOOKUP(Calculations[[#This Row],[Material (choose from dropdown]],MaterialData[#All],2,FALSE),"")</f>
        <v/>
      </c>
      <c r="J531" s="322">
        <f>IFERROR(((VLOOKUP(Calculations[[#This Row],[TransportSource]],TransportDistance[],2,FALSE)*'Stage assumptions'!$C$11)+VLOOKUP(Calculations[[#This Row],[TransportSource]],TransportDistance[],3,FALSE)*'Stage assumptions'!$C$12)*Calculations[[#This Row],[Total Kg]],0)</f>
        <v>0</v>
      </c>
      <c r="K531">
        <f>IFERROR(VLOOKUP(Calculations[[#This Row],[Material (choose from dropdown]], MaterialData[#All],3, FALSE),0)</f>
        <v>0</v>
      </c>
      <c r="L531" s="322">
        <f>IFERROR(VLOOKUP(Calculations[[#This Row],[A5type]],A5WastageRate[#All],2,FALSE)*Calculations[[#This Row],[A1-3]],0)</f>
        <v>0</v>
      </c>
      <c r="N531">
        <f>IFERROR(ROUNDUP(50/VLOOKUP(Calculations[[#This Row],[Scope Element]],B4referenceServiceLife[[Tier 2 element]:[Default Service Life]],2, FALSE)-1,0),0)</f>
        <v>0</v>
      </c>
      <c r="O531" s="322">
        <f>IFERROR((Calculations[[#This Row],[A1-3]]+Calculations[[#This Row],[A4]]+Calculations[[#This Row],[A5]]+Calculations[[#This Row],[C2 total]]+Calculations[[#This Row],[C3 total]]+Calculations[[#This Row],[C4 total]])*Calculations[[#This Row],[Replacements]],0)</f>
        <v>0</v>
      </c>
      <c r="S531" t="str">
        <f>IFERROR(VLOOKUP(Calculations[[#This Row],[Material (choose from dropdown]],MaterialData[#All],4,FALSE),"")</f>
        <v/>
      </c>
      <c r="T531" s="322" cm="1">
        <f t="array" ref="T531">IFERROR(VLOOKUP(Calculations[[#This Row],[Waste 1]],WasteScenario[#All],2,FALSE)*'Stage assumptions'!$C$225*WasteTransportMethod[Emissions Factor
kgCO2e/kg.km]*Calculations[[#This Row],[Total Kg]],0)</f>
        <v>0</v>
      </c>
      <c r="U531" s="322" cm="1">
        <f t="array" ref="U531">IFERROR(VLOOKUP(Calculations[[#This Row],[Waste 1]],WasteScenario[#All],3,FALSE)*'Stage assumptions'!$C$224*WasteTransportMethod[Emissions Factor
kgCO2e/kg.km]*Calculations[[#This Row],[Total Kg]],0)</f>
        <v>0</v>
      </c>
      <c r="V531" s="322" cm="1">
        <f t="array" ref="V531">IFERROR(VLOOKUP(Calculations[[#This Row],[Waste 1]],WasteScenario[#All],4,FALSE)*'Stage assumptions'!$C$223*WasteTransportMethod[Emissions Factor
kgCO2e/kg.km]*Calculations[[#This Row],[Total Kg]],0)</f>
        <v>0</v>
      </c>
      <c r="W531" s="322" cm="1">
        <f t="array" ref="W531">IFERROR(VLOOKUP(Calculations[[#This Row],[Waste 1]],WasteScenario[#All],5,FALSE)*'Stage assumptions'!$C$226*WasteTransportMethod[Emissions Factor
kgCO2e/kg.km]*Calculations[[#This Row],[Total Kg]],0)</f>
        <v>0</v>
      </c>
      <c r="X531" s="322">
        <f>SUM(Calculations[[#This Row],[C2 Recycle]:[C2 Reuse]])</f>
        <v>0</v>
      </c>
      <c r="Y531" t="str">
        <f>IFERROR(VLOOKUP(Calculations[[#This Row],[Material (choose from dropdown]],MaterialData[#All],5,FALSE),"")</f>
        <v/>
      </c>
      <c r="Z531" s="322">
        <f>IFERROR(((VLOOKUP(Calculations[[#This Row],[Waste type 2]],WasteDisposalEmissions[#All],2,FALSE))*Calculations[[#This Row],[Total Kg]])*VLOOKUP(Calculations[[#This Row],[Waste 1]],WasteScenario[#All],2,FALSE),0)</f>
        <v>0</v>
      </c>
      <c r="AA531" s="322">
        <f>IFERROR((VLOOKUP(Calculations[[#This Row],[Waste type 2]],WasteDisposalEmissions[#All],3,FALSE))*Calculations[[#This Row],[Total Kg]]*VLOOKUP(Calculations[[#This Row],[Waste 1]],WasteScenario[#All],3,FALSE),0)</f>
        <v>0</v>
      </c>
      <c r="AB531" s="322">
        <f>SUM(Calculations[[#This Row],[C3 recyc]:[C3 incin]])</f>
        <v>0</v>
      </c>
      <c r="AC531" s="334">
        <f>IFERROR((VLOOKUP(Calculations[[#This Row],[Waste type 2]],WasteLandfillEmissions[#All],2,FALSE))*Calculations[[#This Row],[Total Kg]]*VLOOKUP(Calculations[[#This Row],[Waste 1]],WasteScenario[#All],4,FALSE),0)</f>
        <v>0</v>
      </c>
      <c r="AD531" s="322">
        <f>IFERROR((VLOOKUP(Calculations[[#This Row],[Waste type 2]],WasteLandfillEmissions[#All],3,FALSE))*Calculations[[#This Row],[Total Kg]]*VLOOKUP(Calculations[[#This Row],[Waste 1]],WasteScenario[#All],4,FALSE),0)</f>
        <v>0</v>
      </c>
      <c r="AE531" s="322">
        <f>SUM(Calculations[[#This Row],[C4 landfill]:[C4 re-use]])</f>
        <v>0</v>
      </c>
      <c r="AF531" s="322">
        <f>IFERROR(VLOOKUP(Calculations[[#This Row],[Material (choose from dropdown]],MaterialData[#All],8,FALSE),0)</f>
        <v>0</v>
      </c>
      <c r="AG531" s="322">
        <f>IFERROR(Calculations[[#This Row],[Total Kg]]*Calculations[[#This Row],[Seq factor]],0)</f>
        <v>0</v>
      </c>
      <c r="AI531" s="322">
        <f>Calculations[[#This Row],[A1-3]]+Calculations[[#This Row],[A4]]+Calculations[[#This Row],[A5]]+Calculations[[#This Row],[B4]]+Calculations[[#This Row],[C2 total]]+Calculations[[#This Row],[C3 total]]+Calculations[[#This Row],[C4 total]]</f>
        <v>0</v>
      </c>
      <c r="AJ531" s="2">
        <f>IFERROR(VLOOKUP(Calculations[[#This Row],[Material (choose from dropdown]],MaterialData[[#Headers],[#Data]],9,FALSE),0)</f>
        <v>0</v>
      </c>
      <c r="AK531" s="4">
        <f>IFERROR(VLOOKUP(Calculations[[#This Row],[Material (choose from dropdown]],MaterialData[[#Headers],[#Data]],10,FALSE),0)</f>
        <v>0</v>
      </c>
      <c r="AL531" s="322">
        <f>IFERROR(Calculations[[#This Row],[Data Quality Score]]*Calculations[[#This Row],[Total Kg]],0)</f>
        <v>0</v>
      </c>
    </row>
    <row r="532" spans="1:38" x14ac:dyDescent="0.3">
      <c r="A532" s="6">
        <f>IFERROR(MaterialsBoQ[[#This Row],[Scope Element]],0)</f>
        <v>0</v>
      </c>
      <c r="B532" t="str">
        <f>IFERROR(MaterialsBoQ[[#This Row],[Material ]],"")</f>
        <v/>
      </c>
      <c r="C532" t="str">
        <f>IFERROR(MaterialsBoQ[[#This Row],[Unit]],"")</f>
        <v/>
      </c>
      <c r="D532" s="322">
        <f>IFERROR(MaterialsBoQ[[#This Row],[Number]],0)</f>
        <v>0</v>
      </c>
      <c r="E532" s="322">
        <f>IFERROR(MaterialsBoQ[[#This Row],[Kg per unit]],0)</f>
        <v>0</v>
      </c>
      <c r="F532" s="322">
        <f>IFERROR(Calculations[[#This Row],[Number]]*Calculations[[#This Row],[Conversion factor]],0)</f>
        <v>0</v>
      </c>
      <c r="G532" s="322">
        <f>IFERROR(VLOOKUP(Calculations[[#This Row],[Material (choose from dropdown]],MaterialData[#All],7,FALSE),0)</f>
        <v>0</v>
      </c>
      <c r="H532" s="322">
        <f>Calculations[[#This Row],[Total Kg]]*Calculations[[#This Row],[Carbon Factor]]</f>
        <v>0</v>
      </c>
      <c r="I532" t="str">
        <f>IFERROR(VLOOKUP(Calculations[[#This Row],[Material (choose from dropdown]],MaterialData[#All],2,FALSE),"")</f>
        <v/>
      </c>
      <c r="J532" s="322">
        <f>IFERROR(((VLOOKUP(Calculations[[#This Row],[TransportSource]],TransportDistance[],2,FALSE)*'Stage assumptions'!$C$11)+VLOOKUP(Calculations[[#This Row],[TransportSource]],TransportDistance[],3,FALSE)*'Stage assumptions'!$C$12)*Calculations[[#This Row],[Total Kg]],0)</f>
        <v>0</v>
      </c>
      <c r="K532">
        <f>IFERROR(VLOOKUP(Calculations[[#This Row],[Material (choose from dropdown]], MaterialData[#All],3, FALSE),0)</f>
        <v>0</v>
      </c>
      <c r="L532" s="322">
        <f>IFERROR(VLOOKUP(Calculations[[#This Row],[A5type]],A5WastageRate[#All],2,FALSE)*Calculations[[#This Row],[A1-3]],0)</f>
        <v>0</v>
      </c>
      <c r="N532">
        <f>IFERROR(ROUNDUP(50/VLOOKUP(Calculations[[#This Row],[Scope Element]],B4referenceServiceLife[[Tier 2 element]:[Default Service Life]],2, FALSE)-1,0),0)</f>
        <v>0</v>
      </c>
      <c r="O532" s="322">
        <f>IFERROR((Calculations[[#This Row],[A1-3]]+Calculations[[#This Row],[A4]]+Calculations[[#This Row],[A5]]+Calculations[[#This Row],[C2 total]]+Calculations[[#This Row],[C3 total]]+Calculations[[#This Row],[C4 total]])*Calculations[[#This Row],[Replacements]],0)</f>
        <v>0</v>
      </c>
      <c r="S532" t="str">
        <f>IFERROR(VLOOKUP(Calculations[[#This Row],[Material (choose from dropdown]],MaterialData[#All],4,FALSE),"")</f>
        <v/>
      </c>
      <c r="T532" s="322" cm="1">
        <f t="array" ref="T532">IFERROR(VLOOKUP(Calculations[[#This Row],[Waste 1]],WasteScenario[#All],2,FALSE)*'Stage assumptions'!$C$225*WasteTransportMethod[Emissions Factor
kgCO2e/kg.km]*Calculations[[#This Row],[Total Kg]],0)</f>
        <v>0</v>
      </c>
      <c r="U532" s="322" cm="1">
        <f t="array" ref="U532">IFERROR(VLOOKUP(Calculations[[#This Row],[Waste 1]],WasteScenario[#All],3,FALSE)*'Stage assumptions'!$C$224*WasteTransportMethod[Emissions Factor
kgCO2e/kg.km]*Calculations[[#This Row],[Total Kg]],0)</f>
        <v>0</v>
      </c>
      <c r="V532" s="322" cm="1">
        <f t="array" ref="V532">IFERROR(VLOOKUP(Calculations[[#This Row],[Waste 1]],WasteScenario[#All],4,FALSE)*'Stage assumptions'!$C$223*WasteTransportMethod[Emissions Factor
kgCO2e/kg.km]*Calculations[[#This Row],[Total Kg]],0)</f>
        <v>0</v>
      </c>
      <c r="W532" s="322" cm="1">
        <f t="array" ref="W532">IFERROR(VLOOKUP(Calculations[[#This Row],[Waste 1]],WasteScenario[#All],5,FALSE)*'Stage assumptions'!$C$226*WasteTransportMethod[Emissions Factor
kgCO2e/kg.km]*Calculations[[#This Row],[Total Kg]],0)</f>
        <v>0</v>
      </c>
      <c r="X532" s="322">
        <f>SUM(Calculations[[#This Row],[C2 Recycle]:[C2 Reuse]])</f>
        <v>0</v>
      </c>
      <c r="Y532" t="str">
        <f>IFERROR(VLOOKUP(Calculations[[#This Row],[Material (choose from dropdown]],MaterialData[#All],5,FALSE),"")</f>
        <v/>
      </c>
      <c r="Z532" s="322">
        <f>IFERROR(((VLOOKUP(Calculations[[#This Row],[Waste type 2]],WasteDisposalEmissions[#All],2,FALSE))*Calculations[[#This Row],[Total Kg]])*VLOOKUP(Calculations[[#This Row],[Waste 1]],WasteScenario[#All],2,FALSE),0)</f>
        <v>0</v>
      </c>
      <c r="AA532" s="322">
        <f>IFERROR((VLOOKUP(Calculations[[#This Row],[Waste type 2]],WasteDisposalEmissions[#All],3,FALSE))*Calculations[[#This Row],[Total Kg]]*VLOOKUP(Calculations[[#This Row],[Waste 1]],WasteScenario[#All],3,FALSE),0)</f>
        <v>0</v>
      </c>
      <c r="AB532" s="322">
        <f>SUM(Calculations[[#This Row],[C3 recyc]:[C3 incin]])</f>
        <v>0</v>
      </c>
      <c r="AC532" s="334">
        <f>IFERROR((VLOOKUP(Calculations[[#This Row],[Waste type 2]],WasteLandfillEmissions[#All],2,FALSE))*Calculations[[#This Row],[Total Kg]]*VLOOKUP(Calculations[[#This Row],[Waste 1]],WasteScenario[#All],4,FALSE),0)</f>
        <v>0</v>
      </c>
      <c r="AD532" s="322">
        <f>IFERROR((VLOOKUP(Calculations[[#This Row],[Waste type 2]],WasteLandfillEmissions[#All],3,FALSE))*Calculations[[#This Row],[Total Kg]]*VLOOKUP(Calculations[[#This Row],[Waste 1]],WasteScenario[#All],4,FALSE),0)</f>
        <v>0</v>
      </c>
      <c r="AE532" s="322">
        <f>SUM(Calculations[[#This Row],[C4 landfill]:[C4 re-use]])</f>
        <v>0</v>
      </c>
      <c r="AF532" s="322">
        <f>IFERROR(VLOOKUP(Calculations[[#This Row],[Material (choose from dropdown]],MaterialData[#All],8,FALSE),0)</f>
        <v>0</v>
      </c>
      <c r="AG532" s="322">
        <f>IFERROR(Calculations[[#This Row],[Total Kg]]*Calculations[[#This Row],[Seq factor]],0)</f>
        <v>0</v>
      </c>
      <c r="AI532" s="322">
        <f>Calculations[[#This Row],[A1-3]]+Calculations[[#This Row],[A4]]+Calculations[[#This Row],[A5]]+Calculations[[#This Row],[B4]]+Calculations[[#This Row],[C2 total]]+Calculations[[#This Row],[C3 total]]+Calculations[[#This Row],[C4 total]]</f>
        <v>0</v>
      </c>
      <c r="AJ532" s="2">
        <f>IFERROR(VLOOKUP(Calculations[[#This Row],[Material (choose from dropdown]],MaterialData[[#Headers],[#Data]],9,FALSE),0)</f>
        <v>0</v>
      </c>
      <c r="AK532" s="4">
        <f>IFERROR(VLOOKUP(Calculations[[#This Row],[Material (choose from dropdown]],MaterialData[[#Headers],[#Data]],10,FALSE),0)</f>
        <v>0</v>
      </c>
      <c r="AL532" s="322">
        <f>IFERROR(Calculations[[#This Row],[Data Quality Score]]*Calculations[[#This Row],[Total Kg]],0)</f>
        <v>0</v>
      </c>
    </row>
    <row r="533" spans="1:38" x14ac:dyDescent="0.3">
      <c r="A533" s="6">
        <f>IFERROR(MaterialsBoQ[[#This Row],[Scope Element]],0)</f>
        <v>0</v>
      </c>
      <c r="B533" t="str">
        <f>IFERROR(MaterialsBoQ[[#This Row],[Material ]],"")</f>
        <v/>
      </c>
      <c r="C533" t="str">
        <f>IFERROR(MaterialsBoQ[[#This Row],[Unit]],"")</f>
        <v/>
      </c>
      <c r="D533" s="322">
        <f>IFERROR(MaterialsBoQ[[#This Row],[Number]],0)</f>
        <v>0</v>
      </c>
      <c r="E533" s="322">
        <f>IFERROR(MaterialsBoQ[[#This Row],[Kg per unit]],0)</f>
        <v>0</v>
      </c>
      <c r="F533" s="322">
        <f>IFERROR(Calculations[[#This Row],[Number]]*Calculations[[#This Row],[Conversion factor]],0)</f>
        <v>0</v>
      </c>
      <c r="G533" s="322">
        <f>IFERROR(VLOOKUP(Calculations[[#This Row],[Material (choose from dropdown]],MaterialData[#All],7,FALSE),0)</f>
        <v>0</v>
      </c>
      <c r="H533" s="322">
        <f>Calculations[[#This Row],[Total Kg]]*Calculations[[#This Row],[Carbon Factor]]</f>
        <v>0</v>
      </c>
      <c r="I533" t="str">
        <f>IFERROR(VLOOKUP(Calculations[[#This Row],[Material (choose from dropdown]],MaterialData[#All],2,FALSE),"")</f>
        <v/>
      </c>
      <c r="J533" s="322">
        <f>IFERROR(((VLOOKUP(Calculations[[#This Row],[TransportSource]],TransportDistance[],2,FALSE)*'Stage assumptions'!$C$11)+VLOOKUP(Calculations[[#This Row],[TransportSource]],TransportDistance[],3,FALSE)*'Stage assumptions'!$C$12)*Calculations[[#This Row],[Total Kg]],0)</f>
        <v>0</v>
      </c>
      <c r="K533">
        <f>IFERROR(VLOOKUP(Calculations[[#This Row],[Material (choose from dropdown]], MaterialData[#All],3, FALSE),0)</f>
        <v>0</v>
      </c>
      <c r="L533" s="322">
        <f>IFERROR(VLOOKUP(Calculations[[#This Row],[A5type]],A5WastageRate[#All],2,FALSE)*Calculations[[#This Row],[A1-3]],0)</f>
        <v>0</v>
      </c>
      <c r="N533">
        <f>IFERROR(ROUNDUP(50/VLOOKUP(Calculations[[#This Row],[Scope Element]],B4referenceServiceLife[[Tier 2 element]:[Default Service Life]],2, FALSE)-1,0),0)</f>
        <v>0</v>
      </c>
      <c r="O533" s="322">
        <f>IFERROR((Calculations[[#This Row],[A1-3]]+Calculations[[#This Row],[A4]]+Calculations[[#This Row],[A5]]+Calculations[[#This Row],[C2 total]]+Calculations[[#This Row],[C3 total]]+Calculations[[#This Row],[C4 total]])*Calculations[[#This Row],[Replacements]],0)</f>
        <v>0</v>
      </c>
      <c r="S533" t="str">
        <f>IFERROR(VLOOKUP(Calculations[[#This Row],[Material (choose from dropdown]],MaterialData[#All],4,FALSE),"")</f>
        <v/>
      </c>
      <c r="T533" s="322" cm="1">
        <f t="array" ref="T533">IFERROR(VLOOKUP(Calculations[[#This Row],[Waste 1]],WasteScenario[#All],2,FALSE)*'Stage assumptions'!$C$225*WasteTransportMethod[Emissions Factor
kgCO2e/kg.km]*Calculations[[#This Row],[Total Kg]],0)</f>
        <v>0</v>
      </c>
      <c r="U533" s="322" cm="1">
        <f t="array" ref="U533">IFERROR(VLOOKUP(Calculations[[#This Row],[Waste 1]],WasteScenario[#All],3,FALSE)*'Stage assumptions'!$C$224*WasteTransportMethod[Emissions Factor
kgCO2e/kg.km]*Calculations[[#This Row],[Total Kg]],0)</f>
        <v>0</v>
      </c>
      <c r="V533" s="322" cm="1">
        <f t="array" ref="V533">IFERROR(VLOOKUP(Calculations[[#This Row],[Waste 1]],WasteScenario[#All],4,FALSE)*'Stage assumptions'!$C$223*WasteTransportMethod[Emissions Factor
kgCO2e/kg.km]*Calculations[[#This Row],[Total Kg]],0)</f>
        <v>0</v>
      </c>
      <c r="W533" s="322" cm="1">
        <f t="array" ref="W533">IFERROR(VLOOKUP(Calculations[[#This Row],[Waste 1]],WasteScenario[#All],5,FALSE)*'Stage assumptions'!$C$226*WasteTransportMethod[Emissions Factor
kgCO2e/kg.km]*Calculations[[#This Row],[Total Kg]],0)</f>
        <v>0</v>
      </c>
      <c r="X533" s="322">
        <f>SUM(Calculations[[#This Row],[C2 Recycle]:[C2 Reuse]])</f>
        <v>0</v>
      </c>
      <c r="Y533" t="str">
        <f>IFERROR(VLOOKUP(Calculations[[#This Row],[Material (choose from dropdown]],MaterialData[#All],5,FALSE),"")</f>
        <v/>
      </c>
      <c r="Z533" s="322">
        <f>IFERROR(((VLOOKUP(Calculations[[#This Row],[Waste type 2]],WasteDisposalEmissions[#All],2,FALSE))*Calculations[[#This Row],[Total Kg]])*VLOOKUP(Calculations[[#This Row],[Waste 1]],WasteScenario[#All],2,FALSE),0)</f>
        <v>0</v>
      </c>
      <c r="AA533" s="322">
        <f>IFERROR((VLOOKUP(Calculations[[#This Row],[Waste type 2]],WasteDisposalEmissions[#All],3,FALSE))*Calculations[[#This Row],[Total Kg]]*VLOOKUP(Calculations[[#This Row],[Waste 1]],WasteScenario[#All],3,FALSE),0)</f>
        <v>0</v>
      </c>
      <c r="AB533" s="322">
        <f>SUM(Calculations[[#This Row],[C3 recyc]:[C3 incin]])</f>
        <v>0</v>
      </c>
      <c r="AC533" s="334">
        <f>IFERROR((VLOOKUP(Calculations[[#This Row],[Waste type 2]],WasteLandfillEmissions[#All],2,FALSE))*Calculations[[#This Row],[Total Kg]]*VLOOKUP(Calculations[[#This Row],[Waste 1]],WasteScenario[#All],4,FALSE),0)</f>
        <v>0</v>
      </c>
      <c r="AD533" s="322">
        <f>IFERROR((VLOOKUP(Calculations[[#This Row],[Waste type 2]],WasteLandfillEmissions[#All],3,FALSE))*Calculations[[#This Row],[Total Kg]]*VLOOKUP(Calculations[[#This Row],[Waste 1]],WasteScenario[#All],4,FALSE),0)</f>
        <v>0</v>
      </c>
      <c r="AE533" s="322">
        <f>SUM(Calculations[[#This Row],[C4 landfill]:[C4 re-use]])</f>
        <v>0</v>
      </c>
      <c r="AF533" s="322">
        <f>IFERROR(VLOOKUP(Calculations[[#This Row],[Material (choose from dropdown]],MaterialData[#All],8,FALSE),0)</f>
        <v>0</v>
      </c>
      <c r="AG533" s="322">
        <f>IFERROR(Calculations[[#This Row],[Total Kg]]*Calculations[[#This Row],[Seq factor]],0)</f>
        <v>0</v>
      </c>
      <c r="AI533" s="322">
        <f>Calculations[[#This Row],[A1-3]]+Calculations[[#This Row],[A4]]+Calculations[[#This Row],[A5]]+Calculations[[#This Row],[B4]]+Calculations[[#This Row],[C2 total]]+Calculations[[#This Row],[C3 total]]+Calculations[[#This Row],[C4 total]]</f>
        <v>0</v>
      </c>
      <c r="AJ533" s="2">
        <f>IFERROR(VLOOKUP(Calculations[[#This Row],[Material (choose from dropdown]],MaterialData[[#Headers],[#Data]],9,FALSE),0)</f>
        <v>0</v>
      </c>
      <c r="AK533" s="4">
        <f>IFERROR(VLOOKUP(Calculations[[#This Row],[Material (choose from dropdown]],MaterialData[[#Headers],[#Data]],10,FALSE),0)</f>
        <v>0</v>
      </c>
      <c r="AL533" s="322">
        <f>IFERROR(Calculations[[#This Row],[Data Quality Score]]*Calculations[[#This Row],[Total Kg]],0)</f>
        <v>0</v>
      </c>
    </row>
    <row r="534" spans="1:38" x14ac:dyDescent="0.3">
      <c r="A534" s="6">
        <f>IFERROR(MaterialsBoQ[[#This Row],[Scope Element]],0)</f>
        <v>0</v>
      </c>
      <c r="B534" t="str">
        <f>IFERROR(MaterialsBoQ[[#This Row],[Material ]],"")</f>
        <v/>
      </c>
      <c r="C534" t="str">
        <f>IFERROR(MaterialsBoQ[[#This Row],[Unit]],"")</f>
        <v/>
      </c>
      <c r="D534" s="322">
        <f>IFERROR(MaterialsBoQ[[#This Row],[Number]],0)</f>
        <v>0</v>
      </c>
      <c r="E534" s="322">
        <f>IFERROR(MaterialsBoQ[[#This Row],[Kg per unit]],0)</f>
        <v>0</v>
      </c>
      <c r="F534" s="322">
        <f>IFERROR(Calculations[[#This Row],[Number]]*Calculations[[#This Row],[Conversion factor]],0)</f>
        <v>0</v>
      </c>
      <c r="G534" s="322">
        <f>IFERROR(VLOOKUP(Calculations[[#This Row],[Material (choose from dropdown]],MaterialData[#All],7,FALSE),0)</f>
        <v>0</v>
      </c>
      <c r="H534" s="322">
        <f>Calculations[[#This Row],[Total Kg]]*Calculations[[#This Row],[Carbon Factor]]</f>
        <v>0</v>
      </c>
      <c r="I534" t="str">
        <f>IFERROR(VLOOKUP(Calculations[[#This Row],[Material (choose from dropdown]],MaterialData[#All],2,FALSE),"")</f>
        <v/>
      </c>
      <c r="J534" s="322">
        <f>IFERROR(((VLOOKUP(Calculations[[#This Row],[TransportSource]],TransportDistance[],2,FALSE)*'Stage assumptions'!$C$11)+VLOOKUP(Calculations[[#This Row],[TransportSource]],TransportDistance[],3,FALSE)*'Stage assumptions'!$C$12)*Calculations[[#This Row],[Total Kg]],0)</f>
        <v>0</v>
      </c>
      <c r="K534">
        <f>IFERROR(VLOOKUP(Calculations[[#This Row],[Material (choose from dropdown]], MaterialData[#All],3, FALSE),0)</f>
        <v>0</v>
      </c>
      <c r="L534" s="322">
        <f>IFERROR(VLOOKUP(Calculations[[#This Row],[A5type]],A5WastageRate[#All],2,FALSE)*Calculations[[#This Row],[A1-3]],0)</f>
        <v>0</v>
      </c>
      <c r="N534">
        <f>IFERROR(ROUNDUP(50/VLOOKUP(Calculations[[#This Row],[Scope Element]],B4referenceServiceLife[[Tier 2 element]:[Default Service Life]],2, FALSE)-1,0),0)</f>
        <v>0</v>
      </c>
      <c r="O534" s="322">
        <f>IFERROR((Calculations[[#This Row],[A1-3]]+Calculations[[#This Row],[A4]]+Calculations[[#This Row],[A5]]+Calculations[[#This Row],[C2 total]]+Calculations[[#This Row],[C3 total]]+Calculations[[#This Row],[C4 total]])*Calculations[[#This Row],[Replacements]],0)</f>
        <v>0</v>
      </c>
      <c r="S534" t="str">
        <f>IFERROR(VLOOKUP(Calculations[[#This Row],[Material (choose from dropdown]],MaterialData[#All],4,FALSE),"")</f>
        <v/>
      </c>
      <c r="T534" s="322" cm="1">
        <f t="array" ref="T534">IFERROR(VLOOKUP(Calculations[[#This Row],[Waste 1]],WasteScenario[#All],2,FALSE)*'Stage assumptions'!$C$225*WasteTransportMethod[Emissions Factor
kgCO2e/kg.km]*Calculations[[#This Row],[Total Kg]],0)</f>
        <v>0</v>
      </c>
      <c r="U534" s="322" cm="1">
        <f t="array" ref="U534">IFERROR(VLOOKUP(Calculations[[#This Row],[Waste 1]],WasteScenario[#All],3,FALSE)*'Stage assumptions'!$C$224*WasteTransportMethod[Emissions Factor
kgCO2e/kg.km]*Calculations[[#This Row],[Total Kg]],0)</f>
        <v>0</v>
      </c>
      <c r="V534" s="322" cm="1">
        <f t="array" ref="V534">IFERROR(VLOOKUP(Calculations[[#This Row],[Waste 1]],WasteScenario[#All],4,FALSE)*'Stage assumptions'!$C$223*WasteTransportMethod[Emissions Factor
kgCO2e/kg.km]*Calculations[[#This Row],[Total Kg]],0)</f>
        <v>0</v>
      </c>
      <c r="W534" s="322" cm="1">
        <f t="array" ref="W534">IFERROR(VLOOKUP(Calculations[[#This Row],[Waste 1]],WasteScenario[#All],5,FALSE)*'Stage assumptions'!$C$226*WasteTransportMethod[Emissions Factor
kgCO2e/kg.km]*Calculations[[#This Row],[Total Kg]],0)</f>
        <v>0</v>
      </c>
      <c r="X534" s="322">
        <f>SUM(Calculations[[#This Row],[C2 Recycle]:[C2 Reuse]])</f>
        <v>0</v>
      </c>
      <c r="Y534" t="str">
        <f>IFERROR(VLOOKUP(Calculations[[#This Row],[Material (choose from dropdown]],MaterialData[#All],5,FALSE),"")</f>
        <v/>
      </c>
      <c r="Z534" s="322">
        <f>IFERROR(((VLOOKUP(Calculations[[#This Row],[Waste type 2]],WasteDisposalEmissions[#All],2,FALSE))*Calculations[[#This Row],[Total Kg]])*VLOOKUP(Calculations[[#This Row],[Waste 1]],WasteScenario[#All],2,FALSE),0)</f>
        <v>0</v>
      </c>
      <c r="AA534" s="322">
        <f>IFERROR((VLOOKUP(Calculations[[#This Row],[Waste type 2]],WasteDisposalEmissions[#All],3,FALSE))*Calculations[[#This Row],[Total Kg]]*VLOOKUP(Calculations[[#This Row],[Waste 1]],WasteScenario[#All],3,FALSE),0)</f>
        <v>0</v>
      </c>
      <c r="AB534" s="322">
        <f>SUM(Calculations[[#This Row],[C3 recyc]:[C3 incin]])</f>
        <v>0</v>
      </c>
      <c r="AC534" s="334">
        <f>IFERROR((VLOOKUP(Calculations[[#This Row],[Waste type 2]],WasteLandfillEmissions[#All],2,FALSE))*Calculations[[#This Row],[Total Kg]]*VLOOKUP(Calculations[[#This Row],[Waste 1]],WasteScenario[#All],4,FALSE),0)</f>
        <v>0</v>
      </c>
      <c r="AD534" s="322">
        <f>IFERROR((VLOOKUP(Calculations[[#This Row],[Waste type 2]],WasteLandfillEmissions[#All],3,FALSE))*Calculations[[#This Row],[Total Kg]]*VLOOKUP(Calculations[[#This Row],[Waste 1]],WasteScenario[#All],4,FALSE),0)</f>
        <v>0</v>
      </c>
      <c r="AE534" s="322">
        <f>SUM(Calculations[[#This Row],[C4 landfill]:[C4 re-use]])</f>
        <v>0</v>
      </c>
      <c r="AF534" s="322">
        <f>IFERROR(VLOOKUP(Calculations[[#This Row],[Material (choose from dropdown]],MaterialData[#All],8,FALSE),0)</f>
        <v>0</v>
      </c>
      <c r="AG534" s="322">
        <f>IFERROR(Calculations[[#This Row],[Total Kg]]*Calculations[[#This Row],[Seq factor]],0)</f>
        <v>0</v>
      </c>
      <c r="AI534" s="322">
        <f>Calculations[[#This Row],[A1-3]]+Calculations[[#This Row],[A4]]+Calculations[[#This Row],[A5]]+Calculations[[#This Row],[B4]]+Calculations[[#This Row],[C2 total]]+Calculations[[#This Row],[C3 total]]+Calculations[[#This Row],[C4 total]]</f>
        <v>0</v>
      </c>
      <c r="AJ534" s="2">
        <f>IFERROR(VLOOKUP(Calculations[[#This Row],[Material (choose from dropdown]],MaterialData[[#Headers],[#Data]],9,FALSE),0)</f>
        <v>0</v>
      </c>
      <c r="AK534" s="4">
        <f>IFERROR(VLOOKUP(Calculations[[#This Row],[Material (choose from dropdown]],MaterialData[[#Headers],[#Data]],10,FALSE),0)</f>
        <v>0</v>
      </c>
      <c r="AL534" s="322">
        <f>IFERROR(Calculations[[#This Row],[Data Quality Score]]*Calculations[[#This Row],[Total Kg]],0)</f>
        <v>0</v>
      </c>
    </row>
    <row r="535" spans="1:38" x14ac:dyDescent="0.3">
      <c r="A535" s="6">
        <f>IFERROR(MaterialsBoQ[[#This Row],[Scope Element]],0)</f>
        <v>0</v>
      </c>
      <c r="B535" t="str">
        <f>IFERROR(MaterialsBoQ[[#This Row],[Material ]],"")</f>
        <v/>
      </c>
      <c r="C535" t="str">
        <f>IFERROR(MaterialsBoQ[[#This Row],[Unit]],"")</f>
        <v/>
      </c>
      <c r="D535" s="322">
        <f>IFERROR(MaterialsBoQ[[#This Row],[Number]],0)</f>
        <v>0</v>
      </c>
      <c r="E535" s="322">
        <f>IFERROR(MaterialsBoQ[[#This Row],[Kg per unit]],0)</f>
        <v>0</v>
      </c>
      <c r="F535" s="322">
        <f>IFERROR(Calculations[[#This Row],[Number]]*Calculations[[#This Row],[Conversion factor]],0)</f>
        <v>0</v>
      </c>
      <c r="G535" s="322">
        <f>IFERROR(VLOOKUP(Calculations[[#This Row],[Material (choose from dropdown]],MaterialData[#All],7,FALSE),0)</f>
        <v>0</v>
      </c>
      <c r="H535" s="322">
        <f>Calculations[[#This Row],[Total Kg]]*Calculations[[#This Row],[Carbon Factor]]</f>
        <v>0</v>
      </c>
      <c r="I535" t="str">
        <f>IFERROR(VLOOKUP(Calculations[[#This Row],[Material (choose from dropdown]],MaterialData[#All],2,FALSE),"")</f>
        <v/>
      </c>
      <c r="J535" s="322">
        <f>IFERROR(((VLOOKUP(Calculations[[#This Row],[TransportSource]],TransportDistance[],2,FALSE)*'Stage assumptions'!$C$11)+VLOOKUP(Calculations[[#This Row],[TransportSource]],TransportDistance[],3,FALSE)*'Stage assumptions'!$C$12)*Calculations[[#This Row],[Total Kg]],0)</f>
        <v>0</v>
      </c>
      <c r="K535">
        <f>IFERROR(VLOOKUP(Calculations[[#This Row],[Material (choose from dropdown]], MaterialData[#All],3, FALSE),0)</f>
        <v>0</v>
      </c>
      <c r="L535" s="322">
        <f>IFERROR(VLOOKUP(Calculations[[#This Row],[A5type]],A5WastageRate[#All],2,FALSE)*Calculations[[#This Row],[A1-3]],0)</f>
        <v>0</v>
      </c>
      <c r="N535">
        <f>IFERROR(ROUNDUP(50/VLOOKUP(Calculations[[#This Row],[Scope Element]],B4referenceServiceLife[[Tier 2 element]:[Default Service Life]],2, FALSE)-1,0),0)</f>
        <v>0</v>
      </c>
      <c r="O535" s="322">
        <f>IFERROR((Calculations[[#This Row],[A1-3]]+Calculations[[#This Row],[A4]]+Calculations[[#This Row],[A5]]+Calculations[[#This Row],[C2 total]]+Calculations[[#This Row],[C3 total]]+Calculations[[#This Row],[C4 total]])*Calculations[[#This Row],[Replacements]],0)</f>
        <v>0</v>
      </c>
      <c r="S535" t="str">
        <f>IFERROR(VLOOKUP(Calculations[[#This Row],[Material (choose from dropdown]],MaterialData[#All],4,FALSE),"")</f>
        <v/>
      </c>
      <c r="T535" s="322" cm="1">
        <f t="array" ref="T535">IFERROR(VLOOKUP(Calculations[[#This Row],[Waste 1]],WasteScenario[#All],2,FALSE)*'Stage assumptions'!$C$225*WasteTransportMethod[Emissions Factor
kgCO2e/kg.km]*Calculations[[#This Row],[Total Kg]],0)</f>
        <v>0</v>
      </c>
      <c r="U535" s="322" cm="1">
        <f t="array" ref="U535">IFERROR(VLOOKUP(Calculations[[#This Row],[Waste 1]],WasteScenario[#All],3,FALSE)*'Stage assumptions'!$C$224*WasteTransportMethod[Emissions Factor
kgCO2e/kg.km]*Calculations[[#This Row],[Total Kg]],0)</f>
        <v>0</v>
      </c>
      <c r="V535" s="322" cm="1">
        <f t="array" ref="V535">IFERROR(VLOOKUP(Calculations[[#This Row],[Waste 1]],WasteScenario[#All],4,FALSE)*'Stage assumptions'!$C$223*WasteTransportMethod[Emissions Factor
kgCO2e/kg.km]*Calculations[[#This Row],[Total Kg]],0)</f>
        <v>0</v>
      </c>
      <c r="W535" s="322" cm="1">
        <f t="array" ref="W535">IFERROR(VLOOKUP(Calculations[[#This Row],[Waste 1]],WasteScenario[#All],5,FALSE)*'Stage assumptions'!$C$226*WasteTransportMethod[Emissions Factor
kgCO2e/kg.km]*Calculations[[#This Row],[Total Kg]],0)</f>
        <v>0</v>
      </c>
      <c r="X535" s="322">
        <f>SUM(Calculations[[#This Row],[C2 Recycle]:[C2 Reuse]])</f>
        <v>0</v>
      </c>
      <c r="Y535" t="str">
        <f>IFERROR(VLOOKUP(Calculations[[#This Row],[Material (choose from dropdown]],MaterialData[#All],5,FALSE),"")</f>
        <v/>
      </c>
      <c r="Z535" s="322">
        <f>IFERROR(((VLOOKUP(Calculations[[#This Row],[Waste type 2]],WasteDisposalEmissions[#All],2,FALSE))*Calculations[[#This Row],[Total Kg]])*VLOOKUP(Calculations[[#This Row],[Waste 1]],WasteScenario[#All],2,FALSE),0)</f>
        <v>0</v>
      </c>
      <c r="AA535" s="322">
        <f>IFERROR((VLOOKUP(Calculations[[#This Row],[Waste type 2]],WasteDisposalEmissions[#All],3,FALSE))*Calculations[[#This Row],[Total Kg]]*VLOOKUP(Calculations[[#This Row],[Waste 1]],WasteScenario[#All],3,FALSE),0)</f>
        <v>0</v>
      </c>
      <c r="AB535" s="322">
        <f>SUM(Calculations[[#This Row],[C3 recyc]:[C3 incin]])</f>
        <v>0</v>
      </c>
      <c r="AC535" s="334">
        <f>IFERROR((VLOOKUP(Calculations[[#This Row],[Waste type 2]],WasteLandfillEmissions[#All],2,FALSE))*Calculations[[#This Row],[Total Kg]]*VLOOKUP(Calculations[[#This Row],[Waste 1]],WasteScenario[#All],4,FALSE),0)</f>
        <v>0</v>
      </c>
      <c r="AD535" s="322">
        <f>IFERROR((VLOOKUP(Calculations[[#This Row],[Waste type 2]],WasteLandfillEmissions[#All],3,FALSE))*Calculations[[#This Row],[Total Kg]]*VLOOKUP(Calculations[[#This Row],[Waste 1]],WasteScenario[#All],4,FALSE),0)</f>
        <v>0</v>
      </c>
      <c r="AE535" s="322">
        <f>SUM(Calculations[[#This Row],[C4 landfill]:[C4 re-use]])</f>
        <v>0</v>
      </c>
      <c r="AF535" s="322">
        <f>IFERROR(VLOOKUP(Calculations[[#This Row],[Material (choose from dropdown]],MaterialData[#All],8,FALSE),0)</f>
        <v>0</v>
      </c>
      <c r="AG535" s="322">
        <f>IFERROR(Calculations[[#This Row],[Total Kg]]*Calculations[[#This Row],[Seq factor]],0)</f>
        <v>0</v>
      </c>
      <c r="AI535" s="322">
        <f>Calculations[[#This Row],[A1-3]]+Calculations[[#This Row],[A4]]+Calculations[[#This Row],[A5]]+Calculations[[#This Row],[B4]]+Calculations[[#This Row],[C2 total]]+Calculations[[#This Row],[C3 total]]+Calculations[[#This Row],[C4 total]]</f>
        <v>0</v>
      </c>
      <c r="AJ535" s="2">
        <f>IFERROR(VLOOKUP(Calculations[[#This Row],[Material (choose from dropdown]],MaterialData[[#Headers],[#Data]],9,FALSE),0)</f>
        <v>0</v>
      </c>
      <c r="AK535" s="4">
        <f>IFERROR(VLOOKUP(Calculations[[#This Row],[Material (choose from dropdown]],MaterialData[[#Headers],[#Data]],10,FALSE),0)</f>
        <v>0</v>
      </c>
      <c r="AL535" s="322">
        <f>IFERROR(Calculations[[#This Row],[Data Quality Score]]*Calculations[[#This Row],[Total Kg]],0)</f>
        <v>0</v>
      </c>
    </row>
    <row r="536" spans="1:38" x14ac:dyDescent="0.3">
      <c r="A536" s="6">
        <f>IFERROR(MaterialsBoQ[[#This Row],[Scope Element]],0)</f>
        <v>0</v>
      </c>
      <c r="B536" t="str">
        <f>IFERROR(MaterialsBoQ[[#This Row],[Material ]],"")</f>
        <v/>
      </c>
      <c r="C536" t="str">
        <f>IFERROR(MaterialsBoQ[[#This Row],[Unit]],"")</f>
        <v/>
      </c>
      <c r="D536" s="322">
        <f>IFERROR(MaterialsBoQ[[#This Row],[Number]],0)</f>
        <v>0</v>
      </c>
      <c r="E536" s="322">
        <f>IFERROR(MaterialsBoQ[[#This Row],[Kg per unit]],0)</f>
        <v>0</v>
      </c>
      <c r="F536" s="322">
        <f>IFERROR(Calculations[[#This Row],[Number]]*Calculations[[#This Row],[Conversion factor]],0)</f>
        <v>0</v>
      </c>
      <c r="G536" s="322">
        <f>IFERROR(VLOOKUP(Calculations[[#This Row],[Material (choose from dropdown]],MaterialData[#All],7,FALSE),0)</f>
        <v>0</v>
      </c>
      <c r="H536" s="322">
        <f>Calculations[[#This Row],[Total Kg]]*Calculations[[#This Row],[Carbon Factor]]</f>
        <v>0</v>
      </c>
      <c r="I536" t="str">
        <f>IFERROR(VLOOKUP(Calculations[[#This Row],[Material (choose from dropdown]],MaterialData[#All],2,FALSE),"")</f>
        <v/>
      </c>
      <c r="J536" s="322">
        <f>IFERROR(((VLOOKUP(Calculations[[#This Row],[TransportSource]],TransportDistance[],2,FALSE)*'Stage assumptions'!$C$11)+VLOOKUP(Calculations[[#This Row],[TransportSource]],TransportDistance[],3,FALSE)*'Stage assumptions'!$C$12)*Calculations[[#This Row],[Total Kg]],0)</f>
        <v>0</v>
      </c>
      <c r="K536">
        <f>IFERROR(VLOOKUP(Calculations[[#This Row],[Material (choose from dropdown]], MaterialData[#All],3, FALSE),0)</f>
        <v>0</v>
      </c>
      <c r="L536" s="322">
        <f>IFERROR(VLOOKUP(Calculations[[#This Row],[A5type]],A5WastageRate[#All],2,FALSE)*Calculations[[#This Row],[A1-3]],0)</f>
        <v>0</v>
      </c>
      <c r="N536">
        <f>IFERROR(ROUNDUP(50/VLOOKUP(Calculations[[#This Row],[Scope Element]],B4referenceServiceLife[[Tier 2 element]:[Default Service Life]],2, FALSE)-1,0),0)</f>
        <v>0</v>
      </c>
      <c r="O536" s="322">
        <f>IFERROR((Calculations[[#This Row],[A1-3]]+Calculations[[#This Row],[A4]]+Calculations[[#This Row],[A5]]+Calculations[[#This Row],[C2 total]]+Calculations[[#This Row],[C3 total]]+Calculations[[#This Row],[C4 total]])*Calculations[[#This Row],[Replacements]],0)</f>
        <v>0</v>
      </c>
      <c r="S536" t="str">
        <f>IFERROR(VLOOKUP(Calculations[[#This Row],[Material (choose from dropdown]],MaterialData[#All],4,FALSE),"")</f>
        <v/>
      </c>
      <c r="T536" s="322" cm="1">
        <f t="array" ref="T536">IFERROR(VLOOKUP(Calculations[[#This Row],[Waste 1]],WasteScenario[#All],2,FALSE)*'Stage assumptions'!$C$225*WasteTransportMethod[Emissions Factor
kgCO2e/kg.km]*Calculations[[#This Row],[Total Kg]],0)</f>
        <v>0</v>
      </c>
      <c r="U536" s="322" cm="1">
        <f t="array" ref="U536">IFERROR(VLOOKUP(Calculations[[#This Row],[Waste 1]],WasteScenario[#All],3,FALSE)*'Stage assumptions'!$C$224*WasteTransportMethod[Emissions Factor
kgCO2e/kg.km]*Calculations[[#This Row],[Total Kg]],0)</f>
        <v>0</v>
      </c>
      <c r="V536" s="322" cm="1">
        <f t="array" ref="V536">IFERROR(VLOOKUP(Calculations[[#This Row],[Waste 1]],WasteScenario[#All],4,FALSE)*'Stage assumptions'!$C$223*WasteTransportMethod[Emissions Factor
kgCO2e/kg.km]*Calculations[[#This Row],[Total Kg]],0)</f>
        <v>0</v>
      </c>
      <c r="W536" s="322" cm="1">
        <f t="array" ref="W536">IFERROR(VLOOKUP(Calculations[[#This Row],[Waste 1]],WasteScenario[#All],5,FALSE)*'Stage assumptions'!$C$226*WasteTransportMethod[Emissions Factor
kgCO2e/kg.km]*Calculations[[#This Row],[Total Kg]],0)</f>
        <v>0</v>
      </c>
      <c r="X536" s="322">
        <f>SUM(Calculations[[#This Row],[C2 Recycle]:[C2 Reuse]])</f>
        <v>0</v>
      </c>
      <c r="Y536" t="str">
        <f>IFERROR(VLOOKUP(Calculations[[#This Row],[Material (choose from dropdown]],MaterialData[#All],5,FALSE),"")</f>
        <v/>
      </c>
      <c r="Z536" s="322">
        <f>IFERROR(((VLOOKUP(Calculations[[#This Row],[Waste type 2]],WasteDisposalEmissions[#All],2,FALSE))*Calculations[[#This Row],[Total Kg]])*VLOOKUP(Calculations[[#This Row],[Waste 1]],WasteScenario[#All],2,FALSE),0)</f>
        <v>0</v>
      </c>
      <c r="AA536" s="322">
        <f>IFERROR((VLOOKUP(Calculations[[#This Row],[Waste type 2]],WasteDisposalEmissions[#All],3,FALSE))*Calculations[[#This Row],[Total Kg]]*VLOOKUP(Calculations[[#This Row],[Waste 1]],WasteScenario[#All],3,FALSE),0)</f>
        <v>0</v>
      </c>
      <c r="AB536" s="322">
        <f>SUM(Calculations[[#This Row],[C3 recyc]:[C3 incin]])</f>
        <v>0</v>
      </c>
      <c r="AC536" s="334">
        <f>IFERROR((VLOOKUP(Calculations[[#This Row],[Waste type 2]],WasteLandfillEmissions[#All],2,FALSE))*Calculations[[#This Row],[Total Kg]]*VLOOKUP(Calculations[[#This Row],[Waste 1]],WasteScenario[#All],4,FALSE),0)</f>
        <v>0</v>
      </c>
      <c r="AD536" s="322">
        <f>IFERROR((VLOOKUP(Calculations[[#This Row],[Waste type 2]],WasteLandfillEmissions[#All],3,FALSE))*Calculations[[#This Row],[Total Kg]]*VLOOKUP(Calculations[[#This Row],[Waste 1]],WasteScenario[#All],4,FALSE),0)</f>
        <v>0</v>
      </c>
      <c r="AE536" s="322">
        <f>SUM(Calculations[[#This Row],[C4 landfill]:[C4 re-use]])</f>
        <v>0</v>
      </c>
      <c r="AF536" s="322">
        <f>IFERROR(VLOOKUP(Calculations[[#This Row],[Material (choose from dropdown]],MaterialData[#All],8,FALSE),0)</f>
        <v>0</v>
      </c>
      <c r="AG536" s="322">
        <f>IFERROR(Calculations[[#This Row],[Total Kg]]*Calculations[[#This Row],[Seq factor]],0)</f>
        <v>0</v>
      </c>
      <c r="AI536" s="322">
        <f>Calculations[[#This Row],[A1-3]]+Calculations[[#This Row],[A4]]+Calculations[[#This Row],[A5]]+Calculations[[#This Row],[B4]]+Calculations[[#This Row],[C2 total]]+Calculations[[#This Row],[C3 total]]+Calculations[[#This Row],[C4 total]]</f>
        <v>0</v>
      </c>
      <c r="AJ536" s="2">
        <f>IFERROR(VLOOKUP(Calculations[[#This Row],[Material (choose from dropdown]],MaterialData[[#Headers],[#Data]],9,FALSE),0)</f>
        <v>0</v>
      </c>
      <c r="AK536" s="4">
        <f>IFERROR(VLOOKUP(Calculations[[#This Row],[Material (choose from dropdown]],MaterialData[[#Headers],[#Data]],10,FALSE),0)</f>
        <v>0</v>
      </c>
      <c r="AL536" s="322">
        <f>IFERROR(Calculations[[#This Row],[Data Quality Score]]*Calculations[[#This Row],[Total Kg]],0)</f>
        <v>0</v>
      </c>
    </row>
    <row r="537" spans="1:38" x14ac:dyDescent="0.3">
      <c r="A537" s="6">
        <f>IFERROR(MaterialsBoQ[[#This Row],[Scope Element]],0)</f>
        <v>0</v>
      </c>
      <c r="B537" t="str">
        <f>IFERROR(MaterialsBoQ[[#This Row],[Material ]],"")</f>
        <v/>
      </c>
      <c r="C537" t="str">
        <f>IFERROR(MaterialsBoQ[[#This Row],[Unit]],"")</f>
        <v/>
      </c>
      <c r="D537" s="322">
        <f>IFERROR(MaterialsBoQ[[#This Row],[Number]],0)</f>
        <v>0</v>
      </c>
      <c r="E537" s="322">
        <f>IFERROR(MaterialsBoQ[[#This Row],[Kg per unit]],0)</f>
        <v>0</v>
      </c>
      <c r="F537" s="322">
        <f>IFERROR(Calculations[[#This Row],[Number]]*Calculations[[#This Row],[Conversion factor]],0)</f>
        <v>0</v>
      </c>
      <c r="G537" s="322">
        <f>IFERROR(VLOOKUP(Calculations[[#This Row],[Material (choose from dropdown]],MaterialData[#All],7,FALSE),0)</f>
        <v>0</v>
      </c>
      <c r="H537" s="322">
        <f>Calculations[[#This Row],[Total Kg]]*Calculations[[#This Row],[Carbon Factor]]</f>
        <v>0</v>
      </c>
      <c r="I537" t="str">
        <f>IFERROR(VLOOKUP(Calculations[[#This Row],[Material (choose from dropdown]],MaterialData[#All],2,FALSE),"")</f>
        <v/>
      </c>
      <c r="J537" s="322">
        <f>IFERROR(((VLOOKUP(Calculations[[#This Row],[TransportSource]],TransportDistance[],2,FALSE)*'Stage assumptions'!$C$11)+VLOOKUP(Calculations[[#This Row],[TransportSource]],TransportDistance[],3,FALSE)*'Stage assumptions'!$C$12)*Calculations[[#This Row],[Total Kg]],0)</f>
        <v>0</v>
      </c>
      <c r="K537">
        <f>IFERROR(VLOOKUP(Calculations[[#This Row],[Material (choose from dropdown]], MaterialData[#All],3, FALSE),0)</f>
        <v>0</v>
      </c>
      <c r="L537" s="322">
        <f>IFERROR(VLOOKUP(Calculations[[#This Row],[A5type]],A5WastageRate[#All],2,FALSE)*Calculations[[#This Row],[A1-3]],0)</f>
        <v>0</v>
      </c>
      <c r="N537">
        <f>IFERROR(ROUNDUP(50/VLOOKUP(Calculations[[#This Row],[Scope Element]],B4referenceServiceLife[[Tier 2 element]:[Default Service Life]],2, FALSE)-1,0),0)</f>
        <v>0</v>
      </c>
      <c r="O537" s="322">
        <f>IFERROR((Calculations[[#This Row],[A1-3]]+Calculations[[#This Row],[A4]]+Calculations[[#This Row],[A5]]+Calculations[[#This Row],[C2 total]]+Calculations[[#This Row],[C3 total]]+Calculations[[#This Row],[C4 total]])*Calculations[[#This Row],[Replacements]],0)</f>
        <v>0</v>
      </c>
      <c r="S537" t="str">
        <f>IFERROR(VLOOKUP(Calculations[[#This Row],[Material (choose from dropdown]],MaterialData[#All],4,FALSE),"")</f>
        <v/>
      </c>
      <c r="T537" s="322" cm="1">
        <f t="array" ref="T537">IFERROR(VLOOKUP(Calculations[[#This Row],[Waste 1]],WasteScenario[#All],2,FALSE)*'Stage assumptions'!$C$225*WasteTransportMethod[Emissions Factor
kgCO2e/kg.km]*Calculations[[#This Row],[Total Kg]],0)</f>
        <v>0</v>
      </c>
      <c r="U537" s="322" cm="1">
        <f t="array" ref="U537">IFERROR(VLOOKUP(Calculations[[#This Row],[Waste 1]],WasteScenario[#All],3,FALSE)*'Stage assumptions'!$C$224*WasteTransportMethod[Emissions Factor
kgCO2e/kg.km]*Calculations[[#This Row],[Total Kg]],0)</f>
        <v>0</v>
      </c>
      <c r="V537" s="322" cm="1">
        <f t="array" ref="V537">IFERROR(VLOOKUP(Calculations[[#This Row],[Waste 1]],WasteScenario[#All],4,FALSE)*'Stage assumptions'!$C$223*WasteTransportMethod[Emissions Factor
kgCO2e/kg.km]*Calculations[[#This Row],[Total Kg]],0)</f>
        <v>0</v>
      </c>
      <c r="W537" s="322" cm="1">
        <f t="array" ref="W537">IFERROR(VLOOKUP(Calculations[[#This Row],[Waste 1]],WasteScenario[#All],5,FALSE)*'Stage assumptions'!$C$226*WasteTransportMethod[Emissions Factor
kgCO2e/kg.km]*Calculations[[#This Row],[Total Kg]],0)</f>
        <v>0</v>
      </c>
      <c r="X537" s="322">
        <f>SUM(Calculations[[#This Row],[C2 Recycle]:[C2 Reuse]])</f>
        <v>0</v>
      </c>
      <c r="Y537" t="str">
        <f>IFERROR(VLOOKUP(Calculations[[#This Row],[Material (choose from dropdown]],MaterialData[#All],5,FALSE),"")</f>
        <v/>
      </c>
      <c r="Z537" s="322">
        <f>IFERROR(((VLOOKUP(Calculations[[#This Row],[Waste type 2]],WasteDisposalEmissions[#All],2,FALSE))*Calculations[[#This Row],[Total Kg]])*VLOOKUP(Calculations[[#This Row],[Waste 1]],WasteScenario[#All],2,FALSE),0)</f>
        <v>0</v>
      </c>
      <c r="AA537" s="322">
        <f>IFERROR((VLOOKUP(Calculations[[#This Row],[Waste type 2]],WasteDisposalEmissions[#All],3,FALSE))*Calculations[[#This Row],[Total Kg]]*VLOOKUP(Calculations[[#This Row],[Waste 1]],WasteScenario[#All],3,FALSE),0)</f>
        <v>0</v>
      </c>
      <c r="AB537" s="322">
        <f>SUM(Calculations[[#This Row],[C3 recyc]:[C3 incin]])</f>
        <v>0</v>
      </c>
      <c r="AC537" s="334">
        <f>IFERROR((VLOOKUP(Calculations[[#This Row],[Waste type 2]],WasteLandfillEmissions[#All],2,FALSE))*Calculations[[#This Row],[Total Kg]]*VLOOKUP(Calculations[[#This Row],[Waste 1]],WasteScenario[#All],4,FALSE),0)</f>
        <v>0</v>
      </c>
      <c r="AD537" s="322">
        <f>IFERROR((VLOOKUP(Calculations[[#This Row],[Waste type 2]],WasteLandfillEmissions[#All],3,FALSE))*Calculations[[#This Row],[Total Kg]]*VLOOKUP(Calculations[[#This Row],[Waste 1]],WasteScenario[#All],4,FALSE),0)</f>
        <v>0</v>
      </c>
      <c r="AE537" s="322">
        <f>SUM(Calculations[[#This Row],[C4 landfill]:[C4 re-use]])</f>
        <v>0</v>
      </c>
      <c r="AF537" s="322">
        <f>IFERROR(VLOOKUP(Calculations[[#This Row],[Material (choose from dropdown]],MaterialData[#All],8,FALSE),0)</f>
        <v>0</v>
      </c>
      <c r="AG537" s="322">
        <f>IFERROR(Calculations[[#This Row],[Total Kg]]*Calculations[[#This Row],[Seq factor]],0)</f>
        <v>0</v>
      </c>
      <c r="AI537" s="322">
        <f>Calculations[[#This Row],[A1-3]]+Calculations[[#This Row],[A4]]+Calculations[[#This Row],[A5]]+Calculations[[#This Row],[B4]]+Calculations[[#This Row],[C2 total]]+Calculations[[#This Row],[C3 total]]+Calculations[[#This Row],[C4 total]]</f>
        <v>0</v>
      </c>
      <c r="AJ537" s="2">
        <f>IFERROR(VLOOKUP(Calculations[[#This Row],[Material (choose from dropdown]],MaterialData[[#Headers],[#Data]],9,FALSE),0)</f>
        <v>0</v>
      </c>
      <c r="AK537" s="4">
        <f>IFERROR(VLOOKUP(Calculations[[#This Row],[Material (choose from dropdown]],MaterialData[[#Headers],[#Data]],10,FALSE),0)</f>
        <v>0</v>
      </c>
      <c r="AL537" s="322">
        <f>IFERROR(Calculations[[#This Row],[Data Quality Score]]*Calculations[[#This Row],[Total Kg]],0)</f>
        <v>0</v>
      </c>
    </row>
    <row r="538" spans="1:38" x14ac:dyDescent="0.3">
      <c r="A538" s="6">
        <f>IFERROR(MaterialsBoQ[[#This Row],[Scope Element]],0)</f>
        <v>0</v>
      </c>
      <c r="B538" t="str">
        <f>IFERROR(MaterialsBoQ[[#This Row],[Material ]],"")</f>
        <v/>
      </c>
      <c r="C538" t="str">
        <f>IFERROR(MaterialsBoQ[[#This Row],[Unit]],"")</f>
        <v/>
      </c>
      <c r="D538" s="322">
        <f>IFERROR(MaterialsBoQ[[#This Row],[Number]],0)</f>
        <v>0</v>
      </c>
      <c r="E538" s="322">
        <f>IFERROR(MaterialsBoQ[[#This Row],[Kg per unit]],0)</f>
        <v>0</v>
      </c>
      <c r="F538" s="322">
        <f>IFERROR(Calculations[[#This Row],[Number]]*Calculations[[#This Row],[Conversion factor]],0)</f>
        <v>0</v>
      </c>
      <c r="G538" s="322">
        <f>IFERROR(VLOOKUP(Calculations[[#This Row],[Material (choose from dropdown]],MaterialData[#All],7,FALSE),0)</f>
        <v>0</v>
      </c>
      <c r="H538" s="322">
        <f>Calculations[[#This Row],[Total Kg]]*Calculations[[#This Row],[Carbon Factor]]</f>
        <v>0</v>
      </c>
      <c r="I538" t="str">
        <f>IFERROR(VLOOKUP(Calculations[[#This Row],[Material (choose from dropdown]],MaterialData[#All],2,FALSE),"")</f>
        <v/>
      </c>
      <c r="J538" s="322">
        <f>IFERROR(((VLOOKUP(Calculations[[#This Row],[TransportSource]],TransportDistance[],2,FALSE)*'Stage assumptions'!$C$11)+VLOOKUP(Calculations[[#This Row],[TransportSource]],TransportDistance[],3,FALSE)*'Stage assumptions'!$C$12)*Calculations[[#This Row],[Total Kg]],0)</f>
        <v>0</v>
      </c>
      <c r="K538">
        <f>IFERROR(VLOOKUP(Calculations[[#This Row],[Material (choose from dropdown]], MaterialData[#All],3, FALSE),0)</f>
        <v>0</v>
      </c>
      <c r="L538" s="322">
        <f>IFERROR(VLOOKUP(Calculations[[#This Row],[A5type]],A5WastageRate[#All],2,FALSE)*Calculations[[#This Row],[A1-3]],0)</f>
        <v>0</v>
      </c>
      <c r="N538">
        <f>IFERROR(ROUNDUP(50/VLOOKUP(Calculations[[#This Row],[Scope Element]],B4referenceServiceLife[[Tier 2 element]:[Default Service Life]],2, FALSE)-1,0),0)</f>
        <v>0</v>
      </c>
      <c r="O538" s="322">
        <f>IFERROR((Calculations[[#This Row],[A1-3]]+Calculations[[#This Row],[A4]]+Calculations[[#This Row],[A5]]+Calculations[[#This Row],[C2 total]]+Calculations[[#This Row],[C3 total]]+Calculations[[#This Row],[C4 total]])*Calculations[[#This Row],[Replacements]],0)</f>
        <v>0</v>
      </c>
      <c r="S538" t="str">
        <f>IFERROR(VLOOKUP(Calculations[[#This Row],[Material (choose from dropdown]],MaterialData[#All],4,FALSE),"")</f>
        <v/>
      </c>
      <c r="T538" s="322" cm="1">
        <f t="array" ref="T538">IFERROR(VLOOKUP(Calculations[[#This Row],[Waste 1]],WasteScenario[#All],2,FALSE)*'Stage assumptions'!$C$225*WasteTransportMethod[Emissions Factor
kgCO2e/kg.km]*Calculations[[#This Row],[Total Kg]],0)</f>
        <v>0</v>
      </c>
      <c r="U538" s="322" cm="1">
        <f t="array" ref="U538">IFERROR(VLOOKUP(Calculations[[#This Row],[Waste 1]],WasteScenario[#All],3,FALSE)*'Stage assumptions'!$C$224*WasteTransportMethod[Emissions Factor
kgCO2e/kg.km]*Calculations[[#This Row],[Total Kg]],0)</f>
        <v>0</v>
      </c>
      <c r="V538" s="322" cm="1">
        <f t="array" ref="V538">IFERROR(VLOOKUP(Calculations[[#This Row],[Waste 1]],WasteScenario[#All],4,FALSE)*'Stage assumptions'!$C$223*WasteTransportMethod[Emissions Factor
kgCO2e/kg.km]*Calculations[[#This Row],[Total Kg]],0)</f>
        <v>0</v>
      </c>
      <c r="W538" s="322" cm="1">
        <f t="array" ref="W538">IFERROR(VLOOKUP(Calculations[[#This Row],[Waste 1]],WasteScenario[#All],5,FALSE)*'Stage assumptions'!$C$226*WasteTransportMethod[Emissions Factor
kgCO2e/kg.km]*Calculations[[#This Row],[Total Kg]],0)</f>
        <v>0</v>
      </c>
      <c r="X538" s="322">
        <f>SUM(Calculations[[#This Row],[C2 Recycle]:[C2 Reuse]])</f>
        <v>0</v>
      </c>
      <c r="Y538" t="str">
        <f>IFERROR(VLOOKUP(Calculations[[#This Row],[Material (choose from dropdown]],MaterialData[#All],5,FALSE),"")</f>
        <v/>
      </c>
      <c r="Z538" s="322">
        <f>IFERROR(((VLOOKUP(Calculations[[#This Row],[Waste type 2]],WasteDisposalEmissions[#All],2,FALSE))*Calculations[[#This Row],[Total Kg]])*VLOOKUP(Calculations[[#This Row],[Waste 1]],WasteScenario[#All],2,FALSE),0)</f>
        <v>0</v>
      </c>
      <c r="AA538" s="322">
        <f>IFERROR((VLOOKUP(Calculations[[#This Row],[Waste type 2]],WasteDisposalEmissions[#All],3,FALSE))*Calculations[[#This Row],[Total Kg]]*VLOOKUP(Calculations[[#This Row],[Waste 1]],WasteScenario[#All],3,FALSE),0)</f>
        <v>0</v>
      </c>
      <c r="AB538" s="322">
        <f>SUM(Calculations[[#This Row],[C3 recyc]:[C3 incin]])</f>
        <v>0</v>
      </c>
      <c r="AC538" s="334">
        <f>IFERROR((VLOOKUP(Calculations[[#This Row],[Waste type 2]],WasteLandfillEmissions[#All],2,FALSE))*Calculations[[#This Row],[Total Kg]]*VLOOKUP(Calculations[[#This Row],[Waste 1]],WasteScenario[#All],4,FALSE),0)</f>
        <v>0</v>
      </c>
      <c r="AD538" s="322">
        <f>IFERROR((VLOOKUP(Calculations[[#This Row],[Waste type 2]],WasteLandfillEmissions[#All],3,FALSE))*Calculations[[#This Row],[Total Kg]]*VLOOKUP(Calculations[[#This Row],[Waste 1]],WasteScenario[#All],4,FALSE),0)</f>
        <v>0</v>
      </c>
      <c r="AE538" s="322">
        <f>SUM(Calculations[[#This Row],[C4 landfill]:[C4 re-use]])</f>
        <v>0</v>
      </c>
      <c r="AF538" s="322">
        <f>IFERROR(VLOOKUP(Calculations[[#This Row],[Material (choose from dropdown]],MaterialData[#All],8,FALSE),0)</f>
        <v>0</v>
      </c>
      <c r="AG538" s="322">
        <f>IFERROR(Calculations[[#This Row],[Total Kg]]*Calculations[[#This Row],[Seq factor]],0)</f>
        <v>0</v>
      </c>
      <c r="AI538" s="322">
        <f>Calculations[[#This Row],[A1-3]]+Calculations[[#This Row],[A4]]+Calculations[[#This Row],[A5]]+Calculations[[#This Row],[B4]]+Calculations[[#This Row],[C2 total]]+Calculations[[#This Row],[C3 total]]+Calculations[[#This Row],[C4 total]]</f>
        <v>0</v>
      </c>
      <c r="AJ538" s="2">
        <f>IFERROR(VLOOKUP(Calculations[[#This Row],[Material (choose from dropdown]],MaterialData[[#Headers],[#Data]],9,FALSE),0)</f>
        <v>0</v>
      </c>
      <c r="AK538" s="4">
        <f>IFERROR(VLOOKUP(Calculations[[#This Row],[Material (choose from dropdown]],MaterialData[[#Headers],[#Data]],10,FALSE),0)</f>
        <v>0</v>
      </c>
      <c r="AL538" s="322">
        <f>IFERROR(Calculations[[#This Row],[Data Quality Score]]*Calculations[[#This Row],[Total Kg]],0)</f>
        <v>0</v>
      </c>
    </row>
    <row r="539" spans="1:38" x14ac:dyDescent="0.3">
      <c r="A539" s="6">
        <f>IFERROR(MaterialsBoQ[[#This Row],[Scope Element]],0)</f>
        <v>0</v>
      </c>
      <c r="B539" t="str">
        <f>IFERROR(MaterialsBoQ[[#This Row],[Material ]],"")</f>
        <v/>
      </c>
      <c r="C539" t="str">
        <f>IFERROR(MaterialsBoQ[[#This Row],[Unit]],"")</f>
        <v/>
      </c>
      <c r="D539" s="322">
        <f>IFERROR(MaterialsBoQ[[#This Row],[Number]],0)</f>
        <v>0</v>
      </c>
      <c r="E539" s="322">
        <f>IFERROR(MaterialsBoQ[[#This Row],[Kg per unit]],0)</f>
        <v>0</v>
      </c>
      <c r="F539" s="322">
        <f>IFERROR(Calculations[[#This Row],[Number]]*Calculations[[#This Row],[Conversion factor]],0)</f>
        <v>0</v>
      </c>
      <c r="G539" s="322">
        <f>IFERROR(VLOOKUP(Calculations[[#This Row],[Material (choose from dropdown]],MaterialData[#All],7,FALSE),0)</f>
        <v>0</v>
      </c>
      <c r="H539" s="322">
        <f>Calculations[[#This Row],[Total Kg]]*Calculations[[#This Row],[Carbon Factor]]</f>
        <v>0</v>
      </c>
      <c r="I539" t="str">
        <f>IFERROR(VLOOKUP(Calculations[[#This Row],[Material (choose from dropdown]],MaterialData[#All],2,FALSE),"")</f>
        <v/>
      </c>
      <c r="J539" s="322">
        <f>IFERROR(((VLOOKUP(Calculations[[#This Row],[TransportSource]],TransportDistance[],2,FALSE)*'Stage assumptions'!$C$11)+VLOOKUP(Calculations[[#This Row],[TransportSource]],TransportDistance[],3,FALSE)*'Stage assumptions'!$C$12)*Calculations[[#This Row],[Total Kg]],0)</f>
        <v>0</v>
      </c>
      <c r="K539">
        <f>IFERROR(VLOOKUP(Calculations[[#This Row],[Material (choose from dropdown]], MaterialData[#All],3, FALSE),0)</f>
        <v>0</v>
      </c>
      <c r="L539" s="322">
        <f>IFERROR(VLOOKUP(Calculations[[#This Row],[A5type]],A5WastageRate[#All],2,FALSE)*Calculations[[#This Row],[A1-3]],0)</f>
        <v>0</v>
      </c>
      <c r="N539">
        <f>IFERROR(ROUNDUP(50/VLOOKUP(Calculations[[#This Row],[Scope Element]],B4referenceServiceLife[[Tier 2 element]:[Default Service Life]],2, FALSE)-1,0),0)</f>
        <v>0</v>
      </c>
      <c r="O539" s="322">
        <f>IFERROR((Calculations[[#This Row],[A1-3]]+Calculations[[#This Row],[A4]]+Calculations[[#This Row],[A5]]+Calculations[[#This Row],[C2 total]]+Calculations[[#This Row],[C3 total]]+Calculations[[#This Row],[C4 total]])*Calculations[[#This Row],[Replacements]],0)</f>
        <v>0</v>
      </c>
      <c r="S539" t="str">
        <f>IFERROR(VLOOKUP(Calculations[[#This Row],[Material (choose from dropdown]],MaterialData[#All],4,FALSE),"")</f>
        <v/>
      </c>
      <c r="T539" s="322" cm="1">
        <f t="array" ref="T539">IFERROR(VLOOKUP(Calculations[[#This Row],[Waste 1]],WasteScenario[#All],2,FALSE)*'Stage assumptions'!$C$225*WasteTransportMethod[Emissions Factor
kgCO2e/kg.km]*Calculations[[#This Row],[Total Kg]],0)</f>
        <v>0</v>
      </c>
      <c r="U539" s="322" cm="1">
        <f t="array" ref="U539">IFERROR(VLOOKUP(Calculations[[#This Row],[Waste 1]],WasteScenario[#All],3,FALSE)*'Stage assumptions'!$C$224*WasteTransportMethod[Emissions Factor
kgCO2e/kg.km]*Calculations[[#This Row],[Total Kg]],0)</f>
        <v>0</v>
      </c>
      <c r="V539" s="322" cm="1">
        <f t="array" ref="V539">IFERROR(VLOOKUP(Calculations[[#This Row],[Waste 1]],WasteScenario[#All],4,FALSE)*'Stage assumptions'!$C$223*WasteTransportMethod[Emissions Factor
kgCO2e/kg.km]*Calculations[[#This Row],[Total Kg]],0)</f>
        <v>0</v>
      </c>
      <c r="W539" s="322" cm="1">
        <f t="array" ref="W539">IFERROR(VLOOKUP(Calculations[[#This Row],[Waste 1]],WasteScenario[#All],5,FALSE)*'Stage assumptions'!$C$226*WasteTransportMethod[Emissions Factor
kgCO2e/kg.km]*Calculations[[#This Row],[Total Kg]],0)</f>
        <v>0</v>
      </c>
      <c r="X539" s="322">
        <f>SUM(Calculations[[#This Row],[C2 Recycle]:[C2 Reuse]])</f>
        <v>0</v>
      </c>
      <c r="Y539" t="str">
        <f>IFERROR(VLOOKUP(Calculations[[#This Row],[Material (choose from dropdown]],MaterialData[#All],5,FALSE),"")</f>
        <v/>
      </c>
      <c r="Z539" s="322">
        <f>IFERROR(((VLOOKUP(Calculations[[#This Row],[Waste type 2]],WasteDisposalEmissions[#All],2,FALSE))*Calculations[[#This Row],[Total Kg]])*VLOOKUP(Calculations[[#This Row],[Waste 1]],WasteScenario[#All],2,FALSE),0)</f>
        <v>0</v>
      </c>
      <c r="AA539" s="322">
        <f>IFERROR((VLOOKUP(Calculations[[#This Row],[Waste type 2]],WasteDisposalEmissions[#All],3,FALSE))*Calculations[[#This Row],[Total Kg]]*VLOOKUP(Calculations[[#This Row],[Waste 1]],WasteScenario[#All],3,FALSE),0)</f>
        <v>0</v>
      </c>
      <c r="AB539" s="322">
        <f>SUM(Calculations[[#This Row],[C3 recyc]:[C3 incin]])</f>
        <v>0</v>
      </c>
      <c r="AC539" s="334">
        <f>IFERROR((VLOOKUP(Calculations[[#This Row],[Waste type 2]],WasteLandfillEmissions[#All],2,FALSE))*Calculations[[#This Row],[Total Kg]]*VLOOKUP(Calculations[[#This Row],[Waste 1]],WasteScenario[#All],4,FALSE),0)</f>
        <v>0</v>
      </c>
      <c r="AD539" s="322">
        <f>IFERROR((VLOOKUP(Calculations[[#This Row],[Waste type 2]],WasteLandfillEmissions[#All],3,FALSE))*Calculations[[#This Row],[Total Kg]]*VLOOKUP(Calculations[[#This Row],[Waste 1]],WasteScenario[#All],4,FALSE),0)</f>
        <v>0</v>
      </c>
      <c r="AE539" s="322">
        <f>SUM(Calculations[[#This Row],[C4 landfill]:[C4 re-use]])</f>
        <v>0</v>
      </c>
      <c r="AF539" s="322">
        <f>IFERROR(VLOOKUP(Calculations[[#This Row],[Material (choose from dropdown]],MaterialData[#All],8,FALSE),0)</f>
        <v>0</v>
      </c>
      <c r="AG539" s="322">
        <f>IFERROR(Calculations[[#This Row],[Total Kg]]*Calculations[[#This Row],[Seq factor]],0)</f>
        <v>0</v>
      </c>
      <c r="AI539" s="322">
        <f>Calculations[[#This Row],[A1-3]]+Calculations[[#This Row],[A4]]+Calculations[[#This Row],[A5]]+Calculations[[#This Row],[B4]]+Calculations[[#This Row],[C2 total]]+Calculations[[#This Row],[C3 total]]+Calculations[[#This Row],[C4 total]]</f>
        <v>0</v>
      </c>
      <c r="AJ539" s="2">
        <f>IFERROR(VLOOKUP(Calculations[[#This Row],[Material (choose from dropdown]],MaterialData[[#Headers],[#Data]],9,FALSE),0)</f>
        <v>0</v>
      </c>
      <c r="AK539" s="4">
        <f>IFERROR(VLOOKUP(Calculations[[#This Row],[Material (choose from dropdown]],MaterialData[[#Headers],[#Data]],10,FALSE),0)</f>
        <v>0</v>
      </c>
      <c r="AL539" s="322">
        <f>IFERROR(Calculations[[#This Row],[Data Quality Score]]*Calculations[[#This Row],[Total Kg]],0)</f>
        <v>0</v>
      </c>
    </row>
    <row r="540" spans="1:38" x14ac:dyDescent="0.3">
      <c r="A540" s="6">
        <f>IFERROR(MaterialsBoQ[[#This Row],[Scope Element]],0)</f>
        <v>0</v>
      </c>
      <c r="B540" t="str">
        <f>IFERROR(MaterialsBoQ[[#This Row],[Material ]],"")</f>
        <v/>
      </c>
      <c r="C540" t="str">
        <f>IFERROR(MaterialsBoQ[[#This Row],[Unit]],"")</f>
        <v/>
      </c>
      <c r="D540" s="322">
        <f>IFERROR(MaterialsBoQ[[#This Row],[Number]],0)</f>
        <v>0</v>
      </c>
      <c r="E540" s="322">
        <f>IFERROR(MaterialsBoQ[[#This Row],[Kg per unit]],0)</f>
        <v>0</v>
      </c>
      <c r="F540" s="322">
        <f>IFERROR(Calculations[[#This Row],[Number]]*Calculations[[#This Row],[Conversion factor]],0)</f>
        <v>0</v>
      </c>
      <c r="G540" s="322">
        <f>IFERROR(VLOOKUP(Calculations[[#This Row],[Material (choose from dropdown]],MaterialData[#All],7,FALSE),0)</f>
        <v>0</v>
      </c>
      <c r="H540" s="322">
        <f>Calculations[[#This Row],[Total Kg]]*Calculations[[#This Row],[Carbon Factor]]</f>
        <v>0</v>
      </c>
      <c r="I540" t="str">
        <f>IFERROR(VLOOKUP(Calculations[[#This Row],[Material (choose from dropdown]],MaterialData[#All],2,FALSE),"")</f>
        <v/>
      </c>
      <c r="J540" s="322">
        <f>IFERROR(((VLOOKUP(Calculations[[#This Row],[TransportSource]],TransportDistance[],2,FALSE)*'Stage assumptions'!$C$11)+VLOOKUP(Calculations[[#This Row],[TransportSource]],TransportDistance[],3,FALSE)*'Stage assumptions'!$C$12)*Calculations[[#This Row],[Total Kg]],0)</f>
        <v>0</v>
      </c>
      <c r="K540">
        <f>IFERROR(VLOOKUP(Calculations[[#This Row],[Material (choose from dropdown]], MaterialData[#All],3, FALSE),0)</f>
        <v>0</v>
      </c>
      <c r="L540" s="322">
        <f>IFERROR(VLOOKUP(Calculations[[#This Row],[A5type]],A5WastageRate[#All],2,FALSE)*Calculations[[#This Row],[A1-3]],0)</f>
        <v>0</v>
      </c>
      <c r="N540">
        <f>IFERROR(ROUNDUP(50/VLOOKUP(Calculations[[#This Row],[Scope Element]],B4referenceServiceLife[[Tier 2 element]:[Default Service Life]],2, FALSE)-1,0),0)</f>
        <v>0</v>
      </c>
      <c r="O540" s="322">
        <f>IFERROR((Calculations[[#This Row],[A1-3]]+Calculations[[#This Row],[A4]]+Calculations[[#This Row],[A5]]+Calculations[[#This Row],[C2 total]]+Calculations[[#This Row],[C3 total]]+Calculations[[#This Row],[C4 total]])*Calculations[[#This Row],[Replacements]],0)</f>
        <v>0</v>
      </c>
      <c r="S540" t="str">
        <f>IFERROR(VLOOKUP(Calculations[[#This Row],[Material (choose from dropdown]],MaterialData[#All],4,FALSE),"")</f>
        <v/>
      </c>
      <c r="T540" s="322" cm="1">
        <f t="array" ref="T540">IFERROR(VLOOKUP(Calculations[[#This Row],[Waste 1]],WasteScenario[#All],2,FALSE)*'Stage assumptions'!$C$225*WasteTransportMethod[Emissions Factor
kgCO2e/kg.km]*Calculations[[#This Row],[Total Kg]],0)</f>
        <v>0</v>
      </c>
      <c r="U540" s="322" cm="1">
        <f t="array" ref="U540">IFERROR(VLOOKUP(Calculations[[#This Row],[Waste 1]],WasteScenario[#All],3,FALSE)*'Stage assumptions'!$C$224*WasteTransportMethod[Emissions Factor
kgCO2e/kg.km]*Calculations[[#This Row],[Total Kg]],0)</f>
        <v>0</v>
      </c>
      <c r="V540" s="322" cm="1">
        <f t="array" ref="V540">IFERROR(VLOOKUP(Calculations[[#This Row],[Waste 1]],WasteScenario[#All],4,FALSE)*'Stage assumptions'!$C$223*WasteTransportMethod[Emissions Factor
kgCO2e/kg.km]*Calculations[[#This Row],[Total Kg]],0)</f>
        <v>0</v>
      </c>
      <c r="W540" s="322" cm="1">
        <f t="array" ref="W540">IFERROR(VLOOKUP(Calculations[[#This Row],[Waste 1]],WasteScenario[#All],5,FALSE)*'Stage assumptions'!$C$226*WasteTransportMethod[Emissions Factor
kgCO2e/kg.km]*Calculations[[#This Row],[Total Kg]],0)</f>
        <v>0</v>
      </c>
      <c r="X540" s="322">
        <f>SUM(Calculations[[#This Row],[C2 Recycle]:[C2 Reuse]])</f>
        <v>0</v>
      </c>
      <c r="Y540" t="str">
        <f>IFERROR(VLOOKUP(Calculations[[#This Row],[Material (choose from dropdown]],MaterialData[#All],5,FALSE),"")</f>
        <v/>
      </c>
      <c r="Z540" s="322">
        <f>IFERROR(((VLOOKUP(Calculations[[#This Row],[Waste type 2]],WasteDisposalEmissions[#All],2,FALSE))*Calculations[[#This Row],[Total Kg]])*VLOOKUP(Calculations[[#This Row],[Waste 1]],WasteScenario[#All],2,FALSE),0)</f>
        <v>0</v>
      </c>
      <c r="AA540" s="322">
        <f>IFERROR((VLOOKUP(Calculations[[#This Row],[Waste type 2]],WasteDisposalEmissions[#All],3,FALSE))*Calculations[[#This Row],[Total Kg]]*VLOOKUP(Calculations[[#This Row],[Waste 1]],WasteScenario[#All],3,FALSE),0)</f>
        <v>0</v>
      </c>
      <c r="AB540" s="322">
        <f>SUM(Calculations[[#This Row],[C3 recyc]:[C3 incin]])</f>
        <v>0</v>
      </c>
      <c r="AC540" s="334">
        <f>IFERROR((VLOOKUP(Calculations[[#This Row],[Waste type 2]],WasteLandfillEmissions[#All],2,FALSE))*Calculations[[#This Row],[Total Kg]]*VLOOKUP(Calculations[[#This Row],[Waste 1]],WasteScenario[#All],4,FALSE),0)</f>
        <v>0</v>
      </c>
      <c r="AD540" s="322">
        <f>IFERROR((VLOOKUP(Calculations[[#This Row],[Waste type 2]],WasteLandfillEmissions[#All],3,FALSE))*Calculations[[#This Row],[Total Kg]]*VLOOKUP(Calculations[[#This Row],[Waste 1]],WasteScenario[#All],4,FALSE),0)</f>
        <v>0</v>
      </c>
      <c r="AE540" s="322">
        <f>SUM(Calculations[[#This Row],[C4 landfill]:[C4 re-use]])</f>
        <v>0</v>
      </c>
      <c r="AF540" s="322">
        <f>IFERROR(VLOOKUP(Calculations[[#This Row],[Material (choose from dropdown]],MaterialData[#All],8,FALSE),0)</f>
        <v>0</v>
      </c>
      <c r="AG540" s="322">
        <f>IFERROR(Calculations[[#This Row],[Total Kg]]*Calculations[[#This Row],[Seq factor]],0)</f>
        <v>0</v>
      </c>
      <c r="AI540" s="322">
        <f>Calculations[[#This Row],[A1-3]]+Calculations[[#This Row],[A4]]+Calculations[[#This Row],[A5]]+Calculations[[#This Row],[B4]]+Calculations[[#This Row],[C2 total]]+Calculations[[#This Row],[C3 total]]+Calculations[[#This Row],[C4 total]]</f>
        <v>0</v>
      </c>
      <c r="AJ540" s="2">
        <f>IFERROR(VLOOKUP(Calculations[[#This Row],[Material (choose from dropdown]],MaterialData[[#Headers],[#Data]],9,FALSE),0)</f>
        <v>0</v>
      </c>
      <c r="AK540" s="4">
        <f>IFERROR(VLOOKUP(Calculations[[#This Row],[Material (choose from dropdown]],MaterialData[[#Headers],[#Data]],10,FALSE),0)</f>
        <v>0</v>
      </c>
      <c r="AL540" s="322">
        <f>IFERROR(Calculations[[#This Row],[Data Quality Score]]*Calculations[[#This Row],[Total Kg]],0)</f>
        <v>0</v>
      </c>
    </row>
    <row r="541" spans="1:38" x14ac:dyDescent="0.3">
      <c r="A541" s="6">
        <f>IFERROR(MaterialsBoQ[[#This Row],[Scope Element]],0)</f>
        <v>0</v>
      </c>
      <c r="B541" t="str">
        <f>IFERROR(MaterialsBoQ[[#This Row],[Material ]],"")</f>
        <v/>
      </c>
      <c r="C541" t="str">
        <f>IFERROR(MaterialsBoQ[[#This Row],[Unit]],"")</f>
        <v/>
      </c>
      <c r="D541" s="322">
        <f>IFERROR(MaterialsBoQ[[#This Row],[Number]],0)</f>
        <v>0</v>
      </c>
      <c r="E541" s="322">
        <f>IFERROR(MaterialsBoQ[[#This Row],[Kg per unit]],0)</f>
        <v>0</v>
      </c>
      <c r="F541" s="322">
        <f>IFERROR(Calculations[[#This Row],[Number]]*Calculations[[#This Row],[Conversion factor]],0)</f>
        <v>0</v>
      </c>
      <c r="G541" s="322">
        <f>IFERROR(VLOOKUP(Calculations[[#This Row],[Material (choose from dropdown]],MaterialData[#All],7,FALSE),0)</f>
        <v>0</v>
      </c>
      <c r="H541" s="322">
        <f>Calculations[[#This Row],[Total Kg]]*Calculations[[#This Row],[Carbon Factor]]</f>
        <v>0</v>
      </c>
      <c r="I541" t="str">
        <f>IFERROR(VLOOKUP(Calculations[[#This Row],[Material (choose from dropdown]],MaterialData[#All],2,FALSE),"")</f>
        <v/>
      </c>
      <c r="J541" s="322">
        <f>IFERROR(((VLOOKUP(Calculations[[#This Row],[TransportSource]],TransportDistance[],2,FALSE)*'Stage assumptions'!$C$11)+VLOOKUP(Calculations[[#This Row],[TransportSource]],TransportDistance[],3,FALSE)*'Stage assumptions'!$C$12)*Calculations[[#This Row],[Total Kg]],0)</f>
        <v>0</v>
      </c>
      <c r="K541">
        <f>IFERROR(VLOOKUP(Calculations[[#This Row],[Material (choose from dropdown]], MaterialData[#All],3, FALSE),0)</f>
        <v>0</v>
      </c>
      <c r="L541" s="322">
        <f>IFERROR(VLOOKUP(Calculations[[#This Row],[A5type]],A5WastageRate[#All],2,FALSE)*Calculations[[#This Row],[A1-3]],0)</f>
        <v>0</v>
      </c>
      <c r="N541">
        <f>IFERROR(ROUNDUP(50/VLOOKUP(Calculations[[#This Row],[Scope Element]],B4referenceServiceLife[[Tier 2 element]:[Default Service Life]],2, FALSE)-1,0),0)</f>
        <v>0</v>
      </c>
      <c r="O541" s="322">
        <f>IFERROR((Calculations[[#This Row],[A1-3]]+Calculations[[#This Row],[A4]]+Calculations[[#This Row],[A5]]+Calculations[[#This Row],[C2 total]]+Calculations[[#This Row],[C3 total]]+Calculations[[#This Row],[C4 total]])*Calculations[[#This Row],[Replacements]],0)</f>
        <v>0</v>
      </c>
      <c r="S541" t="str">
        <f>IFERROR(VLOOKUP(Calculations[[#This Row],[Material (choose from dropdown]],MaterialData[#All],4,FALSE),"")</f>
        <v/>
      </c>
      <c r="T541" s="322" cm="1">
        <f t="array" ref="T541">IFERROR(VLOOKUP(Calculations[[#This Row],[Waste 1]],WasteScenario[#All],2,FALSE)*'Stage assumptions'!$C$225*WasteTransportMethod[Emissions Factor
kgCO2e/kg.km]*Calculations[[#This Row],[Total Kg]],0)</f>
        <v>0</v>
      </c>
      <c r="U541" s="322" cm="1">
        <f t="array" ref="U541">IFERROR(VLOOKUP(Calculations[[#This Row],[Waste 1]],WasteScenario[#All],3,FALSE)*'Stage assumptions'!$C$224*WasteTransportMethod[Emissions Factor
kgCO2e/kg.km]*Calculations[[#This Row],[Total Kg]],0)</f>
        <v>0</v>
      </c>
      <c r="V541" s="322" cm="1">
        <f t="array" ref="V541">IFERROR(VLOOKUP(Calculations[[#This Row],[Waste 1]],WasteScenario[#All],4,FALSE)*'Stage assumptions'!$C$223*WasteTransportMethod[Emissions Factor
kgCO2e/kg.km]*Calculations[[#This Row],[Total Kg]],0)</f>
        <v>0</v>
      </c>
      <c r="W541" s="322" cm="1">
        <f t="array" ref="W541">IFERROR(VLOOKUP(Calculations[[#This Row],[Waste 1]],WasteScenario[#All],5,FALSE)*'Stage assumptions'!$C$226*WasteTransportMethod[Emissions Factor
kgCO2e/kg.km]*Calculations[[#This Row],[Total Kg]],0)</f>
        <v>0</v>
      </c>
      <c r="X541" s="322">
        <f>SUM(Calculations[[#This Row],[C2 Recycle]:[C2 Reuse]])</f>
        <v>0</v>
      </c>
      <c r="Y541" t="str">
        <f>IFERROR(VLOOKUP(Calculations[[#This Row],[Material (choose from dropdown]],MaterialData[#All],5,FALSE),"")</f>
        <v/>
      </c>
      <c r="Z541" s="322">
        <f>IFERROR(((VLOOKUP(Calculations[[#This Row],[Waste type 2]],WasteDisposalEmissions[#All],2,FALSE))*Calculations[[#This Row],[Total Kg]])*VLOOKUP(Calculations[[#This Row],[Waste 1]],WasteScenario[#All],2,FALSE),0)</f>
        <v>0</v>
      </c>
      <c r="AA541" s="322">
        <f>IFERROR((VLOOKUP(Calculations[[#This Row],[Waste type 2]],WasteDisposalEmissions[#All],3,FALSE))*Calculations[[#This Row],[Total Kg]]*VLOOKUP(Calculations[[#This Row],[Waste 1]],WasteScenario[#All],3,FALSE),0)</f>
        <v>0</v>
      </c>
      <c r="AB541" s="322">
        <f>SUM(Calculations[[#This Row],[C3 recyc]:[C3 incin]])</f>
        <v>0</v>
      </c>
      <c r="AC541" s="334">
        <f>IFERROR((VLOOKUP(Calculations[[#This Row],[Waste type 2]],WasteLandfillEmissions[#All],2,FALSE))*Calculations[[#This Row],[Total Kg]]*VLOOKUP(Calculations[[#This Row],[Waste 1]],WasteScenario[#All],4,FALSE),0)</f>
        <v>0</v>
      </c>
      <c r="AD541" s="322">
        <f>IFERROR((VLOOKUP(Calculations[[#This Row],[Waste type 2]],WasteLandfillEmissions[#All],3,FALSE))*Calculations[[#This Row],[Total Kg]]*VLOOKUP(Calculations[[#This Row],[Waste 1]],WasteScenario[#All],4,FALSE),0)</f>
        <v>0</v>
      </c>
      <c r="AE541" s="322">
        <f>SUM(Calculations[[#This Row],[C4 landfill]:[C4 re-use]])</f>
        <v>0</v>
      </c>
      <c r="AF541" s="322">
        <f>IFERROR(VLOOKUP(Calculations[[#This Row],[Material (choose from dropdown]],MaterialData[#All],8,FALSE),0)</f>
        <v>0</v>
      </c>
      <c r="AG541" s="322">
        <f>IFERROR(Calculations[[#This Row],[Total Kg]]*Calculations[[#This Row],[Seq factor]],0)</f>
        <v>0</v>
      </c>
      <c r="AI541" s="322">
        <f>Calculations[[#This Row],[A1-3]]+Calculations[[#This Row],[A4]]+Calculations[[#This Row],[A5]]+Calculations[[#This Row],[B4]]+Calculations[[#This Row],[C2 total]]+Calculations[[#This Row],[C3 total]]+Calculations[[#This Row],[C4 total]]</f>
        <v>0</v>
      </c>
      <c r="AJ541" s="2">
        <f>IFERROR(VLOOKUP(Calculations[[#This Row],[Material (choose from dropdown]],MaterialData[[#Headers],[#Data]],9,FALSE),0)</f>
        <v>0</v>
      </c>
      <c r="AK541" s="4">
        <f>IFERROR(VLOOKUP(Calculations[[#This Row],[Material (choose from dropdown]],MaterialData[[#Headers],[#Data]],10,FALSE),0)</f>
        <v>0</v>
      </c>
      <c r="AL541" s="322">
        <f>IFERROR(Calculations[[#This Row],[Data Quality Score]]*Calculations[[#This Row],[Total Kg]],0)</f>
        <v>0</v>
      </c>
    </row>
    <row r="542" spans="1:38" x14ac:dyDescent="0.3">
      <c r="A542" s="6">
        <f>IFERROR(MaterialsBoQ[[#This Row],[Scope Element]],0)</f>
        <v>0</v>
      </c>
      <c r="B542" t="str">
        <f>IFERROR(MaterialsBoQ[[#This Row],[Material ]],"")</f>
        <v/>
      </c>
      <c r="C542" t="str">
        <f>IFERROR(MaterialsBoQ[[#This Row],[Unit]],"")</f>
        <v/>
      </c>
      <c r="D542" s="322">
        <f>IFERROR(MaterialsBoQ[[#This Row],[Number]],0)</f>
        <v>0</v>
      </c>
      <c r="E542" s="322">
        <f>IFERROR(MaterialsBoQ[[#This Row],[Kg per unit]],0)</f>
        <v>0</v>
      </c>
      <c r="F542" s="322">
        <f>IFERROR(Calculations[[#This Row],[Number]]*Calculations[[#This Row],[Conversion factor]],0)</f>
        <v>0</v>
      </c>
      <c r="G542" s="322">
        <f>IFERROR(VLOOKUP(Calculations[[#This Row],[Material (choose from dropdown]],MaterialData[#All],7,FALSE),0)</f>
        <v>0</v>
      </c>
      <c r="H542" s="322">
        <f>Calculations[[#This Row],[Total Kg]]*Calculations[[#This Row],[Carbon Factor]]</f>
        <v>0</v>
      </c>
      <c r="I542" t="str">
        <f>IFERROR(VLOOKUP(Calculations[[#This Row],[Material (choose from dropdown]],MaterialData[#All],2,FALSE),"")</f>
        <v/>
      </c>
      <c r="J542" s="322">
        <f>IFERROR(((VLOOKUP(Calculations[[#This Row],[TransportSource]],TransportDistance[],2,FALSE)*'Stage assumptions'!$C$11)+VLOOKUP(Calculations[[#This Row],[TransportSource]],TransportDistance[],3,FALSE)*'Stage assumptions'!$C$12)*Calculations[[#This Row],[Total Kg]],0)</f>
        <v>0</v>
      </c>
      <c r="K542">
        <f>IFERROR(VLOOKUP(Calculations[[#This Row],[Material (choose from dropdown]], MaterialData[#All],3, FALSE),0)</f>
        <v>0</v>
      </c>
      <c r="L542" s="322">
        <f>IFERROR(VLOOKUP(Calculations[[#This Row],[A5type]],A5WastageRate[#All],2,FALSE)*Calculations[[#This Row],[A1-3]],0)</f>
        <v>0</v>
      </c>
      <c r="N542">
        <f>IFERROR(ROUNDUP(50/VLOOKUP(Calculations[[#This Row],[Scope Element]],B4referenceServiceLife[[Tier 2 element]:[Default Service Life]],2, FALSE)-1,0),0)</f>
        <v>0</v>
      </c>
      <c r="O542" s="322">
        <f>IFERROR((Calculations[[#This Row],[A1-3]]+Calculations[[#This Row],[A4]]+Calculations[[#This Row],[A5]]+Calculations[[#This Row],[C2 total]]+Calculations[[#This Row],[C3 total]]+Calculations[[#This Row],[C4 total]])*Calculations[[#This Row],[Replacements]],0)</f>
        <v>0</v>
      </c>
      <c r="S542" t="str">
        <f>IFERROR(VLOOKUP(Calculations[[#This Row],[Material (choose from dropdown]],MaterialData[#All],4,FALSE),"")</f>
        <v/>
      </c>
      <c r="T542" s="322" cm="1">
        <f t="array" ref="T542">IFERROR(VLOOKUP(Calculations[[#This Row],[Waste 1]],WasteScenario[#All],2,FALSE)*'Stage assumptions'!$C$225*WasteTransportMethod[Emissions Factor
kgCO2e/kg.km]*Calculations[[#This Row],[Total Kg]],0)</f>
        <v>0</v>
      </c>
      <c r="U542" s="322" cm="1">
        <f t="array" ref="U542">IFERROR(VLOOKUP(Calculations[[#This Row],[Waste 1]],WasteScenario[#All],3,FALSE)*'Stage assumptions'!$C$224*WasteTransportMethod[Emissions Factor
kgCO2e/kg.km]*Calculations[[#This Row],[Total Kg]],0)</f>
        <v>0</v>
      </c>
      <c r="V542" s="322" cm="1">
        <f t="array" ref="V542">IFERROR(VLOOKUP(Calculations[[#This Row],[Waste 1]],WasteScenario[#All],4,FALSE)*'Stage assumptions'!$C$223*WasteTransportMethod[Emissions Factor
kgCO2e/kg.km]*Calculations[[#This Row],[Total Kg]],0)</f>
        <v>0</v>
      </c>
      <c r="W542" s="322" cm="1">
        <f t="array" ref="W542">IFERROR(VLOOKUP(Calculations[[#This Row],[Waste 1]],WasteScenario[#All],5,FALSE)*'Stage assumptions'!$C$226*WasteTransportMethod[Emissions Factor
kgCO2e/kg.km]*Calculations[[#This Row],[Total Kg]],0)</f>
        <v>0</v>
      </c>
      <c r="X542" s="322">
        <f>SUM(Calculations[[#This Row],[C2 Recycle]:[C2 Reuse]])</f>
        <v>0</v>
      </c>
      <c r="Y542" t="str">
        <f>IFERROR(VLOOKUP(Calculations[[#This Row],[Material (choose from dropdown]],MaterialData[#All],5,FALSE),"")</f>
        <v/>
      </c>
      <c r="Z542" s="322">
        <f>IFERROR(((VLOOKUP(Calculations[[#This Row],[Waste type 2]],WasteDisposalEmissions[#All],2,FALSE))*Calculations[[#This Row],[Total Kg]])*VLOOKUP(Calculations[[#This Row],[Waste 1]],WasteScenario[#All],2,FALSE),0)</f>
        <v>0</v>
      </c>
      <c r="AA542" s="322">
        <f>IFERROR((VLOOKUP(Calculations[[#This Row],[Waste type 2]],WasteDisposalEmissions[#All],3,FALSE))*Calculations[[#This Row],[Total Kg]]*VLOOKUP(Calculations[[#This Row],[Waste 1]],WasteScenario[#All],3,FALSE),0)</f>
        <v>0</v>
      </c>
      <c r="AB542" s="322">
        <f>SUM(Calculations[[#This Row],[C3 recyc]:[C3 incin]])</f>
        <v>0</v>
      </c>
      <c r="AC542" s="334">
        <f>IFERROR((VLOOKUP(Calculations[[#This Row],[Waste type 2]],WasteLandfillEmissions[#All],2,FALSE))*Calculations[[#This Row],[Total Kg]]*VLOOKUP(Calculations[[#This Row],[Waste 1]],WasteScenario[#All],4,FALSE),0)</f>
        <v>0</v>
      </c>
      <c r="AD542" s="322">
        <f>IFERROR((VLOOKUP(Calculations[[#This Row],[Waste type 2]],WasteLandfillEmissions[#All],3,FALSE))*Calculations[[#This Row],[Total Kg]]*VLOOKUP(Calculations[[#This Row],[Waste 1]],WasteScenario[#All],4,FALSE),0)</f>
        <v>0</v>
      </c>
      <c r="AE542" s="322">
        <f>SUM(Calculations[[#This Row],[C4 landfill]:[C4 re-use]])</f>
        <v>0</v>
      </c>
      <c r="AF542" s="322">
        <f>IFERROR(VLOOKUP(Calculations[[#This Row],[Material (choose from dropdown]],MaterialData[#All],8,FALSE),0)</f>
        <v>0</v>
      </c>
      <c r="AG542" s="322">
        <f>IFERROR(Calculations[[#This Row],[Total Kg]]*Calculations[[#This Row],[Seq factor]],0)</f>
        <v>0</v>
      </c>
      <c r="AI542" s="322">
        <f>Calculations[[#This Row],[A1-3]]+Calculations[[#This Row],[A4]]+Calculations[[#This Row],[A5]]+Calculations[[#This Row],[B4]]+Calculations[[#This Row],[C2 total]]+Calculations[[#This Row],[C3 total]]+Calculations[[#This Row],[C4 total]]</f>
        <v>0</v>
      </c>
      <c r="AJ542" s="2">
        <f>IFERROR(VLOOKUP(Calculations[[#This Row],[Material (choose from dropdown]],MaterialData[[#Headers],[#Data]],9,FALSE),0)</f>
        <v>0</v>
      </c>
      <c r="AK542" s="4">
        <f>IFERROR(VLOOKUP(Calculations[[#This Row],[Material (choose from dropdown]],MaterialData[[#Headers],[#Data]],10,FALSE),0)</f>
        <v>0</v>
      </c>
      <c r="AL542" s="322">
        <f>IFERROR(Calculations[[#This Row],[Data Quality Score]]*Calculations[[#This Row],[Total Kg]],0)</f>
        <v>0</v>
      </c>
    </row>
    <row r="543" spans="1:38" x14ac:dyDescent="0.3">
      <c r="A543" s="6">
        <f>IFERROR(MaterialsBoQ[[#This Row],[Scope Element]],0)</f>
        <v>0</v>
      </c>
      <c r="B543" t="str">
        <f>IFERROR(MaterialsBoQ[[#This Row],[Material ]],"")</f>
        <v/>
      </c>
      <c r="C543" t="str">
        <f>IFERROR(MaterialsBoQ[[#This Row],[Unit]],"")</f>
        <v/>
      </c>
      <c r="D543" s="322">
        <f>IFERROR(MaterialsBoQ[[#This Row],[Number]],0)</f>
        <v>0</v>
      </c>
      <c r="E543" s="322">
        <f>IFERROR(MaterialsBoQ[[#This Row],[Kg per unit]],0)</f>
        <v>0</v>
      </c>
      <c r="F543" s="322">
        <f>IFERROR(Calculations[[#This Row],[Number]]*Calculations[[#This Row],[Conversion factor]],0)</f>
        <v>0</v>
      </c>
      <c r="G543" s="322">
        <f>IFERROR(VLOOKUP(Calculations[[#This Row],[Material (choose from dropdown]],MaterialData[#All],7,FALSE),0)</f>
        <v>0</v>
      </c>
      <c r="H543" s="322">
        <f>Calculations[[#This Row],[Total Kg]]*Calculations[[#This Row],[Carbon Factor]]</f>
        <v>0</v>
      </c>
      <c r="I543" t="str">
        <f>IFERROR(VLOOKUP(Calculations[[#This Row],[Material (choose from dropdown]],MaterialData[#All],2,FALSE),"")</f>
        <v/>
      </c>
      <c r="J543" s="322">
        <f>IFERROR(((VLOOKUP(Calculations[[#This Row],[TransportSource]],TransportDistance[],2,FALSE)*'Stage assumptions'!$C$11)+VLOOKUP(Calculations[[#This Row],[TransportSource]],TransportDistance[],3,FALSE)*'Stage assumptions'!$C$12)*Calculations[[#This Row],[Total Kg]],0)</f>
        <v>0</v>
      </c>
      <c r="K543">
        <f>IFERROR(VLOOKUP(Calculations[[#This Row],[Material (choose from dropdown]], MaterialData[#All],3, FALSE),0)</f>
        <v>0</v>
      </c>
      <c r="L543" s="322">
        <f>IFERROR(VLOOKUP(Calculations[[#This Row],[A5type]],A5WastageRate[#All],2,FALSE)*Calculations[[#This Row],[A1-3]],0)</f>
        <v>0</v>
      </c>
      <c r="N543">
        <f>IFERROR(ROUNDUP(50/VLOOKUP(Calculations[[#This Row],[Scope Element]],B4referenceServiceLife[[Tier 2 element]:[Default Service Life]],2, FALSE)-1,0),0)</f>
        <v>0</v>
      </c>
      <c r="O543" s="322">
        <f>IFERROR((Calculations[[#This Row],[A1-3]]+Calculations[[#This Row],[A4]]+Calculations[[#This Row],[A5]]+Calculations[[#This Row],[C2 total]]+Calculations[[#This Row],[C3 total]]+Calculations[[#This Row],[C4 total]])*Calculations[[#This Row],[Replacements]],0)</f>
        <v>0</v>
      </c>
      <c r="S543" t="str">
        <f>IFERROR(VLOOKUP(Calculations[[#This Row],[Material (choose from dropdown]],MaterialData[#All],4,FALSE),"")</f>
        <v/>
      </c>
      <c r="T543" s="322" cm="1">
        <f t="array" ref="T543">IFERROR(VLOOKUP(Calculations[[#This Row],[Waste 1]],WasteScenario[#All],2,FALSE)*'Stage assumptions'!$C$225*WasteTransportMethod[Emissions Factor
kgCO2e/kg.km]*Calculations[[#This Row],[Total Kg]],0)</f>
        <v>0</v>
      </c>
      <c r="U543" s="322" cm="1">
        <f t="array" ref="U543">IFERROR(VLOOKUP(Calculations[[#This Row],[Waste 1]],WasteScenario[#All],3,FALSE)*'Stage assumptions'!$C$224*WasteTransportMethod[Emissions Factor
kgCO2e/kg.km]*Calculations[[#This Row],[Total Kg]],0)</f>
        <v>0</v>
      </c>
      <c r="V543" s="322" cm="1">
        <f t="array" ref="V543">IFERROR(VLOOKUP(Calculations[[#This Row],[Waste 1]],WasteScenario[#All],4,FALSE)*'Stage assumptions'!$C$223*WasteTransportMethod[Emissions Factor
kgCO2e/kg.km]*Calculations[[#This Row],[Total Kg]],0)</f>
        <v>0</v>
      </c>
      <c r="W543" s="322" cm="1">
        <f t="array" ref="W543">IFERROR(VLOOKUP(Calculations[[#This Row],[Waste 1]],WasteScenario[#All],5,FALSE)*'Stage assumptions'!$C$226*WasteTransportMethod[Emissions Factor
kgCO2e/kg.km]*Calculations[[#This Row],[Total Kg]],0)</f>
        <v>0</v>
      </c>
      <c r="X543" s="322">
        <f>SUM(Calculations[[#This Row],[C2 Recycle]:[C2 Reuse]])</f>
        <v>0</v>
      </c>
      <c r="Y543" t="str">
        <f>IFERROR(VLOOKUP(Calculations[[#This Row],[Material (choose from dropdown]],MaterialData[#All],5,FALSE),"")</f>
        <v/>
      </c>
      <c r="Z543" s="322">
        <f>IFERROR(((VLOOKUP(Calculations[[#This Row],[Waste type 2]],WasteDisposalEmissions[#All],2,FALSE))*Calculations[[#This Row],[Total Kg]])*VLOOKUP(Calculations[[#This Row],[Waste 1]],WasteScenario[#All],2,FALSE),0)</f>
        <v>0</v>
      </c>
      <c r="AA543" s="322">
        <f>IFERROR((VLOOKUP(Calculations[[#This Row],[Waste type 2]],WasteDisposalEmissions[#All],3,FALSE))*Calculations[[#This Row],[Total Kg]]*VLOOKUP(Calculations[[#This Row],[Waste 1]],WasteScenario[#All],3,FALSE),0)</f>
        <v>0</v>
      </c>
      <c r="AB543" s="322">
        <f>SUM(Calculations[[#This Row],[C3 recyc]:[C3 incin]])</f>
        <v>0</v>
      </c>
      <c r="AC543" s="334">
        <f>IFERROR((VLOOKUP(Calculations[[#This Row],[Waste type 2]],WasteLandfillEmissions[#All],2,FALSE))*Calculations[[#This Row],[Total Kg]]*VLOOKUP(Calculations[[#This Row],[Waste 1]],WasteScenario[#All],4,FALSE),0)</f>
        <v>0</v>
      </c>
      <c r="AD543" s="322">
        <f>IFERROR((VLOOKUP(Calculations[[#This Row],[Waste type 2]],WasteLandfillEmissions[#All],3,FALSE))*Calculations[[#This Row],[Total Kg]]*VLOOKUP(Calculations[[#This Row],[Waste 1]],WasteScenario[#All],4,FALSE),0)</f>
        <v>0</v>
      </c>
      <c r="AE543" s="322">
        <f>SUM(Calculations[[#This Row],[C4 landfill]:[C4 re-use]])</f>
        <v>0</v>
      </c>
      <c r="AF543" s="322">
        <f>IFERROR(VLOOKUP(Calculations[[#This Row],[Material (choose from dropdown]],MaterialData[#All],8,FALSE),0)</f>
        <v>0</v>
      </c>
      <c r="AG543" s="322">
        <f>IFERROR(Calculations[[#This Row],[Total Kg]]*Calculations[[#This Row],[Seq factor]],0)</f>
        <v>0</v>
      </c>
      <c r="AI543" s="322">
        <f>Calculations[[#This Row],[A1-3]]+Calculations[[#This Row],[A4]]+Calculations[[#This Row],[A5]]+Calculations[[#This Row],[B4]]+Calculations[[#This Row],[C2 total]]+Calculations[[#This Row],[C3 total]]+Calculations[[#This Row],[C4 total]]</f>
        <v>0</v>
      </c>
      <c r="AJ543" s="2">
        <f>IFERROR(VLOOKUP(Calculations[[#This Row],[Material (choose from dropdown]],MaterialData[[#Headers],[#Data]],9,FALSE),0)</f>
        <v>0</v>
      </c>
      <c r="AK543" s="4">
        <f>IFERROR(VLOOKUP(Calculations[[#This Row],[Material (choose from dropdown]],MaterialData[[#Headers],[#Data]],10,FALSE),0)</f>
        <v>0</v>
      </c>
      <c r="AL543" s="322">
        <f>IFERROR(Calculations[[#This Row],[Data Quality Score]]*Calculations[[#This Row],[Total Kg]],0)</f>
        <v>0</v>
      </c>
    </row>
    <row r="544" spans="1:38" x14ac:dyDescent="0.3">
      <c r="A544" s="6">
        <f>IFERROR(MaterialsBoQ[[#This Row],[Scope Element]],0)</f>
        <v>0</v>
      </c>
      <c r="B544" t="str">
        <f>IFERROR(MaterialsBoQ[[#This Row],[Material ]],"")</f>
        <v/>
      </c>
      <c r="C544" t="str">
        <f>IFERROR(MaterialsBoQ[[#This Row],[Unit]],"")</f>
        <v/>
      </c>
      <c r="D544" s="322">
        <f>IFERROR(MaterialsBoQ[[#This Row],[Number]],0)</f>
        <v>0</v>
      </c>
      <c r="E544" s="322">
        <f>IFERROR(MaterialsBoQ[[#This Row],[Kg per unit]],0)</f>
        <v>0</v>
      </c>
      <c r="F544" s="322">
        <f>IFERROR(Calculations[[#This Row],[Number]]*Calculations[[#This Row],[Conversion factor]],0)</f>
        <v>0</v>
      </c>
      <c r="G544" s="322">
        <f>IFERROR(VLOOKUP(Calculations[[#This Row],[Material (choose from dropdown]],MaterialData[#All],7,FALSE),0)</f>
        <v>0</v>
      </c>
      <c r="H544" s="322">
        <f>Calculations[[#This Row],[Total Kg]]*Calculations[[#This Row],[Carbon Factor]]</f>
        <v>0</v>
      </c>
      <c r="I544" t="str">
        <f>IFERROR(VLOOKUP(Calculations[[#This Row],[Material (choose from dropdown]],MaterialData[#All],2,FALSE),"")</f>
        <v/>
      </c>
      <c r="J544" s="322">
        <f>IFERROR(((VLOOKUP(Calculations[[#This Row],[TransportSource]],TransportDistance[],2,FALSE)*'Stage assumptions'!$C$11)+VLOOKUP(Calculations[[#This Row],[TransportSource]],TransportDistance[],3,FALSE)*'Stage assumptions'!$C$12)*Calculations[[#This Row],[Total Kg]],0)</f>
        <v>0</v>
      </c>
      <c r="K544">
        <f>IFERROR(VLOOKUP(Calculations[[#This Row],[Material (choose from dropdown]], MaterialData[#All],3, FALSE),0)</f>
        <v>0</v>
      </c>
      <c r="L544" s="322">
        <f>IFERROR(VLOOKUP(Calculations[[#This Row],[A5type]],A5WastageRate[#All],2,FALSE)*Calculations[[#This Row],[A1-3]],0)</f>
        <v>0</v>
      </c>
      <c r="N544">
        <f>IFERROR(ROUNDUP(50/VLOOKUP(Calculations[[#This Row],[Scope Element]],B4referenceServiceLife[[Tier 2 element]:[Default Service Life]],2, FALSE)-1,0),0)</f>
        <v>0</v>
      </c>
      <c r="O544" s="322">
        <f>IFERROR((Calculations[[#This Row],[A1-3]]+Calculations[[#This Row],[A4]]+Calculations[[#This Row],[A5]]+Calculations[[#This Row],[C2 total]]+Calculations[[#This Row],[C3 total]]+Calculations[[#This Row],[C4 total]])*Calculations[[#This Row],[Replacements]],0)</f>
        <v>0</v>
      </c>
      <c r="S544" t="str">
        <f>IFERROR(VLOOKUP(Calculations[[#This Row],[Material (choose from dropdown]],MaterialData[#All],4,FALSE),"")</f>
        <v/>
      </c>
      <c r="T544" s="322" cm="1">
        <f t="array" ref="T544">IFERROR(VLOOKUP(Calculations[[#This Row],[Waste 1]],WasteScenario[#All],2,FALSE)*'Stage assumptions'!$C$225*WasteTransportMethod[Emissions Factor
kgCO2e/kg.km]*Calculations[[#This Row],[Total Kg]],0)</f>
        <v>0</v>
      </c>
      <c r="U544" s="322" cm="1">
        <f t="array" ref="U544">IFERROR(VLOOKUP(Calculations[[#This Row],[Waste 1]],WasteScenario[#All],3,FALSE)*'Stage assumptions'!$C$224*WasteTransportMethod[Emissions Factor
kgCO2e/kg.km]*Calculations[[#This Row],[Total Kg]],0)</f>
        <v>0</v>
      </c>
      <c r="V544" s="322" cm="1">
        <f t="array" ref="V544">IFERROR(VLOOKUP(Calculations[[#This Row],[Waste 1]],WasteScenario[#All],4,FALSE)*'Stage assumptions'!$C$223*WasteTransportMethod[Emissions Factor
kgCO2e/kg.km]*Calculations[[#This Row],[Total Kg]],0)</f>
        <v>0</v>
      </c>
      <c r="W544" s="322" cm="1">
        <f t="array" ref="W544">IFERROR(VLOOKUP(Calculations[[#This Row],[Waste 1]],WasteScenario[#All],5,FALSE)*'Stage assumptions'!$C$226*WasteTransportMethod[Emissions Factor
kgCO2e/kg.km]*Calculations[[#This Row],[Total Kg]],0)</f>
        <v>0</v>
      </c>
      <c r="X544" s="322">
        <f>SUM(Calculations[[#This Row],[C2 Recycle]:[C2 Reuse]])</f>
        <v>0</v>
      </c>
      <c r="Y544" t="str">
        <f>IFERROR(VLOOKUP(Calculations[[#This Row],[Material (choose from dropdown]],MaterialData[#All],5,FALSE),"")</f>
        <v/>
      </c>
      <c r="Z544" s="322">
        <f>IFERROR(((VLOOKUP(Calculations[[#This Row],[Waste type 2]],WasteDisposalEmissions[#All],2,FALSE))*Calculations[[#This Row],[Total Kg]])*VLOOKUP(Calculations[[#This Row],[Waste 1]],WasteScenario[#All],2,FALSE),0)</f>
        <v>0</v>
      </c>
      <c r="AA544" s="322">
        <f>IFERROR((VLOOKUP(Calculations[[#This Row],[Waste type 2]],WasteDisposalEmissions[#All],3,FALSE))*Calculations[[#This Row],[Total Kg]]*VLOOKUP(Calculations[[#This Row],[Waste 1]],WasteScenario[#All],3,FALSE),0)</f>
        <v>0</v>
      </c>
      <c r="AB544" s="322">
        <f>SUM(Calculations[[#This Row],[C3 recyc]:[C3 incin]])</f>
        <v>0</v>
      </c>
      <c r="AC544" s="334">
        <f>IFERROR((VLOOKUP(Calculations[[#This Row],[Waste type 2]],WasteLandfillEmissions[#All],2,FALSE))*Calculations[[#This Row],[Total Kg]]*VLOOKUP(Calculations[[#This Row],[Waste 1]],WasteScenario[#All],4,FALSE),0)</f>
        <v>0</v>
      </c>
      <c r="AD544" s="322">
        <f>IFERROR((VLOOKUP(Calculations[[#This Row],[Waste type 2]],WasteLandfillEmissions[#All],3,FALSE))*Calculations[[#This Row],[Total Kg]]*VLOOKUP(Calculations[[#This Row],[Waste 1]],WasteScenario[#All],4,FALSE),0)</f>
        <v>0</v>
      </c>
      <c r="AE544" s="322">
        <f>SUM(Calculations[[#This Row],[C4 landfill]:[C4 re-use]])</f>
        <v>0</v>
      </c>
      <c r="AF544" s="322">
        <f>IFERROR(VLOOKUP(Calculations[[#This Row],[Material (choose from dropdown]],MaterialData[#All],8,FALSE),0)</f>
        <v>0</v>
      </c>
      <c r="AG544" s="322">
        <f>IFERROR(Calculations[[#This Row],[Total Kg]]*Calculations[[#This Row],[Seq factor]],0)</f>
        <v>0</v>
      </c>
      <c r="AI544" s="322">
        <f>Calculations[[#This Row],[A1-3]]+Calculations[[#This Row],[A4]]+Calculations[[#This Row],[A5]]+Calculations[[#This Row],[B4]]+Calculations[[#This Row],[C2 total]]+Calculations[[#This Row],[C3 total]]+Calculations[[#This Row],[C4 total]]</f>
        <v>0</v>
      </c>
      <c r="AJ544" s="2">
        <f>IFERROR(VLOOKUP(Calculations[[#This Row],[Material (choose from dropdown]],MaterialData[[#Headers],[#Data]],9,FALSE),0)</f>
        <v>0</v>
      </c>
      <c r="AK544" s="4">
        <f>IFERROR(VLOOKUP(Calculations[[#This Row],[Material (choose from dropdown]],MaterialData[[#Headers],[#Data]],10,FALSE),0)</f>
        <v>0</v>
      </c>
      <c r="AL544" s="322">
        <f>IFERROR(Calculations[[#This Row],[Data Quality Score]]*Calculations[[#This Row],[Total Kg]],0)</f>
        <v>0</v>
      </c>
    </row>
    <row r="545" spans="1:38" x14ac:dyDescent="0.3">
      <c r="A545" s="6">
        <f>IFERROR(MaterialsBoQ[[#This Row],[Scope Element]],0)</f>
        <v>0</v>
      </c>
      <c r="B545" t="str">
        <f>IFERROR(MaterialsBoQ[[#This Row],[Material ]],"")</f>
        <v/>
      </c>
      <c r="C545" t="str">
        <f>IFERROR(MaterialsBoQ[[#This Row],[Unit]],"")</f>
        <v/>
      </c>
      <c r="D545" s="322">
        <f>IFERROR(MaterialsBoQ[[#This Row],[Number]],0)</f>
        <v>0</v>
      </c>
      <c r="E545" s="322">
        <f>IFERROR(MaterialsBoQ[[#This Row],[Kg per unit]],0)</f>
        <v>0</v>
      </c>
      <c r="F545" s="322">
        <f>IFERROR(Calculations[[#This Row],[Number]]*Calculations[[#This Row],[Conversion factor]],0)</f>
        <v>0</v>
      </c>
      <c r="G545" s="322">
        <f>IFERROR(VLOOKUP(Calculations[[#This Row],[Material (choose from dropdown]],MaterialData[#All],7,FALSE),0)</f>
        <v>0</v>
      </c>
      <c r="H545" s="322">
        <f>Calculations[[#This Row],[Total Kg]]*Calculations[[#This Row],[Carbon Factor]]</f>
        <v>0</v>
      </c>
      <c r="I545" t="str">
        <f>IFERROR(VLOOKUP(Calculations[[#This Row],[Material (choose from dropdown]],MaterialData[#All],2,FALSE),"")</f>
        <v/>
      </c>
      <c r="J545" s="322">
        <f>IFERROR(((VLOOKUP(Calculations[[#This Row],[TransportSource]],TransportDistance[],2,FALSE)*'Stage assumptions'!$C$11)+VLOOKUP(Calculations[[#This Row],[TransportSource]],TransportDistance[],3,FALSE)*'Stage assumptions'!$C$12)*Calculations[[#This Row],[Total Kg]],0)</f>
        <v>0</v>
      </c>
      <c r="K545">
        <f>IFERROR(VLOOKUP(Calculations[[#This Row],[Material (choose from dropdown]], MaterialData[#All],3, FALSE),0)</f>
        <v>0</v>
      </c>
      <c r="L545" s="322">
        <f>IFERROR(VLOOKUP(Calculations[[#This Row],[A5type]],A5WastageRate[#All],2,FALSE)*Calculations[[#This Row],[A1-3]],0)</f>
        <v>0</v>
      </c>
      <c r="N545">
        <f>IFERROR(ROUNDUP(50/VLOOKUP(Calculations[[#This Row],[Scope Element]],B4referenceServiceLife[[Tier 2 element]:[Default Service Life]],2, FALSE)-1,0),0)</f>
        <v>0</v>
      </c>
      <c r="O545" s="322">
        <f>IFERROR((Calculations[[#This Row],[A1-3]]+Calculations[[#This Row],[A4]]+Calculations[[#This Row],[A5]]+Calculations[[#This Row],[C2 total]]+Calculations[[#This Row],[C3 total]]+Calculations[[#This Row],[C4 total]])*Calculations[[#This Row],[Replacements]],0)</f>
        <v>0</v>
      </c>
      <c r="S545" t="str">
        <f>IFERROR(VLOOKUP(Calculations[[#This Row],[Material (choose from dropdown]],MaterialData[#All],4,FALSE),"")</f>
        <v/>
      </c>
      <c r="T545" s="322" cm="1">
        <f t="array" ref="T545">IFERROR(VLOOKUP(Calculations[[#This Row],[Waste 1]],WasteScenario[#All],2,FALSE)*'Stage assumptions'!$C$225*WasteTransportMethod[Emissions Factor
kgCO2e/kg.km]*Calculations[[#This Row],[Total Kg]],0)</f>
        <v>0</v>
      </c>
      <c r="U545" s="322" cm="1">
        <f t="array" ref="U545">IFERROR(VLOOKUP(Calculations[[#This Row],[Waste 1]],WasteScenario[#All],3,FALSE)*'Stage assumptions'!$C$224*WasteTransportMethod[Emissions Factor
kgCO2e/kg.km]*Calculations[[#This Row],[Total Kg]],0)</f>
        <v>0</v>
      </c>
      <c r="V545" s="322" cm="1">
        <f t="array" ref="V545">IFERROR(VLOOKUP(Calculations[[#This Row],[Waste 1]],WasteScenario[#All],4,FALSE)*'Stage assumptions'!$C$223*WasteTransportMethod[Emissions Factor
kgCO2e/kg.km]*Calculations[[#This Row],[Total Kg]],0)</f>
        <v>0</v>
      </c>
      <c r="W545" s="322" cm="1">
        <f t="array" ref="W545">IFERROR(VLOOKUP(Calculations[[#This Row],[Waste 1]],WasteScenario[#All],5,FALSE)*'Stage assumptions'!$C$226*WasteTransportMethod[Emissions Factor
kgCO2e/kg.km]*Calculations[[#This Row],[Total Kg]],0)</f>
        <v>0</v>
      </c>
      <c r="X545" s="322">
        <f>SUM(Calculations[[#This Row],[C2 Recycle]:[C2 Reuse]])</f>
        <v>0</v>
      </c>
      <c r="Y545" t="str">
        <f>IFERROR(VLOOKUP(Calculations[[#This Row],[Material (choose from dropdown]],MaterialData[#All],5,FALSE),"")</f>
        <v/>
      </c>
      <c r="Z545" s="322">
        <f>IFERROR(((VLOOKUP(Calculations[[#This Row],[Waste type 2]],WasteDisposalEmissions[#All],2,FALSE))*Calculations[[#This Row],[Total Kg]])*VLOOKUP(Calculations[[#This Row],[Waste 1]],WasteScenario[#All],2,FALSE),0)</f>
        <v>0</v>
      </c>
      <c r="AA545" s="322">
        <f>IFERROR((VLOOKUP(Calculations[[#This Row],[Waste type 2]],WasteDisposalEmissions[#All],3,FALSE))*Calculations[[#This Row],[Total Kg]]*VLOOKUP(Calculations[[#This Row],[Waste 1]],WasteScenario[#All],3,FALSE),0)</f>
        <v>0</v>
      </c>
      <c r="AB545" s="322">
        <f>SUM(Calculations[[#This Row],[C3 recyc]:[C3 incin]])</f>
        <v>0</v>
      </c>
      <c r="AC545" s="334">
        <f>IFERROR((VLOOKUP(Calculations[[#This Row],[Waste type 2]],WasteLandfillEmissions[#All],2,FALSE))*Calculations[[#This Row],[Total Kg]]*VLOOKUP(Calculations[[#This Row],[Waste 1]],WasteScenario[#All],4,FALSE),0)</f>
        <v>0</v>
      </c>
      <c r="AD545" s="322">
        <f>IFERROR((VLOOKUP(Calculations[[#This Row],[Waste type 2]],WasteLandfillEmissions[#All],3,FALSE))*Calculations[[#This Row],[Total Kg]]*VLOOKUP(Calculations[[#This Row],[Waste 1]],WasteScenario[#All],4,FALSE),0)</f>
        <v>0</v>
      </c>
      <c r="AE545" s="322">
        <f>SUM(Calculations[[#This Row],[C4 landfill]:[C4 re-use]])</f>
        <v>0</v>
      </c>
      <c r="AF545" s="322">
        <f>IFERROR(VLOOKUP(Calculations[[#This Row],[Material (choose from dropdown]],MaterialData[#All],8,FALSE),0)</f>
        <v>0</v>
      </c>
      <c r="AG545" s="322">
        <f>IFERROR(Calculations[[#This Row],[Total Kg]]*Calculations[[#This Row],[Seq factor]],0)</f>
        <v>0</v>
      </c>
      <c r="AI545" s="322">
        <f>Calculations[[#This Row],[A1-3]]+Calculations[[#This Row],[A4]]+Calculations[[#This Row],[A5]]+Calculations[[#This Row],[B4]]+Calculations[[#This Row],[C2 total]]+Calculations[[#This Row],[C3 total]]+Calculations[[#This Row],[C4 total]]</f>
        <v>0</v>
      </c>
      <c r="AJ545" s="2">
        <f>IFERROR(VLOOKUP(Calculations[[#This Row],[Material (choose from dropdown]],MaterialData[[#Headers],[#Data]],9,FALSE),0)</f>
        <v>0</v>
      </c>
      <c r="AK545" s="4">
        <f>IFERROR(VLOOKUP(Calculations[[#This Row],[Material (choose from dropdown]],MaterialData[[#Headers],[#Data]],10,FALSE),0)</f>
        <v>0</v>
      </c>
      <c r="AL545" s="322">
        <f>IFERROR(Calculations[[#This Row],[Data Quality Score]]*Calculations[[#This Row],[Total Kg]],0)</f>
        <v>0</v>
      </c>
    </row>
    <row r="546" spans="1:38" x14ac:dyDescent="0.3">
      <c r="A546" s="6">
        <f>IFERROR(MaterialsBoQ[[#This Row],[Scope Element]],0)</f>
        <v>0</v>
      </c>
      <c r="B546" t="str">
        <f>IFERROR(MaterialsBoQ[[#This Row],[Material ]],"")</f>
        <v/>
      </c>
      <c r="C546" t="str">
        <f>IFERROR(MaterialsBoQ[[#This Row],[Unit]],"")</f>
        <v/>
      </c>
      <c r="D546" s="322">
        <f>IFERROR(MaterialsBoQ[[#This Row],[Number]],0)</f>
        <v>0</v>
      </c>
      <c r="E546" s="322">
        <f>IFERROR(MaterialsBoQ[[#This Row],[Kg per unit]],0)</f>
        <v>0</v>
      </c>
      <c r="F546" s="322">
        <f>IFERROR(Calculations[[#This Row],[Number]]*Calculations[[#This Row],[Conversion factor]],0)</f>
        <v>0</v>
      </c>
      <c r="G546" s="322">
        <f>IFERROR(VLOOKUP(Calculations[[#This Row],[Material (choose from dropdown]],MaterialData[#All],7,FALSE),0)</f>
        <v>0</v>
      </c>
      <c r="H546" s="322">
        <f>Calculations[[#This Row],[Total Kg]]*Calculations[[#This Row],[Carbon Factor]]</f>
        <v>0</v>
      </c>
      <c r="I546" t="str">
        <f>IFERROR(VLOOKUP(Calculations[[#This Row],[Material (choose from dropdown]],MaterialData[#All],2,FALSE),"")</f>
        <v/>
      </c>
      <c r="J546" s="322">
        <f>IFERROR(((VLOOKUP(Calculations[[#This Row],[TransportSource]],TransportDistance[],2,FALSE)*'Stage assumptions'!$C$11)+VLOOKUP(Calculations[[#This Row],[TransportSource]],TransportDistance[],3,FALSE)*'Stage assumptions'!$C$12)*Calculations[[#This Row],[Total Kg]],0)</f>
        <v>0</v>
      </c>
      <c r="K546">
        <f>IFERROR(VLOOKUP(Calculations[[#This Row],[Material (choose from dropdown]], MaterialData[#All],3, FALSE),0)</f>
        <v>0</v>
      </c>
      <c r="L546" s="322">
        <f>IFERROR(VLOOKUP(Calculations[[#This Row],[A5type]],A5WastageRate[#All],2,FALSE)*Calculations[[#This Row],[A1-3]],0)</f>
        <v>0</v>
      </c>
      <c r="N546">
        <f>IFERROR(ROUNDUP(50/VLOOKUP(Calculations[[#This Row],[Scope Element]],B4referenceServiceLife[[Tier 2 element]:[Default Service Life]],2, FALSE)-1,0),0)</f>
        <v>0</v>
      </c>
      <c r="O546" s="322">
        <f>IFERROR((Calculations[[#This Row],[A1-3]]+Calculations[[#This Row],[A4]]+Calculations[[#This Row],[A5]]+Calculations[[#This Row],[C2 total]]+Calculations[[#This Row],[C3 total]]+Calculations[[#This Row],[C4 total]])*Calculations[[#This Row],[Replacements]],0)</f>
        <v>0</v>
      </c>
      <c r="S546" t="str">
        <f>IFERROR(VLOOKUP(Calculations[[#This Row],[Material (choose from dropdown]],MaterialData[#All],4,FALSE),"")</f>
        <v/>
      </c>
      <c r="T546" s="322" cm="1">
        <f t="array" ref="T546">IFERROR(VLOOKUP(Calculations[[#This Row],[Waste 1]],WasteScenario[#All],2,FALSE)*'Stage assumptions'!$C$225*WasteTransportMethod[Emissions Factor
kgCO2e/kg.km]*Calculations[[#This Row],[Total Kg]],0)</f>
        <v>0</v>
      </c>
      <c r="U546" s="322" cm="1">
        <f t="array" ref="U546">IFERROR(VLOOKUP(Calculations[[#This Row],[Waste 1]],WasteScenario[#All],3,FALSE)*'Stage assumptions'!$C$224*WasteTransportMethod[Emissions Factor
kgCO2e/kg.km]*Calculations[[#This Row],[Total Kg]],0)</f>
        <v>0</v>
      </c>
      <c r="V546" s="322" cm="1">
        <f t="array" ref="V546">IFERROR(VLOOKUP(Calculations[[#This Row],[Waste 1]],WasteScenario[#All],4,FALSE)*'Stage assumptions'!$C$223*WasteTransportMethod[Emissions Factor
kgCO2e/kg.km]*Calculations[[#This Row],[Total Kg]],0)</f>
        <v>0</v>
      </c>
      <c r="W546" s="322" cm="1">
        <f t="array" ref="W546">IFERROR(VLOOKUP(Calculations[[#This Row],[Waste 1]],WasteScenario[#All],5,FALSE)*'Stage assumptions'!$C$226*WasteTransportMethod[Emissions Factor
kgCO2e/kg.km]*Calculations[[#This Row],[Total Kg]],0)</f>
        <v>0</v>
      </c>
      <c r="X546" s="322">
        <f>SUM(Calculations[[#This Row],[C2 Recycle]:[C2 Reuse]])</f>
        <v>0</v>
      </c>
      <c r="Y546" t="str">
        <f>IFERROR(VLOOKUP(Calculations[[#This Row],[Material (choose from dropdown]],MaterialData[#All],5,FALSE),"")</f>
        <v/>
      </c>
      <c r="Z546" s="322">
        <f>IFERROR(((VLOOKUP(Calculations[[#This Row],[Waste type 2]],WasteDisposalEmissions[#All],2,FALSE))*Calculations[[#This Row],[Total Kg]])*VLOOKUP(Calculations[[#This Row],[Waste 1]],WasteScenario[#All],2,FALSE),0)</f>
        <v>0</v>
      </c>
      <c r="AA546" s="322">
        <f>IFERROR((VLOOKUP(Calculations[[#This Row],[Waste type 2]],WasteDisposalEmissions[#All],3,FALSE))*Calculations[[#This Row],[Total Kg]]*VLOOKUP(Calculations[[#This Row],[Waste 1]],WasteScenario[#All],3,FALSE),0)</f>
        <v>0</v>
      </c>
      <c r="AB546" s="322">
        <f>SUM(Calculations[[#This Row],[C3 recyc]:[C3 incin]])</f>
        <v>0</v>
      </c>
      <c r="AC546" s="334">
        <f>IFERROR((VLOOKUP(Calculations[[#This Row],[Waste type 2]],WasteLandfillEmissions[#All],2,FALSE))*Calculations[[#This Row],[Total Kg]]*VLOOKUP(Calculations[[#This Row],[Waste 1]],WasteScenario[#All],4,FALSE),0)</f>
        <v>0</v>
      </c>
      <c r="AD546" s="322">
        <f>IFERROR((VLOOKUP(Calculations[[#This Row],[Waste type 2]],WasteLandfillEmissions[#All],3,FALSE))*Calculations[[#This Row],[Total Kg]]*VLOOKUP(Calculations[[#This Row],[Waste 1]],WasteScenario[#All],4,FALSE),0)</f>
        <v>0</v>
      </c>
      <c r="AE546" s="322">
        <f>SUM(Calculations[[#This Row],[C4 landfill]:[C4 re-use]])</f>
        <v>0</v>
      </c>
      <c r="AF546" s="322">
        <f>IFERROR(VLOOKUP(Calculations[[#This Row],[Material (choose from dropdown]],MaterialData[#All],8,FALSE),0)</f>
        <v>0</v>
      </c>
      <c r="AG546" s="322">
        <f>IFERROR(Calculations[[#This Row],[Total Kg]]*Calculations[[#This Row],[Seq factor]],0)</f>
        <v>0</v>
      </c>
      <c r="AI546" s="322">
        <f>Calculations[[#This Row],[A1-3]]+Calculations[[#This Row],[A4]]+Calculations[[#This Row],[A5]]+Calculations[[#This Row],[B4]]+Calculations[[#This Row],[C2 total]]+Calculations[[#This Row],[C3 total]]+Calculations[[#This Row],[C4 total]]</f>
        <v>0</v>
      </c>
      <c r="AJ546" s="2">
        <f>IFERROR(VLOOKUP(Calculations[[#This Row],[Material (choose from dropdown]],MaterialData[[#Headers],[#Data]],9,FALSE),0)</f>
        <v>0</v>
      </c>
      <c r="AK546" s="4">
        <f>IFERROR(VLOOKUP(Calculations[[#This Row],[Material (choose from dropdown]],MaterialData[[#Headers],[#Data]],10,FALSE),0)</f>
        <v>0</v>
      </c>
      <c r="AL546" s="322">
        <f>IFERROR(Calculations[[#This Row],[Data Quality Score]]*Calculations[[#This Row],[Total Kg]],0)</f>
        <v>0</v>
      </c>
    </row>
    <row r="547" spans="1:38" x14ac:dyDescent="0.3">
      <c r="A547" s="6">
        <f>IFERROR(MaterialsBoQ[[#This Row],[Scope Element]],0)</f>
        <v>0</v>
      </c>
      <c r="B547" t="str">
        <f>IFERROR(MaterialsBoQ[[#This Row],[Material ]],"")</f>
        <v/>
      </c>
      <c r="C547" t="str">
        <f>IFERROR(MaterialsBoQ[[#This Row],[Unit]],"")</f>
        <v/>
      </c>
      <c r="D547" s="322">
        <f>IFERROR(MaterialsBoQ[[#This Row],[Number]],0)</f>
        <v>0</v>
      </c>
      <c r="E547" s="322">
        <f>IFERROR(MaterialsBoQ[[#This Row],[Kg per unit]],0)</f>
        <v>0</v>
      </c>
      <c r="F547" s="322">
        <f>IFERROR(Calculations[[#This Row],[Number]]*Calculations[[#This Row],[Conversion factor]],0)</f>
        <v>0</v>
      </c>
      <c r="G547" s="322">
        <f>IFERROR(VLOOKUP(Calculations[[#This Row],[Material (choose from dropdown]],MaterialData[#All],7,FALSE),0)</f>
        <v>0</v>
      </c>
      <c r="H547" s="322">
        <f>Calculations[[#This Row],[Total Kg]]*Calculations[[#This Row],[Carbon Factor]]</f>
        <v>0</v>
      </c>
      <c r="I547" t="str">
        <f>IFERROR(VLOOKUP(Calculations[[#This Row],[Material (choose from dropdown]],MaterialData[#All],2,FALSE),"")</f>
        <v/>
      </c>
      <c r="J547" s="322">
        <f>IFERROR(((VLOOKUP(Calculations[[#This Row],[TransportSource]],TransportDistance[],2,FALSE)*'Stage assumptions'!$C$11)+VLOOKUP(Calculations[[#This Row],[TransportSource]],TransportDistance[],3,FALSE)*'Stage assumptions'!$C$12)*Calculations[[#This Row],[Total Kg]],0)</f>
        <v>0</v>
      </c>
      <c r="K547">
        <f>IFERROR(VLOOKUP(Calculations[[#This Row],[Material (choose from dropdown]], MaterialData[#All],3, FALSE),0)</f>
        <v>0</v>
      </c>
      <c r="L547" s="322">
        <f>IFERROR(VLOOKUP(Calculations[[#This Row],[A5type]],A5WastageRate[#All],2,FALSE)*Calculations[[#This Row],[A1-3]],0)</f>
        <v>0</v>
      </c>
      <c r="N547">
        <f>IFERROR(ROUNDUP(50/VLOOKUP(Calculations[[#This Row],[Scope Element]],B4referenceServiceLife[[Tier 2 element]:[Default Service Life]],2, FALSE)-1,0),0)</f>
        <v>0</v>
      </c>
      <c r="O547" s="322">
        <f>IFERROR((Calculations[[#This Row],[A1-3]]+Calculations[[#This Row],[A4]]+Calculations[[#This Row],[A5]]+Calculations[[#This Row],[C2 total]]+Calculations[[#This Row],[C3 total]]+Calculations[[#This Row],[C4 total]])*Calculations[[#This Row],[Replacements]],0)</f>
        <v>0</v>
      </c>
      <c r="S547" t="str">
        <f>IFERROR(VLOOKUP(Calculations[[#This Row],[Material (choose from dropdown]],MaterialData[#All],4,FALSE),"")</f>
        <v/>
      </c>
      <c r="T547" s="322" cm="1">
        <f t="array" ref="T547">IFERROR(VLOOKUP(Calculations[[#This Row],[Waste 1]],WasteScenario[#All],2,FALSE)*'Stage assumptions'!$C$225*WasteTransportMethod[Emissions Factor
kgCO2e/kg.km]*Calculations[[#This Row],[Total Kg]],0)</f>
        <v>0</v>
      </c>
      <c r="U547" s="322" cm="1">
        <f t="array" ref="U547">IFERROR(VLOOKUP(Calculations[[#This Row],[Waste 1]],WasteScenario[#All],3,FALSE)*'Stage assumptions'!$C$224*WasteTransportMethod[Emissions Factor
kgCO2e/kg.km]*Calculations[[#This Row],[Total Kg]],0)</f>
        <v>0</v>
      </c>
      <c r="V547" s="322" cm="1">
        <f t="array" ref="V547">IFERROR(VLOOKUP(Calculations[[#This Row],[Waste 1]],WasteScenario[#All],4,FALSE)*'Stage assumptions'!$C$223*WasteTransportMethod[Emissions Factor
kgCO2e/kg.km]*Calculations[[#This Row],[Total Kg]],0)</f>
        <v>0</v>
      </c>
      <c r="W547" s="322" cm="1">
        <f t="array" ref="W547">IFERROR(VLOOKUP(Calculations[[#This Row],[Waste 1]],WasteScenario[#All],5,FALSE)*'Stage assumptions'!$C$226*WasteTransportMethod[Emissions Factor
kgCO2e/kg.km]*Calculations[[#This Row],[Total Kg]],0)</f>
        <v>0</v>
      </c>
      <c r="X547" s="322">
        <f>SUM(Calculations[[#This Row],[C2 Recycle]:[C2 Reuse]])</f>
        <v>0</v>
      </c>
      <c r="Y547" t="str">
        <f>IFERROR(VLOOKUP(Calculations[[#This Row],[Material (choose from dropdown]],MaterialData[#All],5,FALSE),"")</f>
        <v/>
      </c>
      <c r="Z547" s="322">
        <f>IFERROR(((VLOOKUP(Calculations[[#This Row],[Waste type 2]],WasteDisposalEmissions[#All],2,FALSE))*Calculations[[#This Row],[Total Kg]])*VLOOKUP(Calculations[[#This Row],[Waste 1]],WasteScenario[#All],2,FALSE),0)</f>
        <v>0</v>
      </c>
      <c r="AA547" s="322">
        <f>IFERROR((VLOOKUP(Calculations[[#This Row],[Waste type 2]],WasteDisposalEmissions[#All],3,FALSE))*Calculations[[#This Row],[Total Kg]]*VLOOKUP(Calculations[[#This Row],[Waste 1]],WasteScenario[#All],3,FALSE),0)</f>
        <v>0</v>
      </c>
      <c r="AB547" s="322">
        <f>SUM(Calculations[[#This Row],[C3 recyc]:[C3 incin]])</f>
        <v>0</v>
      </c>
      <c r="AC547" s="334">
        <f>IFERROR((VLOOKUP(Calculations[[#This Row],[Waste type 2]],WasteLandfillEmissions[#All],2,FALSE))*Calculations[[#This Row],[Total Kg]]*VLOOKUP(Calculations[[#This Row],[Waste 1]],WasteScenario[#All],4,FALSE),0)</f>
        <v>0</v>
      </c>
      <c r="AD547" s="322">
        <f>IFERROR((VLOOKUP(Calculations[[#This Row],[Waste type 2]],WasteLandfillEmissions[#All],3,FALSE))*Calculations[[#This Row],[Total Kg]]*VLOOKUP(Calculations[[#This Row],[Waste 1]],WasteScenario[#All],4,FALSE),0)</f>
        <v>0</v>
      </c>
      <c r="AE547" s="322">
        <f>SUM(Calculations[[#This Row],[C4 landfill]:[C4 re-use]])</f>
        <v>0</v>
      </c>
      <c r="AF547" s="322">
        <f>IFERROR(VLOOKUP(Calculations[[#This Row],[Material (choose from dropdown]],MaterialData[#All],8,FALSE),0)</f>
        <v>0</v>
      </c>
      <c r="AG547" s="322">
        <f>IFERROR(Calculations[[#This Row],[Total Kg]]*Calculations[[#This Row],[Seq factor]],0)</f>
        <v>0</v>
      </c>
      <c r="AI547" s="322">
        <f>Calculations[[#This Row],[A1-3]]+Calculations[[#This Row],[A4]]+Calculations[[#This Row],[A5]]+Calculations[[#This Row],[B4]]+Calculations[[#This Row],[C2 total]]+Calculations[[#This Row],[C3 total]]+Calculations[[#This Row],[C4 total]]</f>
        <v>0</v>
      </c>
      <c r="AJ547" s="2">
        <f>IFERROR(VLOOKUP(Calculations[[#This Row],[Material (choose from dropdown]],MaterialData[[#Headers],[#Data]],9,FALSE),0)</f>
        <v>0</v>
      </c>
      <c r="AK547" s="4">
        <f>IFERROR(VLOOKUP(Calculations[[#This Row],[Material (choose from dropdown]],MaterialData[[#Headers],[#Data]],10,FALSE),0)</f>
        <v>0</v>
      </c>
      <c r="AL547" s="322">
        <f>IFERROR(Calculations[[#This Row],[Data Quality Score]]*Calculations[[#This Row],[Total Kg]],0)</f>
        <v>0</v>
      </c>
    </row>
    <row r="548" spans="1:38" x14ac:dyDescent="0.3">
      <c r="A548" s="6">
        <f>IFERROR(MaterialsBoQ[[#This Row],[Scope Element]],0)</f>
        <v>0</v>
      </c>
      <c r="B548" t="str">
        <f>IFERROR(MaterialsBoQ[[#This Row],[Material ]],"")</f>
        <v/>
      </c>
      <c r="C548" t="str">
        <f>IFERROR(MaterialsBoQ[[#This Row],[Unit]],"")</f>
        <v/>
      </c>
      <c r="D548" s="322">
        <f>IFERROR(MaterialsBoQ[[#This Row],[Number]],0)</f>
        <v>0</v>
      </c>
      <c r="E548" s="322">
        <f>IFERROR(MaterialsBoQ[[#This Row],[Kg per unit]],0)</f>
        <v>0</v>
      </c>
      <c r="F548" s="322">
        <f>IFERROR(Calculations[[#This Row],[Number]]*Calculations[[#This Row],[Conversion factor]],0)</f>
        <v>0</v>
      </c>
      <c r="G548" s="322">
        <f>IFERROR(VLOOKUP(Calculations[[#This Row],[Material (choose from dropdown]],MaterialData[#All],7,FALSE),0)</f>
        <v>0</v>
      </c>
      <c r="H548" s="322">
        <f>Calculations[[#This Row],[Total Kg]]*Calculations[[#This Row],[Carbon Factor]]</f>
        <v>0</v>
      </c>
      <c r="I548" t="str">
        <f>IFERROR(VLOOKUP(Calculations[[#This Row],[Material (choose from dropdown]],MaterialData[#All],2,FALSE),"")</f>
        <v/>
      </c>
      <c r="J548" s="322">
        <f>IFERROR(((VLOOKUP(Calculations[[#This Row],[TransportSource]],TransportDistance[],2,FALSE)*'Stage assumptions'!$C$11)+VLOOKUP(Calculations[[#This Row],[TransportSource]],TransportDistance[],3,FALSE)*'Stage assumptions'!$C$12)*Calculations[[#This Row],[Total Kg]],0)</f>
        <v>0</v>
      </c>
      <c r="K548">
        <f>IFERROR(VLOOKUP(Calculations[[#This Row],[Material (choose from dropdown]], MaterialData[#All],3, FALSE),0)</f>
        <v>0</v>
      </c>
      <c r="L548" s="322">
        <f>IFERROR(VLOOKUP(Calculations[[#This Row],[A5type]],A5WastageRate[#All],2,FALSE)*Calculations[[#This Row],[A1-3]],0)</f>
        <v>0</v>
      </c>
      <c r="N548">
        <f>IFERROR(ROUNDUP(50/VLOOKUP(Calculations[[#This Row],[Scope Element]],B4referenceServiceLife[[Tier 2 element]:[Default Service Life]],2, FALSE)-1,0),0)</f>
        <v>0</v>
      </c>
      <c r="O548" s="322">
        <f>IFERROR((Calculations[[#This Row],[A1-3]]+Calculations[[#This Row],[A4]]+Calculations[[#This Row],[A5]]+Calculations[[#This Row],[C2 total]]+Calculations[[#This Row],[C3 total]]+Calculations[[#This Row],[C4 total]])*Calculations[[#This Row],[Replacements]],0)</f>
        <v>0</v>
      </c>
      <c r="S548" t="str">
        <f>IFERROR(VLOOKUP(Calculations[[#This Row],[Material (choose from dropdown]],MaterialData[#All],4,FALSE),"")</f>
        <v/>
      </c>
      <c r="T548" s="322" cm="1">
        <f t="array" ref="T548">IFERROR(VLOOKUP(Calculations[[#This Row],[Waste 1]],WasteScenario[#All],2,FALSE)*'Stage assumptions'!$C$225*WasteTransportMethod[Emissions Factor
kgCO2e/kg.km]*Calculations[[#This Row],[Total Kg]],0)</f>
        <v>0</v>
      </c>
      <c r="U548" s="322" cm="1">
        <f t="array" ref="U548">IFERROR(VLOOKUP(Calculations[[#This Row],[Waste 1]],WasteScenario[#All],3,FALSE)*'Stage assumptions'!$C$224*WasteTransportMethod[Emissions Factor
kgCO2e/kg.km]*Calculations[[#This Row],[Total Kg]],0)</f>
        <v>0</v>
      </c>
      <c r="V548" s="322" cm="1">
        <f t="array" ref="V548">IFERROR(VLOOKUP(Calculations[[#This Row],[Waste 1]],WasteScenario[#All],4,FALSE)*'Stage assumptions'!$C$223*WasteTransportMethod[Emissions Factor
kgCO2e/kg.km]*Calculations[[#This Row],[Total Kg]],0)</f>
        <v>0</v>
      </c>
      <c r="W548" s="322" cm="1">
        <f t="array" ref="W548">IFERROR(VLOOKUP(Calculations[[#This Row],[Waste 1]],WasteScenario[#All],5,FALSE)*'Stage assumptions'!$C$226*WasteTransportMethod[Emissions Factor
kgCO2e/kg.km]*Calculations[[#This Row],[Total Kg]],0)</f>
        <v>0</v>
      </c>
      <c r="X548" s="322">
        <f>SUM(Calculations[[#This Row],[C2 Recycle]:[C2 Reuse]])</f>
        <v>0</v>
      </c>
      <c r="Y548" t="str">
        <f>IFERROR(VLOOKUP(Calculations[[#This Row],[Material (choose from dropdown]],MaterialData[#All],5,FALSE),"")</f>
        <v/>
      </c>
      <c r="Z548" s="322">
        <f>IFERROR(((VLOOKUP(Calculations[[#This Row],[Waste type 2]],WasteDisposalEmissions[#All],2,FALSE))*Calculations[[#This Row],[Total Kg]])*VLOOKUP(Calculations[[#This Row],[Waste 1]],WasteScenario[#All],2,FALSE),0)</f>
        <v>0</v>
      </c>
      <c r="AA548" s="322">
        <f>IFERROR((VLOOKUP(Calculations[[#This Row],[Waste type 2]],WasteDisposalEmissions[#All],3,FALSE))*Calculations[[#This Row],[Total Kg]]*VLOOKUP(Calculations[[#This Row],[Waste 1]],WasteScenario[#All],3,FALSE),0)</f>
        <v>0</v>
      </c>
      <c r="AB548" s="322">
        <f>SUM(Calculations[[#This Row],[C3 recyc]:[C3 incin]])</f>
        <v>0</v>
      </c>
      <c r="AC548" s="334">
        <f>IFERROR((VLOOKUP(Calculations[[#This Row],[Waste type 2]],WasteLandfillEmissions[#All],2,FALSE))*Calculations[[#This Row],[Total Kg]]*VLOOKUP(Calculations[[#This Row],[Waste 1]],WasteScenario[#All],4,FALSE),0)</f>
        <v>0</v>
      </c>
      <c r="AD548" s="322">
        <f>IFERROR((VLOOKUP(Calculations[[#This Row],[Waste type 2]],WasteLandfillEmissions[#All],3,FALSE))*Calculations[[#This Row],[Total Kg]]*VLOOKUP(Calculations[[#This Row],[Waste 1]],WasteScenario[#All],4,FALSE),0)</f>
        <v>0</v>
      </c>
      <c r="AE548" s="322">
        <f>SUM(Calculations[[#This Row],[C4 landfill]:[C4 re-use]])</f>
        <v>0</v>
      </c>
      <c r="AF548" s="322">
        <f>IFERROR(VLOOKUP(Calculations[[#This Row],[Material (choose from dropdown]],MaterialData[#All],8,FALSE),0)</f>
        <v>0</v>
      </c>
      <c r="AG548" s="322">
        <f>IFERROR(Calculations[[#This Row],[Total Kg]]*Calculations[[#This Row],[Seq factor]],0)</f>
        <v>0</v>
      </c>
      <c r="AI548" s="322">
        <f>Calculations[[#This Row],[A1-3]]+Calculations[[#This Row],[A4]]+Calculations[[#This Row],[A5]]+Calculations[[#This Row],[B4]]+Calculations[[#This Row],[C2 total]]+Calculations[[#This Row],[C3 total]]+Calculations[[#This Row],[C4 total]]</f>
        <v>0</v>
      </c>
      <c r="AJ548" s="2">
        <f>IFERROR(VLOOKUP(Calculations[[#This Row],[Material (choose from dropdown]],MaterialData[[#Headers],[#Data]],9,FALSE),0)</f>
        <v>0</v>
      </c>
      <c r="AK548" s="4">
        <f>IFERROR(VLOOKUP(Calculations[[#This Row],[Material (choose from dropdown]],MaterialData[[#Headers],[#Data]],10,FALSE),0)</f>
        <v>0</v>
      </c>
      <c r="AL548" s="322">
        <f>IFERROR(Calculations[[#This Row],[Data Quality Score]]*Calculations[[#This Row],[Total Kg]],0)</f>
        <v>0</v>
      </c>
    </row>
    <row r="549" spans="1:38" x14ac:dyDescent="0.3">
      <c r="A549" s="6">
        <f>IFERROR(MaterialsBoQ[[#This Row],[Scope Element]],0)</f>
        <v>0</v>
      </c>
      <c r="B549" t="str">
        <f>IFERROR(MaterialsBoQ[[#This Row],[Material ]],"")</f>
        <v/>
      </c>
      <c r="C549" t="str">
        <f>IFERROR(MaterialsBoQ[[#This Row],[Unit]],"")</f>
        <v/>
      </c>
      <c r="D549" s="322">
        <f>IFERROR(MaterialsBoQ[[#This Row],[Number]],0)</f>
        <v>0</v>
      </c>
      <c r="E549" s="322">
        <f>IFERROR(MaterialsBoQ[[#This Row],[Kg per unit]],0)</f>
        <v>0</v>
      </c>
      <c r="F549" s="322">
        <f>IFERROR(Calculations[[#This Row],[Number]]*Calculations[[#This Row],[Conversion factor]],0)</f>
        <v>0</v>
      </c>
      <c r="G549" s="322">
        <f>IFERROR(VLOOKUP(Calculations[[#This Row],[Material (choose from dropdown]],MaterialData[#All],7,FALSE),0)</f>
        <v>0</v>
      </c>
      <c r="H549" s="322">
        <f>Calculations[[#This Row],[Total Kg]]*Calculations[[#This Row],[Carbon Factor]]</f>
        <v>0</v>
      </c>
      <c r="I549" t="str">
        <f>IFERROR(VLOOKUP(Calculations[[#This Row],[Material (choose from dropdown]],MaterialData[#All],2,FALSE),"")</f>
        <v/>
      </c>
      <c r="J549" s="322">
        <f>IFERROR(((VLOOKUP(Calculations[[#This Row],[TransportSource]],TransportDistance[],2,FALSE)*'Stage assumptions'!$C$11)+VLOOKUP(Calculations[[#This Row],[TransportSource]],TransportDistance[],3,FALSE)*'Stage assumptions'!$C$12)*Calculations[[#This Row],[Total Kg]],0)</f>
        <v>0</v>
      </c>
      <c r="K549">
        <f>IFERROR(VLOOKUP(Calculations[[#This Row],[Material (choose from dropdown]], MaterialData[#All],3, FALSE),0)</f>
        <v>0</v>
      </c>
      <c r="L549" s="322">
        <f>IFERROR(VLOOKUP(Calculations[[#This Row],[A5type]],A5WastageRate[#All],2,FALSE)*Calculations[[#This Row],[A1-3]],0)</f>
        <v>0</v>
      </c>
      <c r="N549">
        <f>IFERROR(ROUNDUP(50/VLOOKUP(Calculations[[#This Row],[Scope Element]],B4referenceServiceLife[[Tier 2 element]:[Default Service Life]],2, FALSE)-1,0),0)</f>
        <v>0</v>
      </c>
      <c r="O549" s="322">
        <f>IFERROR((Calculations[[#This Row],[A1-3]]+Calculations[[#This Row],[A4]]+Calculations[[#This Row],[A5]]+Calculations[[#This Row],[C2 total]]+Calculations[[#This Row],[C3 total]]+Calculations[[#This Row],[C4 total]])*Calculations[[#This Row],[Replacements]],0)</f>
        <v>0</v>
      </c>
      <c r="S549" t="str">
        <f>IFERROR(VLOOKUP(Calculations[[#This Row],[Material (choose from dropdown]],MaterialData[#All],4,FALSE),"")</f>
        <v/>
      </c>
      <c r="T549" s="322" cm="1">
        <f t="array" ref="T549">IFERROR(VLOOKUP(Calculations[[#This Row],[Waste 1]],WasteScenario[#All],2,FALSE)*'Stage assumptions'!$C$225*WasteTransportMethod[Emissions Factor
kgCO2e/kg.km]*Calculations[[#This Row],[Total Kg]],0)</f>
        <v>0</v>
      </c>
      <c r="U549" s="322" cm="1">
        <f t="array" ref="U549">IFERROR(VLOOKUP(Calculations[[#This Row],[Waste 1]],WasteScenario[#All],3,FALSE)*'Stage assumptions'!$C$224*WasteTransportMethod[Emissions Factor
kgCO2e/kg.km]*Calculations[[#This Row],[Total Kg]],0)</f>
        <v>0</v>
      </c>
      <c r="V549" s="322" cm="1">
        <f t="array" ref="V549">IFERROR(VLOOKUP(Calculations[[#This Row],[Waste 1]],WasteScenario[#All],4,FALSE)*'Stage assumptions'!$C$223*WasteTransportMethod[Emissions Factor
kgCO2e/kg.km]*Calculations[[#This Row],[Total Kg]],0)</f>
        <v>0</v>
      </c>
      <c r="W549" s="322" cm="1">
        <f t="array" ref="W549">IFERROR(VLOOKUP(Calculations[[#This Row],[Waste 1]],WasteScenario[#All],5,FALSE)*'Stage assumptions'!$C$226*WasteTransportMethod[Emissions Factor
kgCO2e/kg.km]*Calculations[[#This Row],[Total Kg]],0)</f>
        <v>0</v>
      </c>
      <c r="X549" s="322">
        <f>SUM(Calculations[[#This Row],[C2 Recycle]:[C2 Reuse]])</f>
        <v>0</v>
      </c>
      <c r="Y549" t="str">
        <f>IFERROR(VLOOKUP(Calculations[[#This Row],[Material (choose from dropdown]],MaterialData[#All],5,FALSE),"")</f>
        <v/>
      </c>
      <c r="Z549" s="322">
        <f>IFERROR(((VLOOKUP(Calculations[[#This Row],[Waste type 2]],WasteDisposalEmissions[#All],2,FALSE))*Calculations[[#This Row],[Total Kg]])*VLOOKUP(Calculations[[#This Row],[Waste 1]],WasteScenario[#All],2,FALSE),0)</f>
        <v>0</v>
      </c>
      <c r="AA549" s="322">
        <f>IFERROR((VLOOKUP(Calculations[[#This Row],[Waste type 2]],WasteDisposalEmissions[#All],3,FALSE))*Calculations[[#This Row],[Total Kg]]*VLOOKUP(Calculations[[#This Row],[Waste 1]],WasteScenario[#All],3,FALSE),0)</f>
        <v>0</v>
      </c>
      <c r="AB549" s="322">
        <f>SUM(Calculations[[#This Row],[C3 recyc]:[C3 incin]])</f>
        <v>0</v>
      </c>
      <c r="AC549" s="334">
        <f>IFERROR((VLOOKUP(Calculations[[#This Row],[Waste type 2]],WasteLandfillEmissions[#All],2,FALSE))*Calculations[[#This Row],[Total Kg]]*VLOOKUP(Calculations[[#This Row],[Waste 1]],WasteScenario[#All],4,FALSE),0)</f>
        <v>0</v>
      </c>
      <c r="AD549" s="322">
        <f>IFERROR((VLOOKUP(Calculations[[#This Row],[Waste type 2]],WasteLandfillEmissions[#All],3,FALSE))*Calculations[[#This Row],[Total Kg]]*VLOOKUP(Calculations[[#This Row],[Waste 1]],WasteScenario[#All],4,FALSE),0)</f>
        <v>0</v>
      </c>
      <c r="AE549" s="322">
        <f>SUM(Calculations[[#This Row],[C4 landfill]:[C4 re-use]])</f>
        <v>0</v>
      </c>
      <c r="AF549" s="322">
        <f>IFERROR(VLOOKUP(Calculations[[#This Row],[Material (choose from dropdown]],MaterialData[#All],8,FALSE),0)</f>
        <v>0</v>
      </c>
      <c r="AG549" s="322">
        <f>IFERROR(Calculations[[#This Row],[Total Kg]]*Calculations[[#This Row],[Seq factor]],0)</f>
        <v>0</v>
      </c>
      <c r="AI549" s="322">
        <f>Calculations[[#This Row],[A1-3]]+Calculations[[#This Row],[A4]]+Calculations[[#This Row],[A5]]+Calculations[[#This Row],[B4]]+Calculations[[#This Row],[C2 total]]+Calculations[[#This Row],[C3 total]]+Calculations[[#This Row],[C4 total]]</f>
        <v>0</v>
      </c>
      <c r="AJ549" s="2">
        <f>IFERROR(VLOOKUP(Calculations[[#This Row],[Material (choose from dropdown]],MaterialData[[#Headers],[#Data]],9,FALSE),0)</f>
        <v>0</v>
      </c>
      <c r="AK549" s="4">
        <f>IFERROR(VLOOKUP(Calculations[[#This Row],[Material (choose from dropdown]],MaterialData[[#Headers],[#Data]],10,FALSE),0)</f>
        <v>0</v>
      </c>
      <c r="AL549" s="322">
        <f>IFERROR(Calculations[[#This Row],[Data Quality Score]]*Calculations[[#This Row],[Total Kg]],0)</f>
        <v>0</v>
      </c>
    </row>
    <row r="550" spans="1:38" x14ac:dyDescent="0.3">
      <c r="A550" s="6">
        <f>IFERROR(MaterialsBoQ[[#This Row],[Scope Element]],0)</f>
        <v>0</v>
      </c>
      <c r="B550" t="str">
        <f>IFERROR(MaterialsBoQ[[#This Row],[Material ]],"")</f>
        <v/>
      </c>
      <c r="C550" t="str">
        <f>IFERROR(MaterialsBoQ[[#This Row],[Unit]],"")</f>
        <v/>
      </c>
      <c r="D550" s="322">
        <f>IFERROR(MaterialsBoQ[[#This Row],[Number]],0)</f>
        <v>0</v>
      </c>
      <c r="E550" s="322">
        <f>IFERROR(MaterialsBoQ[[#This Row],[Kg per unit]],0)</f>
        <v>0</v>
      </c>
      <c r="F550" s="322">
        <f>IFERROR(Calculations[[#This Row],[Number]]*Calculations[[#This Row],[Conversion factor]],0)</f>
        <v>0</v>
      </c>
      <c r="G550" s="322">
        <f>IFERROR(VLOOKUP(Calculations[[#This Row],[Material (choose from dropdown]],MaterialData[#All],7,FALSE),0)</f>
        <v>0</v>
      </c>
      <c r="H550" s="322">
        <f>Calculations[[#This Row],[Total Kg]]*Calculations[[#This Row],[Carbon Factor]]</f>
        <v>0</v>
      </c>
      <c r="I550" t="str">
        <f>IFERROR(VLOOKUP(Calculations[[#This Row],[Material (choose from dropdown]],MaterialData[#All],2,FALSE),"")</f>
        <v/>
      </c>
      <c r="J550" s="322">
        <f>IFERROR(((VLOOKUP(Calculations[[#This Row],[TransportSource]],TransportDistance[],2,FALSE)*'Stage assumptions'!$C$11)+VLOOKUP(Calculations[[#This Row],[TransportSource]],TransportDistance[],3,FALSE)*'Stage assumptions'!$C$12)*Calculations[[#This Row],[Total Kg]],0)</f>
        <v>0</v>
      </c>
      <c r="K550">
        <f>IFERROR(VLOOKUP(Calculations[[#This Row],[Material (choose from dropdown]], MaterialData[#All],3, FALSE),0)</f>
        <v>0</v>
      </c>
      <c r="L550" s="322">
        <f>IFERROR(VLOOKUP(Calculations[[#This Row],[A5type]],A5WastageRate[#All],2,FALSE)*Calculations[[#This Row],[A1-3]],0)</f>
        <v>0</v>
      </c>
      <c r="N550">
        <f>IFERROR(ROUNDUP(50/VLOOKUP(Calculations[[#This Row],[Scope Element]],B4referenceServiceLife[[Tier 2 element]:[Default Service Life]],2, FALSE)-1,0),0)</f>
        <v>0</v>
      </c>
      <c r="O550" s="322">
        <f>IFERROR((Calculations[[#This Row],[A1-3]]+Calculations[[#This Row],[A4]]+Calculations[[#This Row],[A5]]+Calculations[[#This Row],[C2 total]]+Calculations[[#This Row],[C3 total]]+Calculations[[#This Row],[C4 total]])*Calculations[[#This Row],[Replacements]],0)</f>
        <v>0</v>
      </c>
      <c r="S550" t="str">
        <f>IFERROR(VLOOKUP(Calculations[[#This Row],[Material (choose from dropdown]],MaterialData[#All],4,FALSE),"")</f>
        <v/>
      </c>
      <c r="T550" s="322" cm="1">
        <f t="array" ref="T550">IFERROR(VLOOKUP(Calculations[[#This Row],[Waste 1]],WasteScenario[#All],2,FALSE)*'Stage assumptions'!$C$225*WasteTransportMethod[Emissions Factor
kgCO2e/kg.km]*Calculations[[#This Row],[Total Kg]],0)</f>
        <v>0</v>
      </c>
      <c r="U550" s="322" cm="1">
        <f t="array" ref="U550">IFERROR(VLOOKUP(Calculations[[#This Row],[Waste 1]],WasteScenario[#All],3,FALSE)*'Stage assumptions'!$C$224*WasteTransportMethod[Emissions Factor
kgCO2e/kg.km]*Calculations[[#This Row],[Total Kg]],0)</f>
        <v>0</v>
      </c>
      <c r="V550" s="322" cm="1">
        <f t="array" ref="V550">IFERROR(VLOOKUP(Calculations[[#This Row],[Waste 1]],WasteScenario[#All],4,FALSE)*'Stage assumptions'!$C$223*WasteTransportMethod[Emissions Factor
kgCO2e/kg.km]*Calculations[[#This Row],[Total Kg]],0)</f>
        <v>0</v>
      </c>
      <c r="W550" s="322" cm="1">
        <f t="array" ref="W550">IFERROR(VLOOKUP(Calculations[[#This Row],[Waste 1]],WasteScenario[#All],5,FALSE)*'Stage assumptions'!$C$226*WasteTransportMethod[Emissions Factor
kgCO2e/kg.km]*Calculations[[#This Row],[Total Kg]],0)</f>
        <v>0</v>
      </c>
      <c r="X550" s="322">
        <f>SUM(Calculations[[#This Row],[C2 Recycle]:[C2 Reuse]])</f>
        <v>0</v>
      </c>
      <c r="Y550" t="str">
        <f>IFERROR(VLOOKUP(Calculations[[#This Row],[Material (choose from dropdown]],MaterialData[#All],5,FALSE),"")</f>
        <v/>
      </c>
      <c r="Z550" s="322">
        <f>IFERROR(((VLOOKUP(Calculations[[#This Row],[Waste type 2]],WasteDisposalEmissions[#All],2,FALSE))*Calculations[[#This Row],[Total Kg]])*VLOOKUP(Calculations[[#This Row],[Waste 1]],WasteScenario[#All],2,FALSE),0)</f>
        <v>0</v>
      </c>
      <c r="AA550" s="322">
        <f>IFERROR((VLOOKUP(Calculations[[#This Row],[Waste type 2]],WasteDisposalEmissions[#All],3,FALSE))*Calculations[[#This Row],[Total Kg]]*VLOOKUP(Calculations[[#This Row],[Waste 1]],WasteScenario[#All],3,FALSE),0)</f>
        <v>0</v>
      </c>
      <c r="AB550" s="322">
        <f>SUM(Calculations[[#This Row],[C3 recyc]:[C3 incin]])</f>
        <v>0</v>
      </c>
      <c r="AC550" s="334">
        <f>IFERROR((VLOOKUP(Calculations[[#This Row],[Waste type 2]],WasteLandfillEmissions[#All],2,FALSE))*Calculations[[#This Row],[Total Kg]]*VLOOKUP(Calculations[[#This Row],[Waste 1]],WasteScenario[#All],4,FALSE),0)</f>
        <v>0</v>
      </c>
      <c r="AD550" s="322">
        <f>IFERROR((VLOOKUP(Calculations[[#This Row],[Waste type 2]],WasteLandfillEmissions[#All],3,FALSE))*Calculations[[#This Row],[Total Kg]]*VLOOKUP(Calculations[[#This Row],[Waste 1]],WasteScenario[#All],4,FALSE),0)</f>
        <v>0</v>
      </c>
      <c r="AE550" s="322">
        <f>SUM(Calculations[[#This Row],[C4 landfill]:[C4 re-use]])</f>
        <v>0</v>
      </c>
      <c r="AF550" s="322">
        <f>IFERROR(VLOOKUP(Calculations[[#This Row],[Material (choose from dropdown]],MaterialData[#All],8,FALSE),0)</f>
        <v>0</v>
      </c>
      <c r="AG550" s="322">
        <f>IFERROR(Calculations[[#This Row],[Total Kg]]*Calculations[[#This Row],[Seq factor]],0)</f>
        <v>0</v>
      </c>
      <c r="AI550" s="322">
        <f>Calculations[[#This Row],[A1-3]]+Calculations[[#This Row],[A4]]+Calculations[[#This Row],[A5]]+Calculations[[#This Row],[B4]]+Calculations[[#This Row],[C2 total]]+Calculations[[#This Row],[C3 total]]+Calculations[[#This Row],[C4 total]]</f>
        <v>0</v>
      </c>
      <c r="AJ550" s="2">
        <f>IFERROR(VLOOKUP(Calculations[[#This Row],[Material (choose from dropdown]],MaterialData[[#Headers],[#Data]],9,FALSE),0)</f>
        <v>0</v>
      </c>
      <c r="AK550" s="4">
        <f>IFERROR(VLOOKUP(Calculations[[#This Row],[Material (choose from dropdown]],MaterialData[[#Headers],[#Data]],10,FALSE),0)</f>
        <v>0</v>
      </c>
      <c r="AL550" s="322">
        <f>IFERROR(Calculations[[#This Row],[Data Quality Score]]*Calculations[[#This Row],[Total Kg]],0)</f>
        <v>0</v>
      </c>
    </row>
    <row r="551" spans="1:38" x14ac:dyDescent="0.3">
      <c r="A551" s="6">
        <f>IFERROR(MaterialsBoQ[[#This Row],[Scope Element]],0)</f>
        <v>0</v>
      </c>
      <c r="B551" t="str">
        <f>IFERROR(MaterialsBoQ[[#This Row],[Material ]],"")</f>
        <v/>
      </c>
      <c r="C551" t="str">
        <f>IFERROR(MaterialsBoQ[[#This Row],[Unit]],"")</f>
        <v/>
      </c>
      <c r="D551" s="322">
        <f>IFERROR(MaterialsBoQ[[#This Row],[Number]],0)</f>
        <v>0</v>
      </c>
      <c r="E551" s="322">
        <f>IFERROR(MaterialsBoQ[[#This Row],[Kg per unit]],0)</f>
        <v>0</v>
      </c>
      <c r="F551" s="322">
        <f>IFERROR(Calculations[[#This Row],[Number]]*Calculations[[#This Row],[Conversion factor]],0)</f>
        <v>0</v>
      </c>
      <c r="G551" s="322">
        <f>IFERROR(VLOOKUP(Calculations[[#This Row],[Material (choose from dropdown]],MaterialData[#All],7,FALSE),0)</f>
        <v>0</v>
      </c>
      <c r="H551" s="322">
        <f>Calculations[[#This Row],[Total Kg]]*Calculations[[#This Row],[Carbon Factor]]</f>
        <v>0</v>
      </c>
      <c r="I551" t="str">
        <f>IFERROR(VLOOKUP(Calculations[[#This Row],[Material (choose from dropdown]],MaterialData[#All],2,FALSE),"")</f>
        <v/>
      </c>
      <c r="J551" s="322">
        <f>IFERROR(((VLOOKUP(Calculations[[#This Row],[TransportSource]],TransportDistance[],2,FALSE)*'Stage assumptions'!$C$11)+VLOOKUP(Calculations[[#This Row],[TransportSource]],TransportDistance[],3,FALSE)*'Stage assumptions'!$C$12)*Calculations[[#This Row],[Total Kg]],0)</f>
        <v>0</v>
      </c>
      <c r="K551">
        <f>IFERROR(VLOOKUP(Calculations[[#This Row],[Material (choose from dropdown]], MaterialData[#All],3, FALSE),0)</f>
        <v>0</v>
      </c>
      <c r="L551" s="322">
        <f>IFERROR(VLOOKUP(Calculations[[#This Row],[A5type]],A5WastageRate[#All],2,FALSE)*Calculations[[#This Row],[A1-3]],0)</f>
        <v>0</v>
      </c>
      <c r="N551">
        <f>IFERROR(ROUNDUP(50/VLOOKUP(Calculations[[#This Row],[Scope Element]],B4referenceServiceLife[[Tier 2 element]:[Default Service Life]],2, FALSE)-1,0),0)</f>
        <v>0</v>
      </c>
      <c r="O551" s="322">
        <f>IFERROR((Calculations[[#This Row],[A1-3]]+Calculations[[#This Row],[A4]]+Calculations[[#This Row],[A5]]+Calculations[[#This Row],[C2 total]]+Calculations[[#This Row],[C3 total]]+Calculations[[#This Row],[C4 total]])*Calculations[[#This Row],[Replacements]],0)</f>
        <v>0</v>
      </c>
      <c r="S551" t="str">
        <f>IFERROR(VLOOKUP(Calculations[[#This Row],[Material (choose from dropdown]],MaterialData[#All],4,FALSE),"")</f>
        <v/>
      </c>
      <c r="T551" s="322" cm="1">
        <f t="array" ref="T551">IFERROR(VLOOKUP(Calculations[[#This Row],[Waste 1]],WasteScenario[#All],2,FALSE)*'Stage assumptions'!$C$225*WasteTransportMethod[Emissions Factor
kgCO2e/kg.km]*Calculations[[#This Row],[Total Kg]],0)</f>
        <v>0</v>
      </c>
      <c r="U551" s="322" cm="1">
        <f t="array" ref="U551">IFERROR(VLOOKUP(Calculations[[#This Row],[Waste 1]],WasteScenario[#All],3,FALSE)*'Stage assumptions'!$C$224*WasteTransportMethod[Emissions Factor
kgCO2e/kg.km]*Calculations[[#This Row],[Total Kg]],0)</f>
        <v>0</v>
      </c>
      <c r="V551" s="322" cm="1">
        <f t="array" ref="V551">IFERROR(VLOOKUP(Calculations[[#This Row],[Waste 1]],WasteScenario[#All],4,FALSE)*'Stage assumptions'!$C$223*WasteTransportMethod[Emissions Factor
kgCO2e/kg.km]*Calculations[[#This Row],[Total Kg]],0)</f>
        <v>0</v>
      </c>
      <c r="W551" s="322" cm="1">
        <f t="array" ref="W551">IFERROR(VLOOKUP(Calculations[[#This Row],[Waste 1]],WasteScenario[#All],5,FALSE)*'Stage assumptions'!$C$226*WasteTransportMethod[Emissions Factor
kgCO2e/kg.km]*Calculations[[#This Row],[Total Kg]],0)</f>
        <v>0</v>
      </c>
      <c r="X551" s="322">
        <f>SUM(Calculations[[#This Row],[C2 Recycle]:[C2 Reuse]])</f>
        <v>0</v>
      </c>
      <c r="Y551" t="str">
        <f>IFERROR(VLOOKUP(Calculations[[#This Row],[Material (choose from dropdown]],MaterialData[#All],5,FALSE),"")</f>
        <v/>
      </c>
      <c r="Z551" s="322">
        <f>IFERROR(((VLOOKUP(Calculations[[#This Row],[Waste type 2]],WasteDisposalEmissions[#All],2,FALSE))*Calculations[[#This Row],[Total Kg]])*VLOOKUP(Calculations[[#This Row],[Waste 1]],WasteScenario[#All],2,FALSE),0)</f>
        <v>0</v>
      </c>
      <c r="AA551" s="322">
        <f>IFERROR((VLOOKUP(Calculations[[#This Row],[Waste type 2]],WasteDisposalEmissions[#All],3,FALSE))*Calculations[[#This Row],[Total Kg]]*VLOOKUP(Calculations[[#This Row],[Waste 1]],WasteScenario[#All],3,FALSE),0)</f>
        <v>0</v>
      </c>
      <c r="AB551" s="322">
        <f>SUM(Calculations[[#This Row],[C3 recyc]:[C3 incin]])</f>
        <v>0</v>
      </c>
      <c r="AC551" s="334">
        <f>IFERROR((VLOOKUP(Calculations[[#This Row],[Waste type 2]],WasteLandfillEmissions[#All],2,FALSE))*Calculations[[#This Row],[Total Kg]]*VLOOKUP(Calculations[[#This Row],[Waste 1]],WasteScenario[#All],4,FALSE),0)</f>
        <v>0</v>
      </c>
      <c r="AD551" s="322">
        <f>IFERROR((VLOOKUP(Calculations[[#This Row],[Waste type 2]],WasteLandfillEmissions[#All],3,FALSE))*Calculations[[#This Row],[Total Kg]]*VLOOKUP(Calculations[[#This Row],[Waste 1]],WasteScenario[#All],4,FALSE),0)</f>
        <v>0</v>
      </c>
      <c r="AE551" s="322">
        <f>SUM(Calculations[[#This Row],[C4 landfill]:[C4 re-use]])</f>
        <v>0</v>
      </c>
      <c r="AF551" s="322">
        <f>IFERROR(VLOOKUP(Calculations[[#This Row],[Material (choose from dropdown]],MaterialData[#All],8,FALSE),0)</f>
        <v>0</v>
      </c>
      <c r="AG551" s="322">
        <f>IFERROR(Calculations[[#This Row],[Total Kg]]*Calculations[[#This Row],[Seq factor]],0)</f>
        <v>0</v>
      </c>
      <c r="AI551" s="322">
        <f>Calculations[[#This Row],[A1-3]]+Calculations[[#This Row],[A4]]+Calculations[[#This Row],[A5]]+Calculations[[#This Row],[B4]]+Calculations[[#This Row],[C2 total]]+Calculations[[#This Row],[C3 total]]+Calculations[[#This Row],[C4 total]]</f>
        <v>0</v>
      </c>
      <c r="AJ551" s="2">
        <f>IFERROR(VLOOKUP(Calculations[[#This Row],[Material (choose from dropdown]],MaterialData[[#Headers],[#Data]],9,FALSE),0)</f>
        <v>0</v>
      </c>
      <c r="AK551" s="4">
        <f>IFERROR(VLOOKUP(Calculations[[#This Row],[Material (choose from dropdown]],MaterialData[[#Headers],[#Data]],10,FALSE),0)</f>
        <v>0</v>
      </c>
      <c r="AL551" s="322">
        <f>IFERROR(Calculations[[#This Row],[Data Quality Score]]*Calculations[[#This Row],[Total Kg]],0)</f>
        <v>0</v>
      </c>
    </row>
    <row r="552" spans="1:38" x14ac:dyDescent="0.3">
      <c r="A552" s="6">
        <f>IFERROR(MaterialsBoQ[[#This Row],[Scope Element]],0)</f>
        <v>0</v>
      </c>
      <c r="B552" t="str">
        <f>IFERROR(MaterialsBoQ[[#This Row],[Material ]],"")</f>
        <v/>
      </c>
      <c r="C552" t="str">
        <f>IFERROR(MaterialsBoQ[[#This Row],[Unit]],"")</f>
        <v/>
      </c>
      <c r="D552" s="322">
        <f>IFERROR(MaterialsBoQ[[#This Row],[Number]],0)</f>
        <v>0</v>
      </c>
      <c r="E552" s="322">
        <f>IFERROR(MaterialsBoQ[[#This Row],[Kg per unit]],0)</f>
        <v>0</v>
      </c>
      <c r="F552" s="322">
        <f>IFERROR(Calculations[[#This Row],[Number]]*Calculations[[#This Row],[Conversion factor]],0)</f>
        <v>0</v>
      </c>
      <c r="G552" s="322">
        <f>IFERROR(VLOOKUP(Calculations[[#This Row],[Material (choose from dropdown]],MaterialData[#All],7,FALSE),0)</f>
        <v>0</v>
      </c>
      <c r="H552" s="322">
        <f>Calculations[[#This Row],[Total Kg]]*Calculations[[#This Row],[Carbon Factor]]</f>
        <v>0</v>
      </c>
      <c r="I552" t="str">
        <f>IFERROR(VLOOKUP(Calculations[[#This Row],[Material (choose from dropdown]],MaterialData[#All],2,FALSE),"")</f>
        <v/>
      </c>
      <c r="J552" s="322">
        <f>IFERROR(((VLOOKUP(Calculations[[#This Row],[TransportSource]],TransportDistance[],2,FALSE)*'Stage assumptions'!$C$11)+VLOOKUP(Calculations[[#This Row],[TransportSource]],TransportDistance[],3,FALSE)*'Stage assumptions'!$C$12)*Calculations[[#This Row],[Total Kg]],0)</f>
        <v>0</v>
      </c>
      <c r="K552">
        <f>IFERROR(VLOOKUP(Calculations[[#This Row],[Material (choose from dropdown]], MaterialData[#All],3, FALSE),0)</f>
        <v>0</v>
      </c>
      <c r="L552" s="322">
        <f>IFERROR(VLOOKUP(Calculations[[#This Row],[A5type]],A5WastageRate[#All],2,FALSE)*Calculations[[#This Row],[A1-3]],0)</f>
        <v>0</v>
      </c>
      <c r="N552">
        <f>IFERROR(ROUNDUP(50/VLOOKUP(Calculations[[#This Row],[Scope Element]],B4referenceServiceLife[[Tier 2 element]:[Default Service Life]],2, FALSE)-1,0),0)</f>
        <v>0</v>
      </c>
      <c r="O552" s="322">
        <f>IFERROR((Calculations[[#This Row],[A1-3]]+Calculations[[#This Row],[A4]]+Calculations[[#This Row],[A5]]+Calculations[[#This Row],[C2 total]]+Calculations[[#This Row],[C3 total]]+Calculations[[#This Row],[C4 total]])*Calculations[[#This Row],[Replacements]],0)</f>
        <v>0</v>
      </c>
      <c r="S552" t="str">
        <f>IFERROR(VLOOKUP(Calculations[[#This Row],[Material (choose from dropdown]],MaterialData[#All],4,FALSE),"")</f>
        <v/>
      </c>
      <c r="T552" s="322" cm="1">
        <f t="array" ref="T552">IFERROR(VLOOKUP(Calculations[[#This Row],[Waste 1]],WasteScenario[#All],2,FALSE)*'Stage assumptions'!$C$225*WasteTransportMethod[Emissions Factor
kgCO2e/kg.km]*Calculations[[#This Row],[Total Kg]],0)</f>
        <v>0</v>
      </c>
      <c r="U552" s="322" cm="1">
        <f t="array" ref="U552">IFERROR(VLOOKUP(Calculations[[#This Row],[Waste 1]],WasteScenario[#All],3,FALSE)*'Stage assumptions'!$C$224*WasteTransportMethod[Emissions Factor
kgCO2e/kg.km]*Calculations[[#This Row],[Total Kg]],0)</f>
        <v>0</v>
      </c>
      <c r="V552" s="322" cm="1">
        <f t="array" ref="V552">IFERROR(VLOOKUP(Calculations[[#This Row],[Waste 1]],WasteScenario[#All],4,FALSE)*'Stage assumptions'!$C$223*WasteTransportMethod[Emissions Factor
kgCO2e/kg.km]*Calculations[[#This Row],[Total Kg]],0)</f>
        <v>0</v>
      </c>
      <c r="W552" s="322" cm="1">
        <f t="array" ref="W552">IFERROR(VLOOKUP(Calculations[[#This Row],[Waste 1]],WasteScenario[#All],5,FALSE)*'Stage assumptions'!$C$226*WasteTransportMethod[Emissions Factor
kgCO2e/kg.km]*Calculations[[#This Row],[Total Kg]],0)</f>
        <v>0</v>
      </c>
      <c r="X552" s="322">
        <f>SUM(Calculations[[#This Row],[C2 Recycle]:[C2 Reuse]])</f>
        <v>0</v>
      </c>
      <c r="Y552" t="str">
        <f>IFERROR(VLOOKUP(Calculations[[#This Row],[Material (choose from dropdown]],MaterialData[#All],5,FALSE),"")</f>
        <v/>
      </c>
      <c r="Z552" s="322">
        <f>IFERROR(((VLOOKUP(Calculations[[#This Row],[Waste type 2]],WasteDisposalEmissions[#All],2,FALSE))*Calculations[[#This Row],[Total Kg]])*VLOOKUP(Calculations[[#This Row],[Waste 1]],WasteScenario[#All],2,FALSE),0)</f>
        <v>0</v>
      </c>
      <c r="AA552" s="322">
        <f>IFERROR((VLOOKUP(Calculations[[#This Row],[Waste type 2]],WasteDisposalEmissions[#All],3,FALSE))*Calculations[[#This Row],[Total Kg]]*VLOOKUP(Calculations[[#This Row],[Waste 1]],WasteScenario[#All],3,FALSE),0)</f>
        <v>0</v>
      </c>
      <c r="AB552" s="322">
        <f>SUM(Calculations[[#This Row],[C3 recyc]:[C3 incin]])</f>
        <v>0</v>
      </c>
      <c r="AC552" s="334">
        <f>IFERROR((VLOOKUP(Calculations[[#This Row],[Waste type 2]],WasteLandfillEmissions[#All],2,FALSE))*Calculations[[#This Row],[Total Kg]]*VLOOKUP(Calculations[[#This Row],[Waste 1]],WasteScenario[#All],4,FALSE),0)</f>
        <v>0</v>
      </c>
      <c r="AD552" s="322">
        <f>IFERROR((VLOOKUP(Calculations[[#This Row],[Waste type 2]],WasteLandfillEmissions[#All],3,FALSE))*Calculations[[#This Row],[Total Kg]]*VLOOKUP(Calculations[[#This Row],[Waste 1]],WasteScenario[#All],4,FALSE),0)</f>
        <v>0</v>
      </c>
      <c r="AE552" s="322">
        <f>SUM(Calculations[[#This Row],[C4 landfill]:[C4 re-use]])</f>
        <v>0</v>
      </c>
      <c r="AF552" s="322">
        <f>IFERROR(VLOOKUP(Calculations[[#This Row],[Material (choose from dropdown]],MaterialData[#All],8,FALSE),0)</f>
        <v>0</v>
      </c>
      <c r="AG552" s="322">
        <f>IFERROR(Calculations[[#This Row],[Total Kg]]*Calculations[[#This Row],[Seq factor]],0)</f>
        <v>0</v>
      </c>
      <c r="AI552" s="322">
        <f>Calculations[[#This Row],[A1-3]]+Calculations[[#This Row],[A4]]+Calculations[[#This Row],[A5]]+Calculations[[#This Row],[B4]]+Calculations[[#This Row],[C2 total]]+Calculations[[#This Row],[C3 total]]+Calculations[[#This Row],[C4 total]]</f>
        <v>0</v>
      </c>
      <c r="AJ552" s="2">
        <f>IFERROR(VLOOKUP(Calculations[[#This Row],[Material (choose from dropdown]],MaterialData[[#Headers],[#Data]],9,FALSE),0)</f>
        <v>0</v>
      </c>
      <c r="AK552" s="4">
        <f>IFERROR(VLOOKUP(Calculations[[#This Row],[Material (choose from dropdown]],MaterialData[[#Headers],[#Data]],10,FALSE),0)</f>
        <v>0</v>
      </c>
      <c r="AL552" s="322">
        <f>IFERROR(Calculations[[#This Row],[Data Quality Score]]*Calculations[[#This Row],[Total Kg]],0)</f>
        <v>0</v>
      </c>
    </row>
    <row r="553" spans="1:38" x14ac:dyDescent="0.3">
      <c r="A553" s="6">
        <f>IFERROR(MaterialsBoQ[[#This Row],[Scope Element]],0)</f>
        <v>0</v>
      </c>
      <c r="B553" t="str">
        <f>IFERROR(MaterialsBoQ[[#This Row],[Material ]],"")</f>
        <v/>
      </c>
      <c r="C553" t="str">
        <f>IFERROR(MaterialsBoQ[[#This Row],[Unit]],"")</f>
        <v/>
      </c>
      <c r="D553" s="322">
        <f>IFERROR(MaterialsBoQ[[#This Row],[Number]],0)</f>
        <v>0</v>
      </c>
      <c r="E553" s="322">
        <f>IFERROR(MaterialsBoQ[[#This Row],[Kg per unit]],0)</f>
        <v>0</v>
      </c>
      <c r="F553" s="322">
        <f>IFERROR(Calculations[[#This Row],[Number]]*Calculations[[#This Row],[Conversion factor]],0)</f>
        <v>0</v>
      </c>
      <c r="G553" s="322">
        <f>IFERROR(VLOOKUP(Calculations[[#This Row],[Material (choose from dropdown]],MaterialData[#All],7,FALSE),0)</f>
        <v>0</v>
      </c>
      <c r="H553" s="322">
        <f>Calculations[[#This Row],[Total Kg]]*Calculations[[#This Row],[Carbon Factor]]</f>
        <v>0</v>
      </c>
      <c r="I553" t="str">
        <f>IFERROR(VLOOKUP(Calculations[[#This Row],[Material (choose from dropdown]],MaterialData[#All],2,FALSE),"")</f>
        <v/>
      </c>
      <c r="J553" s="322">
        <f>IFERROR(((VLOOKUP(Calculations[[#This Row],[TransportSource]],TransportDistance[],2,FALSE)*'Stage assumptions'!$C$11)+VLOOKUP(Calculations[[#This Row],[TransportSource]],TransportDistance[],3,FALSE)*'Stage assumptions'!$C$12)*Calculations[[#This Row],[Total Kg]],0)</f>
        <v>0</v>
      </c>
      <c r="K553">
        <f>IFERROR(VLOOKUP(Calculations[[#This Row],[Material (choose from dropdown]], MaterialData[#All],3, FALSE),0)</f>
        <v>0</v>
      </c>
      <c r="L553" s="322">
        <f>IFERROR(VLOOKUP(Calculations[[#This Row],[A5type]],A5WastageRate[#All],2,FALSE)*Calculations[[#This Row],[A1-3]],0)</f>
        <v>0</v>
      </c>
      <c r="N553">
        <f>IFERROR(ROUNDUP(50/VLOOKUP(Calculations[[#This Row],[Scope Element]],B4referenceServiceLife[[Tier 2 element]:[Default Service Life]],2, FALSE)-1,0),0)</f>
        <v>0</v>
      </c>
      <c r="O553" s="322">
        <f>IFERROR((Calculations[[#This Row],[A1-3]]+Calculations[[#This Row],[A4]]+Calculations[[#This Row],[A5]]+Calculations[[#This Row],[C2 total]]+Calculations[[#This Row],[C3 total]]+Calculations[[#This Row],[C4 total]])*Calculations[[#This Row],[Replacements]],0)</f>
        <v>0</v>
      </c>
      <c r="S553" t="str">
        <f>IFERROR(VLOOKUP(Calculations[[#This Row],[Material (choose from dropdown]],MaterialData[#All],4,FALSE),"")</f>
        <v/>
      </c>
      <c r="T553" s="322" cm="1">
        <f t="array" ref="T553">IFERROR(VLOOKUP(Calculations[[#This Row],[Waste 1]],WasteScenario[#All],2,FALSE)*'Stage assumptions'!$C$225*WasteTransportMethod[Emissions Factor
kgCO2e/kg.km]*Calculations[[#This Row],[Total Kg]],0)</f>
        <v>0</v>
      </c>
      <c r="U553" s="322" cm="1">
        <f t="array" ref="U553">IFERROR(VLOOKUP(Calculations[[#This Row],[Waste 1]],WasteScenario[#All],3,FALSE)*'Stage assumptions'!$C$224*WasteTransportMethod[Emissions Factor
kgCO2e/kg.km]*Calculations[[#This Row],[Total Kg]],0)</f>
        <v>0</v>
      </c>
      <c r="V553" s="322" cm="1">
        <f t="array" ref="V553">IFERROR(VLOOKUP(Calculations[[#This Row],[Waste 1]],WasteScenario[#All],4,FALSE)*'Stage assumptions'!$C$223*WasteTransportMethod[Emissions Factor
kgCO2e/kg.km]*Calculations[[#This Row],[Total Kg]],0)</f>
        <v>0</v>
      </c>
      <c r="W553" s="322" cm="1">
        <f t="array" ref="W553">IFERROR(VLOOKUP(Calculations[[#This Row],[Waste 1]],WasteScenario[#All],5,FALSE)*'Stage assumptions'!$C$226*WasteTransportMethod[Emissions Factor
kgCO2e/kg.km]*Calculations[[#This Row],[Total Kg]],0)</f>
        <v>0</v>
      </c>
      <c r="X553" s="322">
        <f>SUM(Calculations[[#This Row],[C2 Recycle]:[C2 Reuse]])</f>
        <v>0</v>
      </c>
      <c r="Y553" t="str">
        <f>IFERROR(VLOOKUP(Calculations[[#This Row],[Material (choose from dropdown]],MaterialData[#All],5,FALSE),"")</f>
        <v/>
      </c>
      <c r="Z553" s="322">
        <f>IFERROR(((VLOOKUP(Calculations[[#This Row],[Waste type 2]],WasteDisposalEmissions[#All],2,FALSE))*Calculations[[#This Row],[Total Kg]])*VLOOKUP(Calculations[[#This Row],[Waste 1]],WasteScenario[#All],2,FALSE),0)</f>
        <v>0</v>
      </c>
      <c r="AA553" s="322">
        <f>IFERROR((VLOOKUP(Calculations[[#This Row],[Waste type 2]],WasteDisposalEmissions[#All],3,FALSE))*Calculations[[#This Row],[Total Kg]]*VLOOKUP(Calculations[[#This Row],[Waste 1]],WasteScenario[#All],3,FALSE),0)</f>
        <v>0</v>
      </c>
      <c r="AB553" s="322">
        <f>SUM(Calculations[[#This Row],[C3 recyc]:[C3 incin]])</f>
        <v>0</v>
      </c>
      <c r="AC553" s="334">
        <f>IFERROR((VLOOKUP(Calculations[[#This Row],[Waste type 2]],WasteLandfillEmissions[#All],2,FALSE))*Calculations[[#This Row],[Total Kg]]*VLOOKUP(Calculations[[#This Row],[Waste 1]],WasteScenario[#All],4,FALSE),0)</f>
        <v>0</v>
      </c>
      <c r="AD553" s="322">
        <f>IFERROR((VLOOKUP(Calculations[[#This Row],[Waste type 2]],WasteLandfillEmissions[#All],3,FALSE))*Calculations[[#This Row],[Total Kg]]*VLOOKUP(Calculations[[#This Row],[Waste 1]],WasteScenario[#All],4,FALSE),0)</f>
        <v>0</v>
      </c>
      <c r="AE553" s="322">
        <f>SUM(Calculations[[#This Row],[C4 landfill]:[C4 re-use]])</f>
        <v>0</v>
      </c>
      <c r="AF553" s="322">
        <f>IFERROR(VLOOKUP(Calculations[[#This Row],[Material (choose from dropdown]],MaterialData[#All],8,FALSE),0)</f>
        <v>0</v>
      </c>
      <c r="AG553" s="322">
        <f>IFERROR(Calculations[[#This Row],[Total Kg]]*Calculations[[#This Row],[Seq factor]],0)</f>
        <v>0</v>
      </c>
      <c r="AI553" s="322">
        <f>Calculations[[#This Row],[A1-3]]+Calculations[[#This Row],[A4]]+Calculations[[#This Row],[A5]]+Calculations[[#This Row],[B4]]+Calculations[[#This Row],[C2 total]]+Calculations[[#This Row],[C3 total]]+Calculations[[#This Row],[C4 total]]</f>
        <v>0</v>
      </c>
      <c r="AJ553" s="2">
        <f>IFERROR(VLOOKUP(Calculations[[#This Row],[Material (choose from dropdown]],MaterialData[[#Headers],[#Data]],9,FALSE),0)</f>
        <v>0</v>
      </c>
      <c r="AK553" s="4">
        <f>IFERROR(VLOOKUP(Calculations[[#This Row],[Material (choose from dropdown]],MaterialData[[#Headers],[#Data]],10,FALSE),0)</f>
        <v>0</v>
      </c>
      <c r="AL553" s="322">
        <f>IFERROR(Calculations[[#This Row],[Data Quality Score]]*Calculations[[#This Row],[Total Kg]],0)</f>
        <v>0</v>
      </c>
    </row>
    <row r="554" spans="1:38" x14ac:dyDescent="0.3">
      <c r="A554" s="6">
        <f>IFERROR(MaterialsBoQ[[#This Row],[Scope Element]],0)</f>
        <v>0</v>
      </c>
      <c r="B554" t="str">
        <f>IFERROR(MaterialsBoQ[[#This Row],[Material ]],"")</f>
        <v/>
      </c>
      <c r="C554" t="str">
        <f>IFERROR(MaterialsBoQ[[#This Row],[Unit]],"")</f>
        <v/>
      </c>
      <c r="D554" s="322">
        <f>IFERROR(MaterialsBoQ[[#This Row],[Number]],0)</f>
        <v>0</v>
      </c>
      <c r="E554" s="322">
        <f>IFERROR(MaterialsBoQ[[#This Row],[Kg per unit]],0)</f>
        <v>0</v>
      </c>
      <c r="F554" s="322">
        <f>IFERROR(Calculations[[#This Row],[Number]]*Calculations[[#This Row],[Conversion factor]],0)</f>
        <v>0</v>
      </c>
      <c r="G554" s="322">
        <f>IFERROR(VLOOKUP(Calculations[[#This Row],[Material (choose from dropdown]],MaterialData[#All],7,FALSE),0)</f>
        <v>0</v>
      </c>
      <c r="H554" s="322">
        <f>Calculations[[#This Row],[Total Kg]]*Calculations[[#This Row],[Carbon Factor]]</f>
        <v>0</v>
      </c>
      <c r="I554" t="str">
        <f>IFERROR(VLOOKUP(Calculations[[#This Row],[Material (choose from dropdown]],MaterialData[#All],2,FALSE),"")</f>
        <v/>
      </c>
      <c r="J554" s="322">
        <f>IFERROR(((VLOOKUP(Calculations[[#This Row],[TransportSource]],TransportDistance[],2,FALSE)*'Stage assumptions'!$C$11)+VLOOKUP(Calculations[[#This Row],[TransportSource]],TransportDistance[],3,FALSE)*'Stage assumptions'!$C$12)*Calculations[[#This Row],[Total Kg]],0)</f>
        <v>0</v>
      </c>
      <c r="K554">
        <f>IFERROR(VLOOKUP(Calculations[[#This Row],[Material (choose from dropdown]], MaterialData[#All],3, FALSE),0)</f>
        <v>0</v>
      </c>
      <c r="L554" s="322">
        <f>IFERROR(VLOOKUP(Calculations[[#This Row],[A5type]],A5WastageRate[#All],2,FALSE)*Calculations[[#This Row],[A1-3]],0)</f>
        <v>0</v>
      </c>
      <c r="N554">
        <f>IFERROR(ROUNDUP(50/VLOOKUP(Calculations[[#This Row],[Scope Element]],B4referenceServiceLife[[Tier 2 element]:[Default Service Life]],2, FALSE)-1,0),0)</f>
        <v>0</v>
      </c>
      <c r="O554" s="322">
        <f>IFERROR((Calculations[[#This Row],[A1-3]]+Calculations[[#This Row],[A4]]+Calculations[[#This Row],[A5]]+Calculations[[#This Row],[C2 total]]+Calculations[[#This Row],[C3 total]]+Calculations[[#This Row],[C4 total]])*Calculations[[#This Row],[Replacements]],0)</f>
        <v>0</v>
      </c>
      <c r="S554" t="str">
        <f>IFERROR(VLOOKUP(Calculations[[#This Row],[Material (choose from dropdown]],MaterialData[#All],4,FALSE),"")</f>
        <v/>
      </c>
      <c r="T554" s="322" cm="1">
        <f t="array" ref="T554">IFERROR(VLOOKUP(Calculations[[#This Row],[Waste 1]],WasteScenario[#All],2,FALSE)*'Stage assumptions'!$C$225*WasteTransportMethod[Emissions Factor
kgCO2e/kg.km]*Calculations[[#This Row],[Total Kg]],0)</f>
        <v>0</v>
      </c>
      <c r="U554" s="322" cm="1">
        <f t="array" ref="U554">IFERROR(VLOOKUP(Calculations[[#This Row],[Waste 1]],WasteScenario[#All],3,FALSE)*'Stage assumptions'!$C$224*WasteTransportMethod[Emissions Factor
kgCO2e/kg.km]*Calculations[[#This Row],[Total Kg]],0)</f>
        <v>0</v>
      </c>
      <c r="V554" s="322" cm="1">
        <f t="array" ref="V554">IFERROR(VLOOKUP(Calculations[[#This Row],[Waste 1]],WasteScenario[#All],4,FALSE)*'Stage assumptions'!$C$223*WasteTransportMethod[Emissions Factor
kgCO2e/kg.km]*Calculations[[#This Row],[Total Kg]],0)</f>
        <v>0</v>
      </c>
      <c r="W554" s="322" cm="1">
        <f t="array" ref="W554">IFERROR(VLOOKUP(Calculations[[#This Row],[Waste 1]],WasteScenario[#All],5,FALSE)*'Stage assumptions'!$C$226*WasteTransportMethod[Emissions Factor
kgCO2e/kg.km]*Calculations[[#This Row],[Total Kg]],0)</f>
        <v>0</v>
      </c>
      <c r="X554" s="322">
        <f>SUM(Calculations[[#This Row],[C2 Recycle]:[C2 Reuse]])</f>
        <v>0</v>
      </c>
      <c r="Y554" t="str">
        <f>IFERROR(VLOOKUP(Calculations[[#This Row],[Material (choose from dropdown]],MaterialData[#All],5,FALSE),"")</f>
        <v/>
      </c>
      <c r="Z554" s="322">
        <f>IFERROR(((VLOOKUP(Calculations[[#This Row],[Waste type 2]],WasteDisposalEmissions[#All],2,FALSE))*Calculations[[#This Row],[Total Kg]])*VLOOKUP(Calculations[[#This Row],[Waste 1]],WasteScenario[#All],2,FALSE),0)</f>
        <v>0</v>
      </c>
      <c r="AA554" s="322">
        <f>IFERROR((VLOOKUP(Calculations[[#This Row],[Waste type 2]],WasteDisposalEmissions[#All],3,FALSE))*Calculations[[#This Row],[Total Kg]]*VLOOKUP(Calculations[[#This Row],[Waste 1]],WasteScenario[#All],3,FALSE),0)</f>
        <v>0</v>
      </c>
      <c r="AB554" s="322">
        <f>SUM(Calculations[[#This Row],[C3 recyc]:[C3 incin]])</f>
        <v>0</v>
      </c>
      <c r="AC554" s="334">
        <f>IFERROR((VLOOKUP(Calculations[[#This Row],[Waste type 2]],WasteLandfillEmissions[#All],2,FALSE))*Calculations[[#This Row],[Total Kg]]*VLOOKUP(Calculations[[#This Row],[Waste 1]],WasteScenario[#All],4,FALSE),0)</f>
        <v>0</v>
      </c>
      <c r="AD554" s="322">
        <f>IFERROR((VLOOKUP(Calculations[[#This Row],[Waste type 2]],WasteLandfillEmissions[#All],3,FALSE))*Calculations[[#This Row],[Total Kg]]*VLOOKUP(Calculations[[#This Row],[Waste 1]],WasteScenario[#All],4,FALSE),0)</f>
        <v>0</v>
      </c>
      <c r="AE554" s="322">
        <f>SUM(Calculations[[#This Row],[C4 landfill]:[C4 re-use]])</f>
        <v>0</v>
      </c>
      <c r="AF554" s="322">
        <f>IFERROR(VLOOKUP(Calculations[[#This Row],[Material (choose from dropdown]],MaterialData[#All],8,FALSE),0)</f>
        <v>0</v>
      </c>
      <c r="AG554" s="322">
        <f>IFERROR(Calculations[[#This Row],[Total Kg]]*Calculations[[#This Row],[Seq factor]],0)</f>
        <v>0</v>
      </c>
      <c r="AI554" s="322">
        <f>Calculations[[#This Row],[A1-3]]+Calculations[[#This Row],[A4]]+Calculations[[#This Row],[A5]]+Calculations[[#This Row],[B4]]+Calculations[[#This Row],[C2 total]]+Calculations[[#This Row],[C3 total]]+Calculations[[#This Row],[C4 total]]</f>
        <v>0</v>
      </c>
      <c r="AJ554" s="2">
        <f>IFERROR(VLOOKUP(Calculations[[#This Row],[Material (choose from dropdown]],MaterialData[[#Headers],[#Data]],9,FALSE),0)</f>
        <v>0</v>
      </c>
      <c r="AK554" s="4">
        <f>IFERROR(VLOOKUP(Calculations[[#This Row],[Material (choose from dropdown]],MaterialData[[#Headers],[#Data]],10,FALSE),0)</f>
        <v>0</v>
      </c>
      <c r="AL554" s="322">
        <f>IFERROR(Calculations[[#This Row],[Data Quality Score]]*Calculations[[#This Row],[Total Kg]],0)</f>
        <v>0</v>
      </c>
    </row>
    <row r="555" spans="1:38" x14ac:dyDescent="0.3">
      <c r="A555" s="6">
        <f>IFERROR(MaterialsBoQ[[#This Row],[Scope Element]],0)</f>
        <v>0</v>
      </c>
      <c r="B555" t="str">
        <f>IFERROR(MaterialsBoQ[[#This Row],[Material ]],"")</f>
        <v/>
      </c>
      <c r="C555" t="str">
        <f>IFERROR(MaterialsBoQ[[#This Row],[Unit]],"")</f>
        <v/>
      </c>
      <c r="D555" s="322">
        <f>IFERROR(MaterialsBoQ[[#This Row],[Number]],0)</f>
        <v>0</v>
      </c>
      <c r="E555" s="322">
        <f>IFERROR(MaterialsBoQ[[#This Row],[Kg per unit]],0)</f>
        <v>0</v>
      </c>
      <c r="F555" s="322">
        <f>IFERROR(Calculations[[#This Row],[Number]]*Calculations[[#This Row],[Conversion factor]],0)</f>
        <v>0</v>
      </c>
      <c r="G555" s="322">
        <f>IFERROR(VLOOKUP(Calculations[[#This Row],[Material (choose from dropdown]],MaterialData[#All],7,FALSE),0)</f>
        <v>0</v>
      </c>
      <c r="H555" s="322">
        <f>Calculations[[#This Row],[Total Kg]]*Calculations[[#This Row],[Carbon Factor]]</f>
        <v>0</v>
      </c>
      <c r="I555" t="str">
        <f>IFERROR(VLOOKUP(Calculations[[#This Row],[Material (choose from dropdown]],MaterialData[#All],2,FALSE),"")</f>
        <v/>
      </c>
      <c r="J555" s="322">
        <f>IFERROR(((VLOOKUP(Calculations[[#This Row],[TransportSource]],TransportDistance[],2,FALSE)*'Stage assumptions'!$C$11)+VLOOKUP(Calculations[[#This Row],[TransportSource]],TransportDistance[],3,FALSE)*'Stage assumptions'!$C$12)*Calculations[[#This Row],[Total Kg]],0)</f>
        <v>0</v>
      </c>
      <c r="K555">
        <f>IFERROR(VLOOKUP(Calculations[[#This Row],[Material (choose from dropdown]], MaterialData[#All],3, FALSE),0)</f>
        <v>0</v>
      </c>
      <c r="L555" s="322">
        <f>IFERROR(VLOOKUP(Calculations[[#This Row],[A5type]],A5WastageRate[#All],2,FALSE)*Calculations[[#This Row],[A1-3]],0)</f>
        <v>0</v>
      </c>
      <c r="N555">
        <f>IFERROR(ROUNDUP(50/VLOOKUP(Calculations[[#This Row],[Scope Element]],B4referenceServiceLife[[Tier 2 element]:[Default Service Life]],2, FALSE)-1,0),0)</f>
        <v>0</v>
      </c>
      <c r="O555" s="322">
        <f>IFERROR((Calculations[[#This Row],[A1-3]]+Calculations[[#This Row],[A4]]+Calculations[[#This Row],[A5]]+Calculations[[#This Row],[C2 total]]+Calculations[[#This Row],[C3 total]]+Calculations[[#This Row],[C4 total]])*Calculations[[#This Row],[Replacements]],0)</f>
        <v>0</v>
      </c>
      <c r="S555" t="str">
        <f>IFERROR(VLOOKUP(Calculations[[#This Row],[Material (choose from dropdown]],MaterialData[#All],4,FALSE),"")</f>
        <v/>
      </c>
      <c r="T555" s="322" cm="1">
        <f t="array" ref="T555">IFERROR(VLOOKUP(Calculations[[#This Row],[Waste 1]],WasteScenario[#All],2,FALSE)*'Stage assumptions'!$C$225*WasteTransportMethod[Emissions Factor
kgCO2e/kg.km]*Calculations[[#This Row],[Total Kg]],0)</f>
        <v>0</v>
      </c>
      <c r="U555" s="322" cm="1">
        <f t="array" ref="U555">IFERROR(VLOOKUP(Calculations[[#This Row],[Waste 1]],WasteScenario[#All],3,FALSE)*'Stage assumptions'!$C$224*WasteTransportMethod[Emissions Factor
kgCO2e/kg.km]*Calculations[[#This Row],[Total Kg]],0)</f>
        <v>0</v>
      </c>
      <c r="V555" s="322" cm="1">
        <f t="array" ref="V555">IFERROR(VLOOKUP(Calculations[[#This Row],[Waste 1]],WasteScenario[#All],4,FALSE)*'Stage assumptions'!$C$223*WasteTransportMethod[Emissions Factor
kgCO2e/kg.km]*Calculations[[#This Row],[Total Kg]],0)</f>
        <v>0</v>
      </c>
      <c r="W555" s="322" cm="1">
        <f t="array" ref="W555">IFERROR(VLOOKUP(Calculations[[#This Row],[Waste 1]],WasteScenario[#All],5,FALSE)*'Stage assumptions'!$C$226*WasteTransportMethod[Emissions Factor
kgCO2e/kg.km]*Calculations[[#This Row],[Total Kg]],0)</f>
        <v>0</v>
      </c>
      <c r="X555" s="322">
        <f>SUM(Calculations[[#This Row],[C2 Recycle]:[C2 Reuse]])</f>
        <v>0</v>
      </c>
      <c r="Y555" t="str">
        <f>IFERROR(VLOOKUP(Calculations[[#This Row],[Material (choose from dropdown]],MaterialData[#All],5,FALSE),"")</f>
        <v/>
      </c>
      <c r="Z555" s="322">
        <f>IFERROR(((VLOOKUP(Calculations[[#This Row],[Waste type 2]],WasteDisposalEmissions[#All],2,FALSE))*Calculations[[#This Row],[Total Kg]])*VLOOKUP(Calculations[[#This Row],[Waste 1]],WasteScenario[#All],2,FALSE),0)</f>
        <v>0</v>
      </c>
      <c r="AA555" s="322">
        <f>IFERROR((VLOOKUP(Calculations[[#This Row],[Waste type 2]],WasteDisposalEmissions[#All],3,FALSE))*Calculations[[#This Row],[Total Kg]]*VLOOKUP(Calculations[[#This Row],[Waste 1]],WasteScenario[#All],3,FALSE),0)</f>
        <v>0</v>
      </c>
      <c r="AB555" s="322">
        <f>SUM(Calculations[[#This Row],[C3 recyc]:[C3 incin]])</f>
        <v>0</v>
      </c>
      <c r="AC555" s="334">
        <f>IFERROR((VLOOKUP(Calculations[[#This Row],[Waste type 2]],WasteLandfillEmissions[#All],2,FALSE))*Calculations[[#This Row],[Total Kg]]*VLOOKUP(Calculations[[#This Row],[Waste 1]],WasteScenario[#All],4,FALSE),0)</f>
        <v>0</v>
      </c>
      <c r="AD555" s="322">
        <f>IFERROR((VLOOKUP(Calculations[[#This Row],[Waste type 2]],WasteLandfillEmissions[#All],3,FALSE))*Calculations[[#This Row],[Total Kg]]*VLOOKUP(Calculations[[#This Row],[Waste 1]],WasteScenario[#All],4,FALSE),0)</f>
        <v>0</v>
      </c>
      <c r="AE555" s="322">
        <f>SUM(Calculations[[#This Row],[C4 landfill]:[C4 re-use]])</f>
        <v>0</v>
      </c>
      <c r="AF555" s="322">
        <f>IFERROR(VLOOKUP(Calculations[[#This Row],[Material (choose from dropdown]],MaterialData[#All],8,FALSE),0)</f>
        <v>0</v>
      </c>
      <c r="AG555" s="322">
        <f>IFERROR(Calculations[[#This Row],[Total Kg]]*Calculations[[#This Row],[Seq factor]],0)</f>
        <v>0</v>
      </c>
      <c r="AI555" s="322">
        <f>Calculations[[#This Row],[A1-3]]+Calculations[[#This Row],[A4]]+Calculations[[#This Row],[A5]]+Calculations[[#This Row],[B4]]+Calculations[[#This Row],[C2 total]]+Calculations[[#This Row],[C3 total]]+Calculations[[#This Row],[C4 total]]</f>
        <v>0</v>
      </c>
      <c r="AJ555" s="2">
        <f>IFERROR(VLOOKUP(Calculations[[#This Row],[Material (choose from dropdown]],MaterialData[[#Headers],[#Data]],9,FALSE),0)</f>
        <v>0</v>
      </c>
      <c r="AK555" s="4">
        <f>IFERROR(VLOOKUP(Calculations[[#This Row],[Material (choose from dropdown]],MaterialData[[#Headers],[#Data]],10,FALSE),0)</f>
        <v>0</v>
      </c>
      <c r="AL555" s="322">
        <f>IFERROR(Calculations[[#This Row],[Data Quality Score]]*Calculations[[#This Row],[Total Kg]],0)</f>
        <v>0</v>
      </c>
    </row>
    <row r="556" spans="1:38" x14ac:dyDescent="0.3">
      <c r="A556" s="6">
        <f>IFERROR(MaterialsBoQ[[#This Row],[Scope Element]],0)</f>
        <v>0</v>
      </c>
      <c r="B556" t="str">
        <f>IFERROR(MaterialsBoQ[[#This Row],[Material ]],"")</f>
        <v/>
      </c>
      <c r="C556" t="str">
        <f>IFERROR(MaterialsBoQ[[#This Row],[Unit]],"")</f>
        <v/>
      </c>
      <c r="D556" s="322">
        <f>IFERROR(MaterialsBoQ[[#This Row],[Number]],0)</f>
        <v>0</v>
      </c>
      <c r="E556" s="322">
        <f>IFERROR(MaterialsBoQ[[#This Row],[Kg per unit]],0)</f>
        <v>0</v>
      </c>
      <c r="F556" s="322">
        <f>IFERROR(Calculations[[#This Row],[Number]]*Calculations[[#This Row],[Conversion factor]],0)</f>
        <v>0</v>
      </c>
      <c r="G556" s="322">
        <f>IFERROR(VLOOKUP(Calculations[[#This Row],[Material (choose from dropdown]],MaterialData[#All],7,FALSE),0)</f>
        <v>0</v>
      </c>
      <c r="H556" s="322">
        <f>Calculations[[#This Row],[Total Kg]]*Calculations[[#This Row],[Carbon Factor]]</f>
        <v>0</v>
      </c>
      <c r="I556" t="str">
        <f>IFERROR(VLOOKUP(Calculations[[#This Row],[Material (choose from dropdown]],MaterialData[#All],2,FALSE),"")</f>
        <v/>
      </c>
      <c r="J556" s="322">
        <f>IFERROR(((VLOOKUP(Calculations[[#This Row],[TransportSource]],TransportDistance[],2,FALSE)*'Stage assumptions'!$C$11)+VLOOKUP(Calculations[[#This Row],[TransportSource]],TransportDistance[],3,FALSE)*'Stage assumptions'!$C$12)*Calculations[[#This Row],[Total Kg]],0)</f>
        <v>0</v>
      </c>
      <c r="K556">
        <f>IFERROR(VLOOKUP(Calculations[[#This Row],[Material (choose from dropdown]], MaterialData[#All],3, FALSE),0)</f>
        <v>0</v>
      </c>
      <c r="L556" s="322">
        <f>IFERROR(VLOOKUP(Calculations[[#This Row],[A5type]],A5WastageRate[#All],2,FALSE)*Calculations[[#This Row],[A1-3]],0)</f>
        <v>0</v>
      </c>
      <c r="N556">
        <f>IFERROR(ROUNDUP(50/VLOOKUP(Calculations[[#This Row],[Scope Element]],B4referenceServiceLife[[Tier 2 element]:[Default Service Life]],2, FALSE)-1,0),0)</f>
        <v>0</v>
      </c>
      <c r="O556" s="322">
        <f>IFERROR((Calculations[[#This Row],[A1-3]]+Calculations[[#This Row],[A4]]+Calculations[[#This Row],[A5]]+Calculations[[#This Row],[C2 total]]+Calculations[[#This Row],[C3 total]]+Calculations[[#This Row],[C4 total]])*Calculations[[#This Row],[Replacements]],0)</f>
        <v>0</v>
      </c>
      <c r="S556" t="str">
        <f>IFERROR(VLOOKUP(Calculations[[#This Row],[Material (choose from dropdown]],MaterialData[#All],4,FALSE),"")</f>
        <v/>
      </c>
      <c r="T556" s="322" cm="1">
        <f t="array" ref="T556">IFERROR(VLOOKUP(Calculations[[#This Row],[Waste 1]],WasteScenario[#All],2,FALSE)*'Stage assumptions'!$C$225*WasteTransportMethod[Emissions Factor
kgCO2e/kg.km]*Calculations[[#This Row],[Total Kg]],0)</f>
        <v>0</v>
      </c>
      <c r="U556" s="322" cm="1">
        <f t="array" ref="U556">IFERROR(VLOOKUP(Calculations[[#This Row],[Waste 1]],WasteScenario[#All],3,FALSE)*'Stage assumptions'!$C$224*WasteTransportMethod[Emissions Factor
kgCO2e/kg.km]*Calculations[[#This Row],[Total Kg]],0)</f>
        <v>0</v>
      </c>
      <c r="V556" s="322" cm="1">
        <f t="array" ref="V556">IFERROR(VLOOKUP(Calculations[[#This Row],[Waste 1]],WasteScenario[#All],4,FALSE)*'Stage assumptions'!$C$223*WasteTransportMethod[Emissions Factor
kgCO2e/kg.km]*Calculations[[#This Row],[Total Kg]],0)</f>
        <v>0</v>
      </c>
      <c r="W556" s="322" cm="1">
        <f t="array" ref="W556">IFERROR(VLOOKUP(Calculations[[#This Row],[Waste 1]],WasteScenario[#All],5,FALSE)*'Stage assumptions'!$C$226*WasteTransportMethod[Emissions Factor
kgCO2e/kg.km]*Calculations[[#This Row],[Total Kg]],0)</f>
        <v>0</v>
      </c>
      <c r="X556" s="322">
        <f>SUM(Calculations[[#This Row],[C2 Recycle]:[C2 Reuse]])</f>
        <v>0</v>
      </c>
      <c r="Y556" t="str">
        <f>IFERROR(VLOOKUP(Calculations[[#This Row],[Material (choose from dropdown]],MaterialData[#All],5,FALSE),"")</f>
        <v/>
      </c>
      <c r="Z556" s="322">
        <f>IFERROR(((VLOOKUP(Calculations[[#This Row],[Waste type 2]],WasteDisposalEmissions[#All],2,FALSE))*Calculations[[#This Row],[Total Kg]])*VLOOKUP(Calculations[[#This Row],[Waste 1]],WasteScenario[#All],2,FALSE),0)</f>
        <v>0</v>
      </c>
      <c r="AA556" s="322">
        <f>IFERROR((VLOOKUP(Calculations[[#This Row],[Waste type 2]],WasteDisposalEmissions[#All],3,FALSE))*Calculations[[#This Row],[Total Kg]]*VLOOKUP(Calculations[[#This Row],[Waste 1]],WasteScenario[#All],3,FALSE),0)</f>
        <v>0</v>
      </c>
      <c r="AB556" s="322">
        <f>SUM(Calculations[[#This Row],[C3 recyc]:[C3 incin]])</f>
        <v>0</v>
      </c>
      <c r="AC556" s="334">
        <f>IFERROR((VLOOKUP(Calculations[[#This Row],[Waste type 2]],WasteLandfillEmissions[#All],2,FALSE))*Calculations[[#This Row],[Total Kg]]*VLOOKUP(Calculations[[#This Row],[Waste 1]],WasteScenario[#All],4,FALSE),0)</f>
        <v>0</v>
      </c>
      <c r="AD556" s="322">
        <f>IFERROR((VLOOKUP(Calculations[[#This Row],[Waste type 2]],WasteLandfillEmissions[#All],3,FALSE))*Calculations[[#This Row],[Total Kg]]*VLOOKUP(Calculations[[#This Row],[Waste 1]],WasteScenario[#All],4,FALSE),0)</f>
        <v>0</v>
      </c>
      <c r="AE556" s="322">
        <f>SUM(Calculations[[#This Row],[C4 landfill]:[C4 re-use]])</f>
        <v>0</v>
      </c>
      <c r="AF556" s="322">
        <f>IFERROR(VLOOKUP(Calculations[[#This Row],[Material (choose from dropdown]],MaterialData[#All],8,FALSE),0)</f>
        <v>0</v>
      </c>
      <c r="AG556" s="322">
        <f>IFERROR(Calculations[[#This Row],[Total Kg]]*Calculations[[#This Row],[Seq factor]],0)</f>
        <v>0</v>
      </c>
      <c r="AI556" s="322">
        <f>Calculations[[#This Row],[A1-3]]+Calculations[[#This Row],[A4]]+Calculations[[#This Row],[A5]]+Calculations[[#This Row],[B4]]+Calculations[[#This Row],[C2 total]]+Calculations[[#This Row],[C3 total]]+Calculations[[#This Row],[C4 total]]</f>
        <v>0</v>
      </c>
      <c r="AJ556" s="2">
        <f>IFERROR(VLOOKUP(Calculations[[#This Row],[Material (choose from dropdown]],MaterialData[[#Headers],[#Data]],9,FALSE),0)</f>
        <v>0</v>
      </c>
      <c r="AK556" s="4">
        <f>IFERROR(VLOOKUP(Calculations[[#This Row],[Material (choose from dropdown]],MaterialData[[#Headers],[#Data]],10,FALSE),0)</f>
        <v>0</v>
      </c>
      <c r="AL556" s="322">
        <f>IFERROR(Calculations[[#This Row],[Data Quality Score]]*Calculations[[#This Row],[Total Kg]],0)</f>
        <v>0</v>
      </c>
    </row>
    <row r="557" spans="1:38" x14ac:dyDescent="0.3">
      <c r="A557" s="6">
        <f>IFERROR(MaterialsBoQ[[#This Row],[Scope Element]],0)</f>
        <v>0</v>
      </c>
      <c r="B557" t="str">
        <f>IFERROR(MaterialsBoQ[[#This Row],[Material ]],"")</f>
        <v/>
      </c>
      <c r="C557" t="str">
        <f>IFERROR(MaterialsBoQ[[#This Row],[Unit]],"")</f>
        <v/>
      </c>
      <c r="D557" s="322">
        <f>IFERROR(MaterialsBoQ[[#This Row],[Number]],0)</f>
        <v>0</v>
      </c>
      <c r="E557" s="322">
        <f>IFERROR(MaterialsBoQ[[#This Row],[Kg per unit]],0)</f>
        <v>0</v>
      </c>
      <c r="F557" s="322">
        <f>IFERROR(Calculations[[#This Row],[Number]]*Calculations[[#This Row],[Conversion factor]],0)</f>
        <v>0</v>
      </c>
      <c r="G557" s="322">
        <f>IFERROR(VLOOKUP(Calculations[[#This Row],[Material (choose from dropdown]],MaterialData[#All],7,FALSE),0)</f>
        <v>0</v>
      </c>
      <c r="H557" s="322">
        <f>Calculations[[#This Row],[Total Kg]]*Calculations[[#This Row],[Carbon Factor]]</f>
        <v>0</v>
      </c>
      <c r="I557" t="str">
        <f>IFERROR(VLOOKUP(Calculations[[#This Row],[Material (choose from dropdown]],MaterialData[#All],2,FALSE),"")</f>
        <v/>
      </c>
      <c r="J557" s="322">
        <f>IFERROR(((VLOOKUP(Calculations[[#This Row],[TransportSource]],TransportDistance[],2,FALSE)*'Stage assumptions'!$C$11)+VLOOKUP(Calculations[[#This Row],[TransportSource]],TransportDistance[],3,FALSE)*'Stage assumptions'!$C$12)*Calculations[[#This Row],[Total Kg]],0)</f>
        <v>0</v>
      </c>
      <c r="K557">
        <f>IFERROR(VLOOKUP(Calculations[[#This Row],[Material (choose from dropdown]], MaterialData[#All],3, FALSE),0)</f>
        <v>0</v>
      </c>
      <c r="L557" s="322">
        <f>IFERROR(VLOOKUP(Calculations[[#This Row],[A5type]],A5WastageRate[#All],2,FALSE)*Calculations[[#This Row],[A1-3]],0)</f>
        <v>0</v>
      </c>
      <c r="N557">
        <f>IFERROR(ROUNDUP(50/VLOOKUP(Calculations[[#This Row],[Scope Element]],B4referenceServiceLife[[Tier 2 element]:[Default Service Life]],2, FALSE)-1,0),0)</f>
        <v>0</v>
      </c>
      <c r="O557" s="322">
        <f>IFERROR((Calculations[[#This Row],[A1-3]]+Calculations[[#This Row],[A4]]+Calculations[[#This Row],[A5]]+Calculations[[#This Row],[C2 total]]+Calculations[[#This Row],[C3 total]]+Calculations[[#This Row],[C4 total]])*Calculations[[#This Row],[Replacements]],0)</f>
        <v>0</v>
      </c>
      <c r="S557" t="str">
        <f>IFERROR(VLOOKUP(Calculations[[#This Row],[Material (choose from dropdown]],MaterialData[#All],4,FALSE),"")</f>
        <v/>
      </c>
      <c r="T557" s="322" cm="1">
        <f t="array" ref="T557">IFERROR(VLOOKUP(Calculations[[#This Row],[Waste 1]],WasteScenario[#All],2,FALSE)*'Stage assumptions'!$C$225*WasteTransportMethod[Emissions Factor
kgCO2e/kg.km]*Calculations[[#This Row],[Total Kg]],0)</f>
        <v>0</v>
      </c>
      <c r="U557" s="322" cm="1">
        <f t="array" ref="U557">IFERROR(VLOOKUP(Calculations[[#This Row],[Waste 1]],WasteScenario[#All],3,FALSE)*'Stage assumptions'!$C$224*WasteTransportMethod[Emissions Factor
kgCO2e/kg.km]*Calculations[[#This Row],[Total Kg]],0)</f>
        <v>0</v>
      </c>
      <c r="V557" s="322" cm="1">
        <f t="array" ref="V557">IFERROR(VLOOKUP(Calculations[[#This Row],[Waste 1]],WasteScenario[#All],4,FALSE)*'Stage assumptions'!$C$223*WasteTransportMethod[Emissions Factor
kgCO2e/kg.km]*Calculations[[#This Row],[Total Kg]],0)</f>
        <v>0</v>
      </c>
      <c r="W557" s="322" cm="1">
        <f t="array" ref="W557">IFERROR(VLOOKUP(Calculations[[#This Row],[Waste 1]],WasteScenario[#All],5,FALSE)*'Stage assumptions'!$C$226*WasteTransportMethod[Emissions Factor
kgCO2e/kg.km]*Calculations[[#This Row],[Total Kg]],0)</f>
        <v>0</v>
      </c>
      <c r="X557" s="322">
        <f>SUM(Calculations[[#This Row],[C2 Recycle]:[C2 Reuse]])</f>
        <v>0</v>
      </c>
      <c r="Y557" t="str">
        <f>IFERROR(VLOOKUP(Calculations[[#This Row],[Material (choose from dropdown]],MaterialData[#All],5,FALSE),"")</f>
        <v/>
      </c>
      <c r="Z557" s="322">
        <f>IFERROR(((VLOOKUP(Calculations[[#This Row],[Waste type 2]],WasteDisposalEmissions[#All],2,FALSE))*Calculations[[#This Row],[Total Kg]])*VLOOKUP(Calculations[[#This Row],[Waste 1]],WasteScenario[#All],2,FALSE),0)</f>
        <v>0</v>
      </c>
      <c r="AA557" s="322">
        <f>IFERROR((VLOOKUP(Calculations[[#This Row],[Waste type 2]],WasteDisposalEmissions[#All],3,FALSE))*Calculations[[#This Row],[Total Kg]]*VLOOKUP(Calculations[[#This Row],[Waste 1]],WasteScenario[#All],3,FALSE),0)</f>
        <v>0</v>
      </c>
      <c r="AB557" s="322">
        <f>SUM(Calculations[[#This Row],[C3 recyc]:[C3 incin]])</f>
        <v>0</v>
      </c>
      <c r="AC557" s="334">
        <f>IFERROR((VLOOKUP(Calculations[[#This Row],[Waste type 2]],WasteLandfillEmissions[#All],2,FALSE))*Calculations[[#This Row],[Total Kg]]*VLOOKUP(Calculations[[#This Row],[Waste 1]],WasteScenario[#All],4,FALSE),0)</f>
        <v>0</v>
      </c>
      <c r="AD557" s="322">
        <f>IFERROR((VLOOKUP(Calculations[[#This Row],[Waste type 2]],WasteLandfillEmissions[#All],3,FALSE))*Calculations[[#This Row],[Total Kg]]*VLOOKUP(Calculations[[#This Row],[Waste 1]],WasteScenario[#All],4,FALSE),0)</f>
        <v>0</v>
      </c>
      <c r="AE557" s="322">
        <f>SUM(Calculations[[#This Row],[C4 landfill]:[C4 re-use]])</f>
        <v>0</v>
      </c>
      <c r="AF557" s="322">
        <f>IFERROR(VLOOKUP(Calculations[[#This Row],[Material (choose from dropdown]],MaterialData[#All],8,FALSE),0)</f>
        <v>0</v>
      </c>
      <c r="AG557" s="322">
        <f>IFERROR(Calculations[[#This Row],[Total Kg]]*Calculations[[#This Row],[Seq factor]],0)</f>
        <v>0</v>
      </c>
      <c r="AI557" s="322">
        <f>Calculations[[#This Row],[A1-3]]+Calculations[[#This Row],[A4]]+Calculations[[#This Row],[A5]]+Calculations[[#This Row],[B4]]+Calculations[[#This Row],[C2 total]]+Calculations[[#This Row],[C3 total]]+Calculations[[#This Row],[C4 total]]</f>
        <v>0</v>
      </c>
      <c r="AJ557" s="2">
        <f>IFERROR(VLOOKUP(Calculations[[#This Row],[Material (choose from dropdown]],MaterialData[[#Headers],[#Data]],9,FALSE),0)</f>
        <v>0</v>
      </c>
      <c r="AK557" s="4">
        <f>IFERROR(VLOOKUP(Calculations[[#This Row],[Material (choose from dropdown]],MaterialData[[#Headers],[#Data]],10,FALSE),0)</f>
        <v>0</v>
      </c>
      <c r="AL557" s="322">
        <f>IFERROR(Calculations[[#This Row],[Data Quality Score]]*Calculations[[#This Row],[Total Kg]],0)</f>
        <v>0</v>
      </c>
    </row>
    <row r="558" spans="1:38" x14ac:dyDescent="0.3">
      <c r="A558" s="6">
        <f>IFERROR(MaterialsBoQ[[#This Row],[Scope Element]],0)</f>
        <v>0</v>
      </c>
      <c r="B558" t="str">
        <f>IFERROR(MaterialsBoQ[[#This Row],[Material ]],"")</f>
        <v/>
      </c>
      <c r="C558" t="str">
        <f>IFERROR(MaterialsBoQ[[#This Row],[Unit]],"")</f>
        <v/>
      </c>
      <c r="D558" s="322">
        <f>IFERROR(MaterialsBoQ[[#This Row],[Number]],0)</f>
        <v>0</v>
      </c>
      <c r="E558" s="322">
        <f>IFERROR(MaterialsBoQ[[#This Row],[Kg per unit]],0)</f>
        <v>0</v>
      </c>
      <c r="F558" s="322">
        <f>IFERROR(Calculations[[#This Row],[Number]]*Calculations[[#This Row],[Conversion factor]],0)</f>
        <v>0</v>
      </c>
      <c r="G558" s="322">
        <f>IFERROR(VLOOKUP(Calculations[[#This Row],[Material (choose from dropdown]],MaterialData[#All],7,FALSE),0)</f>
        <v>0</v>
      </c>
      <c r="H558" s="322">
        <f>Calculations[[#This Row],[Total Kg]]*Calculations[[#This Row],[Carbon Factor]]</f>
        <v>0</v>
      </c>
      <c r="I558" t="str">
        <f>IFERROR(VLOOKUP(Calculations[[#This Row],[Material (choose from dropdown]],MaterialData[#All],2,FALSE),"")</f>
        <v/>
      </c>
      <c r="J558" s="322">
        <f>IFERROR(((VLOOKUP(Calculations[[#This Row],[TransportSource]],TransportDistance[],2,FALSE)*'Stage assumptions'!$C$11)+VLOOKUP(Calculations[[#This Row],[TransportSource]],TransportDistance[],3,FALSE)*'Stage assumptions'!$C$12)*Calculations[[#This Row],[Total Kg]],0)</f>
        <v>0</v>
      </c>
      <c r="K558">
        <f>IFERROR(VLOOKUP(Calculations[[#This Row],[Material (choose from dropdown]], MaterialData[#All],3, FALSE),0)</f>
        <v>0</v>
      </c>
      <c r="L558" s="322">
        <f>IFERROR(VLOOKUP(Calculations[[#This Row],[A5type]],A5WastageRate[#All],2,FALSE)*Calculations[[#This Row],[A1-3]],0)</f>
        <v>0</v>
      </c>
      <c r="N558">
        <f>IFERROR(ROUNDUP(50/VLOOKUP(Calculations[[#This Row],[Scope Element]],B4referenceServiceLife[[Tier 2 element]:[Default Service Life]],2, FALSE)-1,0),0)</f>
        <v>0</v>
      </c>
      <c r="O558" s="322">
        <f>IFERROR((Calculations[[#This Row],[A1-3]]+Calculations[[#This Row],[A4]]+Calculations[[#This Row],[A5]]+Calculations[[#This Row],[C2 total]]+Calculations[[#This Row],[C3 total]]+Calculations[[#This Row],[C4 total]])*Calculations[[#This Row],[Replacements]],0)</f>
        <v>0</v>
      </c>
      <c r="S558" t="str">
        <f>IFERROR(VLOOKUP(Calculations[[#This Row],[Material (choose from dropdown]],MaterialData[#All],4,FALSE),"")</f>
        <v/>
      </c>
      <c r="T558" s="322" cm="1">
        <f t="array" ref="T558">IFERROR(VLOOKUP(Calculations[[#This Row],[Waste 1]],WasteScenario[#All],2,FALSE)*'Stage assumptions'!$C$225*WasteTransportMethod[Emissions Factor
kgCO2e/kg.km]*Calculations[[#This Row],[Total Kg]],0)</f>
        <v>0</v>
      </c>
      <c r="U558" s="322" cm="1">
        <f t="array" ref="U558">IFERROR(VLOOKUP(Calculations[[#This Row],[Waste 1]],WasteScenario[#All],3,FALSE)*'Stage assumptions'!$C$224*WasteTransportMethod[Emissions Factor
kgCO2e/kg.km]*Calculations[[#This Row],[Total Kg]],0)</f>
        <v>0</v>
      </c>
      <c r="V558" s="322" cm="1">
        <f t="array" ref="V558">IFERROR(VLOOKUP(Calculations[[#This Row],[Waste 1]],WasteScenario[#All],4,FALSE)*'Stage assumptions'!$C$223*WasteTransportMethod[Emissions Factor
kgCO2e/kg.km]*Calculations[[#This Row],[Total Kg]],0)</f>
        <v>0</v>
      </c>
      <c r="W558" s="322" cm="1">
        <f t="array" ref="W558">IFERROR(VLOOKUP(Calculations[[#This Row],[Waste 1]],WasteScenario[#All],5,FALSE)*'Stage assumptions'!$C$226*WasteTransportMethod[Emissions Factor
kgCO2e/kg.km]*Calculations[[#This Row],[Total Kg]],0)</f>
        <v>0</v>
      </c>
      <c r="X558" s="322">
        <f>SUM(Calculations[[#This Row],[C2 Recycle]:[C2 Reuse]])</f>
        <v>0</v>
      </c>
      <c r="Y558" t="str">
        <f>IFERROR(VLOOKUP(Calculations[[#This Row],[Material (choose from dropdown]],MaterialData[#All],5,FALSE),"")</f>
        <v/>
      </c>
      <c r="Z558" s="322">
        <f>IFERROR(((VLOOKUP(Calculations[[#This Row],[Waste type 2]],WasteDisposalEmissions[#All],2,FALSE))*Calculations[[#This Row],[Total Kg]])*VLOOKUP(Calculations[[#This Row],[Waste 1]],WasteScenario[#All],2,FALSE),0)</f>
        <v>0</v>
      </c>
      <c r="AA558" s="322">
        <f>IFERROR((VLOOKUP(Calculations[[#This Row],[Waste type 2]],WasteDisposalEmissions[#All],3,FALSE))*Calculations[[#This Row],[Total Kg]]*VLOOKUP(Calculations[[#This Row],[Waste 1]],WasteScenario[#All],3,FALSE),0)</f>
        <v>0</v>
      </c>
      <c r="AB558" s="322">
        <f>SUM(Calculations[[#This Row],[C3 recyc]:[C3 incin]])</f>
        <v>0</v>
      </c>
      <c r="AC558" s="334">
        <f>IFERROR((VLOOKUP(Calculations[[#This Row],[Waste type 2]],WasteLandfillEmissions[#All],2,FALSE))*Calculations[[#This Row],[Total Kg]]*VLOOKUP(Calculations[[#This Row],[Waste 1]],WasteScenario[#All],4,FALSE),0)</f>
        <v>0</v>
      </c>
      <c r="AD558" s="322">
        <f>IFERROR((VLOOKUP(Calculations[[#This Row],[Waste type 2]],WasteLandfillEmissions[#All],3,FALSE))*Calculations[[#This Row],[Total Kg]]*VLOOKUP(Calculations[[#This Row],[Waste 1]],WasteScenario[#All],4,FALSE),0)</f>
        <v>0</v>
      </c>
      <c r="AE558" s="322">
        <f>SUM(Calculations[[#This Row],[C4 landfill]:[C4 re-use]])</f>
        <v>0</v>
      </c>
      <c r="AF558" s="322">
        <f>IFERROR(VLOOKUP(Calculations[[#This Row],[Material (choose from dropdown]],MaterialData[#All],8,FALSE),0)</f>
        <v>0</v>
      </c>
      <c r="AG558" s="322">
        <f>IFERROR(Calculations[[#This Row],[Total Kg]]*Calculations[[#This Row],[Seq factor]],0)</f>
        <v>0</v>
      </c>
      <c r="AI558" s="322">
        <f>Calculations[[#This Row],[A1-3]]+Calculations[[#This Row],[A4]]+Calculations[[#This Row],[A5]]+Calculations[[#This Row],[B4]]+Calculations[[#This Row],[C2 total]]+Calculations[[#This Row],[C3 total]]+Calculations[[#This Row],[C4 total]]</f>
        <v>0</v>
      </c>
      <c r="AJ558" s="2">
        <f>IFERROR(VLOOKUP(Calculations[[#This Row],[Material (choose from dropdown]],MaterialData[[#Headers],[#Data]],9,FALSE),0)</f>
        <v>0</v>
      </c>
      <c r="AK558" s="4">
        <f>IFERROR(VLOOKUP(Calculations[[#This Row],[Material (choose from dropdown]],MaterialData[[#Headers],[#Data]],10,FALSE),0)</f>
        <v>0</v>
      </c>
      <c r="AL558" s="322">
        <f>IFERROR(Calculations[[#This Row],[Data Quality Score]]*Calculations[[#This Row],[Total Kg]],0)</f>
        <v>0</v>
      </c>
    </row>
    <row r="559" spans="1:38" x14ac:dyDescent="0.3">
      <c r="A559" s="6">
        <f>IFERROR(MaterialsBoQ[[#This Row],[Scope Element]],0)</f>
        <v>0</v>
      </c>
      <c r="B559" t="str">
        <f>IFERROR(MaterialsBoQ[[#This Row],[Material ]],"")</f>
        <v/>
      </c>
      <c r="C559" t="str">
        <f>IFERROR(MaterialsBoQ[[#This Row],[Unit]],"")</f>
        <v/>
      </c>
      <c r="D559" s="322">
        <f>IFERROR(MaterialsBoQ[[#This Row],[Number]],0)</f>
        <v>0</v>
      </c>
      <c r="E559" s="322">
        <f>IFERROR(MaterialsBoQ[[#This Row],[Kg per unit]],0)</f>
        <v>0</v>
      </c>
      <c r="F559" s="322">
        <f>IFERROR(Calculations[[#This Row],[Number]]*Calculations[[#This Row],[Conversion factor]],0)</f>
        <v>0</v>
      </c>
      <c r="G559" s="322">
        <f>IFERROR(VLOOKUP(Calculations[[#This Row],[Material (choose from dropdown]],MaterialData[#All],7,FALSE),0)</f>
        <v>0</v>
      </c>
      <c r="H559" s="322">
        <f>Calculations[[#This Row],[Total Kg]]*Calculations[[#This Row],[Carbon Factor]]</f>
        <v>0</v>
      </c>
      <c r="I559" t="str">
        <f>IFERROR(VLOOKUP(Calculations[[#This Row],[Material (choose from dropdown]],MaterialData[#All],2,FALSE),"")</f>
        <v/>
      </c>
      <c r="J559" s="322">
        <f>IFERROR(((VLOOKUP(Calculations[[#This Row],[TransportSource]],TransportDistance[],2,FALSE)*'Stage assumptions'!$C$11)+VLOOKUP(Calculations[[#This Row],[TransportSource]],TransportDistance[],3,FALSE)*'Stage assumptions'!$C$12)*Calculations[[#This Row],[Total Kg]],0)</f>
        <v>0</v>
      </c>
      <c r="K559">
        <f>IFERROR(VLOOKUP(Calculations[[#This Row],[Material (choose from dropdown]], MaterialData[#All],3, FALSE),0)</f>
        <v>0</v>
      </c>
      <c r="L559" s="322">
        <f>IFERROR(VLOOKUP(Calculations[[#This Row],[A5type]],A5WastageRate[#All],2,FALSE)*Calculations[[#This Row],[A1-3]],0)</f>
        <v>0</v>
      </c>
      <c r="N559">
        <f>IFERROR(ROUNDUP(50/VLOOKUP(Calculations[[#This Row],[Scope Element]],B4referenceServiceLife[[Tier 2 element]:[Default Service Life]],2, FALSE)-1,0),0)</f>
        <v>0</v>
      </c>
      <c r="O559" s="322">
        <f>IFERROR((Calculations[[#This Row],[A1-3]]+Calculations[[#This Row],[A4]]+Calculations[[#This Row],[A5]]+Calculations[[#This Row],[C2 total]]+Calculations[[#This Row],[C3 total]]+Calculations[[#This Row],[C4 total]])*Calculations[[#This Row],[Replacements]],0)</f>
        <v>0</v>
      </c>
      <c r="S559" t="str">
        <f>IFERROR(VLOOKUP(Calculations[[#This Row],[Material (choose from dropdown]],MaterialData[#All],4,FALSE),"")</f>
        <v/>
      </c>
      <c r="T559" s="322" cm="1">
        <f t="array" ref="T559">IFERROR(VLOOKUP(Calculations[[#This Row],[Waste 1]],WasteScenario[#All],2,FALSE)*'Stage assumptions'!$C$225*WasteTransportMethod[Emissions Factor
kgCO2e/kg.km]*Calculations[[#This Row],[Total Kg]],0)</f>
        <v>0</v>
      </c>
      <c r="U559" s="322" cm="1">
        <f t="array" ref="U559">IFERROR(VLOOKUP(Calculations[[#This Row],[Waste 1]],WasteScenario[#All],3,FALSE)*'Stage assumptions'!$C$224*WasteTransportMethod[Emissions Factor
kgCO2e/kg.km]*Calculations[[#This Row],[Total Kg]],0)</f>
        <v>0</v>
      </c>
      <c r="V559" s="322" cm="1">
        <f t="array" ref="V559">IFERROR(VLOOKUP(Calculations[[#This Row],[Waste 1]],WasteScenario[#All],4,FALSE)*'Stage assumptions'!$C$223*WasteTransportMethod[Emissions Factor
kgCO2e/kg.km]*Calculations[[#This Row],[Total Kg]],0)</f>
        <v>0</v>
      </c>
      <c r="W559" s="322" cm="1">
        <f t="array" ref="W559">IFERROR(VLOOKUP(Calculations[[#This Row],[Waste 1]],WasteScenario[#All],5,FALSE)*'Stage assumptions'!$C$226*WasteTransportMethod[Emissions Factor
kgCO2e/kg.km]*Calculations[[#This Row],[Total Kg]],0)</f>
        <v>0</v>
      </c>
      <c r="X559" s="322">
        <f>SUM(Calculations[[#This Row],[C2 Recycle]:[C2 Reuse]])</f>
        <v>0</v>
      </c>
      <c r="Y559" t="str">
        <f>IFERROR(VLOOKUP(Calculations[[#This Row],[Material (choose from dropdown]],MaterialData[#All],5,FALSE),"")</f>
        <v/>
      </c>
      <c r="Z559" s="322">
        <f>IFERROR(((VLOOKUP(Calculations[[#This Row],[Waste type 2]],WasteDisposalEmissions[#All],2,FALSE))*Calculations[[#This Row],[Total Kg]])*VLOOKUP(Calculations[[#This Row],[Waste 1]],WasteScenario[#All],2,FALSE),0)</f>
        <v>0</v>
      </c>
      <c r="AA559" s="322">
        <f>IFERROR((VLOOKUP(Calculations[[#This Row],[Waste type 2]],WasteDisposalEmissions[#All],3,FALSE))*Calculations[[#This Row],[Total Kg]]*VLOOKUP(Calculations[[#This Row],[Waste 1]],WasteScenario[#All],3,FALSE),0)</f>
        <v>0</v>
      </c>
      <c r="AB559" s="322">
        <f>SUM(Calculations[[#This Row],[C3 recyc]:[C3 incin]])</f>
        <v>0</v>
      </c>
      <c r="AC559" s="334">
        <f>IFERROR((VLOOKUP(Calculations[[#This Row],[Waste type 2]],WasteLandfillEmissions[#All],2,FALSE))*Calculations[[#This Row],[Total Kg]]*VLOOKUP(Calculations[[#This Row],[Waste 1]],WasteScenario[#All],4,FALSE),0)</f>
        <v>0</v>
      </c>
      <c r="AD559" s="322">
        <f>IFERROR((VLOOKUP(Calculations[[#This Row],[Waste type 2]],WasteLandfillEmissions[#All],3,FALSE))*Calculations[[#This Row],[Total Kg]]*VLOOKUP(Calculations[[#This Row],[Waste 1]],WasteScenario[#All],4,FALSE),0)</f>
        <v>0</v>
      </c>
      <c r="AE559" s="322">
        <f>SUM(Calculations[[#This Row],[C4 landfill]:[C4 re-use]])</f>
        <v>0</v>
      </c>
      <c r="AF559" s="322">
        <f>IFERROR(VLOOKUP(Calculations[[#This Row],[Material (choose from dropdown]],MaterialData[#All],8,FALSE),0)</f>
        <v>0</v>
      </c>
      <c r="AG559" s="322">
        <f>IFERROR(Calculations[[#This Row],[Total Kg]]*Calculations[[#This Row],[Seq factor]],0)</f>
        <v>0</v>
      </c>
      <c r="AI559" s="322">
        <f>Calculations[[#This Row],[A1-3]]+Calculations[[#This Row],[A4]]+Calculations[[#This Row],[A5]]+Calculations[[#This Row],[B4]]+Calculations[[#This Row],[C2 total]]+Calculations[[#This Row],[C3 total]]+Calculations[[#This Row],[C4 total]]</f>
        <v>0</v>
      </c>
      <c r="AJ559" s="2">
        <f>IFERROR(VLOOKUP(Calculations[[#This Row],[Material (choose from dropdown]],MaterialData[[#Headers],[#Data]],9,FALSE),0)</f>
        <v>0</v>
      </c>
      <c r="AK559" s="4">
        <f>IFERROR(VLOOKUP(Calculations[[#This Row],[Material (choose from dropdown]],MaterialData[[#Headers],[#Data]],10,FALSE),0)</f>
        <v>0</v>
      </c>
      <c r="AL559" s="322">
        <f>IFERROR(Calculations[[#This Row],[Data Quality Score]]*Calculations[[#This Row],[Total Kg]],0)</f>
        <v>0</v>
      </c>
    </row>
    <row r="560" spans="1:38" x14ac:dyDescent="0.3">
      <c r="A560" s="6">
        <f>IFERROR(MaterialsBoQ[[#This Row],[Scope Element]],0)</f>
        <v>0</v>
      </c>
      <c r="B560" t="str">
        <f>IFERROR(MaterialsBoQ[[#This Row],[Material ]],"")</f>
        <v/>
      </c>
      <c r="C560" t="str">
        <f>IFERROR(MaterialsBoQ[[#This Row],[Unit]],"")</f>
        <v/>
      </c>
      <c r="D560" s="322">
        <f>IFERROR(MaterialsBoQ[[#This Row],[Number]],0)</f>
        <v>0</v>
      </c>
      <c r="E560" s="322">
        <f>IFERROR(MaterialsBoQ[[#This Row],[Kg per unit]],0)</f>
        <v>0</v>
      </c>
      <c r="F560" s="322">
        <f>IFERROR(Calculations[[#This Row],[Number]]*Calculations[[#This Row],[Conversion factor]],0)</f>
        <v>0</v>
      </c>
      <c r="G560" s="322">
        <f>IFERROR(VLOOKUP(Calculations[[#This Row],[Material (choose from dropdown]],MaterialData[#All],7,FALSE),0)</f>
        <v>0</v>
      </c>
      <c r="H560" s="322">
        <f>Calculations[[#This Row],[Total Kg]]*Calculations[[#This Row],[Carbon Factor]]</f>
        <v>0</v>
      </c>
      <c r="I560" t="str">
        <f>IFERROR(VLOOKUP(Calculations[[#This Row],[Material (choose from dropdown]],MaterialData[#All],2,FALSE),"")</f>
        <v/>
      </c>
      <c r="J560" s="322">
        <f>IFERROR(((VLOOKUP(Calculations[[#This Row],[TransportSource]],TransportDistance[],2,FALSE)*'Stage assumptions'!$C$11)+VLOOKUP(Calculations[[#This Row],[TransportSource]],TransportDistance[],3,FALSE)*'Stage assumptions'!$C$12)*Calculations[[#This Row],[Total Kg]],0)</f>
        <v>0</v>
      </c>
      <c r="K560">
        <f>IFERROR(VLOOKUP(Calculations[[#This Row],[Material (choose from dropdown]], MaterialData[#All],3, FALSE),0)</f>
        <v>0</v>
      </c>
      <c r="L560" s="322">
        <f>IFERROR(VLOOKUP(Calculations[[#This Row],[A5type]],A5WastageRate[#All],2,FALSE)*Calculations[[#This Row],[A1-3]],0)</f>
        <v>0</v>
      </c>
      <c r="N560">
        <f>IFERROR(ROUNDUP(50/VLOOKUP(Calculations[[#This Row],[Scope Element]],B4referenceServiceLife[[Tier 2 element]:[Default Service Life]],2, FALSE)-1,0),0)</f>
        <v>0</v>
      </c>
      <c r="O560" s="322">
        <f>IFERROR((Calculations[[#This Row],[A1-3]]+Calculations[[#This Row],[A4]]+Calculations[[#This Row],[A5]]+Calculations[[#This Row],[C2 total]]+Calculations[[#This Row],[C3 total]]+Calculations[[#This Row],[C4 total]])*Calculations[[#This Row],[Replacements]],0)</f>
        <v>0</v>
      </c>
      <c r="S560" t="str">
        <f>IFERROR(VLOOKUP(Calculations[[#This Row],[Material (choose from dropdown]],MaterialData[#All],4,FALSE),"")</f>
        <v/>
      </c>
      <c r="T560" s="322" cm="1">
        <f t="array" ref="T560">IFERROR(VLOOKUP(Calculations[[#This Row],[Waste 1]],WasteScenario[#All],2,FALSE)*'Stage assumptions'!$C$225*WasteTransportMethod[Emissions Factor
kgCO2e/kg.km]*Calculations[[#This Row],[Total Kg]],0)</f>
        <v>0</v>
      </c>
      <c r="U560" s="322" cm="1">
        <f t="array" ref="U560">IFERROR(VLOOKUP(Calculations[[#This Row],[Waste 1]],WasteScenario[#All],3,FALSE)*'Stage assumptions'!$C$224*WasteTransportMethod[Emissions Factor
kgCO2e/kg.km]*Calculations[[#This Row],[Total Kg]],0)</f>
        <v>0</v>
      </c>
      <c r="V560" s="322" cm="1">
        <f t="array" ref="V560">IFERROR(VLOOKUP(Calculations[[#This Row],[Waste 1]],WasteScenario[#All],4,FALSE)*'Stage assumptions'!$C$223*WasteTransportMethod[Emissions Factor
kgCO2e/kg.km]*Calculations[[#This Row],[Total Kg]],0)</f>
        <v>0</v>
      </c>
      <c r="W560" s="322" cm="1">
        <f t="array" ref="W560">IFERROR(VLOOKUP(Calculations[[#This Row],[Waste 1]],WasteScenario[#All],5,FALSE)*'Stage assumptions'!$C$226*WasteTransportMethod[Emissions Factor
kgCO2e/kg.km]*Calculations[[#This Row],[Total Kg]],0)</f>
        <v>0</v>
      </c>
      <c r="X560" s="322">
        <f>SUM(Calculations[[#This Row],[C2 Recycle]:[C2 Reuse]])</f>
        <v>0</v>
      </c>
      <c r="Y560" t="str">
        <f>IFERROR(VLOOKUP(Calculations[[#This Row],[Material (choose from dropdown]],MaterialData[#All],5,FALSE),"")</f>
        <v/>
      </c>
      <c r="Z560" s="322">
        <f>IFERROR(((VLOOKUP(Calculations[[#This Row],[Waste type 2]],WasteDisposalEmissions[#All],2,FALSE))*Calculations[[#This Row],[Total Kg]])*VLOOKUP(Calculations[[#This Row],[Waste 1]],WasteScenario[#All],2,FALSE),0)</f>
        <v>0</v>
      </c>
      <c r="AA560" s="322">
        <f>IFERROR((VLOOKUP(Calculations[[#This Row],[Waste type 2]],WasteDisposalEmissions[#All],3,FALSE))*Calculations[[#This Row],[Total Kg]]*VLOOKUP(Calculations[[#This Row],[Waste 1]],WasteScenario[#All],3,FALSE),0)</f>
        <v>0</v>
      </c>
      <c r="AB560" s="322">
        <f>SUM(Calculations[[#This Row],[C3 recyc]:[C3 incin]])</f>
        <v>0</v>
      </c>
      <c r="AC560" s="334">
        <f>IFERROR((VLOOKUP(Calculations[[#This Row],[Waste type 2]],WasteLandfillEmissions[#All],2,FALSE))*Calculations[[#This Row],[Total Kg]]*VLOOKUP(Calculations[[#This Row],[Waste 1]],WasteScenario[#All],4,FALSE),0)</f>
        <v>0</v>
      </c>
      <c r="AD560" s="322">
        <f>IFERROR((VLOOKUP(Calculations[[#This Row],[Waste type 2]],WasteLandfillEmissions[#All],3,FALSE))*Calculations[[#This Row],[Total Kg]]*VLOOKUP(Calculations[[#This Row],[Waste 1]],WasteScenario[#All],4,FALSE),0)</f>
        <v>0</v>
      </c>
      <c r="AE560" s="322">
        <f>SUM(Calculations[[#This Row],[C4 landfill]:[C4 re-use]])</f>
        <v>0</v>
      </c>
      <c r="AF560" s="322">
        <f>IFERROR(VLOOKUP(Calculations[[#This Row],[Material (choose from dropdown]],MaterialData[#All],8,FALSE),0)</f>
        <v>0</v>
      </c>
      <c r="AG560" s="322">
        <f>IFERROR(Calculations[[#This Row],[Total Kg]]*Calculations[[#This Row],[Seq factor]],0)</f>
        <v>0</v>
      </c>
      <c r="AI560" s="322">
        <f>Calculations[[#This Row],[A1-3]]+Calculations[[#This Row],[A4]]+Calculations[[#This Row],[A5]]+Calculations[[#This Row],[B4]]+Calculations[[#This Row],[C2 total]]+Calculations[[#This Row],[C3 total]]+Calculations[[#This Row],[C4 total]]</f>
        <v>0</v>
      </c>
      <c r="AJ560" s="2">
        <f>IFERROR(VLOOKUP(Calculations[[#This Row],[Material (choose from dropdown]],MaterialData[[#Headers],[#Data]],9,FALSE),0)</f>
        <v>0</v>
      </c>
      <c r="AK560" s="4">
        <f>IFERROR(VLOOKUP(Calculations[[#This Row],[Material (choose from dropdown]],MaterialData[[#Headers],[#Data]],10,FALSE),0)</f>
        <v>0</v>
      </c>
      <c r="AL560" s="322">
        <f>IFERROR(Calculations[[#This Row],[Data Quality Score]]*Calculations[[#This Row],[Total Kg]],0)</f>
        <v>0</v>
      </c>
    </row>
    <row r="561" spans="1:38" x14ac:dyDescent="0.3">
      <c r="A561" s="6">
        <f>IFERROR(MaterialsBoQ[[#This Row],[Scope Element]],0)</f>
        <v>0</v>
      </c>
      <c r="B561" t="str">
        <f>IFERROR(MaterialsBoQ[[#This Row],[Material ]],"")</f>
        <v/>
      </c>
      <c r="C561" t="str">
        <f>IFERROR(MaterialsBoQ[[#This Row],[Unit]],"")</f>
        <v/>
      </c>
      <c r="D561" s="322">
        <f>IFERROR(MaterialsBoQ[[#This Row],[Number]],0)</f>
        <v>0</v>
      </c>
      <c r="E561" s="322">
        <f>IFERROR(MaterialsBoQ[[#This Row],[Kg per unit]],0)</f>
        <v>0</v>
      </c>
      <c r="F561" s="322">
        <f>IFERROR(Calculations[[#This Row],[Number]]*Calculations[[#This Row],[Conversion factor]],0)</f>
        <v>0</v>
      </c>
      <c r="G561" s="322">
        <f>IFERROR(VLOOKUP(Calculations[[#This Row],[Material (choose from dropdown]],MaterialData[#All],7,FALSE),0)</f>
        <v>0</v>
      </c>
      <c r="H561" s="322">
        <f>Calculations[[#This Row],[Total Kg]]*Calculations[[#This Row],[Carbon Factor]]</f>
        <v>0</v>
      </c>
      <c r="I561" t="str">
        <f>IFERROR(VLOOKUP(Calculations[[#This Row],[Material (choose from dropdown]],MaterialData[#All],2,FALSE),"")</f>
        <v/>
      </c>
      <c r="J561" s="322">
        <f>IFERROR(((VLOOKUP(Calculations[[#This Row],[TransportSource]],TransportDistance[],2,FALSE)*'Stage assumptions'!$C$11)+VLOOKUP(Calculations[[#This Row],[TransportSource]],TransportDistance[],3,FALSE)*'Stage assumptions'!$C$12)*Calculations[[#This Row],[Total Kg]],0)</f>
        <v>0</v>
      </c>
      <c r="K561">
        <f>IFERROR(VLOOKUP(Calculations[[#This Row],[Material (choose from dropdown]], MaterialData[#All],3, FALSE),0)</f>
        <v>0</v>
      </c>
      <c r="L561" s="322">
        <f>IFERROR(VLOOKUP(Calculations[[#This Row],[A5type]],A5WastageRate[#All],2,FALSE)*Calculations[[#This Row],[A1-3]],0)</f>
        <v>0</v>
      </c>
      <c r="N561">
        <f>IFERROR(ROUNDUP(50/VLOOKUP(Calculations[[#This Row],[Scope Element]],B4referenceServiceLife[[Tier 2 element]:[Default Service Life]],2, FALSE)-1,0),0)</f>
        <v>0</v>
      </c>
      <c r="O561" s="322">
        <f>IFERROR((Calculations[[#This Row],[A1-3]]+Calculations[[#This Row],[A4]]+Calculations[[#This Row],[A5]]+Calculations[[#This Row],[C2 total]]+Calculations[[#This Row],[C3 total]]+Calculations[[#This Row],[C4 total]])*Calculations[[#This Row],[Replacements]],0)</f>
        <v>0</v>
      </c>
      <c r="S561" t="str">
        <f>IFERROR(VLOOKUP(Calculations[[#This Row],[Material (choose from dropdown]],MaterialData[#All],4,FALSE),"")</f>
        <v/>
      </c>
      <c r="T561" s="322" cm="1">
        <f t="array" ref="T561">IFERROR(VLOOKUP(Calculations[[#This Row],[Waste 1]],WasteScenario[#All],2,FALSE)*'Stage assumptions'!$C$225*WasteTransportMethod[Emissions Factor
kgCO2e/kg.km]*Calculations[[#This Row],[Total Kg]],0)</f>
        <v>0</v>
      </c>
      <c r="U561" s="322" cm="1">
        <f t="array" ref="U561">IFERROR(VLOOKUP(Calculations[[#This Row],[Waste 1]],WasteScenario[#All],3,FALSE)*'Stage assumptions'!$C$224*WasteTransportMethod[Emissions Factor
kgCO2e/kg.km]*Calculations[[#This Row],[Total Kg]],0)</f>
        <v>0</v>
      </c>
      <c r="V561" s="322" cm="1">
        <f t="array" ref="V561">IFERROR(VLOOKUP(Calculations[[#This Row],[Waste 1]],WasteScenario[#All],4,FALSE)*'Stage assumptions'!$C$223*WasteTransportMethod[Emissions Factor
kgCO2e/kg.km]*Calculations[[#This Row],[Total Kg]],0)</f>
        <v>0</v>
      </c>
      <c r="W561" s="322" cm="1">
        <f t="array" ref="W561">IFERROR(VLOOKUP(Calculations[[#This Row],[Waste 1]],WasteScenario[#All],5,FALSE)*'Stage assumptions'!$C$226*WasteTransportMethod[Emissions Factor
kgCO2e/kg.km]*Calculations[[#This Row],[Total Kg]],0)</f>
        <v>0</v>
      </c>
      <c r="X561" s="322">
        <f>SUM(Calculations[[#This Row],[C2 Recycle]:[C2 Reuse]])</f>
        <v>0</v>
      </c>
      <c r="Y561" t="str">
        <f>IFERROR(VLOOKUP(Calculations[[#This Row],[Material (choose from dropdown]],MaterialData[#All],5,FALSE),"")</f>
        <v/>
      </c>
      <c r="Z561" s="322">
        <f>IFERROR(((VLOOKUP(Calculations[[#This Row],[Waste type 2]],WasteDisposalEmissions[#All],2,FALSE))*Calculations[[#This Row],[Total Kg]])*VLOOKUP(Calculations[[#This Row],[Waste 1]],WasteScenario[#All],2,FALSE),0)</f>
        <v>0</v>
      </c>
      <c r="AA561" s="322">
        <f>IFERROR((VLOOKUP(Calculations[[#This Row],[Waste type 2]],WasteDisposalEmissions[#All],3,FALSE))*Calculations[[#This Row],[Total Kg]]*VLOOKUP(Calculations[[#This Row],[Waste 1]],WasteScenario[#All],3,FALSE),0)</f>
        <v>0</v>
      </c>
      <c r="AB561" s="322">
        <f>SUM(Calculations[[#This Row],[C3 recyc]:[C3 incin]])</f>
        <v>0</v>
      </c>
      <c r="AC561" s="334">
        <f>IFERROR((VLOOKUP(Calculations[[#This Row],[Waste type 2]],WasteLandfillEmissions[#All],2,FALSE))*Calculations[[#This Row],[Total Kg]]*VLOOKUP(Calculations[[#This Row],[Waste 1]],WasteScenario[#All],4,FALSE),0)</f>
        <v>0</v>
      </c>
      <c r="AD561" s="322">
        <f>IFERROR((VLOOKUP(Calculations[[#This Row],[Waste type 2]],WasteLandfillEmissions[#All],3,FALSE))*Calculations[[#This Row],[Total Kg]]*VLOOKUP(Calculations[[#This Row],[Waste 1]],WasteScenario[#All],4,FALSE),0)</f>
        <v>0</v>
      </c>
      <c r="AE561" s="322">
        <f>SUM(Calculations[[#This Row],[C4 landfill]:[C4 re-use]])</f>
        <v>0</v>
      </c>
      <c r="AF561" s="322">
        <f>IFERROR(VLOOKUP(Calculations[[#This Row],[Material (choose from dropdown]],MaterialData[#All],8,FALSE),0)</f>
        <v>0</v>
      </c>
      <c r="AG561" s="322">
        <f>IFERROR(Calculations[[#This Row],[Total Kg]]*Calculations[[#This Row],[Seq factor]],0)</f>
        <v>0</v>
      </c>
      <c r="AI561" s="322">
        <f>Calculations[[#This Row],[A1-3]]+Calculations[[#This Row],[A4]]+Calculations[[#This Row],[A5]]+Calculations[[#This Row],[B4]]+Calculations[[#This Row],[C2 total]]+Calculations[[#This Row],[C3 total]]+Calculations[[#This Row],[C4 total]]</f>
        <v>0</v>
      </c>
      <c r="AJ561" s="2">
        <f>IFERROR(VLOOKUP(Calculations[[#This Row],[Material (choose from dropdown]],MaterialData[[#Headers],[#Data]],9,FALSE),0)</f>
        <v>0</v>
      </c>
      <c r="AK561" s="4">
        <f>IFERROR(VLOOKUP(Calculations[[#This Row],[Material (choose from dropdown]],MaterialData[[#Headers],[#Data]],10,FALSE),0)</f>
        <v>0</v>
      </c>
      <c r="AL561" s="322">
        <f>IFERROR(Calculations[[#This Row],[Data Quality Score]]*Calculations[[#This Row],[Total Kg]],0)</f>
        <v>0</v>
      </c>
    </row>
    <row r="562" spans="1:38" x14ac:dyDescent="0.3">
      <c r="A562" s="6">
        <f>IFERROR(MaterialsBoQ[[#This Row],[Scope Element]],0)</f>
        <v>0</v>
      </c>
      <c r="B562" t="str">
        <f>IFERROR(MaterialsBoQ[[#This Row],[Material ]],"")</f>
        <v/>
      </c>
      <c r="C562" t="str">
        <f>IFERROR(MaterialsBoQ[[#This Row],[Unit]],"")</f>
        <v/>
      </c>
      <c r="D562" s="322">
        <f>IFERROR(MaterialsBoQ[[#This Row],[Number]],0)</f>
        <v>0</v>
      </c>
      <c r="E562" s="322">
        <f>IFERROR(MaterialsBoQ[[#This Row],[Kg per unit]],0)</f>
        <v>0</v>
      </c>
      <c r="F562" s="322">
        <f>IFERROR(Calculations[[#This Row],[Number]]*Calculations[[#This Row],[Conversion factor]],0)</f>
        <v>0</v>
      </c>
      <c r="G562" s="322">
        <f>IFERROR(VLOOKUP(Calculations[[#This Row],[Material (choose from dropdown]],MaterialData[#All],7,FALSE),0)</f>
        <v>0</v>
      </c>
      <c r="H562" s="322">
        <f>Calculations[[#This Row],[Total Kg]]*Calculations[[#This Row],[Carbon Factor]]</f>
        <v>0</v>
      </c>
      <c r="I562" t="str">
        <f>IFERROR(VLOOKUP(Calculations[[#This Row],[Material (choose from dropdown]],MaterialData[#All],2,FALSE),"")</f>
        <v/>
      </c>
      <c r="J562" s="322">
        <f>IFERROR(((VLOOKUP(Calculations[[#This Row],[TransportSource]],TransportDistance[],2,FALSE)*'Stage assumptions'!$C$11)+VLOOKUP(Calculations[[#This Row],[TransportSource]],TransportDistance[],3,FALSE)*'Stage assumptions'!$C$12)*Calculations[[#This Row],[Total Kg]],0)</f>
        <v>0</v>
      </c>
      <c r="K562">
        <f>IFERROR(VLOOKUP(Calculations[[#This Row],[Material (choose from dropdown]], MaterialData[#All],3, FALSE),0)</f>
        <v>0</v>
      </c>
      <c r="L562" s="322">
        <f>IFERROR(VLOOKUP(Calculations[[#This Row],[A5type]],A5WastageRate[#All],2,FALSE)*Calculations[[#This Row],[A1-3]],0)</f>
        <v>0</v>
      </c>
      <c r="N562">
        <f>IFERROR(ROUNDUP(50/VLOOKUP(Calculations[[#This Row],[Scope Element]],B4referenceServiceLife[[Tier 2 element]:[Default Service Life]],2, FALSE)-1,0),0)</f>
        <v>0</v>
      </c>
      <c r="O562" s="322">
        <f>IFERROR((Calculations[[#This Row],[A1-3]]+Calculations[[#This Row],[A4]]+Calculations[[#This Row],[A5]]+Calculations[[#This Row],[C2 total]]+Calculations[[#This Row],[C3 total]]+Calculations[[#This Row],[C4 total]])*Calculations[[#This Row],[Replacements]],0)</f>
        <v>0</v>
      </c>
      <c r="S562" t="str">
        <f>IFERROR(VLOOKUP(Calculations[[#This Row],[Material (choose from dropdown]],MaterialData[#All],4,FALSE),"")</f>
        <v/>
      </c>
      <c r="T562" s="322" cm="1">
        <f t="array" ref="T562">IFERROR(VLOOKUP(Calculations[[#This Row],[Waste 1]],WasteScenario[#All],2,FALSE)*'Stage assumptions'!$C$225*WasteTransportMethod[Emissions Factor
kgCO2e/kg.km]*Calculations[[#This Row],[Total Kg]],0)</f>
        <v>0</v>
      </c>
      <c r="U562" s="322" cm="1">
        <f t="array" ref="U562">IFERROR(VLOOKUP(Calculations[[#This Row],[Waste 1]],WasteScenario[#All],3,FALSE)*'Stage assumptions'!$C$224*WasteTransportMethod[Emissions Factor
kgCO2e/kg.km]*Calculations[[#This Row],[Total Kg]],0)</f>
        <v>0</v>
      </c>
      <c r="V562" s="322" cm="1">
        <f t="array" ref="V562">IFERROR(VLOOKUP(Calculations[[#This Row],[Waste 1]],WasteScenario[#All],4,FALSE)*'Stage assumptions'!$C$223*WasteTransportMethod[Emissions Factor
kgCO2e/kg.km]*Calculations[[#This Row],[Total Kg]],0)</f>
        <v>0</v>
      </c>
      <c r="W562" s="322" cm="1">
        <f t="array" ref="W562">IFERROR(VLOOKUP(Calculations[[#This Row],[Waste 1]],WasteScenario[#All],5,FALSE)*'Stage assumptions'!$C$226*WasteTransportMethod[Emissions Factor
kgCO2e/kg.km]*Calculations[[#This Row],[Total Kg]],0)</f>
        <v>0</v>
      </c>
      <c r="X562" s="322">
        <f>SUM(Calculations[[#This Row],[C2 Recycle]:[C2 Reuse]])</f>
        <v>0</v>
      </c>
      <c r="Y562" t="str">
        <f>IFERROR(VLOOKUP(Calculations[[#This Row],[Material (choose from dropdown]],MaterialData[#All],5,FALSE),"")</f>
        <v/>
      </c>
      <c r="Z562" s="322">
        <f>IFERROR(((VLOOKUP(Calculations[[#This Row],[Waste type 2]],WasteDisposalEmissions[#All],2,FALSE))*Calculations[[#This Row],[Total Kg]])*VLOOKUP(Calculations[[#This Row],[Waste 1]],WasteScenario[#All],2,FALSE),0)</f>
        <v>0</v>
      </c>
      <c r="AA562" s="322">
        <f>IFERROR((VLOOKUP(Calculations[[#This Row],[Waste type 2]],WasteDisposalEmissions[#All],3,FALSE))*Calculations[[#This Row],[Total Kg]]*VLOOKUP(Calculations[[#This Row],[Waste 1]],WasteScenario[#All],3,FALSE),0)</f>
        <v>0</v>
      </c>
      <c r="AB562" s="322">
        <f>SUM(Calculations[[#This Row],[C3 recyc]:[C3 incin]])</f>
        <v>0</v>
      </c>
      <c r="AC562" s="334">
        <f>IFERROR((VLOOKUP(Calculations[[#This Row],[Waste type 2]],WasteLandfillEmissions[#All],2,FALSE))*Calculations[[#This Row],[Total Kg]]*VLOOKUP(Calculations[[#This Row],[Waste 1]],WasteScenario[#All],4,FALSE),0)</f>
        <v>0</v>
      </c>
      <c r="AD562" s="322">
        <f>IFERROR((VLOOKUP(Calculations[[#This Row],[Waste type 2]],WasteLandfillEmissions[#All],3,FALSE))*Calculations[[#This Row],[Total Kg]]*VLOOKUP(Calculations[[#This Row],[Waste 1]],WasteScenario[#All],4,FALSE),0)</f>
        <v>0</v>
      </c>
      <c r="AE562" s="322">
        <f>SUM(Calculations[[#This Row],[C4 landfill]:[C4 re-use]])</f>
        <v>0</v>
      </c>
      <c r="AF562" s="322">
        <f>IFERROR(VLOOKUP(Calculations[[#This Row],[Material (choose from dropdown]],MaterialData[#All],8,FALSE),0)</f>
        <v>0</v>
      </c>
      <c r="AG562" s="322">
        <f>IFERROR(Calculations[[#This Row],[Total Kg]]*Calculations[[#This Row],[Seq factor]],0)</f>
        <v>0</v>
      </c>
      <c r="AI562" s="322">
        <f>Calculations[[#This Row],[A1-3]]+Calculations[[#This Row],[A4]]+Calculations[[#This Row],[A5]]+Calculations[[#This Row],[B4]]+Calculations[[#This Row],[C2 total]]+Calculations[[#This Row],[C3 total]]+Calculations[[#This Row],[C4 total]]</f>
        <v>0</v>
      </c>
      <c r="AJ562" s="2">
        <f>IFERROR(VLOOKUP(Calculations[[#This Row],[Material (choose from dropdown]],MaterialData[[#Headers],[#Data]],9,FALSE),0)</f>
        <v>0</v>
      </c>
      <c r="AK562" s="4">
        <f>IFERROR(VLOOKUP(Calculations[[#This Row],[Material (choose from dropdown]],MaterialData[[#Headers],[#Data]],10,FALSE),0)</f>
        <v>0</v>
      </c>
      <c r="AL562" s="322">
        <f>IFERROR(Calculations[[#This Row],[Data Quality Score]]*Calculations[[#This Row],[Total Kg]],0)</f>
        <v>0</v>
      </c>
    </row>
    <row r="563" spans="1:38" x14ac:dyDescent="0.3">
      <c r="A563" s="6">
        <f>IFERROR(MaterialsBoQ[[#This Row],[Scope Element]],0)</f>
        <v>0</v>
      </c>
      <c r="B563" t="str">
        <f>IFERROR(MaterialsBoQ[[#This Row],[Material ]],"")</f>
        <v/>
      </c>
      <c r="C563" t="str">
        <f>IFERROR(MaterialsBoQ[[#This Row],[Unit]],"")</f>
        <v/>
      </c>
      <c r="D563" s="322">
        <f>IFERROR(MaterialsBoQ[[#This Row],[Number]],0)</f>
        <v>0</v>
      </c>
      <c r="E563" s="322">
        <f>IFERROR(MaterialsBoQ[[#This Row],[Kg per unit]],0)</f>
        <v>0</v>
      </c>
      <c r="F563" s="322">
        <f>IFERROR(Calculations[[#This Row],[Number]]*Calculations[[#This Row],[Conversion factor]],0)</f>
        <v>0</v>
      </c>
      <c r="G563" s="322">
        <f>IFERROR(VLOOKUP(Calculations[[#This Row],[Material (choose from dropdown]],MaterialData[#All],7,FALSE),0)</f>
        <v>0</v>
      </c>
      <c r="H563" s="322">
        <f>Calculations[[#This Row],[Total Kg]]*Calculations[[#This Row],[Carbon Factor]]</f>
        <v>0</v>
      </c>
      <c r="I563" t="str">
        <f>IFERROR(VLOOKUP(Calculations[[#This Row],[Material (choose from dropdown]],MaterialData[#All],2,FALSE),"")</f>
        <v/>
      </c>
      <c r="J563" s="322">
        <f>IFERROR(((VLOOKUP(Calculations[[#This Row],[TransportSource]],TransportDistance[],2,FALSE)*'Stage assumptions'!$C$11)+VLOOKUP(Calculations[[#This Row],[TransportSource]],TransportDistance[],3,FALSE)*'Stage assumptions'!$C$12)*Calculations[[#This Row],[Total Kg]],0)</f>
        <v>0</v>
      </c>
      <c r="K563">
        <f>IFERROR(VLOOKUP(Calculations[[#This Row],[Material (choose from dropdown]], MaterialData[#All],3, FALSE),0)</f>
        <v>0</v>
      </c>
      <c r="L563" s="322">
        <f>IFERROR(VLOOKUP(Calculations[[#This Row],[A5type]],A5WastageRate[#All],2,FALSE)*Calculations[[#This Row],[A1-3]],0)</f>
        <v>0</v>
      </c>
      <c r="N563">
        <f>IFERROR(ROUNDUP(50/VLOOKUP(Calculations[[#This Row],[Scope Element]],B4referenceServiceLife[[Tier 2 element]:[Default Service Life]],2, FALSE)-1,0),0)</f>
        <v>0</v>
      </c>
      <c r="O563" s="322">
        <f>IFERROR((Calculations[[#This Row],[A1-3]]+Calculations[[#This Row],[A4]]+Calculations[[#This Row],[A5]]+Calculations[[#This Row],[C2 total]]+Calculations[[#This Row],[C3 total]]+Calculations[[#This Row],[C4 total]])*Calculations[[#This Row],[Replacements]],0)</f>
        <v>0</v>
      </c>
      <c r="S563" t="str">
        <f>IFERROR(VLOOKUP(Calculations[[#This Row],[Material (choose from dropdown]],MaterialData[#All],4,FALSE),"")</f>
        <v/>
      </c>
      <c r="T563" s="322" cm="1">
        <f t="array" ref="T563">IFERROR(VLOOKUP(Calculations[[#This Row],[Waste 1]],WasteScenario[#All],2,FALSE)*'Stage assumptions'!$C$225*WasteTransportMethod[Emissions Factor
kgCO2e/kg.km]*Calculations[[#This Row],[Total Kg]],0)</f>
        <v>0</v>
      </c>
      <c r="U563" s="322" cm="1">
        <f t="array" ref="U563">IFERROR(VLOOKUP(Calculations[[#This Row],[Waste 1]],WasteScenario[#All],3,FALSE)*'Stage assumptions'!$C$224*WasteTransportMethod[Emissions Factor
kgCO2e/kg.km]*Calculations[[#This Row],[Total Kg]],0)</f>
        <v>0</v>
      </c>
      <c r="V563" s="322" cm="1">
        <f t="array" ref="V563">IFERROR(VLOOKUP(Calculations[[#This Row],[Waste 1]],WasteScenario[#All],4,FALSE)*'Stage assumptions'!$C$223*WasteTransportMethod[Emissions Factor
kgCO2e/kg.km]*Calculations[[#This Row],[Total Kg]],0)</f>
        <v>0</v>
      </c>
      <c r="W563" s="322" cm="1">
        <f t="array" ref="W563">IFERROR(VLOOKUP(Calculations[[#This Row],[Waste 1]],WasteScenario[#All],5,FALSE)*'Stage assumptions'!$C$226*WasteTransportMethod[Emissions Factor
kgCO2e/kg.km]*Calculations[[#This Row],[Total Kg]],0)</f>
        <v>0</v>
      </c>
      <c r="X563" s="322">
        <f>SUM(Calculations[[#This Row],[C2 Recycle]:[C2 Reuse]])</f>
        <v>0</v>
      </c>
      <c r="Y563" t="str">
        <f>IFERROR(VLOOKUP(Calculations[[#This Row],[Material (choose from dropdown]],MaterialData[#All],5,FALSE),"")</f>
        <v/>
      </c>
      <c r="Z563" s="322">
        <f>IFERROR(((VLOOKUP(Calculations[[#This Row],[Waste type 2]],WasteDisposalEmissions[#All],2,FALSE))*Calculations[[#This Row],[Total Kg]])*VLOOKUP(Calculations[[#This Row],[Waste 1]],WasteScenario[#All],2,FALSE),0)</f>
        <v>0</v>
      </c>
      <c r="AA563" s="322">
        <f>IFERROR((VLOOKUP(Calculations[[#This Row],[Waste type 2]],WasteDisposalEmissions[#All],3,FALSE))*Calculations[[#This Row],[Total Kg]]*VLOOKUP(Calculations[[#This Row],[Waste 1]],WasteScenario[#All],3,FALSE),0)</f>
        <v>0</v>
      </c>
      <c r="AB563" s="322">
        <f>SUM(Calculations[[#This Row],[C3 recyc]:[C3 incin]])</f>
        <v>0</v>
      </c>
      <c r="AC563" s="334">
        <f>IFERROR((VLOOKUP(Calculations[[#This Row],[Waste type 2]],WasteLandfillEmissions[#All],2,FALSE))*Calculations[[#This Row],[Total Kg]]*VLOOKUP(Calculations[[#This Row],[Waste 1]],WasteScenario[#All],4,FALSE),0)</f>
        <v>0</v>
      </c>
      <c r="AD563" s="322">
        <f>IFERROR((VLOOKUP(Calculations[[#This Row],[Waste type 2]],WasteLandfillEmissions[#All],3,FALSE))*Calculations[[#This Row],[Total Kg]]*VLOOKUP(Calculations[[#This Row],[Waste 1]],WasteScenario[#All],4,FALSE),0)</f>
        <v>0</v>
      </c>
      <c r="AE563" s="322">
        <f>SUM(Calculations[[#This Row],[C4 landfill]:[C4 re-use]])</f>
        <v>0</v>
      </c>
      <c r="AF563" s="322">
        <f>IFERROR(VLOOKUP(Calculations[[#This Row],[Material (choose from dropdown]],MaterialData[#All],8,FALSE),0)</f>
        <v>0</v>
      </c>
      <c r="AG563" s="322">
        <f>IFERROR(Calculations[[#This Row],[Total Kg]]*Calculations[[#This Row],[Seq factor]],0)</f>
        <v>0</v>
      </c>
      <c r="AI563" s="322">
        <f>Calculations[[#This Row],[A1-3]]+Calculations[[#This Row],[A4]]+Calculations[[#This Row],[A5]]+Calculations[[#This Row],[B4]]+Calculations[[#This Row],[C2 total]]+Calculations[[#This Row],[C3 total]]+Calculations[[#This Row],[C4 total]]</f>
        <v>0</v>
      </c>
      <c r="AJ563" s="2">
        <f>IFERROR(VLOOKUP(Calculations[[#This Row],[Material (choose from dropdown]],MaterialData[[#Headers],[#Data]],9,FALSE),0)</f>
        <v>0</v>
      </c>
      <c r="AK563" s="4">
        <f>IFERROR(VLOOKUP(Calculations[[#This Row],[Material (choose from dropdown]],MaterialData[[#Headers],[#Data]],10,FALSE),0)</f>
        <v>0</v>
      </c>
      <c r="AL563" s="322">
        <f>IFERROR(Calculations[[#This Row],[Data Quality Score]]*Calculations[[#This Row],[Total Kg]],0)</f>
        <v>0</v>
      </c>
    </row>
    <row r="564" spans="1:38" x14ac:dyDescent="0.3">
      <c r="A564" s="6">
        <f>IFERROR(MaterialsBoQ[[#This Row],[Scope Element]],0)</f>
        <v>0</v>
      </c>
      <c r="B564" t="str">
        <f>IFERROR(MaterialsBoQ[[#This Row],[Material ]],"")</f>
        <v/>
      </c>
      <c r="C564" t="str">
        <f>IFERROR(MaterialsBoQ[[#This Row],[Unit]],"")</f>
        <v/>
      </c>
      <c r="D564" s="322">
        <f>IFERROR(MaterialsBoQ[[#This Row],[Number]],0)</f>
        <v>0</v>
      </c>
      <c r="E564" s="322">
        <f>IFERROR(MaterialsBoQ[[#This Row],[Kg per unit]],0)</f>
        <v>0</v>
      </c>
      <c r="F564" s="322">
        <f>IFERROR(Calculations[[#This Row],[Number]]*Calculations[[#This Row],[Conversion factor]],0)</f>
        <v>0</v>
      </c>
      <c r="G564" s="322">
        <f>IFERROR(VLOOKUP(Calculations[[#This Row],[Material (choose from dropdown]],MaterialData[#All],7,FALSE),0)</f>
        <v>0</v>
      </c>
      <c r="H564" s="322">
        <f>Calculations[[#This Row],[Total Kg]]*Calculations[[#This Row],[Carbon Factor]]</f>
        <v>0</v>
      </c>
      <c r="I564" t="str">
        <f>IFERROR(VLOOKUP(Calculations[[#This Row],[Material (choose from dropdown]],MaterialData[#All],2,FALSE),"")</f>
        <v/>
      </c>
      <c r="J564" s="322">
        <f>IFERROR(((VLOOKUP(Calculations[[#This Row],[TransportSource]],TransportDistance[],2,FALSE)*'Stage assumptions'!$C$11)+VLOOKUP(Calculations[[#This Row],[TransportSource]],TransportDistance[],3,FALSE)*'Stage assumptions'!$C$12)*Calculations[[#This Row],[Total Kg]],0)</f>
        <v>0</v>
      </c>
      <c r="K564">
        <f>IFERROR(VLOOKUP(Calculations[[#This Row],[Material (choose from dropdown]], MaterialData[#All],3, FALSE),0)</f>
        <v>0</v>
      </c>
      <c r="L564" s="322">
        <f>IFERROR(VLOOKUP(Calculations[[#This Row],[A5type]],A5WastageRate[#All],2,FALSE)*Calculations[[#This Row],[A1-3]],0)</f>
        <v>0</v>
      </c>
      <c r="N564">
        <f>IFERROR(ROUNDUP(50/VLOOKUP(Calculations[[#This Row],[Scope Element]],B4referenceServiceLife[[Tier 2 element]:[Default Service Life]],2, FALSE)-1,0),0)</f>
        <v>0</v>
      </c>
      <c r="O564" s="322">
        <f>IFERROR((Calculations[[#This Row],[A1-3]]+Calculations[[#This Row],[A4]]+Calculations[[#This Row],[A5]]+Calculations[[#This Row],[C2 total]]+Calculations[[#This Row],[C3 total]]+Calculations[[#This Row],[C4 total]])*Calculations[[#This Row],[Replacements]],0)</f>
        <v>0</v>
      </c>
      <c r="S564" t="str">
        <f>IFERROR(VLOOKUP(Calculations[[#This Row],[Material (choose from dropdown]],MaterialData[#All],4,FALSE),"")</f>
        <v/>
      </c>
      <c r="T564" s="322" cm="1">
        <f t="array" ref="T564">IFERROR(VLOOKUP(Calculations[[#This Row],[Waste 1]],WasteScenario[#All],2,FALSE)*'Stage assumptions'!$C$225*WasteTransportMethod[Emissions Factor
kgCO2e/kg.km]*Calculations[[#This Row],[Total Kg]],0)</f>
        <v>0</v>
      </c>
      <c r="U564" s="322" cm="1">
        <f t="array" ref="U564">IFERROR(VLOOKUP(Calculations[[#This Row],[Waste 1]],WasteScenario[#All],3,FALSE)*'Stage assumptions'!$C$224*WasteTransportMethod[Emissions Factor
kgCO2e/kg.km]*Calculations[[#This Row],[Total Kg]],0)</f>
        <v>0</v>
      </c>
      <c r="V564" s="322" cm="1">
        <f t="array" ref="V564">IFERROR(VLOOKUP(Calculations[[#This Row],[Waste 1]],WasteScenario[#All],4,FALSE)*'Stage assumptions'!$C$223*WasteTransportMethod[Emissions Factor
kgCO2e/kg.km]*Calculations[[#This Row],[Total Kg]],0)</f>
        <v>0</v>
      </c>
      <c r="W564" s="322" cm="1">
        <f t="array" ref="W564">IFERROR(VLOOKUP(Calculations[[#This Row],[Waste 1]],WasteScenario[#All],5,FALSE)*'Stage assumptions'!$C$226*WasteTransportMethod[Emissions Factor
kgCO2e/kg.km]*Calculations[[#This Row],[Total Kg]],0)</f>
        <v>0</v>
      </c>
      <c r="X564" s="322">
        <f>SUM(Calculations[[#This Row],[C2 Recycle]:[C2 Reuse]])</f>
        <v>0</v>
      </c>
      <c r="Y564" t="str">
        <f>IFERROR(VLOOKUP(Calculations[[#This Row],[Material (choose from dropdown]],MaterialData[#All],5,FALSE),"")</f>
        <v/>
      </c>
      <c r="Z564" s="322">
        <f>IFERROR(((VLOOKUP(Calculations[[#This Row],[Waste type 2]],WasteDisposalEmissions[#All],2,FALSE))*Calculations[[#This Row],[Total Kg]])*VLOOKUP(Calculations[[#This Row],[Waste 1]],WasteScenario[#All],2,FALSE),0)</f>
        <v>0</v>
      </c>
      <c r="AA564" s="322">
        <f>IFERROR((VLOOKUP(Calculations[[#This Row],[Waste type 2]],WasteDisposalEmissions[#All],3,FALSE))*Calculations[[#This Row],[Total Kg]]*VLOOKUP(Calculations[[#This Row],[Waste 1]],WasteScenario[#All],3,FALSE),0)</f>
        <v>0</v>
      </c>
      <c r="AB564" s="322">
        <f>SUM(Calculations[[#This Row],[C3 recyc]:[C3 incin]])</f>
        <v>0</v>
      </c>
      <c r="AC564" s="334">
        <f>IFERROR((VLOOKUP(Calculations[[#This Row],[Waste type 2]],WasteLandfillEmissions[#All],2,FALSE))*Calculations[[#This Row],[Total Kg]]*VLOOKUP(Calculations[[#This Row],[Waste 1]],WasteScenario[#All],4,FALSE),0)</f>
        <v>0</v>
      </c>
      <c r="AD564" s="322">
        <f>IFERROR((VLOOKUP(Calculations[[#This Row],[Waste type 2]],WasteLandfillEmissions[#All],3,FALSE))*Calculations[[#This Row],[Total Kg]]*VLOOKUP(Calculations[[#This Row],[Waste 1]],WasteScenario[#All],4,FALSE),0)</f>
        <v>0</v>
      </c>
      <c r="AE564" s="322">
        <f>SUM(Calculations[[#This Row],[C4 landfill]:[C4 re-use]])</f>
        <v>0</v>
      </c>
      <c r="AF564" s="322">
        <f>IFERROR(VLOOKUP(Calculations[[#This Row],[Material (choose from dropdown]],MaterialData[#All],8,FALSE),0)</f>
        <v>0</v>
      </c>
      <c r="AG564" s="322">
        <f>IFERROR(Calculations[[#This Row],[Total Kg]]*Calculations[[#This Row],[Seq factor]],0)</f>
        <v>0</v>
      </c>
      <c r="AI564" s="322">
        <f>Calculations[[#This Row],[A1-3]]+Calculations[[#This Row],[A4]]+Calculations[[#This Row],[A5]]+Calculations[[#This Row],[B4]]+Calculations[[#This Row],[C2 total]]+Calculations[[#This Row],[C3 total]]+Calculations[[#This Row],[C4 total]]</f>
        <v>0</v>
      </c>
      <c r="AJ564" s="2">
        <f>IFERROR(VLOOKUP(Calculations[[#This Row],[Material (choose from dropdown]],MaterialData[[#Headers],[#Data]],9,FALSE),0)</f>
        <v>0</v>
      </c>
      <c r="AK564" s="4">
        <f>IFERROR(VLOOKUP(Calculations[[#This Row],[Material (choose from dropdown]],MaterialData[[#Headers],[#Data]],10,FALSE),0)</f>
        <v>0</v>
      </c>
      <c r="AL564" s="322">
        <f>IFERROR(Calculations[[#This Row],[Data Quality Score]]*Calculations[[#This Row],[Total Kg]],0)</f>
        <v>0</v>
      </c>
    </row>
    <row r="565" spans="1:38" x14ac:dyDescent="0.3">
      <c r="A565" s="6">
        <f>IFERROR(MaterialsBoQ[[#This Row],[Scope Element]],0)</f>
        <v>0</v>
      </c>
      <c r="B565" t="str">
        <f>IFERROR(MaterialsBoQ[[#This Row],[Material ]],"")</f>
        <v/>
      </c>
      <c r="C565" t="str">
        <f>IFERROR(MaterialsBoQ[[#This Row],[Unit]],"")</f>
        <v/>
      </c>
      <c r="D565" s="322">
        <f>IFERROR(MaterialsBoQ[[#This Row],[Number]],0)</f>
        <v>0</v>
      </c>
      <c r="E565" s="322">
        <f>IFERROR(MaterialsBoQ[[#This Row],[Kg per unit]],0)</f>
        <v>0</v>
      </c>
      <c r="F565" s="322">
        <f>IFERROR(Calculations[[#This Row],[Number]]*Calculations[[#This Row],[Conversion factor]],0)</f>
        <v>0</v>
      </c>
      <c r="G565" s="322">
        <f>IFERROR(VLOOKUP(Calculations[[#This Row],[Material (choose from dropdown]],MaterialData[#All],7,FALSE),0)</f>
        <v>0</v>
      </c>
      <c r="H565" s="322">
        <f>Calculations[[#This Row],[Total Kg]]*Calculations[[#This Row],[Carbon Factor]]</f>
        <v>0</v>
      </c>
      <c r="I565" t="str">
        <f>IFERROR(VLOOKUP(Calculations[[#This Row],[Material (choose from dropdown]],MaterialData[#All],2,FALSE),"")</f>
        <v/>
      </c>
      <c r="J565" s="322">
        <f>IFERROR(((VLOOKUP(Calculations[[#This Row],[TransportSource]],TransportDistance[],2,FALSE)*'Stage assumptions'!$C$11)+VLOOKUP(Calculations[[#This Row],[TransportSource]],TransportDistance[],3,FALSE)*'Stage assumptions'!$C$12)*Calculations[[#This Row],[Total Kg]],0)</f>
        <v>0</v>
      </c>
      <c r="K565">
        <f>IFERROR(VLOOKUP(Calculations[[#This Row],[Material (choose from dropdown]], MaterialData[#All],3, FALSE),0)</f>
        <v>0</v>
      </c>
      <c r="L565" s="322">
        <f>IFERROR(VLOOKUP(Calculations[[#This Row],[A5type]],A5WastageRate[#All],2,FALSE)*Calculations[[#This Row],[A1-3]],0)</f>
        <v>0</v>
      </c>
      <c r="N565">
        <f>IFERROR(ROUNDUP(50/VLOOKUP(Calculations[[#This Row],[Scope Element]],B4referenceServiceLife[[Tier 2 element]:[Default Service Life]],2, FALSE)-1,0),0)</f>
        <v>0</v>
      </c>
      <c r="O565" s="322">
        <f>IFERROR((Calculations[[#This Row],[A1-3]]+Calculations[[#This Row],[A4]]+Calculations[[#This Row],[A5]]+Calculations[[#This Row],[C2 total]]+Calculations[[#This Row],[C3 total]]+Calculations[[#This Row],[C4 total]])*Calculations[[#This Row],[Replacements]],0)</f>
        <v>0</v>
      </c>
      <c r="S565" t="str">
        <f>IFERROR(VLOOKUP(Calculations[[#This Row],[Material (choose from dropdown]],MaterialData[#All],4,FALSE),"")</f>
        <v/>
      </c>
      <c r="T565" s="322" cm="1">
        <f t="array" ref="T565">IFERROR(VLOOKUP(Calculations[[#This Row],[Waste 1]],WasteScenario[#All],2,FALSE)*'Stage assumptions'!$C$225*WasteTransportMethod[Emissions Factor
kgCO2e/kg.km]*Calculations[[#This Row],[Total Kg]],0)</f>
        <v>0</v>
      </c>
      <c r="U565" s="322" cm="1">
        <f t="array" ref="U565">IFERROR(VLOOKUP(Calculations[[#This Row],[Waste 1]],WasteScenario[#All],3,FALSE)*'Stage assumptions'!$C$224*WasteTransportMethod[Emissions Factor
kgCO2e/kg.km]*Calculations[[#This Row],[Total Kg]],0)</f>
        <v>0</v>
      </c>
      <c r="V565" s="322" cm="1">
        <f t="array" ref="V565">IFERROR(VLOOKUP(Calculations[[#This Row],[Waste 1]],WasteScenario[#All],4,FALSE)*'Stage assumptions'!$C$223*WasteTransportMethod[Emissions Factor
kgCO2e/kg.km]*Calculations[[#This Row],[Total Kg]],0)</f>
        <v>0</v>
      </c>
      <c r="W565" s="322" cm="1">
        <f t="array" ref="W565">IFERROR(VLOOKUP(Calculations[[#This Row],[Waste 1]],WasteScenario[#All],5,FALSE)*'Stage assumptions'!$C$226*WasteTransportMethod[Emissions Factor
kgCO2e/kg.km]*Calculations[[#This Row],[Total Kg]],0)</f>
        <v>0</v>
      </c>
      <c r="X565" s="322">
        <f>SUM(Calculations[[#This Row],[C2 Recycle]:[C2 Reuse]])</f>
        <v>0</v>
      </c>
      <c r="Y565" t="str">
        <f>IFERROR(VLOOKUP(Calculations[[#This Row],[Material (choose from dropdown]],MaterialData[#All],5,FALSE),"")</f>
        <v/>
      </c>
      <c r="Z565" s="322">
        <f>IFERROR(((VLOOKUP(Calculations[[#This Row],[Waste type 2]],WasteDisposalEmissions[#All],2,FALSE))*Calculations[[#This Row],[Total Kg]])*VLOOKUP(Calculations[[#This Row],[Waste 1]],WasteScenario[#All],2,FALSE),0)</f>
        <v>0</v>
      </c>
      <c r="AA565" s="322">
        <f>IFERROR((VLOOKUP(Calculations[[#This Row],[Waste type 2]],WasteDisposalEmissions[#All],3,FALSE))*Calculations[[#This Row],[Total Kg]]*VLOOKUP(Calculations[[#This Row],[Waste 1]],WasteScenario[#All],3,FALSE),0)</f>
        <v>0</v>
      </c>
      <c r="AB565" s="322">
        <f>SUM(Calculations[[#This Row],[C3 recyc]:[C3 incin]])</f>
        <v>0</v>
      </c>
      <c r="AC565" s="334">
        <f>IFERROR((VLOOKUP(Calculations[[#This Row],[Waste type 2]],WasteLandfillEmissions[#All],2,FALSE))*Calculations[[#This Row],[Total Kg]]*VLOOKUP(Calculations[[#This Row],[Waste 1]],WasteScenario[#All],4,FALSE),0)</f>
        <v>0</v>
      </c>
      <c r="AD565" s="322">
        <f>IFERROR((VLOOKUP(Calculations[[#This Row],[Waste type 2]],WasteLandfillEmissions[#All],3,FALSE))*Calculations[[#This Row],[Total Kg]]*VLOOKUP(Calculations[[#This Row],[Waste 1]],WasteScenario[#All],4,FALSE),0)</f>
        <v>0</v>
      </c>
      <c r="AE565" s="322">
        <f>SUM(Calculations[[#This Row],[C4 landfill]:[C4 re-use]])</f>
        <v>0</v>
      </c>
      <c r="AF565" s="322">
        <f>IFERROR(VLOOKUP(Calculations[[#This Row],[Material (choose from dropdown]],MaterialData[#All],8,FALSE),0)</f>
        <v>0</v>
      </c>
      <c r="AG565" s="322">
        <f>IFERROR(Calculations[[#This Row],[Total Kg]]*Calculations[[#This Row],[Seq factor]],0)</f>
        <v>0</v>
      </c>
      <c r="AI565" s="322">
        <f>Calculations[[#This Row],[A1-3]]+Calculations[[#This Row],[A4]]+Calculations[[#This Row],[A5]]+Calculations[[#This Row],[B4]]+Calculations[[#This Row],[C2 total]]+Calculations[[#This Row],[C3 total]]+Calculations[[#This Row],[C4 total]]</f>
        <v>0</v>
      </c>
      <c r="AJ565" s="2">
        <f>IFERROR(VLOOKUP(Calculations[[#This Row],[Material (choose from dropdown]],MaterialData[[#Headers],[#Data]],9,FALSE),0)</f>
        <v>0</v>
      </c>
      <c r="AK565" s="4">
        <f>IFERROR(VLOOKUP(Calculations[[#This Row],[Material (choose from dropdown]],MaterialData[[#Headers],[#Data]],10,FALSE),0)</f>
        <v>0</v>
      </c>
      <c r="AL565" s="322">
        <f>IFERROR(Calculations[[#This Row],[Data Quality Score]]*Calculations[[#This Row],[Total Kg]],0)</f>
        <v>0</v>
      </c>
    </row>
    <row r="566" spans="1:38" x14ac:dyDescent="0.3">
      <c r="A566" s="6">
        <f>IFERROR(MaterialsBoQ[[#This Row],[Scope Element]],0)</f>
        <v>0</v>
      </c>
      <c r="B566" t="str">
        <f>IFERROR(MaterialsBoQ[[#This Row],[Material ]],"")</f>
        <v/>
      </c>
      <c r="C566" t="str">
        <f>IFERROR(MaterialsBoQ[[#This Row],[Unit]],"")</f>
        <v/>
      </c>
      <c r="D566" s="322">
        <f>IFERROR(MaterialsBoQ[[#This Row],[Number]],0)</f>
        <v>0</v>
      </c>
      <c r="E566" s="322">
        <f>IFERROR(MaterialsBoQ[[#This Row],[Kg per unit]],0)</f>
        <v>0</v>
      </c>
      <c r="F566" s="322">
        <f>IFERROR(Calculations[[#This Row],[Number]]*Calculations[[#This Row],[Conversion factor]],0)</f>
        <v>0</v>
      </c>
      <c r="G566" s="322">
        <f>IFERROR(VLOOKUP(Calculations[[#This Row],[Material (choose from dropdown]],MaterialData[#All],7,FALSE),0)</f>
        <v>0</v>
      </c>
      <c r="H566" s="322">
        <f>Calculations[[#This Row],[Total Kg]]*Calculations[[#This Row],[Carbon Factor]]</f>
        <v>0</v>
      </c>
      <c r="I566" t="str">
        <f>IFERROR(VLOOKUP(Calculations[[#This Row],[Material (choose from dropdown]],MaterialData[#All],2,FALSE),"")</f>
        <v/>
      </c>
      <c r="J566" s="322">
        <f>IFERROR(((VLOOKUP(Calculations[[#This Row],[TransportSource]],TransportDistance[],2,FALSE)*'Stage assumptions'!$C$11)+VLOOKUP(Calculations[[#This Row],[TransportSource]],TransportDistance[],3,FALSE)*'Stage assumptions'!$C$12)*Calculations[[#This Row],[Total Kg]],0)</f>
        <v>0</v>
      </c>
      <c r="K566">
        <f>IFERROR(VLOOKUP(Calculations[[#This Row],[Material (choose from dropdown]], MaterialData[#All],3, FALSE),0)</f>
        <v>0</v>
      </c>
      <c r="L566" s="322">
        <f>IFERROR(VLOOKUP(Calculations[[#This Row],[A5type]],A5WastageRate[#All],2,FALSE)*Calculations[[#This Row],[A1-3]],0)</f>
        <v>0</v>
      </c>
      <c r="N566">
        <f>IFERROR(ROUNDUP(50/VLOOKUP(Calculations[[#This Row],[Scope Element]],B4referenceServiceLife[[Tier 2 element]:[Default Service Life]],2, FALSE)-1,0),0)</f>
        <v>0</v>
      </c>
      <c r="O566" s="322">
        <f>IFERROR((Calculations[[#This Row],[A1-3]]+Calculations[[#This Row],[A4]]+Calculations[[#This Row],[A5]]+Calculations[[#This Row],[C2 total]]+Calculations[[#This Row],[C3 total]]+Calculations[[#This Row],[C4 total]])*Calculations[[#This Row],[Replacements]],0)</f>
        <v>0</v>
      </c>
      <c r="S566" t="str">
        <f>IFERROR(VLOOKUP(Calculations[[#This Row],[Material (choose from dropdown]],MaterialData[#All],4,FALSE),"")</f>
        <v/>
      </c>
      <c r="T566" s="322" cm="1">
        <f t="array" ref="T566">IFERROR(VLOOKUP(Calculations[[#This Row],[Waste 1]],WasteScenario[#All],2,FALSE)*'Stage assumptions'!$C$225*WasteTransportMethod[Emissions Factor
kgCO2e/kg.km]*Calculations[[#This Row],[Total Kg]],0)</f>
        <v>0</v>
      </c>
      <c r="U566" s="322" cm="1">
        <f t="array" ref="U566">IFERROR(VLOOKUP(Calculations[[#This Row],[Waste 1]],WasteScenario[#All],3,FALSE)*'Stage assumptions'!$C$224*WasteTransportMethod[Emissions Factor
kgCO2e/kg.km]*Calculations[[#This Row],[Total Kg]],0)</f>
        <v>0</v>
      </c>
      <c r="V566" s="322" cm="1">
        <f t="array" ref="V566">IFERROR(VLOOKUP(Calculations[[#This Row],[Waste 1]],WasteScenario[#All],4,FALSE)*'Stage assumptions'!$C$223*WasteTransportMethod[Emissions Factor
kgCO2e/kg.km]*Calculations[[#This Row],[Total Kg]],0)</f>
        <v>0</v>
      </c>
      <c r="W566" s="322" cm="1">
        <f t="array" ref="W566">IFERROR(VLOOKUP(Calculations[[#This Row],[Waste 1]],WasteScenario[#All],5,FALSE)*'Stage assumptions'!$C$226*WasteTransportMethod[Emissions Factor
kgCO2e/kg.km]*Calculations[[#This Row],[Total Kg]],0)</f>
        <v>0</v>
      </c>
      <c r="X566" s="322">
        <f>SUM(Calculations[[#This Row],[C2 Recycle]:[C2 Reuse]])</f>
        <v>0</v>
      </c>
      <c r="Y566" t="str">
        <f>IFERROR(VLOOKUP(Calculations[[#This Row],[Material (choose from dropdown]],MaterialData[#All],5,FALSE),"")</f>
        <v/>
      </c>
      <c r="Z566" s="322">
        <f>IFERROR(((VLOOKUP(Calculations[[#This Row],[Waste type 2]],WasteDisposalEmissions[#All],2,FALSE))*Calculations[[#This Row],[Total Kg]])*VLOOKUP(Calculations[[#This Row],[Waste 1]],WasteScenario[#All],2,FALSE),0)</f>
        <v>0</v>
      </c>
      <c r="AA566" s="322">
        <f>IFERROR((VLOOKUP(Calculations[[#This Row],[Waste type 2]],WasteDisposalEmissions[#All],3,FALSE))*Calculations[[#This Row],[Total Kg]]*VLOOKUP(Calculations[[#This Row],[Waste 1]],WasteScenario[#All],3,FALSE),0)</f>
        <v>0</v>
      </c>
      <c r="AB566" s="322">
        <f>SUM(Calculations[[#This Row],[C3 recyc]:[C3 incin]])</f>
        <v>0</v>
      </c>
      <c r="AC566" s="334">
        <f>IFERROR((VLOOKUP(Calculations[[#This Row],[Waste type 2]],WasteLandfillEmissions[#All],2,FALSE))*Calculations[[#This Row],[Total Kg]]*VLOOKUP(Calculations[[#This Row],[Waste 1]],WasteScenario[#All],4,FALSE),0)</f>
        <v>0</v>
      </c>
      <c r="AD566" s="322">
        <f>IFERROR((VLOOKUP(Calculations[[#This Row],[Waste type 2]],WasteLandfillEmissions[#All],3,FALSE))*Calculations[[#This Row],[Total Kg]]*VLOOKUP(Calculations[[#This Row],[Waste 1]],WasteScenario[#All],4,FALSE),0)</f>
        <v>0</v>
      </c>
      <c r="AE566" s="322">
        <f>SUM(Calculations[[#This Row],[C4 landfill]:[C4 re-use]])</f>
        <v>0</v>
      </c>
      <c r="AF566" s="322">
        <f>IFERROR(VLOOKUP(Calculations[[#This Row],[Material (choose from dropdown]],MaterialData[#All],8,FALSE),0)</f>
        <v>0</v>
      </c>
      <c r="AG566" s="322">
        <f>IFERROR(Calculations[[#This Row],[Total Kg]]*Calculations[[#This Row],[Seq factor]],0)</f>
        <v>0</v>
      </c>
      <c r="AI566" s="322">
        <f>Calculations[[#This Row],[A1-3]]+Calculations[[#This Row],[A4]]+Calculations[[#This Row],[A5]]+Calculations[[#This Row],[B4]]+Calculations[[#This Row],[C2 total]]+Calculations[[#This Row],[C3 total]]+Calculations[[#This Row],[C4 total]]</f>
        <v>0</v>
      </c>
      <c r="AJ566" s="2">
        <f>IFERROR(VLOOKUP(Calculations[[#This Row],[Material (choose from dropdown]],MaterialData[[#Headers],[#Data]],9,FALSE),0)</f>
        <v>0</v>
      </c>
      <c r="AK566" s="4">
        <f>IFERROR(VLOOKUP(Calculations[[#This Row],[Material (choose from dropdown]],MaterialData[[#Headers],[#Data]],10,FALSE),0)</f>
        <v>0</v>
      </c>
      <c r="AL566" s="322">
        <f>IFERROR(Calculations[[#This Row],[Data Quality Score]]*Calculations[[#This Row],[Total Kg]],0)</f>
        <v>0</v>
      </c>
    </row>
    <row r="567" spans="1:38" x14ac:dyDescent="0.3">
      <c r="A567" s="6">
        <f>IFERROR(MaterialsBoQ[[#This Row],[Scope Element]],0)</f>
        <v>0</v>
      </c>
      <c r="B567" t="str">
        <f>IFERROR(MaterialsBoQ[[#This Row],[Material ]],"")</f>
        <v/>
      </c>
      <c r="C567" t="str">
        <f>IFERROR(MaterialsBoQ[[#This Row],[Unit]],"")</f>
        <v/>
      </c>
      <c r="D567" s="322">
        <f>IFERROR(MaterialsBoQ[[#This Row],[Number]],0)</f>
        <v>0</v>
      </c>
      <c r="E567" s="322">
        <f>IFERROR(MaterialsBoQ[[#This Row],[Kg per unit]],0)</f>
        <v>0</v>
      </c>
      <c r="F567" s="322">
        <f>IFERROR(Calculations[[#This Row],[Number]]*Calculations[[#This Row],[Conversion factor]],0)</f>
        <v>0</v>
      </c>
      <c r="G567" s="322">
        <f>IFERROR(VLOOKUP(Calculations[[#This Row],[Material (choose from dropdown]],MaterialData[#All],7,FALSE),0)</f>
        <v>0</v>
      </c>
      <c r="H567" s="322">
        <f>Calculations[[#This Row],[Total Kg]]*Calculations[[#This Row],[Carbon Factor]]</f>
        <v>0</v>
      </c>
      <c r="I567" t="str">
        <f>IFERROR(VLOOKUP(Calculations[[#This Row],[Material (choose from dropdown]],MaterialData[#All],2,FALSE),"")</f>
        <v/>
      </c>
      <c r="J567" s="322">
        <f>IFERROR(((VLOOKUP(Calculations[[#This Row],[TransportSource]],TransportDistance[],2,FALSE)*'Stage assumptions'!$C$11)+VLOOKUP(Calculations[[#This Row],[TransportSource]],TransportDistance[],3,FALSE)*'Stage assumptions'!$C$12)*Calculations[[#This Row],[Total Kg]],0)</f>
        <v>0</v>
      </c>
      <c r="K567">
        <f>IFERROR(VLOOKUP(Calculations[[#This Row],[Material (choose from dropdown]], MaterialData[#All],3, FALSE),0)</f>
        <v>0</v>
      </c>
      <c r="L567" s="322">
        <f>IFERROR(VLOOKUP(Calculations[[#This Row],[A5type]],A5WastageRate[#All],2,FALSE)*Calculations[[#This Row],[A1-3]],0)</f>
        <v>0</v>
      </c>
      <c r="N567">
        <f>IFERROR(ROUNDUP(50/VLOOKUP(Calculations[[#This Row],[Scope Element]],B4referenceServiceLife[[Tier 2 element]:[Default Service Life]],2, FALSE)-1,0),0)</f>
        <v>0</v>
      </c>
      <c r="O567" s="322">
        <f>IFERROR((Calculations[[#This Row],[A1-3]]+Calculations[[#This Row],[A4]]+Calculations[[#This Row],[A5]]+Calculations[[#This Row],[C2 total]]+Calculations[[#This Row],[C3 total]]+Calculations[[#This Row],[C4 total]])*Calculations[[#This Row],[Replacements]],0)</f>
        <v>0</v>
      </c>
      <c r="S567" t="str">
        <f>IFERROR(VLOOKUP(Calculations[[#This Row],[Material (choose from dropdown]],MaterialData[#All],4,FALSE),"")</f>
        <v/>
      </c>
      <c r="T567" s="322" cm="1">
        <f t="array" ref="T567">IFERROR(VLOOKUP(Calculations[[#This Row],[Waste 1]],WasteScenario[#All],2,FALSE)*'Stage assumptions'!$C$225*WasteTransportMethod[Emissions Factor
kgCO2e/kg.km]*Calculations[[#This Row],[Total Kg]],0)</f>
        <v>0</v>
      </c>
      <c r="U567" s="322" cm="1">
        <f t="array" ref="U567">IFERROR(VLOOKUP(Calculations[[#This Row],[Waste 1]],WasteScenario[#All],3,FALSE)*'Stage assumptions'!$C$224*WasteTransportMethod[Emissions Factor
kgCO2e/kg.km]*Calculations[[#This Row],[Total Kg]],0)</f>
        <v>0</v>
      </c>
      <c r="V567" s="322" cm="1">
        <f t="array" ref="V567">IFERROR(VLOOKUP(Calculations[[#This Row],[Waste 1]],WasteScenario[#All],4,FALSE)*'Stage assumptions'!$C$223*WasteTransportMethod[Emissions Factor
kgCO2e/kg.km]*Calculations[[#This Row],[Total Kg]],0)</f>
        <v>0</v>
      </c>
      <c r="W567" s="322" cm="1">
        <f t="array" ref="W567">IFERROR(VLOOKUP(Calculations[[#This Row],[Waste 1]],WasteScenario[#All],5,FALSE)*'Stage assumptions'!$C$226*WasteTransportMethod[Emissions Factor
kgCO2e/kg.km]*Calculations[[#This Row],[Total Kg]],0)</f>
        <v>0</v>
      </c>
      <c r="X567" s="322">
        <f>SUM(Calculations[[#This Row],[C2 Recycle]:[C2 Reuse]])</f>
        <v>0</v>
      </c>
      <c r="Y567" t="str">
        <f>IFERROR(VLOOKUP(Calculations[[#This Row],[Material (choose from dropdown]],MaterialData[#All],5,FALSE),"")</f>
        <v/>
      </c>
      <c r="Z567" s="322">
        <f>IFERROR(((VLOOKUP(Calculations[[#This Row],[Waste type 2]],WasteDisposalEmissions[#All],2,FALSE))*Calculations[[#This Row],[Total Kg]])*VLOOKUP(Calculations[[#This Row],[Waste 1]],WasteScenario[#All],2,FALSE),0)</f>
        <v>0</v>
      </c>
      <c r="AA567" s="322">
        <f>IFERROR((VLOOKUP(Calculations[[#This Row],[Waste type 2]],WasteDisposalEmissions[#All],3,FALSE))*Calculations[[#This Row],[Total Kg]]*VLOOKUP(Calculations[[#This Row],[Waste 1]],WasteScenario[#All],3,FALSE),0)</f>
        <v>0</v>
      </c>
      <c r="AB567" s="322">
        <f>SUM(Calculations[[#This Row],[C3 recyc]:[C3 incin]])</f>
        <v>0</v>
      </c>
      <c r="AC567" s="334">
        <f>IFERROR((VLOOKUP(Calculations[[#This Row],[Waste type 2]],WasteLandfillEmissions[#All],2,FALSE))*Calculations[[#This Row],[Total Kg]]*VLOOKUP(Calculations[[#This Row],[Waste 1]],WasteScenario[#All],4,FALSE),0)</f>
        <v>0</v>
      </c>
      <c r="AD567" s="322">
        <f>IFERROR((VLOOKUP(Calculations[[#This Row],[Waste type 2]],WasteLandfillEmissions[#All],3,FALSE))*Calculations[[#This Row],[Total Kg]]*VLOOKUP(Calculations[[#This Row],[Waste 1]],WasteScenario[#All],4,FALSE),0)</f>
        <v>0</v>
      </c>
      <c r="AE567" s="322">
        <f>SUM(Calculations[[#This Row],[C4 landfill]:[C4 re-use]])</f>
        <v>0</v>
      </c>
      <c r="AF567" s="322">
        <f>IFERROR(VLOOKUP(Calculations[[#This Row],[Material (choose from dropdown]],MaterialData[#All],8,FALSE),0)</f>
        <v>0</v>
      </c>
      <c r="AG567" s="322">
        <f>IFERROR(Calculations[[#This Row],[Total Kg]]*Calculations[[#This Row],[Seq factor]],0)</f>
        <v>0</v>
      </c>
      <c r="AI567" s="322">
        <f>Calculations[[#This Row],[A1-3]]+Calculations[[#This Row],[A4]]+Calculations[[#This Row],[A5]]+Calculations[[#This Row],[B4]]+Calculations[[#This Row],[C2 total]]+Calculations[[#This Row],[C3 total]]+Calculations[[#This Row],[C4 total]]</f>
        <v>0</v>
      </c>
      <c r="AJ567" s="2">
        <f>IFERROR(VLOOKUP(Calculations[[#This Row],[Material (choose from dropdown]],MaterialData[[#Headers],[#Data]],9,FALSE),0)</f>
        <v>0</v>
      </c>
      <c r="AK567" s="4">
        <f>IFERROR(VLOOKUP(Calculations[[#This Row],[Material (choose from dropdown]],MaterialData[[#Headers],[#Data]],10,FALSE),0)</f>
        <v>0</v>
      </c>
      <c r="AL567" s="322">
        <f>IFERROR(Calculations[[#This Row],[Data Quality Score]]*Calculations[[#This Row],[Total Kg]],0)</f>
        <v>0</v>
      </c>
    </row>
    <row r="568" spans="1:38" x14ac:dyDescent="0.3">
      <c r="A568" s="6">
        <f>IFERROR(MaterialsBoQ[[#This Row],[Scope Element]],0)</f>
        <v>0</v>
      </c>
      <c r="B568" t="str">
        <f>IFERROR(MaterialsBoQ[[#This Row],[Material ]],"")</f>
        <v/>
      </c>
      <c r="C568" t="str">
        <f>IFERROR(MaterialsBoQ[[#This Row],[Unit]],"")</f>
        <v/>
      </c>
      <c r="D568" s="322">
        <f>IFERROR(MaterialsBoQ[[#This Row],[Number]],0)</f>
        <v>0</v>
      </c>
      <c r="E568" s="322">
        <f>IFERROR(MaterialsBoQ[[#This Row],[Kg per unit]],0)</f>
        <v>0</v>
      </c>
      <c r="F568" s="322">
        <f>IFERROR(Calculations[[#This Row],[Number]]*Calculations[[#This Row],[Conversion factor]],0)</f>
        <v>0</v>
      </c>
      <c r="G568" s="322">
        <f>IFERROR(VLOOKUP(Calculations[[#This Row],[Material (choose from dropdown]],MaterialData[#All],7,FALSE),0)</f>
        <v>0</v>
      </c>
      <c r="H568" s="322">
        <f>Calculations[[#This Row],[Total Kg]]*Calculations[[#This Row],[Carbon Factor]]</f>
        <v>0</v>
      </c>
      <c r="I568" t="str">
        <f>IFERROR(VLOOKUP(Calculations[[#This Row],[Material (choose from dropdown]],MaterialData[#All],2,FALSE),"")</f>
        <v/>
      </c>
      <c r="J568" s="322">
        <f>IFERROR(((VLOOKUP(Calculations[[#This Row],[TransportSource]],TransportDistance[],2,FALSE)*'Stage assumptions'!$C$11)+VLOOKUP(Calculations[[#This Row],[TransportSource]],TransportDistance[],3,FALSE)*'Stage assumptions'!$C$12)*Calculations[[#This Row],[Total Kg]],0)</f>
        <v>0</v>
      </c>
      <c r="K568">
        <f>IFERROR(VLOOKUP(Calculations[[#This Row],[Material (choose from dropdown]], MaterialData[#All],3, FALSE),0)</f>
        <v>0</v>
      </c>
      <c r="L568" s="322">
        <f>IFERROR(VLOOKUP(Calculations[[#This Row],[A5type]],A5WastageRate[#All],2,FALSE)*Calculations[[#This Row],[A1-3]],0)</f>
        <v>0</v>
      </c>
      <c r="N568">
        <f>IFERROR(ROUNDUP(50/VLOOKUP(Calculations[[#This Row],[Scope Element]],B4referenceServiceLife[[Tier 2 element]:[Default Service Life]],2, FALSE)-1,0),0)</f>
        <v>0</v>
      </c>
      <c r="O568" s="322">
        <f>IFERROR((Calculations[[#This Row],[A1-3]]+Calculations[[#This Row],[A4]]+Calculations[[#This Row],[A5]]+Calculations[[#This Row],[C2 total]]+Calculations[[#This Row],[C3 total]]+Calculations[[#This Row],[C4 total]])*Calculations[[#This Row],[Replacements]],0)</f>
        <v>0</v>
      </c>
      <c r="S568" t="str">
        <f>IFERROR(VLOOKUP(Calculations[[#This Row],[Material (choose from dropdown]],MaterialData[#All],4,FALSE),"")</f>
        <v/>
      </c>
      <c r="T568" s="322" cm="1">
        <f t="array" ref="T568">IFERROR(VLOOKUP(Calculations[[#This Row],[Waste 1]],WasteScenario[#All],2,FALSE)*'Stage assumptions'!$C$225*WasteTransportMethod[Emissions Factor
kgCO2e/kg.km]*Calculations[[#This Row],[Total Kg]],0)</f>
        <v>0</v>
      </c>
      <c r="U568" s="322" cm="1">
        <f t="array" ref="U568">IFERROR(VLOOKUP(Calculations[[#This Row],[Waste 1]],WasteScenario[#All],3,FALSE)*'Stage assumptions'!$C$224*WasteTransportMethod[Emissions Factor
kgCO2e/kg.km]*Calculations[[#This Row],[Total Kg]],0)</f>
        <v>0</v>
      </c>
      <c r="V568" s="322" cm="1">
        <f t="array" ref="V568">IFERROR(VLOOKUP(Calculations[[#This Row],[Waste 1]],WasteScenario[#All],4,FALSE)*'Stage assumptions'!$C$223*WasteTransportMethod[Emissions Factor
kgCO2e/kg.km]*Calculations[[#This Row],[Total Kg]],0)</f>
        <v>0</v>
      </c>
      <c r="W568" s="322" cm="1">
        <f t="array" ref="W568">IFERROR(VLOOKUP(Calculations[[#This Row],[Waste 1]],WasteScenario[#All],5,FALSE)*'Stage assumptions'!$C$226*WasteTransportMethod[Emissions Factor
kgCO2e/kg.km]*Calculations[[#This Row],[Total Kg]],0)</f>
        <v>0</v>
      </c>
      <c r="X568" s="322">
        <f>SUM(Calculations[[#This Row],[C2 Recycle]:[C2 Reuse]])</f>
        <v>0</v>
      </c>
      <c r="Y568" t="str">
        <f>IFERROR(VLOOKUP(Calculations[[#This Row],[Material (choose from dropdown]],MaterialData[#All],5,FALSE),"")</f>
        <v/>
      </c>
      <c r="Z568" s="322">
        <f>IFERROR(((VLOOKUP(Calculations[[#This Row],[Waste type 2]],WasteDisposalEmissions[#All],2,FALSE))*Calculations[[#This Row],[Total Kg]])*VLOOKUP(Calculations[[#This Row],[Waste 1]],WasteScenario[#All],2,FALSE),0)</f>
        <v>0</v>
      </c>
      <c r="AA568" s="322">
        <f>IFERROR((VLOOKUP(Calculations[[#This Row],[Waste type 2]],WasteDisposalEmissions[#All],3,FALSE))*Calculations[[#This Row],[Total Kg]]*VLOOKUP(Calculations[[#This Row],[Waste 1]],WasteScenario[#All],3,FALSE),0)</f>
        <v>0</v>
      </c>
      <c r="AB568" s="322">
        <f>SUM(Calculations[[#This Row],[C3 recyc]:[C3 incin]])</f>
        <v>0</v>
      </c>
      <c r="AC568" s="334">
        <f>IFERROR((VLOOKUP(Calculations[[#This Row],[Waste type 2]],WasteLandfillEmissions[#All],2,FALSE))*Calculations[[#This Row],[Total Kg]]*VLOOKUP(Calculations[[#This Row],[Waste 1]],WasteScenario[#All],4,FALSE),0)</f>
        <v>0</v>
      </c>
      <c r="AD568" s="322">
        <f>IFERROR((VLOOKUP(Calculations[[#This Row],[Waste type 2]],WasteLandfillEmissions[#All],3,FALSE))*Calculations[[#This Row],[Total Kg]]*VLOOKUP(Calculations[[#This Row],[Waste 1]],WasteScenario[#All],4,FALSE),0)</f>
        <v>0</v>
      </c>
      <c r="AE568" s="322">
        <f>SUM(Calculations[[#This Row],[C4 landfill]:[C4 re-use]])</f>
        <v>0</v>
      </c>
      <c r="AF568" s="322">
        <f>IFERROR(VLOOKUP(Calculations[[#This Row],[Material (choose from dropdown]],MaterialData[#All],8,FALSE),0)</f>
        <v>0</v>
      </c>
      <c r="AG568" s="322">
        <f>IFERROR(Calculations[[#This Row],[Total Kg]]*Calculations[[#This Row],[Seq factor]],0)</f>
        <v>0</v>
      </c>
      <c r="AI568" s="322">
        <f>Calculations[[#This Row],[A1-3]]+Calculations[[#This Row],[A4]]+Calculations[[#This Row],[A5]]+Calculations[[#This Row],[B4]]+Calculations[[#This Row],[C2 total]]+Calculations[[#This Row],[C3 total]]+Calculations[[#This Row],[C4 total]]</f>
        <v>0</v>
      </c>
      <c r="AJ568" s="2">
        <f>IFERROR(VLOOKUP(Calculations[[#This Row],[Material (choose from dropdown]],MaterialData[[#Headers],[#Data]],9,FALSE),0)</f>
        <v>0</v>
      </c>
      <c r="AK568" s="4">
        <f>IFERROR(VLOOKUP(Calculations[[#This Row],[Material (choose from dropdown]],MaterialData[[#Headers],[#Data]],10,FALSE),0)</f>
        <v>0</v>
      </c>
      <c r="AL568" s="322">
        <f>IFERROR(Calculations[[#This Row],[Data Quality Score]]*Calculations[[#This Row],[Total Kg]],0)</f>
        <v>0</v>
      </c>
    </row>
    <row r="569" spans="1:38" x14ac:dyDescent="0.3">
      <c r="A569" s="6">
        <f>IFERROR(MaterialsBoQ[[#This Row],[Scope Element]],0)</f>
        <v>0</v>
      </c>
      <c r="B569" t="str">
        <f>IFERROR(MaterialsBoQ[[#This Row],[Material ]],"")</f>
        <v/>
      </c>
      <c r="C569" t="str">
        <f>IFERROR(MaterialsBoQ[[#This Row],[Unit]],"")</f>
        <v/>
      </c>
      <c r="D569" s="322">
        <f>IFERROR(MaterialsBoQ[[#This Row],[Number]],0)</f>
        <v>0</v>
      </c>
      <c r="E569" s="322">
        <f>IFERROR(MaterialsBoQ[[#This Row],[Kg per unit]],0)</f>
        <v>0</v>
      </c>
      <c r="F569" s="322">
        <f>IFERROR(Calculations[[#This Row],[Number]]*Calculations[[#This Row],[Conversion factor]],0)</f>
        <v>0</v>
      </c>
      <c r="G569" s="322">
        <f>IFERROR(VLOOKUP(Calculations[[#This Row],[Material (choose from dropdown]],MaterialData[#All],7,FALSE),0)</f>
        <v>0</v>
      </c>
      <c r="H569" s="322">
        <f>Calculations[[#This Row],[Total Kg]]*Calculations[[#This Row],[Carbon Factor]]</f>
        <v>0</v>
      </c>
      <c r="I569" t="str">
        <f>IFERROR(VLOOKUP(Calculations[[#This Row],[Material (choose from dropdown]],MaterialData[#All],2,FALSE),"")</f>
        <v/>
      </c>
      <c r="J569" s="322">
        <f>IFERROR(((VLOOKUP(Calculations[[#This Row],[TransportSource]],TransportDistance[],2,FALSE)*'Stage assumptions'!$C$11)+VLOOKUP(Calculations[[#This Row],[TransportSource]],TransportDistance[],3,FALSE)*'Stage assumptions'!$C$12)*Calculations[[#This Row],[Total Kg]],0)</f>
        <v>0</v>
      </c>
      <c r="K569">
        <f>IFERROR(VLOOKUP(Calculations[[#This Row],[Material (choose from dropdown]], MaterialData[#All],3, FALSE),0)</f>
        <v>0</v>
      </c>
      <c r="L569" s="322">
        <f>IFERROR(VLOOKUP(Calculations[[#This Row],[A5type]],A5WastageRate[#All],2,FALSE)*Calculations[[#This Row],[A1-3]],0)</f>
        <v>0</v>
      </c>
      <c r="N569">
        <f>IFERROR(ROUNDUP(50/VLOOKUP(Calculations[[#This Row],[Scope Element]],B4referenceServiceLife[[Tier 2 element]:[Default Service Life]],2, FALSE)-1,0),0)</f>
        <v>0</v>
      </c>
      <c r="O569" s="322">
        <f>IFERROR((Calculations[[#This Row],[A1-3]]+Calculations[[#This Row],[A4]]+Calculations[[#This Row],[A5]]+Calculations[[#This Row],[C2 total]]+Calculations[[#This Row],[C3 total]]+Calculations[[#This Row],[C4 total]])*Calculations[[#This Row],[Replacements]],0)</f>
        <v>0</v>
      </c>
      <c r="S569" t="str">
        <f>IFERROR(VLOOKUP(Calculations[[#This Row],[Material (choose from dropdown]],MaterialData[#All],4,FALSE),"")</f>
        <v/>
      </c>
      <c r="T569" s="322" cm="1">
        <f t="array" ref="T569">IFERROR(VLOOKUP(Calculations[[#This Row],[Waste 1]],WasteScenario[#All],2,FALSE)*'Stage assumptions'!$C$225*WasteTransportMethod[Emissions Factor
kgCO2e/kg.km]*Calculations[[#This Row],[Total Kg]],0)</f>
        <v>0</v>
      </c>
      <c r="U569" s="322" cm="1">
        <f t="array" ref="U569">IFERROR(VLOOKUP(Calculations[[#This Row],[Waste 1]],WasteScenario[#All],3,FALSE)*'Stage assumptions'!$C$224*WasteTransportMethod[Emissions Factor
kgCO2e/kg.km]*Calculations[[#This Row],[Total Kg]],0)</f>
        <v>0</v>
      </c>
      <c r="V569" s="322" cm="1">
        <f t="array" ref="V569">IFERROR(VLOOKUP(Calculations[[#This Row],[Waste 1]],WasteScenario[#All],4,FALSE)*'Stage assumptions'!$C$223*WasteTransportMethod[Emissions Factor
kgCO2e/kg.km]*Calculations[[#This Row],[Total Kg]],0)</f>
        <v>0</v>
      </c>
      <c r="W569" s="322" cm="1">
        <f t="array" ref="W569">IFERROR(VLOOKUP(Calculations[[#This Row],[Waste 1]],WasteScenario[#All],5,FALSE)*'Stage assumptions'!$C$226*WasteTransportMethod[Emissions Factor
kgCO2e/kg.km]*Calculations[[#This Row],[Total Kg]],0)</f>
        <v>0</v>
      </c>
      <c r="X569" s="322">
        <f>SUM(Calculations[[#This Row],[C2 Recycle]:[C2 Reuse]])</f>
        <v>0</v>
      </c>
      <c r="Y569" t="str">
        <f>IFERROR(VLOOKUP(Calculations[[#This Row],[Material (choose from dropdown]],MaterialData[#All],5,FALSE),"")</f>
        <v/>
      </c>
      <c r="Z569" s="322">
        <f>IFERROR(((VLOOKUP(Calculations[[#This Row],[Waste type 2]],WasteDisposalEmissions[#All],2,FALSE))*Calculations[[#This Row],[Total Kg]])*VLOOKUP(Calculations[[#This Row],[Waste 1]],WasteScenario[#All],2,FALSE),0)</f>
        <v>0</v>
      </c>
      <c r="AA569" s="322">
        <f>IFERROR((VLOOKUP(Calculations[[#This Row],[Waste type 2]],WasteDisposalEmissions[#All],3,FALSE))*Calculations[[#This Row],[Total Kg]]*VLOOKUP(Calculations[[#This Row],[Waste 1]],WasteScenario[#All],3,FALSE),0)</f>
        <v>0</v>
      </c>
      <c r="AB569" s="322">
        <f>SUM(Calculations[[#This Row],[C3 recyc]:[C3 incin]])</f>
        <v>0</v>
      </c>
      <c r="AC569" s="334">
        <f>IFERROR((VLOOKUP(Calculations[[#This Row],[Waste type 2]],WasteLandfillEmissions[#All],2,FALSE))*Calculations[[#This Row],[Total Kg]]*VLOOKUP(Calculations[[#This Row],[Waste 1]],WasteScenario[#All],4,FALSE),0)</f>
        <v>0</v>
      </c>
      <c r="AD569" s="322">
        <f>IFERROR((VLOOKUP(Calculations[[#This Row],[Waste type 2]],WasteLandfillEmissions[#All],3,FALSE))*Calculations[[#This Row],[Total Kg]]*VLOOKUP(Calculations[[#This Row],[Waste 1]],WasteScenario[#All],4,FALSE),0)</f>
        <v>0</v>
      </c>
      <c r="AE569" s="322">
        <f>SUM(Calculations[[#This Row],[C4 landfill]:[C4 re-use]])</f>
        <v>0</v>
      </c>
      <c r="AF569" s="322">
        <f>IFERROR(VLOOKUP(Calculations[[#This Row],[Material (choose from dropdown]],MaterialData[#All],8,FALSE),0)</f>
        <v>0</v>
      </c>
      <c r="AG569" s="322">
        <f>IFERROR(Calculations[[#This Row],[Total Kg]]*Calculations[[#This Row],[Seq factor]],0)</f>
        <v>0</v>
      </c>
      <c r="AI569" s="322">
        <f>Calculations[[#This Row],[A1-3]]+Calculations[[#This Row],[A4]]+Calculations[[#This Row],[A5]]+Calculations[[#This Row],[B4]]+Calculations[[#This Row],[C2 total]]+Calculations[[#This Row],[C3 total]]+Calculations[[#This Row],[C4 total]]</f>
        <v>0</v>
      </c>
      <c r="AJ569" s="2">
        <f>IFERROR(VLOOKUP(Calculations[[#This Row],[Material (choose from dropdown]],MaterialData[[#Headers],[#Data]],9,FALSE),0)</f>
        <v>0</v>
      </c>
      <c r="AK569" s="4">
        <f>IFERROR(VLOOKUP(Calculations[[#This Row],[Material (choose from dropdown]],MaterialData[[#Headers],[#Data]],10,FALSE),0)</f>
        <v>0</v>
      </c>
      <c r="AL569" s="322">
        <f>IFERROR(Calculations[[#This Row],[Data Quality Score]]*Calculations[[#This Row],[Total Kg]],0)</f>
        <v>0</v>
      </c>
    </row>
    <row r="570" spans="1:38" x14ac:dyDescent="0.3">
      <c r="A570" s="6">
        <f>IFERROR(MaterialsBoQ[[#This Row],[Scope Element]],0)</f>
        <v>0</v>
      </c>
      <c r="B570" t="str">
        <f>IFERROR(MaterialsBoQ[[#This Row],[Material ]],"")</f>
        <v/>
      </c>
      <c r="C570" t="str">
        <f>IFERROR(MaterialsBoQ[[#This Row],[Unit]],"")</f>
        <v/>
      </c>
      <c r="D570" s="322">
        <f>IFERROR(MaterialsBoQ[[#This Row],[Number]],0)</f>
        <v>0</v>
      </c>
      <c r="E570" s="322">
        <f>IFERROR(MaterialsBoQ[[#This Row],[Kg per unit]],0)</f>
        <v>0</v>
      </c>
      <c r="F570" s="322">
        <f>IFERROR(Calculations[[#This Row],[Number]]*Calculations[[#This Row],[Conversion factor]],0)</f>
        <v>0</v>
      </c>
      <c r="G570" s="322">
        <f>IFERROR(VLOOKUP(Calculations[[#This Row],[Material (choose from dropdown]],MaterialData[#All],7,FALSE),0)</f>
        <v>0</v>
      </c>
      <c r="H570" s="322">
        <f>Calculations[[#This Row],[Total Kg]]*Calculations[[#This Row],[Carbon Factor]]</f>
        <v>0</v>
      </c>
      <c r="I570" t="str">
        <f>IFERROR(VLOOKUP(Calculations[[#This Row],[Material (choose from dropdown]],MaterialData[#All],2,FALSE),"")</f>
        <v/>
      </c>
      <c r="J570" s="322">
        <f>IFERROR(((VLOOKUP(Calculations[[#This Row],[TransportSource]],TransportDistance[],2,FALSE)*'Stage assumptions'!$C$11)+VLOOKUP(Calculations[[#This Row],[TransportSource]],TransportDistance[],3,FALSE)*'Stage assumptions'!$C$12)*Calculations[[#This Row],[Total Kg]],0)</f>
        <v>0</v>
      </c>
      <c r="K570">
        <f>IFERROR(VLOOKUP(Calculations[[#This Row],[Material (choose from dropdown]], MaterialData[#All],3, FALSE),0)</f>
        <v>0</v>
      </c>
      <c r="L570" s="322">
        <f>IFERROR(VLOOKUP(Calculations[[#This Row],[A5type]],A5WastageRate[#All],2,FALSE)*Calculations[[#This Row],[A1-3]],0)</f>
        <v>0</v>
      </c>
      <c r="N570">
        <f>IFERROR(ROUNDUP(50/VLOOKUP(Calculations[[#This Row],[Scope Element]],B4referenceServiceLife[[Tier 2 element]:[Default Service Life]],2, FALSE)-1,0),0)</f>
        <v>0</v>
      </c>
      <c r="O570" s="322">
        <f>IFERROR((Calculations[[#This Row],[A1-3]]+Calculations[[#This Row],[A4]]+Calculations[[#This Row],[A5]]+Calculations[[#This Row],[C2 total]]+Calculations[[#This Row],[C3 total]]+Calculations[[#This Row],[C4 total]])*Calculations[[#This Row],[Replacements]],0)</f>
        <v>0</v>
      </c>
      <c r="S570" t="str">
        <f>IFERROR(VLOOKUP(Calculations[[#This Row],[Material (choose from dropdown]],MaterialData[#All],4,FALSE),"")</f>
        <v/>
      </c>
      <c r="T570" s="322" cm="1">
        <f t="array" ref="T570">IFERROR(VLOOKUP(Calculations[[#This Row],[Waste 1]],WasteScenario[#All],2,FALSE)*'Stage assumptions'!$C$225*WasteTransportMethod[Emissions Factor
kgCO2e/kg.km]*Calculations[[#This Row],[Total Kg]],0)</f>
        <v>0</v>
      </c>
      <c r="U570" s="322" cm="1">
        <f t="array" ref="U570">IFERROR(VLOOKUP(Calculations[[#This Row],[Waste 1]],WasteScenario[#All],3,FALSE)*'Stage assumptions'!$C$224*WasteTransportMethod[Emissions Factor
kgCO2e/kg.km]*Calculations[[#This Row],[Total Kg]],0)</f>
        <v>0</v>
      </c>
      <c r="V570" s="322" cm="1">
        <f t="array" ref="V570">IFERROR(VLOOKUP(Calculations[[#This Row],[Waste 1]],WasteScenario[#All],4,FALSE)*'Stage assumptions'!$C$223*WasteTransportMethod[Emissions Factor
kgCO2e/kg.km]*Calculations[[#This Row],[Total Kg]],0)</f>
        <v>0</v>
      </c>
      <c r="W570" s="322" cm="1">
        <f t="array" ref="W570">IFERROR(VLOOKUP(Calculations[[#This Row],[Waste 1]],WasteScenario[#All],5,FALSE)*'Stage assumptions'!$C$226*WasteTransportMethod[Emissions Factor
kgCO2e/kg.km]*Calculations[[#This Row],[Total Kg]],0)</f>
        <v>0</v>
      </c>
      <c r="X570" s="322">
        <f>SUM(Calculations[[#This Row],[C2 Recycle]:[C2 Reuse]])</f>
        <v>0</v>
      </c>
      <c r="Y570" t="str">
        <f>IFERROR(VLOOKUP(Calculations[[#This Row],[Material (choose from dropdown]],MaterialData[#All],5,FALSE),"")</f>
        <v/>
      </c>
      <c r="Z570" s="322">
        <f>IFERROR(((VLOOKUP(Calculations[[#This Row],[Waste type 2]],WasteDisposalEmissions[#All],2,FALSE))*Calculations[[#This Row],[Total Kg]])*VLOOKUP(Calculations[[#This Row],[Waste 1]],WasteScenario[#All],2,FALSE),0)</f>
        <v>0</v>
      </c>
      <c r="AA570" s="322">
        <f>IFERROR((VLOOKUP(Calculations[[#This Row],[Waste type 2]],WasteDisposalEmissions[#All],3,FALSE))*Calculations[[#This Row],[Total Kg]]*VLOOKUP(Calculations[[#This Row],[Waste 1]],WasteScenario[#All],3,FALSE),0)</f>
        <v>0</v>
      </c>
      <c r="AB570" s="322">
        <f>SUM(Calculations[[#This Row],[C3 recyc]:[C3 incin]])</f>
        <v>0</v>
      </c>
      <c r="AC570" s="334">
        <f>IFERROR((VLOOKUP(Calculations[[#This Row],[Waste type 2]],WasteLandfillEmissions[#All],2,FALSE))*Calculations[[#This Row],[Total Kg]]*VLOOKUP(Calculations[[#This Row],[Waste 1]],WasteScenario[#All],4,FALSE),0)</f>
        <v>0</v>
      </c>
      <c r="AD570" s="322">
        <f>IFERROR((VLOOKUP(Calculations[[#This Row],[Waste type 2]],WasteLandfillEmissions[#All],3,FALSE))*Calculations[[#This Row],[Total Kg]]*VLOOKUP(Calculations[[#This Row],[Waste 1]],WasteScenario[#All],4,FALSE),0)</f>
        <v>0</v>
      </c>
      <c r="AE570" s="322">
        <f>SUM(Calculations[[#This Row],[C4 landfill]:[C4 re-use]])</f>
        <v>0</v>
      </c>
      <c r="AF570" s="322">
        <f>IFERROR(VLOOKUP(Calculations[[#This Row],[Material (choose from dropdown]],MaterialData[#All],8,FALSE),0)</f>
        <v>0</v>
      </c>
      <c r="AG570" s="322">
        <f>IFERROR(Calculations[[#This Row],[Total Kg]]*Calculations[[#This Row],[Seq factor]],0)</f>
        <v>0</v>
      </c>
      <c r="AI570" s="322">
        <f>Calculations[[#This Row],[A1-3]]+Calculations[[#This Row],[A4]]+Calculations[[#This Row],[A5]]+Calculations[[#This Row],[B4]]+Calculations[[#This Row],[C2 total]]+Calculations[[#This Row],[C3 total]]+Calculations[[#This Row],[C4 total]]</f>
        <v>0</v>
      </c>
      <c r="AJ570" s="2">
        <f>IFERROR(VLOOKUP(Calculations[[#This Row],[Material (choose from dropdown]],MaterialData[[#Headers],[#Data]],9,FALSE),0)</f>
        <v>0</v>
      </c>
      <c r="AK570" s="4">
        <f>IFERROR(VLOOKUP(Calculations[[#This Row],[Material (choose from dropdown]],MaterialData[[#Headers],[#Data]],10,FALSE),0)</f>
        <v>0</v>
      </c>
      <c r="AL570" s="322">
        <f>IFERROR(Calculations[[#This Row],[Data Quality Score]]*Calculations[[#This Row],[Total Kg]],0)</f>
        <v>0</v>
      </c>
    </row>
    <row r="571" spans="1:38" x14ac:dyDescent="0.3">
      <c r="A571" s="6">
        <f>IFERROR(MaterialsBoQ[[#This Row],[Scope Element]],0)</f>
        <v>0</v>
      </c>
      <c r="B571" t="str">
        <f>IFERROR(MaterialsBoQ[[#This Row],[Material ]],"")</f>
        <v/>
      </c>
      <c r="C571" t="str">
        <f>IFERROR(MaterialsBoQ[[#This Row],[Unit]],"")</f>
        <v/>
      </c>
      <c r="D571" s="322">
        <f>IFERROR(MaterialsBoQ[[#This Row],[Number]],0)</f>
        <v>0</v>
      </c>
      <c r="E571" s="322">
        <f>IFERROR(MaterialsBoQ[[#This Row],[Kg per unit]],0)</f>
        <v>0</v>
      </c>
      <c r="F571" s="322">
        <f>IFERROR(Calculations[[#This Row],[Number]]*Calculations[[#This Row],[Conversion factor]],0)</f>
        <v>0</v>
      </c>
      <c r="G571" s="322">
        <f>IFERROR(VLOOKUP(Calculations[[#This Row],[Material (choose from dropdown]],MaterialData[#All],7,FALSE),0)</f>
        <v>0</v>
      </c>
      <c r="H571" s="322">
        <f>Calculations[[#This Row],[Total Kg]]*Calculations[[#This Row],[Carbon Factor]]</f>
        <v>0</v>
      </c>
      <c r="I571" t="str">
        <f>IFERROR(VLOOKUP(Calculations[[#This Row],[Material (choose from dropdown]],MaterialData[#All],2,FALSE),"")</f>
        <v/>
      </c>
      <c r="J571" s="322">
        <f>IFERROR(((VLOOKUP(Calculations[[#This Row],[TransportSource]],TransportDistance[],2,FALSE)*'Stage assumptions'!$C$11)+VLOOKUP(Calculations[[#This Row],[TransportSource]],TransportDistance[],3,FALSE)*'Stage assumptions'!$C$12)*Calculations[[#This Row],[Total Kg]],0)</f>
        <v>0</v>
      </c>
      <c r="K571">
        <f>IFERROR(VLOOKUP(Calculations[[#This Row],[Material (choose from dropdown]], MaterialData[#All],3, FALSE),0)</f>
        <v>0</v>
      </c>
      <c r="L571" s="322">
        <f>IFERROR(VLOOKUP(Calculations[[#This Row],[A5type]],A5WastageRate[#All],2,FALSE)*Calculations[[#This Row],[A1-3]],0)</f>
        <v>0</v>
      </c>
      <c r="N571">
        <f>IFERROR(ROUNDUP(50/VLOOKUP(Calculations[[#This Row],[Scope Element]],B4referenceServiceLife[[Tier 2 element]:[Default Service Life]],2, FALSE)-1,0),0)</f>
        <v>0</v>
      </c>
      <c r="O571" s="322">
        <f>IFERROR((Calculations[[#This Row],[A1-3]]+Calculations[[#This Row],[A4]]+Calculations[[#This Row],[A5]]+Calculations[[#This Row],[C2 total]]+Calculations[[#This Row],[C3 total]]+Calculations[[#This Row],[C4 total]])*Calculations[[#This Row],[Replacements]],0)</f>
        <v>0</v>
      </c>
      <c r="S571" t="str">
        <f>IFERROR(VLOOKUP(Calculations[[#This Row],[Material (choose from dropdown]],MaterialData[#All],4,FALSE),"")</f>
        <v/>
      </c>
      <c r="T571" s="322" cm="1">
        <f t="array" ref="T571">IFERROR(VLOOKUP(Calculations[[#This Row],[Waste 1]],WasteScenario[#All],2,FALSE)*'Stage assumptions'!$C$225*WasteTransportMethod[Emissions Factor
kgCO2e/kg.km]*Calculations[[#This Row],[Total Kg]],0)</f>
        <v>0</v>
      </c>
      <c r="U571" s="322" cm="1">
        <f t="array" ref="U571">IFERROR(VLOOKUP(Calculations[[#This Row],[Waste 1]],WasteScenario[#All],3,FALSE)*'Stage assumptions'!$C$224*WasteTransportMethod[Emissions Factor
kgCO2e/kg.km]*Calculations[[#This Row],[Total Kg]],0)</f>
        <v>0</v>
      </c>
      <c r="V571" s="322" cm="1">
        <f t="array" ref="V571">IFERROR(VLOOKUP(Calculations[[#This Row],[Waste 1]],WasteScenario[#All],4,FALSE)*'Stage assumptions'!$C$223*WasteTransportMethod[Emissions Factor
kgCO2e/kg.km]*Calculations[[#This Row],[Total Kg]],0)</f>
        <v>0</v>
      </c>
      <c r="W571" s="322" cm="1">
        <f t="array" ref="W571">IFERROR(VLOOKUP(Calculations[[#This Row],[Waste 1]],WasteScenario[#All],5,FALSE)*'Stage assumptions'!$C$226*WasteTransportMethod[Emissions Factor
kgCO2e/kg.km]*Calculations[[#This Row],[Total Kg]],0)</f>
        <v>0</v>
      </c>
      <c r="X571" s="322">
        <f>SUM(Calculations[[#This Row],[C2 Recycle]:[C2 Reuse]])</f>
        <v>0</v>
      </c>
      <c r="Y571" t="str">
        <f>IFERROR(VLOOKUP(Calculations[[#This Row],[Material (choose from dropdown]],MaterialData[#All],5,FALSE),"")</f>
        <v/>
      </c>
      <c r="Z571" s="322">
        <f>IFERROR(((VLOOKUP(Calculations[[#This Row],[Waste type 2]],WasteDisposalEmissions[#All],2,FALSE))*Calculations[[#This Row],[Total Kg]])*VLOOKUP(Calculations[[#This Row],[Waste 1]],WasteScenario[#All],2,FALSE),0)</f>
        <v>0</v>
      </c>
      <c r="AA571" s="322">
        <f>IFERROR((VLOOKUP(Calculations[[#This Row],[Waste type 2]],WasteDisposalEmissions[#All],3,FALSE))*Calculations[[#This Row],[Total Kg]]*VLOOKUP(Calculations[[#This Row],[Waste 1]],WasteScenario[#All],3,FALSE),0)</f>
        <v>0</v>
      </c>
      <c r="AB571" s="322">
        <f>SUM(Calculations[[#This Row],[C3 recyc]:[C3 incin]])</f>
        <v>0</v>
      </c>
      <c r="AC571" s="334">
        <f>IFERROR((VLOOKUP(Calculations[[#This Row],[Waste type 2]],WasteLandfillEmissions[#All],2,FALSE))*Calculations[[#This Row],[Total Kg]]*VLOOKUP(Calculations[[#This Row],[Waste 1]],WasteScenario[#All],4,FALSE),0)</f>
        <v>0</v>
      </c>
      <c r="AD571" s="322">
        <f>IFERROR((VLOOKUP(Calculations[[#This Row],[Waste type 2]],WasteLandfillEmissions[#All],3,FALSE))*Calculations[[#This Row],[Total Kg]]*VLOOKUP(Calculations[[#This Row],[Waste 1]],WasteScenario[#All],4,FALSE),0)</f>
        <v>0</v>
      </c>
      <c r="AE571" s="322">
        <f>SUM(Calculations[[#This Row],[C4 landfill]:[C4 re-use]])</f>
        <v>0</v>
      </c>
      <c r="AF571" s="322">
        <f>IFERROR(VLOOKUP(Calculations[[#This Row],[Material (choose from dropdown]],MaterialData[#All],8,FALSE),0)</f>
        <v>0</v>
      </c>
      <c r="AG571" s="322">
        <f>IFERROR(Calculations[[#This Row],[Total Kg]]*Calculations[[#This Row],[Seq factor]],0)</f>
        <v>0</v>
      </c>
      <c r="AI571" s="322">
        <f>Calculations[[#This Row],[A1-3]]+Calculations[[#This Row],[A4]]+Calculations[[#This Row],[A5]]+Calculations[[#This Row],[B4]]+Calculations[[#This Row],[C2 total]]+Calculations[[#This Row],[C3 total]]+Calculations[[#This Row],[C4 total]]</f>
        <v>0</v>
      </c>
      <c r="AJ571" s="2">
        <f>IFERROR(VLOOKUP(Calculations[[#This Row],[Material (choose from dropdown]],MaterialData[[#Headers],[#Data]],9,FALSE),0)</f>
        <v>0</v>
      </c>
      <c r="AK571" s="4">
        <f>IFERROR(VLOOKUP(Calculations[[#This Row],[Material (choose from dropdown]],MaterialData[[#Headers],[#Data]],10,FALSE),0)</f>
        <v>0</v>
      </c>
      <c r="AL571" s="322">
        <f>IFERROR(Calculations[[#This Row],[Data Quality Score]]*Calculations[[#This Row],[Total Kg]],0)</f>
        <v>0</v>
      </c>
    </row>
    <row r="572" spans="1:38" x14ac:dyDescent="0.3">
      <c r="A572" s="6">
        <f>IFERROR(MaterialsBoQ[[#This Row],[Scope Element]],0)</f>
        <v>0</v>
      </c>
      <c r="B572" t="str">
        <f>IFERROR(MaterialsBoQ[[#This Row],[Material ]],"")</f>
        <v/>
      </c>
      <c r="C572" t="str">
        <f>IFERROR(MaterialsBoQ[[#This Row],[Unit]],"")</f>
        <v/>
      </c>
      <c r="D572" s="322">
        <f>IFERROR(MaterialsBoQ[[#This Row],[Number]],0)</f>
        <v>0</v>
      </c>
      <c r="E572" s="322">
        <f>IFERROR(MaterialsBoQ[[#This Row],[Kg per unit]],0)</f>
        <v>0</v>
      </c>
      <c r="F572" s="322">
        <f>IFERROR(Calculations[[#This Row],[Number]]*Calculations[[#This Row],[Conversion factor]],0)</f>
        <v>0</v>
      </c>
      <c r="G572" s="322">
        <f>IFERROR(VLOOKUP(Calculations[[#This Row],[Material (choose from dropdown]],MaterialData[#All],7,FALSE),0)</f>
        <v>0</v>
      </c>
      <c r="H572" s="322">
        <f>Calculations[[#This Row],[Total Kg]]*Calculations[[#This Row],[Carbon Factor]]</f>
        <v>0</v>
      </c>
      <c r="I572" t="str">
        <f>IFERROR(VLOOKUP(Calculations[[#This Row],[Material (choose from dropdown]],MaterialData[#All],2,FALSE),"")</f>
        <v/>
      </c>
      <c r="J572" s="322">
        <f>IFERROR(((VLOOKUP(Calculations[[#This Row],[TransportSource]],TransportDistance[],2,FALSE)*'Stage assumptions'!$C$11)+VLOOKUP(Calculations[[#This Row],[TransportSource]],TransportDistance[],3,FALSE)*'Stage assumptions'!$C$12)*Calculations[[#This Row],[Total Kg]],0)</f>
        <v>0</v>
      </c>
      <c r="K572">
        <f>IFERROR(VLOOKUP(Calculations[[#This Row],[Material (choose from dropdown]], MaterialData[#All],3, FALSE),0)</f>
        <v>0</v>
      </c>
      <c r="L572" s="322">
        <f>IFERROR(VLOOKUP(Calculations[[#This Row],[A5type]],A5WastageRate[#All],2,FALSE)*Calculations[[#This Row],[A1-3]],0)</f>
        <v>0</v>
      </c>
      <c r="N572">
        <f>IFERROR(ROUNDUP(50/VLOOKUP(Calculations[[#This Row],[Scope Element]],B4referenceServiceLife[[Tier 2 element]:[Default Service Life]],2, FALSE)-1,0),0)</f>
        <v>0</v>
      </c>
      <c r="O572" s="322">
        <f>IFERROR((Calculations[[#This Row],[A1-3]]+Calculations[[#This Row],[A4]]+Calculations[[#This Row],[A5]]+Calculations[[#This Row],[C2 total]]+Calculations[[#This Row],[C3 total]]+Calculations[[#This Row],[C4 total]])*Calculations[[#This Row],[Replacements]],0)</f>
        <v>0</v>
      </c>
      <c r="S572" t="str">
        <f>IFERROR(VLOOKUP(Calculations[[#This Row],[Material (choose from dropdown]],MaterialData[#All],4,FALSE),"")</f>
        <v/>
      </c>
      <c r="T572" s="322" cm="1">
        <f t="array" ref="T572">IFERROR(VLOOKUP(Calculations[[#This Row],[Waste 1]],WasteScenario[#All],2,FALSE)*'Stage assumptions'!$C$225*WasteTransportMethod[Emissions Factor
kgCO2e/kg.km]*Calculations[[#This Row],[Total Kg]],0)</f>
        <v>0</v>
      </c>
      <c r="U572" s="322" cm="1">
        <f t="array" ref="U572">IFERROR(VLOOKUP(Calculations[[#This Row],[Waste 1]],WasteScenario[#All],3,FALSE)*'Stage assumptions'!$C$224*WasteTransportMethod[Emissions Factor
kgCO2e/kg.km]*Calculations[[#This Row],[Total Kg]],0)</f>
        <v>0</v>
      </c>
      <c r="V572" s="322" cm="1">
        <f t="array" ref="V572">IFERROR(VLOOKUP(Calculations[[#This Row],[Waste 1]],WasteScenario[#All],4,FALSE)*'Stage assumptions'!$C$223*WasteTransportMethod[Emissions Factor
kgCO2e/kg.km]*Calculations[[#This Row],[Total Kg]],0)</f>
        <v>0</v>
      </c>
      <c r="W572" s="322" cm="1">
        <f t="array" ref="W572">IFERROR(VLOOKUP(Calculations[[#This Row],[Waste 1]],WasteScenario[#All],5,FALSE)*'Stage assumptions'!$C$226*WasteTransportMethod[Emissions Factor
kgCO2e/kg.km]*Calculations[[#This Row],[Total Kg]],0)</f>
        <v>0</v>
      </c>
      <c r="X572" s="322">
        <f>SUM(Calculations[[#This Row],[C2 Recycle]:[C2 Reuse]])</f>
        <v>0</v>
      </c>
      <c r="Y572" t="str">
        <f>IFERROR(VLOOKUP(Calculations[[#This Row],[Material (choose from dropdown]],MaterialData[#All],5,FALSE),"")</f>
        <v/>
      </c>
      <c r="Z572" s="322">
        <f>IFERROR(((VLOOKUP(Calculations[[#This Row],[Waste type 2]],WasteDisposalEmissions[#All],2,FALSE))*Calculations[[#This Row],[Total Kg]])*VLOOKUP(Calculations[[#This Row],[Waste 1]],WasteScenario[#All],2,FALSE),0)</f>
        <v>0</v>
      </c>
      <c r="AA572" s="322">
        <f>IFERROR((VLOOKUP(Calculations[[#This Row],[Waste type 2]],WasteDisposalEmissions[#All],3,FALSE))*Calculations[[#This Row],[Total Kg]]*VLOOKUP(Calculations[[#This Row],[Waste 1]],WasteScenario[#All],3,FALSE),0)</f>
        <v>0</v>
      </c>
      <c r="AB572" s="322">
        <f>SUM(Calculations[[#This Row],[C3 recyc]:[C3 incin]])</f>
        <v>0</v>
      </c>
      <c r="AC572" s="334">
        <f>IFERROR((VLOOKUP(Calculations[[#This Row],[Waste type 2]],WasteLandfillEmissions[#All],2,FALSE))*Calculations[[#This Row],[Total Kg]]*VLOOKUP(Calculations[[#This Row],[Waste 1]],WasteScenario[#All],4,FALSE),0)</f>
        <v>0</v>
      </c>
      <c r="AD572" s="322">
        <f>IFERROR((VLOOKUP(Calculations[[#This Row],[Waste type 2]],WasteLandfillEmissions[#All],3,FALSE))*Calculations[[#This Row],[Total Kg]]*VLOOKUP(Calculations[[#This Row],[Waste 1]],WasteScenario[#All],4,FALSE),0)</f>
        <v>0</v>
      </c>
      <c r="AE572" s="322">
        <f>SUM(Calculations[[#This Row],[C4 landfill]:[C4 re-use]])</f>
        <v>0</v>
      </c>
      <c r="AF572" s="322">
        <f>IFERROR(VLOOKUP(Calculations[[#This Row],[Material (choose from dropdown]],MaterialData[#All],8,FALSE),0)</f>
        <v>0</v>
      </c>
      <c r="AG572" s="322">
        <f>IFERROR(Calculations[[#This Row],[Total Kg]]*Calculations[[#This Row],[Seq factor]],0)</f>
        <v>0</v>
      </c>
      <c r="AI572" s="322">
        <f>Calculations[[#This Row],[A1-3]]+Calculations[[#This Row],[A4]]+Calculations[[#This Row],[A5]]+Calculations[[#This Row],[B4]]+Calculations[[#This Row],[C2 total]]+Calculations[[#This Row],[C3 total]]+Calculations[[#This Row],[C4 total]]</f>
        <v>0</v>
      </c>
      <c r="AJ572" s="2">
        <f>IFERROR(VLOOKUP(Calculations[[#This Row],[Material (choose from dropdown]],MaterialData[[#Headers],[#Data]],9,FALSE),0)</f>
        <v>0</v>
      </c>
      <c r="AK572" s="4">
        <f>IFERROR(VLOOKUP(Calculations[[#This Row],[Material (choose from dropdown]],MaterialData[[#Headers],[#Data]],10,FALSE),0)</f>
        <v>0</v>
      </c>
      <c r="AL572" s="322">
        <f>IFERROR(Calculations[[#This Row],[Data Quality Score]]*Calculations[[#This Row],[Total Kg]],0)</f>
        <v>0</v>
      </c>
    </row>
    <row r="573" spans="1:38" x14ac:dyDescent="0.3">
      <c r="A573" s="6">
        <f>IFERROR(MaterialsBoQ[[#This Row],[Scope Element]],0)</f>
        <v>0</v>
      </c>
      <c r="B573" t="str">
        <f>IFERROR(MaterialsBoQ[[#This Row],[Material ]],"")</f>
        <v/>
      </c>
      <c r="C573" t="str">
        <f>IFERROR(MaterialsBoQ[[#This Row],[Unit]],"")</f>
        <v/>
      </c>
      <c r="D573" s="322">
        <f>IFERROR(MaterialsBoQ[[#This Row],[Number]],0)</f>
        <v>0</v>
      </c>
      <c r="E573" s="322">
        <f>IFERROR(MaterialsBoQ[[#This Row],[Kg per unit]],0)</f>
        <v>0</v>
      </c>
      <c r="F573" s="322">
        <f>IFERROR(Calculations[[#This Row],[Number]]*Calculations[[#This Row],[Conversion factor]],0)</f>
        <v>0</v>
      </c>
      <c r="G573" s="322">
        <f>IFERROR(VLOOKUP(Calculations[[#This Row],[Material (choose from dropdown]],MaterialData[#All],7,FALSE),0)</f>
        <v>0</v>
      </c>
      <c r="H573" s="322">
        <f>Calculations[[#This Row],[Total Kg]]*Calculations[[#This Row],[Carbon Factor]]</f>
        <v>0</v>
      </c>
      <c r="I573" t="str">
        <f>IFERROR(VLOOKUP(Calculations[[#This Row],[Material (choose from dropdown]],MaterialData[#All],2,FALSE),"")</f>
        <v/>
      </c>
      <c r="J573" s="322">
        <f>IFERROR(((VLOOKUP(Calculations[[#This Row],[TransportSource]],TransportDistance[],2,FALSE)*'Stage assumptions'!$C$11)+VLOOKUP(Calculations[[#This Row],[TransportSource]],TransportDistance[],3,FALSE)*'Stage assumptions'!$C$12)*Calculations[[#This Row],[Total Kg]],0)</f>
        <v>0</v>
      </c>
      <c r="K573">
        <f>IFERROR(VLOOKUP(Calculations[[#This Row],[Material (choose from dropdown]], MaterialData[#All],3, FALSE),0)</f>
        <v>0</v>
      </c>
      <c r="L573" s="322">
        <f>IFERROR(VLOOKUP(Calculations[[#This Row],[A5type]],A5WastageRate[#All],2,FALSE)*Calculations[[#This Row],[A1-3]],0)</f>
        <v>0</v>
      </c>
      <c r="N573">
        <f>IFERROR(ROUNDUP(50/VLOOKUP(Calculations[[#This Row],[Scope Element]],B4referenceServiceLife[[Tier 2 element]:[Default Service Life]],2, FALSE)-1,0),0)</f>
        <v>0</v>
      </c>
      <c r="O573" s="322">
        <f>IFERROR((Calculations[[#This Row],[A1-3]]+Calculations[[#This Row],[A4]]+Calculations[[#This Row],[A5]]+Calculations[[#This Row],[C2 total]]+Calculations[[#This Row],[C3 total]]+Calculations[[#This Row],[C4 total]])*Calculations[[#This Row],[Replacements]],0)</f>
        <v>0</v>
      </c>
      <c r="S573" t="str">
        <f>IFERROR(VLOOKUP(Calculations[[#This Row],[Material (choose from dropdown]],MaterialData[#All],4,FALSE),"")</f>
        <v/>
      </c>
      <c r="T573" s="322" cm="1">
        <f t="array" ref="T573">IFERROR(VLOOKUP(Calculations[[#This Row],[Waste 1]],WasteScenario[#All],2,FALSE)*'Stage assumptions'!$C$225*WasteTransportMethod[Emissions Factor
kgCO2e/kg.km]*Calculations[[#This Row],[Total Kg]],0)</f>
        <v>0</v>
      </c>
      <c r="U573" s="322" cm="1">
        <f t="array" ref="U573">IFERROR(VLOOKUP(Calculations[[#This Row],[Waste 1]],WasteScenario[#All],3,FALSE)*'Stage assumptions'!$C$224*WasteTransportMethod[Emissions Factor
kgCO2e/kg.km]*Calculations[[#This Row],[Total Kg]],0)</f>
        <v>0</v>
      </c>
      <c r="V573" s="322" cm="1">
        <f t="array" ref="V573">IFERROR(VLOOKUP(Calculations[[#This Row],[Waste 1]],WasteScenario[#All],4,FALSE)*'Stage assumptions'!$C$223*WasteTransportMethod[Emissions Factor
kgCO2e/kg.km]*Calculations[[#This Row],[Total Kg]],0)</f>
        <v>0</v>
      </c>
      <c r="W573" s="322" cm="1">
        <f t="array" ref="W573">IFERROR(VLOOKUP(Calculations[[#This Row],[Waste 1]],WasteScenario[#All],5,FALSE)*'Stage assumptions'!$C$226*WasteTransportMethod[Emissions Factor
kgCO2e/kg.km]*Calculations[[#This Row],[Total Kg]],0)</f>
        <v>0</v>
      </c>
      <c r="X573" s="322">
        <f>SUM(Calculations[[#This Row],[C2 Recycle]:[C2 Reuse]])</f>
        <v>0</v>
      </c>
      <c r="Y573" t="str">
        <f>IFERROR(VLOOKUP(Calculations[[#This Row],[Material (choose from dropdown]],MaterialData[#All],5,FALSE),"")</f>
        <v/>
      </c>
      <c r="Z573" s="322">
        <f>IFERROR(((VLOOKUP(Calculations[[#This Row],[Waste type 2]],WasteDisposalEmissions[#All],2,FALSE))*Calculations[[#This Row],[Total Kg]])*VLOOKUP(Calculations[[#This Row],[Waste 1]],WasteScenario[#All],2,FALSE),0)</f>
        <v>0</v>
      </c>
      <c r="AA573" s="322">
        <f>IFERROR((VLOOKUP(Calculations[[#This Row],[Waste type 2]],WasteDisposalEmissions[#All],3,FALSE))*Calculations[[#This Row],[Total Kg]]*VLOOKUP(Calculations[[#This Row],[Waste 1]],WasteScenario[#All],3,FALSE),0)</f>
        <v>0</v>
      </c>
      <c r="AB573" s="322">
        <f>SUM(Calculations[[#This Row],[C3 recyc]:[C3 incin]])</f>
        <v>0</v>
      </c>
      <c r="AC573" s="334">
        <f>IFERROR((VLOOKUP(Calculations[[#This Row],[Waste type 2]],WasteLandfillEmissions[#All],2,FALSE))*Calculations[[#This Row],[Total Kg]]*VLOOKUP(Calculations[[#This Row],[Waste 1]],WasteScenario[#All],4,FALSE),0)</f>
        <v>0</v>
      </c>
      <c r="AD573" s="322">
        <f>IFERROR((VLOOKUP(Calculations[[#This Row],[Waste type 2]],WasteLandfillEmissions[#All],3,FALSE))*Calculations[[#This Row],[Total Kg]]*VLOOKUP(Calculations[[#This Row],[Waste 1]],WasteScenario[#All],4,FALSE),0)</f>
        <v>0</v>
      </c>
      <c r="AE573" s="322">
        <f>SUM(Calculations[[#This Row],[C4 landfill]:[C4 re-use]])</f>
        <v>0</v>
      </c>
      <c r="AF573" s="322">
        <f>IFERROR(VLOOKUP(Calculations[[#This Row],[Material (choose from dropdown]],MaterialData[#All],8,FALSE),0)</f>
        <v>0</v>
      </c>
      <c r="AG573" s="322">
        <f>IFERROR(Calculations[[#This Row],[Total Kg]]*Calculations[[#This Row],[Seq factor]],0)</f>
        <v>0</v>
      </c>
      <c r="AI573" s="322">
        <f>Calculations[[#This Row],[A1-3]]+Calculations[[#This Row],[A4]]+Calculations[[#This Row],[A5]]+Calculations[[#This Row],[B4]]+Calculations[[#This Row],[C2 total]]+Calculations[[#This Row],[C3 total]]+Calculations[[#This Row],[C4 total]]</f>
        <v>0</v>
      </c>
      <c r="AJ573" s="2">
        <f>IFERROR(VLOOKUP(Calculations[[#This Row],[Material (choose from dropdown]],MaterialData[[#Headers],[#Data]],9,FALSE),0)</f>
        <v>0</v>
      </c>
      <c r="AK573" s="4">
        <f>IFERROR(VLOOKUP(Calculations[[#This Row],[Material (choose from dropdown]],MaterialData[[#Headers],[#Data]],10,FALSE),0)</f>
        <v>0</v>
      </c>
      <c r="AL573" s="322">
        <f>IFERROR(Calculations[[#This Row],[Data Quality Score]]*Calculations[[#This Row],[Total Kg]],0)</f>
        <v>0</v>
      </c>
    </row>
    <row r="574" spans="1:38" x14ac:dyDescent="0.3">
      <c r="A574" s="6">
        <f>IFERROR(MaterialsBoQ[[#This Row],[Scope Element]],0)</f>
        <v>0</v>
      </c>
      <c r="B574" t="str">
        <f>IFERROR(MaterialsBoQ[[#This Row],[Material ]],"")</f>
        <v/>
      </c>
      <c r="C574" t="str">
        <f>IFERROR(MaterialsBoQ[[#This Row],[Unit]],"")</f>
        <v/>
      </c>
      <c r="D574" s="322">
        <f>IFERROR(MaterialsBoQ[[#This Row],[Number]],0)</f>
        <v>0</v>
      </c>
      <c r="E574" s="322">
        <f>IFERROR(MaterialsBoQ[[#This Row],[Kg per unit]],0)</f>
        <v>0</v>
      </c>
      <c r="F574" s="322">
        <f>IFERROR(Calculations[[#This Row],[Number]]*Calculations[[#This Row],[Conversion factor]],0)</f>
        <v>0</v>
      </c>
      <c r="G574" s="322">
        <f>IFERROR(VLOOKUP(Calculations[[#This Row],[Material (choose from dropdown]],MaterialData[#All],7,FALSE),0)</f>
        <v>0</v>
      </c>
      <c r="H574" s="322">
        <f>Calculations[[#This Row],[Total Kg]]*Calculations[[#This Row],[Carbon Factor]]</f>
        <v>0</v>
      </c>
      <c r="I574" t="str">
        <f>IFERROR(VLOOKUP(Calculations[[#This Row],[Material (choose from dropdown]],MaterialData[#All],2,FALSE),"")</f>
        <v/>
      </c>
      <c r="J574" s="322">
        <f>IFERROR(((VLOOKUP(Calculations[[#This Row],[TransportSource]],TransportDistance[],2,FALSE)*'Stage assumptions'!$C$11)+VLOOKUP(Calculations[[#This Row],[TransportSource]],TransportDistance[],3,FALSE)*'Stage assumptions'!$C$12)*Calculations[[#This Row],[Total Kg]],0)</f>
        <v>0</v>
      </c>
      <c r="K574">
        <f>IFERROR(VLOOKUP(Calculations[[#This Row],[Material (choose from dropdown]], MaterialData[#All],3, FALSE),0)</f>
        <v>0</v>
      </c>
      <c r="L574" s="322">
        <f>IFERROR(VLOOKUP(Calculations[[#This Row],[A5type]],A5WastageRate[#All],2,FALSE)*Calculations[[#This Row],[A1-3]],0)</f>
        <v>0</v>
      </c>
      <c r="N574">
        <f>IFERROR(ROUNDUP(50/VLOOKUP(Calculations[[#This Row],[Scope Element]],B4referenceServiceLife[[Tier 2 element]:[Default Service Life]],2, FALSE)-1,0),0)</f>
        <v>0</v>
      </c>
      <c r="O574" s="322">
        <f>IFERROR((Calculations[[#This Row],[A1-3]]+Calculations[[#This Row],[A4]]+Calculations[[#This Row],[A5]]+Calculations[[#This Row],[C2 total]]+Calculations[[#This Row],[C3 total]]+Calculations[[#This Row],[C4 total]])*Calculations[[#This Row],[Replacements]],0)</f>
        <v>0</v>
      </c>
      <c r="S574" t="str">
        <f>IFERROR(VLOOKUP(Calculations[[#This Row],[Material (choose from dropdown]],MaterialData[#All],4,FALSE),"")</f>
        <v/>
      </c>
      <c r="T574" s="322" cm="1">
        <f t="array" ref="T574">IFERROR(VLOOKUP(Calculations[[#This Row],[Waste 1]],WasteScenario[#All],2,FALSE)*'Stage assumptions'!$C$225*WasteTransportMethod[Emissions Factor
kgCO2e/kg.km]*Calculations[[#This Row],[Total Kg]],0)</f>
        <v>0</v>
      </c>
      <c r="U574" s="322" cm="1">
        <f t="array" ref="U574">IFERROR(VLOOKUP(Calculations[[#This Row],[Waste 1]],WasteScenario[#All],3,FALSE)*'Stage assumptions'!$C$224*WasteTransportMethod[Emissions Factor
kgCO2e/kg.km]*Calculations[[#This Row],[Total Kg]],0)</f>
        <v>0</v>
      </c>
      <c r="V574" s="322" cm="1">
        <f t="array" ref="V574">IFERROR(VLOOKUP(Calculations[[#This Row],[Waste 1]],WasteScenario[#All],4,FALSE)*'Stage assumptions'!$C$223*WasteTransportMethod[Emissions Factor
kgCO2e/kg.km]*Calculations[[#This Row],[Total Kg]],0)</f>
        <v>0</v>
      </c>
      <c r="W574" s="322" cm="1">
        <f t="array" ref="W574">IFERROR(VLOOKUP(Calculations[[#This Row],[Waste 1]],WasteScenario[#All],5,FALSE)*'Stage assumptions'!$C$226*WasteTransportMethod[Emissions Factor
kgCO2e/kg.km]*Calculations[[#This Row],[Total Kg]],0)</f>
        <v>0</v>
      </c>
      <c r="X574" s="322">
        <f>SUM(Calculations[[#This Row],[C2 Recycle]:[C2 Reuse]])</f>
        <v>0</v>
      </c>
      <c r="Y574" t="str">
        <f>IFERROR(VLOOKUP(Calculations[[#This Row],[Material (choose from dropdown]],MaterialData[#All],5,FALSE),"")</f>
        <v/>
      </c>
      <c r="Z574" s="322">
        <f>IFERROR(((VLOOKUP(Calculations[[#This Row],[Waste type 2]],WasteDisposalEmissions[#All],2,FALSE))*Calculations[[#This Row],[Total Kg]])*VLOOKUP(Calculations[[#This Row],[Waste 1]],WasteScenario[#All],2,FALSE),0)</f>
        <v>0</v>
      </c>
      <c r="AA574" s="322">
        <f>IFERROR((VLOOKUP(Calculations[[#This Row],[Waste type 2]],WasteDisposalEmissions[#All],3,FALSE))*Calculations[[#This Row],[Total Kg]]*VLOOKUP(Calculations[[#This Row],[Waste 1]],WasteScenario[#All],3,FALSE),0)</f>
        <v>0</v>
      </c>
      <c r="AB574" s="322">
        <f>SUM(Calculations[[#This Row],[C3 recyc]:[C3 incin]])</f>
        <v>0</v>
      </c>
      <c r="AC574" s="334">
        <f>IFERROR((VLOOKUP(Calculations[[#This Row],[Waste type 2]],WasteLandfillEmissions[#All],2,FALSE))*Calculations[[#This Row],[Total Kg]]*VLOOKUP(Calculations[[#This Row],[Waste 1]],WasteScenario[#All],4,FALSE),0)</f>
        <v>0</v>
      </c>
      <c r="AD574" s="322">
        <f>IFERROR((VLOOKUP(Calculations[[#This Row],[Waste type 2]],WasteLandfillEmissions[#All],3,FALSE))*Calculations[[#This Row],[Total Kg]]*VLOOKUP(Calculations[[#This Row],[Waste 1]],WasteScenario[#All],4,FALSE),0)</f>
        <v>0</v>
      </c>
      <c r="AE574" s="322">
        <f>SUM(Calculations[[#This Row],[C4 landfill]:[C4 re-use]])</f>
        <v>0</v>
      </c>
      <c r="AF574" s="322">
        <f>IFERROR(VLOOKUP(Calculations[[#This Row],[Material (choose from dropdown]],MaterialData[#All],8,FALSE),0)</f>
        <v>0</v>
      </c>
      <c r="AG574" s="322">
        <f>IFERROR(Calculations[[#This Row],[Total Kg]]*Calculations[[#This Row],[Seq factor]],0)</f>
        <v>0</v>
      </c>
      <c r="AI574" s="322">
        <f>Calculations[[#This Row],[A1-3]]+Calculations[[#This Row],[A4]]+Calculations[[#This Row],[A5]]+Calculations[[#This Row],[B4]]+Calculations[[#This Row],[C2 total]]+Calculations[[#This Row],[C3 total]]+Calculations[[#This Row],[C4 total]]</f>
        <v>0</v>
      </c>
      <c r="AJ574" s="2">
        <f>IFERROR(VLOOKUP(Calculations[[#This Row],[Material (choose from dropdown]],MaterialData[[#Headers],[#Data]],9,FALSE),0)</f>
        <v>0</v>
      </c>
      <c r="AK574" s="4">
        <f>IFERROR(VLOOKUP(Calculations[[#This Row],[Material (choose from dropdown]],MaterialData[[#Headers],[#Data]],10,FALSE),0)</f>
        <v>0</v>
      </c>
      <c r="AL574" s="322">
        <f>IFERROR(Calculations[[#This Row],[Data Quality Score]]*Calculations[[#This Row],[Total Kg]],0)</f>
        <v>0</v>
      </c>
    </row>
    <row r="575" spans="1:38" x14ac:dyDescent="0.3">
      <c r="A575" s="6">
        <f>IFERROR(MaterialsBoQ[[#This Row],[Scope Element]],0)</f>
        <v>0</v>
      </c>
      <c r="B575" t="str">
        <f>IFERROR(MaterialsBoQ[[#This Row],[Material ]],"")</f>
        <v/>
      </c>
      <c r="C575" t="str">
        <f>IFERROR(MaterialsBoQ[[#This Row],[Unit]],"")</f>
        <v/>
      </c>
      <c r="D575" s="322">
        <f>IFERROR(MaterialsBoQ[[#This Row],[Number]],0)</f>
        <v>0</v>
      </c>
      <c r="E575" s="322">
        <f>IFERROR(MaterialsBoQ[[#This Row],[Kg per unit]],0)</f>
        <v>0</v>
      </c>
      <c r="F575" s="322">
        <f>IFERROR(Calculations[[#This Row],[Number]]*Calculations[[#This Row],[Conversion factor]],0)</f>
        <v>0</v>
      </c>
      <c r="G575" s="322">
        <f>IFERROR(VLOOKUP(Calculations[[#This Row],[Material (choose from dropdown]],MaterialData[#All],7,FALSE),0)</f>
        <v>0</v>
      </c>
      <c r="H575" s="322">
        <f>Calculations[[#This Row],[Total Kg]]*Calculations[[#This Row],[Carbon Factor]]</f>
        <v>0</v>
      </c>
      <c r="I575" t="str">
        <f>IFERROR(VLOOKUP(Calculations[[#This Row],[Material (choose from dropdown]],MaterialData[#All],2,FALSE),"")</f>
        <v/>
      </c>
      <c r="J575" s="322">
        <f>IFERROR(((VLOOKUP(Calculations[[#This Row],[TransportSource]],TransportDistance[],2,FALSE)*'Stage assumptions'!$C$11)+VLOOKUP(Calculations[[#This Row],[TransportSource]],TransportDistance[],3,FALSE)*'Stage assumptions'!$C$12)*Calculations[[#This Row],[Total Kg]],0)</f>
        <v>0</v>
      </c>
      <c r="K575">
        <f>IFERROR(VLOOKUP(Calculations[[#This Row],[Material (choose from dropdown]], MaterialData[#All],3, FALSE),0)</f>
        <v>0</v>
      </c>
      <c r="L575" s="322">
        <f>IFERROR(VLOOKUP(Calculations[[#This Row],[A5type]],A5WastageRate[#All],2,FALSE)*Calculations[[#This Row],[A1-3]],0)</f>
        <v>0</v>
      </c>
      <c r="N575">
        <f>IFERROR(ROUNDUP(50/VLOOKUP(Calculations[[#This Row],[Scope Element]],B4referenceServiceLife[[Tier 2 element]:[Default Service Life]],2, FALSE)-1,0),0)</f>
        <v>0</v>
      </c>
      <c r="O575" s="322">
        <f>IFERROR((Calculations[[#This Row],[A1-3]]+Calculations[[#This Row],[A4]]+Calculations[[#This Row],[A5]]+Calculations[[#This Row],[C2 total]]+Calculations[[#This Row],[C3 total]]+Calculations[[#This Row],[C4 total]])*Calculations[[#This Row],[Replacements]],0)</f>
        <v>0</v>
      </c>
      <c r="S575" t="str">
        <f>IFERROR(VLOOKUP(Calculations[[#This Row],[Material (choose from dropdown]],MaterialData[#All],4,FALSE),"")</f>
        <v/>
      </c>
      <c r="T575" s="322" cm="1">
        <f t="array" ref="T575">IFERROR(VLOOKUP(Calculations[[#This Row],[Waste 1]],WasteScenario[#All],2,FALSE)*'Stage assumptions'!$C$225*WasteTransportMethod[Emissions Factor
kgCO2e/kg.km]*Calculations[[#This Row],[Total Kg]],0)</f>
        <v>0</v>
      </c>
      <c r="U575" s="322" cm="1">
        <f t="array" ref="U575">IFERROR(VLOOKUP(Calculations[[#This Row],[Waste 1]],WasteScenario[#All],3,FALSE)*'Stage assumptions'!$C$224*WasteTransportMethod[Emissions Factor
kgCO2e/kg.km]*Calculations[[#This Row],[Total Kg]],0)</f>
        <v>0</v>
      </c>
      <c r="V575" s="322" cm="1">
        <f t="array" ref="V575">IFERROR(VLOOKUP(Calculations[[#This Row],[Waste 1]],WasteScenario[#All],4,FALSE)*'Stage assumptions'!$C$223*WasteTransportMethod[Emissions Factor
kgCO2e/kg.km]*Calculations[[#This Row],[Total Kg]],0)</f>
        <v>0</v>
      </c>
      <c r="W575" s="322" cm="1">
        <f t="array" ref="W575">IFERROR(VLOOKUP(Calculations[[#This Row],[Waste 1]],WasteScenario[#All],5,FALSE)*'Stage assumptions'!$C$226*WasteTransportMethod[Emissions Factor
kgCO2e/kg.km]*Calculations[[#This Row],[Total Kg]],0)</f>
        <v>0</v>
      </c>
      <c r="X575" s="322">
        <f>SUM(Calculations[[#This Row],[C2 Recycle]:[C2 Reuse]])</f>
        <v>0</v>
      </c>
      <c r="Y575" t="str">
        <f>IFERROR(VLOOKUP(Calculations[[#This Row],[Material (choose from dropdown]],MaterialData[#All],5,FALSE),"")</f>
        <v/>
      </c>
      <c r="Z575" s="322">
        <f>IFERROR(((VLOOKUP(Calculations[[#This Row],[Waste type 2]],WasteDisposalEmissions[#All],2,FALSE))*Calculations[[#This Row],[Total Kg]])*VLOOKUP(Calculations[[#This Row],[Waste 1]],WasteScenario[#All],2,FALSE),0)</f>
        <v>0</v>
      </c>
      <c r="AA575" s="322">
        <f>IFERROR((VLOOKUP(Calculations[[#This Row],[Waste type 2]],WasteDisposalEmissions[#All],3,FALSE))*Calculations[[#This Row],[Total Kg]]*VLOOKUP(Calculations[[#This Row],[Waste 1]],WasteScenario[#All],3,FALSE),0)</f>
        <v>0</v>
      </c>
      <c r="AB575" s="322">
        <f>SUM(Calculations[[#This Row],[C3 recyc]:[C3 incin]])</f>
        <v>0</v>
      </c>
      <c r="AC575" s="334">
        <f>IFERROR((VLOOKUP(Calculations[[#This Row],[Waste type 2]],WasteLandfillEmissions[#All],2,FALSE))*Calculations[[#This Row],[Total Kg]]*VLOOKUP(Calculations[[#This Row],[Waste 1]],WasteScenario[#All],4,FALSE),0)</f>
        <v>0</v>
      </c>
      <c r="AD575" s="322">
        <f>IFERROR((VLOOKUP(Calculations[[#This Row],[Waste type 2]],WasteLandfillEmissions[#All],3,FALSE))*Calculations[[#This Row],[Total Kg]]*VLOOKUP(Calculations[[#This Row],[Waste 1]],WasteScenario[#All],4,FALSE),0)</f>
        <v>0</v>
      </c>
      <c r="AE575" s="322">
        <f>SUM(Calculations[[#This Row],[C4 landfill]:[C4 re-use]])</f>
        <v>0</v>
      </c>
      <c r="AF575" s="322">
        <f>IFERROR(VLOOKUP(Calculations[[#This Row],[Material (choose from dropdown]],MaterialData[#All],8,FALSE),0)</f>
        <v>0</v>
      </c>
      <c r="AG575" s="322">
        <f>IFERROR(Calculations[[#This Row],[Total Kg]]*Calculations[[#This Row],[Seq factor]],0)</f>
        <v>0</v>
      </c>
      <c r="AI575" s="322">
        <f>Calculations[[#This Row],[A1-3]]+Calculations[[#This Row],[A4]]+Calculations[[#This Row],[A5]]+Calculations[[#This Row],[B4]]+Calculations[[#This Row],[C2 total]]+Calculations[[#This Row],[C3 total]]+Calculations[[#This Row],[C4 total]]</f>
        <v>0</v>
      </c>
      <c r="AJ575" s="2">
        <f>IFERROR(VLOOKUP(Calculations[[#This Row],[Material (choose from dropdown]],MaterialData[[#Headers],[#Data]],9,FALSE),0)</f>
        <v>0</v>
      </c>
      <c r="AK575" s="4">
        <f>IFERROR(VLOOKUP(Calculations[[#This Row],[Material (choose from dropdown]],MaterialData[[#Headers],[#Data]],10,FALSE),0)</f>
        <v>0</v>
      </c>
      <c r="AL575" s="322">
        <f>IFERROR(Calculations[[#This Row],[Data Quality Score]]*Calculations[[#This Row],[Total Kg]],0)</f>
        <v>0</v>
      </c>
    </row>
    <row r="576" spans="1:38" x14ac:dyDescent="0.3">
      <c r="A576" s="6">
        <f>IFERROR(MaterialsBoQ[[#This Row],[Scope Element]],0)</f>
        <v>0</v>
      </c>
      <c r="B576" t="str">
        <f>IFERROR(MaterialsBoQ[[#This Row],[Material ]],"")</f>
        <v/>
      </c>
      <c r="C576" t="str">
        <f>IFERROR(MaterialsBoQ[[#This Row],[Unit]],"")</f>
        <v/>
      </c>
      <c r="D576" s="322">
        <f>IFERROR(MaterialsBoQ[[#This Row],[Number]],0)</f>
        <v>0</v>
      </c>
      <c r="E576" s="322">
        <f>IFERROR(MaterialsBoQ[[#This Row],[Kg per unit]],0)</f>
        <v>0</v>
      </c>
      <c r="F576" s="322">
        <f>IFERROR(Calculations[[#This Row],[Number]]*Calculations[[#This Row],[Conversion factor]],0)</f>
        <v>0</v>
      </c>
      <c r="G576" s="322">
        <f>IFERROR(VLOOKUP(Calculations[[#This Row],[Material (choose from dropdown]],MaterialData[#All],7,FALSE),0)</f>
        <v>0</v>
      </c>
      <c r="H576" s="322">
        <f>Calculations[[#This Row],[Total Kg]]*Calculations[[#This Row],[Carbon Factor]]</f>
        <v>0</v>
      </c>
      <c r="I576" t="str">
        <f>IFERROR(VLOOKUP(Calculations[[#This Row],[Material (choose from dropdown]],MaterialData[#All],2,FALSE),"")</f>
        <v/>
      </c>
      <c r="J576" s="322">
        <f>IFERROR(((VLOOKUP(Calculations[[#This Row],[TransportSource]],TransportDistance[],2,FALSE)*'Stage assumptions'!$C$11)+VLOOKUP(Calculations[[#This Row],[TransportSource]],TransportDistance[],3,FALSE)*'Stage assumptions'!$C$12)*Calculations[[#This Row],[Total Kg]],0)</f>
        <v>0</v>
      </c>
      <c r="K576">
        <f>IFERROR(VLOOKUP(Calculations[[#This Row],[Material (choose from dropdown]], MaterialData[#All],3, FALSE),0)</f>
        <v>0</v>
      </c>
      <c r="L576" s="322">
        <f>IFERROR(VLOOKUP(Calculations[[#This Row],[A5type]],A5WastageRate[#All],2,FALSE)*Calculations[[#This Row],[A1-3]],0)</f>
        <v>0</v>
      </c>
      <c r="N576">
        <f>IFERROR(ROUNDUP(50/VLOOKUP(Calculations[[#This Row],[Scope Element]],B4referenceServiceLife[[Tier 2 element]:[Default Service Life]],2, FALSE)-1,0),0)</f>
        <v>0</v>
      </c>
      <c r="O576" s="322">
        <f>IFERROR((Calculations[[#This Row],[A1-3]]+Calculations[[#This Row],[A4]]+Calculations[[#This Row],[A5]]+Calculations[[#This Row],[C2 total]]+Calculations[[#This Row],[C3 total]]+Calculations[[#This Row],[C4 total]])*Calculations[[#This Row],[Replacements]],0)</f>
        <v>0</v>
      </c>
      <c r="S576" t="str">
        <f>IFERROR(VLOOKUP(Calculations[[#This Row],[Material (choose from dropdown]],MaterialData[#All],4,FALSE),"")</f>
        <v/>
      </c>
      <c r="T576" s="322" cm="1">
        <f t="array" ref="T576">IFERROR(VLOOKUP(Calculations[[#This Row],[Waste 1]],WasteScenario[#All],2,FALSE)*'Stage assumptions'!$C$225*WasteTransportMethod[Emissions Factor
kgCO2e/kg.km]*Calculations[[#This Row],[Total Kg]],0)</f>
        <v>0</v>
      </c>
      <c r="U576" s="322" cm="1">
        <f t="array" ref="U576">IFERROR(VLOOKUP(Calculations[[#This Row],[Waste 1]],WasteScenario[#All],3,FALSE)*'Stage assumptions'!$C$224*WasteTransportMethod[Emissions Factor
kgCO2e/kg.km]*Calculations[[#This Row],[Total Kg]],0)</f>
        <v>0</v>
      </c>
      <c r="V576" s="322" cm="1">
        <f t="array" ref="V576">IFERROR(VLOOKUP(Calculations[[#This Row],[Waste 1]],WasteScenario[#All],4,FALSE)*'Stage assumptions'!$C$223*WasteTransportMethod[Emissions Factor
kgCO2e/kg.km]*Calculations[[#This Row],[Total Kg]],0)</f>
        <v>0</v>
      </c>
      <c r="W576" s="322" cm="1">
        <f t="array" ref="W576">IFERROR(VLOOKUP(Calculations[[#This Row],[Waste 1]],WasteScenario[#All],5,FALSE)*'Stage assumptions'!$C$226*WasteTransportMethod[Emissions Factor
kgCO2e/kg.km]*Calculations[[#This Row],[Total Kg]],0)</f>
        <v>0</v>
      </c>
      <c r="X576" s="322">
        <f>SUM(Calculations[[#This Row],[C2 Recycle]:[C2 Reuse]])</f>
        <v>0</v>
      </c>
      <c r="Y576" t="str">
        <f>IFERROR(VLOOKUP(Calculations[[#This Row],[Material (choose from dropdown]],MaterialData[#All],5,FALSE),"")</f>
        <v/>
      </c>
      <c r="Z576" s="322">
        <f>IFERROR(((VLOOKUP(Calculations[[#This Row],[Waste type 2]],WasteDisposalEmissions[#All],2,FALSE))*Calculations[[#This Row],[Total Kg]])*VLOOKUP(Calculations[[#This Row],[Waste 1]],WasteScenario[#All],2,FALSE),0)</f>
        <v>0</v>
      </c>
      <c r="AA576" s="322">
        <f>IFERROR((VLOOKUP(Calculations[[#This Row],[Waste type 2]],WasteDisposalEmissions[#All],3,FALSE))*Calculations[[#This Row],[Total Kg]]*VLOOKUP(Calculations[[#This Row],[Waste 1]],WasteScenario[#All],3,FALSE),0)</f>
        <v>0</v>
      </c>
      <c r="AB576" s="322">
        <f>SUM(Calculations[[#This Row],[C3 recyc]:[C3 incin]])</f>
        <v>0</v>
      </c>
      <c r="AC576" s="334">
        <f>IFERROR((VLOOKUP(Calculations[[#This Row],[Waste type 2]],WasteLandfillEmissions[#All],2,FALSE))*Calculations[[#This Row],[Total Kg]]*VLOOKUP(Calculations[[#This Row],[Waste 1]],WasteScenario[#All],4,FALSE),0)</f>
        <v>0</v>
      </c>
      <c r="AD576" s="322">
        <f>IFERROR((VLOOKUP(Calculations[[#This Row],[Waste type 2]],WasteLandfillEmissions[#All],3,FALSE))*Calculations[[#This Row],[Total Kg]]*VLOOKUP(Calculations[[#This Row],[Waste 1]],WasteScenario[#All],4,FALSE),0)</f>
        <v>0</v>
      </c>
      <c r="AE576" s="322">
        <f>SUM(Calculations[[#This Row],[C4 landfill]:[C4 re-use]])</f>
        <v>0</v>
      </c>
      <c r="AF576" s="322">
        <f>IFERROR(VLOOKUP(Calculations[[#This Row],[Material (choose from dropdown]],MaterialData[#All],8,FALSE),0)</f>
        <v>0</v>
      </c>
      <c r="AG576" s="322">
        <f>IFERROR(Calculations[[#This Row],[Total Kg]]*Calculations[[#This Row],[Seq factor]],0)</f>
        <v>0</v>
      </c>
      <c r="AI576" s="322">
        <f>Calculations[[#This Row],[A1-3]]+Calculations[[#This Row],[A4]]+Calculations[[#This Row],[A5]]+Calculations[[#This Row],[B4]]+Calculations[[#This Row],[C2 total]]+Calculations[[#This Row],[C3 total]]+Calculations[[#This Row],[C4 total]]</f>
        <v>0</v>
      </c>
      <c r="AJ576" s="2">
        <f>IFERROR(VLOOKUP(Calculations[[#This Row],[Material (choose from dropdown]],MaterialData[[#Headers],[#Data]],9,FALSE),0)</f>
        <v>0</v>
      </c>
      <c r="AK576" s="4">
        <f>IFERROR(VLOOKUP(Calculations[[#This Row],[Material (choose from dropdown]],MaterialData[[#Headers],[#Data]],10,FALSE),0)</f>
        <v>0</v>
      </c>
      <c r="AL576" s="322">
        <f>IFERROR(Calculations[[#This Row],[Data Quality Score]]*Calculations[[#This Row],[Total Kg]],0)</f>
        <v>0</v>
      </c>
    </row>
    <row r="577" spans="1:38" x14ac:dyDescent="0.3">
      <c r="A577" s="6">
        <f>IFERROR(MaterialsBoQ[[#This Row],[Scope Element]],0)</f>
        <v>0</v>
      </c>
      <c r="B577" t="str">
        <f>IFERROR(MaterialsBoQ[[#This Row],[Material ]],"")</f>
        <v/>
      </c>
      <c r="C577" t="str">
        <f>IFERROR(MaterialsBoQ[[#This Row],[Unit]],"")</f>
        <v/>
      </c>
      <c r="D577" s="322">
        <f>IFERROR(MaterialsBoQ[[#This Row],[Number]],0)</f>
        <v>0</v>
      </c>
      <c r="E577" s="322">
        <f>IFERROR(MaterialsBoQ[[#This Row],[Kg per unit]],0)</f>
        <v>0</v>
      </c>
      <c r="F577" s="322">
        <f>IFERROR(Calculations[[#This Row],[Number]]*Calculations[[#This Row],[Conversion factor]],0)</f>
        <v>0</v>
      </c>
      <c r="G577" s="322">
        <f>IFERROR(VLOOKUP(Calculations[[#This Row],[Material (choose from dropdown]],MaterialData[#All],7,FALSE),0)</f>
        <v>0</v>
      </c>
      <c r="H577" s="322">
        <f>Calculations[[#This Row],[Total Kg]]*Calculations[[#This Row],[Carbon Factor]]</f>
        <v>0</v>
      </c>
      <c r="I577" t="str">
        <f>IFERROR(VLOOKUP(Calculations[[#This Row],[Material (choose from dropdown]],MaterialData[#All],2,FALSE),"")</f>
        <v/>
      </c>
      <c r="J577" s="322">
        <f>IFERROR(((VLOOKUP(Calculations[[#This Row],[TransportSource]],TransportDistance[],2,FALSE)*'Stage assumptions'!$C$11)+VLOOKUP(Calculations[[#This Row],[TransportSource]],TransportDistance[],3,FALSE)*'Stage assumptions'!$C$12)*Calculations[[#This Row],[Total Kg]],0)</f>
        <v>0</v>
      </c>
      <c r="K577">
        <f>IFERROR(VLOOKUP(Calculations[[#This Row],[Material (choose from dropdown]], MaterialData[#All],3, FALSE),0)</f>
        <v>0</v>
      </c>
      <c r="L577" s="322">
        <f>IFERROR(VLOOKUP(Calculations[[#This Row],[A5type]],A5WastageRate[#All],2,FALSE)*Calculations[[#This Row],[A1-3]],0)</f>
        <v>0</v>
      </c>
      <c r="N577">
        <f>IFERROR(ROUNDUP(50/VLOOKUP(Calculations[[#This Row],[Scope Element]],B4referenceServiceLife[[Tier 2 element]:[Default Service Life]],2, FALSE)-1,0),0)</f>
        <v>0</v>
      </c>
      <c r="O577" s="322">
        <f>IFERROR((Calculations[[#This Row],[A1-3]]+Calculations[[#This Row],[A4]]+Calculations[[#This Row],[A5]]+Calculations[[#This Row],[C2 total]]+Calculations[[#This Row],[C3 total]]+Calculations[[#This Row],[C4 total]])*Calculations[[#This Row],[Replacements]],0)</f>
        <v>0</v>
      </c>
      <c r="S577" t="str">
        <f>IFERROR(VLOOKUP(Calculations[[#This Row],[Material (choose from dropdown]],MaterialData[#All],4,FALSE),"")</f>
        <v/>
      </c>
      <c r="T577" s="322" cm="1">
        <f t="array" ref="T577">IFERROR(VLOOKUP(Calculations[[#This Row],[Waste 1]],WasteScenario[#All],2,FALSE)*'Stage assumptions'!$C$225*WasteTransportMethod[Emissions Factor
kgCO2e/kg.km]*Calculations[[#This Row],[Total Kg]],0)</f>
        <v>0</v>
      </c>
      <c r="U577" s="322" cm="1">
        <f t="array" ref="U577">IFERROR(VLOOKUP(Calculations[[#This Row],[Waste 1]],WasteScenario[#All],3,FALSE)*'Stage assumptions'!$C$224*WasteTransportMethod[Emissions Factor
kgCO2e/kg.km]*Calculations[[#This Row],[Total Kg]],0)</f>
        <v>0</v>
      </c>
      <c r="V577" s="322" cm="1">
        <f t="array" ref="V577">IFERROR(VLOOKUP(Calculations[[#This Row],[Waste 1]],WasteScenario[#All],4,FALSE)*'Stage assumptions'!$C$223*WasteTransportMethod[Emissions Factor
kgCO2e/kg.km]*Calculations[[#This Row],[Total Kg]],0)</f>
        <v>0</v>
      </c>
      <c r="W577" s="322" cm="1">
        <f t="array" ref="W577">IFERROR(VLOOKUP(Calculations[[#This Row],[Waste 1]],WasteScenario[#All],5,FALSE)*'Stage assumptions'!$C$226*WasteTransportMethod[Emissions Factor
kgCO2e/kg.km]*Calculations[[#This Row],[Total Kg]],0)</f>
        <v>0</v>
      </c>
      <c r="X577" s="322">
        <f>SUM(Calculations[[#This Row],[C2 Recycle]:[C2 Reuse]])</f>
        <v>0</v>
      </c>
      <c r="Y577" t="str">
        <f>IFERROR(VLOOKUP(Calculations[[#This Row],[Material (choose from dropdown]],MaterialData[#All],5,FALSE),"")</f>
        <v/>
      </c>
      <c r="Z577" s="322">
        <f>IFERROR(((VLOOKUP(Calculations[[#This Row],[Waste type 2]],WasteDisposalEmissions[#All],2,FALSE))*Calculations[[#This Row],[Total Kg]])*VLOOKUP(Calculations[[#This Row],[Waste 1]],WasteScenario[#All],2,FALSE),0)</f>
        <v>0</v>
      </c>
      <c r="AA577" s="322">
        <f>IFERROR((VLOOKUP(Calculations[[#This Row],[Waste type 2]],WasteDisposalEmissions[#All],3,FALSE))*Calculations[[#This Row],[Total Kg]]*VLOOKUP(Calculations[[#This Row],[Waste 1]],WasteScenario[#All],3,FALSE),0)</f>
        <v>0</v>
      </c>
      <c r="AB577" s="322">
        <f>SUM(Calculations[[#This Row],[C3 recyc]:[C3 incin]])</f>
        <v>0</v>
      </c>
      <c r="AC577" s="334">
        <f>IFERROR((VLOOKUP(Calculations[[#This Row],[Waste type 2]],WasteLandfillEmissions[#All],2,FALSE))*Calculations[[#This Row],[Total Kg]]*VLOOKUP(Calculations[[#This Row],[Waste 1]],WasteScenario[#All],4,FALSE),0)</f>
        <v>0</v>
      </c>
      <c r="AD577" s="322">
        <f>IFERROR((VLOOKUP(Calculations[[#This Row],[Waste type 2]],WasteLandfillEmissions[#All],3,FALSE))*Calculations[[#This Row],[Total Kg]]*VLOOKUP(Calculations[[#This Row],[Waste 1]],WasteScenario[#All],4,FALSE),0)</f>
        <v>0</v>
      </c>
      <c r="AE577" s="322">
        <f>SUM(Calculations[[#This Row],[C4 landfill]:[C4 re-use]])</f>
        <v>0</v>
      </c>
      <c r="AF577" s="322">
        <f>IFERROR(VLOOKUP(Calculations[[#This Row],[Material (choose from dropdown]],MaterialData[#All],8,FALSE),0)</f>
        <v>0</v>
      </c>
      <c r="AG577" s="322">
        <f>IFERROR(Calculations[[#This Row],[Total Kg]]*Calculations[[#This Row],[Seq factor]],0)</f>
        <v>0</v>
      </c>
      <c r="AI577" s="322">
        <f>Calculations[[#This Row],[A1-3]]+Calculations[[#This Row],[A4]]+Calculations[[#This Row],[A5]]+Calculations[[#This Row],[B4]]+Calculations[[#This Row],[C2 total]]+Calculations[[#This Row],[C3 total]]+Calculations[[#This Row],[C4 total]]</f>
        <v>0</v>
      </c>
      <c r="AJ577" s="2">
        <f>IFERROR(VLOOKUP(Calculations[[#This Row],[Material (choose from dropdown]],MaterialData[[#Headers],[#Data]],9,FALSE),0)</f>
        <v>0</v>
      </c>
      <c r="AK577" s="4">
        <f>IFERROR(VLOOKUP(Calculations[[#This Row],[Material (choose from dropdown]],MaterialData[[#Headers],[#Data]],10,FALSE),0)</f>
        <v>0</v>
      </c>
      <c r="AL577" s="322">
        <f>IFERROR(Calculations[[#This Row],[Data Quality Score]]*Calculations[[#This Row],[Total Kg]],0)</f>
        <v>0</v>
      </c>
    </row>
    <row r="578" spans="1:38" x14ac:dyDescent="0.3">
      <c r="A578" s="6">
        <f>IFERROR(MaterialsBoQ[[#This Row],[Scope Element]],0)</f>
        <v>0</v>
      </c>
      <c r="B578" t="str">
        <f>IFERROR(MaterialsBoQ[[#This Row],[Material ]],"")</f>
        <v/>
      </c>
      <c r="C578" t="str">
        <f>IFERROR(MaterialsBoQ[[#This Row],[Unit]],"")</f>
        <v/>
      </c>
      <c r="D578" s="322">
        <f>IFERROR(MaterialsBoQ[[#This Row],[Number]],0)</f>
        <v>0</v>
      </c>
      <c r="E578" s="322">
        <f>IFERROR(MaterialsBoQ[[#This Row],[Kg per unit]],0)</f>
        <v>0</v>
      </c>
      <c r="F578" s="322">
        <f>IFERROR(Calculations[[#This Row],[Number]]*Calculations[[#This Row],[Conversion factor]],0)</f>
        <v>0</v>
      </c>
      <c r="G578" s="322">
        <f>IFERROR(VLOOKUP(Calculations[[#This Row],[Material (choose from dropdown]],MaterialData[#All],7,FALSE),0)</f>
        <v>0</v>
      </c>
      <c r="H578" s="322">
        <f>Calculations[[#This Row],[Total Kg]]*Calculations[[#This Row],[Carbon Factor]]</f>
        <v>0</v>
      </c>
      <c r="I578" t="str">
        <f>IFERROR(VLOOKUP(Calculations[[#This Row],[Material (choose from dropdown]],MaterialData[#All],2,FALSE),"")</f>
        <v/>
      </c>
      <c r="J578" s="322">
        <f>IFERROR(((VLOOKUP(Calculations[[#This Row],[TransportSource]],TransportDistance[],2,FALSE)*'Stage assumptions'!$C$11)+VLOOKUP(Calculations[[#This Row],[TransportSource]],TransportDistance[],3,FALSE)*'Stage assumptions'!$C$12)*Calculations[[#This Row],[Total Kg]],0)</f>
        <v>0</v>
      </c>
      <c r="K578">
        <f>IFERROR(VLOOKUP(Calculations[[#This Row],[Material (choose from dropdown]], MaterialData[#All],3, FALSE),0)</f>
        <v>0</v>
      </c>
      <c r="L578" s="322">
        <f>IFERROR(VLOOKUP(Calculations[[#This Row],[A5type]],A5WastageRate[#All],2,FALSE)*Calculations[[#This Row],[A1-3]],0)</f>
        <v>0</v>
      </c>
      <c r="N578">
        <f>IFERROR(ROUNDUP(50/VLOOKUP(Calculations[[#This Row],[Scope Element]],B4referenceServiceLife[[Tier 2 element]:[Default Service Life]],2, FALSE)-1,0),0)</f>
        <v>0</v>
      </c>
      <c r="O578" s="322">
        <f>IFERROR((Calculations[[#This Row],[A1-3]]+Calculations[[#This Row],[A4]]+Calculations[[#This Row],[A5]]+Calculations[[#This Row],[C2 total]]+Calculations[[#This Row],[C3 total]]+Calculations[[#This Row],[C4 total]])*Calculations[[#This Row],[Replacements]],0)</f>
        <v>0</v>
      </c>
      <c r="S578" t="str">
        <f>IFERROR(VLOOKUP(Calculations[[#This Row],[Material (choose from dropdown]],MaterialData[#All],4,FALSE),"")</f>
        <v/>
      </c>
      <c r="T578" s="322" cm="1">
        <f t="array" ref="T578">IFERROR(VLOOKUP(Calculations[[#This Row],[Waste 1]],WasteScenario[#All],2,FALSE)*'Stage assumptions'!$C$225*WasteTransportMethod[Emissions Factor
kgCO2e/kg.km]*Calculations[[#This Row],[Total Kg]],0)</f>
        <v>0</v>
      </c>
      <c r="U578" s="322" cm="1">
        <f t="array" ref="U578">IFERROR(VLOOKUP(Calculations[[#This Row],[Waste 1]],WasteScenario[#All],3,FALSE)*'Stage assumptions'!$C$224*WasteTransportMethod[Emissions Factor
kgCO2e/kg.km]*Calculations[[#This Row],[Total Kg]],0)</f>
        <v>0</v>
      </c>
      <c r="V578" s="322" cm="1">
        <f t="array" ref="V578">IFERROR(VLOOKUP(Calculations[[#This Row],[Waste 1]],WasteScenario[#All],4,FALSE)*'Stage assumptions'!$C$223*WasteTransportMethod[Emissions Factor
kgCO2e/kg.km]*Calculations[[#This Row],[Total Kg]],0)</f>
        <v>0</v>
      </c>
      <c r="W578" s="322" cm="1">
        <f t="array" ref="W578">IFERROR(VLOOKUP(Calculations[[#This Row],[Waste 1]],WasteScenario[#All],5,FALSE)*'Stage assumptions'!$C$226*WasteTransportMethod[Emissions Factor
kgCO2e/kg.km]*Calculations[[#This Row],[Total Kg]],0)</f>
        <v>0</v>
      </c>
      <c r="X578" s="322">
        <f>SUM(Calculations[[#This Row],[C2 Recycle]:[C2 Reuse]])</f>
        <v>0</v>
      </c>
      <c r="Y578" t="str">
        <f>IFERROR(VLOOKUP(Calculations[[#This Row],[Material (choose from dropdown]],MaterialData[#All],5,FALSE),"")</f>
        <v/>
      </c>
      <c r="Z578" s="322">
        <f>IFERROR(((VLOOKUP(Calculations[[#This Row],[Waste type 2]],WasteDisposalEmissions[#All],2,FALSE))*Calculations[[#This Row],[Total Kg]])*VLOOKUP(Calculations[[#This Row],[Waste 1]],WasteScenario[#All],2,FALSE),0)</f>
        <v>0</v>
      </c>
      <c r="AA578" s="322">
        <f>IFERROR((VLOOKUP(Calculations[[#This Row],[Waste type 2]],WasteDisposalEmissions[#All],3,FALSE))*Calculations[[#This Row],[Total Kg]]*VLOOKUP(Calculations[[#This Row],[Waste 1]],WasteScenario[#All],3,FALSE),0)</f>
        <v>0</v>
      </c>
      <c r="AB578" s="322">
        <f>SUM(Calculations[[#This Row],[C3 recyc]:[C3 incin]])</f>
        <v>0</v>
      </c>
      <c r="AC578" s="334">
        <f>IFERROR((VLOOKUP(Calculations[[#This Row],[Waste type 2]],WasteLandfillEmissions[#All],2,FALSE))*Calculations[[#This Row],[Total Kg]]*VLOOKUP(Calculations[[#This Row],[Waste 1]],WasteScenario[#All],4,FALSE),0)</f>
        <v>0</v>
      </c>
      <c r="AD578" s="322">
        <f>IFERROR((VLOOKUP(Calculations[[#This Row],[Waste type 2]],WasteLandfillEmissions[#All],3,FALSE))*Calculations[[#This Row],[Total Kg]]*VLOOKUP(Calculations[[#This Row],[Waste 1]],WasteScenario[#All],4,FALSE),0)</f>
        <v>0</v>
      </c>
      <c r="AE578" s="322">
        <f>SUM(Calculations[[#This Row],[C4 landfill]:[C4 re-use]])</f>
        <v>0</v>
      </c>
      <c r="AF578" s="322">
        <f>IFERROR(VLOOKUP(Calculations[[#This Row],[Material (choose from dropdown]],MaterialData[#All],8,FALSE),0)</f>
        <v>0</v>
      </c>
      <c r="AG578" s="322">
        <f>IFERROR(Calculations[[#This Row],[Total Kg]]*Calculations[[#This Row],[Seq factor]],0)</f>
        <v>0</v>
      </c>
      <c r="AI578" s="322">
        <f>Calculations[[#This Row],[A1-3]]+Calculations[[#This Row],[A4]]+Calculations[[#This Row],[A5]]+Calculations[[#This Row],[B4]]+Calculations[[#This Row],[C2 total]]+Calculations[[#This Row],[C3 total]]+Calculations[[#This Row],[C4 total]]</f>
        <v>0</v>
      </c>
      <c r="AJ578" s="2">
        <f>IFERROR(VLOOKUP(Calculations[[#This Row],[Material (choose from dropdown]],MaterialData[[#Headers],[#Data]],9,FALSE),0)</f>
        <v>0</v>
      </c>
      <c r="AK578" s="4">
        <f>IFERROR(VLOOKUP(Calculations[[#This Row],[Material (choose from dropdown]],MaterialData[[#Headers],[#Data]],10,FALSE),0)</f>
        <v>0</v>
      </c>
      <c r="AL578" s="322">
        <f>IFERROR(Calculations[[#This Row],[Data Quality Score]]*Calculations[[#This Row],[Total Kg]],0)</f>
        <v>0</v>
      </c>
    </row>
    <row r="579" spans="1:38" x14ac:dyDescent="0.3">
      <c r="A579" s="6">
        <f>IFERROR(MaterialsBoQ[[#This Row],[Scope Element]],0)</f>
        <v>0</v>
      </c>
      <c r="B579" t="str">
        <f>IFERROR(MaterialsBoQ[[#This Row],[Material ]],"")</f>
        <v/>
      </c>
      <c r="C579" t="str">
        <f>IFERROR(MaterialsBoQ[[#This Row],[Unit]],"")</f>
        <v/>
      </c>
      <c r="D579" s="322">
        <f>IFERROR(MaterialsBoQ[[#This Row],[Number]],0)</f>
        <v>0</v>
      </c>
      <c r="E579" s="322">
        <f>IFERROR(MaterialsBoQ[[#This Row],[Kg per unit]],0)</f>
        <v>0</v>
      </c>
      <c r="F579" s="322">
        <f>IFERROR(Calculations[[#This Row],[Number]]*Calculations[[#This Row],[Conversion factor]],0)</f>
        <v>0</v>
      </c>
      <c r="G579" s="322">
        <f>IFERROR(VLOOKUP(Calculations[[#This Row],[Material (choose from dropdown]],MaterialData[#All],7,FALSE),0)</f>
        <v>0</v>
      </c>
      <c r="H579" s="322">
        <f>Calculations[[#This Row],[Total Kg]]*Calculations[[#This Row],[Carbon Factor]]</f>
        <v>0</v>
      </c>
      <c r="I579" t="str">
        <f>IFERROR(VLOOKUP(Calculations[[#This Row],[Material (choose from dropdown]],MaterialData[#All],2,FALSE),"")</f>
        <v/>
      </c>
      <c r="J579" s="322">
        <f>IFERROR(((VLOOKUP(Calculations[[#This Row],[TransportSource]],TransportDistance[],2,FALSE)*'Stage assumptions'!$C$11)+VLOOKUP(Calculations[[#This Row],[TransportSource]],TransportDistance[],3,FALSE)*'Stage assumptions'!$C$12)*Calculations[[#This Row],[Total Kg]],0)</f>
        <v>0</v>
      </c>
      <c r="K579">
        <f>IFERROR(VLOOKUP(Calculations[[#This Row],[Material (choose from dropdown]], MaterialData[#All],3, FALSE),0)</f>
        <v>0</v>
      </c>
      <c r="L579" s="322">
        <f>IFERROR(VLOOKUP(Calculations[[#This Row],[A5type]],A5WastageRate[#All],2,FALSE)*Calculations[[#This Row],[A1-3]],0)</f>
        <v>0</v>
      </c>
      <c r="N579">
        <f>IFERROR(ROUNDUP(50/VLOOKUP(Calculations[[#This Row],[Scope Element]],B4referenceServiceLife[[Tier 2 element]:[Default Service Life]],2, FALSE)-1,0),0)</f>
        <v>0</v>
      </c>
      <c r="O579" s="322">
        <f>IFERROR((Calculations[[#This Row],[A1-3]]+Calculations[[#This Row],[A4]]+Calculations[[#This Row],[A5]]+Calculations[[#This Row],[C2 total]]+Calculations[[#This Row],[C3 total]]+Calculations[[#This Row],[C4 total]])*Calculations[[#This Row],[Replacements]],0)</f>
        <v>0</v>
      </c>
      <c r="S579" t="str">
        <f>IFERROR(VLOOKUP(Calculations[[#This Row],[Material (choose from dropdown]],MaterialData[#All],4,FALSE),"")</f>
        <v/>
      </c>
      <c r="T579" s="322" cm="1">
        <f t="array" ref="T579">IFERROR(VLOOKUP(Calculations[[#This Row],[Waste 1]],WasteScenario[#All],2,FALSE)*'Stage assumptions'!$C$225*WasteTransportMethod[Emissions Factor
kgCO2e/kg.km]*Calculations[[#This Row],[Total Kg]],0)</f>
        <v>0</v>
      </c>
      <c r="U579" s="322" cm="1">
        <f t="array" ref="U579">IFERROR(VLOOKUP(Calculations[[#This Row],[Waste 1]],WasteScenario[#All],3,FALSE)*'Stage assumptions'!$C$224*WasteTransportMethod[Emissions Factor
kgCO2e/kg.km]*Calculations[[#This Row],[Total Kg]],0)</f>
        <v>0</v>
      </c>
      <c r="V579" s="322" cm="1">
        <f t="array" ref="V579">IFERROR(VLOOKUP(Calculations[[#This Row],[Waste 1]],WasteScenario[#All],4,FALSE)*'Stage assumptions'!$C$223*WasteTransportMethod[Emissions Factor
kgCO2e/kg.km]*Calculations[[#This Row],[Total Kg]],0)</f>
        <v>0</v>
      </c>
      <c r="W579" s="322" cm="1">
        <f t="array" ref="W579">IFERROR(VLOOKUP(Calculations[[#This Row],[Waste 1]],WasteScenario[#All],5,FALSE)*'Stage assumptions'!$C$226*WasteTransportMethod[Emissions Factor
kgCO2e/kg.km]*Calculations[[#This Row],[Total Kg]],0)</f>
        <v>0</v>
      </c>
      <c r="X579" s="322">
        <f>SUM(Calculations[[#This Row],[C2 Recycle]:[C2 Reuse]])</f>
        <v>0</v>
      </c>
      <c r="Y579" t="str">
        <f>IFERROR(VLOOKUP(Calculations[[#This Row],[Material (choose from dropdown]],MaterialData[#All],5,FALSE),"")</f>
        <v/>
      </c>
      <c r="Z579" s="322">
        <f>IFERROR(((VLOOKUP(Calculations[[#This Row],[Waste type 2]],WasteDisposalEmissions[#All],2,FALSE))*Calculations[[#This Row],[Total Kg]])*VLOOKUP(Calculations[[#This Row],[Waste 1]],WasteScenario[#All],2,FALSE),0)</f>
        <v>0</v>
      </c>
      <c r="AA579" s="322">
        <f>IFERROR((VLOOKUP(Calculations[[#This Row],[Waste type 2]],WasteDisposalEmissions[#All],3,FALSE))*Calculations[[#This Row],[Total Kg]]*VLOOKUP(Calculations[[#This Row],[Waste 1]],WasteScenario[#All],3,FALSE),0)</f>
        <v>0</v>
      </c>
      <c r="AB579" s="322">
        <f>SUM(Calculations[[#This Row],[C3 recyc]:[C3 incin]])</f>
        <v>0</v>
      </c>
      <c r="AC579" s="334">
        <f>IFERROR((VLOOKUP(Calculations[[#This Row],[Waste type 2]],WasteLandfillEmissions[#All],2,FALSE))*Calculations[[#This Row],[Total Kg]]*VLOOKUP(Calculations[[#This Row],[Waste 1]],WasteScenario[#All],4,FALSE),0)</f>
        <v>0</v>
      </c>
      <c r="AD579" s="322">
        <f>IFERROR((VLOOKUP(Calculations[[#This Row],[Waste type 2]],WasteLandfillEmissions[#All],3,FALSE))*Calculations[[#This Row],[Total Kg]]*VLOOKUP(Calculations[[#This Row],[Waste 1]],WasteScenario[#All],4,FALSE),0)</f>
        <v>0</v>
      </c>
      <c r="AE579" s="322">
        <f>SUM(Calculations[[#This Row],[C4 landfill]:[C4 re-use]])</f>
        <v>0</v>
      </c>
      <c r="AF579" s="322">
        <f>IFERROR(VLOOKUP(Calculations[[#This Row],[Material (choose from dropdown]],MaterialData[#All],8,FALSE),0)</f>
        <v>0</v>
      </c>
      <c r="AG579" s="322">
        <f>IFERROR(Calculations[[#This Row],[Total Kg]]*Calculations[[#This Row],[Seq factor]],0)</f>
        <v>0</v>
      </c>
      <c r="AI579" s="322">
        <f>Calculations[[#This Row],[A1-3]]+Calculations[[#This Row],[A4]]+Calculations[[#This Row],[A5]]+Calculations[[#This Row],[B4]]+Calculations[[#This Row],[C2 total]]+Calculations[[#This Row],[C3 total]]+Calculations[[#This Row],[C4 total]]</f>
        <v>0</v>
      </c>
      <c r="AJ579" s="2">
        <f>IFERROR(VLOOKUP(Calculations[[#This Row],[Material (choose from dropdown]],MaterialData[[#Headers],[#Data]],9,FALSE),0)</f>
        <v>0</v>
      </c>
      <c r="AK579" s="4">
        <f>IFERROR(VLOOKUP(Calculations[[#This Row],[Material (choose from dropdown]],MaterialData[[#Headers],[#Data]],10,FALSE),0)</f>
        <v>0</v>
      </c>
      <c r="AL579" s="322">
        <f>IFERROR(Calculations[[#This Row],[Data Quality Score]]*Calculations[[#This Row],[Total Kg]],0)</f>
        <v>0</v>
      </c>
    </row>
    <row r="580" spans="1:38" x14ac:dyDescent="0.3">
      <c r="A580" s="6">
        <f>IFERROR(MaterialsBoQ[[#This Row],[Scope Element]],0)</f>
        <v>0</v>
      </c>
      <c r="B580" t="str">
        <f>IFERROR(MaterialsBoQ[[#This Row],[Material ]],"")</f>
        <v/>
      </c>
      <c r="C580" t="str">
        <f>IFERROR(MaterialsBoQ[[#This Row],[Unit]],"")</f>
        <v/>
      </c>
      <c r="D580" s="322">
        <f>IFERROR(MaterialsBoQ[[#This Row],[Number]],0)</f>
        <v>0</v>
      </c>
      <c r="E580" s="322">
        <f>IFERROR(MaterialsBoQ[[#This Row],[Kg per unit]],0)</f>
        <v>0</v>
      </c>
      <c r="F580" s="322">
        <f>IFERROR(Calculations[[#This Row],[Number]]*Calculations[[#This Row],[Conversion factor]],0)</f>
        <v>0</v>
      </c>
      <c r="G580" s="322">
        <f>IFERROR(VLOOKUP(Calculations[[#This Row],[Material (choose from dropdown]],MaterialData[#All],7,FALSE),0)</f>
        <v>0</v>
      </c>
      <c r="H580" s="322">
        <f>Calculations[[#This Row],[Total Kg]]*Calculations[[#This Row],[Carbon Factor]]</f>
        <v>0</v>
      </c>
      <c r="I580" t="str">
        <f>IFERROR(VLOOKUP(Calculations[[#This Row],[Material (choose from dropdown]],MaterialData[#All],2,FALSE),"")</f>
        <v/>
      </c>
      <c r="J580" s="322">
        <f>IFERROR(((VLOOKUP(Calculations[[#This Row],[TransportSource]],TransportDistance[],2,FALSE)*'Stage assumptions'!$C$11)+VLOOKUP(Calculations[[#This Row],[TransportSource]],TransportDistance[],3,FALSE)*'Stage assumptions'!$C$12)*Calculations[[#This Row],[Total Kg]],0)</f>
        <v>0</v>
      </c>
      <c r="K580">
        <f>IFERROR(VLOOKUP(Calculations[[#This Row],[Material (choose from dropdown]], MaterialData[#All],3, FALSE),0)</f>
        <v>0</v>
      </c>
      <c r="L580" s="322">
        <f>IFERROR(VLOOKUP(Calculations[[#This Row],[A5type]],A5WastageRate[#All],2,FALSE)*Calculations[[#This Row],[A1-3]],0)</f>
        <v>0</v>
      </c>
      <c r="N580">
        <f>IFERROR(ROUNDUP(50/VLOOKUP(Calculations[[#This Row],[Scope Element]],B4referenceServiceLife[[Tier 2 element]:[Default Service Life]],2, FALSE)-1,0),0)</f>
        <v>0</v>
      </c>
      <c r="O580" s="322">
        <f>IFERROR((Calculations[[#This Row],[A1-3]]+Calculations[[#This Row],[A4]]+Calculations[[#This Row],[A5]]+Calculations[[#This Row],[C2 total]]+Calculations[[#This Row],[C3 total]]+Calculations[[#This Row],[C4 total]])*Calculations[[#This Row],[Replacements]],0)</f>
        <v>0</v>
      </c>
      <c r="S580" t="str">
        <f>IFERROR(VLOOKUP(Calculations[[#This Row],[Material (choose from dropdown]],MaterialData[#All],4,FALSE),"")</f>
        <v/>
      </c>
      <c r="T580" s="322" cm="1">
        <f t="array" ref="T580">IFERROR(VLOOKUP(Calculations[[#This Row],[Waste 1]],WasteScenario[#All],2,FALSE)*'Stage assumptions'!$C$225*WasteTransportMethod[Emissions Factor
kgCO2e/kg.km]*Calculations[[#This Row],[Total Kg]],0)</f>
        <v>0</v>
      </c>
      <c r="U580" s="322" cm="1">
        <f t="array" ref="U580">IFERROR(VLOOKUP(Calculations[[#This Row],[Waste 1]],WasteScenario[#All],3,FALSE)*'Stage assumptions'!$C$224*WasteTransportMethod[Emissions Factor
kgCO2e/kg.km]*Calculations[[#This Row],[Total Kg]],0)</f>
        <v>0</v>
      </c>
      <c r="V580" s="322" cm="1">
        <f t="array" ref="V580">IFERROR(VLOOKUP(Calculations[[#This Row],[Waste 1]],WasteScenario[#All],4,FALSE)*'Stage assumptions'!$C$223*WasteTransportMethod[Emissions Factor
kgCO2e/kg.km]*Calculations[[#This Row],[Total Kg]],0)</f>
        <v>0</v>
      </c>
      <c r="W580" s="322" cm="1">
        <f t="array" ref="W580">IFERROR(VLOOKUP(Calculations[[#This Row],[Waste 1]],WasteScenario[#All],5,FALSE)*'Stage assumptions'!$C$226*WasteTransportMethod[Emissions Factor
kgCO2e/kg.km]*Calculations[[#This Row],[Total Kg]],0)</f>
        <v>0</v>
      </c>
      <c r="X580" s="322">
        <f>SUM(Calculations[[#This Row],[C2 Recycle]:[C2 Reuse]])</f>
        <v>0</v>
      </c>
      <c r="Y580" t="str">
        <f>IFERROR(VLOOKUP(Calculations[[#This Row],[Material (choose from dropdown]],MaterialData[#All],5,FALSE),"")</f>
        <v/>
      </c>
      <c r="Z580" s="322">
        <f>IFERROR(((VLOOKUP(Calculations[[#This Row],[Waste type 2]],WasteDisposalEmissions[#All],2,FALSE))*Calculations[[#This Row],[Total Kg]])*VLOOKUP(Calculations[[#This Row],[Waste 1]],WasteScenario[#All],2,FALSE),0)</f>
        <v>0</v>
      </c>
      <c r="AA580" s="322">
        <f>IFERROR((VLOOKUP(Calculations[[#This Row],[Waste type 2]],WasteDisposalEmissions[#All],3,FALSE))*Calculations[[#This Row],[Total Kg]]*VLOOKUP(Calculations[[#This Row],[Waste 1]],WasteScenario[#All],3,FALSE),0)</f>
        <v>0</v>
      </c>
      <c r="AB580" s="322">
        <f>SUM(Calculations[[#This Row],[C3 recyc]:[C3 incin]])</f>
        <v>0</v>
      </c>
      <c r="AC580" s="334">
        <f>IFERROR((VLOOKUP(Calculations[[#This Row],[Waste type 2]],WasteLandfillEmissions[#All],2,FALSE))*Calculations[[#This Row],[Total Kg]]*VLOOKUP(Calculations[[#This Row],[Waste 1]],WasteScenario[#All],4,FALSE),0)</f>
        <v>0</v>
      </c>
      <c r="AD580" s="322">
        <f>IFERROR((VLOOKUP(Calculations[[#This Row],[Waste type 2]],WasteLandfillEmissions[#All],3,FALSE))*Calculations[[#This Row],[Total Kg]]*VLOOKUP(Calculations[[#This Row],[Waste 1]],WasteScenario[#All],4,FALSE),0)</f>
        <v>0</v>
      </c>
      <c r="AE580" s="322">
        <f>SUM(Calculations[[#This Row],[C4 landfill]:[C4 re-use]])</f>
        <v>0</v>
      </c>
      <c r="AF580" s="322">
        <f>IFERROR(VLOOKUP(Calculations[[#This Row],[Material (choose from dropdown]],MaterialData[#All],8,FALSE),0)</f>
        <v>0</v>
      </c>
      <c r="AG580" s="322">
        <f>IFERROR(Calculations[[#This Row],[Total Kg]]*Calculations[[#This Row],[Seq factor]],0)</f>
        <v>0</v>
      </c>
      <c r="AI580" s="322">
        <f>Calculations[[#This Row],[A1-3]]+Calculations[[#This Row],[A4]]+Calculations[[#This Row],[A5]]+Calculations[[#This Row],[B4]]+Calculations[[#This Row],[C2 total]]+Calculations[[#This Row],[C3 total]]+Calculations[[#This Row],[C4 total]]</f>
        <v>0</v>
      </c>
      <c r="AJ580" s="2">
        <f>IFERROR(VLOOKUP(Calculations[[#This Row],[Material (choose from dropdown]],MaterialData[[#Headers],[#Data]],9,FALSE),0)</f>
        <v>0</v>
      </c>
      <c r="AK580" s="4">
        <f>IFERROR(VLOOKUP(Calculations[[#This Row],[Material (choose from dropdown]],MaterialData[[#Headers],[#Data]],10,FALSE),0)</f>
        <v>0</v>
      </c>
      <c r="AL580" s="322">
        <f>IFERROR(Calculations[[#This Row],[Data Quality Score]]*Calculations[[#This Row],[Total Kg]],0)</f>
        <v>0</v>
      </c>
    </row>
    <row r="581" spans="1:38" x14ac:dyDescent="0.3">
      <c r="A581" s="6">
        <f>IFERROR(MaterialsBoQ[[#This Row],[Scope Element]],0)</f>
        <v>0</v>
      </c>
      <c r="B581" t="str">
        <f>IFERROR(MaterialsBoQ[[#This Row],[Material ]],"")</f>
        <v/>
      </c>
      <c r="C581" t="str">
        <f>IFERROR(MaterialsBoQ[[#This Row],[Unit]],"")</f>
        <v/>
      </c>
      <c r="D581" s="322">
        <f>IFERROR(MaterialsBoQ[[#This Row],[Number]],0)</f>
        <v>0</v>
      </c>
      <c r="E581" s="322">
        <f>IFERROR(MaterialsBoQ[[#This Row],[Kg per unit]],0)</f>
        <v>0</v>
      </c>
      <c r="F581" s="322">
        <f>IFERROR(Calculations[[#This Row],[Number]]*Calculations[[#This Row],[Conversion factor]],0)</f>
        <v>0</v>
      </c>
      <c r="G581" s="322">
        <f>IFERROR(VLOOKUP(Calculations[[#This Row],[Material (choose from dropdown]],MaterialData[#All],7,FALSE),0)</f>
        <v>0</v>
      </c>
      <c r="H581" s="322">
        <f>Calculations[[#This Row],[Total Kg]]*Calculations[[#This Row],[Carbon Factor]]</f>
        <v>0</v>
      </c>
      <c r="I581" t="str">
        <f>IFERROR(VLOOKUP(Calculations[[#This Row],[Material (choose from dropdown]],MaterialData[#All],2,FALSE),"")</f>
        <v/>
      </c>
      <c r="J581" s="322">
        <f>IFERROR(((VLOOKUP(Calculations[[#This Row],[TransportSource]],TransportDistance[],2,FALSE)*'Stage assumptions'!$C$11)+VLOOKUP(Calculations[[#This Row],[TransportSource]],TransportDistance[],3,FALSE)*'Stage assumptions'!$C$12)*Calculations[[#This Row],[Total Kg]],0)</f>
        <v>0</v>
      </c>
      <c r="K581">
        <f>IFERROR(VLOOKUP(Calculations[[#This Row],[Material (choose from dropdown]], MaterialData[#All],3, FALSE),0)</f>
        <v>0</v>
      </c>
      <c r="L581" s="322">
        <f>IFERROR(VLOOKUP(Calculations[[#This Row],[A5type]],A5WastageRate[#All],2,FALSE)*Calculations[[#This Row],[A1-3]],0)</f>
        <v>0</v>
      </c>
      <c r="N581">
        <f>IFERROR(ROUNDUP(50/VLOOKUP(Calculations[[#This Row],[Scope Element]],B4referenceServiceLife[[Tier 2 element]:[Default Service Life]],2, FALSE)-1,0),0)</f>
        <v>0</v>
      </c>
      <c r="O581" s="322">
        <f>IFERROR((Calculations[[#This Row],[A1-3]]+Calculations[[#This Row],[A4]]+Calculations[[#This Row],[A5]]+Calculations[[#This Row],[C2 total]]+Calculations[[#This Row],[C3 total]]+Calculations[[#This Row],[C4 total]])*Calculations[[#This Row],[Replacements]],0)</f>
        <v>0</v>
      </c>
      <c r="S581" t="str">
        <f>IFERROR(VLOOKUP(Calculations[[#This Row],[Material (choose from dropdown]],MaterialData[#All],4,FALSE),"")</f>
        <v/>
      </c>
      <c r="T581" s="322" cm="1">
        <f t="array" ref="T581">IFERROR(VLOOKUP(Calculations[[#This Row],[Waste 1]],WasteScenario[#All],2,FALSE)*'Stage assumptions'!$C$225*WasteTransportMethod[Emissions Factor
kgCO2e/kg.km]*Calculations[[#This Row],[Total Kg]],0)</f>
        <v>0</v>
      </c>
      <c r="U581" s="322" cm="1">
        <f t="array" ref="U581">IFERROR(VLOOKUP(Calculations[[#This Row],[Waste 1]],WasteScenario[#All],3,FALSE)*'Stage assumptions'!$C$224*WasteTransportMethod[Emissions Factor
kgCO2e/kg.km]*Calculations[[#This Row],[Total Kg]],0)</f>
        <v>0</v>
      </c>
      <c r="V581" s="322" cm="1">
        <f t="array" ref="V581">IFERROR(VLOOKUP(Calculations[[#This Row],[Waste 1]],WasteScenario[#All],4,FALSE)*'Stage assumptions'!$C$223*WasteTransportMethod[Emissions Factor
kgCO2e/kg.km]*Calculations[[#This Row],[Total Kg]],0)</f>
        <v>0</v>
      </c>
      <c r="W581" s="322" cm="1">
        <f t="array" ref="W581">IFERROR(VLOOKUP(Calculations[[#This Row],[Waste 1]],WasteScenario[#All],5,FALSE)*'Stage assumptions'!$C$226*WasteTransportMethod[Emissions Factor
kgCO2e/kg.km]*Calculations[[#This Row],[Total Kg]],0)</f>
        <v>0</v>
      </c>
      <c r="X581" s="322">
        <f>SUM(Calculations[[#This Row],[C2 Recycle]:[C2 Reuse]])</f>
        <v>0</v>
      </c>
      <c r="Y581" t="str">
        <f>IFERROR(VLOOKUP(Calculations[[#This Row],[Material (choose from dropdown]],MaterialData[#All],5,FALSE),"")</f>
        <v/>
      </c>
      <c r="Z581" s="322">
        <f>IFERROR(((VLOOKUP(Calculations[[#This Row],[Waste type 2]],WasteDisposalEmissions[#All],2,FALSE))*Calculations[[#This Row],[Total Kg]])*VLOOKUP(Calculations[[#This Row],[Waste 1]],WasteScenario[#All],2,FALSE),0)</f>
        <v>0</v>
      </c>
      <c r="AA581" s="322">
        <f>IFERROR((VLOOKUP(Calculations[[#This Row],[Waste type 2]],WasteDisposalEmissions[#All],3,FALSE))*Calculations[[#This Row],[Total Kg]]*VLOOKUP(Calculations[[#This Row],[Waste 1]],WasteScenario[#All],3,FALSE),0)</f>
        <v>0</v>
      </c>
      <c r="AB581" s="322">
        <f>SUM(Calculations[[#This Row],[C3 recyc]:[C3 incin]])</f>
        <v>0</v>
      </c>
      <c r="AC581" s="334">
        <f>IFERROR((VLOOKUP(Calculations[[#This Row],[Waste type 2]],WasteLandfillEmissions[#All],2,FALSE))*Calculations[[#This Row],[Total Kg]]*VLOOKUP(Calculations[[#This Row],[Waste 1]],WasteScenario[#All],4,FALSE),0)</f>
        <v>0</v>
      </c>
      <c r="AD581" s="322">
        <f>IFERROR((VLOOKUP(Calculations[[#This Row],[Waste type 2]],WasteLandfillEmissions[#All],3,FALSE))*Calculations[[#This Row],[Total Kg]]*VLOOKUP(Calculations[[#This Row],[Waste 1]],WasteScenario[#All],4,FALSE),0)</f>
        <v>0</v>
      </c>
      <c r="AE581" s="322">
        <f>SUM(Calculations[[#This Row],[C4 landfill]:[C4 re-use]])</f>
        <v>0</v>
      </c>
      <c r="AF581" s="322">
        <f>IFERROR(VLOOKUP(Calculations[[#This Row],[Material (choose from dropdown]],MaterialData[#All],8,FALSE),0)</f>
        <v>0</v>
      </c>
      <c r="AG581" s="322">
        <f>IFERROR(Calculations[[#This Row],[Total Kg]]*Calculations[[#This Row],[Seq factor]],0)</f>
        <v>0</v>
      </c>
      <c r="AI581" s="322">
        <f>Calculations[[#This Row],[A1-3]]+Calculations[[#This Row],[A4]]+Calculations[[#This Row],[A5]]+Calculations[[#This Row],[B4]]+Calculations[[#This Row],[C2 total]]+Calculations[[#This Row],[C3 total]]+Calculations[[#This Row],[C4 total]]</f>
        <v>0</v>
      </c>
      <c r="AJ581" s="2">
        <f>IFERROR(VLOOKUP(Calculations[[#This Row],[Material (choose from dropdown]],MaterialData[[#Headers],[#Data]],9,FALSE),0)</f>
        <v>0</v>
      </c>
      <c r="AK581" s="4">
        <f>IFERROR(VLOOKUP(Calculations[[#This Row],[Material (choose from dropdown]],MaterialData[[#Headers],[#Data]],10,FALSE),0)</f>
        <v>0</v>
      </c>
      <c r="AL581" s="322">
        <f>IFERROR(Calculations[[#This Row],[Data Quality Score]]*Calculations[[#This Row],[Total Kg]],0)</f>
        <v>0</v>
      </c>
    </row>
    <row r="582" spans="1:38" x14ac:dyDescent="0.3">
      <c r="A582" s="6">
        <f>IFERROR(MaterialsBoQ[[#This Row],[Scope Element]],0)</f>
        <v>0</v>
      </c>
      <c r="B582" t="str">
        <f>IFERROR(MaterialsBoQ[[#This Row],[Material ]],"")</f>
        <v/>
      </c>
      <c r="C582" t="str">
        <f>IFERROR(MaterialsBoQ[[#This Row],[Unit]],"")</f>
        <v/>
      </c>
      <c r="D582" s="322">
        <f>IFERROR(MaterialsBoQ[[#This Row],[Number]],0)</f>
        <v>0</v>
      </c>
      <c r="E582" s="322">
        <f>IFERROR(MaterialsBoQ[[#This Row],[Kg per unit]],0)</f>
        <v>0</v>
      </c>
      <c r="F582" s="322">
        <f>IFERROR(Calculations[[#This Row],[Number]]*Calculations[[#This Row],[Conversion factor]],0)</f>
        <v>0</v>
      </c>
      <c r="G582" s="322">
        <f>IFERROR(VLOOKUP(Calculations[[#This Row],[Material (choose from dropdown]],MaterialData[#All],7,FALSE),0)</f>
        <v>0</v>
      </c>
      <c r="H582" s="322">
        <f>Calculations[[#This Row],[Total Kg]]*Calculations[[#This Row],[Carbon Factor]]</f>
        <v>0</v>
      </c>
      <c r="I582" t="str">
        <f>IFERROR(VLOOKUP(Calculations[[#This Row],[Material (choose from dropdown]],MaterialData[#All],2,FALSE),"")</f>
        <v/>
      </c>
      <c r="J582" s="322">
        <f>IFERROR(((VLOOKUP(Calculations[[#This Row],[TransportSource]],TransportDistance[],2,FALSE)*'Stage assumptions'!$C$11)+VLOOKUP(Calculations[[#This Row],[TransportSource]],TransportDistance[],3,FALSE)*'Stage assumptions'!$C$12)*Calculations[[#This Row],[Total Kg]],0)</f>
        <v>0</v>
      </c>
      <c r="K582">
        <f>IFERROR(VLOOKUP(Calculations[[#This Row],[Material (choose from dropdown]], MaterialData[#All],3, FALSE),0)</f>
        <v>0</v>
      </c>
      <c r="L582" s="322">
        <f>IFERROR(VLOOKUP(Calculations[[#This Row],[A5type]],A5WastageRate[#All],2,FALSE)*Calculations[[#This Row],[A1-3]],0)</f>
        <v>0</v>
      </c>
      <c r="N582">
        <f>IFERROR(ROUNDUP(50/VLOOKUP(Calculations[[#This Row],[Scope Element]],B4referenceServiceLife[[Tier 2 element]:[Default Service Life]],2, FALSE)-1,0),0)</f>
        <v>0</v>
      </c>
      <c r="O582" s="322">
        <f>IFERROR((Calculations[[#This Row],[A1-3]]+Calculations[[#This Row],[A4]]+Calculations[[#This Row],[A5]]+Calculations[[#This Row],[C2 total]]+Calculations[[#This Row],[C3 total]]+Calculations[[#This Row],[C4 total]])*Calculations[[#This Row],[Replacements]],0)</f>
        <v>0</v>
      </c>
      <c r="S582" t="str">
        <f>IFERROR(VLOOKUP(Calculations[[#This Row],[Material (choose from dropdown]],MaterialData[#All],4,FALSE),"")</f>
        <v/>
      </c>
      <c r="T582" s="322" cm="1">
        <f t="array" ref="T582">IFERROR(VLOOKUP(Calculations[[#This Row],[Waste 1]],WasteScenario[#All],2,FALSE)*'Stage assumptions'!$C$225*WasteTransportMethod[Emissions Factor
kgCO2e/kg.km]*Calculations[[#This Row],[Total Kg]],0)</f>
        <v>0</v>
      </c>
      <c r="U582" s="322" cm="1">
        <f t="array" ref="U582">IFERROR(VLOOKUP(Calculations[[#This Row],[Waste 1]],WasteScenario[#All],3,FALSE)*'Stage assumptions'!$C$224*WasteTransportMethod[Emissions Factor
kgCO2e/kg.km]*Calculations[[#This Row],[Total Kg]],0)</f>
        <v>0</v>
      </c>
      <c r="V582" s="322" cm="1">
        <f t="array" ref="V582">IFERROR(VLOOKUP(Calculations[[#This Row],[Waste 1]],WasteScenario[#All],4,FALSE)*'Stage assumptions'!$C$223*WasteTransportMethod[Emissions Factor
kgCO2e/kg.km]*Calculations[[#This Row],[Total Kg]],0)</f>
        <v>0</v>
      </c>
      <c r="W582" s="322" cm="1">
        <f t="array" ref="W582">IFERROR(VLOOKUP(Calculations[[#This Row],[Waste 1]],WasteScenario[#All],5,FALSE)*'Stage assumptions'!$C$226*WasteTransportMethod[Emissions Factor
kgCO2e/kg.km]*Calculations[[#This Row],[Total Kg]],0)</f>
        <v>0</v>
      </c>
      <c r="X582" s="322">
        <f>SUM(Calculations[[#This Row],[C2 Recycle]:[C2 Reuse]])</f>
        <v>0</v>
      </c>
      <c r="Y582" t="str">
        <f>IFERROR(VLOOKUP(Calculations[[#This Row],[Material (choose from dropdown]],MaterialData[#All],5,FALSE),"")</f>
        <v/>
      </c>
      <c r="Z582" s="322">
        <f>IFERROR(((VLOOKUP(Calculations[[#This Row],[Waste type 2]],WasteDisposalEmissions[#All],2,FALSE))*Calculations[[#This Row],[Total Kg]])*VLOOKUP(Calculations[[#This Row],[Waste 1]],WasteScenario[#All],2,FALSE),0)</f>
        <v>0</v>
      </c>
      <c r="AA582" s="322">
        <f>IFERROR((VLOOKUP(Calculations[[#This Row],[Waste type 2]],WasteDisposalEmissions[#All],3,FALSE))*Calculations[[#This Row],[Total Kg]]*VLOOKUP(Calculations[[#This Row],[Waste 1]],WasteScenario[#All],3,FALSE),0)</f>
        <v>0</v>
      </c>
      <c r="AB582" s="322">
        <f>SUM(Calculations[[#This Row],[C3 recyc]:[C3 incin]])</f>
        <v>0</v>
      </c>
      <c r="AC582" s="334">
        <f>IFERROR((VLOOKUP(Calculations[[#This Row],[Waste type 2]],WasteLandfillEmissions[#All],2,FALSE))*Calculations[[#This Row],[Total Kg]]*VLOOKUP(Calculations[[#This Row],[Waste 1]],WasteScenario[#All],4,FALSE),0)</f>
        <v>0</v>
      </c>
      <c r="AD582" s="322">
        <f>IFERROR((VLOOKUP(Calculations[[#This Row],[Waste type 2]],WasteLandfillEmissions[#All],3,FALSE))*Calculations[[#This Row],[Total Kg]]*VLOOKUP(Calculations[[#This Row],[Waste 1]],WasteScenario[#All],4,FALSE),0)</f>
        <v>0</v>
      </c>
      <c r="AE582" s="322">
        <f>SUM(Calculations[[#This Row],[C4 landfill]:[C4 re-use]])</f>
        <v>0</v>
      </c>
      <c r="AF582" s="322">
        <f>IFERROR(VLOOKUP(Calculations[[#This Row],[Material (choose from dropdown]],MaterialData[#All],8,FALSE),0)</f>
        <v>0</v>
      </c>
      <c r="AG582" s="322">
        <f>IFERROR(Calculations[[#This Row],[Total Kg]]*Calculations[[#This Row],[Seq factor]],0)</f>
        <v>0</v>
      </c>
      <c r="AI582" s="322">
        <f>Calculations[[#This Row],[A1-3]]+Calculations[[#This Row],[A4]]+Calculations[[#This Row],[A5]]+Calculations[[#This Row],[B4]]+Calculations[[#This Row],[C2 total]]+Calculations[[#This Row],[C3 total]]+Calculations[[#This Row],[C4 total]]</f>
        <v>0</v>
      </c>
      <c r="AJ582" s="2">
        <f>IFERROR(VLOOKUP(Calculations[[#This Row],[Material (choose from dropdown]],MaterialData[[#Headers],[#Data]],9,FALSE),0)</f>
        <v>0</v>
      </c>
      <c r="AK582" s="4">
        <f>IFERROR(VLOOKUP(Calculations[[#This Row],[Material (choose from dropdown]],MaterialData[[#Headers],[#Data]],10,FALSE),0)</f>
        <v>0</v>
      </c>
      <c r="AL582" s="322">
        <f>IFERROR(Calculations[[#This Row],[Data Quality Score]]*Calculations[[#This Row],[Total Kg]],0)</f>
        <v>0</v>
      </c>
    </row>
    <row r="583" spans="1:38" x14ac:dyDescent="0.3">
      <c r="A583" s="6">
        <f>IFERROR(MaterialsBoQ[[#This Row],[Scope Element]],0)</f>
        <v>0</v>
      </c>
      <c r="B583" t="str">
        <f>IFERROR(MaterialsBoQ[[#This Row],[Material ]],"")</f>
        <v/>
      </c>
      <c r="C583" t="str">
        <f>IFERROR(MaterialsBoQ[[#This Row],[Unit]],"")</f>
        <v/>
      </c>
      <c r="D583" s="322">
        <f>IFERROR(MaterialsBoQ[[#This Row],[Number]],0)</f>
        <v>0</v>
      </c>
      <c r="E583" s="322">
        <f>IFERROR(MaterialsBoQ[[#This Row],[Kg per unit]],0)</f>
        <v>0</v>
      </c>
      <c r="F583" s="322">
        <f>IFERROR(Calculations[[#This Row],[Number]]*Calculations[[#This Row],[Conversion factor]],0)</f>
        <v>0</v>
      </c>
      <c r="G583" s="322">
        <f>IFERROR(VLOOKUP(Calculations[[#This Row],[Material (choose from dropdown]],MaterialData[#All],7,FALSE),0)</f>
        <v>0</v>
      </c>
      <c r="H583" s="322">
        <f>Calculations[[#This Row],[Total Kg]]*Calculations[[#This Row],[Carbon Factor]]</f>
        <v>0</v>
      </c>
      <c r="I583" t="str">
        <f>IFERROR(VLOOKUP(Calculations[[#This Row],[Material (choose from dropdown]],MaterialData[#All],2,FALSE),"")</f>
        <v/>
      </c>
      <c r="J583" s="322">
        <f>IFERROR(((VLOOKUP(Calculations[[#This Row],[TransportSource]],TransportDistance[],2,FALSE)*'Stage assumptions'!$C$11)+VLOOKUP(Calculations[[#This Row],[TransportSource]],TransportDistance[],3,FALSE)*'Stage assumptions'!$C$12)*Calculations[[#This Row],[Total Kg]],0)</f>
        <v>0</v>
      </c>
      <c r="K583">
        <f>IFERROR(VLOOKUP(Calculations[[#This Row],[Material (choose from dropdown]], MaterialData[#All],3, FALSE),0)</f>
        <v>0</v>
      </c>
      <c r="L583" s="322">
        <f>IFERROR(VLOOKUP(Calculations[[#This Row],[A5type]],A5WastageRate[#All],2,FALSE)*Calculations[[#This Row],[A1-3]],0)</f>
        <v>0</v>
      </c>
      <c r="N583">
        <f>IFERROR(ROUNDUP(50/VLOOKUP(Calculations[[#This Row],[Scope Element]],B4referenceServiceLife[[Tier 2 element]:[Default Service Life]],2, FALSE)-1,0),0)</f>
        <v>0</v>
      </c>
      <c r="O583" s="322">
        <f>IFERROR((Calculations[[#This Row],[A1-3]]+Calculations[[#This Row],[A4]]+Calculations[[#This Row],[A5]]+Calculations[[#This Row],[C2 total]]+Calculations[[#This Row],[C3 total]]+Calculations[[#This Row],[C4 total]])*Calculations[[#This Row],[Replacements]],0)</f>
        <v>0</v>
      </c>
      <c r="S583" t="str">
        <f>IFERROR(VLOOKUP(Calculations[[#This Row],[Material (choose from dropdown]],MaterialData[#All],4,FALSE),"")</f>
        <v/>
      </c>
      <c r="T583" s="322" cm="1">
        <f t="array" ref="T583">IFERROR(VLOOKUP(Calculations[[#This Row],[Waste 1]],WasteScenario[#All],2,FALSE)*'Stage assumptions'!$C$225*WasteTransportMethod[Emissions Factor
kgCO2e/kg.km]*Calculations[[#This Row],[Total Kg]],0)</f>
        <v>0</v>
      </c>
      <c r="U583" s="322" cm="1">
        <f t="array" ref="U583">IFERROR(VLOOKUP(Calculations[[#This Row],[Waste 1]],WasteScenario[#All],3,FALSE)*'Stage assumptions'!$C$224*WasteTransportMethod[Emissions Factor
kgCO2e/kg.km]*Calculations[[#This Row],[Total Kg]],0)</f>
        <v>0</v>
      </c>
      <c r="V583" s="322" cm="1">
        <f t="array" ref="V583">IFERROR(VLOOKUP(Calculations[[#This Row],[Waste 1]],WasteScenario[#All],4,FALSE)*'Stage assumptions'!$C$223*WasteTransportMethod[Emissions Factor
kgCO2e/kg.km]*Calculations[[#This Row],[Total Kg]],0)</f>
        <v>0</v>
      </c>
      <c r="W583" s="322" cm="1">
        <f t="array" ref="W583">IFERROR(VLOOKUP(Calculations[[#This Row],[Waste 1]],WasteScenario[#All],5,FALSE)*'Stage assumptions'!$C$226*WasteTransportMethod[Emissions Factor
kgCO2e/kg.km]*Calculations[[#This Row],[Total Kg]],0)</f>
        <v>0</v>
      </c>
      <c r="X583" s="322">
        <f>SUM(Calculations[[#This Row],[C2 Recycle]:[C2 Reuse]])</f>
        <v>0</v>
      </c>
      <c r="Y583" t="str">
        <f>IFERROR(VLOOKUP(Calculations[[#This Row],[Material (choose from dropdown]],MaterialData[#All],5,FALSE),"")</f>
        <v/>
      </c>
      <c r="Z583" s="322">
        <f>IFERROR(((VLOOKUP(Calculations[[#This Row],[Waste type 2]],WasteDisposalEmissions[#All],2,FALSE))*Calculations[[#This Row],[Total Kg]])*VLOOKUP(Calculations[[#This Row],[Waste 1]],WasteScenario[#All],2,FALSE),0)</f>
        <v>0</v>
      </c>
      <c r="AA583" s="322">
        <f>IFERROR((VLOOKUP(Calculations[[#This Row],[Waste type 2]],WasteDisposalEmissions[#All],3,FALSE))*Calculations[[#This Row],[Total Kg]]*VLOOKUP(Calculations[[#This Row],[Waste 1]],WasteScenario[#All],3,FALSE),0)</f>
        <v>0</v>
      </c>
      <c r="AB583" s="322">
        <f>SUM(Calculations[[#This Row],[C3 recyc]:[C3 incin]])</f>
        <v>0</v>
      </c>
      <c r="AC583" s="334">
        <f>IFERROR((VLOOKUP(Calculations[[#This Row],[Waste type 2]],WasteLandfillEmissions[#All],2,FALSE))*Calculations[[#This Row],[Total Kg]]*VLOOKUP(Calculations[[#This Row],[Waste 1]],WasteScenario[#All],4,FALSE),0)</f>
        <v>0</v>
      </c>
      <c r="AD583" s="322">
        <f>IFERROR((VLOOKUP(Calculations[[#This Row],[Waste type 2]],WasteLandfillEmissions[#All],3,FALSE))*Calculations[[#This Row],[Total Kg]]*VLOOKUP(Calculations[[#This Row],[Waste 1]],WasteScenario[#All],4,FALSE),0)</f>
        <v>0</v>
      </c>
      <c r="AE583" s="322">
        <f>SUM(Calculations[[#This Row],[C4 landfill]:[C4 re-use]])</f>
        <v>0</v>
      </c>
      <c r="AF583" s="322">
        <f>IFERROR(VLOOKUP(Calculations[[#This Row],[Material (choose from dropdown]],MaterialData[#All],8,FALSE),0)</f>
        <v>0</v>
      </c>
      <c r="AG583" s="322">
        <f>IFERROR(Calculations[[#This Row],[Total Kg]]*Calculations[[#This Row],[Seq factor]],0)</f>
        <v>0</v>
      </c>
      <c r="AI583" s="322">
        <f>Calculations[[#This Row],[A1-3]]+Calculations[[#This Row],[A4]]+Calculations[[#This Row],[A5]]+Calculations[[#This Row],[B4]]+Calculations[[#This Row],[C2 total]]+Calculations[[#This Row],[C3 total]]+Calculations[[#This Row],[C4 total]]</f>
        <v>0</v>
      </c>
      <c r="AJ583" s="2">
        <f>IFERROR(VLOOKUP(Calculations[[#This Row],[Material (choose from dropdown]],MaterialData[[#Headers],[#Data]],9,FALSE),0)</f>
        <v>0</v>
      </c>
      <c r="AK583" s="4">
        <f>IFERROR(VLOOKUP(Calculations[[#This Row],[Material (choose from dropdown]],MaterialData[[#Headers],[#Data]],10,FALSE),0)</f>
        <v>0</v>
      </c>
      <c r="AL583" s="322">
        <f>IFERROR(Calculations[[#This Row],[Data Quality Score]]*Calculations[[#This Row],[Total Kg]],0)</f>
        <v>0</v>
      </c>
    </row>
    <row r="584" spans="1:38" x14ac:dyDescent="0.3">
      <c r="A584" s="6">
        <f>IFERROR(MaterialsBoQ[[#This Row],[Scope Element]],0)</f>
        <v>0</v>
      </c>
      <c r="B584" t="str">
        <f>IFERROR(MaterialsBoQ[[#This Row],[Material ]],"")</f>
        <v/>
      </c>
      <c r="C584" t="str">
        <f>IFERROR(MaterialsBoQ[[#This Row],[Unit]],"")</f>
        <v/>
      </c>
      <c r="D584" s="322">
        <f>IFERROR(MaterialsBoQ[[#This Row],[Number]],0)</f>
        <v>0</v>
      </c>
      <c r="E584" s="322">
        <f>IFERROR(MaterialsBoQ[[#This Row],[Kg per unit]],0)</f>
        <v>0</v>
      </c>
      <c r="F584" s="322">
        <f>IFERROR(Calculations[[#This Row],[Number]]*Calculations[[#This Row],[Conversion factor]],0)</f>
        <v>0</v>
      </c>
      <c r="G584" s="322">
        <f>IFERROR(VLOOKUP(Calculations[[#This Row],[Material (choose from dropdown]],MaterialData[#All],7,FALSE),0)</f>
        <v>0</v>
      </c>
      <c r="H584" s="322">
        <f>Calculations[[#This Row],[Total Kg]]*Calculations[[#This Row],[Carbon Factor]]</f>
        <v>0</v>
      </c>
      <c r="I584" t="str">
        <f>IFERROR(VLOOKUP(Calculations[[#This Row],[Material (choose from dropdown]],MaterialData[#All],2,FALSE),"")</f>
        <v/>
      </c>
      <c r="J584" s="322">
        <f>IFERROR(((VLOOKUP(Calculations[[#This Row],[TransportSource]],TransportDistance[],2,FALSE)*'Stage assumptions'!$C$11)+VLOOKUP(Calculations[[#This Row],[TransportSource]],TransportDistance[],3,FALSE)*'Stage assumptions'!$C$12)*Calculations[[#This Row],[Total Kg]],0)</f>
        <v>0</v>
      </c>
      <c r="K584">
        <f>IFERROR(VLOOKUP(Calculations[[#This Row],[Material (choose from dropdown]], MaterialData[#All],3, FALSE),0)</f>
        <v>0</v>
      </c>
      <c r="L584" s="322">
        <f>IFERROR(VLOOKUP(Calculations[[#This Row],[A5type]],A5WastageRate[#All],2,FALSE)*Calculations[[#This Row],[A1-3]],0)</f>
        <v>0</v>
      </c>
      <c r="N584">
        <f>IFERROR(ROUNDUP(50/VLOOKUP(Calculations[[#This Row],[Scope Element]],B4referenceServiceLife[[Tier 2 element]:[Default Service Life]],2, FALSE)-1,0),0)</f>
        <v>0</v>
      </c>
      <c r="O584" s="322">
        <f>IFERROR((Calculations[[#This Row],[A1-3]]+Calculations[[#This Row],[A4]]+Calculations[[#This Row],[A5]]+Calculations[[#This Row],[C2 total]]+Calculations[[#This Row],[C3 total]]+Calculations[[#This Row],[C4 total]])*Calculations[[#This Row],[Replacements]],0)</f>
        <v>0</v>
      </c>
      <c r="S584" t="str">
        <f>IFERROR(VLOOKUP(Calculations[[#This Row],[Material (choose from dropdown]],MaterialData[#All],4,FALSE),"")</f>
        <v/>
      </c>
      <c r="T584" s="322" cm="1">
        <f t="array" ref="T584">IFERROR(VLOOKUP(Calculations[[#This Row],[Waste 1]],WasteScenario[#All],2,FALSE)*'Stage assumptions'!$C$225*WasteTransportMethod[Emissions Factor
kgCO2e/kg.km]*Calculations[[#This Row],[Total Kg]],0)</f>
        <v>0</v>
      </c>
      <c r="U584" s="322" cm="1">
        <f t="array" ref="U584">IFERROR(VLOOKUP(Calculations[[#This Row],[Waste 1]],WasteScenario[#All],3,FALSE)*'Stage assumptions'!$C$224*WasteTransportMethod[Emissions Factor
kgCO2e/kg.km]*Calculations[[#This Row],[Total Kg]],0)</f>
        <v>0</v>
      </c>
      <c r="V584" s="322" cm="1">
        <f t="array" ref="V584">IFERROR(VLOOKUP(Calculations[[#This Row],[Waste 1]],WasteScenario[#All],4,FALSE)*'Stage assumptions'!$C$223*WasteTransportMethod[Emissions Factor
kgCO2e/kg.km]*Calculations[[#This Row],[Total Kg]],0)</f>
        <v>0</v>
      </c>
      <c r="W584" s="322" cm="1">
        <f t="array" ref="W584">IFERROR(VLOOKUP(Calculations[[#This Row],[Waste 1]],WasteScenario[#All],5,FALSE)*'Stage assumptions'!$C$226*WasteTransportMethod[Emissions Factor
kgCO2e/kg.km]*Calculations[[#This Row],[Total Kg]],0)</f>
        <v>0</v>
      </c>
      <c r="X584" s="322">
        <f>SUM(Calculations[[#This Row],[C2 Recycle]:[C2 Reuse]])</f>
        <v>0</v>
      </c>
      <c r="Y584" t="str">
        <f>IFERROR(VLOOKUP(Calculations[[#This Row],[Material (choose from dropdown]],MaterialData[#All],5,FALSE),"")</f>
        <v/>
      </c>
      <c r="Z584" s="322">
        <f>IFERROR(((VLOOKUP(Calculations[[#This Row],[Waste type 2]],WasteDisposalEmissions[#All],2,FALSE))*Calculations[[#This Row],[Total Kg]])*VLOOKUP(Calculations[[#This Row],[Waste 1]],WasteScenario[#All],2,FALSE),0)</f>
        <v>0</v>
      </c>
      <c r="AA584" s="322">
        <f>IFERROR((VLOOKUP(Calculations[[#This Row],[Waste type 2]],WasteDisposalEmissions[#All],3,FALSE))*Calculations[[#This Row],[Total Kg]]*VLOOKUP(Calculations[[#This Row],[Waste 1]],WasteScenario[#All],3,FALSE),0)</f>
        <v>0</v>
      </c>
      <c r="AB584" s="322">
        <f>SUM(Calculations[[#This Row],[C3 recyc]:[C3 incin]])</f>
        <v>0</v>
      </c>
      <c r="AC584" s="334">
        <f>IFERROR((VLOOKUP(Calculations[[#This Row],[Waste type 2]],WasteLandfillEmissions[#All],2,FALSE))*Calculations[[#This Row],[Total Kg]]*VLOOKUP(Calculations[[#This Row],[Waste 1]],WasteScenario[#All],4,FALSE),0)</f>
        <v>0</v>
      </c>
      <c r="AD584" s="322">
        <f>IFERROR((VLOOKUP(Calculations[[#This Row],[Waste type 2]],WasteLandfillEmissions[#All],3,FALSE))*Calculations[[#This Row],[Total Kg]]*VLOOKUP(Calculations[[#This Row],[Waste 1]],WasteScenario[#All],4,FALSE),0)</f>
        <v>0</v>
      </c>
      <c r="AE584" s="322">
        <f>SUM(Calculations[[#This Row],[C4 landfill]:[C4 re-use]])</f>
        <v>0</v>
      </c>
      <c r="AF584" s="322">
        <f>IFERROR(VLOOKUP(Calculations[[#This Row],[Material (choose from dropdown]],MaterialData[#All],8,FALSE),0)</f>
        <v>0</v>
      </c>
      <c r="AG584" s="322">
        <f>IFERROR(Calculations[[#This Row],[Total Kg]]*Calculations[[#This Row],[Seq factor]],0)</f>
        <v>0</v>
      </c>
      <c r="AI584" s="322">
        <f>Calculations[[#This Row],[A1-3]]+Calculations[[#This Row],[A4]]+Calculations[[#This Row],[A5]]+Calculations[[#This Row],[B4]]+Calculations[[#This Row],[C2 total]]+Calculations[[#This Row],[C3 total]]+Calculations[[#This Row],[C4 total]]</f>
        <v>0</v>
      </c>
      <c r="AJ584" s="2">
        <f>IFERROR(VLOOKUP(Calculations[[#This Row],[Material (choose from dropdown]],MaterialData[[#Headers],[#Data]],9,FALSE),0)</f>
        <v>0</v>
      </c>
      <c r="AK584" s="4">
        <f>IFERROR(VLOOKUP(Calculations[[#This Row],[Material (choose from dropdown]],MaterialData[[#Headers],[#Data]],10,FALSE),0)</f>
        <v>0</v>
      </c>
      <c r="AL584" s="322">
        <f>IFERROR(Calculations[[#This Row],[Data Quality Score]]*Calculations[[#This Row],[Total Kg]],0)</f>
        <v>0</v>
      </c>
    </row>
    <row r="585" spans="1:38" x14ac:dyDescent="0.3">
      <c r="A585" s="6">
        <f>IFERROR(MaterialsBoQ[[#This Row],[Scope Element]],0)</f>
        <v>0</v>
      </c>
      <c r="B585" t="str">
        <f>IFERROR(MaterialsBoQ[[#This Row],[Material ]],"")</f>
        <v/>
      </c>
      <c r="C585" t="str">
        <f>IFERROR(MaterialsBoQ[[#This Row],[Unit]],"")</f>
        <v/>
      </c>
      <c r="D585" s="322">
        <f>IFERROR(MaterialsBoQ[[#This Row],[Number]],0)</f>
        <v>0</v>
      </c>
      <c r="E585" s="322">
        <f>IFERROR(MaterialsBoQ[[#This Row],[Kg per unit]],0)</f>
        <v>0</v>
      </c>
      <c r="F585" s="322">
        <f>IFERROR(Calculations[[#This Row],[Number]]*Calculations[[#This Row],[Conversion factor]],0)</f>
        <v>0</v>
      </c>
      <c r="G585" s="322">
        <f>IFERROR(VLOOKUP(Calculations[[#This Row],[Material (choose from dropdown]],MaterialData[#All],7,FALSE),0)</f>
        <v>0</v>
      </c>
      <c r="H585" s="322">
        <f>Calculations[[#This Row],[Total Kg]]*Calculations[[#This Row],[Carbon Factor]]</f>
        <v>0</v>
      </c>
      <c r="I585" t="str">
        <f>IFERROR(VLOOKUP(Calculations[[#This Row],[Material (choose from dropdown]],MaterialData[#All],2,FALSE),"")</f>
        <v/>
      </c>
      <c r="J585" s="322">
        <f>IFERROR(((VLOOKUP(Calculations[[#This Row],[TransportSource]],TransportDistance[],2,FALSE)*'Stage assumptions'!$C$11)+VLOOKUP(Calculations[[#This Row],[TransportSource]],TransportDistance[],3,FALSE)*'Stage assumptions'!$C$12)*Calculations[[#This Row],[Total Kg]],0)</f>
        <v>0</v>
      </c>
      <c r="K585">
        <f>IFERROR(VLOOKUP(Calculations[[#This Row],[Material (choose from dropdown]], MaterialData[#All],3, FALSE),0)</f>
        <v>0</v>
      </c>
      <c r="L585" s="322">
        <f>IFERROR(VLOOKUP(Calculations[[#This Row],[A5type]],A5WastageRate[#All],2,FALSE)*Calculations[[#This Row],[A1-3]],0)</f>
        <v>0</v>
      </c>
      <c r="N585">
        <f>IFERROR(ROUNDUP(50/VLOOKUP(Calculations[[#This Row],[Scope Element]],B4referenceServiceLife[[Tier 2 element]:[Default Service Life]],2, FALSE)-1,0),0)</f>
        <v>0</v>
      </c>
      <c r="O585" s="322">
        <f>IFERROR((Calculations[[#This Row],[A1-3]]+Calculations[[#This Row],[A4]]+Calculations[[#This Row],[A5]]+Calculations[[#This Row],[C2 total]]+Calculations[[#This Row],[C3 total]]+Calculations[[#This Row],[C4 total]])*Calculations[[#This Row],[Replacements]],0)</f>
        <v>0</v>
      </c>
      <c r="S585" t="str">
        <f>IFERROR(VLOOKUP(Calculations[[#This Row],[Material (choose from dropdown]],MaterialData[#All],4,FALSE),"")</f>
        <v/>
      </c>
      <c r="T585" s="322" cm="1">
        <f t="array" ref="T585">IFERROR(VLOOKUP(Calculations[[#This Row],[Waste 1]],WasteScenario[#All],2,FALSE)*'Stage assumptions'!$C$225*WasteTransportMethod[Emissions Factor
kgCO2e/kg.km]*Calculations[[#This Row],[Total Kg]],0)</f>
        <v>0</v>
      </c>
      <c r="U585" s="322" cm="1">
        <f t="array" ref="U585">IFERROR(VLOOKUP(Calculations[[#This Row],[Waste 1]],WasteScenario[#All],3,FALSE)*'Stage assumptions'!$C$224*WasteTransportMethod[Emissions Factor
kgCO2e/kg.km]*Calculations[[#This Row],[Total Kg]],0)</f>
        <v>0</v>
      </c>
      <c r="V585" s="322" cm="1">
        <f t="array" ref="V585">IFERROR(VLOOKUP(Calculations[[#This Row],[Waste 1]],WasteScenario[#All],4,FALSE)*'Stage assumptions'!$C$223*WasteTransportMethod[Emissions Factor
kgCO2e/kg.km]*Calculations[[#This Row],[Total Kg]],0)</f>
        <v>0</v>
      </c>
      <c r="W585" s="322" cm="1">
        <f t="array" ref="W585">IFERROR(VLOOKUP(Calculations[[#This Row],[Waste 1]],WasteScenario[#All],5,FALSE)*'Stage assumptions'!$C$226*WasteTransportMethod[Emissions Factor
kgCO2e/kg.km]*Calculations[[#This Row],[Total Kg]],0)</f>
        <v>0</v>
      </c>
      <c r="X585" s="322">
        <f>SUM(Calculations[[#This Row],[C2 Recycle]:[C2 Reuse]])</f>
        <v>0</v>
      </c>
      <c r="Y585" t="str">
        <f>IFERROR(VLOOKUP(Calculations[[#This Row],[Material (choose from dropdown]],MaterialData[#All],5,FALSE),"")</f>
        <v/>
      </c>
      <c r="Z585" s="322">
        <f>IFERROR(((VLOOKUP(Calculations[[#This Row],[Waste type 2]],WasteDisposalEmissions[#All],2,FALSE))*Calculations[[#This Row],[Total Kg]])*VLOOKUP(Calculations[[#This Row],[Waste 1]],WasteScenario[#All],2,FALSE),0)</f>
        <v>0</v>
      </c>
      <c r="AA585" s="322">
        <f>IFERROR((VLOOKUP(Calculations[[#This Row],[Waste type 2]],WasteDisposalEmissions[#All],3,FALSE))*Calculations[[#This Row],[Total Kg]]*VLOOKUP(Calculations[[#This Row],[Waste 1]],WasteScenario[#All],3,FALSE),0)</f>
        <v>0</v>
      </c>
      <c r="AB585" s="322">
        <f>SUM(Calculations[[#This Row],[C3 recyc]:[C3 incin]])</f>
        <v>0</v>
      </c>
      <c r="AC585" s="334">
        <f>IFERROR((VLOOKUP(Calculations[[#This Row],[Waste type 2]],WasteLandfillEmissions[#All],2,FALSE))*Calculations[[#This Row],[Total Kg]]*VLOOKUP(Calculations[[#This Row],[Waste 1]],WasteScenario[#All],4,FALSE),0)</f>
        <v>0</v>
      </c>
      <c r="AD585" s="322">
        <f>IFERROR((VLOOKUP(Calculations[[#This Row],[Waste type 2]],WasteLandfillEmissions[#All],3,FALSE))*Calculations[[#This Row],[Total Kg]]*VLOOKUP(Calculations[[#This Row],[Waste 1]],WasteScenario[#All],4,FALSE),0)</f>
        <v>0</v>
      </c>
      <c r="AE585" s="322">
        <f>SUM(Calculations[[#This Row],[C4 landfill]:[C4 re-use]])</f>
        <v>0</v>
      </c>
      <c r="AF585" s="322">
        <f>IFERROR(VLOOKUP(Calculations[[#This Row],[Material (choose from dropdown]],MaterialData[#All],8,FALSE),0)</f>
        <v>0</v>
      </c>
      <c r="AG585" s="322">
        <f>IFERROR(Calculations[[#This Row],[Total Kg]]*Calculations[[#This Row],[Seq factor]],0)</f>
        <v>0</v>
      </c>
      <c r="AI585" s="322">
        <f>Calculations[[#This Row],[A1-3]]+Calculations[[#This Row],[A4]]+Calculations[[#This Row],[A5]]+Calculations[[#This Row],[B4]]+Calculations[[#This Row],[C2 total]]+Calculations[[#This Row],[C3 total]]+Calculations[[#This Row],[C4 total]]</f>
        <v>0</v>
      </c>
      <c r="AJ585" s="2">
        <f>IFERROR(VLOOKUP(Calculations[[#This Row],[Material (choose from dropdown]],MaterialData[[#Headers],[#Data]],9,FALSE),0)</f>
        <v>0</v>
      </c>
      <c r="AK585" s="4">
        <f>IFERROR(VLOOKUP(Calculations[[#This Row],[Material (choose from dropdown]],MaterialData[[#Headers],[#Data]],10,FALSE),0)</f>
        <v>0</v>
      </c>
      <c r="AL585" s="322">
        <f>IFERROR(Calculations[[#This Row],[Data Quality Score]]*Calculations[[#This Row],[Total Kg]],0)</f>
        <v>0</v>
      </c>
    </row>
    <row r="586" spans="1:38" x14ac:dyDescent="0.3">
      <c r="A586" s="6">
        <f>IFERROR(MaterialsBoQ[[#This Row],[Scope Element]],0)</f>
        <v>0</v>
      </c>
      <c r="B586" t="str">
        <f>IFERROR(MaterialsBoQ[[#This Row],[Material ]],"")</f>
        <v/>
      </c>
      <c r="C586" t="str">
        <f>IFERROR(MaterialsBoQ[[#This Row],[Unit]],"")</f>
        <v/>
      </c>
      <c r="D586" s="322">
        <f>IFERROR(MaterialsBoQ[[#This Row],[Number]],0)</f>
        <v>0</v>
      </c>
      <c r="E586" s="322">
        <f>IFERROR(MaterialsBoQ[[#This Row],[Kg per unit]],0)</f>
        <v>0</v>
      </c>
      <c r="F586" s="322">
        <f>IFERROR(Calculations[[#This Row],[Number]]*Calculations[[#This Row],[Conversion factor]],0)</f>
        <v>0</v>
      </c>
      <c r="G586" s="322">
        <f>IFERROR(VLOOKUP(Calculations[[#This Row],[Material (choose from dropdown]],MaterialData[#All],7,FALSE),0)</f>
        <v>0</v>
      </c>
      <c r="H586" s="322">
        <f>Calculations[[#This Row],[Total Kg]]*Calculations[[#This Row],[Carbon Factor]]</f>
        <v>0</v>
      </c>
      <c r="I586" t="str">
        <f>IFERROR(VLOOKUP(Calculations[[#This Row],[Material (choose from dropdown]],MaterialData[#All],2,FALSE),"")</f>
        <v/>
      </c>
      <c r="J586" s="322">
        <f>IFERROR(((VLOOKUP(Calculations[[#This Row],[TransportSource]],TransportDistance[],2,FALSE)*'Stage assumptions'!$C$11)+VLOOKUP(Calculations[[#This Row],[TransportSource]],TransportDistance[],3,FALSE)*'Stage assumptions'!$C$12)*Calculations[[#This Row],[Total Kg]],0)</f>
        <v>0</v>
      </c>
      <c r="K586">
        <f>IFERROR(VLOOKUP(Calculations[[#This Row],[Material (choose from dropdown]], MaterialData[#All],3, FALSE),0)</f>
        <v>0</v>
      </c>
      <c r="L586" s="322">
        <f>IFERROR(VLOOKUP(Calculations[[#This Row],[A5type]],A5WastageRate[#All],2,FALSE)*Calculations[[#This Row],[A1-3]],0)</f>
        <v>0</v>
      </c>
      <c r="N586">
        <f>IFERROR(ROUNDUP(50/VLOOKUP(Calculations[[#This Row],[Scope Element]],B4referenceServiceLife[[Tier 2 element]:[Default Service Life]],2, FALSE)-1,0),0)</f>
        <v>0</v>
      </c>
      <c r="O586" s="322">
        <f>IFERROR((Calculations[[#This Row],[A1-3]]+Calculations[[#This Row],[A4]]+Calculations[[#This Row],[A5]]+Calculations[[#This Row],[C2 total]]+Calculations[[#This Row],[C3 total]]+Calculations[[#This Row],[C4 total]])*Calculations[[#This Row],[Replacements]],0)</f>
        <v>0</v>
      </c>
      <c r="S586" t="str">
        <f>IFERROR(VLOOKUP(Calculations[[#This Row],[Material (choose from dropdown]],MaterialData[#All],4,FALSE),"")</f>
        <v/>
      </c>
      <c r="T586" s="322" cm="1">
        <f t="array" ref="T586">IFERROR(VLOOKUP(Calculations[[#This Row],[Waste 1]],WasteScenario[#All],2,FALSE)*'Stage assumptions'!$C$225*WasteTransportMethod[Emissions Factor
kgCO2e/kg.km]*Calculations[[#This Row],[Total Kg]],0)</f>
        <v>0</v>
      </c>
      <c r="U586" s="322" cm="1">
        <f t="array" ref="U586">IFERROR(VLOOKUP(Calculations[[#This Row],[Waste 1]],WasteScenario[#All],3,FALSE)*'Stage assumptions'!$C$224*WasteTransportMethod[Emissions Factor
kgCO2e/kg.km]*Calculations[[#This Row],[Total Kg]],0)</f>
        <v>0</v>
      </c>
      <c r="V586" s="322" cm="1">
        <f t="array" ref="V586">IFERROR(VLOOKUP(Calculations[[#This Row],[Waste 1]],WasteScenario[#All],4,FALSE)*'Stage assumptions'!$C$223*WasteTransportMethod[Emissions Factor
kgCO2e/kg.km]*Calculations[[#This Row],[Total Kg]],0)</f>
        <v>0</v>
      </c>
      <c r="W586" s="322" cm="1">
        <f t="array" ref="W586">IFERROR(VLOOKUP(Calculations[[#This Row],[Waste 1]],WasteScenario[#All],5,FALSE)*'Stage assumptions'!$C$226*WasteTransportMethod[Emissions Factor
kgCO2e/kg.km]*Calculations[[#This Row],[Total Kg]],0)</f>
        <v>0</v>
      </c>
      <c r="X586" s="322">
        <f>SUM(Calculations[[#This Row],[C2 Recycle]:[C2 Reuse]])</f>
        <v>0</v>
      </c>
      <c r="Y586" t="str">
        <f>IFERROR(VLOOKUP(Calculations[[#This Row],[Material (choose from dropdown]],MaterialData[#All],5,FALSE),"")</f>
        <v/>
      </c>
      <c r="Z586" s="322">
        <f>IFERROR(((VLOOKUP(Calculations[[#This Row],[Waste type 2]],WasteDisposalEmissions[#All],2,FALSE))*Calculations[[#This Row],[Total Kg]])*VLOOKUP(Calculations[[#This Row],[Waste 1]],WasteScenario[#All],2,FALSE),0)</f>
        <v>0</v>
      </c>
      <c r="AA586" s="322">
        <f>IFERROR((VLOOKUP(Calculations[[#This Row],[Waste type 2]],WasteDisposalEmissions[#All],3,FALSE))*Calculations[[#This Row],[Total Kg]]*VLOOKUP(Calculations[[#This Row],[Waste 1]],WasteScenario[#All],3,FALSE),0)</f>
        <v>0</v>
      </c>
      <c r="AB586" s="322">
        <f>SUM(Calculations[[#This Row],[C3 recyc]:[C3 incin]])</f>
        <v>0</v>
      </c>
      <c r="AC586" s="334">
        <f>IFERROR((VLOOKUP(Calculations[[#This Row],[Waste type 2]],WasteLandfillEmissions[#All],2,FALSE))*Calculations[[#This Row],[Total Kg]]*VLOOKUP(Calculations[[#This Row],[Waste 1]],WasteScenario[#All],4,FALSE),0)</f>
        <v>0</v>
      </c>
      <c r="AD586" s="322">
        <f>IFERROR((VLOOKUP(Calculations[[#This Row],[Waste type 2]],WasteLandfillEmissions[#All],3,FALSE))*Calculations[[#This Row],[Total Kg]]*VLOOKUP(Calculations[[#This Row],[Waste 1]],WasteScenario[#All],4,FALSE),0)</f>
        <v>0</v>
      </c>
      <c r="AE586" s="322">
        <f>SUM(Calculations[[#This Row],[C4 landfill]:[C4 re-use]])</f>
        <v>0</v>
      </c>
      <c r="AF586" s="322">
        <f>IFERROR(VLOOKUP(Calculations[[#This Row],[Material (choose from dropdown]],MaterialData[#All],8,FALSE),0)</f>
        <v>0</v>
      </c>
      <c r="AG586" s="322">
        <f>IFERROR(Calculations[[#This Row],[Total Kg]]*Calculations[[#This Row],[Seq factor]],0)</f>
        <v>0</v>
      </c>
      <c r="AI586" s="322">
        <f>Calculations[[#This Row],[A1-3]]+Calculations[[#This Row],[A4]]+Calculations[[#This Row],[A5]]+Calculations[[#This Row],[B4]]+Calculations[[#This Row],[C2 total]]+Calculations[[#This Row],[C3 total]]+Calculations[[#This Row],[C4 total]]</f>
        <v>0</v>
      </c>
      <c r="AJ586" s="2">
        <f>IFERROR(VLOOKUP(Calculations[[#This Row],[Material (choose from dropdown]],MaterialData[[#Headers],[#Data]],9,FALSE),0)</f>
        <v>0</v>
      </c>
      <c r="AK586" s="4">
        <f>IFERROR(VLOOKUP(Calculations[[#This Row],[Material (choose from dropdown]],MaterialData[[#Headers],[#Data]],10,FALSE),0)</f>
        <v>0</v>
      </c>
      <c r="AL586" s="322">
        <f>IFERROR(Calculations[[#This Row],[Data Quality Score]]*Calculations[[#This Row],[Total Kg]],0)</f>
        <v>0</v>
      </c>
    </row>
    <row r="587" spans="1:38" x14ac:dyDescent="0.3">
      <c r="A587" s="6">
        <f>IFERROR(MaterialsBoQ[[#This Row],[Scope Element]],0)</f>
        <v>0</v>
      </c>
      <c r="B587" t="str">
        <f>IFERROR(MaterialsBoQ[[#This Row],[Material ]],"")</f>
        <v/>
      </c>
      <c r="C587" t="str">
        <f>IFERROR(MaterialsBoQ[[#This Row],[Unit]],"")</f>
        <v/>
      </c>
      <c r="D587" s="322">
        <f>IFERROR(MaterialsBoQ[[#This Row],[Number]],0)</f>
        <v>0</v>
      </c>
      <c r="E587" s="322">
        <f>IFERROR(MaterialsBoQ[[#This Row],[Kg per unit]],0)</f>
        <v>0</v>
      </c>
      <c r="F587" s="322">
        <f>IFERROR(Calculations[[#This Row],[Number]]*Calculations[[#This Row],[Conversion factor]],0)</f>
        <v>0</v>
      </c>
      <c r="G587" s="322">
        <f>IFERROR(VLOOKUP(Calculations[[#This Row],[Material (choose from dropdown]],MaterialData[#All],7,FALSE),0)</f>
        <v>0</v>
      </c>
      <c r="H587" s="322">
        <f>Calculations[[#This Row],[Total Kg]]*Calculations[[#This Row],[Carbon Factor]]</f>
        <v>0</v>
      </c>
      <c r="I587" t="str">
        <f>IFERROR(VLOOKUP(Calculations[[#This Row],[Material (choose from dropdown]],MaterialData[#All],2,FALSE),"")</f>
        <v/>
      </c>
      <c r="J587" s="322">
        <f>IFERROR(((VLOOKUP(Calculations[[#This Row],[TransportSource]],TransportDistance[],2,FALSE)*'Stage assumptions'!$C$11)+VLOOKUP(Calculations[[#This Row],[TransportSource]],TransportDistance[],3,FALSE)*'Stage assumptions'!$C$12)*Calculations[[#This Row],[Total Kg]],0)</f>
        <v>0</v>
      </c>
      <c r="K587">
        <f>IFERROR(VLOOKUP(Calculations[[#This Row],[Material (choose from dropdown]], MaterialData[#All],3, FALSE),0)</f>
        <v>0</v>
      </c>
      <c r="L587" s="322">
        <f>IFERROR(VLOOKUP(Calculations[[#This Row],[A5type]],A5WastageRate[#All],2,FALSE)*Calculations[[#This Row],[A1-3]],0)</f>
        <v>0</v>
      </c>
      <c r="N587">
        <f>IFERROR(ROUNDUP(50/VLOOKUP(Calculations[[#This Row],[Scope Element]],B4referenceServiceLife[[Tier 2 element]:[Default Service Life]],2, FALSE)-1,0),0)</f>
        <v>0</v>
      </c>
      <c r="O587" s="322">
        <f>IFERROR((Calculations[[#This Row],[A1-3]]+Calculations[[#This Row],[A4]]+Calculations[[#This Row],[A5]]+Calculations[[#This Row],[C2 total]]+Calculations[[#This Row],[C3 total]]+Calculations[[#This Row],[C4 total]])*Calculations[[#This Row],[Replacements]],0)</f>
        <v>0</v>
      </c>
      <c r="S587" t="str">
        <f>IFERROR(VLOOKUP(Calculations[[#This Row],[Material (choose from dropdown]],MaterialData[#All],4,FALSE),"")</f>
        <v/>
      </c>
      <c r="T587" s="322" cm="1">
        <f t="array" ref="T587">IFERROR(VLOOKUP(Calculations[[#This Row],[Waste 1]],WasteScenario[#All],2,FALSE)*'Stage assumptions'!$C$225*WasteTransportMethod[Emissions Factor
kgCO2e/kg.km]*Calculations[[#This Row],[Total Kg]],0)</f>
        <v>0</v>
      </c>
      <c r="U587" s="322" cm="1">
        <f t="array" ref="U587">IFERROR(VLOOKUP(Calculations[[#This Row],[Waste 1]],WasteScenario[#All],3,FALSE)*'Stage assumptions'!$C$224*WasteTransportMethod[Emissions Factor
kgCO2e/kg.km]*Calculations[[#This Row],[Total Kg]],0)</f>
        <v>0</v>
      </c>
      <c r="V587" s="322" cm="1">
        <f t="array" ref="V587">IFERROR(VLOOKUP(Calculations[[#This Row],[Waste 1]],WasteScenario[#All],4,FALSE)*'Stage assumptions'!$C$223*WasteTransportMethod[Emissions Factor
kgCO2e/kg.km]*Calculations[[#This Row],[Total Kg]],0)</f>
        <v>0</v>
      </c>
      <c r="W587" s="322" cm="1">
        <f t="array" ref="W587">IFERROR(VLOOKUP(Calculations[[#This Row],[Waste 1]],WasteScenario[#All],5,FALSE)*'Stage assumptions'!$C$226*WasteTransportMethod[Emissions Factor
kgCO2e/kg.km]*Calculations[[#This Row],[Total Kg]],0)</f>
        <v>0</v>
      </c>
      <c r="X587" s="322">
        <f>SUM(Calculations[[#This Row],[C2 Recycle]:[C2 Reuse]])</f>
        <v>0</v>
      </c>
      <c r="Y587" t="str">
        <f>IFERROR(VLOOKUP(Calculations[[#This Row],[Material (choose from dropdown]],MaterialData[#All],5,FALSE),"")</f>
        <v/>
      </c>
      <c r="Z587" s="322">
        <f>IFERROR(((VLOOKUP(Calculations[[#This Row],[Waste type 2]],WasteDisposalEmissions[#All],2,FALSE))*Calculations[[#This Row],[Total Kg]])*VLOOKUP(Calculations[[#This Row],[Waste 1]],WasteScenario[#All],2,FALSE),0)</f>
        <v>0</v>
      </c>
      <c r="AA587" s="322">
        <f>IFERROR((VLOOKUP(Calculations[[#This Row],[Waste type 2]],WasteDisposalEmissions[#All],3,FALSE))*Calculations[[#This Row],[Total Kg]]*VLOOKUP(Calculations[[#This Row],[Waste 1]],WasteScenario[#All],3,FALSE),0)</f>
        <v>0</v>
      </c>
      <c r="AB587" s="322">
        <f>SUM(Calculations[[#This Row],[C3 recyc]:[C3 incin]])</f>
        <v>0</v>
      </c>
      <c r="AC587" s="334">
        <f>IFERROR((VLOOKUP(Calculations[[#This Row],[Waste type 2]],WasteLandfillEmissions[#All],2,FALSE))*Calculations[[#This Row],[Total Kg]]*VLOOKUP(Calculations[[#This Row],[Waste 1]],WasteScenario[#All],4,FALSE),0)</f>
        <v>0</v>
      </c>
      <c r="AD587" s="322">
        <f>IFERROR((VLOOKUP(Calculations[[#This Row],[Waste type 2]],WasteLandfillEmissions[#All],3,FALSE))*Calculations[[#This Row],[Total Kg]]*VLOOKUP(Calculations[[#This Row],[Waste 1]],WasteScenario[#All],4,FALSE),0)</f>
        <v>0</v>
      </c>
      <c r="AE587" s="322">
        <f>SUM(Calculations[[#This Row],[C4 landfill]:[C4 re-use]])</f>
        <v>0</v>
      </c>
      <c r="AF587" s="322">
        <f>IFERROR(VLOOKUP(Calculations[[#This Row],[Material (choose from dropdown]],MaterialData[#All],8,FALSE),0)</f>
        <v>0</v>
      </c>
      <c r="AG587" s="322">
        <f>IFERROR(Calculations[[#This Row],[Total Kg]]*Calculations[[#This Row],[Seq factor]],0)</f>
        <v>0</v>
      </c>
      <c r="AI587" s="322">
        <f>Calculations[[#This Row],[A1-3]]+Calculations[[#This Row],[A4]]+Calculations[[#This Row],[A5]]+Calculations[[#This Row],[B4]]+Calculations[[#This Row],[C2 total]]+Calculations[[#This Row],[C3 total]]+Calculations[[#This Row],[C4 total]]</f>
        <v>0</v>
      </c>
      <c r="AJ587" s="2">
        <f>IFERROR(VLOOKUP(Calculations[[#This Row],[Material (choose from dropdown]],MaterialData[[#Headers],[#Data]],9,FALSE),0)</f>
        <v>0</v>
      </c>
      <c r="AK587" s="4">
        <f>IFERROR(VLOOKUP(Calculations[[#This Row],[Material (choose from dropdown]],MaterialData[[#Headers],[#Data]],10,FALSE),0)</f>
        <v>0</v>
      </c>
      <c r="AL587" s="322">
        <f>IFERROR(Calculations[[#This Row],[Data Quality Score]]*Calculations[[#This Row],[Total Kg]],0)</f>
        <v>0</v>
      </c>
    </row>
    <row r="588" spans="1:38" x14ac:dyDescent="0.3">
      <c r="A588" s="6">
        <f>IFERROR(MaterialsBoQ[[#This Row],[Scope Element]],0)</f>
        <v>0</v>
      </c>
      <c r="B588" t="str">
        <f>IFERROR(MaterialsBoQ[[#This Row],[Material ]],"")</f>
        <v/>
      </c>
      <c r="C588" t="str">
        <f>IFERROR(MaterialsBoQ[[#This Row],[Unit]],"")</f>
        <v/>
      </c>
      <c r="D588" s="322">
        <f>IFERROR(MaterialsBoQ[[#This Row],[Number]],0)</f>
        <v>0</v>
      </c>
      <c r="E588" s="322">
        <f>IFERROR(MaterialsBoQ[[#This Row],[Kg per unit]],0)</f>
        <v>0</v>
      </c>
      <c r="F588" s="322">
        <f>IFERROR(Calculations[[#This Row],[Number]]*Calculations[[#This Row],[Conversion factor]],0)</f>
        <v>0</v>
      </c>
      <c r="G588" s="322">
        <f>IFERROR(VLOOKUP(Calculations[[#This Row],[Material (choose from dropdown]],MaterialData[#All],7,FALSE),0)</f>
        <v>0</v>
      </c>
      <c r="H588" s="322">
        <f>Calculations[[#This Row],[Total Kg]]*Calculations[[#This Row],[Carbon Factor]]</f>
        <v>0</v>
      </c>
      <c r="I588" t="str">
        <f>IFERROR(VLOOKUP(Calculations[[#This Row],[Material (choose from dropdown]],MaterialData[#All],2,FALSE),"")</f>
        <v/>
      </c>
      <c r="J588" s="322">
        <f>IFERROR(((VLOOKUP(Calculations[[#This Row],[TransportSource]],TransportDistance[],2,FALSE)*'Stage assumptions'!$C$11)+VLOOKUP(Calculations[[#This Row],[TransportSource]],TransportDistance[],3,FALSE)*'Stage assumptions'!$C$12)*Calculations[[#This Row],[Total Kg]],0)</f>
        <v>0</v>
      </c>
      <c r="K588">
        <f>IFERROR(VLOOKUP(Calculations[[#This Row],[Material (choose from dropdown]], MaterialData[#All],3, FALSE),0)</f>
        <v>0</v>
      </c>
      <c r="L588" s="322">
        <f>IFERROR(VLOOKUP(Calculations[[#This Row],[A5type]],A5WastageRate[#All],2,FALSE)*Calculations[[#This Row],[A1-3]],0)</f>
        <v>0</v>
      </c>
      <c r="N588">
        <f>IFERROR(ROUNDUP(50/VLOOKUP(Calculations[[#This Row],[Scope Element]],B4referenceServiceLife[[Tier 2 element]:[Default Service Life]],2, FALSE)-1,0),0)</f>
        <v>0</v>
      </c>
      <c r="O588" s="322">
        <f>IFERROR((Calculations[[#This Row],[A1-3]]+Calculations[[#This Row],[A4]]+Calculations[[#This Row],[A5]]+Calculations[[#This Row],[C2 total]]+Calculations[[#This Row],[C3 total]]+Calculations[[#This Row],[C4 total]])*Calculations[[#This Row],[Replacements]],0)</f>
        <v>0</v>
      </c>
      <c r="S588" t="str">
        <f>IFERROR(VLOOKUP(Calculations[[#This Row],[Material (choose from dropdown]],MaterialData[#All],4,FALSE),"")</f>
        <v/>
      </c>
      <c r="T588" s="322" cm="1">
        <f t="array" ref="T588">IFERROR(VLOOKUP(Calculations[[#This Row],[Waste 1]],WasteScenario[#All],2,FALSE)*'Stage assumptions'!$C$225*WasteTransportMethod[Emissions Factor
kgCO2e/kg.km]*Calculations[[#This Row],[Total Kg]],0)</f>
        <v>0</v>
      </c>
      <c r="U588" s="322" cm="1">
        <f t="array" ref="U588">IFERROR(VLOOKUP(Calculations[[#This Row],[Waste 1]],WasteScenario[#All],3,FALSE)*'Stage assumptions'!$C$224*WasteTransportMethod[Emissions Factor
kgCO2e/kg.km]*Calculations[[#This Row],[Total Kg]],0)</f>
        <v>0</v>
      </c>
      <c r="V588" s="322" cm="1">
        <f t="array" ref="V588">IFERROR(VLOOKUP(Calculations[[#This Row],[Waste 1]],WasteScenario[#All],4,FALSE)*'Stage assumptions'!$C$223*WasteTransportMethod[Emissions Factor
kgCO2e/kg.km]*Calculations[[#This Row],[Total Kg]],0)</f>
        <v>0</v>
      </c>
      <c r="W588" s="322" cm="1">
        <f t="array" ref="W588">IFERROR(VLOOKUP(Calculations[[#This Row],[Waste 1]],WasteScenario[#All],5,FALSE)*'Stage assumptions'!$C$226*WasteTransportMethod[Emissions Factor
kgCO2e/kg.km]*Calculations[[#This Row],[Total Kg]],0)</f>
        <v>0</v>
      </c>
      <c r="X588" s="322">
        <f>SUM(Calculations[[#This Row],[C2 Recycle]:[C2 Reuse]])</f>
        <v>0</v>
      </c>
      <c r="Y588" t="str">
        <f>IFERROR(VLOOKUP(Calculations[[#This Row],[Material (choose from dropdown]],MaterialData[#All],5,FALSE),"")</f>
        <v/>
      </c>
      <c r="Z588" s="322">
        <f>IFERROR(((VLOOKUP(Calculations[[#This Row],[Waste type 2]],WasteDisposalEmissions[#All],2,FALSE))*Calculations[[#This Row],[Total Kg]])*VLOOKUP(Calculations[[#This Row],[Waste 1]],WasteScenario[#All],2,FALSE),0)</f>
        <v>0</v>
      </c>
      <c r="AA588" s="322">
        <f>IFERROR((VLOOKUP(Calculations[[#This Row],[Waste type 2]],WasteDisposalEmissions[#All],3,FALSE))*Calculations[[#This Row],[Total Kg]]*VLOOKUP(Calculations[[#This Row],[Waste 1]],WasteScenario[#All],3,FALSE),0)</f>
        <v>0</v>
      </c>
      <c r="AB588" s="322">
        <f>SUM(Calculations[[#This Row],[C3 recyc]:[C3 incin]])</f>
        <v>0</v>
      </c>
      <c r="AC588" s="334">
        <f>IFERROR((VLOOKUP(Calculations[[#This Row],[Waste type 2]],WasteLandfillEmissions[#All],2,FALSE))*Calculations[[#This Row],[Total Kg]]*VLOOKUP(Calculations[[#This Row],[Waste 1]],WasteScenario[#All],4,FALSE),0)</f>
        <v>0</v>
      </c>
      <c r="AD588" s="322">
        <f>IFERROR((VLOOKUP(Calculations[[#This Row],[Waste type 2]],WasteLandfillEmissions[#All],3,FALSE))*Calculations[[#This Row],[Total Kg]]*VLOOKUP(Calculations[[#This Row],[Waste 1]],WasteScenario[#All],4,FALSE),0)</f>
        <v>0</v>
      </c>
      <c r="AE588" s="322">
        <f>SUM(Calculations[[#This Row],[C4 landfill]:[C4 re-use]])</f>
        <v>0</v>
      </c>
      <c r="AF588" s="322">
        <f>IFERROR(VLOOKUP(Calculations[[#This Row],[Material (choose from dropdown]],MaterialData[#All],8,FALSE),0)</f>
        <v>0</v>
      </c>
      <c r="AG588" s="322">
        <f>IFERROR(Calculations[[#This Row],[Total Kg]]*Calculations[[#This Row],[Seq factor]],0)</f>
        <v>0</v>
      </c>
      <c r="AI588" s="322">
        <f>Calculations[[#This Row],[A1-3]]+Calculations[[#This Row],[A4]]+Calculations[[#This Row],[A5]]+Calculations[[#This Row],[B4]]+Calculations[[#This Row],[C2 total]]+Calculations[[#This Row],[C3 total]]+Calculations[[#This Row],[C4 total]]</f>
        <v>0</v>
      </c>
      <c r="AJ588" s="2">
        <f>IFERROR(VLOOKUP(Calculations[[#This Row],[Material (choose from dropdown]],MaterialData[[#Headers],[#Data]],9,FALSE),0)</f>
        <v>0</v>
      </c>
      <c r="AK588" s="4">
        <f>IFERROR(VLOOKUP(Calculations[[#This Row],[Material (choose from dropdown]],MaterialData[[#Headers],[#Data]],10,FALSE),0)</f>
        <v>0</v>
      </c>
      <c r="AL588" s="322">
        <f>IFERROR(Calculations[[#This Row],[Data Quality Score]]*Calculations[[#This Row],[Total Kg]],0)</f>
        <v>0</v>
      </c>
    </row>
    <row r="589" spans="1:38" x14ac:dyDescent="0.3">
      <c r="A589" s="6">
        <f>IFERROR(MaterialsBoQ[[#This Row],[Scope Element]],0)</f>
        <v>0</v>
      </c>
      <c r="B589" t="str">
        <f>IFERROR(MaterialsBoQ[[#This Row],[Material ]],"")</f>
        <v/>
      </c>
      <c r="C589" t="str">
        <f>IFERROR(MaterialsBoQ[[#This Row],[Unit]],"")</f>
        <v/>
      </c>
      <c r="D589" s="322">
        <f>IFERROR(MaterialsBoQ[[#This Row],[Number]],0)</f>
        <v>0</v>
      </c>
      <c r="E589" s="322">
        <f>IFERROR(MaterialsBoQ[[#This Row],[Kg per unit]],0)</f>
        <v>0</v>
      </c>
      <c r="F589" s="322">
        <f>IFERROR(Calculations[[#This Row],[Number]]*Calculations[[#This Row],[Conversion factor]],0)</f>
        <v>0</v>
      </c>
      <c r="G589" s="322">
        <f>IFERROR(VLOOKUP(Calculations[[#This Row],[Material (choose from dropdown]],MaterialData[#All],7,FALSE),0)</f>
        <v>0</v>
      </c>
      <c r="H589" s="322">
        <f>Calculations[[#This Row],[Total Kg]]*Calculations[[#This Row],[Carbon Factor]]</f>
        <v>0</v>
      </c>
      <c r="I589" t="str">
        <f>IFERROR(VLOOKUP(Calculations[[#This Row],[Material (choose from dropdown]],MaterialData[#All],2,FALSE),"")</f>
        <v/>
      </c>
      <c r="J589" s="322">
        <f>IFERROR(((VLOOKUP(Calculations[[#This Row],[TransportSource]],TransportDistance[],2,FALSE)*'Stage assumptions'!$C$11)+VLOOKUP(Calculations[[#This Row],[TransportSource]],TransportDistance[],3,FALSE)*'Stage assumptions'!$C$12)*Calculations[[#This Row],[Total Kg]],0)</f>
        <v>0</v>
      </c>
      <c r="K589">
        <f>IFERROR(VLOOKUP(Calculations[[#This Row],[Material (choose from dropdown]], MaterialData[#All],3, FALSE),0)</f>
        <v>0</v>
      </c>
      <c r="L589" s="322">
        <f>IFERROR(VLOOKUP(Calculations[[#This Row],[A5type]],A5WastageRate[#All],2,FALSE)*Calculations[[#This Row],[A1-3]],0)</f>
        <v>0</v>
      </c>
      <c r="N589">
        <f>IFERROR(ROUNDUP(50/VLOOKUP(Calculations[[#This Row],[Scope Element]],B4referenceServiceLife[[Tier 2 element]:[Default Service Life]],2, FALSE)-1,0),0)</f>
        <v>0</v>
      </c>
      <c r="O589" s="322">
        <f>IFERROR((Calculations[[#This Row],[A1-3]]+Calculations[[#This Row],[A4]]+Calculations[[#This Row],[A5]]+Calculations[[#This Row],[C2 total]]+Calculations[[#This Row],[C3 total]]+Calculations[[#This Row],[C4 total]])*Calculations[[#This Row],[Replacements]],0)</f>
        <v>0</v>
      </c>
      <c r="S589" t="str">
        <f>IFERROR(VLOOKUP(Calculations[[#This Row],[Material (choose from dropdown]],MaterialData[#All],4,FALSE),"")</f>
        <v/>
      </c>
      <c r="T589" s="322" cm="1">
        <f t="array" ref="T589">IFERROR(VLOOKUP(Calculations[[#This Row],[Waste 1]],WasteScenario[#All],2,FALSE)*'Stage assumptions'!$C$225*WasteTransportMethod[Emissions Factor
kgCO2e/kg.km]*Calculations[[#This Row],[Total Kg]],0)</f>
        <v>0</v>
      </c>
      <c r="U589" s="322" cm="1">
        <f t="array" ref="U589">IFERROR(VLOOKUP(Calculations[[#This Row],[Waste 1]],WasteScenario[#All],3,FALSE)*'Stage assumptions'!$C$224*WasteTransportMethod[Emissions Factor
kgCO2e/kg.km]*Calculations[[#This Row],[Total Kg]],0)</f>
        <v>0</v>
      </c>
      <c r="V589" s="322" cm="1">
        <f t="array" ref="V589">IFERROR(VLOOKUP(Calculations[[#This Row],[Waste 1]],WasteScenario[#All],4,FALSE)*'Stage assumptions'!$C$223*WasteTransportMethod[Emissions Factor
kgCO2e/kg.km]*Calculations[[#This Row],[Total Kg]],0)</f>
        <v>0</v>
      </c>
      <c r="W589" s="322" cm="1">
        <f t="array" ref="W589">IFERROR(VLOOKUP(Calculations[[#This Row],[Waste 1]],WasteScenario[#All],5,FALSE)*'Stage assumptions'!$C$226*WasteTransportMethod[Emissions Factor
kgCO2e/kg.km]*Calculations[[#This Row],[Total Kg]],0)</f>
        <v>0</v>
      </c>
      <c r="X589" s="322">
        <f>SUM(Calculations[[#This Row],[C2 Recycle]:[C2 Reuse]])</f>
        <v>0</v>
      </c>
      <c r="Y589" t="str">
        <f>IFERROR(VLOOKUP(Calculations[[#This Row],[Material (choose from dropdown]],MaterialData[#All],5,FALSE),"")</f>
        <v/>
      </c>
      <c r="Z589" s="322">
        <f>IFERROR(((VLOOKUP(Calculations[[#This Row],[Waste type 2]],WasteDisposalEmissions[#All],2,FALSE))*Calculations[[#This Row],[Total Kg]])*VLOOKUP(Calculations[[#This Row],[Waste 1]],WasteScenario[#All],2,FALSE),0)</f>
        <v>0</v>
      </c>
      <c r="AA589" s="322">
        <f>IFERROR((VLOOKUP(Calculations[[#This Row],[Waste type 2]],WasteDisposalEmissions[#All],3,FALSE))*Calculations[[#This Row],[Total Kg]]*VLOOKUP(Calculations[[#This Row],[Waste 1]],WasteScenario[#All],3,FALSE),0)</f>
        <v>0</v>
      </c>
      <c r="AB589" s="322">
        <f>SUM(Calculations[[#This Row],[C3 recyc]:[C3 incin]])</f>
        <v>0</v>
      </c>
      <c r="AC589" s="334">
        <f>IFERROR((VLOOKUP(Calculations[[#This Row],[Waste type 2]],WasteLandfillEmissions[#All],2,FALSE))*Calculations[[#This Row],[Total Kg]]*VLOOKUP(Calculations[[#This Row],[Waste 1]],WasteScenario[#All],4,FALSE),0)</f>
        <v>0</v>
      </c>
      <c r="AD589" s="322">
        <f>IFERROR((VLOOKUP(Calculations[[#This Row],[Waste type 2]],WasteLandfillEmissions[#All],3,FALSE))*Calculations[[#This Row],[Total Kg]]*VLOOKUP(Calculations[[#This Row],[Waste 1]],WasteScenario[#All],4,FALSE),0)</f>
        <v>0</v>
      </c>
      <c r="AE589" s="322">
        <f>SUM(Calculations[[#This Row],[C4 landfill]:[C4 re-use]])</f>
        <v>0</v>
      </c>
      <c r="AF589" s="322">
        <f>IFERROR(VLOOKUP(Calculations[[#This Row],[Material (choose from dropdown]],MaterialData[#All],8,FALSE),0)</f>
        <v>0</v>
      </c>
      <c r="AG589" s="322">
        <f>IFERROR(Calculations[[#This Row],[Total Kg]]*Calculations[[#This Row],[Seq factor]],0)</f>
        <v>0</v>
      </c>
      <c r="AI589" s="322">
        <f>Calculations[[#This Row],[A1-3]]+Calculations[[#This Row],[A4]]+Calculations[[#This Row],[A5]]+Calculations[[#This Row],[B4]]+Calculations[[#This Row],[C2 total]]+Calculations[[#This Row],[C3 total]]+Calculations[[#This Row],[C4 total]]</f>
        <v>0</v>
      </c>
      <c r="AJ589" s="2">
        <f>IFERROR(VLOOKUP(Calculations[[#This Row],[Material (choose from dropdown]],MaterialData[[#Headers],[#Data]],9,FALSE),0)</f>
        <v>0</v>
      </c>
      <c r="AK589" s="4">
        <f>IFERROR(VLOOKUP(Calculations[[#This Row],[Material (choose from dropdown]],MaterialData[[#Headers],[#Data]],10,FALSE),0)</f>
        <v>0</v>
      </c>
      <c r="AL589" s="322">
        <f>IFERROR(Calculations[[#This Row],[Data Quality Score]]*Calculations[[#This Row],[Total Kg]],0)</f>
        <v>0</v>
      </c>
    </row>
    <row r="590" spans="1:38" x14ac:dyDescent="0.3">
      <c r="A590" s="6">
        <f>IFERROR(MaterialsBoQ[[#This Row],[Scope Element]],0)</f>
        <v>0</v>
      </c>
      <c r="B590" t="str">
        <f>IFERROR(MaterialsBoQ[[#This Row],[Material ]],"")</f>
        <v/>
      </c>
      <c r="C590" t="str">
        <f>IFERROR(MaterialsBoQ[[#This Row],[Unit]],"")</f>
        <v/>
      </c>
      <c r="D590" s="322">
        <f>IFERROR(MaterialsBoQ[[#This Row],[Number]],0)</f>
        <v>0</v>
      </c>
      <c r="E590" s="322">
        <f>IFERROR(MaterialsBoQ[[#This Row],[Kg per unit]],0)</f>
        <v>0</v>
      </c>
      <c r="F590" s="322">
        <f>IFERROR(Calculations[[#This Row],[Number]]*Calculations[[#This Row],[Conversion factor]],0)</f>
        <v>0</v>
      </c>
      <c r="G590" s="322">
        <f>IFERROR(VLOOKUP(Calculations[[#This Row],[Material (choose from dropdown]],MaterialData[#All],7,FALSE),0)</f>
        <v>0</v>
      </c>
      <c r="H590" s="322">
        <f>Calculations[[#This Row],[Total Kg]]*Calculations[[#This Row],[Carbon Factor]]</f>
        <v>0</v>
      </c>
      <c r="I590" t="str">
        <f>IFERROR(VLOOKUP(Calculations[[#This Row],[Material (choose from dropdown]],MaterialData[#All],2,FALSE),"")</f>
        <v/>
      </c>
      <c r="J590" s="322">
        <f>IFERROR(((VLOOKUP(Calculations[[#This Row],[TransportSource]],TransportDistance[],2,FALSE)*'Stage assumptions'!$C$11)+VLOOKUP(Calculations[[#This Row],[TransportSource]],TransportDistance[],3,FALSE)*'Stage assumptions'!$C$12)*Calculations[[#This Row],[Total Kg]],0)</f>
        <v>0</v>
      </c>
      <c r="K590">
        <f>IFERROR(VLOOKUP(Calculations[[#This Row],[Material (choose from dropdown]], MaterialData[#All],3, FALSE),0)</f>
        <v>0</v>
      </c>
      <c r="L590" s="322">
        <f>IFERROR(VLOOKUP(Calculations[[#This Row],[A5type]],A5WastageRate[#All],2,FALSE)*Calculations[[#This Row],[A1-3]],0)</f>
        <v>0</v>
      </c>
      <c r="N590">
        <f>IFERROR(ROUNDUP(50/VLOOKUP(Calculations[[#This Row],[Scope Element]],B4referenceServiceLife[[Tier 2 element]:[Default Service Life]],2, FALSE)-1,0),0)</f>
        <v>0</v>
      </c>
      <c r="O590" s="322">
        <f>IFERROR((Calculations[[#This Row],[A1-3]]+Calculations[[#This Row],[A4]]+Calculations[[#This Row],[A5]]+Calculations[[#This Row],[C2 total]]+Calculations[[#This Row],[C3 total]]+Calculations[[#This Row],[C4 total]])*Calculations[[#This Row],[Replacements]],0)</f>
        <v>0</v>
      </c>
      <c r="S590" t="str">
        <f>IFERROR(VLOOKUP(Calculations[[#This Row],[Material (choose from dropdown]],MaterialData[#All],4,FALSE),"")</f>
        <v/>
      </c>
      <c r="T590" s="322" cm="1">
        <f t="array" ref="T590">IFERROR(VLOOKUP(Calculations[[#This Row],[Waste 1]],WasteScenario[#All],2,FALSE)*'Stage assumptions'!$C$225*WasteTransportMethod[Emissions Factor
kgCO2e/kg.km]*Calculations[[#This Row],[Total Kg]],0)</f>
        <v>0</v>
      </c>
      <c r="U590" s="322" cm="1">
        <f t="array" ref="U590">IFERROR(VLOOKUP(Calculations[[#This Row],[Waste 1]],WasteScenario[#All],3,FALSE)*'Stage assumptions'!$C$224*WasteTransportMethod[Emissions Factor
kgCO2e/kg.km]*Calculations[[#This Row],[Total Kg]],0)</f>
        <v>0</v>
      </c>
      <c r="V590" s="322" cm="1">
        <f t="array" ref="V590">IFERROR(VLOOKUP(Calculations[[#This Row],[Waste 1]],WasteScenario[#All],4,FALSE)*'Stage assumptions'!$C$223*WasteTransportMethod[Emissions Factor
kgCO2e/kg.km]*Calculations[[#This Row],[Total Kg]],0)</f>
        <v>0</v>
      </c>
      <c r="W590" s="322" cm="1">
        <f t="array" ref="W590">IFERROR(VLOOKUP(Calculations[[#This Row],[Waste 1]],WasteScenario[#All],5,FALSE)*'Stage assumptions'!$C$226*WasteTransportMethod[Emissions Factor
kgCO2e/kg.km]*Calculations[[#This Row],[Total Kg]],0)</f>
        <v>0</v>
      </c>
      <c r="X590" s="322">
        <f>SUM(Calculations[[#This Row],[C2 Recycle]:[C2 Reuse]])</f>
        <v>0</v>
      </c>
      <c r="Y590" t="str">
        <f>IFERROR(VLOOKUP(Calculations[[#This Row],[Material (choose from dropdown]],MaterialData[#All],5,FALSE),"")</f>
        <v/>
      </c>
      <c r="Z590" s="322">
        <f>IFERROR(((VLOOKUP(Calculations[[#This Row],[Waste type 2]],WasteDisposalEmissions[#All],2,FALSE))*Calculations[[#This Row],[Total Kg]])*VLOOKUP(Calculations[[#This Row],[Waste 1]],WasteScenario[#All],2,FALSE),0)</f>
        <v>0</v>
      </c>
      <c r="AA590" s="322">
        <f>IFERROR((VLOOKUP(Calculations[[#This Row],[Waste type 2]],WasteDisposalEmissions[#All],3,FALSE))*Calculations[[#This Row],[Total Kg]]*VLOOKUP(Calculations[[#This Row],[Waste 1]],WasteScenario[#All],3,FALSE),0)</f>
        <v>0</v>
      </c>
      <c r="AB590" s="322">
        <f>SUM(Calculations[[#This Row],[C3 recyc]:[C3 incin]])</f>
        <v>0</v>
      </c>
      <c r="AC590" s="334">
        <f>IFERROR((VLOOKUP(Calculations[[#This Row],[Waste type 2]],WasteLandfillEmissions[#All],2,FALSE))*Calculations[[#This Row],[Total Kg]]*VLOOKUP(Calculations[[#This Row],[Waste 1]],WasteScenario[#All],4,FALSE),0)</f>
        <v>0</v>
      </c>
      <c r="AD590" s="322">
        <f>IFERROR((VLOOKUP(Calculations[[#This Row],[Waste type 2]],WasteLandfillEmissions[#All],3,FALSE))*Calculations[[#This Row],[Total Kg]]*VLOOKUP(Calculations[[#This Row],[Waste 1]],WasteScenario[#All],4,FALSE),0)</f>
        <v>0</v>
      </c>
      <c r="AE590" s="322">
        <f>SUM(Calculations[[#This Row],[C4 landfill]:[C4 re-use]])</f>
        <v>0</v>
      </c>
      <c r="AF590" s="322">
        <f>IFERROR(VLOOKUP(Calculations[[#This Row],[Material (choose from dropdown]],MaterialData[#All],8,FALSE),0)</f>
        <v>0</v>
      </c>
      <c r="AG590" s="322">
        <f>IFERROR(Calculations[[#This Row],[Total Kg]]*Calculations[[#This Row],[Seq factor]],0)</f>
        <v>0</v>
      </c>
      <c r="AI590" s="322">
        <f>Calculations[[#This Row],[A1-3]]+Calculations[[#This Row],[A4]]+Calculations[[#This Row],[A5]]+Calculations[[#This Row],[B4]]+Calculations[[#This Row],[C2 total]]+Calculations[[#This Row],[C3 total]]+Calculations[[#This Row],[C4 total]]</f>
        <v>0</v>
      </c>
      <c r="AJ590" s="2">
        <f>IFERROR(VLOOKUP(Calculations[[#This Row],[Material (choose from dropdown]],MaterialData[[#Headers],[#Data]],9,FALSE),0)</f>
        <v>0</v>
      </c>
      <c r="AK590" s="4">
        <f>IFERROR(VLOOKUP(Calculations[[#This Row],[Material (choose from dropdown]],MaterialData[[#Headers],[#Data]],10,FALSE),0)</f>
        <v>0</v>
      </c>
      <c r="AL590" s="322">
        <f>IFERROR(Calculations[[#This Row],[Data Quality Score]]*Calculations[[#This Row],[Total Kg]],0)</f>
        <v>0</v>
      </c>
    </row>
    <row r="591" spans="1:38" x14ac:dyDescent="0.3">
      <c r="A591" s="6">
        <f>IFERROR(MaterialsBoQ[[#This Row],[Scope Element]],0)</f>
        <v>0</v>
      </c>
      <c r="B591" t="str">
        <f>IFERROR(MaterialsBoQ[[#This Row],[Material ]],"")</f>
        <v/>
      </c>
      <c r="C591" t="str">
        <f>IFERROR(MaterialsBoQ[[#This Row],[Unit]],"")</f>
        <v/>
      </c>
      <c r="D591" s="322">
        <f>IFERROR(MaterialsBoQ[[#This Row],[Number]],0)</f>
        <v>0</v>
      </c>
      <c r="E591" s="322">
        <f>IFERROR(MaterialsBoQ[[#This Row],[Kg per unit]],0)</f>
        <v>0</v>
      </c>
      <c r="F591" s="322">
        <f>IFERROR(Calculations[[#This Row],[Number]]*Calculations[[#This Row],[Conversion factor]],0)</f>
        <v>0</v>
      </c>
      <c r="G591" s="322">
        <f>IFERROR(VLOOKUP(Calculations[[#This Row],[Material (choose from dropdown]],MaterialData[#All],7,FALSE),0)</f>
        <v>0</v>
      </c>
      <c r="H591" s="322">
        <f>Calculations[[#This Row],[Total Kg]]*Calculations[[#This Row],[Carbon Factor]]</f>
        <v>0</v>
      </c>
      <c r="I591" t="str">
        <f>IFERROR(VLOOKUP(Calculations[[#This Row],[Material (choose from dropdown]],MaterialData[#All],2,FALSE),"")</f>
        <v/>
      </c>
      <c r="J591" s="322">
        <f>IFERROR(((VLOOKUP(Calculations[[#This Row],[TransportSource]],TransportDistance[],2,FALSE)*'Stage assumptions'!$C$11)+VLOOKUP(Calculations[[#This Row],[TransportSource]],TransportDistance[],3,FALSE)*'Stage assumptions'!$C$12)*Calculations[[#This Row],[Total Kg]],0)</f>
        <v>0</v>
      </c>
      <c r="K591">
        <f>IFERROR(VLOOKUP(Calculations[[#This Row],[Material (choose from dropdown]], MaterialData[#All],3, FALSE),0)</f>
        <v>0</v>
      </c>
      <c r="L591" s="322">
        <f>IFERROR(VLOOKUP(Calculations[[#This Row],[A5type]],A5WastageRate[#All],2,FALSE)*Calculations[[#This Row],[A1-3]],0)</f>
        <v>0</v>
      </c>
      <c r="N591">
        <f>IFERROR(ROUNDUP(50/VLOOKUP(Calculations[[#This Row],[Scope Element]],B4referenceServiceLife[[Tier 2 element]:[Default Service Life]],2, FALSE)-1,0),0)</f>
        <v>0</v>
      </c>
      <c r="O591" s="322">
        <f>IFERROR((Calculations[[#This Row],[A1-3]]+Calculations[[#This Row],[A4]]+Calculations[[#This Row],[A5]]+Calculations[[#This Row],[C2 total]]+Calculations[[#This Row],[C3 total]]+Calculations[[#This Row],[C4 total]])*Calculations[[#This Row],[Replacements]],0)</f>
        <v>0</v>
      </c>
      <c r="S591" t="str">
        <f>IFERROR(VLOOKUP(Calculations[[#This Row],[Material (choose from dropdown]],MaterialData[#All],4,FALSE),"")</f>
        <v/>
      </c>
      <c r="T591" s="322" cm="1">
        <f t="array" ref="T591">IFERROR(VLOOKUP(Calculations[[#This Row],[Waste 1]],WasteScenario[#All],2,FALSE)*'Stage assumptions'!$C$225*WasteTransportMethod[Emissions Factor
kgCO2e/kg.km]*Calculations[[#This Row],[Total Kg]],0)</f>
        <v>0</v>
      </c>
      <c r="U591" s="322" cm="1">
        <f t="array" ref="U591">IFERROR(VLOOKUP(Calculations[[#This Row],[Waste 1]],WasteScenario[#All],3,FALSE)*'Stage assumptions'!$C$224*WasteTransportMethod[Emissions Factor
kgCO2e/kg.km]*Calculations[[#This Row],[Total Kg]],0)</f>
        <v>0</v>
      </c>
      <c r="V591" s="322" cm="1">
        <f t="array" ref="V591">IFERROR(VLOOKUP(Calculations[[#This Row],[Waste 1]],WasteScenario[#All],4,FALSE)*'Stage assumptions'!$C$223*WasteTransportMethod[Emissions Factor
kgCO2e/kg.km]*Calculations[[#This Row],[Total Kg]],0)</f>
        <v>0</v>
      </c>
      <c r="W591" s="322" cm="1">
        <f t="array" ref="W591">IFERROR(VLOOKUP(Calculations[[#This Row],[Waste 1]],WasteScenario[#All],5,FALSE)*'Stage assumptions'!$C$226*WasteTransportMethod[Emissions Factor
kgCO2e/kg.km]*Calculations[[#This Row],[Total Kg]],0)</f>
        <v>0</v>
      </c>
      <c r="X591" s="322">
        <f>SUM(Calculations[[#This Row],[C2 Recycle]:[C2 Reuse]])</f>
        <v>0</v>
      </c>
      <c r="Y591" t="str">
        <f>IFERROR(VLOOKUP(Calculations[[#This Row],[Material (choose from dropdown]],MaterialData[#All],5,FALSE),"")</f>
        <v/>
      </c>
      <c r="Z591" s="322">
        <f>IFERROR(((VLOOKUP(Calculations[[#This Row],[Waste type 2]],WasteDisposalEmissions[#All],2,FALSE))*Calculations[[#This Row],[Total Kg]])*VLOOKUP(Calculations[[#This Row],[Waste 1]],WasteScenario[#All],2,FALSE),0)</f>
        <v>0</v>
      </c>
      <c r="AA591" s="322">
        <f>IFERROR((VLOOKUP(Calculations[[#This Row],[Waste type 2]],WasteDisposalEmissions[#All],3,FALSE))*Calculations[[#This Row],[Total Kg]]*VLOOKUP(Calculations[[#This Row],[Waste 1]],WasteScenario[#All],3,FALSE),0)</f>
        <v>0</v>
      </c>
      <c r="AB591" s="322">
        <f>SUM(Calculations[[#This Row],[C3 recyc]:[C3 incin]])</f>
        <v>0</v>
      </c>
      <c r="AC591" s="334">
        <f>IFERROR((VLOOKUP(Calculations[[#This Row],[Waste type 2]],WasteLandfillEmissions[#All],2,FALSE))*Calculations[[#This Row],[Total Kg]]*VLOOKUP(Calculations[[#This Row],[Waste 1]],WasteScenario[#All],4,FALSE),0)</f>
        <v>0</v>
      </c>
      <c r="AD591" s="322">
        <f>IFERROR((VLOOKUP(Calculations[[#This Row],[Waste type 2]],WasteLandfillEmissions[#All],3,FALSE))*Calculations[[#This Row],[Total Kg]]*VLOOKUP(Calculations[[#This Row],[Waste 1]],WasteScenario[#All],4,FALSE),0)</f>
        <v>0</v>
      </c>
      <c r="AE591" s="322">
        <f>SUM(Calculations[[#This Row],[C4 landfill]:[C4 re-use]])</f>
        <v>0</v>
      </c>
      <c r="AF591" s="322">
        <f>IFERROR(VLOOKUP(Calculations[[#This Row],[Material (choose from dropdown]],MaterialData[#All],8,FALSE),0)</f>
        <v>0</v>
      </c>
      <c r="AG591" s="322">
        <f>IFERROR(Calculations[[#This Row],[Total Kg]]*Calculations[[#This Row],[Seq factor]],0)</f>
        <v>0</v>
      </c>
      <c r="AI591" s="322">
        <f>Calculations[[#This Row],[A1-3]]+Calculations[[#This Row],[A4]]+Calculations[[#This Row],[A5]]+Calculations[[#This Row],[B4]]+Calculations[[#This Row],[C2 total]]+Calculations[[#This Row],[C3 total]]+Calculations[[#This Row],[C4 total]]</f>
        <v>0</v>
      </c>
      <c r="AJ591" s="2">
        <f>IFERROR(VLOOKUP(Calculations[[#This Row],[Material (choose from dropdown]],MaterialData[[#Headers],[#Data]],9,FALSE),0)</f>
        <v>0</v>
      </c>
      <c r="AK591" s="4">
        <f>IFERROR(VLOOKUP(Calculations[[#This Row],[Material (choose from dropdown]],MaterialData[[#Headers],[#Data]],10,FALSE),0)</f>
        <v>0</v>
      </c>
      <c r="AL591" s="322">
        <f>IFERROR(Calculations[[#This Row],[Data Quality Score]]*Calculations[[#This Row],[Total Kg]],0)</f>
        <v>0</v>
      </c>
    </row>
    <row r="592" spans="1:38" x14ac:dyDescent="0.3">
      <c r="A592" s="6">
        <f>IFERROR(MaterialsBoQ[[#This Row],[Scope Element]],0)</f>
        <v>0</v>
      </c>
      <c r="B592" t="str">
        <f>IFERROR(MaterialsBoQ[[#This Row],[Material ]],"")</f>
        <v/>
      </c>
      <c r="C592" t="str">
        <f>IFERROR(MaterialsBoQ[[#This Row],[Unit]],"")</f>
        <v/>
      </c>
      <c r="D592" s="322">
        <f>IFERROR(MaterialsBoQ[[#This Row],[Number]],0)</f>
        <v>0</v>
      </c>
      <c r="E592" s="322">
        <f>IFERROR(MaterialsBoQ[[#This Row],[Kg per unit]],0)</f>
        <v>0</v>
      </c>
      <c r="F592" s="322">
        <f>IFERROR(Calculations[[#This Row],[Number]]*Calculations[[#This Row],[Conversion factor]],0)</f>
        <v>0</v>
      </c>
      <c r="G592" s="322">
        <f>IFERROR(VLOOKUP(Calculations[[#This Row],[Material (choose from dropdown]],MaterialData[#All],7,FALSE),0)</f>
        <v>0</v>
      </c>
      <c r="H592" s="322">
        <f>Calculations[[#This Row],[Total Kg]]*Calculations[[#This Row],[Carbon Factor]]</f>
        <v>0</v>
      </c>
      <c r="I592" t="str">
        <f>IFERROR(VLOOKUP(Calculations[[#This Row],[Material (choose from dropdown]],MaterialData[#All],2,FALSE),"")</f>
        <v/>
      </c>
      <c r="J592" s="322">
        <f>IFERROR(((VLOOKUP(Calculations[[#This Row],[TransportSource]],TransportDistance[],2,FALSE)*'Stage assumptions'!$C$11)+VLOOKUP(Calculations[[#This Row],[TransportSource]],TransportDistance[],3,FALSE)*'Stage assumptions'!$C$12)*Calculations[[#This Row],[Total Kg]],0)</f>
        <v>0</v>
      </c>
      <c r="K592">
        <f>IFERROR(VLOOKUP(Calculations[[#This Row],[Material (choose from dropdown]], MaterialData[#All],3, FALSE),0)</f>
        <v>0</v>
      </c>
      <c r="L592" s="322">
        <f>IFERROR(VLOOKUP(Calculations[[#This Row],[A5type]],A5WastageRate[#All],2,FALSE)*Calculations[[#This Row],[A1-3]],0)</f>
        <v>0</v>
      </c>
      <c r="N592">
        <f>IFERROR(ROUNDUP(50/VLOOKUP(Calculations[[#This Row],[Scope Element]],B4referenceServiceLife[[Tier 2 element]:[Default Service Life]],2, FALSE)-1,0),0)</f>
        <v>0</v>
      </c>
      <c r="O592" s="322">
        <f>IFERROR((Calculations[[#This Row],[A1-3]]+Calculations[[#This Row],[A4]]+Calculations[[#This Row],[A5]]+Calculations[[#This Row],[C2 total]]+Calculations[[#This Row],[C3 total]]+Calculations[[#This Row],[C4 total]])*Calculations[[#This Row],[Replacements]],0)</f>
        <v>0</v>
      </c>
      <c r="S592" t="str">
        <f>IFERROR(VLOOKUP(Calculations[[#This Row],[Material (choose from dropdown]],MaterialData[#All],4,FALSE),"")</f>
        <v/>
      </c>
      <c r="T592" s="322" cm="1">
        <f t="array" ref="T592">IFERROR(VLOOKUP(Calculations[[#This Row],[Waste 1]],WasteScenario[#All],2,FALSE)*'Stage assumptions'!$C$225*WasteTransportMethod[Emissions Factor
kgCO2e/kg.km]*Calculations[[#This Row],[Total Kg]],0)</f>
        <v>0</v>
      </c>
      <c r="U592" s="322" cm="1">
        <f t="array" ref="U592">IFERROR(VLOOKUP(Calculations[[#This Row],[Waste 1]],WasteScenario[#All],3,FALSE)*'Stage assumptions'!$C$224*WasteTransportMethod[Emissions Factor
kgCO2e/kg.km]*Calculations[[#This Row],[Total Kg]],0)</f>
        <v>0</v>
      </c>
      <c r="V592" s="322" cm="1">
        <f t="array" ref="V592">IFERROR(VLOOKUP(Calculations[[#This Row],[Waste 1]],WasteScenario[#All],4,FALSE)*'Stage assumptions'!$C$223*WasteTransportMethod[Emissions Factor
kgCO2e/kg.km]*Calculations[[#This Row],[Total Kg]],0)</f>
        <v>0</v>
      </c>
      <c r="W592" s="322" cm="1">
        <f t="array" ref="W592">IFERROR(VLOOKUP(Calculations[[#This Row],[Waste 1]],WasteScenario[#All],5,FALSE)*'Stage assumptions'!$C$226*WasteTransportMethod[Emissions Factor
kgCO2e/kg.km]*Calculations[[#This Row],[Total Kg]],0)</f>
        <v>0</v>
      </c>
      <c r="X592" s="322">
        <f>SUM(Calculations[[#This Row],[C2 Recycle]:[C2 Reuse]])</f>
        <v>0</v>
      </c>
      <c r="Y592" t="str">
        <f>IFERROR(VLOOKUP(Calculations[[#This Row],[Material (choose from dropdown]],MaterialData[#All],5,FALSE),"")</f>
        <v/>
      </c>
      <c r="Z592" s="322">
        <f>IFERROR(((VLOOKUP(Calculations[[#This Row],[Waste type 2]],WasteDisposalEmissions[#All],2,FALSE))*Calculations[[#This Row],[Total Kg]])*VLOOKUP(Calculations[[#This Row],[Waste 1]],WasteScenario[#All],2,FALSE),0)</f>
        <v>0</v>
      </c>
      <c r="AA592" s="322">
        <f>IFERROR((VLOOKUP(Calculations[[#This Row],[Waste type 2]],WasteDisposalEmissions[#All],3,FALSE))*Calculations[[#This Row],[Total Kg]]*VLOOKUP(Calculations[[#This Row],[Waste 1]],WasteScenario[#All],3,FALSE),0)</f>
        <v>0</v>
      </c>
      <c r="AB592" s="322">
        <f>SUM(Calculations[[#This Row],[C3 recyc]:[C3 incin]])</f>
        <v>0</v>
      </c>
      <c r="AC592" s="334">
        <f>IFERROR((VLOOKUP(Calculations[[#This Row],[Waste type 2]],WasteLandfillEmissions[#All],2,FALSE))*Calculations[[#This Row],[Total Kg]]*VLOOKUP(Calculations[[#This Row],[Waste 1]],WasteScenario[#All],4,FALSE),0)</f>
        <v>0</v>
      </c>
      <c r="AD592" s="322">
        <f>IFERROR((VLOOKUP(Calculations[[#This Row],[Waste type 2]],WasteLandfillEmissions[#All],3,FALSE))*Calculations[[#This Row],[Total Kg]]*VLOOKUP(Calculations[[#This Row],[Waste 1]],WasteScenario[#All],4,FALSE),0)</f>
        <v>0</v>
      </c>
      <c r="AE592" s="322">
        <f>SUM(Calculations[[#This Row],[C4 landfill]:[C4 re-use]])</f>
        <v>0</v>
      </c>
      <c r="AF592" s="322">
        <f>IFERROR(VLOOKUP(Calculations[[#This Row],[Material (choose from dropdown]],MaterialData[#All],8,FALSE),0)</f>
        <v>0</v>
      </c>
      <c r="AG592" s="322">
        <f>IFERROR(Calculations[[#This Row],[Total Kg]]*Calculations[[#This Row],[Seq factor]],0)</f>
        <v>0</v>
      </c>
      <c r="AI592" s="322">
        <f>Calculations[[#This Row],[A1-3]]+Calculations[[#This Row],[A4]]+Calculations[[#This Row],[A5]]+Calculations[[#This Row],[B4]]+Calculations[[#This Row],[C2 total]]+Calculations[[#This Row],[C3 total]]+Calculations[[#This Row],[C4 total]]</f>
        <v>0</v>
      </c>
      <c r="AJ592" s="2">
        <f>IFERROR(VLOOKUP(Calculations[[#This Row],[Material (choose from dropdown]],MaterialData[[#Headers],[#Data]],9,FALSE),0)</f>
        <v>0</v>
      </c>
      <c r="AK592" s="4">
        <f>IFERROR(VLOOKUP(Calculations[[#This Row],[Material (choose from dropdown]],MaterialData[[#Headers],[#Data]],10,FALSE),0)</f>
        <v>0</v>
      </c>
      <c r="AL592" s="322">
        <f>IFERROR(Calculations[[#This Row],[Data Quality Score]]*Calculations[[#This Row],[Total Kg]],0)</f>
        <v>0</v>
      </c>
    </row>
    <row r="593" spans="1:38" x14ac:dyDescent="0.3">
      <c r="A593" s="6">
        <f>IFERROR(MaterialsBoQ[[#This Row],[Scope Element]],0)</f>
        <v>0</v>
      </c>
      <c r="B593" t="str">
        <f>IFERROR(MaterialsBoQ[[#This Row],[Material ]],"")</f>
        <v/>
      </c>
      <c r="C593" t="str">
        <f>IFERROR(MaterialsBoQ[[#This Row],[Unit]],"")</f>
        <v/>
      </c>
      <c r="D593" s="322">
        <f>IFERROR(MaterialsBoQ[[#This Row],[Number]],0)</f>
        <v>0</v>
      </c>
      <c r="E593" s="322">
        <f>IFERROR(MaterialsBoQ[[#This Row],[Kg per unit]],0)</f>
        <v>0</v>
      </c>
      <c r="F593" s="322">
        <f>IFERROR(Calculations[[#This Row],[Number]]*Calculations[[#This Row],[Conversion factor]],0)</f>
        <v>0</v>
      </c>
      <c r="G593" s="322">
        <f>IFERROR(VLOOKUP(Calculations[[#This Row],[Material (choose from dropdown]],MaterialData[#All],7,FALSE),0)</f>
        <v>0</v>
      </c>
      <c r="H593" s="322">
        <f>Calculations[[#This Row],[Total Kg]]*Calculations[[#This Row],[Carbon Factor]]</f>
        <v>0</v>
      </c>
      <c r="I593" t="str">
        <f>IFERROR(VLOOKUP(Calculations[[#This Row],[Material (choose from dropdown]],MaterialData[#All],2,FALSE),"")</f>
        <v/>
      </c>
      <c r="J593" s="322">
        <f>IFERROR(((VLOOKUP(Calculations[[#This Row],[TransportSource]],TransportDistance[],2,FALSE)*'Stage assumptions'!$C$11)+VLOOKUP(Calculations[[#This Row],[TransportSource]],TransportDistance[],3,FALSE)*'Stage assumptions'!$C$12)*Calculations[[#This Row],[Total Kg]],0)</f>
        <v>0</v>
      </c>
      <c r="K593">
        <f>IFERROR(VLOOKUP(Calculations[[#This Row],[Material (choose from dropdown]], MaterialData[#All],3, FALSE),0)</f>
        <v>0</v>
      </c>
      <c r="L593" s="322">
        <f>IFERROR(VLOOKUP(Calculations[[#This Row],[A5type]],A5WastageRate[#All],2,FALSE)*Calculations[[#This Row],[A1-3]],0)</f>
        <v>0</v>
      </c>
      <c r="N593">
        <f>IFERROR(ROUNDUP(50/VLOOKUP(Calculations[[#This Row],[Scope Element]],B4referenceServiceLife[[Tier 2 element]:[Default Service Life]],2, FALSE)-1,0),0)</f>
        <v>0</v>
      </c>
      <c r="O593" s="322">
        <f>IFERROR((Calculations[[#This Row],[A1-3]]+Calculations[[#This Row],[A4]]+Calculations[[#This Row],[A5]]+Calculations[[#This Row],[C2 total]]+Calculations[[#This Row],[C3 total]]+Calculations[[#This Row],[C4 total]])*Calculations[[#This Row],[Replacements]],0)</f>
        <v>0</v>
      </c>
      <c r="S593" t="str">
        <f>IFERROR(VLOOKUP(Calculations[[#This Row],[Material (choose from dropdown]],MaterialData[#All],4,FALSE),"")</f>
        <v/>
      </c>
      <c r="T593" s="322" cm="1">
        <f t="array" ref="T593">IFERROR(VLOOKUP(Calculations[[#This Row],[Waste 1]],WasteScenario[#All],2,FALSE)*'Stage assumptions'!$C$225*WasteTransportMethod[Emissions Factor
kgCO2e/kg.km]*Calculations[[#This Row],[Total Kg]],0)</f>
        <v>0</v>
      </c>
      <c r="U593" s="322" cm="1">
        <f t="array" ref="U593">IFERROR(VLOOKUP(Calculations[[#This Row],[Waste 1]],WasteScenario[#All],3,FALSE)*'Stage assumptions'!$C$224*WasteTransportMethod[Emissions Factor
kgCO2e/kg.km]*Calculations[[#This Row],[Total Kg]],0)</f>
        <v>0</v>
      </c>
      <c r="V593" s="322" cm="1">
        <f t="array" ref="V593">IFERROR(VLOOKUP(Calculations[[#This Row],[Waste 1]],WasteScenario[#All],4,FALSE)*'Stage assumptions'!$C$223*WasteTransportMethod[Emissions Factor
kgCO2e/kg.km]*Calculations[[#This Row],[Total Kg]],0)</f>
        <v>0</v>
      </c>
      <c r="W593" s="322" cm="1">
        <f t="array" ref="W593">IFERROR(VLOOKUP(Calculations[[#This Row],[Waste 1]],WasteScenario[#All],5,FALSE)*'Stage assumptions'!$C$226*WasteTransportMethod[Emissions Factor
kgCO2e/kg.km]*Calculations[[#This Row],[Total Kg]],0)</f>
        <v>0</v>
      </c>
      <c r="X593" s="322">
        <f>SUM(Calculations[[#This Row],[C2 Recycle]:[C2 Reuse]])</f>
        <v>0</v>
      </c>
      <c r="Y593" t="str">
        <f>IFERROR(VLOOKUP(Calculations[[#This Row],[Material (choose from dropdown]],MaterialData[#All],5,FALSE),"")</f>
        <v/>
      </c>
      <c r="Z593" s="322">
        <f>IFERROR(((VLOOKUP(Calculations[[#This Row],[Waste type 2]],WasteDisposalEmissions[#All],2,FALSE))*Calculations[[#This Row],[Total Kg]])*VLOOKUP(Calculations[[#This Row],[Waste 1]],WasteScenario[#All],2,FALSE),0)</f>
        <v>0</v>
      </c>
      <c r="AA593" s="322">
        <f>IFERROR((VLOOKUP(Calculations[[#This Row],[Waste type 2]],WasteDisposalEmissions[#All],3,FALSE))*Calculations[[#This Row],[Total Kg]]*VLOOKUP(Calculations[[#This Row],[Waste 1]],WasteScenario[#All],3,FALSE),0)</f>
        <v>0</v>
      </c>
      <c r="AB593" s="322">
        <f>SUM(Calculations[[#This Row],[C3 recyc]:[C3 incin]])</f>
        <v>0</v>
      </c>
      <c r="AC593" s="334">
        <f>IFERROR((VLOOKUP(Calculations[[#This Row],[Waste type 2]],WasteLandfillEmissions[#All],2,FALSE))*Calculations[[#This Row],[Total Kg]]*VLOOKUP(Calculations[[#This Row],[Waste 1]],WasteScenario[#All],4,FALSE),0)</f>
        <v>0</v>
      </c>
      <c r="AD593" s="322">
        <f>IFERROR((VLOOKUP(Calculations[[#This Row],[Waste type 2]],WasteLandfillEmissions[#All],3,FALSE))*Calculations[[#This Row],[Total Kg]]*VLOOKUP(Calculations[[#This Row],[Waste 1]],WasteScenario[#All],4,FALSE),0)</f>
        <v>0</v>
      </c>
      <c r="AE593" s="322">
        <f>SUM(Calculations[[#This Row],[C4 landfill]:[C4 re-use]])</f>
        <v>0</v>
      </c>
      <c r="AF593" s="322">
        <f>IFERROR(VLOOKUP(Calculations[[#This Row],[Material (choose from dropdown]],MaterialData[#All],8,FALSE),0)</f>
        <v>0</v>
      </c>
      <c r="AG593" s="322">
        <f>IFERROR(Calculations[[#This Row],[Total Kg]]*Calculations[[#This Row],[Seq factor]],0)</f>
        <v>0</v>
      </c>
      <c r="AI593" s="322">
        <f>Calculations[[#This Row],[A1-3]]+Calculations[[#This Row],[A4]]+Calculations[[#This Row],[A5]]+Calculations[[#This Row],[B4]]+Calculations[[#This Row],[C2 total]]+Calculations[[#This Row],[C3 total]]+Calculations[[#This Row],[C4 total]]</f>
        <v>0</v>
      </c>
      <c r="AJ593" s="2">
        <f>IFERROR(VLOOKUP(Calculations[[#This Row],[Material (choose from dropdown]],MaterialData[[#Headers],[#Data]],9,FALSE),0)</f>
        <v>0</v>
      </c>
      <c r="AK593" s="4">
        <f>IFERROR(VLOOKUP(Calculations[[#This Row],[Material (choose from dropdown]],MaterialData[[#Headers],[#Data]],10,FALSE),0)</f>
        <v>0</v>
      </c>
      <c r="AL593" s="322">
        <f>IFERROR(Calculations[[#This Row],[Data Quality Score]]*Calculations[[#This Row],[Total Kg]],0)</f>
        <v>0</v>
      </c>
    </row>
    <row r="594" spans="1:38" x14ac:dyDescent="0.3">
      <c r="A594" s="6">
        <f>IFERROR(MaterialsBoQ[[#This Row],[Scope Element]],0)</f>
        <v>0</v>
      </c>
      <c r="B594" t="str">
        <f>IFERROR(MaterialsBoQ[[#This Row],[Material ]],"")</f>
        <v/>
      </c>
      <c r="C594" t="str">
        <f>IFERROR(MaterialsBoQ[[#This Row],[Unit]],"")</f>
        <v/>
      </c>
      <c r="D594" s="322">
        <f>IFERROR(MaterialsBoQ[[#This Row],[Number]],0)</f>
        <v>0</v>
      </c>
      <c r="E594" s="322">
        <f>IFERROR(MaterialsBoQ[[#This Row],[Kg per unit]],0)</f>
        <v>0</v>
      </c>
      <c r="F594" s="322">
        <f>IFERROR(Calculations[[#This Row],[Number]]*Calculations[[#This Row],[Conversion factor]],0)</f>
        <v>0</v>
      </c>
      <c r="G594" s="322">
        <f>IFERROR(VLOOKUP(Calculations[[#This Row],[Material (choose from dropdown]],MaterialData[#All],7,FALSE),0)</f>
        <v>0</v>
      </c>
      <c r="H594" s="322">
        <f>Calculations[[#This Row],[Total Kg]]*Calculations[[#This Row],[Carbon Factor]]</f>
        <v>0</v>
      </c>
      <c r="I594" t="str">
        <f>IFERROR(VLOOKUP(Calculations[[#This Row],[Material (choose from dropdown]],MaterialData[#All],2,FALSE),"")</f>
        <v/>
      </c>
      <c r="J594" s="322">
        <f>IFERROR(((VLOOKUP(Calculations[[#This Row],[TransportSource]],TransportDistance[],2,FALSE)*'Stage assumptions'!$C$11)+VLOOKUP(Calculations[[#This Row],[TransportSource]],TransportDistance[],3,FALSE)*'Stage assumptions'!$C$12)*Calculations[[#This Row],[Total Kg]],0)</f>
        <v>0</v>
      </c>
      <c r="K594">
        <f>IFERROR(VLOOKUP(Calculations[[#This Row],[Material (choose from dropdown]], MaterialData[#All],3, FALSE),0)</f>
        <v>0</v>
      </c>
      <c r="L594" s="322">
        <f>IFERROR(VLOOKUP(Calculations[[#This Row],[A5type]],A5WastageRate[#All],2,FALSE)*Calculations[[#This Row],[A1-3]],0)</f>
        <v>0</v>
      </c>
      <c r="N594">
        <f>IFERROR(ROUNDUP(50/VLOOKUP(Calculations[[#This Row],[Scope Element]],B4referenceServiceLife[[Tier 2 element]:[Default Service Life]],2, FALSE)-1,0),0)</f>
        <v>0</v>
      </c>
      <c r="O594" s="322">
        <f>IFERROR((Calculations[[#This Row],[A1-3]]+Calculations[[#This Row],[A4]]+Calculations[[#This Row],[A5]]+Calculations[[#This Row],[C2 total]]+Calculations[[#This Row],[C3 total]]+Calculations[[#This Row],[C4 total]])*Calculations[[#This Row],[Replacements]],0)</f>
        <v>0</v>
      </c>
      <c r="S594" t="str">
        <f>IFERROR(VLOOKUP(Calculations[[#This Row],[Material (choose from dropdown]],MaterialData[#All],4,FALSE),"")</f>
        <v/>
      </c>
      <c r="T594" s="322" cm="1">
        <f t="array" ref="T594">IFERROR(VLOOKUP(Calculations[[#This Row],[Waste 1]],WasteScenario[#All],2,FALSE)*'Stage assumptions'!$C$225*WasteTransportMethod[Emissions Factor
kgCO2e/kg.km]*Calculations[[#This Row],[Total Kg]],0)</f>
        <v>0</v>
      </c>
      <c r="U594" s="322" cm="1">
        <f t="array" ref="U594">IFERROR(VLOOKUP(Calculations[[#This Row],[Waste 1]],WasteScenario[#All],3,FALSE)*'Stage assumptions'!$C$224*WasteTransportMethod[Emissions Factor
kgCO2e/kg.km]*Calculations[[#This Row],[Total Kg]],0)</f>
        <v>0</v>
      </c>
      <c r="V594" s="322" cm="1">
        <f t="array" ref="V594">IFERROR(VLOOKUP(Calculations[[#This Row],[Waste 1]],WasteScenario[#All],4,FALSE)*'Stage assumptions'!$C$223*WasteTransportMethod[Emissions Factor
kgCO2e/kg.km]*Calculations[[#This Row],[Total Kg]],0)</f>
        <v>0</v>
      </c>
      <c r="W594" s="322" cm="1">
        <f t="array" ref="W594">IFERROR(VLOOKUP(Calculations[[#This Row],[Waste 1]],WasteScenario[#All],5,FALSE)*'Stage assumptions'!$C$226*WasteTransportMethod[Emissions Factor
kgCO2e/kg.km]*Calculations[[#This Row],[Total Kg]],0)</f>
        <v>0</v>
      </c>
      <c r="X594" s="322">
        <f>SUM(Calculations[[#This Row],[C2 Recycle]:[C2 Reuse]])</f>
        <v>0</v>
      </c>
      <c r="Y594" t="str">
        <f>IFERROR(VLOOKUP(Calculations[[#This Row],[Material (choose from dropdown]],MaterialData[#All],5,FALSE),"")</f>
        <v/>
      </c>
      <c r="Z594" s="322">
        <f>IFERROR(((VLOOKUP(Calculations[[#This Row],[Waste type 2]],WasteDisposalEmissions[#All],2,FALSE))*Calculations[[#This Row],[Total Kg]])*VLOOKUP(Calculations[[#This Row],[Waste 1]],WasteScenario[#All],2,FALSE),0)</f>
        <v>0</v>
      </c>
      <c r="AA594" s="322">
        <f>IFERROR((VLOOKUP(Calculations[[#This Row],[Waste type 2]],WasteDisposalEmissions[#All],3,FALSE))*Calculations[[#This Row],[Total Kg]]*VLOOKUP(Calculations[[#This Row],[Waste 1]],WasteScenario[#All],3,FALSE),0)</f>
        <v>0</v>
      </c>
      <c r="AB594" s="322">
        <f>SUM(Calculations[[#This Row],[C3 recyc]:[C3 incin]])</f>
        <v>0</v>
      </c>
      <c r="AC594" s="334">
        <f>IFERROR((VLOOKUP(Calculations[[#This Row],[Waste type 2]],WasteLandfillEmissions[#All],2,FALSE))*Calculations[[#This Row],[Total Kg]]*VLOOKUP(Calculations[[#This Row],[Waste 1]],WasteScenario[#All],4,FALSE),0)</f>
        <v>0</v>
      </c>
      <c r="AD594" s="322">
        <f>IFERROR((VLOOKUP(Calculations[[#This Row],[Waste type 2]],WasteLandfillEmissions[#All],3,FALSE))*Calculations[[#This Row],[Total Kg]]*VLOOKUP(Calculations[[#This Row],[Waste 1]],WasteScenario[#All],4,FALSE),0)</f>
        <v>0</v>
      </c>
      <c r="AE594" s="322">
        <f>SUM(Calculations[[#This Row],[C4 landfill]:[C4 re-use]])</f>
        <v>0</v>
      </c>
      <c r="AF594" s="322">
        <f>IFERROR(VLOOKUP(Calculations[[#This Row],[Material (choose from dropdown]],MaterialData[#All],8,FALSE),0)</f>
        <v>0</v>
      </c>
      <c r="AG594" s="322">
        <f>IFERROR(Calculations[[#This Row],[Total Kg]]*Calculations[[#This Row],[Seq factor]],0)</f>
        <v>0</v>
      </c>
      <c r="AI594" s="322">
        <f>Calculations[[#This Row],[A1-3]]+Calculations[[#This Row],[A4]]+Calculations[[#This Row],[A5]]+Calculations[[#This Row],[B4]]+Calculations[[#This Row],[C2 total]]+Calculations[[#This Row],[C3 total]]+Calculations[[#This Row],[C4 total]]</f>
        <v>0</v>
      </c>
      <c r="AJ594" s="2">
        <f>IFERROR(VLOOKUP(Calculations[[#This Row],[Material (choose from dropdown]],MaterialData[[#Headers],[#Data]],9,FALSE),0)</f>
        <v>0</v>
      </c>
      <c r="AK594" s="4">
        <f>IFERROR(VLOOKUP(Calculations[[#This Row],[Material (choose from dropdown]],MaterialData[[#Headers],[#Data]],10,FALSE),0)</f>
        <v>0</v>
      </c>
      <c r="AL594" s="322">
        <f>IFERROR(Calculations[[#This Row],[Data Quality Score]]*Calculations[[#This Row],[Total Kg]],0)</f>
        <v>0</v>
      </c>
    </row>
    <row r="595" spans="1:38" x14ac:dyDescent="0.3">
      <c r="A595" s="6">
        <f>IFERROR(MaterialsBoQ[[#This Row],[Scope Element]],0)</f>
        <v>0</v>
      </c>
      <c r="B595" t="str">
        <f>IFERROR(MaterialsBoQ[[#This Row],[Material ]],"")</f>
        <v/>
      </c>
      <c r="C595" t="str">
        <f>IFERROR(MaterialsBoQ[[#This Row],[Unit]],"")</f>
        <v/>
      </c>
      <c r="D595" s="322">
        <f>IFERROR(MaterialsBoQ[[#This Row],[Number]],0)</f>
        <v>0</v>
      </c>
      <c r="E595" s="322">
        <f>IFERROR(MaterialsBoQ[[#This Row],[Kg per unit]],0)</f>
        <v>0</v>
      </c>
      <c r="F595" s="322">
        <f>IFERROR(Calculations[[#This Row],[Number]]*Calculations[[#This Row],[Conversion factor]],0)</f>
        <v>0</v>
      </c>
      <c r="G595" s="322">
        <f>IFERROR(VLOOKUP(Calculations[[#This Row],[Material (choose from dropdown]],MaterialData[#All],7,FALSE),0)</f>
        <v>0</v>
      </c>
      <c r="H595" s="322">
        <f>Calculations[[#This Row],[Total Kg]]*Calculations[[#This Row],[Carbon Factor]]</f>
        <v>0</v>
      </c>
      <c r="I595" t="str">
        <f>IFERROR(VLOOKUP(Calculations[[#This Row],[Material (choose from dropdown]],MaterialData[#All],2,FALSE),"")</f>
        <v/>
      </c>
      <c r="J595" s="322">
        <f>IFERROR(((VLOOKUP(Calculations[[#This Row],[TransportSource]],TransportDistance[],2,FALSE)*'Stage assumptions'!$C$11)+VLOOKUP(Calculations[[#This Row],[TransportSource]],TransportDistance[],3,FALSE)*'Stage assumptions'!$C$12)*Calculations[[#This Row],[Total Kg]],0)</f>
        <v>0</v>
      </c>
      <c r="K595">
        <f>IFERROR(VLOOKUP(Calculations[[#This Row],[Material (choose from dropdown]], MaterialData[#All],3, FALSE),0)</f>
        <v>0</v>
      </c>
      <c r="L595" s="322">
        <f>IFERROR(VLOOKUP(Calculations[[#This Row],[A5type]],A5WastageRate[#All],2,FALSE)*Calculations[[#This Row],[A1-3]],0)</f>
        <v>0</v>
      </c>
      <c r="N595">
        <f>IFERROR(ROUNDUP(50/VLOOKUP(Calculations[[#This Row],[Scope Element]],B4referenceServiceLife[[Tier 2 element]:[Default Service Life]],2, FALSE)-1,0),0)</f>
        <v>0</v>
      </c>
      <c r="O595" s="322">
        <f>IFERROR((Calculations[[#This Row],[A1-3]]+Calculations[[#This Row],[A4]]+Calculations[[#This Row],[A5]]+Calculations[[#This Row],[C2 total]]+Calculations[[#This Row],[C3 total]]+Calculations[[#This Row],[C4 total]])*Calculations[[#This Row],[Replacements]],0)</f>
        <v>0</v>
      </c>
      <c r="S595" t="str">
        <f>IFERROR(VLOOKUP(Calculations[[#This Row],[Material (choose from dropdown]],MaterialData[#All],4,FALSE),"")</f>
        <v/>
      </c>
      <c r="T595" s="322" cm="1">
        <f t="array" ref="T595">IFERROR(VLOOKUP(Calculations[[#This Row],[Waste 1]],WasteScenario[#All],2,FALSE)*'Stage assumptions'!$C$225*WasteTransportMethod[Emissions Factor
kgCO2e/kg.km]*Calculations[[#This Row],[Total Kg]],0)</f>
        <v>0</v>
      </c>
      <c r="U595" s="322" cm="1">
        <f t="array" ref="U595">IFERROR(VLOOKUP(Calculations[[#This Row],[Waste 1]],WasteScenario[#All],3,FALSE)*'Stage assumptions'!$C$224*WasteTransportMethod[Emissions Factor
kgCO2e/kg.km]*Calculations[[#This Row],[Total Kg]],0)</f>
        <v>0</v>
      </c>
      <c r="V595" s="322" cm="1">
        <f t="array" ref="V595">IFERROR(VLOOKUP(Calculations[[#This Row],[Waste 1]],WasteScenario[#All],4,FALSE)*'Stage assumptions'!$C$223*WasteTransportMethod[Emissions Factor
kgCO2e/kg.km]*Calculations[[#This Row],[Total Kg]],0)</f>
        <v>0</v>
      </c>
      <c r="W595" s="322" cm="1">
        <f t="array" ref="W595">IFERROR(VLOOKUP(Calculations[[#This Row],[Waste 1]],WasteScenario[#All],5,FALSE)*'Stage assumptions'!$C$226*WasteTransportMethod[Emissions Factor
kgCO2e/kg.km]*Calculations[[#This Row],[Total Kg]],0)</f>
        <v>0</v>
      </c>
      <c r="X595" s="322">
        <f>SUM(Calculations[[#This Row],[C2 Recycle]:[C2 Reuse]])</f>
        <v>0</v>
      </c>
      <c r="Y595" t="str">
        <f>IFERROR(VLOOKUP(Calculations[[#This Row],[Material (choose from dropdown]],MaterialData[#All],5,FALSE),"")</f>
        <v/>
      </c>
      <c r="Z595" s="322">
        <f>IFERROR(((VLOOKUP(Calculations[[#This Row],[Waste type 2]],WasteDisposalEmissions[#All],2,FALSE))*Calculations[[#This Row],[Total Kg]])*VLOOKUP(Calculations[[#This Row],[Waste 1]],WasteScenario[#All],2,FALSE),0)</f>
        <v>0</v>
      </c>
      <c r="AA595" s="322">
        <f>IFERROR((VLOOKUP(Calculations[[#This Row],[Waste type 2]],WasteDisposalEmissions[#All],3,FALSE))*Calculations[[#This Row],[Total Kg]]*VLOOKUP(Calculations[[#This Row],[Waste 1]],WasteScenario[#All],3,FALSE),0)</f>
        <v>0</v>
      </c>
      <c r="AB595" s="322">
        <f>SUM(Calculations[[#This Row],[C3 recyc]:[C3 incin]])</f>
        <v>0</v>
      </c>
      <c r="AC595" s="334">
        <f>IFERROR((VLOOKUP(Calculations[[#This Row],[Waste type 2]],WasteLandfillEmissions[#All],2,FALSE))*Calculations[[#This Row],[Total Kg]]*VLOOKUP(Calculations[[#This Row],[Waste 1]],WasteScenario[#All],4,FALSE),0)</f>
        <v>0</v>
      </c>
      <c r="AD595" s="322">
        <f>IFERROR((VLOOKUP(Calculations[[#This Row],[Waste type 2]],WasteLandfillEmissions[#All],3,FALSE))*Calculations[[#This Row],[Total Kg]]*VLOOKUP(Calculations[[#This Row],[Waste 1]],WasteScenario[#All],4,FALSE),0)</f>
        <v>0</v>
      </c>
      <c r="AE595" s="322">
        <f>SUM(Calculations[[#This Row],[C4 landfill]:[C4 re-use]])</f>
        <v>0</v>
      </c>
      <c r="AF595" s="322">
        <f>IFERROR(VLOOKUP(Calculations[[#This Row],[Material (choose from dropdown]],MaterialData[#All],8,FALSE),0)</f>
        <v>0</v>
      </c>
      <c r="AG595" s="322">
        <f>IFERROR(Calculations[[#This Row],[Total Kg]]*Calculations[[#This Row],[Seq factor]],0)</f>
        <v>0</v>
      </c>
      <c r="AI595" s="322">
        <f>Calculations[[#This Row],[A1-3]]+Calculations[[#This Row],[A4]]+Calculations[[#This Row],[A5]]+Calculations[[#This Row],[B4]]+Calculations[[#This Row],[C2 total]]+Calculations[[#This Row],[C3 total]]+Calculations[[#This Row],[C4 total]]</f>
        <v>0</v>
      </c>
      <c r="AJ595" s="2">
        <f>IFERROR(VLOOKUP(Calculations[[#This Row],[Material (choose from dropdown]],MaterialData[[#Headers],[#Data]],9,FALSE),0)</f>
        <v>0</v>
      </c>
      <c r="AK595" s="4">
        <f>IFERROR(VLOOKUP(Calculations[[#This Row],[Material (choose from dropdown]],MaterialData[[#Headers],[#Data]],10,FALSE),0)</f>
        <v>0</v>
      </c>
      <c r="AL595" s="322">
        <f>IFERROR(Calculations[[#This Row],[Data Quality Score]]*Calculations[[#This Row],[Total Kg]],0)</f>
        <v>0</v>
      </c>
    </row>
    <row r="596" spans="1:38" x14ac:dyDescent="0.3">
      <c r="A596" s="6">
        <f>IFERROR(MaterialsBoQ[[#This Row],[Scope Element]],0)</f>
        <v>0</v>
      </c>
      <c r="B596" t="str">
        <f>IFERROR(MaterialsBoQ[[#This Row],[Material ]],"")</f>
        <v/>
      </c>
      <c r="C596" t="str">
        <f>IFERROR(MaterialsBoQ[[#This Row],[Unit]],"")</f>
        <v/>
      </c>
      <c r="D596" s="322">
        <f>IFERROR(MaterialsBoQ[[#This Row],[Number]],0)</f>
        <v>0</v>
      </c>
      <c r="E596" s="322">
        <f>IFERROR(MaterialsBoQ[[#This Row],[Kg per unit]],0)</f>
        <v>0</v>
      </c>
      <c r="F596" s="322">
        <f>IFERROR(Calculations[[#This Row],[Number]]*Calculations[[#This Row],[Conversion factor]],0)</f>
        <v>0</v>
      </c>
      <c r="G596" s="322">
        <f>IFERROR(VLOOKUP(Calculations[[#This Row],[Material (choose from dropdown]],MaterialData[#All],7,FALSE),0)</f>
        <v>0</v>
      </c>
      <c r="H596" s="322">
        <f>Calculations[[#This Row],[Total Kg]]*Calculations[[#This Row],[Carbon Factor]]</f>
        <v>0</v>
      </c>
      <c r="I596" t="str">
        <f>IFERROR(VLOOKUP(Calculations[[#This Row],[Material (choose from dropdown]],MaterialData[#All],2,FALSE),"")</f>
        <v/>
      </c>
      <c r="J596" s="322">
        <f>IFERROR(((VLOOKUP(Calculations[[#This Row],[TransportSource]],TransportDistance[],2,FALSE)*'Stage assumptions'!$C$11)+VLOOKUP(Calculations[[#This Row],[TransportSource]],TransportDistance[],3,FALSE)*'Stage assumptions'!$C$12)*Calculations[[#This Row],[Total Kg]],0)</f>
        <v>0</v>
      </c>
      <c r="K596">
        <f>IFERROR(VLOOKUP(Calculations[[#This Row],[Material (choose from dropdown]], MaterialData[#All],3, FALSE),0)</f>
        <v>0</v>
      </c>
      <c r="L596" s="322">
        <f>IFERROR(VLOOKUP(Calculations[[#This Row],[A5type]],A5WastageRate[#All],2,FALSE)*Calculations[[#This Row],[A1-3]],0)</f>
        <v>0</v>
      </c>
      <c r="N596">
        <f>IFERROR(ROUNDUP(50/VLOOKUP(Calculations[[#This Row],[Scope Element]],B4referenceServiceLife[[Tier 2 element]:[Default Service Life]],2, FALSE)-1,0),0)</f>
        <v>0</v>
      </c>
      <c r="O596" s="322">
        <f>IFERROR((Calculations[[#This Row],[A1-3]]+Calculations[[#This Row],[A4]]+Calculations[[#This Row],[A5]]+Calculations[[#This Row],[C2 total]]+Calculations[[#This Row],[C3 total]]+Calculations[[#This Row],[C4 total]])*Calculations[[#This Row],[Replacements]],0)</f>
        <v>0</v>
      </c>
      <c r="S596" t="str">
        <f>IFERROR(VLOOKUP(Calculations[[#This Row],[Material (choose from dropdown]],MaterialData[#All],4,FALSE),"")</f>
        <v/>
      </c>
      <c r="T596" s="322" cm="1">
        <f t="array" ref="T596">IFERROR(VLOOKUP(Calculations[[#This Row],[Waste 1]],WasteScenario[#All],2,FALSE)*'Stage assumptions'!$C$225*WasteTransportMethod[Emissions Factor
kgCO2e/kg.km]*Calculations[[#This Row],[Total Kg]],0)</f>
        <v>0</v>
      </c>
      <c r="U596" s="322" cm="1">
        <f t="array" ref="U596">IFERROR(VLOOKUP(Calculations[[#This Row],[Waste 1]],WasteScenario[#All],3,FALSE)*'Stage assumptions'!$C$224*WasteTransportMethod[Emissions Factor
kgCO2e/kg.km]*Calculations[[#This Row],[Total Kg]],0)</f>
        <v>0</v>
      </c>
      <c r="V596" s="322" cm="1">
        <f t="array" ref="V596">IFERROR(VLOOKUP(Calculations[[#This Row],[Waste 1]],WasteScenario[#All],4,FALSE)*'Stage assumptions'!$C$223*WasteTransportMethod[Emissions Factor
kgCO2e/kg.km]*Calculations[[#This Row],[Total Kg]],0)</f>
        <v>0</v>
      </c>
      <c r="W596" s="322" cm="1">
        <f t="array" ref="W596">IFERROR(VLOOKUP(Calculations[[#This Row],[Waste 1]],WasteScenario[#All],5,FALSE)*'Stage assumptions'!$C$226*WasteTransportMethod[Emissions Factor
kgCO2e/kg.km]*Calculations[[#This Row],[Total Kg]],0)</f>
        <v>0</v>
      </c>
      <c r="X596" s="322">
        <f>SUM(Calculations[[#This Row],[C2 Recycle]:[C2 Reuse]])</f>
        <v>0</v>
      </c>
      <c r="Y596" t="str">
        <f>IFERROR(VLOOKUP(Calculations[[#This Row],[Material (choose from dropdown]],MaterialData[#All],5,FALSE),"")</f>
        <v/>
      </c>
      <c r="Z596" s="322">
        <f>IFERROR(((VLOOKUP(Calculations[[#This Row],[Waste type 2]],WasteDisposalEmissions[#All],2,FALSE))*Calculations[[#This Row],[Total Kg]])*VLOOKUP(Calculations[[#This Row],[Waste 1]],WasteScenario[#All],2,FALSE),0)</f>
        <v>0</v>
      </c>
      <c r="AA596" s="322">
        <f>IFERROR((VLOOKUP(Calculations[[#This Row],[Waste type 2]],WasteDisposalEmissions[#All],3,FALSE))*Calculations[[#This Row],[Total Kg]]*VLOOKUP(Calculations[[#This Row],[Waste 1]],WasteScenario[#All],3,FALSE),0)</f>
        <v>0</v>
      </c>
      <c r="AB596" s="322">
        <f>SUM(Calculations[[#This Row],[C3 recyc]:[C3 incin]])</f>
        <v>0</v>
      </c>
      <c r="AC596" s="334">
        <f>IFERROR((VLOOKUP(Calculations[[#This Row],[Waste type 2]],WasteLandfillEmissions[#All],2,FALSE))*Calculations[[#This Row],[Total Kg]]*VLOOKUP(Calculations[[#This Row],[Waste 1]],WasteScenario[#All],4,FALSE),0)</f>
        <v>0</v>
      </c>
      <c r="AD596" s="322">
        <f>IFERROR((VLOOKUP(Calculations[[#This Row],[Waste type 2]],WasteLandfillEmissions[#All],3,FALSE))*Calculations[[#This Row],[Total Kg]]*VLOOKUP(Calculations[[#This Row],[Waste 1]],WasteScenario[#All],4,FALSE),0)</f>
        <v>0</v>
      </c>
      <c r="AE596" s="322">
        <f>SUM(Calculations[[#This Row],[C4 landfill]:[C4 re-use]])</f>
        <v>0</v>
      </c>
      <c r="AF596" s="322">
        <f>IFERROR(VLOOKUP(Calculations[[#This Row],[Material (choose from dropdown]],MaterialData[#All],8,FALSE),0)</f>
        <v>0</v>
      </c>
      <c r="AG596" s="322">
        <f>IFERROR(Calculations[[#This Row],[Total Kg]]*Calculations[[#This Row],[Seq factor]],0)</f>
        <v>0</v>
      </c>
      <c r="AI596" s="322">
        <f>Calculations[[#This Row],[A1-3]]+Calculations[[#This Row],[A4]]+Calculations[[#This Row],[A5]]+Calculations[[#This Row],[B4]]+Calculations[[#This Row],[C2 total]]+Calculations[[#This Row],[C3 total]]+Calculations[[#This Row],[C4 total]]</f>
        <v>0</v>
      </c>
      <c r="AJ596" s="2">
        <f>IFERROR(VLOOKUP(Calculations[[#This Row],[Material (choose from dropdown]],MaterialData[[#Headers],[#Data]],9,FALSE),0)</f>
        <v>0</v>
      </c>
      <c r="AK596" s="4">
        <f>IFERROR(VLOOKUP(Calculations[[#This Row],[Material (choose from dropdown]],MaterialData[[#Headers],[#Data]],10,FALSE),0)</f>
        <v>0</v>
      </c>
      <c r="AL596" s="322">
        <f>IFERROR(Calculations[[#This Row],[Data Quality Score]]*Calculations[[#This Row],[Total Kg]],0)</f>
        <v>0</v>
      </c>
    </row>
    <row r="597" spans="1:38" x14ac:dyDescent="0.3">
      <c r="A597" s="6">
        <f>IFERROR(MaterialsBoQ[[#This Row],[Scope Element]],0)</f>
        <v>0</v>
      </c>
      <c r="B597" t="str">
        <f>IFERROR(MaterialsBoQ[[#This Row],[Material ]],"")</f>
        <v/>
      </c>
      <c r="C597" t="str">
        <f>IFERROR(MaterialsBoQ[[#This Row],[Unit]],"")</f>
        <v/>
      </c>
      <c r="D597" s="322">
        <f>IFERROR(MaterialsBoQ[[#This Row],[Number]],0)</f>
        <v>0</v>
      </c>
      <c r="E597" s="322">
        <f>IFERROR(MaterialsBoQ[[#This Row],[Kg per unit]],0)</f>
        <v>0</v>
      </c>
      <c r="F597" s="322">
        <f>IFERROR(Calculations[[#This Row],[Number]]*Calculations[[#This Row],[Conversion factor]],0)</f>
        <v>0</v>
      </c>
      <c r="G597" s="322">
        <f>IFERROR(VLOOKUP(Calculations[[#This Row],[Material (choose from dropdown]],MaterialData[#All],7,FALSE),0)</f>
        <v>0</v>
      </c>
      <c r="H597" s="322">
        <f>Calculations[[#This Row],[Total Kg]]*Calculations[[#This Row],[Carbon Factor]]</f>
        <v>0</v>
      </c>
      <c r="I597" t="str">
        <f>IFERROR(VLOOKUP(Calculations[[#This Row],[Material (choose from dropdown]],MaterialData[#All],2,FALSE),"")</f>
        <v/>
      </c>
      <c r="J597" s="322">
        <f>IFERROR(((VLOOKUP(Calculations[[#This Row],[TransportSource]],TransportDistance[],2,FALSE)*'Stage assumptions'!$C$11)+VLOOKUP(Calculations[[#This Row],[TransportSource]],TransportDistance[],3,FALSE)*'Stage assumptions'!$C$12)*Calculations[[#This Row],[Total Kg]],0)</f>
        <v>0</v>
      </c>
      <c r="K597">
        <f>IFERROR(VLOOKUP(Calculations[[#This Row],[Material (choose from dropdown]], MaterialData[#All],3, FALSE),0)</f>
        <v>0</v>
      </c>
      <c r="L597" s="322">
        <f>IFERROR(VLOOKUP(Calculations[[#This Row],[A5type]],A5WastageRate[#All],2,FALSE)*Calculations[[#This Row],[A1-3]],0)</f>
        <v>0</v>
      </c>
      <c r="N597">
        <f>IFERROR(ROUNDUP(50/VLOOKUP(Calculations[[#This Row],[Scope Element]],B4referenceServiceLife[[Tier 2 element]:[Default Service Life]],2, FALSE)-1,0),0)</f>
        <v>0</v>
      </c>
      <c r="O597" s="322">
        <f>IFERROR((Calculations[[#This Row],[A1-3]]+Calculations[[#This Row],[A4]]+Calculations[[#This Row],[A5]]+Calculations[[#This Row],[C2 total]]+Calculations[[#This Row],[C3 total]]+Calculations[[#This Row],[C4 total]])*Calculations[[#This Row],[Replacements]],0)</f>
        <v>0</v>
      </c>
      <c r="S597" t="str">
        <f>IFERROR(VLOOKUP(Calculations[[#This Row],[Material (choose from dropdown]],MaterialData[#All],4,FALSE),"")</f>
        <v/>
      </c>
      <c r="T597" s="322" cm="1">
        <f t="array" ref="T597">IFERROR(VLOOKUP(Calculations[[#This Row],[Waste 1]],WasteScenario[#All],2,FALSE)*'Stage assumptions'!$C$225*WasteTransportMethod[Emissions Factor
kgCO2e/kg.km]*Calculations[[#This Row],[Total Kg]],0)</f>
        <v>0</v>
      </c>
      <c r="U597" s="322" cm="1">
        <f t="array" ref="U597">IFERROR(VLOOKUP(Calculations[[#This Row],[Waste 1]],WasteScenario[#All],3,FALSE)*'Stage assumptions'!$C$224*WasteTransportMethod[Emissions Factor
kgCO2e/kg.km]*Calculations[[#This Row],[Total Kg]],0)</f>
        <v>0</v>
      </c>
      <c r="V597" s="322" cm="1">
        <f t="array" ref="V597">IFERROR(VLOOKUP(Calculations[[#This Row],[Waste 1]],WasteScenario[#All],4,FALSE)*'Stage assumptions'!$C$223*WasteTransportMethod[Emissions Factor
kgCO2e/kg.km]*Calculations[[#This Row],[Total Kg]],0)</f>
        <v>0</v>
      </c>
      <c r="W597" s="322" cm="1">
        <f t="array" ref="W597">IFERROR(VLOOKUP(Calculations[[#This Row],[Waste 1]],WasteScenario[#All],5,FALSE)*'Stage assumptions'!$C$226*WasteTransportMethod[Emissions Factor
kgCO2e/kg.km]*Calculations[[#This Row],[Total Kg]],0)</f>
        <v>0</v>
      </c>
      <c r="X597" s="322">
        <f>SUM(Calculations[[#This Row],[C2 Recycle]:[C2 Reuse]])</f>
        <v>0</v>
      </c>
      <c r="Y597" t="str">
        <f>IFERROR(VLOOKUP(Calculations[[#This Row],[Material (choose from dropdown]],MaterialData[#All],5,FALSE),"")</f>
        <v/>
      </c>
      <c r="Z597" s="322">
        <f>IFERROR(((VLOOKUP(Calculations[[#This Row],[Waste type 2]],WasteDisposalEmissions[#All],2,FALSE))*Calculations[[#This Row],[Total Kg]])*VLOOKUP(Calculations[[#This Row],[Waste 1]],WasteScenario[#All],2,FALSE),0)</f>
        <v>0</v>
      </c>
      <c r="AA597" s="322">
        <f>IFERROR((VLOOKUP(Calculations[[#This Row],[Waste type 2]],WasteDisposalEmissions[#All],3,FALSE))*Calculations[[#This Row],[Total Kg]]*VLOOKUP(Calculations[[#This Row],[Waste 1]],WasteScenario[#All],3,FALSE),0)</f>
        <v>0</v>
      </c>
      <c r="AB597" s="322">
        <f>SUM(Calculations[[#This Row],[C3 recyc]:[C3 incin]])</f>
        <v>0</v>
      </c>
      <c r="AC597" s="334">
        <f>IFERROR((VLOOKUP(Calculations[[#This Row],[Waste type 2]],WasteLandfillEmissions[#All],2,FALSE))*Calculations[[#This Row],[Total Kg]]*VLOOKUP(Calculations[[#This Row],[Waste 1]],WasteScenario[#All],4,FALSE),0)</f>
        <v>0</v>
      </c>
      <c r="AD597" s="322">
        <f>IFERROR((VLOOKUP(Calculations[[#This Row],[Waste type 2]],WasteLandfillEmissions[#All],3,FALSE))*Calculations[[#This Row],[Total Kg]]*VLOOKUP(Calculations[[#This Row],[Waste 1]],WasteScenario[#All],4,FALSE),0)</f>
        <v>0</v>
      </c>
      <c r="AE597" s="322">
        <f>SUM(Calculations[[#This Row],[C4 landfill]:[C4 re-use]])</f>
        <v>0</v>
      </c>
      <c r="AF597" s="322">
        <f>IFERROR(VLOOKUP(Calculations[[#This Row],[Material (choose from dropdown]],MaterialData[#All],8,FALSE),0)</f>
        <v>0</v>
      </c>
      <c r="AG597" s="322">
        <f>IFERROR(Calculations[[#This Row],[Total Kg]]*Calculations[[#This Row],[Seq factor]],0)</f>
        <v>0</v>
      </c>
      <c r="AI597" s="322">
        <f>Calculations[[#This Row],[A1-3]]+Calculations[[#This Row],[A4]]+Calculations[[#This Row],[A5]]+Calculations[[#This Row],[B4]]+Calculations[[#This Row],[C2 total]]+Calculations[[#This Row],[C3 total]]+Calculations[[#This Row],[C4 total]]</f>
        <v>0</v>
      </c>
      <c r="AJ597" s="2">
        <f>IFERROR(VLOOKUP(Calculations[[#This Row],[Material (choose from dropdown]],MaterialData[[#Headers],[#Data]],9,FALSE),0)</f>
        <v>0</v>
      </c>
      <c r="AK597" s="4">
        <f>IFERROR(VLOOKUP(Calculations[[#This Row],[Material (choose from dropdown]],MaterialData[[#Headers],[#Data]],10,FALSE),0)</f>
        <v>0</v>
      </c>
      <c r="AL597" s="322">
        <f>IFERROR(Calculations[[#This Row],[Data Quality Score]]*Calculations[[#This Row],[Total Kg]],0)</f>
        <v>0</v>
      </c>
    </row>
    <row r="598" spans="1:38" x14ac:dyDescent="0.3">
      <c r="A598" s="6">
        <f>IFERROR(MaterialsBoQ[[#This Row],[Scope Element]],0)</f>
        <v>0</v>
      </c>
      <c r="B598" t="str">
        <f>IFERROR(MaterialsBoQ[[#This Row],[Material ]],"")</f>
        <v/>
      </c>
      <c r="C598" t="str">
        <f>IFERROR(MaterialsBoQ[[#This Row],[Unit]],"")</f>
        <v/>
      </c>
      <c r="D598" s="322">
        <f>IFERROR(MaterialsBoQ[[#This Row],[Number]],0)</f>
        <v>0</v>
      </c>
      <c r="E598" s="322">
        <f>IFERROR(MaterialsBoQ[[#This Row],[Kg per unit]],0)</f>
        <v>0</v>
      </c>
      <c r="F598" s="322">
        <f>IFERROR(Calculations[[#This Row],[Number]]*Calculations[[#This Row],[Conversion factor]],0)</f>
        <v>0</v>
      </c>
      <c r="G598" s="322">
        <f>IFERROR(VLOOKUP(Calculations[[#This Row],[Material (choose from dropdown]],MaterialData[#All],7,FALSE),0)</f>
        <v>0</v>
      </c>
      <c r="H598" s="322">
        <f>Calculations[[#This Row],[Total Kg]]*Calculations[[#This Row],[Carbon Factor]]</f>
        <v>0</v>
      </c>
      <c r="I598" t="str">
        <f>IFERROR(VLOOKUP(Calculations[[#This Row],[Material (choose from dropdown]],MaterialData[#All],2,FALSE),"")</f>
        <v/>
      </c>
      <c r="J598" s="322">
        <f>IFERROR(((VLOOKUP(Calculations[[#This Row],[TransportSource]],TransportDistance[],2,FALSE)*'Stage assumptions'!$C$11)+VLOOKUP(Calculations[[#This Row],[TransportSource]],TransportDistance[],3,FALSE)*'Stage assumptions'!$C$12)*Calculations[[#This Row],[Total Kg]],0)</f>
        <v>0</v>
      </c>
      <c r="K598">
        <f>IFERROR(VLOOKUP(Calculations[[#This Row],[Material (choose from dropdown]], MaterialData[#All],3, FALSE),0)</f>
        <v>0</v>
      </c>
      <c r="L598" s="322">
        <f>IFERROR(VLOOKUP(Calculations[[#This Row],[A5type]],A5WastageRate[#All],2,FALSE)*Calculations[[#This Row],[A1-3]],0)</f>
        <v>0</v>
      </c>
      <c r="N598">
        <f>IFERROR(ROUNDUP(50/VLOOKUP(Calculations[[#This Row],[Scope Element]],B4referenceServiceLife[[Tier 2 element]:[Default Service Life]],2, FALSE)-1,0),0)</f>
        <v>0</v>
      </c>
      <c r="O598" s="322">
        <f>IFERROR((Calculations[[#This Row],[A1-3]]+Calculations[[#This Row],[A4]]+Calculations[[#This Row],[A5]]+Calculations[[#This Row],[C2 total]]+Calculations[[#This Row],[C3 total]]+Calculations[[#This Row],[C4 total]])*Calculations[[#This Row],[Replacements]],0)</f>
        <v>0</v>
      </c>
      <c r="S598" t="str">
        <f>IFERROR(VLOOKUP(Calculations[[#This Row],[Material (choose from dropdown]],MaterialData[#All],4,FALSE),"")</f>
        <v/>
      </c>
      <c r="T598" s="322" cm="1">
        <f t="array" ref="T598">IFERROR(VLOOKUP(Calculations[[#This Row],[Waste 1]],WasteScenario[#All],2,FALSE)*'Stage assumptions'!$C$225*WasteTransportMethod[Emissions Factor
kgCO2e/kg.km]*Calculations[[#This Row],[Total Kg]],0)</f>
        <v>0</v>
      </c>
      <c r="U598" s="322" cm="1">
        <f t="array" ref="U598">IFERROR(VLOOKUP(Calculations[[#This Row],[Waste 1]],WasteScenario[#All],3,FALSE)*'Stage assumptions'!$C$224*WasteTransportMethod[Emissions Factor
kgCO2e/kg.km]*Calculations[[#This Row],[Total Kg]],0)</f>
        <v>0</v>
      </c>
      <c r="V598" s="322" cm="1">
        <f t="array" ref="V598">IFERROR(VLOOKUP(Calculations[[#This Row],[Waste 1]],WasteScenario[#All],4,FALSE)*'Stage assumptions'!$C$223*WasteTransportMethod[Emissions Factor
kgCO2e/kg.km]*Calculations[[#This Row],[Total Kg]],0)</f>
        <v>0</v>
      </c>
      <c r="W598" s="322" cm="1">
        <f t="array" ref="W598">IFERROR(VLOOKUP(Calculations[[#This Row],[Waste 1]],WasteScenario[#All],5,FALSE)*'Stage assumptions'!$C$226*WasteTransportMethod[Emissions Factor
kgCO2e/kg.km]*Calculations[[#This Row],[Total Kg]],0)</f>
        <v>0</v>
      </c>
      <c r="X598" s="322">
        <f>SUM(Calculations[[#This Row],[C2 Recycle]:[C2 Reuse]])</f>
        <v>0</v>
      </c>
      <c r="Y598" t="str">
        <f>IFERROR(VLOOKUP(Calculations[[#This Row],[Material (choose from dropdown]],MaterialData[#All],5,FALSE),"")</f>
        <v/>
      </c>
      <c r="Z598" s="322">
        <f>IFERROR(((VLOOKUP(Calculations[[#This Row],[Waste type 2]],WasteDisposalEmissions[#All],2,FALSE))*Calculations[[#This Row],[Total Kg]])*VLOOKUP(Calculations[[#This Row],[Waste 1]],WasteScenario[#All],2,FALSE),0)</f>
        <v>0</v>
      </c>
      <c r="AA598" s="322">
        <f>IFERROR((VLOOKUP(Calculations[[#This Row],[Waste type 2]],WasteDisposalEmissions[#All],3,FALSE))*Calculations[[#This Row],[Total Kg]]*VLOOKUP(Calculations[[#This Row],[Waste 1]],WasteScenario[#All],3,FALSE),0)</f>
        <v>0</v>
      </c>
      <c r="AB598" s="322">
        <f>SUM(Calculations[[#This Row],[C3 recyc]:[C3 incin]])</f>
        <v>0</v>
      </c>
      <c r="AC598" s="334">
        <f>IFERROR((VLOOKUP(Calculations[[#This Row],[Waste type 2]],WasteLandfillEmissions[#All],2,FALSE))*Calculations[[#This Row],[Total Kg]]*VLOOKUP(Calculations[[#This Row],[Waste 1]],WasteScenario[#All],4,FALSE),0)</f>
        <v>0</v>
      </c>
      <c r="AD598" s="322">
        <f>IFERROR((VLOOKUP(Calculations[[#This Row],[Waste type 2]],WasteLandfillEmissions[#All],3,FALSE))*Calculations[[#This Row],[Total Kg]]*VLOOKUP(Calculations[[#This Row],[Waste 1]],WasteScenario[#All],4,FALSE),0)</f>
        <v>0</v>
      </c>
      <c r="AE598" s="322">
        <f>SUM(Calculations[[#This Row],[C4 landfill]:[C4 re-use]])</f>
        <v>0</v>
      </c>
      <c r="AF598" s="322">
        <f>IFERROR(VLOOKUP(Calculations[[#This Row],[Material (choose from dropdown]],MaterialData[#All],8,FALSE),0)</f>
        <v>0</v>
      </c>
      <c r="AG598" s="322">
        <f>IFERROR(Calculations[[#This Row],[Total Kg]]*Calculations[[#This Row],[Seq factor]],0)</f>
        <v>0</v>
      </c>
      <c r="AI598" s="322">
        <f>Calculations[[#This Row],[A1-3]]+Calculations[[#This Row],[A4]]+Calculations[[#This Row],[A5]]+Calculations[[#This Row],[B4]]+Calculations[[#This Row],[C2 total]]+Calculations[[#This Row],[C3 total]]+Calculations[[#This Row],[C4 total]]</f>
        <v>0</v>
      </c>
      <c r="AJ598" s="2">
        <f>IFERROR(VLOOKUP(Calculations[[#This Row],[Material (choose from dropdown]],MaterialData[[#Headers],[#Data]],9,FALSE),0)</f>
        <v>0</v>
      </c>
      <c r="AK598" s="4">
        <f>IFERROR(VLOOKUP(Calculations[[#This Row],[Material (choose from dropdown]],MaterialData[[#Headers],[#Data]],10,FALSE),0)</f>
        <v>0</v>
      </c>
      <c r="AL598" s="322">
        <f>IFERROR(Calculations[[#This Row],[Data Quality Score]]*Calculations[[#This Row],[Total Kg]],0)</f>
        <v>0</v>
      </c>
    </row>
    <row r="599" spans="1:38" x14ac:dyDescent="0.3">
      <c r="A599" s="6">
        <f>IFERROR(MaterialsBoQ[[#This Row],[Scope Element]],0)</f>
        <v>0</v>
      </c>
      <c r="B599" t="str">
        <f>IFERROR(MaterialsBoQ[[#This Row],[Material ]],"")</f>
        <v/>
      </c>
      <c r="C599" t="str">
        <f>IFERROR(MaterialsBoQ[[#This Row],[Unit]],"")</f>
        <v/>
      </c>
      <c r="D599" s="322">
        <f>IFERROR(MaterialsBoQ[[#This Row],[Number]],0)</f>
        <v>0</v>
      </c>
      <c r="E599" s="322">
        <f>IFERROR(MaterialsBoQ[[#This Row],[Kg per unit]],0)</f>
        <v>0</v>
      </c>
      <c r="F599" s="322">
        <f>IFERROR(Calculations[[#This Row],[Number]]*Calculations[[#This Row],[Conversion factor]],0)</f>
        <v>0</v>
      </c>
      <c r="G599" s="322">
        <f>IFERROR(VLOOKUP(Calculations[[#This Row],[Material (choose from dropdown]],MaterialData[#All],7,FALSE),0)</f>
        <v>0</v>
      </c>
      <c r="H599" s="322">
        <f>Calculations[[#This Row],[Total Kg]]*Calculations[[#This Row],[Carbon Factor]]</f>
        <v>0</v>
      </c>
      <c r="I599" t="str">
        <f>IFERROR(VLOOKUP(Calculations[[#This Row],[Material (choose from dropdown]],MaterialData[#All],2,FALSE),"")</f>
        <v/>
      </c>
      <c r="J599" s="322">
        <f>IFERROR(((VLOOKUP(Calculations[[#This Row],[TransportSource]],TransportDistance[],2,FALSE)*'Stage assumptions'!$C$11)+VLOOKUP(Calculations[[#This Row],[TransportSource]],TransportDistance[],3,FALSE)*'Stage assumptions'!$C$12)*Calculations[[#This Row],[Total Kg]],0)</f>
        <v>0</v>
      </c>
      <c r="K599">
        <f>IFERROR(VLOOKUP(Calculations[[#This Row],[Material (choose from dropdown]], MaterialData[#All],3, FALSE),0)</f>
        <v>0</v>
      </c>
      <c r="L599" s="322">
        <f>IFERROR(VLOOKUP(Calculations[[#This Row],[A5type]],A5WastageRate[#All],2,FALSE)*Calculations[[#This Row],[A1-3]],0)</f>
        <v>0</v>
      </c>
      <c r="N599">
        <f>IFERROR(ROUNDUP(50/VLOOKUP(Calculations[[#This Row],[Scope Element]],B4referenceServiceLife[[Tier 2 element]:[Default Service Life]],2, FALSE)-1,0),0)</f>
        <v>0</v>
      </c>
      <c r="O599" s="322">
        <f>IFERROR((Calculations[[#This Row],[A1-3]]+Calculations[[#This Row],[A4]]+Calculations[[#This Row],[A5]]+Calculations[[#This Row],[C2 total]]+Calculations[[#This Row],[C3 total]]+Calculations[[#This Row],[C4 total]])*Calculations[[#This Row],[Replacements]],0)</f>
        <v>0</v>
      </c>
      <c r="S599" t="str">
        <f>IFERROR(VLOOKUP(Calculations[[#This Row],[Material (choose from dropdown]],MaterialData[#All],4,FALSE),"")</f>
        <v/>
      </c>
      <c r="T599" s="322" cm="1">
        <f t="array" ref="T599">IFERROR(VLOOKUP(Calculations[[#This Row],[Waste 1]],WasteScenario[#All],2,FALSE)*'Stage assumptions'!$C$225*WasteTransportMethod[Emissions Factor
kgCO2e/kg.km]*Calculations[[#This Row],[Total Kg]],0)</f>
        <v>0</v>
      </c>
      <c r="U599" s="322" cm="1">
        <f t="array" ref="U599">IFERROR(VLOOKUP(Calculations[[#This Row],[Waste 1]],WasteScenario[#All],3,FALSE)*'Stage assumptions'!$C$224*WasteTransportMethod[Emissions Factor
kgCO2e/kg.km]*Calculations[[#This Row],[Total Kg]],0)</f>
        <v>0</v>
      </c>
      <c r="V599" s="322" cm="1">
        <f t="array" ref="V599">IFERROR(VLOOKUP(Calculations[[#This Row],[Waste 1]],WasteScenario[#All],4,FALSE)*'Stage assumptions'!$C$223*WasteTransportMethod[Emissions Factor
kgCO2e/kg.km]*Calculations[[#This Row],[Total Kg]],0)</f>
        <v>0</v>
      </c>
      <c r="W599" s="322" cm="1">
        <f t="array" ref="W599">IFERROR(VLOOKUP(Calculations[[#This Row],[Waste 1]],WasteScenario[#All],5,FALSE)*'Stage assumptions'!$C$226*WasteTransportMethod[Emissions Factor
kgCO2e/kg.km]*Calculations[[#This Row],[Total Kg]],0)</f>
        <v>0</v>
      </c>
      <c r="X599" s="322">
        <f>SUM(Calculations[[#This Row],[C2 Recycle]:[C2 Reuse]])</f>
        <v>0</v>
      </c>
      <c r="Y599" t="str">
        <f>IFERROR(VLOOKUP(Calculations[[#This Row],[Material (choose from dropdown]],MaterialData[#All],5,FALSE),"")</f>
        <v/>
      </c>
      <c r="Z599" s="322">
        <f>IFERROR(((VLOOKUP(Calculations[[#This Row],[Waste type 2]],WasteDisposalEmissions[#All],2,FALSE))*Calculations[[#This Row],[Total Kg]])*VLOOKUP(Calculations[[#This Row],[Waste 1]],WasteScenario[#All],2,FALSE),0)</f>
        <v>0</v>
      </c>
      <c r="AA599" s="322">
        <f>IFERROR((VLOOKUP(Calculations[[#This Row],[Waste type 2]],WasteDisposalEmissions[#All],3,FALSE))*Calculations[[#This Row],[Total Kg]]*VLOOKUP(Calculations[[#This Row],[Waste 1]],WasteScenario[#All],3,FALSE),0)</f>
        <v>0</v>
      </c>
      <c r="AB599" s="322">
        <f>SUM(Calculations[[#This Row],[C3 recyc]:[C3 incin]])</f>
        <v>0</v>
      </c>
      <c r="AC599" s="334">
        <f>IFERROR((VLOOKUP(Calculations[[#This Row],[Waste type 2]],WasteLandfillEmissions[#All],2,FALSE))*Calculations[[#This Row],[Total Kg]]*VLOOKUP(Calculations[[#This Row],[Waste 1]],WasteScenario[#All],4,FALSE),0)</f>
        <v>0</v>
      </c>
      <c r="AD599" s="322">
        <f>IFERROR((VLOOKUP(Calculations[[#This Row],[Waste type 2]],WasteLandfillEmissions[#All],3,FALSE))*Calculations[[#This Row],[Total Kg]]*VLOOKUP(Calculations[[#This Row],[Waste 1]],WasteScenario[#All],4,FALSE),0)</f>
        <v>0</v>
      </c>
      <c r="AE599" s="322">
        <f>SUM(Calculations[[#This Row],[C4 landfill]:[C4 re-use]])</f>
        <v>0</v>
      </c>
      <c r="AF599" s="322">
        <f>IFERROR(VLOOKUP(Calculations[[#This Row],[Material (choose from dropdown]],MaterialData[#All],8,FALSE),0)</f>
        <v>0</v>
      </c>
      <c r="AG599" s="322">
        <f>IFERROR(Calculations[[#This Row],[Total Kg]]*Calculations[[#This Row],[Seq factor]],0)</f>
        <v>0</v>
      </c>
      <c r="AI599" s="322">
        <f>Calculations[[#This Row],[A1-3]]+Calculations[[#This Row],[A4]]+Calculations[[#This Row],[A5]]+Calculations[[#This Row],[B4]]+Calculations[[#This Row],[C2 total]]+Calculations[[#This Row],[C3 total]]+Calculations[[#This Row],[C4 total]]</f>
        <v>0</v>
      </c>
      <c r="AJ599" s="2">
        <f>IFERROR(VLOOKUP(Calculations[[#This Row],[Material (choose from dropdown]],MaterialData[[#Headers],[#Data]],9,FALSE),0)</f>
        <v>0</v>
      </c>
      <c r="AK599" s="4">
        <f>IFERROR(VLOOKUP(Calculations[[#This Row],[Material (choose from dropdown]],MaterialData[[#Headers],[#Data]],10,FALSE),0)</f>
        <v>0</v>
      </c>
      <c r="AL599" s="322">
        <f>IFERROR(Calculations[[#This Row],[Data Quality Score]]*Calculations[[#This Row],[Total Kg]],0)</f>
        <v>0</v>
      </c>
    </row>
    <row r="600" spans="1:38" x14ac:dyDescent="0.3">
      <c r="A600" s="6">
        <f>IFERROR(MaterialsBoQ[[#This Row],[Scope Element]],0)</f>
        <v>0</v>
      </c>
      <c r="B600" t="str">
        <f>IFERROR(MaterialsBoQ[[#This Row],[Material ]],"")</f>
        <v/>
      </c>
      <c r="C600" t="str">
        <f>IFERROR(MaterialsBoQ[[#This Row],[Unit]],"")</f>
        <v/>
      </c>
      <c r="D600" s="322">
        <f>IFERROR(MaterialsBoQ[[#This Row],[Number]],0)</f>
        <v>0</v>
      </c>
      <c r="E600" s="322">
        <f>IFERROR(MaterialsBoQ[[#This Row],[Kg per unit]],0)</f>
        <v>0</v>
      </c>
      <c r="F600" s="322">
        <f>IFERROR(Calculations[[#This Row],[Number]]*Calculations[[#This Row],[Conversion factor]],0)</f>
        <v>0</v>
      </c>
      <c r="G600" s="322">
        <f>IFERROR(VLOOKUP(Calculations[[#This Row],[Material (choose from dropdown]],MaterialData[#All],7,FALSE),0)</f>
        <v>0</v>
      </c>
      <c r="H600" s="322">
        <f>Calculations[[#This Row],[Total Kg]]*Calculations[[#This Row],[Carbon Factor]]</f>
        <v>0</v>
      </c>
      <c r="I600" t="str">
        <f>IFERROR(VLOOKUP(Calculations[[#This Row],[Material (choose from dropdown]],MaterialData[#All],2,FALSE),"")</f>
        <v/>
      </c>
      <c r="J600" s="322">
        <f>IFERROR(((VLOOKUP(Calculations[[#This Row],[TransportSource]],TransportDistance[],2,FALSE)*'Stage assumptions'!$C$11)+VLOOKUP(Calculations[[#This Row],[TransportSource]],TransportDistance[],3,FALSE)*'Stage assumptions'!$C$12)*Calculations[[#This Row],[Total Kg]],0)</f>
        <v>0</v>
      </c>
      <c r="K600">
        <f>IFERROR(VLOOKUP(Calculations[[#This Row],[Material (choose from dropdown]], MaterialData[#All],3, FALSE),0)</f>
        <v>0</v>
      </c>
      <c r="L600" s="322">
        <f>IFERROR(VLOOKUP(Calculations[[#This Row],[A5type]],A5WastageRate[#All],2,FALSE)*Calculations[[#This Row],[A1-3]],0)</f>
        <v>0</v>
      </c>
      <c r="N600">
        <f>IFERROR(ROUNDUP(50/VLOOKUP(Calculations[[#This Row],[Scope Element]],B4referenceServiceLife[[Tier 2 element]:[Default Service Life]],2, FALSE)-1,0),0)</f>
        <v>0</v>
      </c>
      <c r="O600" s="322">
        <f>IFERROR((Calculations[[#This Row],[A1-3]]+Calculations[[#This Row],[A4]]+Calculations[[#This Row],[A5]]+Calculations[[#This Row],[C2 total]]+Calculations[[#This Row],[C3 total]]+Calculations[[#This Row],[C4 total]])*Calculations[[#This Row],[Replacements]],0)</f>
        <v>0</v>
      </c>
      <c r="S600" t="str">
        <f>IFERROR(VLOOKUP(Calculations[[#This Row],[Material (choose from dropdown]],MaterialData[#All],4,FALSE),"")</f>
        <v/>
      </c>
      <c r="T600" s="322" cm="1">
        <f t="array" ref="T600">IFERROR(VLOOKUP(Calculations[[#This Row],[Waste 1]],WasteScenario[#All],2,FALSE)*'Stage assumptions'!$C$225*WasteTransportMethod[Emissions Factor
kgCO2e/kg.km]*Calculations[[#This Row],[Total Kg]],0)</f>
        <v>0</v>
      </c>
      <c r="U600" s="322" cm="1">
        <f t="array" ref="U600">IFERROR(VLOOKUP(Calculations[[#This Row],[Waste 1]],WasteScenario[#All],3,FALSE)*'Stage assumptions'!$C$224*WasteTransportMethod[Emissions Factor
kgCO2e/kg.km]*Calculations[[#This Row],[Total Kg]],0)</f>
        <v>0</v>
      </c>
      <c r="V600" s="322" cm="1">
        <f t="array" ref="V600">IFERROR(VLOOKUP(Calculations[[#This Row],[Waste 1]],WasteScenario[#All],4,FALSE)*'Stage assumptions'!$C$223*WasteTransportMethod[Emissions Factor
kgCO2e/kg.km]*Calculations[[#This Row],[Total Kg]],0)</f>
        <v>0</v>
      </c>
      <c r="W600" s="322" cm="1">
        <f t="array" ref="W600">IFERROR(VLOOKUP(Calculations[[#This Row],[Waste 1]],WasteScenario[#All],5,FALSE)*'Stage assumptions'!$C$226*WasteTransportMethod[Emissions Factor
kgCO2e/kg.km]*Calculations[[#This Row],[Total Kg]],0)</f>
        <v>0</v>
      </c>
      <c r="X600" s="322">
        <f>SUM(Calculations[[#This Row],[C2 Recycle]:[C2 Reuse]])</f>
        <v>0</v>
      </c>
      <c r="Y600" t="str">
        <f>IFERROR(VLOOKUP(Calculations[[#This Row],[Material (choose from dropdown]],MaterialData[#All],5,FALSE),"")</f>
        <v/>
      </c>
      <c r="Z600" s="322">
        <f>IFERROR(((VLOOKUP(Calculations[[#This Row],[Waste type 2]],WasteDisposalEmissions[#All],2,FALSE))*Calculations[[#This Row],[Total Kg]])*VLOOKUP(Calculations[[#This Row],[Waste 1]],WasteScenario[#All],2,FALSE),0)</f>
        <v>0</v>
      </c>
      <c r="AA600" s="322">
        <f>IFERROR((VLOOKUP(Calculations[[#This Row],[Waste type 2]],WasteDisposalEmissions[#All],3,FALSE))*Calculations[[#This Row],[Total Kg]]*VLOOKUP(Calculations[[#This Row],[Waste 1]],WasteScenario[#All],3,FALSE),0)</f>
        <v>0</v>
      </c>
      <c r="AB600" s="322">
        <f>SUM(Calculations[[#This Row],[C3 recyc]:[C3 incin]])</f>
        <v>0</v>
      </c>
      <c r="AC600" s="334">
        <f>IFERROR((VLOOKUP(Calculations[[#This Row],[Waste type 2]],WasteLandfillEmissions[#All],2,FALSE))*Calculations[[#This Row],[Total Kg]]*VLOOKUP(Calculations[[#This Row],[Waste 1]],WasteScenario[#All],4,FALSE),0)</f>
        <v>0</v>
      </c>
      <c r="AD600" s="322">
        <f>IFERROR((VLOOKUP(Calculations[[#This Row],[Waste type 2]],WasteLandfillEmissions[#All],3,FALSE))*Calculations[[#This Row],[Total Kg]]*VLOOKUP(Calculations[[#This Row],[Waste 1]],WasteScenario[#All],4,FALSE),0)</f>
        <v>0</v>
      </c>
      <c r="AE600" s="322">
        <f>SUM(Calculations[[#This Row],[C4 landfill]:[C4 re-use]])</f>
        <v>0</v>
      </c>
      <c r="AF600" s="322">
        <f>IFERROR(VLOOKUP(Calculations[[#This Row],[Material (choose from dropdown]],MaterialData[#All],8,FALSE),0)</f>
        <v>0</v>
      </c>
      <c r="AG600" s="322">
        <f>IFERROR(Calculations[[#This Row],[Total Kg]]*Calculations[[#This Row],[Seq factor]],0)</f>
        <v>0</v>
      </c>
      <c r="AI600" s="322">
        <f>Calculations[[#This Row],[A1-3]]+Calculations[[#This Row],[A4]]+Calculations[[#This Row],[A5]]+Calculations[[#This Row],[B4]]+Calculations[[#This Row],[C2 total]]+Calculations[[#This Row],[C3 total]]+Calculations[[#This Row],[C4 total]]</f>
        <v>0</v>
      </c>
      <c r="AJ600" s="2">
        <f>IFERROR(VLOOKUP(Calculations[[#This Row],[Material (choose from dropdown]],MaterialData[[#Headers],[#Data]],9,FALSE),0)</f>
        <v>0</v>
      </c>
      <c r="AK600" s="4">
        <f>IFERROR(VLOOKUP(Calculations[[#This Row],[Material (choose from dropdown]],MaterialData[[#Headers],[#Data]],10,FALSE),0)</f>
        <v>0</v>
      </c>
      <c r="AL600" s="322">
        <f>IFERROR(Calculations[[#This Row],[Data Quality Score]]*Calculations[[#This Row],[Total Kg]],0)</f>
        <v>0</v>
      </c>
    </row>
    <row r="601" spans="1:38" x14ac:dyDescent="0.3">
      <c r="A601" s="6">
        <f>IFERROR(MaterialsBoQ[[#This Row],[Scope Element]],0)</f>
        <v>0</v>
      </c>
      <c r="B601" t="str">
        <f>IFERROR(MaterialsBoQ[[#This Row],[Material ]],"")</f>
        <v/>
      </c>
      <c r="C601" t="str">
        <f>IFERROR(MaterialsBoQ[[#This Row],[Unit]],"")</f>
        <v/>
      </c>
      <c r="D601" s="322">
        <f>IFERROR(MaterialsBoQ[[#This Row],[Number]],0)</f>
        <v>0</v>
      </c>
      <c r="E601" s="322">
        <f>IFERROR(MaterialsBoQ[[#This Row],[Kg per unit]],0)</f>
        <v>0</v>
      </c>
      <c r="F601" s="322">
        <f>IFERROR(Calculations[[#This Row],[Number]]*Calculations[[#This Row],[Conversion factor]],0)</f>
        <v>0</v>
      </c>
      <c r="G601" s="322">
        <f>IFERROR(VLOOKUP(Calculations[[#This Row],[Material (choose from dropdown]],MaterialData[#All],7,FALSE),0)</f>
        <v>0</v>
      </c>
      <c r="H601" s="322">
        <f>Calculations[[#This Row],[Total Kg]]*Calculations[[#This Row],[Carbon Factor]]</f>
        <v>0</v>
      </c>
      <c r="I601" t="str">
        <f>IFERROR(VLOOKUP(Calculations[[#This Row],[Material (choose from dropdown]],MaterialData[#All],2,FALSE),"")</f>
        <v/>
      </c>
      <c r="J601" s="322">
        <f>IFERROR(((VLOOKUP(Calculations[[#This Row],[TransportSource]],TransportDistance[],2,FALSE)*'Stage assumptions'!$C$11)+VLOOKUP(Calculations[[#This Row],[TransportSource]],TransportDistance[],3,FALSE)*'Stage assumptions'!$C$12)*Calculations[[#This Row],[Total Kg]],0)</f>
        <v>0</v>
      </c>
      <c r="K601">
        <f>IFERROR(VLOOKUP(Calculations[[#This Row],[Material (choose from dropdown]], MaterialData[#All],3, FALSE),0)</f>
        <v>0</v>
      </c>
      <c r="L601" s="322">
        <f>IFERROR(VLOOKUP(Calculations[[#This Row],[A5type]],A5WastageRate[#All],2,FALSE)*Calculations[[#This Row],[A1-3]],0)</f>
        <v>0</v>
      </c>
      <c r="N601">
        <f>IFERROR(ROUNDUP(50/VLOOKUP(Calculations[[#This Row],[Scope Element]],B4referenceServiceLife[[Tier 2 element]:[Default Service Life]],2, FALSE)-1,0),0)</f>
        <v>0</v>
      </c>
      <c r="O601" s="322">
        <f>IFERROR((Calculations[[#This Row],[A1-3]]+Calculations[[#This Row],[A4]]+Calculations[[#This Row],[A5]]+Calculations[[#This Row],[C2 total]]+Calculations[[#This Row],[C3 total]]+Calculations[[#This Row],[C4 total]])*Calculations[[#This Row],[Replacements]],0)</f>
        <v>0</v>
      </c>
      <c r="S601" t="str">
        <f>IFERROR(VLOOKUP(Calculations[[#This Row],[Material (choose from dropdown]],MaterialData[#All],4,FALSE),"")</f>
        <v/>
      </c>
      <c r="T601" s="322" cm="1">
        <f t="array" ref="T601">IFERROR(VLOOKUP(Calculations[[#This Row],[Waste 1]],WasteScenario[#All],2,FALSE)*'Stage assumptions'!$C$225*WasteTransportMethod[Emissions Factor
kgCO2e/kg.km]*Calculations[[#This Row],[Total Kg]],0)</f>
        <v>0</v>
      </c>
      <c r="U601" s="322" cm="1">
        <f t="array" ref="U601">IFERROR(VLOOKUP(Calculations[[#This Row],[Waste 1]],WasteScenario[#All],3,FALSE)*'Stage assumptions'!$C$224*WasteTransportMethod[Emissions Factor
kgCO2e/kg.km]*Calculations[[#This Row],[Total Kg]],0)</f>
        <v>0</v>
      </c>
      <c r="V601" s="322" cm="1">
        <f t="array" ref="V601">IFERROR(VLOOKUP(Calculations[[#This Row],[Waste 1]],WasteScenario[#All],4,FALSE)*'Stage assumptions'!$C$223*WasteTransportMethod[Emissions Factor
kgCO2e/kg.km]*Calculations[[#This Row],[Total Kg]],0)</f>
        <v>0</v>
      </c>
      <c r="W601" s="322" cm="1">
        <f t="array" ref="W601">IFERROR(VLOOKUP(Calculations[[#This Row],[Waste 1]],WasteScenario[#All],5,FALSE)*'Stage assumptions'!$C$226*WasteTransportMethod[Emissions Factor
kgCO2e/kg.km]*Calculations[[#This Row],[Total Kg]],0)</f>
        <v>0</v>
      </c>
      <c r="X601" s="322">
        <f>SUM(Calculations[[#This Row],[C2 Recycle]:[C2 Reuse]])</f>
        <v>0</v>
      </c>
      <c r="Y601" t="str">
        <f>IFERROR(VLOOKUP(Calculations[[#This Row],[Material (choose from dropdown]],MaterialData[#All],5,FALSE),"")</f>
        <v/>
      </c>
      <c r="Z601" s="322">
        <f>IFERROR(((VLOOKUP(Calculations[[#This Row],[Waste type 2]],WasteDisposalEmissions[#All],2,FALSE))*Calculations[[#This Row],[Total Kg]])*VLOOKUP(Calculations[[#This Row],[Waste 1]],WasteScenario[#All],2,FALSE),0)</f>
        <v>0</v>
      </c>
      <c r="AA601" s="322">
        <f>IFERROR((VLOOKUP(Calculations[[#This Row],[Waste type 2]],WasteDisposalEmissions[#All],3,FALSE))*Calculations[[#This Row],[Total Kg]]*VLOOKUP(Calculations[[#This Row],[Waste 1]],WasteScenario[#All],3,FALSE),0)</f>
        <v>0</v>
      </c>
      <c r="AB601" s="322">
        <f>SUM(Calculations[[#This Row],[C3 recyc]:[C3 incin]])</f>
        <v>0</v>
      </c>
      <c r="AC601" s="334">
        <f>IFERROR((VLOOKUP(Calculations[[#This Row],[Waste type 2]],WasteLandfillEmissions[#All],2,FALSE))*Calculations[[#This Row],[Total Kg]]*VLOOKUP(Calculations[[#This Row],[Waste 1]],WasteScenario[#All],4,FALSE),0)</f>
        <v>0</v>
      </c>
      <c r="AD601" s="322">
        <f>IFERROR((VLOOKUP(Calculations[[#This Row],[Waste type 2]],WasteLandfillEmissions[#All],3,FALSE))*Calculations[[#This Row],[Total Kg]]*VLOOKUP(Calculations[[#This Row],[Waste 1]],WasteScenario[#All],4,FALSE),0)</f>
        <v>0</v>
      </c>
      <c r="AE601" s="322">
        <f>SUM(Calculations[[#This Row],[C4 landfill]:[C4 re-use]])</f>
        <v>0</v>
      </c>
      <c r="AF601" s="322">
        <f>IFERROR(VLOOKUP(Calculations[[#This Row],[Material (choose from dropdown]],MaterialData[#All],8,FALSE),0)</f>
        <v>0</v>
      </c>
      <c r="AG601" s="322">
        <f>IFERROR(Calculations[[#This Row],[Total Kg]]*Calculations[[#This Row],[Seq factor]],0)</f>
        <v>0</v>
      </c>
      <c r="AI601" s="322">
        <f>Calculations[[#This Row],[A1-3]]+Calculations[[#This Row],[A4]]+Calculations[[#This Row],[A5]]+Calculations[[#This Row],[B4]]+Calculations[[#This Row],[C2 total]]+Calculations[[#This Row],[C3 total]]+Calculations[[#This Row],[C4 total]]</f>
        <v>0</v>
      </c>
      <c r="AJ601" s="2">
        <f>IFERROR(VLOOKUP(Calculations[[#This Row],[Material (choose from dropdown]],MaterialData[[#Headers],[#Data]],9,FALSE),0)</f>
        <v>0</v>
      </c>
      <c r="AK601" s="4">
        <f>IFERROR(VLOOKUP(Calculations[[#This Row],[Material (choose from dropdown]],MaterialData[[#Headers],[#Data]],10,FALSE),0)</f>
        <v>0</v>
      </c>
      <c r="AL601" s="322">
        <f>IFERROR(Calculations[[#This Row],[Data Quality Score]]*Calculations[[#This Row],[Total Kg]],0)</f>
        <v>0</v>
      </c>
    </row>
    <row r="602" spans="1:38" x14ac:dyDescent="0.3">
      <c r="A602" s="6">
        <f>IFERROR(MaterialsBoQ[[#This Row],[Scope Element]],0)</f>
        <v>0</v>
      </c>
      <c r="B602" t="str">
        <f>IFERROR(MaterialsBoQ[[#This Row],[Material ]],"")</f>
        <v/>
      </c>
      <c r="C602" t="str">
        <f>IFERROR(MaterialsBoQ[[#This Row],[Unit]],"")</f>
        <v/>
      </c>
      <c r="D602" s="322">
        <f>IFERROR(MaterialsBoQ[[#This Row],[Number]],0)</f>
        <v>0</v>
      </c>
      <c r="E602" s="322">
        <f>IFERROR(MaterialsBoQ[[#This Row],[Kg per unit]],0)</f>
        <v>0</v>
      </c>
      <c r="F602" s="322">
        <f>IFERROR(Calculations[[#This Row],[Number]]*Calculations[[#This Row],[Conversion factor]],0)</f>
        <v>0</v>
      </c>
      <c r="G602" s="322">
        <f>IFERROR(VLOOKUP(Calculations[[#This Row],[Material (choose from dropdown]],MaterialData[#All],7,FALSE),0)</f>
        <v>0</v>
      </c>
      <c r="H602" s="322">
        <f>Calculations[[#This Row],[Total Kg]]*Calculations[[#This Row],[Carbon Factor]]</f>
        <v>0</v>
      </c>
      <c r="I602" t="str">
        <f>IFERROR(VLOOKUP(Calculations[[#This Row],[Material (choose from dropdown]],MaterialData[#All],2,FALSE),"")</f>
        <v/>
      </c>
      <c r="J602" s="322">
        <f>IFERROR(((VLOOKUP(Calculations[[#This Row],[TransportSource]],TransportDistance[],2,FALSE)*'Stage assumptions'!$C$11)+VLOOKUP(Calculations[[#This Row],[TransportSource]],TransportDistance[],3,FALSE)*'Stage assumptions'!$C$12)*Calculations[[#This Row],[Total Kg]],0)</f>
        <v>0</v>
      </c>
      <c r="K602">
        <f>IFERROR(VLOOKUP(Calculations[[#This Row],[Material (choose from dropdown]], MaterialData[#All],3, FALSE),0)</f>
        <v>0</v>
      </c>
      <c r="L602" s="322">
        <f>IFERROR(VLOOKUP(Calculations[[#This Row],[A5type]],A5WastageRate[#All],2,FALSE)*Calculations[[#This Row],[A1-3]],0)</f>
        <v>0</v>
      </c>
      <c r="N602">
        <f>IFERROR(ROUNDUP(50/VLOOKUP(Calculations[[#This Row],[Scope Element]],B4referenceServiceLife[[Tier 2 element]:[Default Service Life]],2, FALSE)-1,0),0)</f>
        <v>0</v>
      </c>
      <c r="O602" s="322">
        <f>IFERROR((Calculations[[#This Row],[A1-3]]+Calculations[[#This Row],[A4]]+Calculations[[#This Row],[A5]]+Calculations[[#This Row],[C2 total]]+Calculations[[#This Row],[C3 total]]+Calculations[[#This Row],[C4 total]])*Calculations[[#This Row],[Replacements]],0)</f>
        <v>0</v>
      </c>
      <c r="S602" t="str">
        <f>IFERROR(VLOOKUP(Calculations[[#This Row],[Material (choose from dropdown]],MaterialData[#All],4,FALSE),"")</f>
        <v/>
      </c>
      <c r="T602" s="322" cm="1">
        <f t="array" ref="T602">IFERROR(VLOOKUP(Calculations[[#This Row],[Waste 1]],WasteScenario[#All],2,FALSE)*'Stage assumptions'!$C$225*WasteTransportMethod[Emissions Factor
kgCO2e/kg.km]*Calculations[[#This Row],[Total Kg]],0)</f>
        <v>0</v>
      </c>
      <c r="U602" s="322" cm="1">
        <f t="array" ref="U602">IFERROR(VLOOKUP(Calculations[[#This Row],[Waste 1]],WasteScenario[#All],3,FALSE)*'Stage assumptions'!$C$224*WasteTransportMethod[Emissions Factor
kgCO2e/kg.km]*Calculations[[#This Row],[Total Kg]],0)</f>
        <v>0</v>
      </c>
      <c r="V602" s="322" cm="1">
        <f t="array" ref="V602">IFERROR(VLOOKUP(Calculations[[#This Row],[Waste 1]],WasteScenario[#All],4,FALSE)*'Stage assumptions'!$C$223*WasteTransportMethod[Emissions Factor
kgCO2e/kg.km]*Calculations[[#This Row],[Total Kg]],0)</f>
        <v>0</v>
      </c>
      <c r="W602" s="322" cm="1">
        <f t="array" ref="W602">IFERROR(VLOOKUP(Calculations[[#This Row],[Waste 1]],WasteScenario[#All],5,FALSE)*'Stage assumptions'!$C$226*WasteTransportMethod[Emissions Factor
kgCO2e/kg.km]*Calculations[[#This Row],[Total Kg]],0)</f>
        <v>0</v>
      </c>
      <c r="X602" s="322">
        <f>SUM(Calculations[[#This Row],[C2 Recycle]:[C2 Reuse]])</f>
        <v>0</v>
      </c>
      <c r="Y602" t="str">
        <f>IFERROR(VLOOKUP(Calculations[[#This Row],[Material (choose from dropdown]],MaterialData[#All],5,FALSE),"")</f>
        <v/>
      </c>
      <c r="Z602" s="322">
        <f>IFERROR(((VLOOKUP(Calculations[[#This Row],[Waste type 2]],WasteDisposalEmissions[#All],2,FALSE))*Calculations[[#This Row],[Total Kg]])*VLOOKUP(Calculations[[#This Row],[Waste 1]],WasteScenario[#All],2,FALSE),0)</f>
        <v>0</v>
      </c>
      <c r="AA602" s="322">
        <f>IFERROR((VLOOKUP(Calculations[[#This Row],[Waste type 2]],WasteDisposalEmissions[#All],3,FALSE))*Calculations[[#This Row],[Total Kg]]*VLOOKUP(Calculations[[#This Row],[Waste 1]],WasteScenario[#All],3,FALSE),0)</f>
        <v>0</v>
      </c>
      <c r="AB602" s="322">
        <f>SUM(Calculations[[#This Row],[C3 recyc]:[C3 incin]])</f>
        <v>0</v>
      </c>
      <c r="AC602" s="334">
        <f>IFERROR((VLOOKUP(Calculations[[#This Row],[Waste type 2]],WasteLandfillEmissions[#All],2,FALSE))*Calculations[[#This Row],[Total Kg]]*VLOOKUP(Calculations[[#This Row],[Waste 1]],WasteScenario[#All],4,FALSE),0)</f>
        <v>0</v>
      </c>
      <c r="AD602" s="322">
        <f>IFERROR((VLOOKUP(Calculations[[#This Row],[Waste type 2]],WasteLandfillEmissions[#All],3,FALSE))*Calculations[[#This Row],[Total Kg]]*VLOOKUP(Calculations[[#This Row],[Waste 1]],WasteScenario[#All],4,FALSE),0)</f>
        <v>0</v>
      </c>
      <c r="AE602" s="322">
        <f>SUM(Calculations[[#This Row],[C4 landfill]:[C4 re-use]])</f>
        <v>0</v>
      </c>
      <c r="AF602" s="322">
        <f>IFERROR(VLOOKUP(Calculations[[#This Row],[Material (choose from dropdown]],MaterialData[#All],8,FALSE),0)</f>
        <v>0</v>
      </c>
      <c r="AG602" s="322">
        <f>IFERROR(Calculations[[#This Row],[Total Kg]]*Calculations[[#This Row],[Seq factor]],0)</f>
        <v>0</v>
      </c>
      <c r="AI602" s="322">
        <f>Calculations[[#This Row],[A1-3]]+Calculations[[#This Row],[A4]]+Calculations[[#This Row],[A5]]+Calculations[[#This Row],[B4]]+Calculations[[#This Row],[C2 total]]+Calculations[[#This Row],[C3 total]]+Calculations[[#This Row],[C4 total]]</f>
        <v>0</v>
      </c>
      <c r="AJ602" s="2">
        <f>IFERROR(VLOOKUP(Calculations[[#This Row],[Material (choose from dropdown]],MaterialData[[#Headers],[#Data]],9,FALSE),0)</f>
        <v>0</v>
      </c>
      <c r="AK602" s="4">
        <f>IFERROR(VLOOKUP(Calculations[[#This Row],[Material (choose from dropdown]],MaterialData[[#Headers],[#Data]],10,FALSE),0)</f>
        <v>0</v>
      </c>
      <c r="AL602" s="322">
        <f>IFERROR(Calculations[[#This Row],[Data Quality Score]]*Calculations[[#This Row],[Total Kg]],0)</f>
        <v>0</v>
      </c>
    </row>
    <row r="603" spans="1:38" x14ac:dyDescent="0.3">
      <c r="A603" s="6">
        <f>IFERROR(MaterialsBoQ[[#This Row],[Scope Element]],0)</f>
        <v>0</v>
      </c>
      <c r="B603" t="str">
        <f>IFERROR(MaterialsBoQ[[#This Row],[Material ]],"")</f>
        <v/>
      </c>
      <c r="C603" t="str">
        <f>IFERROR(MaterialsBoQ[[#This Row],[Unit]],"")</f>
        <v/>
      </c>
      <c r="D603" s="322">
        <f>IFERROR(MaterialsBoQ[[#This Row],[Number]],0)</f>
        <v>0</v>
      </c>
      <c r="E603" s="322">
        <f>IFERROR(MaterialsBoQ[[#This Row],[Kg per unit]],0)</f>
        <v>0</v>
      </c>
      <c r="F603" s="322">
        <f>IFERROR(Calculations[[#This Row],[Number]]*Calculations[[#This Row],[Conversion factor]],0)</f>
        <v>0</v>
      </c>
      <c r="G603" s="322">
        <f>IFERROR(VLOOKUP(Calculations[[#This Row],[Material (choose from dropdown]],MaterialData[#All],7,FALSE),0)</f>
        <v>0</v>
      </c>
      <c r="H603" s="322">
        <f>Calculations[[#This Row],[Total Kg]]*Calculations[[#This Row],[Carbon Factor]]</f>
        <v>0</v>
      </c>
      <c r="I603" t="str">
        <f>IFERROR(VLOOKUP(Calculations[[#This Row],[Material (choose from dropdown]],MaterialData[#All],2,FALSE),"")</f>
        <v/>
      </c>
      <c r="J603" s="322">
        <f>IFERROR(((VLOOKUP(Calculations[[#This Row],[TransportSource]],TransportDistance[],2,FALSE)*'Stage assumptions'!$C$11)+VLOOKUP(Calculations[[#This Row],[TransportSource]],TransportDistance[],3,FALSE)*'Stage assumptions'!$C$12)*Calculations[[#This Row],[Total Kg]],0)</f>
        <v>0</v>
      </c>
      <c r="K603">
        <f>IFERROR(VLOOKUP(Calculations[[#This Row],[Material (choose from dropdown]], MaterialData[#All],3, FALSE),0)</f>
        <v>0</v>
      </c>
      <c r="L603" s="322">
        <f>IFERROR(VLOOKUP(Calculations[[#This Row],[A5type]],A5WastageRate[#All],2,FALSE)*Calculations[[#This Row],[A1-3]],0)</f>
        <v>0</v>
      </c>
      <c r="N603">
        <f>IFERROR(ROUNDUP(50/VLOOKUP(Calculations[[#This Row],[Scope Element]],B4referenceServiceLife[[Tier 2 element]:[Default Service Life]],2, FALSE)-1,0),0)</f>
        <v>0</v>
      </c>
      <c r="O603" s="322">
        <f>IFERROR((Calculations[[#This Row],[A1-3]]+Calculations[[#This Row],[A4]]+Calculations[[#This Row],[A5]]+Calculations[[#This Row],[C2 total]]+Calculations[[#This Row],[C3 total]]+Calculations[[#This Row],[C4 total]])*Calculations[[#This Row],[Replacements]],0)</f>
        <v>0</v>
      </c>
      <c r="S603" t="str">
        <f>IFERROR(VLOOKUP(Calculations[[#This Row],[Material (choose from dropdown]],MaterialData[#All],4,FALSE),"")</f>
        <v/>
      </c>
      <c r="T603" s="322" cm="1">
        <f t="array" ref="T603">IFERROR(VLOOKUP(Calculations[[#This Row],[Waste 1]],WasteScenario[#All],2,FALSE)*'Stage assumptions'!$C$225*WasteTransportMethod[Emissions Factor
kgCO2e/kg.km]*Calculations[[#This Row],[Total Kg]],0)</f>
        <v>0</v>
      </c>
      <c r="U603" s="322" cm="1">
        <f t="array" ref="U603">IFERROR(VLOOKUP(Calculations[[#This Row],[Waste 1]],WasteScenario[#All],3,FALSE)*'Stage assumptions'!$C$224*WasteTransportMethod[Emissions Factor
kgCO2e/kg.km]*Calculations[[#This Row],[Total Kg]],0)</f>
        <v>0</v>
      </c>
      <c r="V603" s="322" cm="1">
        <f t="array" ref="V603">IFERROR(VLOOKUP(Calculations[[#This Row],[Waste 1]],WasteScenario[#All],4,FALSE)*'Stage assumptions'!$C$223*WasteTransportMethod[Emissions Factor
kgCO2e/kg.km]*Calculations[[#This Row],[Total Kg]],0)</f>
        <v>0</v>
      </c>
      <c r="W603" s="322" cm="1">
        <f t="array" ref="W603">IFERROR(VLOOKUP(Calculations[[#This Row],[Waste 1]],WasteScenario[#All],5,FALSE)*'Stage assumptions'!$C$226*WasteTransportMethod[Emissions Factor
kgCO2e/kg.km]*Calculations[[#This Row],[Total Kg]],0)</f>
        <v>0</v>
      </c>
      <c r="X603" s="322">
        <f>SUM(Calculations[[#This Row],[C2 Recycle]:[C2 Reuse]])</f>
        <v>0</v>
      </c>
      <c r="Y603" t="str">
        <f>IFERROR(VLOOKUP(Calculations[[#This Row],[Material (choose from dropdown]],MaterialData[#All],5,FALSE),"")</f>
        <v/>
      </c>
      <c r="Z603" s="322">
        <f>IFERROR(((VLOOKUP(Calculations[[#This Row],[Waste type 2]],WasteDisposalEmissions[#All],2,FALSE))*Calculations[[#This Row],[Total Kg]])*VLOOKUP(Calculations[[#This Row],[Waste 1]],WasteScenario[#All],2,FALSE),0)</f>
        <v>0</v>
      </c>
      <c r="AA603" s="322">
        <f>IFERROR((VLOOKUP(Calculations[[#This Row],[Waste type 2]],WasteDisposalEmissions[#All],3,FALSE))*Calculations[[#This Row],[Total Kg]]*VLOOKUP(Calculations[[#This Row],[Waste 1]],WasteScenario[#All],3,FALSE),0)</f>
        <v>0</v>
      </c>
      <c r="AB603" s="322">
        <f>SUM(Calculations[[#This Row],[C3 recyc]:[C3 incin]])</f>
        <v>0</v>
      </c>
      <c r="AC603" s="334">
        <f>IFERROR((VLOOKUP(Calculations[[#This Row],[Waste type 2]],WasteLandfillEmissions[#All],2,FALSE))*Calculations[[#This Row],[Total Kg]]*VLOOKUP(Calculations[[#This Row],[Waste 1]],WasteScenario[#All],4,FALSE),0)</f>
        <v>0</v>
      </c>
      <c r="AD603" s="322">
        <f>IFERROR((VLOOKUP(Calculations[[#This Row],[Waste type 2]],WasteLandfillEmissions[#All],3,FALSE))*Calculations[[#This Row],[Total Kg]]*VLOOKUP(Calculations[[#This Row],[Waste 1]],WasteScenario[#All],4,FALSE),0)</f>
        <v>0</v>
      </c>
      <c r="AE603" s="322">
        <f>SUM(Calculations[[#This Row],[C4 landfill]:[C4 re-use]])</f>
        <v>0</v>
      </c>
      <c r="AF603" s="322">
        <f>IFERROR(VLOOKUP(Calculations[[#This Row],[Material (choose from dropdown]],MaterialData[#All],8,FALSE),0)</f>
        <v>0</v>
      </c>
      <c r="AG603" s="322">
        <f>IFERROR(Calculations[[#This Row],[Total Kg]]*Calculations[[#This Row],[Seq factor]],0)</f>
        <v>0</v>
      </c>
      <c r="AI603" s="322">
        <f>Calculations[[#This Row],[A1-3]]+Calculations[[#This Row],[A4]]+Calculations[[#This Row],[A5]]+Calculations[[#This Row],[B4]]+Calculations[[#This Row],[C2 total]]+Calculations[[#This Row],[C3 total]]+Calculations[[#This Row],[C4 total]]</f>
        <v>0</v>
      </c>
      <c r="AJ603" s="2">
        <f>IFERROR(VLOOKUP(Calculations[[#This Row],[Material (choose from dropdown]],MaterialData[[#Headers],[#Data]],9,FALSE),0)</f>
        <v>0</v>
      </c>
      <c r="AK603" s="4">
        <f>IFERROR(VLOOKUP(Calculations[[#This Row],[Material (choose from dropdown]],MaterialData[[#Headers],[#Data]],10,FALSE),0)</f>
        <v>0</v>
      </c>
      <c r="AL603" s="322">
        <f>IFERROR(Calculations[[#This Row],[Data Quality Score]]*Calculations[[#This Row],[Total Kg]],0)</f>
        <v>0</v>
      </c>
    </row>
    <row r="604" spans="1:38" x14ac:dyDescent="0.3">
      <c r="A604" s="6">
        <f>IFERROR(MaterialsBoQ[[#This Row],[Scope Element]],0)</f>
        <v>0</v>
      </c>
      <c r="B604" t="str">
        <f>IFERROR(MaterialsBoQ[[#This Row],[Material ]],"")</f>
        <v/>
      </c>
      <c r="C604" t="str">
        <f>IFERROR(MaterialsBoQ[[#This Row],[Unit]],"")</f>
        <v/>
      </c>
      <c r="D604" s="322">
        <f>IFERROR(MaterialsBoQ[[#This Row],[Number]],0)</f>
        <v>0</v>
      </c>
      <c r="E604" s="322">
        <f>IFERROR(MaterialsBoQ[[#This Row],[Kg per unit]],0)</f>
        <v>0</v>
      </c>
      <c r="F604" s="322">
        <f>IFERROR(Calculations[[#This Row],[Number]]*Calculations[[#This Row],[Conversion factor]],0)</f>
        <v>0</v>
      </c>
      <c r="G604" s="322">
        <f>IFERROR(VLOOKUP(Calculations[[#This Row],[Material (choose from dropdown]],MaterialData[#All],7,FALSE),0)</f>
        <v>0</v>
      </c>
      <c r="H604" s="322">
        <f>Calculations[[#This Row],[Total Kg]]*Calculations[[#This Row],[Carbon Factor]]</f>
        <v>0</v>
      </c>
      <c r="I604" t="str">
        <f>IFERROR(VLOOKUP(Calculations[[#This Row],[Material (choose from dropdown]],MaterialData[#All],2,FALSE),"")</f>
        <v/>
      </c>
      <c r="J604" s="322">
        <f>IFERROR(((VLOOKUP(Calculations[[#This Row],[TransportSource]],TransportDistance[],2,FALSE)*'Stage assumptions'!$C$11)+VLOOKUP(Calculations[[#This Row],[TransportSource]],TransportDistance[],3,FALSE)*'Stage assumptions'!$C$12)*Calculations[[#This Row],[Total Kg]],0)</f>
        <v>0</v>
      </c>
      <c r="K604">
        <f>IFERROR(VLOOKUP(Calculations[[#This Row],[Material (choose from dropdown]], MaterialData[#All],3, FALSE),0)</f>
        <v>0</v>
      </c>
      <c r="L604" s="322">
        <f>IFERROR(VLOOKUP(Calculations[[#This Row],[A5type]],A5WastageRate[#All],2,FALSE)*Calculations[[#This Row],[A1-3]],0)</f>
        <v>0</v>
      </c>
      <c r="N604">
        <f>IFERROR(ROUNDUP(50/VLOOKUP(Calculations[[#This Row],[Scope Element]],B4referenceServiceLife[[Tier 2 element]:[Default Service Life]],2, FALSE)-1,0),0)</f>
        <v>0</v>
      </c>
      <c r="O604" s="322">
        <f>IFERROR((Calculations[[#This Row],[A1-3]]+Calculations[[#This Row],[A4]]+Calculations[[#This Row],[A5]]+Calculations[[#This Row],[C2 total]]+Calculations[[#This Row],[C3 total]]+Calculations[[#This Row],[C4 total]])*Calculations[[#This Row],[Replacements]],0)</f>
        <v>0</v>
      </c>
      <c r="S604" t="str">
        <f>IFERROR(VLOOKUP(Calculations[[#This Row],[Material (choose from dropdown]],MaterialData[#All],4,FALSE),"")</f>
        <v/>
      </c>
      <c r="T604" s="322" cm="1">
        <f t="array" ref="T604">IFERROR(VLOOKUP(Calculations[[#This Row],[Waste 1]],WasteScenario[#All],2,FALSE)*'Stage assumptions'!$C$225*WasteTransportMethod[Emissions Factor
kgCO2e/kg.km]*Calculations[[#This Row],[Total Kg]],0)</f>
        <v>0</v>
      </c>
      <c r="U604" s="322" cm="1">
        <f t="array" ref="U604">IFERROR(VLOOKUP(Calculations[[#This Row],[Waste 1]],WasteScenario[#All],3,FALSE)*'Stage assumptions'!$C$224*WasteTransportMethod[Emissions Factor
kgCO2e/kg.km]*Calculations[[#This Row],[Total Kg]],0)</f>
        <v>0</v>
      </c>
      <c r="V604" s="322" cm="1">
        <f t="array" ref="V604">IFERROR(VLOOKUP(Calculations[[#This Row],[Waste 1]],WasteScenario[#All],4,FALSE)*'Stage assumptions'!$C$223*WasteTransportMethod[Emissions Factor
kgCO2e/kg.km]*Calculations[[#This Row],[Total Kg]],0)</f>
        <v>0</v>
      </c>
      <c r="W604" s="322" cm="1">
        <f t="array" ref="W604">IFERROR(VLOOKUP(Calculations[[#This Row],[Waste 1]],WasteScenario[#All],5,FALSE)*'Stage assumptions'!$C$226*WasteTransportMethod[Emissions Factor
kgCO2e/kg.km]*Calculations[[#This Row],[Total Kg]],0)</f>
        <v>0</v>
      </c>
      <c r="X604" s="322">
        <f>SUM(Calculations[[#This Row],[C2 Recycle]:[C2 Reuse]])</f>
        <v>0</v>
      </c>
      <c r="Y604" t="str">
        <f>IFERROR(VLOOKUP(Calculations[[#This Row],[Material (choose from dropdown]],MaterialData[#All],5,FALSE),"")</f>
        <v/>
      </c>
      <c r="Z604" s="322">
        <f>IFERROR(((VLOOKUP(Calculations[[#This Row],[Waste type 2]],WasteDisposalEmissions[#All],2,FALSE))*Calculations[[#This Row],[Total Kg]])*VLOOKUP(Calculations[[#This Row],[Waste 1]],WasteScenario[#All],2,FALSE),0)</f>
        <v>0</v>
      </c>
      <c r="AA604" s="322">
        <f>IFERROR((VLOOKUP(Calculations[[#This Row],[Waste type 2]],WasteDisposalEmissions[#All],3,FALSE))*Calculations[[#This Row],[Total Kg]]*VLOOKUP(Calculations[[#This Row],[Waste 1]],WasteScenario[#All],3,FALSE),0)</f>
        <v>0</v>
      </c>
      <c r="AB604" s="322">
        <f>SUM(Calculations[[#This Row],[C3 recyc]:[C3 incin]])</f>
        <v>0</v>
      </c>
      <c r="AC604" s="334">
        <f>IFERROR((VLOOKUP(Calculations[[#This Row],[Waste type 2]],WasteLandfillEmissions[#All],2,FALSE))*Calculations[[#This Row],[Total Kg]]*VLOOKUP(Calculations[[#This Row],[Waste 1]],WasteScenario[#All],4,FALSE),0)</f>
        <v>0</v>
      </c>
      <c r="AD604" s="322">
        <f>IFERROR((VLOOKUP(Calculations[[#This Row],[Waste type 2]],WasteLandfillEmissions[#All],3,FALSE))*Calculations[[#This Row],[Total Kg]]*VLOOKUP(Calculations[[#This Row],[Waste 1]],WasteScenario[#All],4,FALSE),0)</f>
        <v>0</v>
      </c>
      <c r="AE604" s="322">
        <f>SUM(Calculations[[#This Row],[C4 landfill]:[C4 re-use]])</f>
        <v>0</v>
      </c>
      <c r="AF604" s="322">
        <f>IFERROR(VLOOKUP(Calculations[[#This Row],[Material (choose from dropdown]],MaterialData[#All],8,FALSE),0)</f>
        <v>0</v>
      </c>
      <c r="AG604" s="322">
        <f>IFERROR(Calculations[[#This Row],[Total Kg]]*Calculations[[#This Row],[Seq factor]],0)</f>
        <v>0</v>
      </c>
      <c r="AI604" s="322">
        <f>Calculations[[#This Row],[A1-3]]+Calculations[[#This Row],[A4]]+Calculations[[#This Row],[A5]]+Calculations[[#This Row],[B4]]+Calculations[[#This Row],[C2 total]]+Calculations[[#This Row],[C3 total]]+Calculations[[#This Row],[C4 total]]</f>
        <v>0</v>
      </c>
      <c r="AJ604" s="2">
        <f>IFERROR(VLOOKUP(Calculations[[#This Row],[Material (choose from dropdown]],MaterialData[[#Headers],[#Data]],9,FALSE),0)</f>
        <v>0</v>
      </c>
      <c r="AK604" s="4">
        <f>IFERROR(VLOOKUP(Calculations[[#This Row],[Material (choose from dropdown]],MaterialData[[#Headers],[#Data]],10,FALSE),0)</f>
        <v>0</v>
      </c>
      <c r="AL604" s="322">
        <f>IFERROR(Calculations[[#This Row],[Data Quality Score]]*Calculations[[#This Row],[Total Kg]],0)</f>
        <v>0</v>
      </c>
    </row>
    <row r="605" spans="1:38" x14ac:dyDescent="0.3">
      <c r="A605" s="6">
        <f>IFERROR(MaterialsBoQ[[#This Row],[Scope Element]],0)</f>
        <v>0</v>
      </c>
      <c r="B605" t="str">
        <f>IFERROR(MaterialsBoQ[[#This Row],[Material ]],"")</f>
        <v/>
      </c>
      <c r="C605" t="str">
        <f>IFERROR(MaterialsBoQ[[#This Row],[Unit]],"")</f>
        <v/>
      </c>
      <c r="D605" s="322">
        <f>IFERROR(MaterialsBoQ[[#This Row],[Number]],0)</f>
        <v>0</v>
      </c>
      <c r="E605" s="322">
        <f>IFERROR(MaterialsBoQ[[#This Row],[Kg per unit]],0)</f>
        <v>0</v>
      </c>
      <c r="F605" s="322">
        <f>IFERROR(Calculations[[#This Row],[Number]]*Calculations[[#This Row],[Conversion factor]],0)</f>
        <v>0</v>
      </c>
      <c r="G605" s="322">
        <f>IFERROR(VLOOKUP(Calculations[[#This Row],[Material (choose from dropdown]],MaterialData[#All],7,FALSE),0)</f>
        <v>0</v>
      </c>
      <c r="H605" s="322">
        <f>Calculations[[#This Row],[Total Kg]]*Calculations[[#This Row],[Carbon Factor]]</f>
        <v>0</v>
      </c>
      <c r="I605" t="str">
        <f>IFERROR(VLOOKUP(Calculations[[#This Row],[Material (choose from dropdown]],MaterialData[#All],2,FALSE),"")</f>
        <v/>
      </c>
      <c r="J605" s="322">
        <f>IFERROR(((VLOOKUP(Calculations[[#This Row],[TransportSource]],TransportDistance[],2,FALSE)*'Stage assumptions'!$C$11)+VLOOKUP(Calculations[[#This Row],[TransportSource]],TransportDistance[],3,FALSE)*'Stage assumptions'!$C$12)*Calculations[[#This Row],[Total Kg]],0)</f>
        <v>0</v>
      </c>
      <c r="K605">
        <f>IFERROR(VLOOKUP(Calculations[[#This Row],[Material (choose from dropdown]], MaterialData[#All],3, FALSE),0)</f>
        <v>0</v>
      </c>
      <c r="L605" s="322">
        <f>IFERROR(VLOOKUP(Calculations[[#This Row],[A5type]],A5WastageRate[#All],2,FALSE)*Calculations[[#This Row],[A1-3]],0)</f>
        <v>0</v>
      </c>
      <c r="N605">
        <f>IFERROR(ROUNDUP(50/VLOOKUP(Calculations[[#This Row],[Scope Element]],B4referenceServiceLife[[Tier 2 element]:[Default Service Life]],2, FALSE)-1,0),0)</f>
        <v>0</v>
      </c>
      <c r="O605" s="322">
        <f>IFERROR((Calculations[[#This Row],[A1-3]]+Calculations[[#This Row],[A4]]+Calculations[[#This Row],[A5]]+Calculations[[#This Row],[C2 total]]+Calculations[[#This Row],[C3 total]]+Calculations[[#This Row],[C4 total]])*Calculations[[#This Row],[Replacements]],0)</f>
        <v>0</v>
      </c>
      <c r="S605" t="str">
        <f>IFERROR(VLOOKUP(Calculations[[#This Row],[Material (choose from dropdown]],MaterialData[#All],4,FALSE),"")</f>
        <v/>
      </c>
      <c r="T605" s="322" cm="1">
        <f t="array" ref="T605">IFERROR(VLOOKUP(Calculations[[#This Row],[Waste 1]],WasteScenario[#All],2,FALSE)*'Stage assumptions'!$C$225*WasteTransportMethod[Emissions Factor
kgCO2e/kg.km]*Calculations[[#This Row],[Total Kg]],0)</f>
        <v>0</v>
      </c>
      <c r="U605" s="322" cm="1">
        <f t="array" ref="U605">IFERROR(VLOOKUP(Calculations[[#This Row],[Waste 1]],WasteScenario[#All],3,FALSE)*'Stage assumptions'!$C$224*WasteTransportMethod[Emissions Factor
kgCO2e/kg.km]*Calculations[[#This Row],[Total Kg]],0)</f>
        <v>0</v>
      </c>
      <c r="V605" s="322" cm="1">
        <f t="array" ref="V605">IFERROR(VLOOKUP(Calculations[[#This Row],[Waste 1]],WasteScenario[#All],4,FALSE)*'Stage assumptions'!$C$223*WasteTransportMethod[Emissions Factor
kgCO2e/kg.km]*Calculations[[#This Row],[Total Kg]],0)</f>
        <v>0</v>
      </c>
      <c r="W605" s="322" cm="1">
        <f t="array" ref="W605">IFERROR(VLOOKUP(Calculations[[#This Row],[Waste 1]],WasteScenario[#All],5,FALSE)*'Stage assumptions'!$C$226*WasteTransportMethod[Emissions Factor
kgCO2e/kg.km]*Calculations[[#This Row],[Total Kg]],0)</f>
        <v>0</v>
      </c>
      <c r="X605" s="322">
        <f>SUM(Calculations[[#This Row],[C2 Recycle]:[C2 Reuse]])</f>
        <v>0</v>
      </c>
      <c r="Y605" t="str">
        <f>IFERROR(VLOOKUP(Calculations[[#This Row],[Material (choose from dropdown]],MaterialData[#All],5,FALSE),"")</f>
        <v/>
      </c>
      <c r="Z605" s="322">
        <f>IFERROR(((VLOOKUP(Calculations[[#This Row],[Waste type 2]],WasteDisposalEmissions[#All],2,FALSE))*Calculations[[#This Row],[Total Kg]])*VLOOKUP(Calculations[[#This Row],[Waste 1]],WasteScenario[#All],2,FALSE),0)</f>
        <v>0</v>
      </c>
      <c r="AA605" s="322">
        <f>IFERROR((VLOOKUP(Calculations[[#This Row],[Waste type 2]],WasteDisposalEmissions[#All],3,FALSE))*Calculations[[#This Row],[Total Kg]]*VLOOKUP(Calculations[[#This Row],[Waste 1]],WasteScenario[#All],3,FALSE),0)</f>
        <v>0</v>
      </c>
      <c r="AB605" s="322">
        <f>SUM(Calculations[[#This Row],[C3 recyc]:[C3 incin]])</f>
        <v>0</v>
      </c>
      <c r="AC605" s="334">
        <f>IFERROR((VLOOKUP(Calculations[[#This Row],[Waste type 2]],WasteLandfillEmissions[#All],2,FALSE))*Calculations[[#This Row],[Total Kg]]*VLOOKUP(Calculations[[#This Row],[Waste 1]],WasteScenario[#All],4,FALSE),0)</f>
        <v>0</v>
      </c>
      <c r="AD605" s="322">
        <f>IFERROR((VLOOKUP(Calculations[[#This Row],[Waste type 2]],WasteLandfillEmissions[#All],3,FALSE))*Calculations[[#This Row],[Total Kg]]*VLOOKUP(Calculations[[#This Row],[Waste 1]],WasteScenario[#All],4,FALSE),0)</f>
        <v>0</v>
      </c>
      <c r="AE605" s="322">
        <f>SUM(Calculations[[#This Row],[C4 landfill]:[C4 re-use]])</f>
        <v>0</v>
      </c>
      <c r="AF605" s="322">
        <f>IFERROR(VLOOKUP(Calculations[[#This Row],[Material (choose from dropdown]],MaterialData[#All],8,FALSE),0)</f>
        <v>0</v>
      </c>
      <c r="AG605" s="322">
        <f>IFERROR(Calculations[[#This Row],[Total Kg]]*Calculations[[#This Row],[Seq factor]],0)</f>
        <v>0</v>
      </c>
      <c r="AI605" s="322">
        <f>Calculations[[#This Row],[A1-3]]+Calculations[[#This Row],[A4]]+Calculations[[#This Row],[A5]]+Calculations[[#This Row],[B4]]+Calculations[[#This Row],[C2 total]]+Calculations[[#This Row],[C3 total]]+Calculations[[#This Row],[C4 total]]</f>
        <v>0</v>
      </c>
      <c r="AJ605" s="2">
        <f>IFERROR(VLOOKUP(Calculations[[#This Row],[Material (choose from dropdown]],MaterialData[[#Headers],[#Data]],9,FALSE),0)</f>
        <v>0</v>
      </c>
      <c r="AK605" s="4">
        <f>IFERROR(VLOOKUP(Calculations[[#This Row],[Material (choose from dropdown]],MaterialData[[#Headers],[#Data]],10,FALSE),0)</f>
        <v>0</v>
      </c>
      <c r="AL605" s="322">
        <f>IFERROR(Calculations[[#This Row],[Data Quality Score]]*Calculations[[#This Row],[Total Kg]],0)</f>
        <v>0</v>
      </c>
    </row>
    <row r="606" spans="1:38" x14ac:dyDescent="0.3">
      <c r="A606" s="6">
        <f>IFERROR(MaterialsBoQ[[#This Row],[Scope Element]],0)</f>
        <v>0</v>
      </c>
      <c r="B606" t="str">
        <f>IFERROR(MaterialsBoQ[[#This Row],[Material ]],"")</f>
        <v/>
      </c>
      <c r="C606" t="str">
        <f>IFERROR(MaterialsBoQ[[#This Row],[Unit]],"")</f>
        <v/>
      </c>
      <c r="D606" s="322">
        <f>IFERROR(MaterialsBoQ[[#This Row],[Number]],0)</f>
        <v>0</v>
      </c>
      <c r="E606" s="322">
        <f>IFERROR(MaterialsBoQ[[#This Row],[Kg per unit]],0)</f>
        <v>0</v>
      </c>
      <c r="F606" s="322">
        <f>IFERROR(Calculations[[#This Row],[Number]]*Calculations[[#This Row],[Conversion factor]],0)</f>
        <v>0</v>
      </c>
      <c r="G606" s="322">
        <f>IFERROR(VLOOKUP(Calculations[[#This Row],[Material (choose from dropdown]],MaterialData[#All],7,FALSE),0)</f>
        <v>0</v>
      </c>
      <c r="H606" s="322">
        <f>Calculations[[#This Row],[Total Kg]]*Calculations[[#This Row],[Carbon Factor]]</f>
        <v>0</v>
      </c>
      <c r="I606" t="str">
        <f>IFERROR(VLOOKUP(Calculations[[#This Row],[Material (choose from dropdown]],MaterialData[#All],2,FALSE),"")</f>
        <v/>
      </c>
      <c r="J606" s="322">
        <f>IFERROR(((VLOOKUP(Calculations[[#This Row],[TransportSource]],TransportDistance[],2,FALSE)*'Stage assumptions'!$C$11)+VLOOKUP(Calculations[[#This Row],[TransportSource]],TransportDistance[],3,FALSE)*'Stage assumptions'!$C$12)*Calculations[[#This Row],[Total Kg]],0)</f>
        <v>0</v>
      </c>
      <c r="K606">
        <f>IFERROR(VLOOKUP(Calculations[[#This Row],[Material (choose from dropdown]], MaterialData[#All],3, FALSE),0)</f>
        <v>0</v>
      </c>
      <c r="L606" s="322">
        <f>IFERROR(VLOOKUP(Calculations[[#This Row],[A5type]],A5WastageRate[#All],2,FALSE)*Calculations[[#This Row],[A1-3]],0)</f>
        <v>0</v>
      </c>
      <c r="N606">
        <f>IFERROR(ROUNDUP(50/VLOOKUP(Calculations[[#This Row],[Scope Element]],B4referenceServiceLife[[Tier 2 element]:[Default Service Life]],2, FALSE)-1,0),0)</f>
        <v>0</v>
      </c>
      <c r="O606" s="322">
        <f>IFERROR((Calculations[[#This Row],[A1-3]]+Calculations[[#This Row],[A4]]+Calculations[[#This Row],[A5]]+Calculations[[#This Row],[C2 total]]+Calculations[[#This Row],[C3 total]]+Calculations[[#This Row],[C4 total]])*Calculations[[#This Row],[Replacements]],0)</f>
        <v>0</v>
      </c>
      <c r="S606" t="str">
        <f>IFERROR(VLOOKUP(Calculations[[#This Row],[Material (choose from dropdown]],MaterialData[#All],4,FALSE),"")</f>
        <v/>
      </c>
      <c r="T606" s="322" cm="1">
        <f t="array" ref="T606">IFERROR(VLOOKUP(Calculations[[#This Row],[Waste 1]],WasteScenario[#All],2,FALSE)*'Stage assumptions'!$C$225*WasteTransportMethod[Emissions Factor
kgCO2e/kg.km]*Calculations[[#This Row],[Total Kg]],0)</f>
        <v>0</v>
      </c>
      <c r="U606" s="322" cm="1">
        <f t="array" ref="U606">IFERROR(VLOOKUP(Calculations[[#This Row],[Waste 1]],WasteScenario[#All],3,FALSE)*'Stage assumptions'!$C$224*WasteTransportMethod[Emissions Factor
kgCO2e/kg.km]*Calculations[[#This Row],[Total Kg]],0)</f>
        <v>0</v>
      </c>
      <c r="V606" s="322" cm="1">
        <f t="array" ref="V606">IFERROR(VLOOKUP(Calculations[[#This Row],[Waste 1]],WasteScenario[#All],4,FALSE)*'Stage assumptions'!$C$223*WasteTransportMethod[Emissions Factor
kgCO2e/kg.km]*Calculations[[#This Row],[Total Kg]],0)</f>
        <v>0</v>
      </c>
      <c r="W606" s="322" cm="1">
        <f t="array" ref="W606">IFERROR(VLOOKUP(Calculations[[#This Row],[Waste 1]],WasteScenario[#All],5,FALSE)*'Stage assumptions'!$C$226*WasteTransportMethod[Emissions Factor
kgCO2e/kg.km]*Calculations[[#This Row],[Total Kg]],0)</f>
        <v>0</v>
      </c>
      <c r="X606" s="322">
        <f>SUM(Calculations[[#This Row],[C2 Recycle]:[C2 Reuse]])</f>
        <v>0</v>
      </c>
      <c r="Y606" t="str">
        <f>IFERROR(VLOOKUP(Calculations[[#This Row],[Material (choose from dropdown]],MaterialData[#All],5,FALSE),"")</f>
        <v/>
      </c>
      <c r="Z606" s="322">
        <f>IFERROR(((VLOOKUP(Calculations[[#This Row],[Waste type 2]],WasteDisposalEmissions[#All],2,FALSE))*Calculations[[#This Row],[Total Kg]])*VLOOKUP(Calculations[[#This Row],[Waste 1]],WasteScenario[#All],2,FALSE),0)</f>
        <v>0</v>
      </c>
      <c r="AA606" s="322">
        <f>IFERROR((VLOOKUP(Calculations[[#This Row],[Waste type 2]],WasteDisposalEmissions[#All],3,FALSE))*Calculations[[#This Row],[Total Kg]]*VLOOKUP(Calculations[[#This Row],[Waste 1]],WasteScenario[#All],3,FALSE),0)</f>
        <v>0</v>
      </c>
      <c r="AB606" s="322">
        <f>SUM(Calculations[[#This Row],[C3 recyc]:[C3 incin]])</f>
        <v>0</v>
      </c>
      <c r="AC606" s="334">
        <f>IFERROR((VLOOKUP(Calculations[[#This Row],[Waste type 2]],WasteLandfillEmissions[#All],2,FALSE))*Calculations[[#This Row],[Total Kg]]*VLOOKUP(Calculations[[#This Row],[Waste 1]],WasteScenario[#All],4,FALSE),0)</f>
        <v>0</v>
      </c>
      <c r="AD606" s="322">
        <f>IFERROR((VLOOKUP(Calculations[[#This Row],[Waste type 2]],WasteLandfillEmissions[#All],3,FALSE))*Calculations[[#This Row],[Total Kg]]*VLOOKUP(Calculations[[#This Row],[Waste 1]],WasteScenario[#All],4,FALSE),0)</f>
        <v>0</v>
      </c>
      <c r="AE606" s="322">
        <f>SUM(Calculations[[#This Row],[C4 landfill]:[C4 re-use]])</f>
        <v>0</v>
      </c>
      <c r="AF606" s="322">
        <f>IFERROR(VLOOKUP(Calculations[[#This Row],[Material (choose from dropdown]],MaterialData[#All],8,FALSE),0)</f>
        <v>0</v>
      </c>
      <c r="AG606" s="322">
        <f>IFERROR(Calculations[[#This Row],[Total Kg]]*Calculations[[#This Row],[Seq factor]],0)</f>
        <v>0</v>
      </c>
      <c r="AI606" s="322">
        <f>Calculations[[#This Row],[A1-3]]+Calculations[[#This Row],[A4]]+Calculations[[#This Row],[A5]]+Calculations[[#This Row],[B4]]+Calculations[[#This Row],[C2 total]]+Calculations[[#This Row],[C3 total]]+Calculations[[#This Row],[C4 total]]</f>
        <v>0</v>
      </c>
      <c r="AJ606" s="2">
        <f>IFERROR(VLOOKUP(Calculations[[#This Row],[Material (choose from dropdown]],MaterialData[[#Headers],[#Data]],9,FALSE),0)</f>
        <v>0</v>
      </c>
      <c r="AK606" s="4">
        <f>IFERROR(VLOOKUP(Calculations[[#This Row],[Material (choose from dropdown]],MaterialData[[#Headers],[#Data]],10,FALSE),0)</f>
        <v>0</v>
      </c>
      <c r="AL606" s="322">
        <f>IFERROR(Calculations[[#This Row],[Data Quality Score]]*Calculations[[#This Row],[Total Kg]],0)</f>
        <v>0</v>
      </c>
    </row>
    <row r="607" spans="1:38" x14ac:dyDescent="0.3">
      <c r="A607" s="6">
        <f>IFERROR(MaterialsBoQ[[#This Row],[Scope Element]],0)</f>
        <v>0</v>
      </c>
      <c r="B607" t="str">
        <f>IFERROR(MaterialsBoQ[[#This Row],[Material ]],"")</f>
        <v/>
      </c>
      <c r="C607" t="str">
        <f>IFERROR(MaterialsBoQ[[#This Row],[Unit]],"")</f>
        <v/>
      </c>
      <c r="D607" s="322">
        <f>IFERROR(MaterialsBoQ[[#This Row],[Number]],0)</f>
        <v>0</v>
      </c>
      <c r="E607" s="322">
        <f>IFERROR(MaterialsBoQ[[#This Row],[Kg per unit]],0)</f>
        <v>0</v>
      </c>
      <c r="F607" s="322">
        <f>IFERROR(Calculations[[#This Row],[Number]]*Calculations[[#This Row],[Conversion factor]],0)</f>
        <v>0</v>
      </c>
      <c r="G607" s="322">
        <f>IFERROR(VLOOKUP(Calculations[[#This Row],[Material (choose from dropdown]],MaterialData[#All],7,FALSE),0)</f>
        <v>0</v>
      </c>
      <c r="H607" s="322">
        <f>Calculations[[#This Row],[Total Kg]]*Calculations[[#This Row],[Carbon Factor]]</f>
        <v>0</v>
      </c>
      <c r="I607" t="str">
        <f>IFERROR(VLOOKUP(Calculations[[#This Row],[Material (choose from dropdown]],MaterialData[#All],2,FALSE),"")</f>
        <v/>
      </c>
      <c r="J607" s="322">
        <f>IFERROR(((VLOOKUP(Calculations[[#This Row],[TransportSource]],TransportDistance[],2,FALSE)*'Stage assumptions'!$C$11)+VLOOKUP(Calculations[[#This Row],[TransportSource]],TransportDistance[],3,FALSE)*'Stage assumptions'!$C$12)*Calculations[[#This Row],[Total Kg]],0)</f>
        <v>0</v>
      </c>
      <c r="K607">
        <f>IFERROR(VLOOKUP(Calculations[[#This Row],[Material (choose from dropdown]], MaterialData[#All],3, FALSE),0)</f>
        <v>0</v>
      </c>
      <c r="L607" s="322">
        <f>IFERROR(VLOOKUP(Calculations[[#This Row],[A5type]],A5WastageRate[#All],2,FALSE)*Calculations[[#This Row],[A1-3]],0)</f>
        <v>0</v>
      </c>
      <c r="N607">
        <f>IFERROR(ROUNDUP(50/VLOOKUP(Calculations[[#This Row],[Scope Element]],B4referenceServiceLife[[Tier 2 element]:[Default Service Life]],2, FALSE)-1,0),0)</f>
        <v>0</v>
      </c>
      <c r="O607" s="322">
        <f>IFERROR((Calculations[[#This Row],[A1-3]]+Calculations[[#This Row],[A4]]+Calculations[[#This Row],[A5]]+Calculations[[#This Row],[C2 total]]+Calculations[[#This Row],[C3 total]]+Calculations[[#This Row],[C4 total]])*Calculations[[#This Row],[Replacements]],0)</f>
        <v>0</v>
      </c>
      <c r="S607" t="str">
        <f>IFERROR(VLOOKUP(Calculations[[#This Row],[Material (choose from dropdown]],MaterialData[#All],4,FALSE),"")</f>
        <v/>
      </c>
      <c r="T607" s="322" cm="1">
        <f t="array" ref="T607">IFERROR(VLOOKUP(Calculations[[#This Row],[Waste 1]],WasteScenario[#All],2,FALSE)*'Stage assumptions'!$C$225*WasteTransportMethod[Emissions Factor
kgCO2e/kg.km]*Calculations[[#This Row],[Total Kg]],0)</f>
        <v>0</v>
      </c>
      <c r="U607" s="322" cm="1">
        <f t="array" ref="U607">IFERROR(VLOOKUP(Calculations[[#This Row],[Waste 1]],WasteScenario[#All],3,FALSE)*'Stage assumptions'!$C$224*WasteTransportMethod[Emissions Factor
kgCO2e/kg.km]*Calculations[[#This Row],[Total Kg]],0)</f>
        <v>0</v>
      </c>
      <c r="V607" s="322" cm="1">
        <f t="array" ref="V607">IFERROR(VLOOKUP(Calculations[[#This Row],[Waste 1]],WasteScenario[#All],4,FALSE)*'Stage assumptions'!$C$223*WasteTransportMethod[Emissions Factor
kgCO2e/kg.km]*Calculations[[#This Row],[Total Kg]],0)</f>
        <v>0</v>
      </c>
      <c r="W607" s="322" cm="1">
        <f t="array" ref="W607">IFERROR(VLOOKUP(Calculations[[#This Row],[Waste 1]],WasteScenario[#All],5,FALSE)*'Stage assumptions'!$C$226*WasteTransportMethod[Emissions Factor
kgCO2e/kg.km]*Calculations[[#This Row],[Total Kg]],0)</f>
        <v>0</v>
      </c>
      <c r="X607" s="322">
        <f>SUM(Calculations[[#This Row],[C2 Recycle]:[C2 Reuse]])</f>
        <v>0</v>
      </c>
      <c r="Y607" t="str">
        <f>IFERROR(VLOOKUP(Calculations[[#This Row],[Material (choose from dropdown]],MaterialData[#All],5,FALSE),"")</f>
        <v/>
      </c>
      <c r="Z607" s="322">
        <f>IFERROR(((VLOOKUP(Calculations[[#This Row],[Waste type 2]],WasteDisposalEmissions[#All],2,FALSE))*Calculations[[#This Row],[Total Kg]])*VLOOKUP(Calculations[[#This Row],[Waste 1]],WasteScenario[#All],2,FALSE),0)</f>
        <v>0</v>
      </c>
      <c r="AA607" s="322">
        <f>IFERROR((VLOOKUP(Calculations[[#This Row],[Waste type 2]],WasteDisposalEmissions[#All],3,FALSE))*Calculations[[#This Row],[Total Kg]]*VLOOKUP(Calculations[[#This Row],[Waste 1]],WasteScenario[#All],3,FALSE),0)</f>
        <v>0</v>
      </c>
      <c r="AB607" s="322">
        <f>SUM(Calculations[[#This Row],[C3 recyc]:[C3 incin]])</f>
        <v>0</v>
      </c>
      <c r="AC607" s="334">
        <f>IFERROR((VLOOKUP(Calculations[[#This Row],[Waste type 2]],WasteLandfillEmissions[#All],2,FALSE))*Calculations[[#This Row],[Total Kg]]*VLOOKUP(Calculations[[#This Row],[Waste 1]],WasteScenario[#All],4,FALSE),0)</f>
        <v>0</v>
      </c>
      <c r="AD607" s="322">
        <f>IFERROR((VLOOKUP(Calculations[[#This Row],[Waste type 2]],WasteLandfillEmissions[#All],3,FALSE))*Calculations[[#This Row],[Total Kg]]*VLOOKUP(Calculations[[#This Row],[Waste 1]],WasteScenario[#All],4,FALSE),0)</f>
        <v>0</v>
      </c>
      <c r="AE607" s="322">
        <f>SUM(Calculations[[#This Row],[C4 landfill]:[C4 re-use]])</f>
        <v>0</v>
      </c>
      <c r="AF607" s="322">
        <f>IFERROR(VLOOKUP(Calculations[[#This Row],[Material (choose from dropdown]],MaterialData[#All],8,FALSE),0)</f>
        <v>0</v>
      </c>
      <c r="AG607" s="322">
        <f>IFERROR(Calculations[[#This Row],[Total Kg]]*Calculations[[#This Row],[Seq factor]],0)</f>
        <v>0</v>
      </c>
      <c r="AI607" s="322">
        <f>Calculations[[#This Row],[A1-3]]+Calculations[[#This Row],[A4]]+Calculations[[#This Row],[A5]]+Calculations[[#This Row],[B4]]+Calculations[[#This Row],[C2 total]]+Calculations[[#This Row],[C3 total]]+Calculations[[#This Row],[C4 total]]</f>
        <v>0</v>
      </c>
      <c r="AJ607" s="2">
        <f>IFERROR(VLOOKUP(Calculations[[#This Row],[Material (choose from dropdown]],MaterialData[[#Headers],[#Data]],9,FALSE),0)</f>
        <v>0</v>
      </c>
      <c r="AK607" s="4">
        <f>IFERROR(VLOOKUP(Calculations[[#This Row],[Material (choose from dropdown]],MaterialData[[#Headers],[#Data]],10,FALSE),0)</f>
        <v>0</v>
      </c>
      <c r="AL607" s="322">
        <f>IFERROR(Calculations[[#This Row],[Data Quality Score]]*Calculations[[#This Row],[Total Kg]],0)</f>
        <v>0</v>
      </c>
    </row>
    <row r="608" spans="1:38" x14ac:dyDescent="0.3">
      <c r="A608" s="6">
        <f>IFERROR(MaterialsBoQ[[#This Row],[Scope Element]],0)</f>
        <v>0</v>
      </c>
      <c r="B608" t="str">
        <f>IFERROR(MaterialsBoQ[[#This Row],[Material ]],"")</f>
        <v/>
      </c>
      <c r="C608" t="str">
        <f>IFERROR(MaterialsBoQ[[#This Row],[Unit]],"")</f>
        <v/>
      </c>
      <c r="D608" s="322">
        <f>IFERROR(MaterialsBoQ[[#This Row],[Number]],0)</f>
        <v>0</v>
      </c>
      <c r="E608" s="322">
        <f>IFERROR(MaterialsBoQ[[#This Row],[Kg per unit]],0)</f>
        <v>0</v>
      </c>
      <c r="F608" s="322">
        <f>IFERROR(Calculations[[#This Row],[Number]]*Calculations[[#This Row],[Conversion factor]],0)</f>
        <v>0</v>
      </c>
      <c r="G608" s="322">
        <f>IFERROR(VLOOKUP(Calculations[[#This Row],[Material (choose from dropdown]],MaterialData[#All],7,FALSE),0)</f>
        <v>0</v>
      </c>
      <c r="H608" s="322">
        <f>Calculations[[#This Row],[Total Kg]]*Calculations[[#This Row],[Carbon Factor]]</f>
        <v>0</v>
      </c>
      <c r="I608" t="str">
        <f>IFERROR(VLOOKUP(Calculations[[#This Row],[Material (choose from dropdown]],MaterialData[#All],2,FALSE),"")</f>
        <v/>
      </c>
      <c r="J608" s="322">
        <f>IFERROR(((VLOOKUP(Calculations[[#This Row],[TransportSource]],TransportDistance[],2,FALSE)*'Stage assumptions'!$C$11)+VLOOKUP(Calculations[[#This Row],[TransportSource]],TransportDistance[],3,FALSE)*'Stage assumptions'!$C$12)*Calculations[[#This Row],[Total Kg]],0)</f>
        <v>0</v>
      </c>
      <c r="K608">
        <f>IFERROR(VLOOKUP(Calculations[[#This Row],[Material (choose from dropdown]], MaterialData[#All],3, FALSE),0)</f>
        <v>0</v>
      </c>
      <c r="L608" s="322">
        <f>IFERROR(VLOOKUP(Calculations[[#This Row],[A5type]],A5WastageRate[#All],2,FALSE)*Calculations[[#This Row],[A1-3]],0)</f>
        <v>0</v>
      </c>
      <c r="N608">
        <f>IFERROR(ROUNDUP(50/VLOOKUP(Calculations[[#This Row],[Scope Element]],B4referenceServiceLife[[Tier 2 element]:[Default Service Life]],2, FALSE)-1,0),0)</f>
        <v>0</v>
      </c>
      <c r="O608" s="322">
        <f>IFERROR((Calculations[[#This Row],[A1-3]]+Calculations[[#This Row],[A4]]+Calculations[[#This Row],[A5]]+Calculations[[#This Row],[C2 total]]+Calculations[[#This Row],[C3 total]]+Calculations[[#This Row],[C4 total]])*Calculations[[#This Row],[Replacements]],0)</f>
        <v>0</v>
      </c>
      <c r="S608" t="str">
        <f>IFERROR(VLOOKUP(Calculations[[#This Row],[Material (choose from dropdown]],MaterialData[#All],4,FALSE),"")</f>
        <v/>
      </c>
      <c r="T608" s="322" cm="1">
        <f t="array" ref="T608">IFERROR(VLOOKUP(Calculations[[#This Row],[Waste 1]],WasteScenario[#All],2,FALSE)*'Stage assumptions'!$C$225*WasteTransportMethod[Emissions Factor
kgCO2e/kg.km]*Calculations[[#This Row],[Total Kg]],0)</f>
        <v>0</v>
      </c>
      <c r="U608" s="322" cm="1">
        <f t="array" ref="U608">IFERROR(VLOOKUP(Calculations[[#This Row],[Waste 1]],WasteScenario[#All],3,FALSE)*'Stage assumptions'!$C$224*WasteTransportMethod[Emissions Factor
kgCO2e/kg.km]*Calculations[[#This Row],[Total Kg]],0)</f>
        <v>0</v>
      </c>
      <c r="V608" s="322" cm="1">
        <f t="array" ref="V608">IFERROR(VLOOKUP(Calculations[[#This Row],[Waste 1]],WasteScenario[#All],4,FALSE)*'Stage assumptions'!$C$223*WasteTransportMethod[Emissions Factor
kgCO2e/kg.km]*Calculations[[#This Row],[Total Kg]],0)</f>
        <v>0</v>
      </c>
      <c r="W608" s="322" cm="1">
        <f t="array" ref="W608">IFERROR(VLOOKUP(Calculations[[#This Row],[Waste 1]],WasteScenario[#All],5,FALSE)*'Stage assumptions'!$C$226*WasteTransportMethod[Emissions Factor
kgCO2e/kg.km]*Calculations[[#This Row],[Total Kg]],0)</f>
        <v>0</v>
      </c>
      <c r="X608" s="322">
        <f>SUM(Calculations[[#This Row],[C2 Recycle]:[C2 Reuse]])</f>
        <v>0</v>
      </c>
      <c r="Y608" t="str">
        <f>IFERROR(VLOOKUP(Calculations[[#This Row],[Material (choose from dropdown]],MaterialData[#All],5,FALSE),"")</f>
        <v/>
      </c>
      <c r="Z608" s="322">
        <f>IFERROR(((VLOOKUP(Calculations[[#This Row],[Waste type 2]],WasteDisposalEmissions[#All],2,FALSE))*Calculations[[#This Row],[Total Kg]])*VLOOKUP(Calculations[[#This Row],[Waste 1]],WasteScenario[#All],2,FALSE),0)</f>
        <v>0</v>
      </c>
      <c r="AA608" s="322">
        <f>IFERROR((VLOOKUP(Calculations[[#This Row],[Waste type 2]],WasteDisposalEmissions[#All],3,FALSE))*Calculations[[#This Row],[Total Kg]]*VLOOKUP(Calculations[[#This Row],[Waste 1]],WasteScenario[#All],3,FALSE),0)</f>
        <v>0</v>
      </c>
      <c r="AB608" s="322">
        <f>SUM(Calculations[[#This Row],[C3 recyc]:[C3 incin]])</f>
        <v>0</v>
      </c>
      <c r="AC608" s="334">
        <f>IFERROR((VLOOKUP(Calculations[[#This Row],[Waste type 2]],WasteLandfillEmissions[#All],2,FALSE))*Calculations[[#This Row],[Total Kg]]*VLOOKUP(Calculations[[#This Row],[Waste 1]],WasteScenario[#All],4,FALSE),0)</f>
        <v>0</v>
      </c>
      <c r="AD608" s="322">
        <f>IFERROR((VLOOKUP(Calculations[[#This Row],[Waste type 2]],WasteLandfillEmissions[#All],3,FALSE))*Calculations[[#This Row],[Total Kg]]*VLOOKUP(Calculations[[#This Row],[Waste 1]],WasteScenario[#All],4,FALSE),0)</f>
        <v>0</v>
      </c>
      <c r="AE608" s="322">
        <f>SUM(Calculations[[#This Row],[C4 landfill]:[C4 re-use]])</f>
        <v>0</v>
      </c>
      <c r="AF608" s="322">
        <f>IFERROR(VLOOKUP(Calculations[[#This Row],[Material (choose from dropdown]],MaterialData[#All],8,FALSE),0)</f>
        <v>0</v>
      </c>
      <c r="AG608" s="322">
        <f>IFERROR(Calculations[[#This Row],[Total Kg]]*Calculations[[#This Row],[Seq factor]],0)</f>
        <v>0</v>
      </c>
      <c r="AI608" s="322">
        <f>Calculations[[#This Row],[A1-3]]+Calculations[[#This Row],[A4]]+Calculations[[#This Row],[A5]]+Calculations[[#This Row],[B4]]+Calculations[[#This Row],[C2 total]]+Calculations[[#This Row],[C3 total]]+Calculations[[#This Row],[C4 total]]</f>
        <v>0</v>
      </c>
      <c r="AJ608" s="2">
        <f>IFERROR(VLOOKUP(Calculations[[#This Row],[Material (choose from dropdown]],MaterialData[[#Headers],[#Data]],9,FALSE),0)</f>
        <v>0</v>
      </c>
      <c r="AK608" s="4">
        <f>IFERROR(VLOOKUP(Calculations[[#This Row],[Material (choose from dropdown]],MaterialData[[#Headers],[#Data]],10,FALSE),0)</f>
        <v>0</v>
      </c>
      <c r="AL608" s="322">
        <f>IFERROR(Calculations[[#This Row],[Data Quality Score]]*Calculations[[#This Row],[Total Kg]],0)</f>
        <v>0</v>
      </c>
    </row>
    <row r="609" spans="1:38" x14ac:dyDescent="0.3">
      <c r="A609" s="6">
        <f>IFERROR(MaterialsBoQ[[#This Row],[Scope Element]],0)</f>
        <v>0</v>
      </c>
      <c r="B609" t="str">
        <f>IFERROR(MaterialsBoQ[[#This Row],[Material ]],"")</f>
        <v/>
      </c>
      <c r="C609" t="str">
        <f>IFERROR(MaterialsBoQ[[#This Row],[Unit]],"")</f>
        <v/>
      </c>
      <c r="D609" s="322">
        <f>IFERROR(MaterialsBoQ[[#This Row],[Number]],0)</f>
        <v>0</v>
      </c>
      <c r="E609" s="322">
        <f>IFERROR(MaterialsBoQ[[#This Row],[Kg per unit]],0)</f>
        <v>0</v>
      </c>
      <c r="F609" s="322">
        <f>IFERROR(Calculations[[#This Row],[Number]]*Calculations[[#This Row],[Conversion factor]],0)</f>
        <v>0</v>
      </c>
      <c r="G609" s="322">
        <f>IFERROR(VLOOKUP(Calculations[[#This Row],[Material (choose from dropdown]],MaterialData[#All],7,FALSE),0)</f>
        <v>0</v>
      </c>
      <c r="H609" s="322">
        <f>Calculations[[#This Row],[Total Kg]]*Calculations[[#This Row],[Carbon Factor]]</f>
        <v>0</v>
      </c>
      <c r="I609" t="str">
        <f>IFERROR(VLOOKUP(Calculations[[#This Row],[Material (choose from dropdown]],MaterialData[#All],2,FALSE),"")</f>
        <v/>
      </c>
      <c r="J609" s="322">
        <f>IFERROR(((VLOOKUP(Calculations[[#This Row],[TransportSource]],TransportDistance[],2,FALSE)*'Stage assumptions'!$C$11)+VLOOKUP(Calculations[[#This Row],[TransportSource]],TransportDistance[],3,FALSE)*'Stage assumptions'!$C$12)*Calculations[[#This Row],[Total Kg]],0)</f>
        <v>0</v>
      </c>
      <c r="K609">
        <f>IFERROR(VLOOKUP(Calculations[[#This Row],[Material (choose from dropdown]], MaterialData[#All],3, FALSE),0)</f>
        <v>0</v>
      </c>
      <c r="L609" s="322">
        <f>IFERROR(VLOOKUP(Calculations[[#This Row],[A5type]],A5WastageRate[#All],2,FALSE)*Calculations[[#This Row],[A1-3]],0)</f>
        <v>0</v>
      </c>
      <c r="N609">
        <f>IFERROR(ROUNDUP(50/VLOOKUP(Calculations[[#This Row],[Scope Element]],B4referenceServiceLife[[Tier 2 element]:[Default Service Life]],2, FALSE)-1,0),0)</f>
        <v>0</v>
      </c>
      <c r="O609" s="322">
        <f>IFERROR((Calculations[[#This Row],[A1-3]]+Calculations[[#This Row],[A4]]+Calculations[[#This Row],[A5]]+Calculations[[#This Row],[C2 total]]+Calculations[[#This Row],[C3 total]]+Calculations[[#This Row],[C4 total]])*Calculations[[#This Row],[Replacements]],0)</f>
        <v>0</v>
      </c>
      <c r="S609" t="str">
        <f>IFERROR(VLOOKUP(Calculations[[#This Row],[Material (choose from dropdown]],MaterialData[#All],4,FALSE),"")</f>
        <v/>
      </c>
      <c r="T609" s="322" cm="1">
        <f t="array" ref="T609">IFERROR(VLOOKUP(Calculations[[#This Row],[Waste 1]],WasteScenario[#All],2,FALSE)*'Stage assumptions'!$C$225*WasteTransportMethod[Emissions Factor
kgCO2e/kg.km]*Calculations[[#This Row],[Total Kg]],0)</f>
        <v>0</v>
      </c>
      <c r="U609" s="322" cm="1">
        <f t="array" ref="U609">IFERROR(VLOOKUP(Calculations[[#This Row],[Waste 1]],WasteScenario[#All],3,FALSE)*'Stage assumptions'!$C$224*WasteTransportMethod[Emissions Factor
kgCO2e/kg.km]*Calculations[[#This Row],[Total Kg]],0)</f>
        <v>0</v>
      </c>
      <c r="V609" s="322" cm="1">
        <f t="array" ref="V609">IFERROR(VLOOKUP(Calculations[[#This Row],[Waste 1]],WasteScenario[#All],4,FALSE)*'Stage assumptions'!$C$223*WasteTransportMethod[Emissions Factor
kgCO2e/kg.km]*Calculations[[#This Row],[Total Kg]],0)</f>
        <v>0</v>
      </c>
      <c r="W609" s="322" cm="1">
        <f t="array" ref="W609">IFERROR(VLOOKUP(Calculations[[#This Row],[Waste 1]],WasteScenario[#All],5,FALSE)*'Stage assumptions'!$C$226*WasteTransportMethod[Emissions Factor
kgCO2e/kg.km]*Calculations[[#This Row],[Total Kg]],0)</f>
        <v>0</v>
      </c>
      <c r="X609" s="322">
        <f>SUM(Calculations[[#This Row],[C2 Recycle]:[C2 Reuse]])</f>
        <v>0</v>
      </c>
      <c r="Y609" t="str">
        <f>IFERROR(VLOOKUP(Calculations[[#This Row],[Material (choose from dropdown]],MaterialData[#All],5,FALSE),"")</f>
        <v/>
      </c>
      <c r="Z609" s="322">
        <f>IFERROR(((VLOOKUP(Calculations[[#This Row],[Waste type 2]],WasteDisposalEmissions[#All],2,FALSE))*Calculations[[#This Row],[Total Kg]])*VLOOKUP(Calculations[[#This Row],[Waste 1]],WasteScenario[#All],2,FALSE),0)</f>
        <v>0</v>
      </c>
      <c r="AA609" s="322">
        <f>IFERROR((VLOOKUP(Calculations[[#This Row],[Waste type 2]],WasteDisposalEmissions[#All],3,FALSE))*Calculations[[#This Row],[Total Kg]]*VLOOKUP(Calculations[[#This Row],[Waste 1]],WasteScenario[#All],3,FALSE),0)</f>
        <v>0</v>
      </c>
      <c r="AB609" s="322">
        <f>SUM(Calculations[[#This Row],[C3 recyc]:[C3 incin]])</f>
        <v>0</v>
      </c>
      <c r="AC609" s="334">
        <f>IFERROR((VLOOKUP(Calculations[[#This Row],[Waste type 2]],WasteLandfillEmissions[#All],2,FALSE))*Calculations[[#This Row],[Total Kg]]*VLOOKUP(Calculations[[#This Row],[Waste 1]],WasteScenario[#All],4,FALSE),0)</f>
        <v>0</v>
      </c>
      <c r="AD609" s="322">
        <f>IFERROR((VLOOKUP(Calculations[[#This Row],[Waste type 2]],WasteLandfillEmissions[#All],3,FALSE))*Calculations[[#This Row],[Total Kg]]*VLOOKUP(Calculations[[#This Row],[Waste 1]],WasteScenario[#All],4,FALSE),0)</f>
        <v>0</v>
      </c>
      <c r="AE609" s="322">
        <f>SUM(Calculations[[#This Row],[C4 landfill]:[C4 re-use]])</f>
        <v>0</v>
      </c>
      <c r="AF609" s="322">
        <f>IFERROR(VLOOKUP(Calculations[[#This Row],[Material (choose from dropdown]],MaterialData[#All],8,FALSE),0)</f>
        <v>0</v>
      </c>
      <c r="AG609" s="322">
        <f>IFERROR(Calculations[[#This Row],[Total Kg]]*Calculations[[#This Row],[Seq factor]],0)</f>
        <v>0</v>
      </c>
      <c r="AI609" s="322">
        <f>Calculations[[#This Row],[A1-3]]+Calculations[[#This Row],[A4]]+Calculations[[#This Row],[A5]]+Calculations[[#This Row],[B4]]+Calculations[[#This Row],[C2 total]]+Calculations[[#This Row],[C3 total]]+Calculations[[#This Row],[C4 total]]</f>
        <v>0</v>
      </c>
      <c r="AJ609" s="2">
        <f>IFERROR(VLOOKUP(Calculations[[#This Row],[Material (choose from dropdown]],MaterialData[[#Headers],[#Data]],9,FALSE),0)</f>
        <v>0</v>
      </c>
      <c r="AK609" s="4">
        <f>IFERROR(VLOOKUP(Calculations[[#This Row],[Material (choose from dropdown]],MaterialData[[#Headers],[#Data]],10,FALSE),0)</f>
        <v>0</v>
      </c>
      <c r="AL609" s="322">
        <f>IFERROR(Calculations[[#This Row],[Data Quality Score]]*Calculations[[#This Row],[Total Kg]],0)</f>
        <v>0</v>
      </c>
    </row>
    <row r="610" spans="1:38" x14ac:dyDescent="0.3">
      <c r="A610" s="6">
        <f>IFERROR(MaterialsBoQ[[#This Row],[Scope Element]],0)</f>
        <v>0</v>
      </c>
      <c r="B610" t="str">
        <f>IFERROR(MaterialsBoQ[[#This Row],[Material ]],"")</f>
        <v/>
      </c>
      <c r="C610" t="str">
        <f>IFERROR(MaterialsBoQ[[#This Row],[Unit]],"")</f>
        <v/>
      </c>
      <c r="D610" s="322">
        <f>IFERROR(MaterialsBoQ[[#This Row],[Number]],0)</f>
        <v>0</v>
      </c>
      <c r="E610" s="322">
        <f>IFERROR(MaterialsBoQ[[#This Row],[Kg per unit]],0)</f>
        <v>0</v>
      </c>
      <c r="F610" s="322">
        <f>IFERROR(Calculations[[#This Row],[Number]]*Calculations[[#This Row],[Conversion factor]],0)</f>
        <v>0</v>
      </c>
      <c r="G610" s="322">
        <f>IFERROR(VLOOKUP(Calculations[[#This Row],[Material (choose from dropdown]],MaterialData[#All],7,FALSE),0)</f>
        <v>0</v>
      </c>
      <c r="H610" s="322">
        <f>Calculations[[#This Row],[Total Kg]]*Calculations[[#This Row],[Carbon Factor]]</f>
        <v>0</v>
      </c>
      <c r="I610" t="str">
        <f>IFERROR(VLOOKUP(Calculations[[#This Row],[Material (choose from dropdown]],MaterialData[#All],2,FALSE),"")</f>
        <v/>
      </c>
      <c r="J610" s="322">
        <f>IFERROR(((VLOOKUP(Calculations[[#This Row],[TransportSource]],TransportDistance[],2,FALSE)*'Stage assumptions'!$C$11)+VLOOKUP(Calculations[[#This Row],[TransportSource]],TransportDistance[],3,FALSE)*'Stage assumptions'!$C$12)*Calculations[[#This Row],[Total Kg]],0)</f>
        <v>0</v>
      </c>
      <c r="K610">
        <f>IFERROR(VLOOKUP(Calculations[[#This Row],[Material (choose from dropdown]], MaterialData[#All],3, FALSE),0)</f>
        <v>0</v>
      </c>
      <c r="L610" s="322">
        <f>IFERROR(VLOOKUP(Calculations[[#This Row],[A5type]],A5WastageRate[#All],2,FALSE)*Calculations[[#This Row],[A1-3]],0)</f>
        <v>0</v>
      </c>
      <c r="N610">
        <f>IFERROR(ROUNDUP(50/VLOOKUP(Calculations[[#This Row],[Scope Element]],B4referenceServiceLife[[Tier 2 element]:[Default Service Life]],2, FALSE)-1,0),0)</f>
        <v>0</v>
      </c>
      <c r="O610" s="322">
        <f>IFERROR((Calculations[[#This Row],[A1-3]]+Calculations[[#This Row],[A4]]+Calculations[[#This Row],[A5]]+Calculations[[#This Row],[C2 total]]+Calculations[[#This Row],[C3 total]]+Calculations[[#This Row],[C4 total]])*Calculations[[#This Row],[Replacements]],0)</f>
        <v>0</v>
      </c>
      <c r="S610" t="str">
        <f>IFERROR(VLOOKUP(Calculations[[#This Row],[Material (choose from dropdown]],MaterialData[#All],4,FALSE),"")</f>
        <v/>
      </c>
      <c r="T610" s="322" cm="1">
        <f t="array" ref="T610">IFERROR(VLOOKUP(Calculations[[#This Row],[Waste 1]],WasteScenario[#All],2,FALSE)*'Stage assumptions'!$C$225*WasteTransportMethod[Emissions Factor
kgCO2e/kg.km]*Calculations[[#This Row],[Total Kg]],0)</f>
        <v>0</v>
      </c>
      <c r="U610" s="322" cm="1">
        <f t="array" ref="U610">IFERROR(VLOOKUP(Calculations[[#This Row],[Waste 1]],WasteScenario[#All],3,FALSE)*'Stage assumptions'!$C$224*WasteTransportMethod[Emissions Factor
kgCO2e/kg.km]*Calculations[[#This Row],[Total Kg]],0)</f>
        <v>0</v>
      </c>
      <c r="V610" s="322" cm="1">
        <f t="array" ref="V610">IFERROR(VLOOKUP(Calculations[[#This Row],[Waste 1]],WasteScenario[#All],4,FALSE)*'Stage assumptions'!$C$223*WasteTransportMethod[Emissions Factor
kgCO2e/kg.km]*Calculations[[#This Row],[Total Kg]],0)</f>
        <v>0</v>
      </c>
      <c r="W610" s="322" cm="1">
        <f t="array" ref="W610">IFERROR(VLOOKUP(Calculations[[#This Row],[Waste 1]],WasteScenario[#All],5,FALSE)*'Stage assumptions'!$C$226*WasteTransportMethod[Emissions Factor
kgCO2e/kg.km]*Calculations[[#This Row],[Total Kg]],0)</f>
        <v>0</v>
      </c>
      <c r="X610" s="322">
        <f>SUM(Calculations[[#This Row],[C2 Recycle]:[C2 Reuse]])</f>
        <v>0</v>
      </c>
      <c r="Y610" t="str">
        <f>IFERROR(VLOOKUP(Calculations[[#This Row],[Material (choose from dropdown]],MaterialData[#All],5,FALSE),"")</f>
        <v/>
      </c>
      <c r="Z610" s="322">
        <f>IFERROR(((VLOOKUP(Calculations[[#This Row],[Waste type 2]],WasteDisposalEmissions[#All],2,FALSE))*Calculations[[#This Row],[Total Kg]])*VLOOKUP(Calculations[[#This Row],[Waste 1]],WasteScenario[#All],2,FALSE),0)</f>
        <v>0</v>
      </c>
      <c r="AA610" s="322">
        <f>IFERROR((VLOOKUP(Calculations[[#This Row],[Waste type 2]],WasteDisposalEmissions[#All],3,FALSE))*Calculations[[#This Row],[Total Kg]]*VLOOKUP(Calculations[[#This Row],[Waste 1]],WasteScenario[#All],3,FALSE),0)</f>
        <v>0</v>
      </c>
      <c r="AB610" s="322">
        <f>SUM(Calculations[[#This Row],[C3 recyc]:[C3 incin]])</f>
        <v>0</v>
      </c>
      <c r="AC610" s="334">
        <f>IFERROR((VLOOKUP(Calculations[[#This Row],[Waste type 2]],WasteLandfillEmissions[#All],2,FALSE))*Calculations[[#This Row],[Total Kg]]*VLOOKUP(Calculations[[#This Row],[Waste 1]],WasteScenario[#All],4,FALSE),0)</f>
        <v>0</v>
      </c>
      <c r="AD610" s="322">
        <f>IFERROR((VLOOKUP(Calculations[[#This Row],[Waste type 2]],WasteLandfillEmissions[#All],3,FALSE))*Calculations[[#This Row],[Total Kg]]*VLOOKUP(Calculations[[#This Row],[Waste 1]],WasteScenario[#All],4,FALSE),0)</f>
        <v>0</v>
      </c>
      <c r="AE610" s="322">
        <f>SUM(Calculations[[#This Row],[C4 landfill]:[C4 re-use]])</f>
        <v>0</v>
      </c>
      <c r="AF610" s="322">
        <f>IFERROR(VLOOKUP(Calculations[[#This Row],[Material (choose from dropdown]],MaterialData[#All],8,FALSE),0)</f>
        <v>0</v>
      </c>
      <c r="AG610" s="322">
        <f>IFERROR(Calculations[[#This Row],[Total Kg]]*Calculations[[#This Row],[Seq factor]],0)</f>
        <v>0</v>
      </c>
      <c r="AI610" s="322">
        <f>Calculations[[#This Row],[A1-3]]+Calculations[[#This Row],[A4]]+Calculations[[#This Row],[A5]]+Calculations[[#This Row],[B4]]+Calculations[[#This Row],[C2 total]]+Calculations[[#This Row],[C3 total]]+Calculations[[#This Row],[C4 total]]</f>
        <v>0</v>
      </c>
      <c r="AJ610" s="2">
        <f>IFERROR(VLOOKUP(Calculations[[#This Row],[Material (choose from dropdown]],MaterialData[[#Headers],[#Data]],9,FALSE),0)</f>
        <v>0</v>
      </c>
      <c r="AK610" s="4">
        <f>IFERROR(VLOOKUP(Calculations[[#This Row],[Material (choose from dropdown]],MaterialData[[#Headers],[#Data]],10,FALSE),0)</f>
        <v>0</v>
      </c>
      <c r="AL610" s="322">
        <f>IFERROR(Calculations[[#This Row],[Data Quality Score]]*Calculations[[#This Row],[Total Kg]],0)</f>
        <v>0</v>
      </c>
    </row>
    <row r="611" spans="1:38" x14ac:dyDescent="0.3">
      <c r="A611" s="6">
        <f>IFERROR(MaterialsBoQ[[#This Row],[Scope Element]],0)</f>
        <v>0</v>
      </c>
      <c r="B611" t="str">
        <f>IFERROR(MaterialsBoQ[[#This Row],[Material ]],"")</f>
        <v/>
      </c>
      <c r="C611" t="str">
        <f>IFERROR(MaterialsBoQ[[#This Row],[Unit]],"")</f>
        <v/>
      </c>
      <c r="D611" s="322">
        <f>IFERROR(MaterialsBoQ[[#This Row],[Number]],0)</f>
        <v>0</v>
      </c>
      <c r="E611" s="322">
        <f>IFERROR(MaterialsBoQ[[#This Row],[Kg per unit]],0)</f>
        <v>0</v>
      </c>
      <c r="F611" s="322">
        <f>IFERROR(Calculations[[#This Row],[Number]]*Calculations[[#This Row],[Conversion factor]],0)</f>
        <v>0</v>
      </c>
      <c r="G611" s="322">
        <f>IFERROR(VLOOKUP(Calculations[[#This Row],[Material (choose from dropdown]],MaterialData[#All],7,FALSE),0)</f>
        <v>0</v>
      </c>
      <c r="H611" s="322">
        <f>Calculations[[#This Row],[Total Kg]]*Calculations[[#This Row],[Carbon Factor]]</f>
        <v>0</v>
      </c>
      <c r="I611" t="str">
        <f>IFERROR(VLOOKUP(Calculations[[#This Row],[Material (choose from dropdown]],MaterialData[#All],2,FALSE),"")</f>
        <v/>
      </c>
      <c r="J611" s="322">
        <f>IFERROR(((VLOOKUP(Calculations[[#This Row],[TransportSource]],TransportDistance[],2,FALSE)*'Stage assumptions'!$C$11)+VLOOKUP(Calculations[[#This Row],[TransportSource]],TransportDistance[],3,FALSE)*'Stage assumptions'!$C$12)*Calculations[[#This Row],[Total Kg]],0)</f>
        <v>0</v>
      </c>
      <c r="K611">
        <f>IFERROR(VLOOKUP(Calculations[[#This Row],[Material (choose from dropdown]], MaterialData[#All],3, FALSE),0)</f>
        <v>0</v>
      </c>
      <c r="L611" s="322">
        <f>IFERROR(VLOOKUP(Calculations[[#This Row],[A5type]],A5WastageRate[#All],2,FALSE)*Calculations[[#This Row],[A1-3]],0)</f>
        <v>0</v>
      </c>
      <c r="N611">
        <f>IFERROR(ROUNDUP(50/VLOOKUP(Calculations[[#This Row],[Scope Element]],B4referenceServiceLife[[Tier 2 element]:[Default Service Life]],2, FALSE)-1,0),0)</f>
        <v>0</v>
      </c>
      <c r="O611" s="322">
        <f>IFERROR((Calculations[[#This Row],[A1-3]]+Calculations[[#This Row],[A4]]+Calculations[[#This Row],[A5]]+Calculations[[#This Row],[C2 total]]+Calculations[[#This Row],[C3 total]]+Calculations[[#This Row],[C4 total]])*Calculations[[#This Row],[Replacements]],0)</f>
        <v>0</v>
      </c>
      <c r="S611" t="str">
        <f>IFERROR(VLOOKUP(Calculations[[#This Row],[Material (choose from dropdown]],MaterialData[#All],4,FALSE),"")</f>
        <v/>
      </c>
      <c r="T611" s="322" cm="1">
        <f t="array" ref="T611">IFERROR(VLOOKUP(Calculations[[#This Row],[Waste 1]],WasteScenario[#All],2,FALSE)*'Stage assumptions'!$C$225*WasteTransportMethod[Emissions Factor
kgCO2e/kg.km]*Calculations[[#This Row],[Total Kg]],0)</f>
        <v>0</v>
      </c>
      <c r="U611" s="322" cm="1">
        <f t="array" ref="U611">IFERROR(VLOOKUP(Calculations[[#This Row],[Waste 1]],WasteScenario[#All],3,FALSE)*'Stage assumptions'!$C$224*WasteTransportMethod[Emissions Factor
kgCO2e/kg.km]*Calculations[[#This Row],[Total Kg]],0)</f>
        <v>0</v>
      </c>
      <c r="V611" s="322" cm="1">
        <f t="array" ref="V611">IFERROR(VLOOKUP(Calculations[[#This Row],[Waste 1]],WasteScenario[#All],4,FALSE)*'Stage assumptions'!$C$223*WasteTransportMethod[Emissions Factor
kgCO2e/kg.km]*Calculations[[#This Row],[Total Kg]],0)</f>
        <v>0</v>
      </c>
      <c r="W611" s="322" cm="1">
        <f t="array" ref="W611">IFERROR(VLOOKUP(Calculations[[#This Row],[Waste 1]],WasteScenario[#All],5,FALSE)*'Stage assumptions'!$C$226*WasteTransportMethod[Emissions Factor
kgCO2e/kg.km]*Calculations[[#This Row],[Total Kg]],0)</f>
        <v>0</v>
      </c>
      <c r="X611" s="322">
        <f>SUM(Calculations[[#This Row],[C2 Recycle]:[C2 Reuse]])</f>
        <v>0</v>
      </c>
      <c r="Y611" t="str">
        <f>IFERROR(VLOOKUP(Calculations[[#This Row],[Material (choose from dropdown]],MaterialData[#All],5,FALSE),"")</f>
        <v/>
      </c>
      <c r="Z611" s="322">
        <f>IFERROR(((VLOOKUP(Calculations[[#This Row],[Waste type 2]],WasteDisposalEmissions[#All],2,FALSE))*Calculations[[#This Row],[Total Kg]])*VLOOKUP(Calculations[[#This Row],[Waste 1]],WasteScenario[#All],2,FALSE),0)</f>
        <v>0</v>
      </c>
      <c r="AA611" s="322">
        <f>IFERROR((VLOOKUP(Calculations[[#This Row],[Waste type 2]],WasteDisposalEmissions[#All],3,FALSE))*Calculations[[#This Row],[Total Kg]]*VLOOKUP(Calculations[[#This Row],[Waste 1]],WasteScenario[#All],3,FALSE),0)</f>
        <v>0</v>
      </c>
      <c r="AB611" s="322">
        <f>SUM(Calculations[[#This Row],[C3 recyc]:[C3 incin]])</f>
        <v>0</v>
      </c>
      <c r="AC611" s="334">
        <f>IFERROR((VLOOKUP(Calculations[[#This Row],[Waste type 2]],WasteLandfillEmissions[#All],2,FALSE))*Calculations[[#This Row],[Total Kg]]*VLOOKUP(Calculations[[#This Row],[Waste 1]],WasteScenario[#All],4,FALSE),0)</f>
        <v>0</v>
      </c>
      <c r="AD611" s="322">
        <f>IFERROR((VLOOKUP(Calculations[[#This Row],[Waste type 2]],WasteLandfillEmissions[#All],3,FALSE))*Calculations[[#This Row],[Total Kg]]*VLOOKUP(Calculations[[#This Row],[Waste 1]],WasteScenario[#All],4,FALSE),0)</f>
        <v>0</v>
      </c>
      <c r="AE611" s="322">
        <f>SUM(Calculations[[#This Row],[C4 landfill]:[C4 re-use]])</f>
        <v>0</v>
      </c>
      <c r="AF611" s="322">
        <f>IFERROR(VLOOKUP(Calculations[[#This Row],[Material (choose from dropdown]],MaterialData[#All],8,FALSE),0)</f>
        <v>0</v>
      </c>
      <c r="AG611" s="322">
        <f>IFERROR(Calculations[[#This Row],[Total Kg]]*Calculations[[#This Row],[Seq factor]],0)</f>
        <v>0</v>
      </c>
      <c r="AI611" s="322">
        <f>Calculations[[#This Row],[A1-3]]+Calculations[[#This Row],[A4]]+Calculations[[#This Row],[A5]]+Calculations[[#This Row],[B4]]+Calculations[[#This Row],[C2 total]]+Calculations[[#This Row],[C3 total]]+Calculations[[#This Row],[C4 total]]</f>
        <v>0</v>
      </c>
      <c r="AJ611" s="2">
        <f>IFERROR(VLOOKUP(Calculations[[#This Row],[Material (choose from dropdown]],MaterialData[[#Headers],[#Data]],9,FALSE),0)</f>
        <v>0</v>
      </c>
      <c r="AK611" s="4">
        <f>IFERROR(VLOOKUP(Calculations[[#This Row],[Material (choose from dropdown]],MaterialData[[#Headers],[#Data]],10,FALSE),0)</f>
        <v>0</v>
      </c>
      <c r="AL611" s="322">
        <f>IFERROR(Calculations[[#This Row],[Data Quality Score]]*Calculations[[#This Row],[Total Kg]],0)</f>
        <v>0</v>
      </c>
    </row>
    <row r="612" spans="1:38" x14ac:dyDescent="0.3">
      <c r="A612" s="6">
        <f>IFERROR(MaterialsBoQ[[#This Row],[Scope Element]],0)</f>
        <v>0</v>
      </c>
      <c r="B612" t="str">
        <f>IFERROR(MaterialsBoQ[[#This Row],[Material ]],"")</f>
        <v/>
      </c>
      <c r="C612" t="str">
        <f>IFERROR(MaterialsBoQ[[#This Row],[Unit]],"")</f>
        <v/>
      </c>
      <c r="D612" s="322">
        <f>IFERROR(MaterialsBoQ[[#This Row],[Number]],0)</f>
        <v>0</v>
      </c>
      <c r="E612" s="322">
        <f>IFERROR(MaterialsBoQ[[#This Row],[Kg per unit]],0)</f>
        <v>0</v>
      </c>
      <c r="F612" s="322">
        <f>IFERROR(Calculations[[#This Row],[Number]]*Calculations[[#This Row],[Conversion factor]],0)</f>
        <v>0</v>
      </c>
      <c r="G612" s="322">
        <f>IFERROR(VLOOKUP(Calculations[[#This Row],[Material (choose from dropdown]],MaterialData[#All],7,FALSE),0)</f>
        <v>0</v>
      </c>
      <c r="H612" s="322">
        <f>Calculations[[#This Row],[Total Kg]]*Calculations[[#This Row],[Carbon Factor]]</f>
        <v>0</v>
      </c>
      <c r="I612" t="str">
        <f>IFERROR(VLOOKUP(Calculations[[#This Row],[Material (choose from dropdown]],MaterialData[#All],2,FALSE),"")</f>
        <v/>
      </c>
      <c r="J612" s="322">
        <f>IFERROR(((VLOOKUP(Calculations[[#This Row],[TransportSource]],TransportDistance[],2,FALSE)*'Stage assumptions'!$C$11)+VLOOKUP(Calculations[[#This Row],[TransportSource]],TransportDistance[],3,FALSE)*'Stage assumptions'!$C$12)*Calculations[[#This Row],[Total Kg]],0)</f>
        <v>0</v>
      </c>
      <c r="K612">
        <f>IFERROR(VLOOKUP(Calculations[[#This Row],[Material (choose from dropdown]], MaterialData[#All],3, FALSE),0)</f>
        <v>0</v>
      </c>
      <c r="L612" s="322">
        <f>IFERROR(VLOOKUP(Calculations[[#This Row],[A5type]],A5WastageRate[#All],2,FALSE)*Calculations[[#This Row],[A1-3]],0)</f>
        <v>0</v>
      </c>
      <c r="N612">
        <f>IFERROR(ROUNDUP(50/VLOOKUP(Calculations[[#This Row],[Scope Element]],B4referenceServiceLife[[Tier 2 element]:[Default Service Life]],2, FALSE)-1,0),0)</f>
        <v>0</v>
      </c>
      <c r="O612" s="322">
        <f>IFERROR((Calculations[[#This Row],[A1-3]]+Calculations[[#This Row],[A4]]+Calculations[[#This Row],[A5]]+Calculations[[#This Row],[C2 total]]+Calculations[[#This Row],[C3 total]]+Calculations[[#This Row],[C4 total]])*Calculations[[#This Row],[Replacements]],0)</f>
        <v>0</v>
      </c>
      <c r="S612" t="str">
        <f>IFERROR(VLOOKUP(Calculations[[#This Row],[Material (choose from dropdown]],MaterialData[#All],4,FALSE),"")</f>
        <v/>
      </c>
      <c r="T612" s="322" cm="1">
        <f t="array" ref="T612">IFERROR(VLOOKUP(Calculations[[#This Row],[Waste 1]],WasteScenario[#All],2,FALSE)*'Stage assumptions'!$C$225*WasteTransportMethod[Emissions Factor
kgCO2e/kg.km]*Calculations[[#This Row],[Total Kg]],0)</f>
        <v>0</v>
      </c>
      <c r="U612" s="322" cm="1">
        <f t="array" ref="U612">IFERROR(VLOOKUP(Calculations[[#This Row],[Waste 1]],WasteScenario[#All],3,FALSE)*'Stage assumptions'!$C$224*WasteTransportMethod[Emissions Factor
kgCO2e/kg.km]*Calculations[[#This Row],[Total Kg]],0)</f>
        <v>0</v>
      </c>
      <c r="V612" s="322" cm="1">
        <f t="array" ref="V612">IFERROR(VLOOKUP(Calculations[[#This Row],[Waste 1]],WasteScenario[#All],4,FALSE)*'Stage assumptions'!$C$223*WasteTransportMethod[Emissions Factor
kgCO2e/kg.km]*Calculations[[#This Row],[Total Kg]],0)</f>
        <v>0</v>
      </c>
      <c r="W612" s="322" cm="1">
        <f t="array" ref="W612">IFERROR(VLOOKUP(Calculations[[#This Row],[Waste 1]],WasteScenario[#All],5,FALSE)*'Stage assumptions'!$C$226*WasteTransportMethod[Emissions Factor
kgCO2e/kg.km]*Calculations[[#This Row],[Total Kg]],0)</f>
        <v>0</v>
      </c>
      <c r="X612" s="322">
        <f>SUM(Calculations[[#This Row],[C2 Recycle]:[C2 Reuse]])</f>
        <v>0</v>
      </c>
      <c r="Y612" t="str">
        <f>IFERROR(VLOOKUP(Calculations[[#This Row],[Material (choose from dropdown]],MaterialData[#All],5,FALSE),"")</f>
        <v/>
      </c>
      <c r="Z612" s="322">
        <f>IFERROR(((VLOOKUP(Calculations[[#This Row],[Waste type 2]],WasteDisposalEmissions[#All],2,FALSE))*Calculations[[#This Row],[Total Kg]])*VLOOKUP(Calculations[[#This Row],[Waste 1]],WasteScenario[#All],2,FALSE),0)</f>
        <v>0</v>
      </c>
      <c r="AA612" s="322">
        <f>IFERROR((VLOOKUP(Calculations[[#This Row],[Waste type 2]],WasteDisposalEmissions[#All],3,FALSE))*Calculations[[#This Row],[Total Kg]]*VLOOKUP(Calculations[[#This Row],[Waste 1]],WasteScenario[#All],3,FALSE),0)</f>
        <v>0</v>
      </c>
      <c r="AB612" s="322">
        <f>SUM(Calculations[[#This Row],[C3 recyc]:[C3 incin]])</f>
        <v>0</v>
      </c>
      <c r="AC612" s="334">
        <f>IFERROR((VLOOKUP(Calculations[[#This Row],[Waste type 2]],WasteLandfillEmissions[#All],2,FALSE))*Calculations[[#This Row],[Total Kg]]*VLOOKUP(Calculations[[#This Row],[Waste 1]],WasteScenario[#All],4,FALSE),0)</f>
        <v>0</v>
      </c>
      <c r="AD612" s="322">
        <f>IFERROR((VLOOKUP(Calculations[[#This Row],[Waste type 2]],WasteLandfillEmissions[#All],3,FALSE))*Calculations[[#This Row],[Total Kg]]*VLOOKUP(Calculations[[#This Row],[Waste 1]],WasteScenario[#All],4,FALSE),0)</f>
        <v>0</v>
      </c>
      <c r="AE612" s="322">
        <f>SUM(Calculations[[#This Row],[C4 landfill]:[C4 re-use]])</f>
        <v>0</v>
      </c>
      <c r="AF612" s="322">
        <f>IFERROR(VLOOKUP(Calculations[[#This Row],[Material (choose from dropdown]],MaterialData[#All],8,FALSE),0)</f>
        <v>0</v>
      </c>
      <c r="AG612" s="322">
        <f>IFERROR(Calculations[[#This Row],[Total Kg]]*Calculations[[#This Row],[Seq factor]],0)</f>
        <v>0</v>
      </c>
      <c r="AI612" s="322">
        <f>Calculations[[#This Row],[A1-3]]+Calculations[[#This Row],[A4]]+Calculations[[#This Row],[A5]]+Calculations[[#This Row],[B4]]+Calculations[[#This Row],[C2 total]]+Calculations[[#This Row],[C3 total]]+Calculations[[#This Row],[C4 total]]</f>
        <v>0</v>
      </c>
      <c r="AJ612" s="2">
        <f>IFERROR(VLOOKUP(Calculations[[#This Row],[Material (choose from dropdown]],MaterialData[[#Headers],[#Data]],9,FALSE),0)</f>
        <v>0</v>
      </c>
      <c r="AK612" s="4">
        <f>IFERROR(VLOOKUP(Calculations[[#This Row],[Material (choose from dropdown]],MaterialData[[#Headers],[#Data]],10,FALSE),0)</f>
        <v>0</v>
      </c>
      <c r="AL612" s="322">
        <f>IFERROR(Calculations[[#This Row],[Data Quality Score]]*Calculations[[#This Row],[Total Kg]],0)</f>
        <v>0</v>
      </c>
    </row>
    <row r="613" spans="1:38" x14ac:dyDescent="0.3">
      <c r="A613" s="6">
        <f>IFERROR(MaterialsBoQ[[#This Row],[Scope Element]],0)</f>
        <v>0</v>
      </c>
      <c r="B613" t="str">
        <f>IFERROR(MaterialsBoQ[[#This Row],[Material ]],"")</f>
        <v/>
      </c>
      <c r="C613" t="str">
        <f>IFERROR(MaterialsBoQ[[#This Row],[Unit]],"")</f>
        <v/>
      </c>
      <c r="D613" s="322">
        <f>IFERROR(MaterialsBoQ[[#This Row],[Number]],0)</f>
        <v>0</v>
      </c>
      <c r="E613" s="322">
        <f>IFERROR(MaterialsBoQ[[#This Row],[Kg per unit]],0)</f>
        <v>0</v>
      </c>
      <c r="F613" s="322">
        <f>IFERROR(Calculations[[#This Row],[Number]]*Calculations[[#This Row],[Conversion factor]],0)</f>
        <v>0</v>
      </c>
      <c r="G613" s="322">
        <f>IFERROR(VLOOKUP(Calculations[[#This Row],[Material (choose from dropdown]],MaterialData[#All],7,FALSE),0)</f>
        <v>0</v>
      </c>
      <c r="H613" s="322">
        <f>Calculations[[#This Row],[Total Kg]]*Calculations[[#This Row],[Carbon Factor]]</f>
        <v>0</v>
      </c>
      <c r="I613" t="str">
        <f>IFERROR(VLOOKUP(Calculations[[#This Row],[Material (choose from dropdown]],MaterialData[#All],2,FALSE),"")</f>
        <v/>
      </c>
      <c r="J613" s="322">
        <f>IFERROR(((VLOOKUP(Calculations[[#This Row],[TransportSource]],TransportDistance[],2,FALSE)*'Stage assumptions'!$C$11)+VLOOKUP(Calculations[[#This Row],[TransportSource]],TransportDistance[],3,FALSE)*'Stage assumptions'!$C$12)*Calculations[[#This Row],[Total Kg]],0)</f>
        <v>0</v>
      </c>
      <c r="K613">
        <f>IFERROR(VLOOKUP(Calculations[[#This Row],[Material (choose from dropdown]], MaterialData[#All],3, FALSE),0)</f>
        <v>0</v>
      </c>
      <c r="L613" s="322">
        <f>IFERROR(VLOOKUP(Calculations[[#This Row],[A5type]],A5WastageRate[#All],2,FALSE)*Calculations[[#This Row],[A1-3]],0)</f>
        <v>0</v>
      </c>
      <c r="N613">
        <f>IFERROR(ROUNDUP(50/VLOOKUP(Calculations[[#This Row],[Scope Element]],B4referenceServiceLife[[Tier 2 element]:[Default Service Life]],2, FALSE)-1,0),0)</f>
        <v>0</v>
      </c>
      <c r="O613" s="322">
        <f>IFERROR((Calculations[[#This Row],[A1-3]]+Calculations[[#This Row],[A4]]+Calculations[[#This Row],[A5]]+Calculations[[#This Row],[C2 total]]+Calculations[[#This Row],[C3 total]]+Calculations[[#This Row],[C4 total]])*Calculations[[#This Row],[Replacements]],0)</f>
        <v>0</v>
      </c>
      <c r="S613" t="str">
        <f>IFERROR(VLOOKUP(Calculations[[#This Row],[Material (choose from dropdown]],MaterialData[#All],4,FALSE),"")</f>
        <v/>
      </c>
      <c r="T613" s="322" cm="1">
        <f t="array" ref="T613">IFERROR(VLOOKUP(Calculations[[#This Row],[Waste 1]],WasteScenario[#All],2,FALSE)*'Stage assumptions'!$C$225*WasteTransportMethod[Emissions Factor
kgCO2e/kg.km]*Calculations[[#This Row],[Total Kg]],0)</f>
        <v>0</v>
      </c>
      <c r="U613" s="322" cm="1">
        <f t="array" ref="U613">IFERROR(VLOOKUP(Calculations[[#This Row],[Waste 1]],WasteScenario[#All],3,FALSE)*'Stage assumptions'!$C$224*WasteTransportMethod[Emissions Factor
kgCO2e/kg.km]*Calculations[[#This Row],[Total Kg]],0)</f>
        <v>0</v>
      </c>
      <c r="V613" s="322" cm="1">
        <f t="array" ref="V613">IFERROR(VLOOKUP(Calculations[[#This Row],[Waste 1]],WasteScenario[#All],4,FALSE)*'Stage assumptions'!$C$223*WasteTransportMethod[Emissions Factor
kgCO2e/kg.km]*Calculations[[#This Row],[Total Kg]],0)</f>
        <v>0</v>
      </c>
      <c r="W613" s="322" cm="1">
        <f t="array" ref="W613">IFERROR(VLOOKUP(Calculations[[#This Row],[Waste 1]],WasteScenario[#All],5,FALSE)*'Stage assumptions'!$C$226*WasteTransportMethod[Emissions Factor
kgCO2e/kg.km]*Calculations[[#This Row],[Total Kg]],0)</f>
        <v>0</v>
      </c>
      <c r="X613" s="322">
        <f>SUM(Calculations[[#This Row],[C2 Recycle]:[C2 Reuse]])</f>
        <v>0</v>
      </c>
      <c r="Y613" t="str">
        <f>IFERROR(VLOOKUP(Calculations[[#This Row],[Material (choose from dropdown]],MaterialData[#All],5,FALSE),"")</f>
        <v/>
      </c>
      <c r="Z613" s="322">
        <f>IFERROR(((VLOOKUP(Calculations[[#This Row],[Waste type 2]],WasteDisposalEmissions[#All],2,FALSE))*Calculations[[#This Row],[Total Kg]])*VLOOKUP(Calculations[[#This Row],[Waste 1]],WasteScenario[#All],2,FALSE),0)</f>
        <v>0</v>
      </c>
      <c r="AA613" s="322">
        <f>IFERROR((VLOOKUP(Calculations[[#This Row],[Waste type 2]],WasteDisposalEmissions[#All],3,FALSE))*Calculations[[#This Row],[Total Kg]]*VLOOKUP(Calculations[[#This Row],[Waste 1]],WasteScenario[#All],3,FALSE),0)</f>
        <v>0</v>
      </c>
      <c r="AB613" s="322">
        <f>SUM(Calculations[[#This Row],[C3 recyc]:[C3 incin]])</f>
        <v>0</v>
      </c>
      <c r="AC613" s="334">
        <f>IFERROR((VLOOKUP(Calculations[[#This Row],[Waste type 2]],WasteLandfillEmissions[#All],2,FALSE))*Calculations[[#This Row],[Total Kg]]*VLOOKUP(Calculations[[#This Row],[Waste 1]],WasteScenario[#All],4,FALSE),0)</f>
        <v>0</v>
      </c>
      <c r="AD613" s="322">
        <f>IFERROR((VLOOKUP(Calculations[[#This Row],[Waste type 2]],WasteLandfillEmissions[#All],3,FALSE))*Calculations[[#This Row],[Total Kg]]*VLOOKUP(Calculations[[#This Row],[Waste 1]],WasteScenario[#All],4,FALSE),0)</f>
        <v>0</v>
      </c>
      <c r="AE613" s="322">
        <f>SUM(Calculations[[#This Row],[C4 landfill]:[C4 re-use]])</f>
        <v>0</v>
      </c>
      <c r="AF613" s="322">
        <f>IFERROR(VLOOKUP(Calculations[[#This Row],[Material (choose from dropdown]],MaterialData[#All],8,FALSE),0)</f>
        <v>0</v>
      </c>
      <c r="AG613" s="322">
        <f>IFERROR(Calculations[[#This Row],[Total Kg]]*Calculations[[#This Row],[Seq factor]],0)</f>
        <v>0</v>
      </c>
      <c r="AI613" s="322">
        <f>Calculations[[#This Row],[A1-3]]+Calculations[[#This Row],[A4]]+Calculations[[#This Row],[A5]]+Calculations[[#This Row],[B4]]+Calculations[[#This Row],[C2 total]]+Calculations[[#This Row],[C3 total]]+Calculations[[#This Row],[C4 total]]</f>
        <v>0</v>
      </c>
      <c r="AJ613" s="2">
        <f>IFERROR(VLOOKUP(Calculations[[#This Row],[Material (choose from dropdown]],MaterialData[[#Headers],[#Data]],9,FALSE),0)</f>
        <v>0</v>
      </c>
      <c r="AK613" s="4">
        <f>IFERROR(VLOOKUP(Calculations[[#This Row],[Material (choose from dropdown]],MaterialData[[#Headers],[#Data]],10,FALSE),0)</f>
        <v>0</v>
      </c>
      <c r="AL613" s="322">
        <f>IFERROR(Calculations[[#This Row],[Data Quality Score]]*Calculations[[#This Row],[Total Kg]],0)</f>
        <v>0</v>
      </c>
    </row>
    <row r="614" spans="1:38" x14ac:dyDescent="0.3">
      <c r="A614" s="6">
        <f>IFERROR(MaterialsBoQ[[#This Row],[Scope Element]],0)</f>
        <v>0</v>
      </c>
      <c r="B614" t="str">
        <f>IFERROR(MaterialsBoQ[[#This Row],[Material ]],"")</f>
        <v/>
      </c>
      <c r="C614" t="str">
        <f>IFERROR(MaterialsBoQ[[#This Row],[Unit]],"")</f>
        <v/>
      </c>
      <c r="D614" s="322">
        <f>IFERROR(MaterialsBoQ[[#This Row],[Number]],0)</f>
        <v>0</v>
      </c>
      <c r="E614" s="322">
        <f>IFERROR(MaterialsBoQ[[#This Row],[Kg per unit]],0)</f>
        <v>0</v>
      </c>
      <c r="F614" s="322">
        <f>IFERROR(Calculations[[#This Row],[Number]]*Calculations[[#This Row],[Conversion factor]],0)</f>
        <v>0</v>
      </c>
      <c r="G614" s="322">
        <f>IFERROR(VLOOKUP(Calculations[[#This Row],[Material (choose from dropdown]],MaterialData[#All],7,FALSE),0)</f>
        <v>0</v>
      </c>
      <c r="H614" s="322">
        <f>Calculations[[#This Row],[Total Kg]]*Calculations[[#This Row],[Carbon Factor]]</f>
        <v>0</v>
      </c>
      <c r="I614" t="str">
        <f>IFERROR(VLOOKUP(Calculations[[#This Row],[Material (choose from dropdown]],MaterialData[#All],2,FALSE),"")</f>
        <v/>
      </c>
      <c r="J614" s="322">
        <f>IFERROR(((VLOOKUP(Calculations[[#This Row],[TransportSource]],TransportDistance[],2,FALSE)*'Stage assumptions'!$C$11)+VLOOKUP(Calculations[[#This Row],[TransportSource]],TransportDistance[],3,FALSE)*'Stage assumptions'!$C$12)*Calculations[[#This Row],[Total Kg]],0)</f>
        <v>0</v>
      </c>
      <c r="K614">
        <f>IFERROR(VLOOKUP(Calculations[[#This Row],[Material (choose from dropdown]], MaterialData[#All],3, FALSE),0)</f>
        <v>0</v>
      </c>
      <c r="L614" s="322">
        <f>IFERROR(VLOOKUP(Calculations[[#This Row],[A5type]],A5WastageRate[#All],2,FALSE)*Calculations[[#This Row],[A1-3]],0)</f>
        <v>0</v>
      </c>
      <c r="N614">
        <f>IFERROR(ROUNDUP(50/VLOOKUP(Calculations[[#This Row],[Scope Element]],B4referenceServiceLife[[Tier 2 element]:[Default Service Life]],2, FALSE)-1,0),0)</f>
        <v>0</v>
      </c>
      <c r="O614" s="322">
        <f>IFERROR((Calculations[[#This Row],[A1-3]]+Calculations[[#This Row],[A4]]+Calculations[[#This Row],[A5]]+Calculations[[#This Row],[C2 total]]+Calculations[[#This Row],[C3 total]]+Calculations[[#This Row],[C4 total]])*Calculations[[#This Row],[Replacements]],0)</f>
        <v>0</v>
      </c>
      <c r="S614" t="str">
        <f>IFERROR(VLOOKUP(Calculations[[#This Row],[Material (choose from dropdown]],MaterialData[#All],4,FALSE),"")</f>
        <v/>
      </c>
      <c r="T614" s="322" cm="1">
        <f t="array" ref="T614">IFERROR(VLOOKUP(Calculations[[#This Row],[Waste 1]],WasteScenario[#All],2,FALSE)*'Stage assumptions'!$C$225*WasteTransportMethod[Emissions Factor
kgCO2e/kg.km]*Calculations[[#This Row],[Total Kg]],0)</f>
        <v>0</v>
      </c>
      <c r="U614" s="322" cm="1">
        <f t="array" ref="U614">IFERROR(VLOOKUP(Calculations[[#This Row],[Waste 1]],WasteScenario[#All],3,FALSE)*'Stage assumptions'!$C$224*WasteTransportMethod[Emissions Factor
kgCO2e/kg.km]*Calculations[[#This Row],[Total Kg]],0)</f>
        <v>0</v>
      </c>
      <c r="V614" s="322" cm="1">
        <f t="array" ref="V614">IFERROR(VLOOKUP(Calculations[[#This Row],[Waste 1]],WasteScenario[#All],4,FALSE)*'Stage assumptions'!$C$223*WasteTransportMethod[Emissions Factor
kgCO2e/kg.km]*Calculations[[#This Row],[Total Kg]],0)</f>
        <v>0</v>
      </c>
      <c r="W614" s="322" cm="1">
        <f t="array" ref="W614">IFERROR(VLOOKUP(Calculations[[#This Row],[Waste 1]],WasteScenario[#All],5,FALSE)*'Stage assumptions'!$C$226*WasteTransportMethod[Emissions Factor
kgCO2e/kg.km]*Calculations[[#This Row],[Total Kg]],0)</f>
        <v>0</v>
      </c>
      <c r="X614" s="322">
        <f>SUM(Calculations[[#This Row],[C2 Recycle]:[C2 Reuse]])</f>
        <v>0</v>
      </c>
      <c r="Y614" t="str">
        <f>IFERROR(VLOOKUP(Calculations[[#This Row],[Material (choose from dropdown]],MaterialData[#All],5,FALSE),"")</f>
        <v/>
      </c>
      <c r="Z614" s="322">
        <f>IFERROR(((VLOOKUP(Calculations[[#This Row],[Waste type 2]],WasteDisposalEmissions[#All],2,FALSE))*Calculations[[#This Row],[Total Kg]])*VLOOKUP(Calculations[[#This Row],[Waste 1]],WasteScenario[#All],2,FALSE),0)</f>
        <v>0</v>
      </c>
      <c r="AA614" s="322">
        <f>IFERROR((VLOOKUP(Calculations[[#This Row],[Waste type 2]],WasteDisposalEmissions[#All],3,FALSE))*Calculations[[#This Row],[Total Kg]]*VLOOKUP(Calculations[[#This Row],[Waste 1]],WasteScenario[#All],3,FALSE),0)</f>
        <v>0</v>
      </c>
      <c r="AB614" s="322">
        <f>SUM(Calculations[[#This Row],[C3 recyc]:[C3 incin]])</f>
        <v>0</v>
      </c>
      <c r="AC614" s="334">
        <f>IFERROR((VLOOKUP(Calculations[[#This Row],[Waste type 2]],WasteLandfillEmissions[#All],2,FALSE))*Calculations[[#This Row],[Total Kg]]*VLOOKUP(Calculations[[#This Row],[Waste 1]],WasteScenario[#All],4,FALSE),0)</f>
        <v>0</v>
      </c>
      <c r="AD614" s="322">
        <f>IFERROR((VLOOKUP(Calculations[[#This Row],[Waste type 2]],WasteLandfillEmissions[#All],3,FALSE))*Calculations[[#This Row],[Total Kg]]*VLOOKUP(Calculations[[#This Row],[Waste 1]],WasteScenario[#All],4,FALSE),0)</f>
        <v>0</v>
      </c>
      <c r="AE614" s="322">
        <f>SUM(Calculations[[#This Row],[C4 landfill]:[C4 re-use]])</f>
        <v>0</v>
      </c>
      <c r="AF614" s="322">
        <f>IFERROR(VLOOKUP(Calculations[[#This Row],[Material (choose from dropdown]],MaterialData[#All],8,FALSE),0)</f>
        <v>0</v>
      </c>
      <c r="AG614" s="322">
        <f>IFERROR(Calculations[[#This Row],[Total Kg]]*Calculations[[#This Row],[Seq factor]],0)</f>
        <v>0</v>
      </c>
      <c r="AI614" s="322">
        <f>Calculations[[#This Row],[A1-3]]+Calculations[[#This Row],[A4]]+Calculations[[#This Row],[A5]]+Calculations[[#This Row],[B4]]+Calculations[[#This Row],[C2 total]]+Calculations[[#This Row],[C3 total]]+Calculations[[#This Row],[C4 total]]</f>
        <v>0</v>
      </c>
      <c r="AJ614" s="2">
        <f>IFERROR(VLOOKUP(Calculations[[#This Row],[Material (choose from dropdown]],MaterialData[[#Headers],[#Data]],9,FALSE),0)</f>
        <v>0</v>
      </c>
      <c r="AK614" s="4">
        <f>IFERROR(VLOOKUP(Calculations[[#This Row],[Material (choose from dropdown]],MaterialData[[#Headers],[#Data]],10,FALSE),0)</f>
        <v>0</v>
      </c>
      <c r="AL614" s="322">
        <f>IFERROR(Calculations[[#This Row],[Data Quality Score]]*Calculations[[#This Row],[Total Kg]],0)</f>
        <v>0</v>
      </c>
    </row>
    <row r="615" spans="1:38" x14ac:dyDescent="0.3">
      <c r="A615" s="6">
        <f>IFERROR(MaterialsBoQ[[#This Row],[Scope Element]],0)</f>
        <v>0</v>
      </c>
      <c r="B615" t="str">
        <f>IFERROR(MaterialsBoQ[[#This Row],[Material ]],"")</f>
        <v/>
      </c>
      <c r="C615" t="str">
        <f>IFERROR(MaterialsBoQ[[#This Row],[Unit]],"")</f>
        <v/>
      </c>
      <c r="D615" s="322">
        <f>IFERROR(MaterialsBoQ[[#This Row],[Number]],0)</f>
        <v>0</v>
      </c>
      <c r="E615" s="322">
        <f>IFERROR(MaterialsBoQ[[#This Row],[Kg per unit]],0)</f>
        <v>0</v>
      </c>
      <c r="F615" s="322">
        <f>IFERROR(Calculations[[#This Row],[Number]]*Calculations[[#This Row],[Conversion factor]],0)</f>
        <v>0</v>
      </c>
      <c r="G615" s="322">
        <f>IFERROR(VLOOKUP(Calculations[[#This Row],[Material (choose from dropdown]],MaterialData[#All],7,FALSE),0)</f>
        <v>0</v>
      </c>
      <c r="H615" s="322">
        <f>Calculations[[#This Row],[Total Kg]]*Calculations[[#This Row],[Carbon Factor]]</f>
        <v>0</v>
      </c>
      <c r="I615" t="str">
        <f>IFERROR(VLOOKUP(Calculations[[#This Row],[Material (choose from dropdown]],MaterialData[#All],2,FALSE),"")</f>
        <v/>
      </c>
      <c r="J615" s="322">
        <f>IFERROR(((VLOOKUP(Calculations[[#This Row],[TransportSource]],TransportDistance[],2,FALSE)*'Stage assumptions'!$C$11)+VLOOKUP(Calculations[[#This Row],[TransportSource]],TransportDistance[],3,FALSE)*'Stage assumptions'!$C$12)*Calculations[[#This Row],[Total Kg]],0)</f>
        <v>0</v>
      </c>
      <c r="K615">
        <f>IFERROR(VLOOKUP(Calculations[[#This Row],[Material (choose from dropdown]], MaterialData[#All],3, FALSE),0)</f>
        <v>0</v>
      </c>
      <c r="L615" s="322">
        <f>IFERROR(VLOOKUP(Calculations[[#This Row],[A5type]],A5WastageRate[#All],2,FALSE)*Calculations[[#This Row],[A1-3]],0)</f>
        <v>0</v>
      </c>
      <c r="N615">
        <f>IFERROR(ROUNDUP(50/VLOOKUP(Calculations[[#This Row],[Scope Element]],B4referenceServiceLife[[Tier 2 element]:[Default Service Life]],2, FALSE)-1,0),0)</f>
        <v>0</v>
      </c>
      <c r="O615" s="322">
        <f>IFERROR((Calculations[[#This Row],[A1-3]]+Calculations[[#This Row],[A4]]+Calculations[[#This Row],[A5]]+Calculations[[#This Row],[C2 total]]+Calculations[[#This Row],[C3 total]]+Calculations[[#This Row],[C4 total]])*Calculations[[#This Row],[Replacements]],0)</f>
        <v>0</v>
      </c>
      <c r="S615" t="str">
        <f>IFERROR(VLOOKUP(Calculations[[#This Row],[Material (choose from dropdown]],MaterialData[#All],4,FALSE),"")</f>
        <v/>
      </c>
      <c r="T615" s="322" cm="1">
        <f t="array" ref="T615">IFERROR(VLOOKUP(Calculations[[#This Row],[Waste 1]],WasteScenario[#All],2,FALSE)*'Stage assumptions'!$C$225*WasteTransportMethod[Emissions Factor
kgCO2e/kg.km]*Calculations[[#This Row],[Total Kg]],0)</f>
        <v>0</v>
      </c>
      <c r="U615" s="322" cm="1">
        <f t="array" ref="U615">IFERROR(VLOOKUP(Calculations[[#This Row],[Waste 1]],WasteScenario[#All],3,FALSE)*'Stage assumptions'!$C$224*WasteTransportMethod[Emissions Factor
kgCO2e/kg.km]*Calculations[[#This Row],[Total Kg]],0)</f>
        <v>0</v>
      </c>
      <c r="V615" s="322" cm="1">
        <f t="array" ref="V615">IFERROR(VLOOKUP(Calculations[[#This Row],[Waste 1]],WasteScenario[#All],4,FALSE)*'Stage assumptions'!$C$223*WasteTransportMethod[Emissions Factor
kgCO2e/kg.km]*Calculations[[#This Row],[Total Kg]],0)</f>
        <v>0</v>
      </c>
      <c r="W615" s="322" cm="1">
        <f t="array" ref="W615">IFERROR(VLOOKUP(Calculations[[#This Row],[Waste 1]],WasteScenario[#All],5,FALSE)*'Stage assumptions'!$C$226*WasteTransportMethod[Emissions Factor
kgCO2e/kg.km]*Calculations[[#This Row],[Total Kg]],0)</f>
        <v>0</v>
      </c>
      <c r="X615" s="322">
        <f>SUM(Calculations[[#This Row],[C2 Recycle]:[C2 Reuse]])</f>
        <v>0</v>
      </c>
      <c r="Y615" t="str">
        <f>IFERROR(VLOOKUP(Calculations[[#This Row],[Material (choose from dropdown]],MaterialData[#All],5,FALSE),"")</f>
        <v/>
      </c>
      <c r="Z615" s="322">
        <f>IFERROR(((VLOOKUP(Calculations[[#This Row],[Waste type 2]],WasteDisposalEmissions[#All],2,FALSE))*Calculations[[#This Row],[Total Kg]])*VLOOKUP(Calculations[[#This Row],[Waste 1]],WasteScenario[#All],2,FALSE),0)</f>
        <v>0</v>
      </c>
      <c r="AA615" s="322">
        <f>IFERROR((VLOOKUP(Calculations[[#This Row],[Waste type 2]],WasteDisposalEmissions[#All],3,FALSE))*Calculations[[#This Row],[Total Kg]]*VLOOKUP(Calculations[[#This Row],[Waste 1]],WasteScenario[#All],3,FALSE),0)</f>
        <v>0</v>
      </c>
      <c r="AB615" s="322">
        <f>SUM(Calculations[[#This Row],[C3 recyc]:[C3 incin]])</f>
        <v>0</v>
      </c>
      <c r="AC615" s="334">
        <f>IFERROR((VLOOKUP(Calculations[[#This Row],[Waste type 2]],WasteLandfillEmissions[#All],2,FALSE))*Calculations[[#This Row],[Total Kg]]*VLOOKUP(Calculations[[#This Row],[Waste 1]],WasteScenario[#All],4,FALSE),0)</f>
        <v>0</v>
      </c>
      <c r="AD615" s="322">
        <f>IFERROR((VLOOKUP(Calculations[[#This Row],[Waste type 2]],WasteLandfillEmissions[#All],3,FALSE))*Calculations[[#This Row],[Total Kg]]*VLOOKUP(Calculations[[#This Row],[Waste 1]],WasteScenario[#All],4,FALSE),0)</f>
        <v>0</v>
      </c>
      <c r="AE615" s="322">
        <f>SUM(Calculations[[#This Row],[C4 landfill]:[C4 re-use]])</f>
        <v>0</v>
      </c>
      <c r="AF615" s="322">
        <f>IFERROR(VLOOKUP(Calculations[[#This Row],[Material (choose from dropdown]],MaterialData[#All],8,FALSE),0)</f>
        <v>0</v>
      </c>
      <c r="AG615" s="322">
        <f>IFERROR(Calculations[[#This Row],[Total Kg]]*Calculations[[#This Row],[Seq factor]],0)</f>
        <v>0</v>
      </c>
      <c r="AI615" s="322">
        <f>Calculations[[#This Row],[A1-3]]+Calculations[[#This Row],[A4]]+Calculations[[#This Row],[A5]]+Calculations[[#This Row],[B4]]+Calculations[[#This Row],[C2 total]]+Calculations[[#This Row],[C3 total]]+Calculations[[#This Row],[C4 total]]</f>
        <v>0</v>
      </c>
      <c r="AJ615" s="2">
        <f>IFERROR(VLOOKUP(Calculations[[#This Row],[Material (choose from dropdown]],MaterialData[[#Headers],[#Data]],9,FALSE),0)</f>
        <v>0</v>
      </c>
      <c r="AK615" s="4">
        <f>IFERROR(VLOOKUP(Calculations[[#This Row],[Material (choose from dropdown]],MaterialData[[#Headers],[#Data]],10,FALSE),0)</f>
        <v>0</v>
      </c>
      <c r="AL615" s="322">
        <f>IFERROR(Calculations[[#This Row],[Data Quality Score]]*Calculations[[#This Row],[Total Kg]],0)</f>
        <v>0</v>
      </c>
    </row>
    <row r="616" spans="1:38" x14ac:dyDescent="0.3">
      <c r="A616" s="6">
        <f>IFERROR(MaterialsBoQ[[#This Row],[Scope Element]],0)</f>
        <v>0</v>
      </c>
      <c r="B616" t="str">
        <f>IFERROR(MaterialsBoQ[[#This Row],[Material ]],"")</f>
        <v/>
      </c>
      <c r="C616" t="str">
        <f>IFERROR(MaterialsBoQ[[#This Row],[Unit]],"")</f>
        <v/>
      </c>
      <c r="D616" s="322">
        <f>IFERROR(MaterialsBoQ[[#This Row],[Number]],0)</f>
        <v>0</v>
      </c>
      <c r="E616" s="322">
        <f>IFERROR(MaterialsBoQ[[#This Row],[Kg per unit]],0)</f>
        <v>0</v>
      </c>
      <c r="F616" s="322">
        <f>IFERROR(Calculations[[#This Row],[Number]]*Calculations[[#This Row],[Conversion factor]],0)</f>
        <v>0</v>
      </c>
      <c r="G616" s="322">
        <f>IFERROR(VLOOKUP(Calculations[[#This Row],[Material (choose from dropdown]],MaterialData[#All],7,FALSE),0)</f>
        <v>0</v>
      </c>
      <c r="H616" s="322">
        <f>Calculations[[#This Row],[Total Kg]]*Calculations[[#This Row],[Carbon Factor]]</f>
        <v>0</v>
      </c>
      <c r="I616" t="str">
        <f>IFERROR(VLOOKUP(Calculations[[#This Row],[Material (choose from dropdown]],MaterialData[#All],2,FALSE),"")</f>
        <v/>
      </c>
      <c r="J616" s="322">
        <f>IFERROR(((VLOOKUP(Calculations[[#This Row],[TransportSource]],TransportDistance[],2,FALSE)*'Stage assumptions'!$C$11)+VLOOKUP(Calculations[[#This Row],[TransportSource]],TransportDistance[],3,FALSE)*'Stage assumptions'!$C$12)*Calculations[[#This Row],[Total Kg]],0)</f>
        <v>0</v>
      </c>
      <c r="K616">
        <f>IFERROR(VLOOKUP(Calculations[[#This Row],[Material (choose from dropdown]], MaterialData[#All],3, FALSE),0)</f>
        <v>0</v>
      </c>
      <c r="L616" s="322">
        <f>IFERROR(VLOOKUP(Calculations[[#This Row],[A5type]],A5WastageRate[#All],2,FALSE)*Calculations[[#This Row],[A1-3]],0)</f>
        <v>0</v>
      </c>
      <c r="N616">
        <f>IFERROR(ROUNDUP(50/VLOOKUP(Calculations[[#This Row],[Scope Element]],B4referenceServiceLife[[Tier 2 element]:[Default Service Life]],2, FALSE)-1,0),0)</f>
        <v>0</v>
      </c>
      <c r="O616" s="322">
        <f>IFERROR((Calculations[[#This Row],[A1-3]]+Calculations[[#This Row],[A4]]+Calculations[[#This Row],[A5]]+Calculations[[#This Row],[C2 total]]+Calculations[[#This Row],[C3 total]]+Calculations[[#This Row],[C4 total]])*Calculations[[#This Row],[Replacements]],0)</f>
        <v>0</v>
      </c>
      <c r="S616" t="str">
        <f>IFERROR(VLOOKUP(Calculations[[#This Row],[Material (choose from dropdown]],MaterialData[#All],4,FALSE),"")</f>
        <v/>
      </c>
      <c r="T616" s="322" cm="1">
        <f t="array" ref="T616">IFERROR(VLOOKUP(Calculations[[#This Row],[Waste 1]],WasteScenario[#All],2,FALSE)*'Stage assumptions'!$C$225*WasteTransportMethod[Emissions Factor
kgCO2e/kg.km]*Calculations[[#This Row],[Total Kg]],0)</f>
        <v>0</v>
      </c>
      <c r="U616" s="322" cm="1">
        <f t="array" ref="U616">IFERROR(VLOOKUP(Calculations[[#This Row],[Waste 1]],WasteScenario[#All],3,FALSE)*'Stage assumptions'!$C$224*WasteTransportMethod[Emissions Factor
kgCO2e/kg.km]*Calculations[[#This Row],[Total Kg]],0)</f>
        <v>0</v>
      </c>
      <c r="V616" s="322" cm="1">
        <f t="array" ref="V616">IFERROR(VLOOKUP(Calculations[[#This Row],[Waste 1]],WasteScenario[#All],4,FALSE)*'Stage assumptions'!$C$223*WasteTransportMethod[Emissions Factor
kgCO2e/kg.km]*Calculations[[#This Row],[Total Kg]],0)</f>
        <v>0</v>
      </c>
      <c r="W616" s="322" cm="1">
        <f t="array" ref="W616">IFERROR(VLOOKUP(Calculations[[#This Row],[Waste 1]],WasteScenario[#All],5,FALSE)*'Stage assumptions'!$C$226*WasteTransportMethod[Emissions Factor
kgCO2e/kg.km]*Calculations[[#This Row],[Total Kg]],0)</f>
        <v>0</v>
      </c>
      <c r="X616" s="322">
        <f>SUM(Calculations[[#This Row],[C2 Recycle]:[C2 Reuse]])</f>
        <v>0</v>
      </c>
      <c r="Y616" t="str">
        <f>IFERROR(VLOOKUP(Calculations[[#This Row],[Material (choose from dropdown]],MaterialData[#All],5,FALSE),"")</f>
        <v/>
      </c>
      <c r="Z616" s="322">
        <f>IFERROR(((VLOOKUP(Calculations[[#This Row],[Waste type 2]],WasteDisposalEmissions[#All],2,FALSE))*Calculations[[#This Row],[Total Kg]])*VLOOKUP(Calculations[[#This Row],[Waste 1]],WasteScenario[#All],2,FALSE),0)</f>
        <v>0</v>
      </c>
      <c r="AA616" s="322">
        <f>IFERROR((VLOOKUP(Calculations[[#This Row],[Waste type 2]],WasteDisposalEmissions[#All],3,FALSE))*Calculations[[#This Row],[Total Kg]]*VLOOKUP(Calculations[[#This Row],[Waste 1]],WasteScenario[#All],3,FALSE),0)</f>
        <v>0</v>
      </c>
      <c r="AB616" s="322">
        <f>SUM(Calculations[[#This Row],[C3 recyc]:[C3 incin]])</f>
        <v>0</v>
      </c>
      <c r="AC616" s="334">
        <f>IFERROR((VLOOKUP(Calculations[[#This Row],[Waste type 2]],WasteLandfillEmissions[#All],2,FALSE))*Calculations[[#This Row],[Total Kg]]*VLOOKUP(Calculations[[#This Row],[Waste 1]],WasteScenario[#All],4,FALSE),0)</f>
        <v>0</v>
      </c>
      <c r="AD616" s="322">
        <f>IFERROR((VLOOKUP(Calculations[[#This Row],[Waste type 2]],WasteLandfillEmissions[#All],3,FALSE))*Calculations[[#This Row],[Total Kg]]*VLOOKUP(Calculations[[#This Row],[Waste 1]],WasteScenario[#All],4,FALSE),0)</f>
        <v>0</v>
      </c>
      <c r="AE616" s="322">
        <f>SUM(Calculations[[#This Row],[C4 landfill]:[C4 re-use]])</f>
        <v>0</v>
      </c>
      <c r="AF616" s="322">
        <f>IFERROR(VLOOKUP(Calculations[[#This Row],[Material (choose from dropdown]],MaterialData[#All],8,FALSE),0)</f>
        <v>0</v>
      </c>
      <c r="AG616" s="322">
        <f>IFERROR(Calculations[[#This Row],[Total Kg]]*Calculations[[#This Row],[Seq factor]],0)</f>
        <v>0</v>
      </c>
      <c r="AI616" s="322">
        <f>Calculations[[#This Row],[A1-3]]+Calculations[[#This Row],[A4]]+Calculations[[#This Row],[A5]]+Calculations[[#This Row],[B4]]+Calculations[[#This Row],[C2 total]]+Calculations[[#This Row],[C3 total]]+Calculations[[#This Row],[C4 total]]</f>
        <v>0</v>
      </c>
      <c r="AJ616" s="2">
        <f>IFERROR(VLOOKUP(Calculations[[#This Row],[Material (choose from dropdown]],MaterialData[[#Headers],[#Data]],9,FALSE),0)</f>
        <v>0</v>
      </c>
      <c r="AK616" s="4">
        <f>IFERROR(VLOOKUP(Calculations[[#This Row],[Material (choose from dropdown]],MaterialData[[#Headers],[#Data]],10,FALSE),0)</f>
        <v>0</v>
      </c>
      <c r="AL616" s="322">
        <f>IFERROR(Calculations[[#This Row],[Data Quality Score]]*Calculations[[#This Row],[Total Kg]],0)</f>
        <v>0</v>
      </c>
    </row>
    <row r="617" spans="1:38" x14ac:dyDescent="0.3">
      <c r="A617" s="6">
        <f>IFERROR(MaterialsBoQ[[#This Row],[Scope Element]],0)</f>
        <v>0</v>
      </c>
      <c r="B617" t="str">
        <f>IFERROR(MaterialsBoQ[[#This Row],[Material ]],"")</f>
        <v/>
      </c>
      <c r="C617" t="str">
        <f>IFERROR(MaterialsBoQ[[#This Row],[Unit]],"")</f>
        <v/>
      </c>
      <c r="D617" s="322">
        <f>IFERROR(MaterialsBoQ[[#This Row],[Number]],0)</f>
        <v>0</v>
      </c>
      <c r="E617" s="322">
        <f>IFERROR(MaterialsBoQ[[#This Row],[Kg per unit]],0)</f>
        <v>0</v>
      </c>
      <c r="F617" s="322">
        <f>IFERROR(Calculations[[#This Row],[Number]]*Calculations[[#This Row],[Conversion factor]],0)</f>
        <v>0</v>
      </c>
      <c r="G617" s="322">
        <f>IFERROR(VLOOKUP(Calculations[[#This Row],[Material (choose from dropdown]],MaterialData[#All],7,FALSE),0)</f>
        <v>0</v>
      </c>
      <c r="H617" s="322">
        <f>Calculations[[#This Row],[Total Kg]]*Calculations[[#This Row],[Carbon Factor]]</f>
        <v>0</v>
      </c>
      <c r="I617" t="str">
        <f>IFERROR(VLOOKUP(Calculations[[#This Row],[Material (choose from dropdown]],MaterialData[#All],2,FALSE),"")</f>
        <v/>
      </c>
      <c r="J617" s="322">
        <f>IFERROR(((VLOOKUP(Calculations[[#This Row],[TransportSource]],TransportDistance[],2,FALSE)*'Stage assumptions'!$C$11)+VLOOKUP(Calculations[[#This Row],[TransportSource]],TransportDistance[],3,FALSE)*'Stage assumptions'!$C$12)*Calculations[[#This Row],[Total Kg]],0)</f>
        <v>0</v>
      </c>
      <c r="K617">
        <f>IFERROR(VLOOKUP(Calculations[[#This Row],[Material (choose from dropdown]], MaterialData[#All],3, FALSE),0)</f>
        <v>0</v>
      </c>
      <c r="L617" s="322">
        <f>IFERROR(VLOOKUP(Calculations[[#This Row],[A5type]],A5WastageRate[#All],2,FALSE)*Calculations[[#This Row],[A1-3]],0)</f>
        <v>0</v>
      </c>
      <c r="N617">
        <f>IFERROR(ROUNDUP(50/VLOOKUP(Calculations[[#This Row],[Scope Element]],B4referenceServiceLife[[Tier 2 element]:[Default Service Life]],2, FALSE)-1,0),0)</f>
        <v>0</v>
      </c>
      <c r="O617" s="322">
        <f>IFERROR((Calculations[[#This Row],[A1-3]]+Calculations[[#This Row],[A4]]+Calculations[[#This Row],[A5]]+Calculations[[#This Row],[C2 total]]+Calculations[[#This Row],[C3 total]]+Calculations[[#This Row],[C4 total]])*Calculations[[#This Row],[Replacements]],0)</f>
        <v>0</v>
      </c>
      <c r="S617" t="str">
        <f>IFERROR(VLOOKUP(Calculations[[#This Row],[Material (choose from dropdown]],MaterialData[#All],4,FALSE),"")</f>
        <v/>
      </c>
      <c r="T617" s="322" cm="1">
        <f t="array" ref="T617">IFERROR(VLOOKUP(Calculations[[#This Row],[Waste 1]],WasteScenario[#All],2,FALSE)*'Stage assumptions'!$C$225*WasteTransportMethod[Emissions Factor
kgCO2e/kg.km]*Calculations[[#This Row],[Total Kg]],0)</f>
        <v>0</v>
      </c>
      <c r="U617" s="322" cm="1">
        <f t="array" ref="U617">IFERROR(VLOOKUP(Calculations[[#This Row],[Waste 1]],WasteScenario[#All],3,FALSE)*'Stage assumptions'!$C$224*WasteTransportMethod[Emissions Factor
kgCO2e/kg.km]*Calculations[[#This Row],[Total Kg]],0)</f>
        <v>0</v>
      </c>
      <c r="V617" s="322" cm="1">
        <f t="array" ref="V617">IFERROR(VLOOKUP(Calculations[[#This Row],[Waste 1]],WasteScenario[#All],4,FALSE)*'Stage assumptions'!$C$223*WasteTransportMethod[Emissions Factor
kgCO2e/kg.km]*Calculations[[#This Row],[Total Kg]],0)</f>
        <v>0</v>
      </c>
      <c r="W617" s="322" cm="1">
        <f t="array" ref="W617">IFERROR(VLOOKUP(Calculations[[#This Row],[Waste 1]],WasteScenario[#All],5,FALSE)*'Stage assumptions'!$C$226*WasteTransportMethod[Emissions Factor
kgCO2e/kg.km]*Calculations[[#This Row],[Total Kg]],0)</f>
        <v>0</v>
      </c>
      <c r="X617" s="322">
        <f>SUM(Calculations[[#This Row],[C2 Recycle]:[C2 Reuse]])</f>
        <v>0</v>
      </c>
      <c r="Y617" t="str">
        <f>IFERROR(VLOOKUP(Calculations[[#This Row],[Material (choose from dropdown]],MaterialData[#All],5,FALSE),"")</f>
        <v/>
      </c>
      <c r="Z617" s="322">
        <f>IFERROR(((VLOOKUP(Calculations[[#This Row],[Waste type 2]],WasteDisposalEmissions[#All],2,FALSE))*Calculations[[#This Row],[Total Kg]])*VLOOKUP(Calculations[[#This Row],[Waste 1]],WasteScenario[#All],2,FALSE),0)</f>
        <v>0</v>
      </c>
      <c r="AA617" s="322">
        <f>IFERROR((VLOOKUP(Calculations[[#This Row],[Waste type 2]],WasteDisposalEmissions[#All],3,FALSE))*Calculations[[#This Row],[Total Kg]]*VLOOKUP(Calculations[[#This Row],[Waste 1]],WasteScenario[#All],3,FALSE),0)</f>
        <v>0</v>
      </c>
      <c r="AB617" s="322">
        <f>SUM(Calculations[[#This Row],[C3 recyc]:[C3 incin]])</f>
        <v>0</v>
      </c>
      <c r="AC617" s="334">
        <f>IFERROR((VLOOKUP(Calculations[[#This Row],[Waste type 2]],WasteLandfillEmissions[#All],2,FALSE))*Calculations[[#This Row],[Total Kg]]*VLOOKUP(Calculations[[#This Row],[Waste 1]],WasteScenario[#All],4,FALSE),0)</f>
        <v>0</v>
      </c>
      <c r="AD617" s="322">
        <f>IFERROR((VLOOKUP(Calculations[[#This Row],[Waste type 2]],WasteLandfillEmissions[#All],3,FALSE))*Calculations[[#This Row],[Total Kg]]*VLOOKUP(Calculations[[#This Row],[Waste 1]],WasteScenario[#All],4,FALSE),0)</f>
        <v>0</v>
      </c>
      <c r="AE617" s="322">
        <f>SUM(Calculations[[#This Row],[C4 landfill]:[C4 re-use]])</f>
        <v>0</v>
      </c>
      <c r="AF617" s="322">
        <f>IFERROR(VLOOKUP(Calculations[[#This Row],[Material (choose from dropdown]],MaterialData[#All],8,FALSE),0)</f>
        <v>0</v>
      </c>
      <c r="AG617" s="322">
        <f>IFERROR(Calculations[[#This Row],[Total Kg]]*Calculations[[#This Row],[Seq factor]],0)</f>
        <v>0</v>
      </c>
      <c r="AI617" s="322">
        <f>Calculations[[#This Row],[A1-3]]+Calculations[[#This Row],[A4]]+Calculations[[#This Row],[A5]]+Calculations[[#This Row],[B4]]+Calculations[[#This Row],[C2 total]]+Calculations[[#This Row],[C3 total]]+Calculations[[#This Row],[C4 total]]</f>
        <v>0</v>
      </c>
      <c r="AJ617" s="2">
        <f>IFERROR(VLOOKUP(Calculations[[#This Row],[Material (choose from dropdown]],MaterialData[[#Headers],[#Data]],9,FALSE),0)</f>
        <v>0</v>
      </c>
      <c r="AK617" s="4">
        <f>IFERROR(VLOOKUP(Calculations[[#This Row],[Material (choose from dropdown]],MaterialData[[#Headers],[#Data]],10,FALSE),0)</f>
        <v>0</v>
      </c>
      <c r="AL617" s="322">
        <f>IFERROR(Calculations[[#This Row],[Data Quality Score]]*Calculations[[#This Row],[Total Kg]],0)</f>
        <v>0</v>
      </c>
    </row>
    <row r="618" spans="1:38" x14ac:dyDescent="0.3">
      <c r="A618" s="6">
        <f>IFERROR(MaterialsBoQ[[#This Row],[Scope Element]],0)</f>
        <v>0</v>
      </c>
      <c r="B618" t="str">
        <f>IFERROR(MaterialsBoQ[[#This Row],[Material ]],"")</f>
        <v/>
      </c>
      <c r="C618" t="str">
        <f>IFERROR(MaterialsBoQ[[#This Row],[Unit]],"")</f>
        <v/>
      </c>
      <c r="D618" s="322">
        <f>IFERROR(MaterialsBoQ[[#This Row],[Number]],0)</f>
        <v>0</v>
      </c>
      <c r="E618" s="322">
        <f>IFERROR(MaterialsBoQ[[#This Row],[Kg per unit]],0)</f>
        <v>0</v>
      </c>
      <c r="F618" s="322">
        <f>IFERROR(Calculations[[#This Row],[Number]]*Calculations[[#This Row],[Conversion factor]],0)</f>
        <v>0</v>
      </c>
      <c r="G618" s="322">
        <f>IFERROR(VLOOKUP(Calculations[[#This Row],[Material (choose from dropdown]],MaterialData[#All],7,FALSE),0)</f>
        <v>0</v>
      </c>
      <c r="H618" s="322">
        <f>Calculations[[#This Row],[Total Kg]]*Calculations[[#This Row],[Carbon Factor]]</f>
        <v>0</v>
      </c>
      <c r="I618" t="str">
        <f>IFERROR(VLOOKUP(Calculations[[#This Row],[Material (choose from dropdown]],MaterialData[#All],2,FALSE),"")</f>
        <v/>
      </c>
      <c r="J618" s="322">
        <f>IFERROR(((VLOOKUP(Calculations[[#This Row],[TransportSource]],TransportDistance[],2,FALSE)*'Stage assumptions'!$C$11)+VLOOKUP(Calculations[[#This Row],[TransportSource]],TransportDistance[],3,FALSE)*'Stage assumptions'!$C$12)*Calculations[[#This Row],[Total Kg]],0)</f>
        <v>0</v>
      </c>
      <c r="K618">
        <f>IFERROR(VLOOKUP(Calculations[[#This Row],[Material (choose from dropdown]], MaterialData[#All],3, FALSE),0)</f>
        <v>0</v>
      </c>
      <c r="L618" s="322">
        <f>IFERROR(VLOOKUP(Calculations[[#This Row],[A5type]],A5WastageRate[#All],2,FALSE)*Calculations[[#This Row],[A1-3]],0)</f>
        <v>0</v>
      </c>
      <c r="N618">
        <f>IFERROR(ROUNDUP(50/VLOOKUP(Calculations[[#This Row],[Scope Element]],B4referenceServiceLife[[Tier 2 element]:[Default Service Life]],2, FALSE)-1,0),0)</f>
        <v>0</v>
      </c>
      <c r="O618" s="322">
        <f>IFERROR((Calculations[[#This Row],[A1-3]]+Calculations[[#This Row],[A4]]+Calculations[[#This Row],[A5]]+Calculations[[#This Row],[C2 total]]+Calculations[[#This Row],[C3 total]]+Calculations[[#This Row],[C4 total]])*Calculations[[#This Row],[Replacements]],0)</f>
        <v>0</v>
      </c>
      <c r="S618" t="str">
        <f>IFERROR(VLOOKUP(Calculations[[#This Row],[Material (choose from dropdown]],MaterialData[#All],4,FALSE),"")</f>
        <v/>
      </c>
      <c r="T618" s="322" cm="1">
        <f t="array" ref="T618">IFERROR(VLOOKUP(Calculations[[#This Row],[Waste 1]],WasteScenario[#All],2,FALSE)*'Stage assumptions'!$C$225*WasteTransportMethod[Emissions Factor
kgCO2e/kg.km]*Calculations[[#This Row],[Total Kg]],0)</f>
        <v>0</v>
      </c>
      <c r="U618" s="322" cm="1">
        <f t="array" ref="U618">IFERROR(VLOOKUP(Calculations[[#This Row],[Waste 1]],WasteScenario[#All],3,FALSE)*'Stage assumptions'!$C$224*WasteTransportMethod[Emissions Factor
kgCO2e/kg.km]*Calculations[[#This Row],[Total Kg]],0)</f>
        <v>0</v>
      </c>
      <c r="V618" s="322" cm="1">
        <f t="array" ref="V618">IFERROR(VLOOKUP(Calculations[[#This Row],[Waste 1]],WasteScenario[#All],4,FALSE)*'Stage assumptions'!$C$223*WasteTransportMethod[Emissions Factor
kgCO2e/kg.km]*Calculations[[#This Row],[Total Kg]],0)</f>
        <v>0</v>
      </c>
      <c r="W618" s="322" cm="1">
        <f t="array" ref="W618">IFERROR(VLOOKUP(Calculations[[#This Row],[Waste 1]],WasteScenario[#All],5,FALSE)*'Stage assumptions'!$C$226*WasteTransportMethod[Emissions Factor
kgCO2e/kg.km]*Calculations[[#This Row],[Total Kg]],0)</f>
        <v>0</v>
      </c>
      <c r="X618" s="322">
        <f>SUM(Calculations[[#This Row],[C2 Recycle]:[C2 Reuse]])</f>
        <v>0</v>
      </c>
      <c r="Y618" t="str">
        <f>IFERROR(VLOOKUP(Calculations[[#This Row],[Material (choose from dropdown]],MaterialData[#All],5,FALSE),"")</f>
        <v/>
      </c>
      <c r="Z618" s="322">
        <f>IFERROR(((VLOOKUP(Calculations[[#This Row],[Waste type 2]],WasteDisposalEmissions[#All],2,FALSE))*Calculations[[#This Row],[Total Kg]])*VLOOKUP(Calculations[[#This Row],[Waste 1]],WasteScenario[#All],2,FALSE),0)</f>
        <v>0</v>
      </c>
      <c r="AA618" s="322">
        <f>IFERROR((VLOOKUP(Calculations[[#This Row],[Waste type 2]],WasteDisposalEmissions[#All],3,FALSE))*Calculations[[#This Row],[Total Kg]]*VLOOKUP(Calculations[[#This Row],[Waste 1]],WasteScenario[#All],3,FALSE),0)</f>
        <v>0</v>
      </c>
      <c r="AB618" s="322">
        <f>SUM(Calculations[[#This Row],[C3 recyc]:[C3 incin]])</f>
        <v>0</v>
      </c>
      <c r="AC618" s="334">
        <f>IFERROR((VLOOKUP(Calculations[[#This Row],[Waste type 2]],WasteLandfillEmissions[#All],2,FALSE))*Calculations[[#This Row],[Total Kg]]*VLOOKUP(Calculations[[#This Row],[Waste 1]],WasteScenario[#All],4,FALSE),0)</f>
        <v>0</v>
      </c>
      <c r="AD618" s="322">
        <f>IFERROR((VLOOKUP(Calculations[[#This Row],[Waste type 2]],WasteLandfillEmissions[#All],3,FALSE))*Calculations[[#This Row],[Total Kg]]*VLOOKUP(Calculations[[#This Row],[Waste 1]],WasteScenario[#All],4,FALSE),0)</f>
        <v>0</v>
      </c>
      <c r="AE618" s="322">
        <f>SUM(Calculations[[#This Row],[C4 landfill]:[C4 re-use]])</f>
        <v>0</v>
      </c>
      <c r="AF618" s="322">
        <f>IFERROR(VLOOKUP(Calculations[[#This Row],[Material (choose from dropdown]],MaterialData[#All],8,FALSE),0)</f>
        <v>0</v>
      </c>
      <c r="AG618" s="322">
        <f>IFERROR(Calculations[[#This Row],[Total Kg]]*Calculations[[#This Row],[Seq factor]],0)</f>
        <v>0</v>
      </c>
      <c r="AI618" s="322">
        <f>Calculations[[#This Row],[A1-3]]+Calculations[[#This Row],[A4]]+Calculations[[#This Row],[A5]]+Calculations[[#This Row],[B4]]+Calculations[[#This Row],[C2 total]]+Calculations[[#This Row],[C3 total]]+Calculations[[#This Row],[C4 total]]</f>
        <v>0</v>
      </c>
      <c r="AJ618" s="2">
        <f>IFERROR(VLOOKUP(Calculations[[#This Row],[Material (choose from dropdown]],MaterialData[[#Headers],[#Data]],9,FALSE),0)</f>
        <v>0</v>
      </c>
      <c r="AK618" s="4">
        <f>IFERROR(VLOOKUP(Calculations[[#This Row],[Material (choose from dropdown]],MaterialData[[#Headers],[#Data]],10,FALSE),0)</f>
        <v>0</v>
      </c>
      <c r="AL618" s="322">
        <f>IFERROR(Calculations[[#This Row],[Data Quality Score]]*Calculations[[#This Row],[Total Kg]],0)</f>
        <v>0</v>
      </c>
    </row>
    <row r="619" spans="1:38" x14ac:dyDescent="0.3">
      <c r="A619" s="6">
        <f>IFERROR(MaterialsBoQ[[#This Row],[Scope Element]],0)</f>
        <v>0</v>
      </c>
      <c r="B619" t="str">
        <f>IFERROR(MaterialsBoQ[[#This Row],[Material ]],"")</f>
        <v/>
      </c>
      <c r="C619" t="str">
        <f>IFERROR(MaterialsBoQ[[#This Row],[Unit]],"")</f>
        <v/>
      </c>
      <c r="D619" s="322">
        <f>IFERROR(MaterialsBoQ[[#This Row],[Number]],0)</f>
        <v>0</v>
      </c>
      <c r="E619" s="322">
        <f>IFERROR(MaterialsBoQ[[#This Row],[Kg per unit]],0)</f>
        <v>0</v>
      </c>
      <c r="F619" s="322">
        <f>IFERROR(Calculations[[#This Row],[Number]]*Calculations[[#This Row],[Conversion factor]],0)</f>
        <v>0</v>
      </c>
      <c r="G619" s="322">
        <f>IFERROR(VLOOKUP(Calculations[[#This Row],[Material (choose from dropdown]],MaterialData[#All],7,FALSE),0)</f>
        <v>0</v>
      </c>
      <c r="H619" s="322">
        <f>Calculations[[#This Row],[Total Kg]]*Calculations[[#This Row],[Carbon Factor]]</f>
        <v>0</v>
      </c>
      <c r="I619" t="str">
        <f>IFERROR(VLOOKUP(Calculations[[#This Row],[Material (choose from dropdown]],MaterialData[#All],2,FALSE),"")</f>
        <v/>
      </c>
      <c r="J619" s="322">
        <f>IFERROR(((VLOOKUP(Calculations[[#This Row],[TransportSource]],TransportDistance[],2,FALSE)*'Stage assumptions'!$C$11)+VLOOKUP(Calculations[[#This Row],[TransportSource]],TransportDistance[],3,FALSE)*'Stage assumptions'!$C$12)*Calculations[[#This Row],[Total Kg]],0)</f>
        <v>0</v>
      </c>
      <c r="K619">
        <f>IFERROR(VLOOKUP(Calculations[[#This Row],[Material (choose from dropdown]], MaterialData[#All],3, FALSE),0)</f>
        <v>0</v>
      </c>
      <c r="L619" s="322">
        <f>IFERROR(VLOOKUP(Calculations[[#This Row],[A5type]],A5WastageRate[#All],2,FALSE)*Calculations[[#This Row],[A1-3]],0)</f>
        <v>0</v>
      </c>
      <c r="N619">
        <f>IFERROR(ROUNDUP(50/VLOOKUP(Calculations[[#This Row],[Scope Element]],B4referenceServiceLife[[Tier 2 element]:[Default Service Life]],2, FALSE)-1,0),0)</f>
        <v>0</v>
      </c>
      <c r="O619" s="322">
        <f>IFERROR((Calculations[[#This Row],[A1-3]]+Calculations[[#This Row],[A4]]+Calculations[[#This Row],[A5]]+Calculations[[#This Row],[C2 total]]+Calculations[[#This Row],[C3 total]]+Calculations[[#This Row],[C4 total]])*Calculations[[#This Row],[Replacements]],0)</f>
        <v>0</v>
      </c>
      <c r="S619" t="str">
        <f>IFERROR(VLOOKUP(Calculations[[#This Row],[Material (choose from dropdown]],MaterialData[#All],4,FALSE),"")</f>
        <v/>
      </c>
      <c r="T619" s="322" cm="1">
        <f t="array" ref="T619">IFERROR(VLOOKUP(Calculations[[#This Row],[Waste 1]],WasteScenario[#All],2,FALSE)*'Stage assumptions'!$C$225*WasteTransportMethod[Emissions Factor
kgCO2e/kg.km]*Calculations[[#This Row],[Total Kg]],0)</f>
        <v>0</v>
      </c>
      <c r="U619" s="322" cm="1">
        <f t="array" ref="U619">IFERROR(VLOOKUP(Calculations[[#This Row],[Waste 1]],WasteScenario[#All],3,FALSE)*'Stage assumptions'!$C$224*WasteTransportMethod[Emissions Factor
kgCO2e/kg.km]*Calculations[[#This Row],[Total Kg]],0)</f>
        <v>0</v>
      </c>
      <c r="V619" s="322" cm="1">
        <f t="array" ref="V619">IFERROR(VLOOKUP(Calculations[[#This Row],[Waste 1]],WasteScenario[#All],4,FALSE)*'Stage assumptions'!$C$223*WasteTransportMethod[Emissions Factor
kgCO2e/kg.km]*Calculations[[#This Row],[Total Kg]],0)</f>
        <v>0</v>
      </c>
      <c r="W619" s="322" cm="1">
        <f t="array" ref="W619">IFERROR(VLOOKUP(Calculations[[#This Row],[Waste 1]],WasteScenario[#All],5,FALSE)*'Stage assumptions'!$C$226*WasteTransportMethod[Emissions Factor
kgCO2e/kg.km]*Calculations[[#This Row],[Total Kg]],0)</f>
        <v>0</v>
      </c>
      <c r="X619" s="322">
        <f>SUM(Calculations[[#This Row],[C2 Recycle]:[C2 Reuse]])</f>
        <v>0</v>
      </c>
      <c r="Y619" t="str">
        <f>IFERROR(VLOOKUP(Calculations[[#This Row],[Material (choose from dropdown]],MaterialData[#All],5,FALSE),"")</f>
        <v/>
      </c>
      <c r="Z619" s="322">
        <f>IFERROR(((VLOOKUP(Calculations[[#This Row],[Waste type 2]],WasteDisposalEmissions[#All],2,FALSE))*Calculations[[#This Row],[Total Kg]])*VLOOKUP(Calculations[[#This Row],[Waste 1]],WasteScenario[#All],2,FALSE),0)</f>
        <v>0</v>
      </c>
      <c r="AA619" s="322">
        <f>IFERROR((VLOOKUP(Calculations[[#This Row],[Waste type 2]],WasteDisposalEmissions[#All],3,FALSE))*Calculations[[#This Row],[Total Kg]]*VLOOKUP(Calculations[[#This Row],[Waste 1]],WasteScenario[#All],3,FALSE),0)</f>
        <v>0</v>
      </c>
      <c r="AB619" s="322">
        <f>SUM(Calculations[[#This Row],[C3 recyc]:[C3 incin]])</f>
        <v>0</v>
      </c>
      <c r="AC619" s="334">
        <f>IFERROR((VLOOKUP(Calculations[[#This Row],[Waste type 2]],WasteLandfillEmissions[#All],2,FALSE))*Calculations[[#This Row],[Total Kg]]*VLOOKUP(Calculations[[#This Row],[Waste 1]],WasteScenario[#All],4,FALSE),0)</f>
        <v>0</v>
      </c>
      <c r="AD619" s="322">
        <f>IFERROR((VLOOKUP(Calculations[[#This Row],[Waste type 2]],WasteLandfillEmissions[#All],3,FALSE))*Calculations[[#This Row],[Total Kg]]*VLOOKUP(Calculations[[#This Row],[Waste 1]],WasteScenario[#All],4,FALSE),0)</f>
        <v>0</v>
      </c>
      <c r="AE619" s="322">
        <f>SUM(Calculations[[#This Row],[C4 landfill]:[C4 re-use]])</f>
        <v>0</v>
      </c>
      <c r="AF619" s="322">
        <f>IFERROR(VLOOKUP(Calculations[[#This Row],[Material (choose from dropdown]],MaterialData[#All],8,FALSE),0)</f>
        <v>0</v>
      </c>
      <c r="AG619" s="322">
        <f>IFERROR(Calculations[[#This Row],[Total Kg]]*Calculations[[#This Row],[Seq factor]],0)</f>
        <v>0</v>
      </c>
      <c r="AI619" s="322">
        <f>Calculations[[#This Row],[A1-3]]+Calculations[[#This Row],[A4]]+Calculations[[#This Row],[A5]]+Calculations[[#This Row],[B4]]+Calculations[[#This Row],[C2 total]]+Calculations[[#This Row],[C3 total]]+Calculations[[#This Row],[C4 total]]</f>
        <v>0</v>
      </c>
      <c r="AJ619" s="2">
        <f>IFERROR(VLOOKUP(Calculations[[#This Row],[Material (choose from dropdown]],MaterialData[[#Headers],[#Data]],9,FALSE),0)</f>
        <v>0</v>
      </c>
      <c r="AK619" s="4">
        <f>IFERROR(VLOOKUP(Calculations[[#This Row],[Material (choose from dropdown]],MaterialData[[#Headers],[#Data]],10,FALSE),0)</f>
        <v>0</v>
      </c>
      <c r="AL619" s="322">
        <f>IFERROR(Calculations[[#This Row],[Data Quality Score]]*Calculations[[#This Row],[Total Kg]],0)</f>
        <v>0</v>
      </c>
    </row>
    <row r="620" spans="1:38" x14ac:dyDescent="0.3">
      <c r="A620" s="6">
        <f>IFERROR(MaterialsBoQ[[#This Row],[Scope Element]],0)</f>
        <v>0</v>
      </c>
      <c r="B620" t="str">
        <f>IFERROR(MaterialsBoQ[[#This Row],[Material ]],"")</f>
        <v/>
      </c>
      <c r="C620" t="str">
        <f>IFERROR(MaterialsBoQ[[#This Row],[Unit]],"")</f>
        <v/>
      </c>
      <c r="D620" s="322">
        <f>IFERROR(MaterialsBoQ[[#This Row],[Number]],0)</f>
        <v>0</v>
      </c>
      <c r="E620" s="322">
        <f>IFERROR(MaterialsBoQ[[#This Row],[Kg per unit]],0)</f>
        <v>0</v>
      </c>
      <c r="F620" s="322">
        <f>IFERROR(Calculations[[#This Row],[Number]]*Calculations[[#This Row],[Conversion factor]],0)</f>
        <v>0</v>
      </c>
      <c r="G620" s="322">
        <f>IFERROR(VLOOKUP(Calculations[[#This Row],[Material (choose from dropdown]],MaterialData[#All],7,FALSE),0)</f>
        <v>0</v>
      </c>
      <c r="H620" s="322">
        <f>Calculations[[#This Row],[Total Kg]]*Calculations[[#This Row],[Carbon Factor]]</f>
        <v>0</v>
      </c>
      <c r="I620" t="str">
        <f>IFERROR(VLOOKUP(Calculations[[#This Row],[Material (choose from dropdown]],MaterialData[#All],2,FALSE),"")</f>
        <v/>
      </c>
      <c r="J620" s="322">
        <f>IFERROR(((VLOOKUP(Calculations[[#This Row],[TransportSource]],TransportDistance[],2,FALSE)*'Stage assumptions'!$C$11)+VLOOKUP(Calculations[[#This Row],[TransportSource]],TransportDistance[],3,FALSE)*'Stage assumptions'!$C$12)*Calculations[[#This Row],[Total Kg]],0)</f>
        <v>0</v>
      </c>
      <c r="K620">
        <f>IFERROR(VLOOKUP(Calculations[[#This Row],[Material (choose from dropdown]], MaterialData[#All],3, FALSE),0)</f>
        <v>0</v>
      </c>
      <c r="L620" s="322">
        <f>IFERROR(VLOOKUP(Calculations[[#This Row],[A5type]],A5WastageRate[#All],2,FALSE)*Calculations[[#This Row],[A1-3]],0)</f>
        <v>0</v>
      </c>
      <c r="N620">
        <f>IFERROR(ROUNDUP(50/VLOOKUP(Calculations[[#This Row],[Scope Element]],B4referenceServiceLife[[Tier 2 element]:[Default Service Life]],2, FALSE)-1,0),0)</f>
        <v>0</v>
      </c>
      <c r="O620" s="322">
        <f>IFERROR((Calculations[[#This Row],[A1-3]]+Calculations[[#This Row],[A4]]+Calculations[[#This Row],[A5]]+Calculations[[#This Row],[C2 total]]+Calculations[[#This Row],[C3 total]]+Calculations[[#This Row],[C4 total]])*Calculations[[#This Row],[Replacements]],0)</f>
        <v>0</v>
      </c>
      <c r="S620" t="str">
        <f>IFERROR(VLOOKUP(Calculations[[#This Row],[Material (choose from dropdown]],MaterialData[#All],4,FALSE),"")</f>
        <v/>
      </c>
      <c r="T620" s="322" cm="1">
        <f t="array" ref="T620">IFERROR(VLOOKUP(Calculations[[#This Row],[Waste 1]],WasteScenario[#All],2,FALSE)*'Stage assumptions'!$C$225*WasteTransportMethod[Emissions Factor
kgCO2e/kg.km]*Calculations[[#This Row],[Total Kg]],0)</f>
        <v>0</v>
      </c>
      <c r="U620" s="322" cm="1">
        <f t="array" ref="U620">IFERROR(VLOOKUP(Calculations[[#This Row],[Waste 1]],WasteScenario[#All],3,FALSE)*'Stage assumptions'!$C$224*WasteTransportMethod[Emissions Factor
kgCO2e/kg.km]*Calculations[[#This Row],[Total Kg]],0)</f>
        <v>0</v>
      </c>
      <c r="V620" s="322" cm="1">
        <f t="array" ref="V620">IFERROR(VLOOKUP(Calculations[[#This Row],[Waste 1]],WasteScenario[#All],4,FALSE)*'Stage assumptions'!$C$223*WasteTransportMethod[Emissions Factor
kgCO2e/kg.km]*Calculations[[#This Row],[Total Kg]],0)</f>
        <v>0</v>
      </c>
      <c r="W620" s="322" cm="1">
        <f t="array" ref="W620">IFERROR(VLOOKUP(Calculations[[#This Row],[Waste 1]],WasteScenario[#All],5,FALSE)*'Stage assumptions'!$C$226*WasteTransportMethod[Emissions Factor
kgCO2e/kg.km]*Calculations[[#This Row],[Total Kg]],0)</f>
        <v>0</v>
      </c>
      <c r="X620" s="322">
        <f>SUM(Calculations[[#This Row],[C2 Recycle]:[C2 Reuse]])</f>
        <v>0</v>
      </c>
      <c r="Y620" t="str">
        <f>IFERROR(VLOOKUP(Calculations[[#This Row],[Material (choose from dropdown]],MaterialData[#All],5,FALSE),"")</f>
        <v/>
      </c>
      <c r="Z620" s="322">
        <f>IFERROR(((VLOOKUP(Calculations[[#This Row],[Waste type 2]],WasteDisposalEmissions[#All],2,FALSE))*Calculations[[#This Row],[Total Kg]])*VLOOKUP(Calculations[[#This Row],[Waste 1]],WasteScenario[#All],2,FALSE),0)</f>
        <v>0</v>
      </c>
      <c r="AA620" s="322">
        <f>IFERROR((VLOOKUP(Calculations[[#This Row],[Waste type 2]],WasteDisposalEmissions[#All],3,FALSE))*Calculations[[#This Row],[Total Kg]]*VLOOKUP(Calculations[[#This Row],[Waste 1]],WasteScenario[#All],3,FALSE),0)</f>
        <v>0</v>
      </c>
      <c r="AB620" s="322">
        <f>SUM(Calculations[[#This Row],[C3 recyc]:[C3 incin]])</f>
        <v>0</v>
      </c>
      <c r="AC620" s="334">
        <f>IFERROR((VLOOKUP(Calculations[[#This Row],[Waste type 2]],WasteLandfillEmissions[#All],2,FALSE))*Calculations[[#This Row],[Total Kg]]*VLOOKUP(Calculations[[#This Row],[Waste 1]],WasteScenario[#All],4,FALSE),0)</f>
        <v>0</v>
      </c>
      <c r="AD620" s="322">
        <f>IFERROR((VLOOKUP(Calculations[[#This Row],[Waste type 2]],WasteLandfillEmissions[#All],3,FALSE))*Calculations[[#This Row],[Total Kg]]*VLOOKUP(Calculations[[#This Row],[Waste 1]],WasteScenario[#All],4,FALSE),0)</f>
        <v>0</v>
      </c>
      <c r="AE620" s="322">
        <f>SUM(Calculations[[#This Row],[C4 landfill]:[C4 re-use]])</f>
        <v>0</v>
      </c>
      <c r="AF620" s="322">
        <f>IFERROR(VLOOKUP(Calculations[[#This Row],[Material (choose from dropdown]],MaterialData[#All],8,FALSE),0)</f>
        <v>0</v>
      </c>
      <c r="AG620" s="322">
        <f>IFERROR(Calculations[[#This Row],[Total Kg]]*Calculations[[#This Row],[Seq factor]],0)</f>
        <v>0</v>
      </c>
      <c r="AI620" s="322">
        <f>Calculations[[#This Row],[A1-3]]+Calculations[[#This Row],[A4]]+Calculations[[#This Row],[A5]]+Calculations[[#This Row],[B4]]+Calculations[[#This Row],[C2 total]]+Calculations[[#This Row],[C3 total]]+Calculations[[#This Row],[C4 total]]</f>
        <v>0</v>
      </c>
      <c r="AJ620" s="2">
        <f>IFERROR(VLOOKUP(Calculations[[#This Row],[Material (choose from dropdown]],MaterialData[[#Headers],[#Data]],9,FALSE),0)</f>
        <v>0</v>
      </c>
      <c r="AK620" s="4">
        <f>IFERROR(VLOOKUP(Calculations[[#This Row],[Material (choose from dropdown]],MaterialData[[#Headers],[#Data]],10,FALSE),0)</f>
        <v>0</v>
      </c>
      <c r="AL620" s="322">
        <f>IFERROR(Calculations[[#This Row],[Data Quality Score]]*Calculations[[#This Row],[Total Kg]],0)</f>
        <v>0</v>
      </c>
    </row>
    <row r="621" spans="1:38" x14ac:dyDescent="0.3">
      <c r="A621" s="6">
        <f>IFERROR(MaterialsBoQ[[#This Row],[Scope Element]],0)</f>
        <v>0</v>
      </c>
      <c r="B621" t="str">
        <f>IFERROR(MaterialsBoQ[[#This Row],[Material ]],"")</f>
        <v/>
      </c>
      <c r="C621" t="str">
        <f>IFERROR(MaterialsBoQ[[#This Row],[Unit]],"")</f>
        <v/>
      </c>
      <c r="D621" s="322">
        <f>IFERROR(MaterialsBoQ[[#This Row],[Number]],0)</f>
        <v>0</v>
      </c>
      <c r="E621" s="322">
        <f>IFERROR(MaterialsBoQ[[#This Row],[Kg per unit]],0)</f>
        <v>0</v>
      </c>
      <c r="F621" s="322">
        <f>IFERROR(Calculations[[#This Row],[Number]]*Calculations[[#This Row],[Conversion factor]],0)</f>
        <v>0</v>
      </c>
      <c r="G621" s="322">
        <f>IFERROR(VLOOKUP(Calculations[[#This Row],[Material (choose from dropdown]],MaterialData[#All],7,FALSE),0)</f>
        <v>0</v>
      </c>
      <c r="H621" s="322">
        <f>Calculations[[#This Row],[Total Kg]]*Calculations[[#This Row],[Carbon Factor]]</f>
        <v>0</v>
      </c>
      <c r="I621" t="str">
        <f>IFERROR(VLOOKUP(Calculations[[#This Row],[Material (choose from dropdown]],MaterialData[#All],2,FALSE),"")</f>
        <v/>
      </c>
      <c r="J621" s="322">
        <f>IFERROR(((VLOOKUP(Calculations[[#This Row],[TransportSource]],TransportDistance[],2,FALSE)*'Stage assumptions'!$C$11)+VLOOKUP(Calculations[[#This Row],[TransportSource]],TransportDistance[],3,FALSE)*'Stage assumptions'!$C$12)*Calculations[[#This Row],[Total Kg]],0)</f>
        <v>0</v>
      </c>
      <c r="K621">
        <f>IFERROR(VLOOKUP(Calculations[[#This Row],[Material (choose from dropdown]], MaterialData[#All],3, FALSE),0)</f>
        <v>0</v>
      </c>
      <c r="L621" s="322">
        <f>IFERROR(VLOOKUP(Calculations[[#This Row],[A5type]],A5WastageRate[#All],2,FALSE)*Calculations[[#This Row],[A1-3]],0)</f>
        <v>0</v>
      </c>
      <c r="N621">
        <f>IFERROR(ROUNDUP(50/VLOOKUP(Calculations[[#This Row],[Scope Element]],B4referenceServiceLife[[Tier 2 element]:[Default Service Life]],2, FALSE)-1,0),0)</f>
        <v>0</v>
      </c>
      <c r="O621" s="322">
        <f>IFERROR((Calculations[[#This Row],[A1-3]]+Calculations[[#This Row],[A4]]+Calculations[[#This Row],[A5]]+Calculations[[#This Row],[C2 total]]+Calculations[[#This Row],[C3 total]]+Calculations[[#This Row],[C4 total]])*Calculations[[#This Row],[Replacements]],0)</f>
        <v>0</v>
      </c>
      <c r="S621" t="str">
        <f>IFERROR(VLOOKUP(Calculations[[#This Row],[Material (choose from dropdown]],MaterialData[#All],4,FALSE),"")</f>
        <v/>
      </c>
      <c r="T621" s="322" cm="1">
        <f t="array" ref="T621">IFERROR(VLOOKUP(Calculations[[#This Row],[Waste 1]],WasteScenario[#All],2,FALSE)*'Stage assumptions'!$C$225*WasteTransportMethod[Emissions Factor
kgCO2e/kg.km]*Calculations[[#This Row],[Total Kg]],0)</f>
        <v>0</v>
      </c>
      <c r="U621" s="322" cm="1">
        <f t="array" ref="U621">IFERROR(VLOOKUP(Calculations[[#This Row],[Waste 1]],WasteScenario[#All],3,FALSE)*'Stage assumptions'!$C$224*WasteTransportMethod[Emissions Factor
kgCO2e/kg.km]*Calculations[[#This Row],[Total Kg]],0)</f>
        <v>0</v>
      </c>
      <c r="V621" s="322" cm="1">
        <f t="array" ref="V621">IFERROR(VLOOKUP(Calculations[[#This Row],[Waste 1]],WasteScenario[#All],4,FALSE)*'Stage assumptions'!$C$223*WasteTransportMethod[Emissions Factor
kgCO2e/kg.km]*Calculations[[#This Row],[Total Kg]],0)</f>
        <v>0</v>
      </c>
      <c r="W621" s="322" cm="1">
        <f t="array" ref="W621">IFERROR(VLOOKUP(Calculations[[#This Row],[Waste 1]],WasteScenario[#All],5,FALSE)*'Stage assumptions'!$C$226*WasteTransportMethod[Emissions Factor
kgCO2e/kg.km]*Calculations[[#This Row],[Total Kg]],0)</f>
        <v>0</v>
      </c>
      <c r="X621" s="322">
        <f>SUM(Calculations[[#This Row],[C2 Recycle]:[C2 Reuse]])</f>
        <v>0</v>
      </c>
      <c r="Y621" t="str">
        <f>IFERROR(VLOOKUP(Calculations[[#This Row],[Material (choose from dropdown]],MaterialData[#All],5,FALSE),"")</f>
        <v/>
      </c>
      <c r="Z621" s="322">
        <f>IFERROR(((VLOOKUP(Calculations[[#This Row],[Waste type 2]],WasteDisposalEmissions[#All],2,FALSE))*Calculations[[#This Row],[Total Kg]])*VLOOKUP(Calculations[[#This Row],[Waste 1]],WasteScenario[#All],2,FALSE),0)</f>
        <v>0</v>
      </c>
      <c r="AA621" s="322">
        <f>IFERROR((VLOOKUP(Calculations[[#This Row],[Waste type 2]],WasteDisposalEmissions[#All],3,FALSE))*Calculations[[#This Row],[Total Kg]]*VLOOKUP(Calculations[[#This Row],[Waste 1]],WasteScenario[#All],3,FALSE),0)</f>
        <v>0</v>
      </c>
      <c r="AB621" s="322">
        <f>SUM(Calculations[[#This Row],[C3 recyc]:[C3 incin]])</f>
        <v>0</v>
      </c>
      <c r="AC621" s="334">
        <f>IFERROR((VLOOKUP(Calculations[[#This Row],[Waste type 2]],WasteLandfillEmissions[#All],2,FALSE))*Calculations[[#This Row],[Total Kg]]*VLOOKUP(Calculations[[#This Row],[Waste 1]],WasteScenario[#All],4,FALSE),0)</f>
        <v>0</v>
      </c>
      <c r="AD621" s="322">
        <f>IFERROR((VLOOKUP(Calculations[[#This Row],[Waste type 2]],WasteLandfillEmissions[#All],3,FALSE))*Calculations[[#This Row],[Total Kg]]*VLOOKUP(Calculations[[#This Row],[Waste 1]],WasteScenario[#All],4,FALSE),0)</f>
        <v>0</v>
      </c>
      <c r="AE621" s="322">
        <f>SUM(Calculations[[#This Row],[C4 landfill]:[C4 re-use]])</f>
        <v>0</v>
      </c>
      <c r="AF621" s="322">
        <f>IFERROR(VLOOKUP(Calculations[[#This Row],[Material (choose from dropdown]],MaterialData[#All],8,FALSE),0)</f>
        <v>0</v>
      </c>
      <c r="AG621" s="322">
        <f>IFERROR(Calculations[[#This Row],[Total Kg]]*Calculations[[#This Row],[Seq factor]],0)</f>
        <v>0</v>
      </c>
      <c r="AI621" s="322">
        <f>Calculations[[#This Row],[A1-3]]+Calculations[[#This Row],[A4]]+Calculations[[#This Row],[A5]]+Calculations[[#This Row],[B4]]+Calculations[[#This Row],[C2 total]]+Calculations[[#This Row],[C3 total]]+Calculations[[#This Row],[C4 total]]</f>
        <v>0</v>
      </c>
      <c r="AJ621" s="2">
        <f>IFERROR(VLOOKUP(Calculations[[#This Row],[Material (choose from dropdown]],MaterialData[[#Headers],[#Data]],9,FALSE),0)</f>
        <v>0</v>
      </c>
      <c r="AK621" s="4">
        <f>IFERROR(VLOOKUP(Calculations[[#This Row],[Material (choose from dropdown]],MaterialData[[#Headers],[#Data]],10,FALSE),0)</f>
        <v>0</v>
      </c>
      <c r="AL621" s="322">
        <f>IFERROR(Calculations[[#This Row],[Data Quality Score]]*Calculations[[#This Row],[Total Kg]],0)</f>
        <v>0</v>
      </c>
    </row>
    <row r="622" spans="1:38" x14ac:dyDescent="0.3">
      <c r="A622" s="6">
        <f>IFERROR(MaterialsBoQ[[#This Row],[Scope Element]],0)</f>
        <v>0</v>
      </c>
      <c r="B622" t="str">
        <f>IFERROR(MaterialsBoQ[[#This Row],[Material ]],"")</f>
        <v/>
      </c>
      <c r="C622" t="str">
        <f>IFERROR(MaterialsBoQ[[#This Row],[Unit]],"")</f>
        <v/>
      </c>
      <c r="D622" s="322">
        <f>IFERROR(MaterialsBoQ[[#This Row],[Number]],0)</f>
        <v>0</v>
      </c>
      <c r="E622" s="322">
        <f>IFERROR(MaterialsBoQ[[#This Row],[Kg per unit]],0)</f>
        <v>0</v>
      </c>
      <c r="F622" s="322">
        <f>IFERROR(Calculations[[#This Row],[Number]]*Calculations[[#This Row],[Conversion factor]],0)</f>
        <v>0</v>
      </c>
      <c r="G622" s="322">
        <f>IFERROR(VLOOKUP(Calculations[[#This Row],[Material (choose from dropdown]],MaterialData[#All],7,FALSE),0)</f>
        <v>0</v>
      </c>
      <c r="H622" s="322">
        <f>Calculations[[#This Row],[Total Kg]]*Calculations[[#This Row],[Carbon Factor]]</f>
        <v>0</v>
      </c>
      <c r="I622" t="str">
        <f>IFERROR(VLOOKUP(Calculations[[#This Row],[Material (choose from dropdown]],MaterialData[#All],2,FALSE),"")</f>
        <v/>
      </c>
      <c r="J622" s="322">
        <f>IFERROR(((VLOOKUP(Calculations[[#This Row],[TransportSource]],TransportDistance[],2,FALSE)*'Stage assumptions'!$C$11)+VLOOKUP(Calculations[[#This Row],[TransportSource]],TransportDistance[],3,FALSE)*'Stage assumptions'!$C$12)*Calculations[[#This Row],[Total Kg]],0)</f>
        <v>0</v>
      </c>
      <c r="K622">
        <f>IFERROR(VLOOKUP(Calculations[[#This Row],[Material (choose from dropdown]], MaterialData[#All],3, FALSE),0)</f>
        <v>0</v>
      </c>
      <c r="L622" s="322">
        <f>IFERROR(VLOOKUP(Calculations[[#This Row],[A5type]],A5WastageRate[#All],2,FALSE)*Calculations[[#This Row],[A1-3]],0)</f>
        <v>0</v>
      </c>
      <c r="N622">
        <f>IFERROR(ROUNDUP(50/VLOOKUP(Calculations[[#This Row],[Scope Element]],B4referenceServiceLife[[Tier 2 element]:[Default Service Life]],2, FALSE)-1,0),0)</f>
        <v>0</v>
      </c>
      <c r="O622" s="322">
        <f>IFERROR((Calculations[[#This Row],[A1-3]]+Calculations[[#This Row],[A4]]+Calculations[[#This Row],[A5]]+Calculations[[#This Row],[C2 total]]+Calculations[[#This Row],[C3 total]]+Calculations[[#This Row],[C4 total]])*Calculations[[#This Row],[Replacements]],0)</f>
        <v>0</v>
      </c>
      <c r="S622" t="str">
        <f>IFERROR(VLOOKUP(Calculations[[#This Row],[Material (choose from dropdown]],MaterialData[#All],4,FALSE),"")</f>
        <v/>
      </c>
      <c r="T622" s="322" cm="1">
        <f t="array" ref="T622">IFERROR(VLOOKUP(Calculations[[#This Row],[Waste 1]],WasteScenario[#All],2,FALSE)*'Stage assumptions'!$C$225*WasteTransportMethod[Emissions Factor
kgCO2e/kg.km]*Calculations[[#This Row],[Total Kg]],0)</f>
        <v>0</v>
      </c>
      <c r="U622" s="322" cm="1">
        <f t="array" ref="U622">IFERROR(VLOOKUP(Calculations[[#This Row],[Waste 1]],WasteScenario[#All],3,FALSE)*'Stage assumptions'!$C$224*WasteTransportMethod[Emissions Factor
kgCO2e/kg.km]*Calculations[[#This Row],[Total Kg]],0)</f>
        <v>0</v>
      </c>
      <c r="V622" s="322" cm="1">
        <f t="array" ref="V622">IFERROR(VLOOKUP(Calculations[[#This Row],[Waste 1]],WasteScenario[#All],4,FALSE)*'Stage assumptions'!$C$223*WasteTransportMethod[Emissions Factor
kgCO2e/kg.km]*Calculations[[#This Row],[Total Kg]],0)</f>
        <v>0</v>
      </c>
      <c r="W622" s="322" cm="1">
        <f t="array" ref="W622">IFERROR(VLOOKUP(Calculations[[#This Row],[Waste 1]],WasteScenario[#All],5,FALSE)*'Stage assumptions'!$C$226*WasteTransportMethod[Emissions Factor
kgCO2e/kg.km]*Calculations[[#This Row],[Total Kg]],0)</f>
        <v>0</v>
      </c>
      <c r="X622" s="322">
        <f>SUM(Calculations[[#This Row],[C2 Recycle]:[C2 Reuse]])</f>
        <v>0</v>
      </c>
      <c r="Y622" t="str">
        <f>IFERROR(VLOOKUP(Calculations[[#This Row],[Material (choose from dropdown]],MaterialData[#All],5,FALSE),"")</f>
        <v/>
      </c>
      <c r="Z622" s="322">
        <f>IFERROR(((VLOOKUP(Calculations[[#This Row],[Waste type 2]],WasteDisposalEmissions[#All],2,FALSE))*Calculations[[#This Row],[Total Kg]])*VLOOKUP(Calculations[[#This Row],[Waste 1]],WasteScenario[#All],2,FALSE),0)</f>
        <v>0</v>
      </c>
      <c r="AA622" s="322">
        <f>IFERROR((VLOOKUP(Calculations[[#This Row],[Waste type 2]],WasteDisposalEmissions[#All],3,FALSE))*Calculations[[#This Row],[Total Kg]]*VLOOKUP(Calculations[[#This Row],[Waste 1]],WasteScenario[#All],3,FALSE),0)</f>
        <v>0</v>
      </c>
      <c r="AB622" s="322">
        <f>SUM(Calculations[[#This Row],[C3 recyc]:[C3 incin]])</f>
        <v>0</v>
      </c>
      <c r="AC622" s="334">
        <f>IFERROR((VLOOKUP(Calculations[[#This Row],[Waste type 2]],WasteLandfillEmissions[#All],2,FALSE))*Calculations[[#This Row],[Total Kg]]*VLOOKUP(Calculations[[#This Row],[Waste 1]],WasteScenario[#All],4,FALSE),0)</f>
        <v>0</v>
      </c>
      <c r="AD622" s="322">
        <f>IFERROR((VLOOKUP(Calculations[[#This Row],[Waste type 2]],WasteLandfillEmissions[#All],3,FALSE))*Calculations[[#This Row],[Total Kg]]*VLOOKUP(Calculations[[#This Row],[Waste 1]],WasteScenario[#All],4,FALSE),0)</f>
        <v>0</v>
      </c>
      <c r="AE622" s="322">
        <f>SUM(Calculations[[#This Row],[C4 landfill]:[C4 re-use]])</f>
        <v>0</v>
      </c>
      <c r="AF622" s="322">
        <f>IFERROR(VLOOKUP(Calculations[[#This Row],[Material (choose from dropdown]],MaterialData[#All],8,FALSE),0)</f>
        <v>0</v>
      </c>
      <c r="AG622" s="322">
        <f>IFERROR(Calculations[[#This Row],[Total Kg]]*Calculations[[#This Row],[Seq factor]],0)</f>
        <v>0</v>
      </c>
      <c r="AI622" s="322">
        <f>Calculations[[#This Row],[A1-3]]+Calculations[[#This Row],[A4]]+Calculations[[#This Row],[A5]]+Calculations[[#This Row],[B4]]+Calculations[[#This Row],[C2 total]]+Calculations[[#This Row],[C3 total]]+Calculations[[#This Row],[C4 total]]</f>
        <v>0</v>
      </c>
      <c r="AJ622" s="2">
        <f>IFERROR(VLOOKUP(Calculations[[#This Row],[Material (choose from dropdown]],MaterialData[[#Headers],[#Data]],9,FALSE),0)</f>
        <v>0</v>
      </c>
      <c r="AK622" s="4">
        <f>IFERROR(VLOOKUP(Calculations[[#This Row],[Material (choose from dropdown]],MaterialData[[#Headers],[#Data]],10,FALSE),0)</f>
        <v>0</v>
      </c>
      <c r="AL622" s="322">
        <f>IFERROR(Calculations[[#This Row],[Data Quality Score]]*Calculations[[#This Row],[Total Kg]],0)</f>
        <v>0</v>
      </c>
    </row>
    <row r="623" spans="1:38" x14ac:dyDescent="0.3">
      <c r="A623" s="6">
        <f>IFERROR(MaterialsBoQ[[#This Row],[Scope Element]],0)</f>
        <v>0</v>
      </c>
      <c r="B623" t="str">
        <f>IFERROR(MaterialsBoQ[[#This Row],[Material ]],"")</f>
        <v/>
      </c>
      <c r="C623" t="str">
        <f>IFERROR(MaterialsBoQ[[#This Row],[Unit]],"")</f>
        <v/>
      </c>
      <c r="D623" s="322">
        <f>IFERROR(MaterialsBoQ[[#This Row],[Number]],0)</f>
        <v>0</v>
      </c>
      <c r="E623" s="322">
        <f>IFERROR(MaterialsBoQ[[#This Row],[Kg per unit]],0)</f>
        <v>0</v>
      </c>
      <c r="F623" s="322">
        <f>IFERROR(Calculations[[#This Row],[Number]]*Calculations[[#This Row],[Conversion factor]],0)</f>
        <v>0</v>
      </c>
      <c r="G623" s="322">
        <f>IFERROR(VLOOKUP(Calculations[[#This Row],[Material (choose from dropdown]],MaterialData[#All],7,FALSE),0)</f>
        <v>0</v>
      </c>
      <c r="H623" s="322">
        <f>Calculations[[#This Row],[Total Kg]]*Calculations[[#This Row],[Carbon Factor]]</f>
        <v>0</v>
      </c>
      <c r="I623" t="str">
        <f>IFERROR(VLOOKUP(Calculations[[#This Row],[Material (choose from dropdown]],MaterialData[#All],2,FALSE),"")</f>
        <v/>
      </c>
      <c r="J623" s="322">
        <f>IFERROR(((VLOOKUP(Calculations[[#This Row],[TransportSource]],TransportDistance[],2,FALSE)*'Stage assumptions'!$C$11)+VLOOKUP(Calculations[[#This Row],[TransportSource]],TransportDistance[],3,FALSE)*'Stage assumptions'!$C$12)*Calculations[[#This Row],[Total Kg]],0)</f>
        <v>0</v>
      </c>
      <c r="K623">
        <f>IFERROR(VLOOKUP(Calculations[[#This Row],[Material (choose from dropdown]], MaterialData[#All],3, FALSE),0)</f>
        <v>0</v>
      </c>
      <c r="L623" s="322">
        <f>IFERROR(VLOOKUP(Calculations[[#This Row],[A5type]],A5WastageRate[#All],2,FALSE)*Calculations[[#This Row],[A1-3]],0)</f>
        <v>0</v>
      </c>
      <c r="N623">
        <f>IFERROR(ROUNDUP(50/VLOOKUP(Calculations[[#This Row],[Scope Element]],B4referenceServiceLife[[Tier 2 element]:[Default Service Life]],2, FALSE)-1,0),0)</f>
        <v>0</v>
      </c>
      <c r="O623" s="322">
        <f>IFERROR((Calculations[[#This Row],[A1-3]]+Calculations[[#This Row],[A4]]+Calculations[[#This Row],[A5]]+Calculations[[#This Row],[C2 total]]+Calculations[[#This Row],[C3 total]]+Calculations[[#This Row],[C4 total]])*Calculations[[#This Row],[Replacements]],0)</f>
        <v>0</v>
      </c>
      <c r="S623" t="str">
        <f>IFERROR(VLOOKUP(Calculations[[#This Row],[Material (choose from dropdown]],MaterialData[#All],4,FALSE),"")</f>
        <v/>
      </c>
      <c r="T623" s="322" cm="1">
        <f t="array" ref="T623">IFERROR(VLOOKUP(Calculations[[#This Row],[Waste 1]],WasteScenario[#All],2,FALSE)*'Stage assumptions'!$C$225*WasteTransportMethod[Emissions Factor
kgCO2e/kg.km]*Calculations[[#This Row],[Total Kg]],0)</f>
        <v>0</v>
      </c>
      <c r="U623" s="322" cm="1">
        <f t="array" ref="U623">IFERROR(VLOOKUP(Calculations[[#This Row],[Waste 1]],WasteScenario[#All],3,FALSE)*'Stage assumptions'!$C$224*WasteTransportMethod[Emissions Factor
kgCO2e/kg.km]*Calculations[[#This Row],[Total Kg]],0)</f>
        <v>0</v>
      </c>
      <c r="V623" s="322" cm="1">
        <f t="array" ref="V623">IFERROR(VLOOKUP(Calculations[[#This Row],[Waste 1]],WasteScenario[#All],4,FALSE)*'Stage assumptions'!$C$223*WasteTransportMethod[Emissions Factor
kgCO2e/kg.km]*Calculations[[#This Row],[Total Kg]],0)</f>
        <v>0</v>
      </c>
      <c r="W623" s="322" cm="1">
        <f t="array" ref="W623">IFERROR(VLOOKUP(Calculations[[#This Row],[Waste 1]],WasteScenario[#All],5,FALSE)*'Stage assumptions'!$C$226*WasteTransportMethod[Emissions Factor
kgCO2e/kg.km]*Calculations[[#This Row],[Total Kg]],0)</f>
        <v>0</v>
      </c>
      <c r="X623" s="322">
        <f>SUM(Calculations[[#This Row],[C2 Recycle]:[C2 Reuse]])</f>
        <v>0</v>
      </c>
      <c r="Y623" t="str">
        <f>IFERROR(VLOOKUP(Calculations[[#This Row],[Material (choose from dropdown]],MaterialData[#All],5,FALSE),"")</f>
        <v/>
      </c>
      <c r="Z623" s="322">
        <f>IFERROR(((VLOOKUP(Calculations[[#This Row],[Waste type 2]],WasteDisposalEmissions[#All],2,FALSE))*Calculations[[#This Row],[Total Kg]])*VLOOKUP(Calculations[[#This Row],[Waste 1]],WasteScenario[#All],2,FALSE),0)</f>
        <v>0</v>
      </c>
      <c r="AA623" s="322">
        <f>IFERROR((VLOOKUP(Calculations[[#This Row],[Waste type 2]],WasteDisposalEmissions[#All],3,FALSE))*Calculations[[#This Row],[Total Kg]]*VLOOKUP(Calculations[[#This Row],[Waste 1]],WasteScenario[#All],3,FALSE),0)</f>
        <v>0</v>
      </c>
      <c r="AB623" s="322">
        <f>SUM(Calculations[[#This Row],[C3 recyc]:[C3 incin]])</f>
        <v>0</v>
      </c>
      <c r="AC623" s="334">
        <f>IFERROR((VLOOKUP(Calculations[[#This Row],[Waste type 2]],WasteLandfillEmissions[#All],2,FALSE))*Calculations[[#This Row],[Total Kg]]*VLOOKUP(Calculations[[#This Row],[Waste 1]],WasteScenario[#All],4,FALSE),0)</f>
        <v>0</v>
      </c>
      <c r="AD623" s="322">
        <f>IFERROR((VLOOKUP(Calculations[[#This Row],[Waste type 2]],WasteLandfillEmissions[#All],3,FALSE))*Calculations[[#This Row],[Total Kg]]*VLOOKUP(Calculations[[#This Row],[Waste 1]],WasteScenario[#All],4,FALSE),0)</f>
        <v>0</v>
      </c>
      <c r="AE623" s="322">
        <f>SUM(Calculations[[#This Row],[C4 landfill]:[C4 re-use]])</f>
        <v>0</v>
      </c>
      <c r="AF623" s="322">
        <f>IFERROR(VLOOKUP(Calculations[[#This Row],[Material (choose from dropdown]],MaterialData[#All],8,FALSE),0)</f>
        <v>0</v>
      </c>
      <c r="AG623" s="322">
        <f>IFERROR(Calculations[[#This Row],[Total Kg]]*Calculations[[#This Row],[Seq factor]],0)</f>
        <v>0</v>
      </c>
      <c r="AI623" s="322">
        <f>Calculations[[#This Row],[A1-3]]+Calculations[[#This Row],[A4]]+Calculations[[#This Row],[A5]]+Calculations[[#This Row],[B4]]+Calculations[[#This Row],[C2 total]]+Calculations[[#This Row],[C3 total]]+Calculations[[#This Row],[C4 total]]</f>
        <v>0</v>
      </c>
      <c r="AJ623" s="2">
        <f>IFERROR(VLOOKUP(Calculations[[#This Row],[Material (choose from dropdown]],MaterialData[[#Headers],[#Data]],9,FALSE),0)</f>
        <v>0</v>
      </c>
      <c r="AK623" s="4">
        <f>IFERROR(VLOOKUP(Calculations[[#This Row],[Material (choose from dropdown]],MaterialData[[#Headers],[#Data]],10,FALSE),0)</f>
        <v>0</v>
      </c>
      <c r="AL623" s="322">
        <f>IFERROR(Calculations[[#This Row],[Data Quality Score]]*Calculations[[#This Row],[Total Kg]],0)</f>
        <v>0</v>
      </c>
    </row>
    <row r="624" spans="1:38" x14ac:dyDescent="0.3">
      <c r="A624" s="6">
        <f>IFERROR(MaterialsBoQ[[#This Row],[Scope Element]],0)</f>
        <v>0</v>
      </c>
      <c r="B624" t="str">
        <f>IFERROR(MaterialsBoQ[[#This Row],[Material ]],"")</f>
        <v/>
      </c>
      <c r="C624" t="str">
        <f>IFERROR(MaterialsBoQ[[#This Row],[Unit]],"")</f>
        <v/>
      </c>
      <c r="D624" s="322">
        <f>IFERROR(MaterialsBoQ[[#This Row],[Number]],0)</f>
        <v>0</v>
      </c>
      <c r="E624" s="322">
        <f>IFERROR(MaterialsBoQ[[#This Row],[Kg per unit]],0)</f>
        <v>0</v>
      </c>
      <c r="F624" s="322">
        <f>IFERROR(Calculations[[#This Row],[Number]]*Calculations[[#This Row],[Conversion factor]],0)</f>
        <v>0</v>
      </c>
      <c r="G624" s="322">
        <f>IFERROR(VLOOKUP(Calculations[[#This Row],[Material (choose from dropdown]],MaterialData[#All],7,FALSE),0)</f>
        <v>0</v>
      </c>
      <c r="H624" s="322">
        <f>Calculations[[#This Row],[Total Kg]]*Calculations[[#This Row],[Carbon Factor]]</f>
        <v>0</v>
      </c>
      <c r="I624" t="str">
        <f>IFERROR(VLOOKUP(Calculations[[#This Row],[Material (choose from dropdown]],MaterialData[#All],2,FALSE),"")</f>
        <v/>
      </c>
      <c r="J624" s="322">
        <f>IFERROR(((VLOOKUP(Calculations[[#This Row],[TransportSource]],TransportDistance[],2,FALSE)*'Stage assumptions'!$C$11)+VLOOKUP(Calculations[[#This Row],[TransportSource]],TransportDistance[],3,FALSE)*'Stage assumptions'!$C$12)*Calculations[[#This Row],[Total Kg]],0)</f>
        <v>0</v>
      </c>
      <c r="K624">
        <f>IFERROR(VLOOKUP(Calculations[[#This Row],[Material (choose from dropdown]], MaterialData[#All],3, FALSE),0)</f>
        <v>0</v>
      </c>
      <c r="L624" s="322">
        <f>IFERROR(VLOOKUP(Calculations[[#This Row],[A5type]],A5WastageRate[#All],2,FALSE)*Calculations[[#This Row],[A1-3]],0)</f>
        <v>0</v>
      </c>
      <c r="N624">
        <f>IFERROR(ROUNDUP(50/VLOOKUP(Calculations[[#This Row],[Scope Element]],B4referenceServiceLife[[Tier 2 element]:[Default Service Life]],2, FALSE)-1,0),0)</f>
        <v>0</v>
      </c>
      <c r="O624" s="322">
        <f>IFERROR((Calculations[[#This Row],[A1-3]]+Calculations[[#This Row],[A4]]+Calculations[[#This Row],[A5]]+Calculations[[#This Row],[C2 total]]+Calculations[[#This Row],[C3 total]]+Calculations[[#This Row],[C4 total]])*Calculations[[#This Row],[Replacements]],0)</f>
        <v>0</v>
      </c>
      <c r="S624" t="str">
        <f>IFERROR(VLOOKUP(Calculations[[#This Row],[Material (choose from dropdown]],MaterialData[#All],4,FALSE),"")</f>
        <v/>
      </c>
      <c r="T624" s="322" cm="1">
        <f t="array" ref="T624">IFERROR(VLOOKUP(Calculations[[#This Row],[Waste 1]],WasteScenario[#All],2,FALSE)*'Stage assumptions'!$C$225*WasteTransportMethod[Emissions Factor
kgCO2e/kg.km]*Calculations[[#This Row],[Total Kg]],0)</f>
        <v>0</v>
      </c>
      <c r="U624" s="322" cm="1">
        <f t="array" ref="U624">IFERROR(VLOOKUP(Calculations[[#This Row],[Waste 1]],WasteScenario[#All],3,FALSE)*'Stage assumptions'!$C$224*WasteTransportMethod[Emissions Factor
kgCO2e/kg.km]*Calculations[[#This Row],[Total Kg]],0)</f>
        <v>0</v>
      </c>
      <c r="V624" s="322" cm="1">
        <f t="array" ref="V624">IFERROR(VLOOKUP(Calculations[[#This Row],[Waste 1]],WasteScenario[#All],4,FALSE)*'Stage assumptions'!$C$223*WasteTransportMethod[Emissions Factor
kgCO2e/kg.km]*Calculations[[#This Row],[Total Kg]],0)</f>
        <v>0</v>
      </c>
      <c r="W624" s="322" cm="1">
        <f t="array" ref="W624">IFERROR(VLOOKUP(Calculations[[#This Row],[Waste 1]],WasteScenario[#All],5,FALSE)*'Stage assumptions'!$C$226*WasteTransportMethod[Emissions Factor
kgCO2e/kg.km]*Calculations[[#This Row],[Total Kg]],0)</f>
        <v>0</v>
      </c>
      <c r="X624" s="322">
        <f>SUM(Calculations[[#This Row],[C2 Recycle]:[C2 Reuse]])</f>
        <v>0</v>
      </c>
      <c r="Y624" t="str">
        <f>IFERROR(VLOOKUP(Calculations[[#This Row],[Material (choose from dropdown]],MaterialData[#All],5,FALSE),"")</f>
        <v/>
      </c>
      <c r="Z624" s="322">
        <f>IFERROR(((VLOOKUP(Calculations[[#This Row],[Waste type 2]],WasteDisposalEmissions[#All],2,FALSE))*Calculations[[#This Row],[Total Kg]])*VLOOKUP(Calculations[[#This Row],[Waste 1]],WasteScenario[#All],2,FALSE),0)</f>
        <v>0</v>
      </c>
      <c r="AA624" s="322">
        <f>IFERROR((VLOOKUP(Calculations[[#This Row],[Waste type 2]],WasteDisposalEmissions[#All],3,FALSE))*Calculations[[#This Row],[Total Kg]]*VLOOKUP(Calculations[[#This Row],[Waste 1]],WasteScenario[#All],3,FALSE),0)</f>
        <v>0</v>
      </c>
      <c r="AB624" s="322">
        <f>SUM(Calculations[[#This Row],[C3 recyc]:[C3 incin]])</f>
        <v>0</v>
      </c>
      <c r="AC624" s="334">
        <f>IFERROR((VLOOKUP(Calculations[[#This Row],[Waste type 2]],WasteLandfillEmissions[#All],2,FALSE))*Calculations[[#This Row],[Total Kg]]*VLOOKUP(Calculations[[#This Row],[Waste 1]],WasteScenario[#All],4,FALSE),0)</f>
        <v>0</v>
      </c>
      <c r="AD624" s="322">
        <f>IFERROR((VLOOKUP(Calculations[[#This Row],[Waste type 2]],WasteLandfillEmissions[#All],3,FALSE))*Calculations[[#This Row],[Total Kg]]*VLOOKUP(Calculations[[#This Row],[Waste 1]],WasteScenario[#All],4,FALSE),0)</f>
        <v>0</v>
      </c>
      <c r="AE624" s="322">
        <f>SUM(Calculations[[#This Row],[C4 landfill]:[C4 re-use]])</f>
        <v>0</v>
      </c>
      <c r="AF624" s="322">
        <f>IFERROR(VLOOKUP(Calculations[[#This Row],[Material (choose from dropdown]],MaterialData[#All],8,FALSE),0)</f>
        <v>0</v>
      </c>
      <c r="AG624" s="322">
        <f>IFERROR(Calculations[[#This Row],[Total Kg]]*Calculations[[#This Row],[Seq factor]],0)</f>
        <v>0</v>
      </c>
      <c r="AI624" s="322">
        <f>Calculations[[#This Row],[A1-3]]+Calculations[[#This Row],[A4]]+Calculations[[#This Row],[A5]]+Calculations[[#This Row],[B4]]+Calculations[[#This Row],[C2 total]]+Calculations[[#This Row],[C3 total]]+Calculations[[#This Row],[C4 total]]</f>
        <v>0</v>
      </c>
      <c r="AJ624" s="2">
        <f>IFERROR(VLOOKUP(Calculations[[#This Row],[Material (choose from dropdown]],MaterialData[[#Headers],[#Data]],9,FALSE),0)</f>
        <v>0</v>
      </c>
      <c r="AK624" s="4">
        <f>IFERROR(VLOOKUP(Calculations[[#This Row],[Material (choose from dropdown]],MaterialData[[#Headers],[#Data]],10,FALSE),0)</f>
        <v>0</v>
      </c>
      <c r="AL624" s="322">
        <f>IFERROR(Calculations[[#This Row],[Data Quality Score]]*Calculations[[#This Row],[Total Kg]],0)</f>
        <v>0</v>
      </c>
    </row>
    <row r="625" spans="1:38" x14ac:dyDescent="0.3">
      <c r="A625" s="6">
        <f>IFERROR(MaterialsBoQ[[#This Row],[Scope Element]],0)</f>
        <v>0</v>
      </c>
      <c r="B625" t="str">
        <f>IFERROR(MaterialsBoQ[[#This Row],[Material ]],"")</f>
        <v/>
      </c>
      <c r="C625" t="str">
        <f>IFERROR(MaterialsBoQ[[#This Row],[Unit]],"")</f>
        <v/>
      </c>
      <c r="D625" s="322">
        <f>IFERROR(MaterialsBoQ[[#This Row],[Number]],0)</f>
        <v>0</v>
      </c>
      <c r="E625" s="322">
        <f>IFERROR(MaterialsBoQ[[#This Row],[Kg per unit]],0)</f>
        <v>0</v>
      </c>
      <c r="F625" s="322">
        <f>IFERROR(Calculations[[#This Row],[Number]]*Calculations[[#This Row],[Conversion factor]],0)</f>
        <v>0</v>
      </c>
      <c r="G625" s="322">
        <f>IFERROR(VLOOKUP(Calculations[[#This Row],[Material (choose from dropdown]],MaterialData[#All],7,FALSE),0)</f>
        <v>0</v>
      </c>
      <c r="H625" s="322">
        <f>Calculations[[#This Row],[Total Kg]]*Calculations[[#This Row],[Carbon Factor]]</f>
        <v>0</v>
      </c>
      <c r="I625" t="str">
        <f>IFERROR(VLOOKUP(Calculations[[#This Row],[Material (choose from dropdown]],MaterialData[#All],2,FALSE),"")</f>
        <v/>
      </c>
      <c r="J625" s="322">
        <f>IFERROR(((VLOOKUP(Calculations[[#This Row],[TransportSource]],TransportDistance[],2,FALSE)*'Stage assumptions'!$C$11)+VLOOKUP(Calculations[[#This Row],[TransportSource]],TransportDistance[],3,FALSE)*'Stage assumptions'!$C$12)*Calculations[[#This Row],[Total Kg]],0)</f>
        <v>0</v>
      </c>
      <c r="K625">
        <f>IFERROR(VLOOKUP(Calculations[[#This Row],[Material (choose from dropdown]], MaterialData[#All],3, FALSE),0)</f>
        <v>0</v>
      </c>
      <c r="L625" s="322">
        <f>IFERROR(VLOOKUP(Calculations[[#This Row],[A5type]],A5WastageRate[#All],2,FALSE)*Calculations[[#This Row],[A1-3]],0)</f>
        <v>0</v>
      </c>
      <c r="N625">
        <f>IFERROR(ROUNDUP(50/VLOOKUP(Calculations[[#This Row],[Scope Element]],B4referenceServiceLife[[Tier 2 element]:[Default Service Life]],2, FALSE)-1,0),0)</f>
        <v>0</v>
      </c>
      <c r="O625" s="322">
        <f>IFERROR((Calculations[[#This Row],[A1-3]]+Calculations[[#This Row],[A4]]+Calculations[[#This Row],[A5]]+Calculations[[#This Row],[C2 total]]+Calculations[[#This Row],[C3 total]]+Calculations[[#This Row],[C4 total]])*Calculations[[#This Row],[Replacements]],0)</f>
        <v>0</v>
      </c>
      <c r="S625" t="str">
        <f>IFERROR(VLOOKUP(Calculations[[#This Row],[Material (choose from dropdown]],MaterialData[#All],4,FALSE),"")</f>
        <v/>
      </c>
      <c r="T625" s="322" cm="1">
        <f t="array" ref="T625">IFERROR(VLOOKUP(Calculations[[#This Row],[Waste 1]],WasteScenario[#All],2,FALSE)*'Stage assumptions'!$C$225*WasteTransportMethod[Emissions Factor
kgCO2e/kg.km]*Calculations[[#This Row],[Total Kg]],0)</f>
        <v>0</v>
      </c>
      <c r="U625" s="322" cm="1">
        <f t="array" ref="U625">IFERROR(VLOOKUP(Calculations[[#This Row],[Waste 1]],WasteScenario[#All],3,FALSE)*'Stage assumptions'!$C$224*WasteTransportMethod[Emissions Factor
kgCO2e/kg.km]*Calculations[[#This Row],[Total Kg]],0)</f>
        <v>0</v>
      </c>
      <c r="V625" s="322" cm="1">
        <f t="array" ref="V625">IFERROR(VLOOKUP(Calculations[[#This Row],[Waste 1]],WasteScenario[#All],4,FALSE)*'Stage assumptions'!$C$223*WasteTransportMethod[Emissions Factor
kgCO2e/kg.km]*Calculations[[#This Row],[Total Kg]],0)</f>
        <v>0</v>
      </c>
      <c r="W625" s="322" cm="1">
        <f t="array" ref="W625">IFERROR(VLOOKUP(Calculations[[#This Row],[Waste 1]],WasteScenario[#All],5,FALSE)*'Stage assumptions'!$C$226*WasteTransportMethod[Emissions Factor
kgCO2e/kg.km]*Calculations[[#This Row],[Total Kg]],0)</f>
        <v>0</v>
      </c>
      <c r="X625" s="322">
        <f>SUM(Calculations[[#This Row],[C2 Recycle]:[C2 Reuse]])</f>
        <v>0</v>
      </c>
      <c r="Y625" t="str">
        <f>IFERROR(VLOOKUP(Calculations[[#This Row],[Material (choose from dropdown]],MaterialData[#All],5,FALSE),"")</f>
        <v/>
      </c>
      <c r="Z625" s="322">
        <f>IFERROR(((VLOOKUP(Calculations[[#This Row],[Waste type 2]],WasteDisposalEmissions[#All],2,FALSE))*Calculations[[#This Row],[Total Kg]])*VLOOKUP(Calculations[[#This Row],[Waste 1]],WasteScenario[#All],2,FALSE),0)</f>
        <v>0</v>
      </c>
      <c r="AA625" s="322">
        <f>IFERROR((VLOOKUP(Calculations[[#This Row],[Waste type 2]],WasteDisposalEmissions[#All],3,FALSE))*Calculations[[#This Row],[Total Kg]]*VLOOKUP(Calculations[[#This Row],[Waste 1]],WasteScenario[#All],3,FALSE),0)</f>
        <v>0</v>
      </c>
      <c r="AB625" s="322">
        <f>SUM(Calculations[[#This Row],[C3 recyc]:[C3 incin]])</f>
        <v>0</v>
      </c>
      <c r="AC625" s="334">
        <f>IFERROR((VLOOKUP(Calculations[[#This Row],[Waste type 2]],WasteLandfillEmissions[#All],2,FALSE))*Calculations[[#This Row],[Total Kg]]*VLOOKUP(Calculations[[#This Row],[Waste 1]],WasteScenario[#All],4,FALSE),0)</f>
        <v>0</v>
      </c>
      <c r="AD625" s="322">
        <f>IFERROR((VLOOKUP(Calculations[[#This Row],[Waste type 2]],WasteLandfillEmissions[#All],3,FALSE))*Calculations[[#This Row],[Total Kg]]*VLOOKUP(Calculations[[#This Row],[Waste 1]],WasteScenario[#All],4,FALSE),0)</f>
        <v>0</v>
      </c>
      <c r="AE625" s="322">
        <f>SUM(Calculations[[#This Row],[C4 landfill]:[C4 re-use]])</f>
        <v>0</v>
      </c>
      <c r="AF625" s="322">
        <f>IFERROR(VLOOKUP(Calculations[[#This Row],[Material (choose from dropdown]],MaterialData[#All],8,FALSE),0)</f>
        <v>0</v>
      </c>
      <c r="AG625" s="322">
        <f>IFERROR(Calculations[[#This Row],[Total Kg]]*Calculations[[#This Row],[Seq factor]],0)</f>
        <v>0</v>
      </c>
      <c r="AI625" s="322">
        <f>Calculations[[#This Row],[A1-3]]+Calculations[[#This Row],[A4]]+Calculations[[#This Row],[A5]]+Calculations[[#This Row],[B4]]+Calculations[[#This Row],[C2 total]]+Calculations[[#This Row],[C3 total]]+Calculations[[#This Row],[C4 total]]</f>
        <v>0</v>
      </c>
      <c r="AJ625" s="2">
        <f>IFERROR(VLOOKUP(Calculations[[#This Row],[Material (choose from dropdown]],MaterialData[[#Headers],[#Data]],9,FALSE),0)</f>
        <v>0</v>
      </c>
      <c r="AK625" s="4">
        <f>IFERROR(VLOOKUP(Calculations[[#This Row],[Material (choose from dropdown]],MaterialData[[#Headers],[#Data]],10,FALSE),0)</f>
        <v>0</v>
      </c>
      <c r="AL625" s="322">
        <f>IFERROR(Calculations[[#This Row],[Data Quality Score]]*Calculations[[#This Row],[Total Kg]],0)</f>
        <v>0</v>
      </c>
    </row>
    <row r="626" spans="1:38" x14ac:dyDescent="0.3">
      <c r="A626" s="6">
        <f>IFERROR(MaterialsBoQ[[#This Row],[Scope Element]],0)</f>
        <v>0</v>
      </c>
      <c r="B626" t="str">
        <f>IFERROR(MaterialsBoQ[[#This Row],[Material ]],"")</f>
        <v/>
      </c>
      <c r="C626" t="str">
        <f>IFERROR(MaterialsBoQ[[#This Row],[Unit]],"")</f>
        <v/>
      </c>
      <c r="D626" s="322">
        <f>IFERROR(MaterialsBoQ[[#This Row],[Number]],0)</f>
        <v>0</v>
      </c>
      <c r="E626" s="322">
        <f>IFERROR(MaterialsBoQ[[#This Row],[Kg per unit]],0)</f>
        <v>0</v>
      </c>
      <c r="F626" s="322">
        <f>IFERROR(Calculations[[#This Row],[Number]]*Calculations[[#This Row],[Conversion factor]],0)</f>
        <v>0</v>
      </c>
      <c r="G626" s="322">
        <f>IFERROR(VLOOKUP(Calculations[[#This Row],[Material (choose from dropdown]],MaterialData[#All],7,FALSE),0)</f>
        <v>0</v>
      </c>
      <c r="H626" s="322">
        <f>Calculations[[#This Row],[Total Kg]]*Calculations[[#This Row],[Carbon Factor]]</f>
        <v>0</v>
      </c>
      <c r="I626" t="str">
        <f>IFERROR(VLOOKUP(Calculations[[#This Row],[Material (choose from dropdown]],MaterialData[#All],2,FALSE),"")</f>
        <v/>
      </c>
      <c r="J626" s="322">
        <f>IFERROR(((VLOOKUP(Calculations[[#This Row],[TransportSource]],TransportDistance[],2,FALSE)*'Stage assumptions'!$C$11)+VLOOKUP(Calculations[[#This Row],[TransportSource]],TransportDistance[],3,FALSE)*'Stage assumptions'!$C$12)*Calculations[[#This Row],[Total Kg]],0)</f>
        <v>0</v>
      </c>
      <c r="K626">
        <f>IFERROR(VLOOKUP(Calculations[[#This Row],[Material (choose from dropdown]], MaterialData[#All],3, FALSE),0)</f>
        <v>0</v>
      </c>
      <c r="L626" s="322">
        <f>IFERROR(VLOOKUP(Calculations[[#This Row],[A5type]],A5WastageRate[#All],2,FALSE)*Calculations[[#This Row],[A1-3]],0)</f>
        <v>0</v>
      </c>
      <c r="N626">
        <f>IFERROR(ROUNDUP(50/VLOOKUP(Calculations[[#This Row],[Scope Element]],B4referenceServiceLife[[Tier 2 element]:[Default Service Life]],2, FALSE)-1,0),0)</f>
        <v>0</v>
      </c>
      <c r="O626" s="322">
        <f>IFERROR((Calculations[[#This Row],[A1-3]]+Calculations[[#This Row],[A4]]+Calculations[[#This Row],[A5]]+Calculations[[#This Row],[C2 total]]+Calculations[[#This Row],[C3 total]]+Calculations[[#This Row],[C4 total]])*Calculations[[#This Row],[Replacements]],0)</f>
        <v>0</v>
      </c>
      <c r="S626" t="str">
        <f>IFERROR(VLOOKUP(Calculations[[#This Row],[Material (choose from dropdown]],MaterialData[#All],4,FALSE),"")</f>
        <v/>
      </c>
      <c r="T626" s="322" cm="1">
        <f t="array" ref="T626">IFERROR(VLOOKUP(Calculations[[#This Row],[Waste 1]],WasteScenario[#All],2,FALSE)*'Stage assumptions'!$C$225*WasteTransportMethod[Emissions Factor
kgCO2e/kg.km]*Calculations[[#This Row],[Total Kg]],0)</f>
        <v>0</v>
      </c>
      <c r="U626" s="322" cm="1">
        <f t="array" ref="U626">IFERROR(VLOOKUP(Calculations[[#This Row],[Waste 1]],WasteScenario[#All],3,FALSE)*'Stage assumptions'!$C$224*WasteTransportMethod[Emissions Factor
kgCO2e/kg.km]*Calculations[[#This Row],[Total Kg]],0)</f>
        <v>0</v>
      </c>
      <c r="V626" s="322" cm="1">
        <f t="array" ref="V626">IFERROR(VLOOKUP(Calculations[[#This Row],[Waste 1]],WasteScenario[#All],4,FALSE)*'Stage assumptions'!$C$223*WasteTransportMethod[Emissions Factor
kgCO2e/kg.km]*Calculations[[#This Row],[Total Kg]],0)</f>
        <v>0</v>
      </c>
      <c r="W626" s="322" cm="1">
        <f t="array" ref="W626">IFERROR(VLOOKUP(Calculations[[#This Row],[Waste 1]],WasteScenario[#All],5,FALSE)*'Stage assumptions'!$C$226*WasteTransportMethod[Emissions Factor
kgCO2e/kg.km]*Calculations[[#This Row],[Total Kg]],0)</f>
        <v>0</v>
      </c>
      <c r="X626" s="322">
        <f>SUM(Calculations[[#This Row],[C2 Recycle]:[C2 Reuse]])</f>
        <v>0</v>
      </c>
      <c r="Y626" t="str">
        <f>IFERROR(VLOOKUP(Calculations[[#This Row],[Material (choose from dropdown]],MaterialData[#All],5,FALSE),"")</f>
        <v/>
      </c>
      <c r="Z626" s="322">
        <f>IFERROR(((VLOOKUP(Calculations[[#This Row],[Waste type 2]],WasteDisposalEmissions[#All],2,FALSE))*Calculations[[#This Row],[Total Kg]])*VLOOKUP(Calculations[[#This Row],[Waste 1]],WasteScenario[#All],2,FALSE),0)</f>
        <v>0</v>
      </c>
      <c r="AA626" s="322">
        <f>IFERROR((VLOOKUP(Calculations[[#This Row],[Waste type 2]],WasteDisposalEmissions[#All],3,FALSE))*Calculations[[#This Row],[Total Kg]]*VLOOKUP(Calculations[[#This Row],[Waste 1]],WasteScenario[#All],3,FALSE),0)</f>
        <v>0</v>
      </c>
      <c r="AB626" s="322">
        <f>SUM(Calculations[[#This Row],[C3 recyc]:[C3 incin]])</f>
        <v>0</v>
      </c>
      <c r="AC626" s="334">
        <f>IFERROR((VLOOKUP(Calculations[[#This Row],[Waste type 2]],WasteLandfillEmissions[#All],2,FALSE))*Calculations[[#This Row],[Total Kg]]*VLOOKUP(Calculations[[#This Row],[Waste 1]],WasteScenario[#All],4,FALSE),0)</f>
        <v>0</v>
      </c>
      <c r="AD626" s="322">
        <f>IFERROR((VLOOKUP(Calculations[[#This Row],[Waste type 2]],WasteLandfillEmissions[#All],3,FALSE))*Calculations[[#This Row],[Total Kg]]*VLOOKUP(Calculations[[#This Row],[Waste 1]],WasteScenario[#All],4,FALSE),0)</f>
        <v>0</v>
      </c>
      <c r="AE626" s="322">
        <f>SUM(Calculations[[#This Row],[C4 landfill]:[C4 re-use]])</f>
        <v>0</v>
      </c>
      <c r="AF626" s="322">
        <f>IFERROR(VLOOKUP(Calculations[[#This Row],[Material (choose from dropdown]],MaterialData[#All],8,FALSE),0)</f>
        <v>0</v>
      </c>
      <c r="AG626" s="322">
        <f>IFERROR(Calculations[[#This Row],[Total Kg]]*Calculations[[#This Row],[Seq factor]],0)</f>
        <v>0</v>
      </c>
      <c r="AI626" s="322">
        <f>Calculations[[#This Row],[A1-3]]+Calculations[[#This Row],[A4]]+Calculations[[#This Row],[A5]]+Calculations[[#This Row],[B4]]+Calculations[[#This Row],[C2 total]]+Calculations[[#This Row],[C3 total]]+Calculations[[#This Row],[C4 total]]</f>
        <v>0</v>
      </c>
      <c r="AJ626" s="2">
        <f>IFERROR(VLOOKUP(Calculations[[#This Row],[Material (choose from dropdown]],MaterialData[[#Headers],[#Data]],9,FALSE),0)</f>
        <v>0</v>
      </c>
      <c r="AK626" s="4">
        <f>IFERROR(VLOOKUP(Calculations[[#This Row],[Material (choose from dropdown]],MaterialData[[#Headers],[#Data]],10,FALSE),0)</f>
        <v>0</v>
      </c>
      <c r="AL626" s="322">
        <f>IFERROR(Calculations[[#This Row],[Data Quality Score]]*Calculations[[#This Row],[Total Kg]],0)</f>
        <v>0</v>
      </c>
    </row>
    <row r="627" spans="1:38" x14ac:dyDescent="0.3">
      <c r="A627" s="6">
        <f>IFERROR(MaterialsBoQ[[#This Row],[Scope Element]],0)</f>
        <v>0</v>
      </c>
      <c r="B627" t="str">
        <f>IFERROR(MaterialsBoQ[[#This Row],[Material ]],"")</f>
        <v/>
      </c>
      <c r="C627" t="str">
        <f>IFERROR(MaterialsBoQ[[#This Row],[Unit]],"")</f>
        <v/>
      </c>
      <c r="D627" s="322">
        <f>IFERROR(MaterialsBoQ[[#This Row],[Number]],0)</f>
        <v>0</v>
      </c>
      <c r="E627" s="322">
        <f>IFERROR(MaterialsBoQ[[#This Row],[Kg per unit]],0)</f>
        <v>0</v>
      </c>
      <c r="F627" s="322">
        <f>IFERROR(Calculations[[#This Row],[Number]]*Calculations[[#This Row],[Conversion factor]],0)</f>
        <v>0</v>
      </c>
      <c r="G627" s="322">
        <f>IFERROR(VLOOKUP(Calculations[[#This Row],[Material (choose from dropdown]],MaterialData[#All],7,FALSE),0)</f>
        <v>0</v>
      </c>
      <c r="H627" s="322">
        <f>Calculations[[#This Row],[Total Kg]]*Calculations[[#This Row],[Carbon Factor]]</f>
        <v>0</v>
      </c>
      <c r="I627" t="str">
        <f>IFERROR(VLOOKUP(Calculations[[#This Row],[Material (choose from dropdown]],MaterialData[#All],2,FALSE),"")</f>
        <v/>
      </c>
      <c r="J627" s="322">
        <f>IFERROR(((VLOOKUP(Calculations[[#This Row],[TransportSource]],TransportDistance[],2,FALSE)*'Stage assumptions'!$C$11)+VLOOKUP(Calculations[[#This Row],[TransportSource]],TransportDistance[],3,FALSE)*'Stage assumptions'!$C$12)*Calculations[[#This Row],[Total Kg]],0)</f>
        <v>0</v>
      </c>
      <c r="K627">
        <f>IFERROR(VLOOKUP(Calculations[[#This Row],[Material (choose from dropdown]], MaterialData[#All],3, FALSE),0)</f>
        <v>0</v>
      </c>
      <c r="L627" s="322">
        <f>IFERROR(VLOOKUP(Calculations[[#This Row],[A5type]],A5WastageRate[#All],2,FALSE)*Calculations[[#This Row],[A1-3]],0)</f>
        <v>0</v>
      </c>
      <c r="N627">
        <f>IFERROR(ROUNDUP(50/VLOOKUP(Calculations[[#This Row],[Scope Element]],B4referenceServiceLife[[Tier 2 element]:[Default Service Life]],2, FALSE)-1,0),0)</f>
        <v>0</v>
      </c>
      <c r="O627" s="322">
        <f>IFERROR((Calculations[[#This Row],[A1-3]]+Calculations[[#This Row],[A4]]+Calculations[[#This Row],[A5]]+Calculations[[#This Row],[C2 total]]+Calculations[[#This Row],[C3 total]]+Calculations[[#This Row],[C4 total]])*Calculations[[#This Row],[Replacements]],0)</f>
        <v>0</v>
      </c>
      <c r="S627" t="str">
        <f>IFERROR(VLOOKUP(Calculations[[#This Row],[Material (choose from dropdown]],MaterialData[#All],4,FALSE),"")</f>
        <v/>
      </c>
      <c r="T627" s="322" cm="1">
        <f t="array" ref="T627">IFERROR(VLOOKUP(Calculations[[#This Row],[Waste 1]],WasteScenario[#All],2,FALSE)*'Stage assumptions'!$C$225*WasteTransportMethod[Emissions Factor
kgCO2e/kg.km]*Calculations[[#This Row],[Total Kg]],0)</f>
        <v>0</v>
      </c>
      <c r="U627" s="322" cm="1">
        <f t="array" ref="U627">IFERROR(VLOOKUP(Calculations[[#This Row],[Waste 1]],WasteScenario[#All],3,FALSE)*'Stage assumptions'!$C$224*WasteTransportMethod[Emissions Factor
kgCO2e/kg.km]*Calculations[[#This Row],[Total Kg]],0)</f>
        <v>0</v>
      </c>
      <c r="V627" s="322" cm="1">
        <f t="array" ref="V627">IFERROR(VLOOKUP(Calculations[[#This Row],[Waste 1]],WasteScenario[#All],4,FALSE)*'Stage assumptions'!$C$223*WasteTransportMethod[Emissions Factor
kgCO2e/kg.km]*Calculations[[#This Row],[Total Kg]],0)</f>
        <v>0</v>
      </c>
      <c r="W627" s="322" cm="1">
        <f t="array" ref="W627">IFERROR(VLOOKUP(Calculations[[#This Row],[Waste 1]],WasteScenario[#All],5,FALSE)*'Stage assumptions'!$C$226*WasteTransportMethod[Emissions Factor
kgCO2e/kg.km]*Calculations[[#This Row],[Total Kg]],0)</f>
        <v>0</v>
      </c>
      <c r="X627" s="322">
        <f>SUM(Calculations[[#This Row],[C2 Recycle]:[C2 Reuse]])</f>
        <v>0</v>
      </c>
      <c r="Y627" t="str">
        <f>IFERROR(VLOOKUP(Calculations[[#This Row],[Material (choose from dropdown]],MaterialData[#All],5,FALSE),"")</f>
        <v/>
      </c>
      <c r="Z627" s="322">
        <f>IFERROR(((VLOOKUP(Calculations[[#This Row],[Waste type 2]],WasteDisposalEmissions[#All],2,FALSE))*Calculations[[#This Row],[Total Kg]])*VLOOKUP(Calculations[[#This Row],[Waste 1]],WasteScenario[#All],2,FALSE),0)</f>
        <v>0</v>
      </c>
      <c r="AA627" s="322">
        <f>IFERROR((VLOOKUP(Calculations[[#This Row],[Waste type 2]],WasteDisposalEmissions[#All],3,FALSE))*Calculations[[#This Row],[Total Kg]]*VLOOKUP(Calculations[[#This Row],[Waste 1]],WasteScenario[#All],3,FALSE),0)</f>
        <v>0</v>
      </c>
      <c r="AB627" s="322">
        <f>SUM(Calculations[[#This Row],[C3 recyc]:[C3 incin]])</f>
        <v>0</v>
      </c>
      <c r="AC627" s="334">
        <f>IFERROR((VLOOKUP(Calculations[[#This Row],[Waste type 2]],WasteLandfillEmissions[#All],2,FALSE))*Calculations[[#This Row],[Total Kg]]*VLOOKUP(Calculations[[#This Row],[Waste 1]],WasteScenario[#All],4,FALSE),0)</f>
        <v>0</v>
      </c>
      <c r="AD627" s="322">
        <f>IFERROR((VLOOKUP(Calculations[[#This Row],[Waste type 2]],WasteLandfillEmissions[#All],3,FALSE))*Calculations[[#This Row],[Total Kg]]*VLOOKUP(Calculations[[#This Row],[Waste 1]],WasteScenario[#All],4,FALSE),0)</f>
        <v>0</v>
      </c>
      <c r="AE627" s="322">
        <f>SUM(Calculations[[#This Row],[C4 landfill]:[C4 re-use]])</f>
        <v>0</v>
      </c>
      <c r="AF627" s="322">
        <f>IFERROR(VLOOKUP(Calculations[[#This Row],[Material (choose from dropdown]],MaterialData[#All],8,FALSE),0)</f>
        <v>0</v>
      </c>
      <c r="AG627" s="322">
        <f>IFERROR(Calculations[[#This Row],[Total Kg]]*Calculations[[#This Row],[Seq factor]],0)</f>
        <v>0</v>
      </c>
      <c r="AI627" s="322">
        <f>Calculations[[#This Row],[A1-3]]+Calculations[[#This Row],[A4]]+Calculations[[#This Row],[A5]]+Calculations[[#This Row],[B4]]+Calculations[[#This Row],[C2 total]]+Calculations[[#This Row],[C3 total]]+Calculations[[#This Row],[C4 total]]</f>
        <v>0</v>
      </c>
      <c r="AJ627" s="2">
        <f>IFERROR(VLOOKUP(Calculations[[#This Row],[Material (choose from dropdown]],MaterialData[[#Headers],[#Data]],9,FALSE),0)</f>
        <v>0</v>
      </c>
      <c r="AK627" s="4">
        <f>IFERROR(VLOOKUP(Calculations[[#This Row],[Material (choose from dropdown]],MaterialData[[#Headers],[#Data]],10,FALSE),0)</f>
        <v>0</v>
      </c>
      <c r="AL627" s="322">
        <f>IFERROR(Calculations[[#This Row],[Data Quality Score]]*Calculations[[#This Row],[Total Kg]],0)</f>
        <v>0</v>
      </c>
    </row>
    <row r="628" spans="1:38" x14ac:dyDescent="0.3">
      <c r="A628" s="6">
        <f>IFERROR(MaterialsBoQ[[#This Row],[Scope Element]],0)</f>
        <v>0</v>
      </c>
      <c r="B628" t="str">
        <f>IFERROR(MaterialsBoQ[[#This Row],[Material ]],"")</f>
        <v/>
      </c>
      <c r="C628" t="str">
        <f>IFERROR(MaterialsBoQ[[#This Row],[Unit]],"")</f>
        <v/>
      </c>
      <c r="D628" s="322">
        <f>IFERROR(MaterialsBoQ[[#This Row],[Number]],0)</f>
        <v>0</v>
      </c>
      <c r="E628" s="322">
        <f>IFERROR(MaterialsBoQ[[#This Row],[Kg per unit]],0)</f>
        <v>0</v>
      </c>
      <c r="F628" s="322">
        <f>IFERROR(Calculations[[#This Row],[Number]]*Calculations[[#This Row],[Conversion factor]],0)</f>
        <v>0</v>
      </c>
      <c r="G628" s="322">
        <f>IFERROR(VLOOKUP(Calculations[[#This Row],[Material (choose from dropdown]],MaterialData[#All],7,FALSE),0)</f>
        <v>0</v>
      </c>
      <c r="H628" s="322">
        <f>Calculations[[#This Row],[Total Kg]]*Calculations[[#This Row],[Carbon Factor]]</f>
        <v>0</v>
      </c>
      <c r="I628" t="str">
        <f>IFERROR(VLOOKUP(Calculations[[#This Row],[Material (choose from dropdown]],MaterialData[#All],2,FALSE),"")</f>
        <v/>
      </c>
      <c r="J628" s="322">
        <f>IFERROR(((VLOOKUP(Calculations[[#This Row],[TransportSource]],TransportDistance[],2,FALSE)*'Stage assumptions'!$C$11)+VLOOKUP(Calculations[[#This Row],[TransportSource]],TransportDistance[],3,FALSE)*'Stage assumptions'!$C$12)*Calculations[[#This Row],[Total Kg]],0)</f>
        <v>0</v>
      </c>
      <c r="K628">
        <f>IFERROR(VLOOKUP(Calculations[[#This Row],[Material (choose from dropdown]], MaterialData[#All],3, FALSE),0)</f>
        <v>0</v>
      </c>
      <c r="L628" s="322">
        <f>IFERROR(VLOOKUP(Calculations[[#This Row],[A5type]],A5WastageRate[#All],2,FALSE)*Calculations[[#This Row],[A1-3]],0)</f>
        <v>0</v>
      </c>
      <c r="N628">
        <f>IFERROR(ROUNDUP(50/VLOOKUP(Calculations[[#This Row],[Scope Element]],B4referenceServiceLife[[Tier 2 element]:[Default Service Life]],2, FALSE)-1,0),0)</f>
        <v>0</v>
      </c>
      <c r="O628" s="322">
        <f>IFERROR((Calculations[[#This Row],[A1-3]]+Calculations[[#This Row],[A4]]+Calculations[[#This Row],[A5]]+Calculations[[#This Row],[C2 total]]+Calculations[[#This Row],[C3 total]]+Calculations[[#This Row],[C4 total]])*Calculations[[#This Row],[Replacements]],0)</f>
        <v>0</v>
      </c>
      <c r="S628" t="str">
        <f>IFERROR(VLOOKUP(Calculations[[#This Row],[Material (choose from dropdown]],MaterialData[#All],4,FALSE),"")</f>
        <v/>
      </c>
      <c r="T628" s="322" cm="1">
        <f t="array" ref="T628">IFERROR(VLOOKUP(Calculations[[#This Row],[Waste 1]],WasteScenario[#All],2,FALSE)*'Stage assumptions'!$C$225*WasteTransportMethod[Emissions Factor
kgCO2e/kg.km]*Calculations[[#This Row],[Total Kg]],0)</f>
        <v>0</v>
      </c>
      <c r="U628" s="322" cm="1">
        <f t="array" ref="U628">IFERROR(VLOOKUP(Calculations[[#This Row],[Waste 1]],WasteScenario[#All],3,FALSE)*'Stage assumptions'!$C$224*WasteTransportMethod[Emissions Factor
kgCO2e/kg.km]*Calculations[[#This Row],[Total Kg]],0)</f>
        <v>0</v>
      </c>
      <c r="V628" s="322" cm="1">
        <f t="array" ref="V628">IFERROR(VLOOKUP(Calculations[[#This Row],[Waste 1]],WasteScenario[#All],4,FALSE)*'Stage assumptions'!$C$223*WasteTransportMethod[Emissions Factor
kgCO2e/kg.km]*Calculations[[#This Row],[Total Kg]],0)</f>
        <v>0</v>
      </c>
      <c r="W628" s="322" cm="1">
        <f t="array" ref="W628">IFERROR(VLOOKUP(Calculations[[#This Row],[Waste 1]],WasteScenario[#All],5,FALSE)*'Stage assumptions'!$C$226*WasteTransportMethod[Emissions Factor
kgCO2e/kg.km]*Calculations[[#This Row],[Total Kg]],0)</f>
        <v>0</v>
      </c>
      <c r="X628" s="322">
        <f>SUM(Calculations[[#This Row],[C2 Recycle]:[C2 Reuse]])</f>
        <v>0</v>
      </c>
      <c r="Y628" t="str">
        <f>IFERROR(VLOOKUP(Calculations[[#This Row],[Material (choose from dropdown]],MaterialData[#All],5,FALSE),"")</f>
        <v/>
      </c>
      <c r="Z628" s="322">
        <f>IFERROR(((VLOOKUP(Calculations[[#This Row],[Waste type 2]],WasteDisposalEmissions[#All],2,FALSE))*Calculations[[#This Row],[Total Kg]])*VLOOKUP(Calculations[[#This Row],[Waste 1]],WasteScenario[#All],2,FALSE),0)</f>
        <v>0</v>
      </c>
      <c r="AA628" s="322">
        <f>IFERROR((VLOOKUP(Calculations[[#This Row],[Waste type 2]],WasteDisposalEmissions[#All],3,FALSE))*Calculations[[#This Row],[Total Kg]]*VLOOKUP(Calculations[[#This Row],[Waste 1]],WasteScenario[#All],3,FALSE),0)</f>
        <v>0</v>
      </c>
      <c r="AB628" s="322">
        <f>SUM(Calculations[[#This Row],[C3 recyc]:[C3 incin]])</f>
        <v>0</v>
      </c>
      <c r="AC628" s="334">
        <f>IFERROR((VLOOKUP(Calculations[[#This Row],[Waste type 2]],WasteLandfillEmissions[#All],2,FALSE))*Calculations[[#This Row],[Total Kg]]*VLOOKUP(Calculations[[#This Row],[Waste 1]],WasteScenario[#All],4,FALSE),0)</f>
        <v>0</v>
      </c>
      <c r="AD628" s="322">
        <f>IFERROR((VLOOKUP(Calculations[[#This Row],[Waste type 2]],WasteLandfillEmissions[#All],3,FALSE))*Calculations[[#This Row],[Total Kg]]*VLOOKUP(Calculations[[#This Row],[Waste 1]],WasteScenario[#All],4,FALSE),0)</f>
        <v>0</v>
      </c>
      <c r="AE628" s="322">
        <f>SUM(Calculations[[#This Row],[C4 landfill]:[C4 re-use]])</f>
        <v>0</v>
      </c>
      <c r="AF628" s="322">
        <f>IFERROR(VLOOKUP(Calculations[[#This Row],[Material (choose from dropdown]],MaterialData[#All],8,FALSE),0)</f>
        <v>0</v>
      </c>
      <c r="AG628" s="322">
        <f>IFERROR(Calculations[[#This Row],[Total Kg]]*Calculations[[#This Row],[Seq factor]],0)</f>
        <v>0</v>
      </c>
      <c r="AI628" s="322">
        <f>Calculations[[#This Row],[A1-3]]+Calculations[[#This Row],[A4]]+Calculations[[#This Row],[A5]]+Calculations[[#This Row],[B4]]+Calculations[[#This Row],[C2 total]]+Calculations[[#This Row],[C3 total]]+Calculations[[#This Row],[C4 total]]</f>
        <v>0</v>
      </c>
      <c r="AJ628" s="2">
        <f>IFERROR(VLOOKUP(Calculations[[#This Row],[Material (choose from dropdown]],MaterialData[[#Headers],[#Data]],9,FALSE),0)</f>
        <v>0</v>
      </c>
      <c r="AK628" s="4">
        <f>IFERROR(VLOOKUP(Calculations[[#This Row],[Material (choose from dropdown]],MaterialData[[#Headers],[#Data]],10,FALSE),0)</f>
        <v>0</v>
      </c>
      <c r="AL628" s="322">
        <f>IFERROR(Calculations[[#This Row],[Data Quality Score]]*Calculations[[#This Row],[Total Kg]],0)</f>
        <v>0</v>
      </c>
    </row>
    <row r="629" spans="1:38" x14ac:dyDescent="0.3">
      <c r="A629" s="6">
        <f>IFERROR(MaterialsBoQ[[#This Row],[Scope Element]],0)</f>
        <v>0</v>
      </c>
      <c r="B629" t="str">
        <f>IFERROR(MaterialsBoQ[[#This Row],[Material ]],"")</f>
        <v/>
      </c>
      <c r="C629" t="str">
        <f>IFERROR(MaterialsBoQ[[#This Row],[Unit]],"")</f>
        <v/>
      </c>
      <c r="D629" s="322">
        <f>IFERROR(MaterialsBoQ[[#This Row],[Number]],0)</f>
        <v>0</v>
      </c>
      <c r="E629" s="322">
        <f>IFERROR(MaterialsBoQ[[#This Row],[Kg per unit]],0)</f>
        <v>0</v>
      </c>
      <c r="F629" s="322">
        <f>IFERROR(Calculations[[#This Row],[Number]]*Calculations[[#This Row],[Conversion factor]],0)</f>
        <v>0</v>
      </c>
      <c r="G629" s="322">
        <f>IFERROR(VLOOKUP(Calculations[[#This Row],[Material (choose from dropdown]],MaterialData[#All],7,FALSE),0)</f>
        <v>0</v>
      </c>
      <c r="H629" s="322">
        <f>Calculations[[#This Row],[Total Kg]]*Calculations[[#This Row],[Carbon Factor]]</f>
        <v>0</v>
      </c>
      <c r="I629" t="str">
        <f>IFERROR(VLOOKUP(Calculations[[#This Row],[Material (choose from dropdown]],MaterialData[#All],2,FALSE),"")</f>
        <v/>
      </c>
      <c r="J629" s="322">
        <f>IFERROR(((VLOOKUP(Calculations[[#This Row],[TransportSource]],TransportDistance[],2,FALSE)*'Stage assumptions'!$C$11)+VLOOKUP(Calculations[[#This Row],[TransportSource]],TransportDistance[],3,FALSE)*'Stage assumptions'!$C$12)*Calculations[[#This Row],[Total Kg]],0)</f>
        <v>0</v>
      </c>
      <c r="K629">
        <f>IFERROR(VLOOKUP(Calculations[[#This Row],[Material (choose from dropdown]], MaterialData[#All],3, FALSE),0)</f>
        <v>0</v>
      </c>
      <c r="L629" s="322">
        <f>IFERROR(VLOOKUP(Calculations[[#This Row],[A5type]],A5WastageRate[#All],2,FALSE)*Calculations[[#This Row],[A1-3]],0)</f>
        <v>0</v>
      </c>
      <c r="N629">
        <f>IFERROR(ROUNDUP(50/VLOOKUP(Calculations[[#This Row],[Scope Element]],B4referenceServiceLife[[Tier 2 element]:[Default Service Life]],2, FALSE)-1,0),0)</f>
        <v>0</v>
      </c>
      <c r="O629" s="322">
        <f>IFERROR((Calculations[[#This Row],[A1-3]]+Calculations[[#This Row],[A4]]+Calculations[[#This Row],[A5]]+Calculations[[#This Row],[C2 total]]+Calculations[[#This Row],[C3 total]]+Calculations[[#This Row],[C4 total]])*Calculations[[#This Row],[Replacements]],0)</f>
        <v>0</v>
      </c>
      <c r="S629" t="str">
        <f>IFERROR(VLOOKUP(Calculations[[#This Row],[Material (choose from dropdown]],MaterialData[#All],4,FALSE),"")</f>
        <v/>
      </c>
      <c r="T629" s="322" cm="1">
        <f t="array" ref="T629">IFERROR(VLOOKUP(Calculations[[#This Row],[Waste 1]],WasteScenario[#All],2,FALSE)*'Stage assumptions'!$C$225*WasteTransportMethod[Emissions Factor
kgCO2e/kg.km]*Calculations[[#This Row],[Total Kg]],0)</f>
        <v>0</v>
      </c>
      <c r="U629" s="322" cm="1">
        <f t="array" ref="U629">IFERROR(VLOOKUP(Calculations[[#This Row],[Waste 1]],WasteScenario[#All],3,FALSE)*'Stage assumptions'!$C$224*WasteTransportMethod[Emissions Factor
kgCO2e/kg.km]*Calculations[[#This Row],[Total Kg]],0)</f>
        <v>0</v>
      </c>
      <c r="V629" s="322" cm="1">
        <f t="array" ref="V629">IFERROR(VLOOKUP(Calculations[[#This Row],[Waste 1]],WasteScenario[#All],4,FALSE)*'Stage assumptions'!$C$223*WasteTransportMethod[Emissions Factor
kgCO2e/kg.km]*Calculations[[#This Row],[Total Kg]],0)</f>
        <v>0</v>
      </c>
      <c r="W629" s="322" cm="1">
        <f t="array" ref="W629">IFERROR(VLOOKUP(Calculations[[#This Row],[Waste 1]],WasteScenario[#All],5,FALSE)*'Stage assumptions'!$C$226*WasteTransportMethod[Emissions Factor
kgCO2e/kg.km]*Calculations[[#This Row],[Total Kg]],0)</f>
        <v>0</v>
      </c>
      <c r="X629" s="322">
        <f>SUM(Calculations[[#This Row],[C2 Recycle]:[C2 Reuse]])</f>
        <v>0</v>
      </c>
      <c r="Y629" t="str">
        <f>IFERROR(VLOOKUP(Calculations[[#This Row],[Material (choose from dropdown]],MaterialData[#All],5,FALSE),"")</f>
        <v/>
      </c>
      <c r="Z629" s="322">
        <f>IFERROR(((VLOOKUP(Calculations[[#This Row],[Waste type 2]],WasteDisposalEmissions[#All],2,FALSE))*Calculations[[#This Row],[Total Kg]])*VLOOKUP(Calculations[[#This Row],[Waste 1]],WasteScenario[#All],2,FALSE),0)</f>
        <v>0</v>
      </c>
      <c r="AA629" s="322">
        <f>IFERROR((VLOOKUP(Calculations[[#This Row],[Waste type 2]],WasteDisposalEmissions[#All],3,FALSE))*Calculations[[#This Row],[Total Kg]]*VLOOKUP(Calculations[[#This Row],[Waste 1]],WasteScenario[#All],3,FALSE),0)</f>
        <v>0</v>
      </c>
      <c r="AB629" s="322">
        <f>SUM(Calculations[[#This Row],[C3 recyc]:[C3 incin]])</f>
        <v>0</v>
      </c>
      <c r="AC629" s="334">
        <f>IFERROR((VLOOKUP(Calculations[[#This Row],[Waste type 2]],WasteLandfillEmissions[#All],2,FALSE))*Calculations[[#This Row],[Total Kg]]*VLOOKUP(Calculations[[#This Row],[Waste 1]],WasteScenario[#All],4,FALSE),0)</f>
        <v>0</v>
      </c>
      <c r="AD629" s="322">
        <f>IFERROR((VLOOKUP(Calculations[[#This Row],[Waste type 2]],WasteLandfillEmissions[#All],3,FALSE))*Calculations[[#This Row],[Total Kg]]*VLOOKUP(Calculations[[#This Row],[Waste 1]],WasteScenario[#All],4,FALSE),0)</f>
        <v>0</v>
      </c>
      <c r="AE629" s="322">
        <f>SUM(Calculations[[#This Row],[C4 landfill]:[C4 re-use]])</f>
        <v>0</v>
      </c>
      <c r="AF629" s="322">
        <f>IFERROR(VLOOKUP(Calculations[[#This Row],[Material (choose from dropdown]],MaterialData[#All],8,FALSE),0)</f>
        <v>0</v>
      </c>
      <c r="AG629" s="322">
        <f>IFERROR(Calculations[[#This Row],[Total Kg]]*Calculations[[#This Row],[Seq factor]],0)</f>
        <v>0</v>
      </c>
      <c r="AI629" s="322">
        <f>Calculations[[#This Row],[A1-3]]+Calculations[[#This Row],[A4]]+Calculations[[#This Row],[A5]]+Calculations[[#This Row],[B4]]+Calculations[[#This Row],[C2 total]]+Calculations[[#This Row],[C3 total]]+Calculations[[#This Row],[C4 total]]</f>
        <v>0</v>
      </c>
      <c r="AJ629" s="2">
        <f>IFERROR(VLOOKUP(Calculations[[#This Row],[Material (choose from dropdown]],MaterialData[[#Headers],[#Data]],9,FALSE),0)</f>
        <v>0</v>
      </c>
      <c r="AK629" s="4">
        <f>IFERROR(VLOOKUP(Calculations[[#This Row],[Material (choose from dropdown]],MaterialData[[#Headers],[#Data]],10,FALSE),0)</f>
        <v>0</v>
      </c>
      <c r="AL629" s="322">
        <f>IFERROR(Calculations[[#This Row],[Data Quality Score]]*Calculations[[#This Row],[Total Kg]],0)</f>
        <v>0</v>
      </c>
    </row>
    <row r="630" spans="1:38" x14ac:dyDescent="0.3">
      <c r="A630" s="6">
        <f>IFERROR(MaterialsBoQ[[#This Row],[Scope Element]],0)</f>
        <v>0</v>
      </c>
      <c r="B630" t="str">
        <f>IFERROR(MaterialsBoQ[[#This Row],[Material ]],"")</f>
        <v/>
      </c>
      <c r="C630" t="str">
        <f>IFERROR(MaterialsBoQ[[#This Row],[Unit]],"")</f>
        <v/>
      </c>
      <c r="D630" s="322">
        <f>IFERROR(MaterialsBoQ[[#This Row],[Number]],0)</f>
        <v>0</v>
      </c>
      <c r="E630" s="322">
        <f>IFERROR(MaterialsBoQ[[#This Row],[Kg per unit]],0)</f>
        <v>0</v>
      </c>
      <c r="F630" s="322">
        <f>IFERROR(Calculations[[#This Row],[Number]]*Calculations[[#This Row],[Conversion factor]],0)</f>
        <v>0</v>
      </c>
      <c r="G630" s="322">
        <f>IFERROR(VLOOKUP(Calculations[[#This Row],[Material (choose from dropdown]],MaterialData[#All],7,FALSE),0)</f>
        <v>0</v>
      </c>
      <c r="H630" s="322">
        <f>Calculations[[#This Row],[Total Kg]]*Calculations[[#This Row],[Carbon Factor]]</f>
        <v>0</v>
      </c>
      <c r="I630" t="str">
        <f>IFERROR(VLOOKUP(Calculations[[#This Row],[Material (choose from dropdown]],MaterialData[#All],2,FALSE),"")</f>
        <v/>
      </c>
      <c r="J630" s="322">
        <f>IFERROR(((VLOOKUP(Calculations[[#This Row],[TransportSource]],TransportDistance[],2,FALSE)*'Stage assumptions'!$C$11)+VLOOKUP(Calculations[[#This Row],[TransportSource]],TransportDistance[],3,FALSE)*'Stage assumptions'!$C$12)*Calculations[[#This Row],[Total Kg]],0)</f>
        <v>0</v>
      </c>
      <c r="K630">
        <f>IFERROR(VLOOKUP(Calculations[[#This Row],[Material (choose from dropdown]], MaterialData[#All],3, FALSE),0)</f>
        <v>0</v>
      </c>
      <c r="L630" s="322">
        <f>IFERROR(VLOOKUP(Calculations[[#This Row],[A5type]],A5WastageRate[#All],2,FALSE)*Calculations[[#This Row],[A1-3]],0)</f>
        <v>0</v>
      </c>
      <c r="N630">
        <f>IFERROR(ROUNDUP(50/VLOOKUP(Calculations[[#This Row],[Scope Element]],B4referenceServiceLife[[Tier 2 element]:[Default Service Life]],2, FALSE)-1,0),0)</f>
        <v>0</v>
      </c>
      <c r="O630" s="322">
        <f>IFERROR((Calculations[[#This Row],[A1-3]]+Calculations[[#This Row],[A4]]+Calculations[[#This Row],[A5]]+Calculations[[#This Row],[C2 total]]+Calculations[[#This Row],[C3 total]]+Calculations[[#This Row],[C4 total]])*Calculations[[#This Row],[Replacements]],0)</f>
        <v>0</v>
      </c>
      <c r="S630" t="str">
        <f>IFERROR(VLOOKUP(Calculations[[#This Row],[Material (choose from dropdown]],MaterialData[#All],4,FALSE),"")</f>
        <v/>
      </c>
      <c r="T630" s="322" cm="1">
        <f t="array" ref="T630">IFERROR(VLOOKUP(Calculations[[#This Row],[Waste 1]],WasteScenario[#All],2,FALSE)*'Stage assumptions'!$C$225*WasteTransportMethod[Emissions Factor
kgCO2e/kg.km]*Calculations[[#This Row],[Total Kg]],0)</f>
        <v>0</v>
      </c>
      <c r="U630" s="322" cm="1">
        <f t="array" ref="U630">IFERROR(VLOOKUP(Calculations[[#This Row],[Waste 1]],WasteScenario[#All],3,FALSE)*'Stage assumptions'!$C$224*WasteTransportMethod[Emissions Factor
kgCO2e/kg.km]*Calculations[[#This Row],[Total Kg]],0)</f>
        <v>0</v>
      </c>
      <c r="V630" s="322" cm="1">
        <f t="array" ref="V630">IFERROR(VLOOKUP(Calculations[[#This Row],[Waste 1]],WasteScenario[#All],4,FALSE)*'Stage assumptions'!$C$223*WasteTransportMethod[Emissions Factor
kgCO2e/kg.km]*Calculations[[#This Row],[Total Kg]],0)</f>
        <v>0</v>
      </c>
      <c r="W630" s="322" cm="1">
        <f t="array" ref="W630">IFERROR(VLOOKUP(Calculations[[#This Row],[Waste 1]],WasteScenario[#All],5,FALSE)*'Stage assumptions'!$C$226*WasteTransportMethod[Emissions Factor
kgCO2e/kg.km]*Calculations[[#This Row],[Total Kg]],0)</f>
        <v>0</v>
      </c>
      <c r="X630" s="322">
        <f>SUM(Calculations[[#This Row],[C2 Recycle]:[C2 Reuse]])</f>
        <v>0</v>
      </c>
      <c r="Y630" t="str">
        <f>IFERROR(VLOOKUP(Calculations[[#This Row],[Material (choose from dropdown]],MaterialData[#All],5,FALSE),"")</f>
        <v/>
      </c>
      <c r="Z630" s="322">
        <f>IFERROR(((VLOOKUP(Calculations[[#This Row],[Waste type 2]],WasteDisposalEmissions[#All],2,FALSE))*Calculations[[#This Row],[Total Kg]])*VLOOKUP(Calculations[[#This Row],[Waste 1]],WasteScenario[#All],2,FALSE),0)</f>
        <v>0</v>
      </c>
      <c r="AA630" s="322">
        <f>IFERROR((VLOOKUP(Calculations[[#This Row],[Waste type 2]],WasteDisposalEmissions[#All],3,FALSE))*Calculations[[#This Row],[Total Kg]]*VLOOKUP(Calculations[[#This Row],[Waste 1]],WasteScenario[#All],3,FALSE),0)</f>
        <v>0</v>
      </c>
      <c r="AB630" s="322">
        <f>SUM(Calculations[[#This Row],[C3 recyc]:[C3 incin]])</f>
        <v>0</v>
      </c>
      <c r="AC630" s="334">
        <f>IFERROR((VLOOKUP(Calculations[[#This Row],[Waste type 2]],WasteLandfillEmissions[#All],2,FALSE))*Calculations[[#This Row],[Total Kg]]*VLOOKUP(Calculations[[#This Row],[Waste 1]],WasteScenario[#All],4,FALSE),0)</f>
        <v>0</v>
      </c>
      <c r="AD630" s="322">
        <f>IFERROR((VLOOKUP(Calculations[[#This Row],[Waste type 2]],WasteLandfillEmissions[#All],3,FALSE))*Calculations[[#This Row],[Total Kg]]*VLOOKUP(Calculations[[#This Row],[Waste 1]],WasteScenario[#All],4,FALSE),0)</f>
        <v>0</v>
      </c>
      <c r="AE630" s="322">
        <f>SUM(Calculations[[#This Row],[C4 landfill]:[C4 re-use]])</f>
        <v>0</v>
      </c>
      <c r="AF630" s="322">
        <f>IFERROR(VLOOKUP(Calculations[[#This Row],[Material (choose from dropdown]],MaterialData[#All],8,FALSE),0)</f>
        <v>0</v>
      </c>
      <c r="AG630" s="322">
        <f>IFERROR(Calculations[[#This Row],[Total Kg]]*Calculations[[#This Row],[Seq factor]],0)</f>
        <v>0</v>
      </c>
      <c r="AI630" s="322">
        <f>Calculations[[#This Row],[A1-3]]+Calculations[[#This Row],[A4]]+Calculations[[#This Row],[A5]]+Calculations[[#This Row],[B4]]+Calculations[[#This Row],[C2 total]]+Calculations[[#This Row],[C3 total]]+Calculations[[#This Row],[C4 total]]</f>
        <v>0</v>
      </c>
      <c r="AJ630" s="2">
        <f>IFERROR(VLOOKUP(Calculations[[#This Row],[Material (choose from dropdown]],MaterialData[[#Headers],[#Data]],9,FALSE),0)</f>
        <v>0</v>
      </c>
      <c r="AK630" s="4">
        <f>IFERROR(VLOOKUP(Calculations[[#This Row],[Material (choose from dropdown]],MaterialData[[#Headers],[#Data]],10,FALSE),0)</f>
        <v>0</v>
      </c>
      <c r="AL630" s="322">
        <f>IFERROR(Calculations[[#This Row],[Data Quality Score]]*Calculations[[#This Row],[Total Kg]],0)</f>
        <v>0</v>
      </c>
    </row>
    <row r="631" spans="1:38" x14ac:dyDescent="0.3">
      <c r="A631" s="6">
        <f>IFERROR(MaterialsBoQ[[#This Row],[Scope Element]],0)</f>
        <v>0</v>
      </c>
      <c r="B631" t="str">
        <f>IFERROR(MaterialsBoQ[[#This Row],[Material ]],"")</f>
        <v/>
      </c>
      <c r="C631" t="str">
        <f>IFERROR(MaterialsBoQ[[#This Row],[Unit]],"")</f>
        <v/>
      </c>
      <c r="D631" s="322">
        <f>IFERROR(MaterialsBoQ[[#This Row],[Number]],0)</f>
        <v>0</v>
      </c>
      <c r="E631" s="322">
        <f>IFERROR(MaterialsBoQ[[#This Row],[Kg per unit]],0)</f>
        <v>0</v>
      </c>
      <c r="F631" s="322">
        <f>IFERROR(Calculations[[#This Row],[Number]]*Calculations[[#This Row],[Conversion factor]],0)</f>
        <v>0</v>
      </c>
      <c r="G631" s="322">
        <f>IFERROR(VLOOKUP(Calculations[[#This Row],[Material (choose from dropdown]],MaterialData[#All],7,FALSE),0)</f>
        <v>0</v>
      </c>
      <c r="H631" s="322">
        <f>Calculations[[#This Row],[Total Kg]]*Calculations[[#This Row],[Carbon Factor]]</f>
        <v>0</v>
      </c>
      <c r="I631" t="str">
        <f>IFERROR(VLOOKUP(Calculations[[#This Row],[Material (choose from dropdown]],MaterialData[#All],2,FALSE),"")</f>
        <v/>
      </c>
      <c r="J631" s="322">
        <f>IFERROR(((VLOOKUP(Calculations[[#This Row],[TransportSource]],TransportDistance[],2,FALSE)*'Stage assumptions'!$C$11)+VLOOKUP(Calculations[[#This Row],[TransportSource]],TransportDistance[],3,FALSE)*'Stage assumptions'!$C$12)*Calculations[[#This Row],[Total Kg]],0)</f>
        <v>0</v>
      </c>
      <c r="K631">
        <f>IFERROR(VLOOKUP(Calculations[[#This Row],[Material (choose from dropdown]], MaterialData[#All],3, FALSE),0)</f>
        <v>0</v>
      </c>
      <c r="L631" s="322">
        <f>IFERROR(VLOOKUP(Calculations[[#This Row],[A5type]],A5WastageRate[#All],2,FALSE)*Calculations[[#This Row],[A1-3]],0)</f>
        <v>0</v>
      </c>
      <c r="N631">
        <f>IFERROR(ROUNDUP(50/VLOOKUP(Calculations[[#This Row],[Scope Element]],B4referenceServiceLife[[Tier 2 element]:[Default Service Life]],2, FALSE)-1,0),0)</f>
        <v>0</v>
      </c>
      <c r="O631" s="322">
        <f>IFERROR((Calculations[[#This Row],[A1-3]]+Calculations[[#This Row],[A4]]+Calculations[[#This Row],[A5]]+Calculations[[#This Row],[C2 total]]+Calculations[[#This Row],[C3 total]]+Calculations[[#This Row],[C4 total]])*Calculations[[#This Row],[Replacements]],0)</f>
        <v>0</v>
      </c>
      <c r="S631" t="str">
        <f>IFERROR(VLOOKUP(Calculations[[#This Row],[Material (choose from dropdown]],MaterialData[#All],4,FALSE),"")</f>
        <v/>
      </c>
      <c r="T631" s="322" cm="1">
        <f t="array" ref="T631">IFERROR(VLOOKUP(Calculations[[#This Row],[Waste 1]],WasteScenario[#All],2,FALSE)*'Stage assumptions'!$C$225*WasteTransportMethod[Emissions Factor
kgCO2e/kg.km]*Calculations[[#This Row],[Total Kg]],0)</f>
        <v>0</v>
      </c>
      <c r="U631" s="322" cm="1">
        <f t="array" ref="U631">IFERROR(VLOOKUP(Calculations[[#This Row],[Waste 1]],WasteScenario[#All],3,FALSE)*'Stage assumptions'!$C$224*WasteTransportMethod[Emissions Factor
kgCO2e/kg.km]*Calculations[[#This Row],[Total Kg]],0)</f>
        <v>0</v>
      </c>
      <c r="V631" s="322" cm="1">
        <f t="array" ref="V631">IFERROR(VLOOKUP(Calculations[[#This Row],[Waste 1]],WasteScenario[#All],4,FALSE)*'Stage assumptions'!$C$223*WasteTransportMethod[Emissions Factor
kgCO2e/kg.km]*Calculations[[#This Row],[Total Kg]],0)</f>
        <v>0</v>
      </c>
      <c r="W631" s="322" cm="1">
        <f t="array" ref="W631">IFERROR(VLOOKUP(Calculations[[#This Row],[Waste 1]],WasteScenario[#All],5,FALSE)*'Stage assumptions'!$C$226*WasteTransportMethod[Emissions Factor
kgCO2e/kg.km]*Calculations[[#This Row],[Total Kg]],0)</f>
        <v>0</v>
      </c>
      <c r="X631" s="322">
        <f>SUM(Calculations[[#This Row],[C2 Recycle]:[C2 Reuse]])</f>
        <v>0</v>
      </c>
      <c r="Y631" t="str">
        <f>IFERROR(VLOOKUP(Calculations[[#This Row],[Material (choose from dropdown]],MaterialData[#All],5,FALSE),"")</f>
        <v/>
      </c>
      <c r="Z631" s="322">
        <f>IFERROR(((VLOOKUP(Calculations[[#This Row],[Waste type 2]],WasteDisposalEmissions[#All],2,FALSE))*Calculations[[#This Row],[Total Kg]])*VLOOKUP(Calculations[[#This Row],[Waste 1]],WasteScenario[#All],2,FALSE),0)</f>
        <v>0</v>
      </c>
      <c r="AA631" s="322">
        <f>IFERROR((VLOOKUP(Calculations[[#This Row],[Waste type 2]],WasteDisposalEmissions[#All],3,FALSE))*Calculations[[#This Row],[Total Kg]]*VLOOKUP(Calculations[[#This Row],[Waste 1]],WasteScenario[#All],3,FALSE),0)</f>
        <v>0</v>
      </c>
      <c r="AB631" s="322">
        <f>SUM(Calculations[[#This Row],[C3 recyc]:[C3 incin]])</f>
        <v>0</v>
      </c>
      <c r="AC631" s="334">
        <f>IFERROR((VLOOKUP(Calculations[[#This Row],[Waste type 2]],WasteLandfillEmissions[#All],2,FALSE))*Calculations[[#This Row],[Total Kg]]*VLOOKUP(Calculations[[#This Row],[Waste 1]],WasteScenario[#All],4,FALSE),0)</f>
        <v>0</v>
      </c>
      <c r="AD631" s="322">
        <f>IFERROR((VLOOKUP(Calculations[[#This Row],[Waste type 2]],WasteLandfillEmissions[#All],3,FALSE))*Calculations[[#This Row],[Total Kg]]*VLOOKUP(Calculations[[#This Row],[Waste 1]],WasteScenario[#All],4,FALSE),0)</f>
        <v>0</v>
      </c>
      <c r="AE631" s="322">
        <f>SUM(Calculations[[#This Row],[C4 landfill]:[C4 re-use]])</f>
        <v>0</v>
      </c>
      <c r="AF631" s="322">
        <f>IFERROR(VLOOKUP(Calculations[[#This Row],[Material (choose from dropdown]],MaterialData[#All],8,FALSE),0)</f>
        <v>0</v>
      </c>
      <c r="AG631" s="322">
        <f>IFERROR(Calculations[[#This Row],[Total Kg]]*Calculations[[#This Row],[Seq factor]],0)</f>
        <v>0</v>
      </c>
      <c r="AI631" s="322">
        <f>Calculations[[#This Row],[A1-3]]+Calculations[[#This Row],[A4]]+Calculations[[#This Row],[A5]]+Calculations[[#This Row],[B4]]+Calculations[[#This Row],[C2 total]]+Calculations[[#This Row],[C3 total]]+Calculations[[#This Row],[C4 total]]</f>
        <v>0</v>
      </c>
      <c r="AJ631" s="2">
        <f>IFERROR(VLOOKUP(Calculations[[#This Row],[Material (choose from dropdown]],MaterialData[[#Headers],[#Data]],9,FALSE),0)</f>
        <v>0</v>
      </c>
      <c r="AK631" s="4">
        <f>IFERROR(VLOOKUP(Calculations[[#This Row],[Material (choose from dropdown]],MaterialData[[#Headers],[#Data]],10,FALSE),0)</f>
        <v>0</v>
      </c>
      <c r="AL631" s="322">
        <f>IFERROR(Calculations[[#This Row],[Data Quality Score]]*Calculations[[#This Row],[Total Kg]],0)</f>
        <v>0</v>
      </c>
    </row>
    <row r="632" spans="1:38" x14ac:dyDescent="0.3">
      <c r="A632" s="6">
        <f>IFERROR(MaterialsBoQ[[#This Row],[Scope Element]],0)</f>
        <v>0</v>
      </c>
      <c r="B632" t="str">
        <f>IFERROR(MaterialsBoQ[[#This Row],[Material ]],"")</f>
        <v/>
      </c>
      <c r="C632" t="str">
        <f>IFERROR(MaterialsBoQ[[#This Row],[Unit]],"")</f>
        <v/>
      </c>
      <c r="D632" s="322">
        <f>IFERROR(MaterialsBoQ[[#This Row],[Number]],0)</f>
        <v>0</v>
      </c>
      <c r="E632" s="322">
        <f>IFERROR(MaterialsBoQ[[#This Row],[Kg per unit]],0)</f>
        <v>0</v>
      </c>
      <c r="F632" s="322">
        <f>IFERROR(Calculations[[#This Row],[Number]]*Calculations[[#This Row],[Conversion factor]],0)</f>
        <v>0</v>
      </c>
      <c r="G632" s="322">
        <f>IFERROR(VLOOKUP(Calculations[[#This Row],[Material (choose from dropdown]],MaterialData[#All],7,FALSE),0)</f>
        <v>0</v>
      </c>
      <c r="H632" s="322">
        <f>Calculations[[#This Row],[Total Kg]]*Calculations[[#This Row],[Carbon Factor]]</f>
        <v>0</v>
      </c>
      <c r="I632" t="str">
        <f>IFERROR(VLOOKUP(Calculations[[#This Row],[Material (choose from dropdown]],MaterialData[#All],2,FALSE),"")</f>
        <v/>
      </c>
      <c r="J632" s="322">
        <f>IFERROR(((VLOOKUP(Calculations[[#This Row],[TransportSource]],TransportDistance[],2,FALSE)*'Stage assumptions'!$C$11)+VLOOKUP(Calculations[[#This Row],[TransportSource]],TransportDistance[],3,FALSE)*'Stage assumptions'!$C$12)*Calculations[[#This Row],[Total Kg]],0)</f>
        <v>0</v>
      </c>
      <c r="K632">
        <f>IFERROR(VLOOKUP(Calculations[[#This Row],[Material (choose from dropdown]], MaterialData[#All],3, FALSE),0)</f>
        <v>0</v>
      </c>
      <c r="L632" s="322">
        <f>IFERROR(VLOOKUP(Calculations[[#This Row],[A5type]],A5WastageRate[#All],2,FALSE)*Calculations[[#This Row],[A1-3]],0)</f>
        <v>0</v>
      </c>
      <c r="N632">
        <f>IFERROR(ROUNDUP(50/VLOOKUP(Calculations[[#This Row],[Scope Element]],B4referenceServiceLife[[Tier 2 element]:[Default Service Life]],2, FALSE)-1,0),0)</f>
        <v>0</v>
      </c>
      <c r="O632" s="322">
        <f>IFERROR((Calculations[[#This Row],[A1-3]]+Calculations[[#This Row],[A4]]+Calculations[[#This Row],[A5]]+Calculations[[#This Row],[C2 total]]+Calculations[[#This Row],[C3 total]]+Calculations[[#This Row],[C4 total]])*Calculations[[#This Row],[Replacements]],0)</f>
        <v>0</v>
      </c>
      <c r="S632" t="str">
        <f>IFERROR(VLOOKUP(Calculations[[#This Row],[Material (choose from dropdown]],MaterialData[#All],4,FALSE),"")</f>
        <v/>
      </c>
      <c r="T632" s="322" cm="1">
        <f t="array" ref="T632">IFERROR(VLOOKUP(Calculations[[#This Row],[Waste 1]],WasteScenario[#All],2,FALSE)*'Stage assumptions'!$C$225*WasteTransportMethod[Emissions Factor
kgCO2e/kg.km]*Calculations[[#This Row],[Total Kg]],0)</f>
        <v>0</v>
      </c>
      <c r="U632" s="322" cm="1">
        <f t="array" ref="U632">IFERROR(VLOOKUP(Calculations[[#This Row],[Waste 1]],WasteScenario[#All],3,FALSE)*'Stage assumptions'!$C$224*WasteTransportMethod[Emissions Factor
kgCO2e/kg.km]*Calculations[[#This Row],[Total Kg]],0)</f>
        <v>0</v>
      </c>
      <c r="V632" s="322" cm="1">
        <f t="array" ref="V632">IFERROR(VLOOKUP(Calculations[[#This Row],[Waste 1]],WasteScenario[#All],4,FALSE)*'Stage assumptions'!$C$223*WasteTransportMethod[Emissions Factor
kgCO2e/kg.km]*Calculations[[#This Row],[Total Kg]],0)</f>
        <v>0</v>
      </c>
      <c r="W632" s="322" cm="1">
        <f t="array" ref="W632">IFERROR(VLOOKUP(Calculations[[#This Row],[Waste 1]],WasteScenario[#All],5,FALSE)*'Stage assumptions'!$C$226*WasteTransportMethod[Emissions Factor
kgCO2e/kg.km]*Calculations[[#This Row],[Total Kg]],0)</f>
        <v>0</v>
      </c>
      <c r="X632" s="322">
        <f>SUM(Calculations[[#This Row],[C2 Recycle]:[C2 Reuse]])</f>
        <v>0</v>
      </c>
      <c r="Y632" t="str">
        <f>IFERROR(VLOOKUP(Calculations[[#This Row],[Material (choose from dropdown]],MaterialData[#All],5,FALSE),"")</f>
        <v/>
      </c>
      <c r="Z632" s="322">
        <f>IFERROR(((VLOOKUP(Calculations[[#This Row],[Waste type 2]],WasteDisposalEmissions[#All],2,FALSE))*Calculations[[#This Row],[Total Kg]])*VLOOKUP(Calculations[[#This Row],[Waste 1]],WasteScenario[#All],2,FALSE),0)</f>
        <v>0</v>
      </c>
      <c r="AA632" s="322">
        <f>IFERROR((VLOOKUP(Calculations[[#This Row],[Waste type 2]],WasteDisposalEmissions[#All],3,FALSE))*Calculations[[#This Row],[Total Kg]]*VLOOKUP(Calculations[[#This Row],[Waste 1]],WasteScenario[#All],3,FALSE),0)</f>
        <v>0</v>
      </c>
      <c r="AB632" s="322">
        <f>SUM(Calculations[[#This Row],[C3 recyc]:[C3 incin]])</f>
        <v>0</v>
      </c>
      <c r="AC632" s="334">
        <f>IFERROR((VLOOKUP(Calculations[[#This Row],[Waste type 2]],WasteLandfillEmissions[#All],2,FALSE))*Calculations[[#This Row],[Total Kg]]*VLOOKUP(Calculations[[#This Row],[Waste 1]],WasteScenario[#All],4,FALSE),0)</f>
        <v>0</v>
      </c>
      <c r="AD632" s="322">
        <f>IFERROR((VLOOKUP(Calculations[[#This Row],[Waste type 2]],WasteLandfillEmissions[#All],3,FALSE))*Calculations[[#This Row],[Total Kg]]*VLOOKUP(Calculations[[#This Row],[Waste 1]],WasteScenario[#All],4,FALSE),0)</f>
        <v>0</v>
      </c>
      <c r="AE632" s="322">
        <f>SUM(Calculations[[#This Row],[C4 landfill]:[C4 re-use]])</f>
        <v>0</v>
      </c>
      <c r="AF632" s="322">
        <f>IFERROR(VLOOKUP(Calculations[[#This Row],[Material (choose from dropdown]],MaterialData[#All],8,FALSE),0)</f>
        <v>0</v>
      </c>
      <c r="AG632" s="322">
        <f>IFERROR(Calculations[[#This Row],[Total Kg]]*Calculations[[#This Row],[Seq factor]],0)</f>
        <v>0</v>
      </c>
      <c r="AI632" s="322">
        <f>Calculations[[#This Row],[A1-3]]+Calculations[[#This Row],[A4]]+Calculations[[#This Row],[A5]]+Calculations[[#This Row],[B4]]+Calculations[[#This Row],[C2 total]]+Calculations[[#This Row],[C3 total]]+Calculations[[#This Row],[C4 total]]</f>
        <v>0</v>
      </c>
      <c r="AJ632" s="2">
        <f>IFERROR(VLOOKUP(Calculations[[#This Row],[Material (choose from dropdown]],MaterialData[[#Headers],[#Data]],9,FALSE),0)</f>
        <v>0</v>
      </c>
      <c r="AK632" s="4">
        <f>IFERROR(VLOOKUP(Calculations[[#This Row],[Material (choose from dropdown]],MaterialData[[#Headers],[#Data]],10,FALSE),0)</f>
        <v>0</v>
      </c>
      <c r="AL632" s="322">
        <f>IFERROR(Calculations[[#This Row],[Data Quality Score]]*Calculations[[#This Row],[Total Kg]],0)</f>
        <v>0</v>
      </c>
    </row>
    <row r="633" spans="1:38" x14ac:dyDescent="0.3">
      <c r="A633" s="6">
        <f>IFERROR(MaterialsBoQ[[#This Row],[Scope Element]],0)</f>
        <v>0</v>
      </c>
      <c r="B633" t="str">
        <f>IFERROR(MaterialsBoQ[[#This Row],[Material ]],"")</f>
        <v/>
      </c>
      <c r="C633" t="str">
        <f>IFERROR(MaterialsBoQ[[#This Row],[Unit]],"")</f>
        <v/>
      </c>
      <c r="D633" s="322">
        <f>IFERROR(MaterialsBoQ[[#This Row],[Number]],0)</f>
        <v>0</v>
      </c>
      <c r="E633" s="322">
        <f>IFERROR(MaterialsBoQ[[#This Row],[Kg per unit]],0)</f>
        <v>0</v>
      </c>
      <c r="F633" s="322">
        <f>IFERROR(Calculations[[#This Row],[Number]]*Calculations[[#This Row],[Conversion factor]],0)</f>
        <v>0</v>
      </c>
      <c r="G633" s="322">
        <f>IFERROR(VLOOKUP(Calculations[[#This Row],[Material (choose from dropdown]],MaterialData[#All],7,FALSE),0)</f>
        <v>0</v>
      </c>
      <c r="H633" s="322">
        <f>Calculations[[#This Row],[Total Kg]]*Calculations[[#This Row],[Carbon Factor]]</f>
        <v>0</v>
      </c>
      <c r="I633" t="str">
        <f>IFERROR(VLOOKUP(Calculations[[#This Row],[Material (choose from dropdown]],MaterialData[#All],2,FALSE),"")</f>
        <v/>
      </c>
      <c r="J633" s="322">
        <f>IFERROR(((VLOOKUP(Calculations[[#This Row],[TransportSource]],TransportDistance[],2,FALSE)*'Stage assumptions'!$C$11)+VLOOKUP(Calculations[[#This Row],[TransportSource]],TransportDistance[],3,FALSE)*'Stage assumptions'!$C$12)*Calculations[[#This Row],[Total Kg]],0)</f>
        <v>0</v>
      </c>
      <c r="K633">
        <f>IFERROR(VLOOKUP(Calculations[[#This Row],[Material (choose from dropdown]], MaterialData[#All],3, FALSE),0)</f>
        <v>0</v>
      </c>
      <c r="L633" s="322">
        <f>IFERROR(VLOOKUP(Calculations[[#This Row],[A5type]],A5WastageRate[#All],2,FALSE)*Calculations[[#This Row],[A1-3]],0)</f>
        <v>0</v>
      </c>
      <c r="N633">
        <f>IFERROR(ROUNDUP(50/VLOOKUP(Calculations[[#This Row],[Scope Element]],B4referenceServiceLife[[Tier 2 element]:[Default Service Life]],2, FALSE)-1,0),0)</f>
        <v>0</v>
      </c>
      <c r="O633" s="322">
        <f>IFERROR((Calculations[[#This Row],[A1-3]]+Calculations[[#This Row],[A4]]+Calculations[[#This Row],[A5]]+Calculations[[#This Row],[C2 total]]+Calculations[[#This Row],[C3 total]]+Calculations[[#This Row],[C4 total]])*Calculations[[#This Row],[Replacements]],0)</f>
        <v>0</v>
      </c>
      <c r="S633" t="str">
        <f>IFERROR(VLOOKUP(Calculations[[#This Row],[Material (choose from dropdown]],MaterialData[#All],4,FALSE),"")</f>
        <v/>
      </c>
      <c r="T633" s="322" cm="1">
        <f t="array" ref="T633">IFERROR(VLOOKUP(Calculations[[#This Row],[Waste 1]],WasteScenario[#All],2,FALSE)*'Stage assumptions'!$C$225*WasteTransportMethod[Emissions Factor
kgCO2e/kg.km]*Calculations[[#This Row],[Total Kg]],0)</f>
        <v>0</v>
      </c>
      <c r="U633" s="322" cm="1">
        <f t="array" ref="U633">IFERROR(VLOOKUP(Calculations[[#This Row],[Waste 1]],WasteScenario[#All],3,FALSE)*'Stage assumptions'!$C$224*WasteTransportMethod[Emissions Factor
kgCO2e/kg.km]*Calculations[[#This Row],[Total Kg]],0)</f>
        <v>0</v>
      </c>
      <c r="V633" s="322" cm="1">
        <f t="array" ref="V633">IFERROR(VLOOKUP(Calculations[[#This Row],[Waste 1]],WasteScenario[#All],4,FALSE)*'Stage assumptions'!$C$223*WasteTransportMethod[Emissions Factor
kgCO2e/kg.km]*Calculations[[#This Row],[Total Kg]],0)</f>
        <v>0</v>
      </c>
      <c r="W633" s="322" cm="1">
        <f t="array" ref="W633">IFERROR(VLOOKUP(Calculations[[#This Row],[Waste 1]],WasteScenario[#All],5,FALSE)*'Stage assumptions'!$C$226*WasteTransportMethod[Emissions Factor
kgCO2e/kg.km]*Calculations[[#This Row],[Total Kg]],0)</f>
        <v>0</v>
      </c>
      <c r="X633" s="322">
        <f>SUM(Calculations[[#This Row],[C2 Recycle]:[C2 Reuse]])</f>
        <v>0</v>
      </c>
      <c r="Y633" t="str">
        <f>IFERROR(VLOOKUP(Calculations[[#This Row],[Material (choose from dropdown]],MaterialData[#All],5,FALSE),"")</f>
        <v/>
      </c>
      <c r="Z633" s="322">
        <f>IFERROR(((VLOOKUP(Calculations[[#This Row],[Waste type 2]],WasteDisposalEmissions[#All],2,FALSE))*Calculations[[#This Row],[Total Kg]])*VLOOKUP(Calculations[[#This Row],[Waste 1]],WasteScenario[#All],2,FALSE),0)</f>
        <v>0</v>
      </c>
      <c r="AA633" s="322">
        <f>IFERROR((VLOOKUP(Calculations[[#This Row],[Waste type 2]],WasteDisposalEmissions[#All],3,FALSE))*Calculations[[#This Row],[Total Kg]]*VLOOKUP(Calculations[[#This Row],[Waste 1]],WasteScenario[#All],3,FALSE),0)</f>
        <v>0</v>
      </c>
      <c r="AB633" s="322">
        <f>SUM(Calculations[[#This Row],[C3 recyc]:[C3 incin]])</f>
        <v>0</v>
      </c>
      <c r="AC633" s="334">
        <f>IFERROR((VLOOKUP(Calculations[[#This Row],[Waste type 2]],WasteLandfillEmissions[#All],2,FALSE))*Calculations[[#This Row],[Total Kg]]*VLOOKUP(Calculations[[#This Row],[Waste 1]],WasteScenario[#All],4,FALSE),0)</f>
        <v>0</v>
      </c>
      <c r="AD633" s="322">
        <f>IFERROR((VLOOKUP(Calculations[[#This Row],[Waste type 2]],WasteLandfillEmissions[#All],3,FALSE))*Calculations[[#This Row],[Total Kg]]*VLOOKUP(Calculations[[#This Row],[Waste 1]],WasteScenario[#All],4,FALSE),0)</f>
        <v>0</v>
      </c>
      <c r="AE633" s="322">
        <f>SUM(Calculations[[#This Row],[C4 landfill]:[C4 re-use]])</f>
        <v>0</v>
      </c>
      <c r="AF633" s="322">
        <f>IFERROR(VLOOKUP(Calculations[[#This Row],[Material (choose from dropdown]],MaterialData[#All],8,FALSE),0)</f>
        <v>0</v>
      </c>
      <c r="AG633" s="322">
        <f>IFERROR(Calculations[[#This Row],[Total Kg]]*Calculations[[#This Row],[Seq factor]],0)</f>
        <v>0</v>
      </c>
      <c r="AI633" s="322">
        <f>Calculations[[#This Row],[A1-3]]+Calculations[[#This Row],[A4]]+Calculations[[#This Row],[A5]]+Calculations[[#This Row],[B4]]+Calculations[[#This Row],[C2 total]]+Calculations[[#This Row],[C3 total]]+Calculations[[#This Row],[C4 total]]</f>
        <v>0</v>
      </c>
      <c r="AJ633" s="2">
        <f>IFERROR(VLOOKUP(Calculations[[#This Row],[Material (choose from dropdown]],MaterialData[[#Headers],[#Data]],9,FALSE),0)</f>
        <v>0</v>
      </c>
      <c r="AK633" s="4">
        <f>IFERROR(VLOOKUP(Calculations[[#This Row],[Material (choose from dropdown]],MaterialData[[#Headers],[#Data]],10,FALSE),0)</f>
        <v>0</v>
      </c>
      <c r="AL633" s="322">
        <f>IFERROR(Calculations[[#This Row],[Data Quality Score]]*Calculations[[#This Row],[Total Kg]],0)</f>
        <v>0</v>
      </c>
    </row>
    <row r="634" spans="1:38" x14ac:dyDescent="0.3">
      <c r="A634" s="6">
        <f>IFERROR(MaterialsBoQ[[#This Row],[Scope Element]],0)</f>
        <v>0</v>
      </c>
      <c r="B634" t="str">
        <f>IFERROR(MaterialsBoQ[[#This Row],[Material ]],"")</f>
        <v/>
      </c>
      <c r="C634" t="str">
        <f>IFERROR(MaterialsBoQ[[#This Row],[Unit]],"")</f>
        <v/>
      </c>
      <c r="D634" s="322">
        <f>IFERROR(MaterialsBoQ[[#This Row],[Number]],0)</f>
        <v>0</v>
      </c>
      <c r="E634" s="322">
        <f>IFERROR(MaterialsBoQ[[#This Row],[Kg per unit]],0)</f>
        <v>0</v>
      </c>
      <c r="F634" s="322">
        <f>IFERROR(Calculations[[#This Row],[Number]]*Calculations[[#This Row],[Conversion factor]],0)</f>
        <v>0</v>
      </c>
      <c r="G634" s="322">
        <f>IFERROR(VLOOKUP(Calculations[[#This Row],[Material (choose from dropdown]],MaterialData[#All],7,FALSE),0)</f>
        <v>0</v>
      </c>
      <c r="H634" s="322">
        <f>Calculations[[#This Row],[Total Kg]]*Calculations[[#This Row],[Carbon Factor]]</f>
        <v>0</v>
      </c>
      <c r="I634" t="str">
        <f>IFERROR(VLOOKUP(Calculations[[#This Row],[Material (choose from dropdown]],MaterialData[#All],2,FALSE),"")</f>
        <v/>
      </c>
      <c r="J634" s="322">
        <f>IFERROR(((VLOOKUP(Calculations[[#This Row],[TransportSource]],TransportDistance[],2,FALSE)*'Stage assumptions'!$C$11)+VLOOKUP(Calculations[[#This Row],[TransportSource]],TransportDistance[],3,FALSE)*'Stage assumptions'!$C$12)*Calculations[[#This Row],[Total Kg]],0)</f>
        <v>0</v>
      </c>
      <c r="K634">
        <f>IFERROR(VLOOKUP(Calculations[[#This Row],[Material (choose from dropdown]], MaterialData[#All],3, FALSE),0)</f>
        <v>0</v>
      </c>
      <c r="L634" s="322">
        <f>IFERROR(VLOOKUP(Calculations[[#This Row],[A5type]],A5WastageRate[#All],2,FALSE)*Calculations[[#This Row],[A1-3]],0)</f>
        <v>0</v>
      </c>
      <c r="N634">
        <f>IFERROR(ROUNDUP(50/VLOOKUP(Calculations[[#This Row],[Scope Element]],B4referenceServiceLife[[Tier 2 element]:[Default Service Life]],2, FALSE)-1,0),0)</f>
        <v>0</v>
      </c>
      <c r="O634" s="322">
        <f>IFERROR((Calculations[[#This Row],[A1-3]]+Calculations[[#This Row],[A4]]+Calculations[[#This Row],[A5]]+Calculations[[#This Row],[C2 total]]+Calculations[[#This Row],[C3 total]]+Calculations[[#This Row],[C4 total]])*Calculations[[#This Row],[Replacements]],0)</f>
        <v>0</v>
      </c>
      <c r="S634" t="str">
        <f>IFERROR(VLOOKUP(Calculations[[#This Row],[Material (choose from dropdown]],MaterialData[#All],4,FALSE),"")</f>
        <v/>
      </c>
      <c r="T634" s="322" cm="1">
        <f t="array" ref="T634">IFERROR(VLOOKUP(Calculations[[#This Row],[Waste 1]],WasteScenario[#All],2,FALSE)*'Stage assumptions'!$C$225*WasteTransportMethod[Emissions Factor
kgCO2e/kg.km]*Calculations[[#This Row],[Total Kg]],0)</f>
        <v>0</v>
      </c>
      <c r="U634" s="322" cm="1">
        <f t="array" ref="U634">IFERROR(VLOOKUP(Calculations[[#This Row],[Waste 1]],WasteScenario[#All],3,FALSE)*'Stage assumptions'!$C$224*WasteTransportMethod[Emissions Factor
kgCO2e/kg.km]*Calculations[[#This Row],[Total Kg]],0)</f>
        <v>0</v>
      </c>
      <c r="V634" s="322" cm="1">
        <f t="array" ref="V634">IFERROR(VLOOKUP(Calculations[[#This Row],[Waste 1]],WasteScenario[#All],4,FALSE)*'Stage assumptions'!$C$223*WasteTransportMethod[Emissions Factor
kgCO2e/kg.km]*Calculations[[#This Row],[Total Kg]],0)</f>
        <v>0</v>
      </c>
      <c r="W634" s="322" cm="1">
        <f t="array" ref="W634">IFERROR(VLOOKUP(Calculations[[#This Row],[Waste 1]],WasteScenario[#All],5,FALSE)*'Stage assumptions'!$C$226*WasteTransportMethod[Emissions Factor
kgCO2e/kg.km]*Calculations[[#This Row],[Total Kg]],0)</f>
        <v>0</v>
      </c>
      <c r="X634" s="322">
        <f>SUM(Calculations[[#This Row],[C2 Recycle]:[C2 Reuse]])</f>
        <v>0</v>
      </c>
      <c r="Y634" t="str">
        <f>IFERROR(VLOOKUP(Calculations[[#This Row],[Material (choose from dropdown]],MaterialData[#All],5,FALSE),"")</f>
        <v/>
      </c>
      <c r="Z634" s="322">
        <f>IFERROR(((VLOOKUP(Calculations[[#This Row],[Waste type 2]],WasteDisposalEmissions[#All],2,FALSE))*Calculations[[#This Row],[Total Kg]])*VLOOKUP(Calculations[[#This Row],[Waste 1]],WasteScenario[#All],2,FALSE),0)</f>
        <v>0</v>
      </c>
      <c r="AA634" s="322">
        <f>IFERROR((VLOOKUP(Calculations[[#This Row],[Waste type 2]],WasteDisposalEmissions[#All],3,FALSE))*Calculations[[#This Row],[Total Kg]]*VLOOKUP(Calculations[[#This Row],[Waste 1]],WasteScenario[#All],3,FALSE),0)</f>
        <v>0</v>
      </c>
      <c r="AB634" s="322">
        <f>SUM(Calculations[[#This Row],[C3 recyc]:[C3 incin]])</f>
        <v>0</v>
      </c>
      <c r="AC634" s="334">
        <f>IFERROR((VLOOKUP(Calculations[[#This Row],[Waste type 2]],WasteLandfillEmissions[#All],2,FALSE))*Calculations[[#This Row],[Total Kg]]*VLOOKUP(Calculations[[#This Row],[Waste 1]],WasteScenario[#All],4,FALSE),0)</f>
        <v>0</v>
      </c>
      <c r="AD634" s="322">
        <f>IFERROR((VLOOKUP(Calculations[[#This Row],[Waste type 2]],WasteLandfillEmissions[#All],3,FALSE))*Calculations[[#This Row],[Total Kg]]*VLOOKUP(Calculations[[#This Row],[Waste 1]],WasteScenario[#All],4,FALSE),0)</f>
        <v>0</v>
      </c>
      <c r="AE634" s="322">
        <f>SUM(Calculations[[#This Row],[C4 landfill]:[C4 re-use]])</f>
        <v>0</v>
      </c>
      <c r="AF634" s="322">
        <f>IFERROR(VLOOKUP(Calculations[[#This Row],[Material (choose from dropdown]],MaterialData[#All],8,FALSE),0)</f>
        <v>0</v>
      </c>
      <c r="AG634" s="322">
        <f>IFERROR(Calculations[[#This Row],[Total Kg]]*Calculations[[#This Row],[Seq factor]],0)</f>
        <v>0</v>
      </c>
      <c r="AI634" s="322">
        <f>Calculations[[#This Row],[A1-3]]+Calculations[[#This Row],[A4]]+Calculations[[#This Row],[A5]]+Calculations[[#This Row],[B4]]+Calculations[[#This Row],[C2 total]]+Calculations[[#This Row],[C3 total]]+Calculations[[#This Row],[C4 total]]</f>
        <v>0</v>
      </c>
      <c r="AJ634" s="2">
        <f>IFERROR(VLOOKUP(Calculations[[#This Row],[Material (choose from dropdown]],MaterialData[[#Headers],[#Data]],9,FALSE),0)</f>
        <v>0</v>
      </c>
      <c r="AK634" s="4">
        <f>IFERROR(VLOOKUP(Calculations[[#This Row],[Material (choose from dropdown]],MaterialData[[#Headers],[#Data]],10,FALSE),0)</f>
        <v>0</v>
      </c>
      <c r="AL634" s="322">
        <f>IFERROR(Calculations[[#This Row],[Data Quality Score]]*Calculations[[#This Row],[Total Kg]],0)</f>
        <v>0</v>
      </c>
    </row>
    <row r="635" spans="1:38" x14ac:dyDescent="0.3">
      <c r="A635" s="6">
        <f>IFERROR(MaterialsBoQ[[#This Row],[Scope Element]],0)</f>
        <v>0</v>
      </c>
      <c r="B635" t="str">
        <f>IFERROR(MaterialsBoQ[[#This Row],[Material ]],"")</f>
        <v/>
      </c>
      <c r="C635" t="str">
        <f>IFERROR(MaterialsBoQ[[#This Row],[Unit]],"")</f>
        <v/>
      </c>
      <c r="D635" s="322">
        <f>IFERROR(MaterialsBoQ[[#This Row],[Number]],0)</f>
        <v>0</v>
      </c>
      <c r="E635" s="322">
        <f>IFERROR(MaterialsBoQ[[#This Row],[Kg per unit]],0)</f>
        <v>0</v>
      </c>
      <c r="F635" s="322">
        <f>IFERROR(Calculations[[#This Row],[Number]]*Calculations[[#This Row],[Conversion factor]],0)</f>
        <v>0</v>
      </c>
      <c r="G635" s="322">
        <f>IFERROR(VLOOKUP(Calculations[[#This Row],[Material (choose from dropdown]],MaterialData[#All],7,FALSE),0)</f>
        <v>0</v>
      </c>
      <c r="H635" s="322">
        <f>Calculations[[#This Row],[Total Kg]]*Calculations[[#This Row],[Carbon Factor]]</f>
        <v>0</v>
      </c>
      <c r="I635" t="str">
        <f>IFERROR(VLOOKUP(Calculations[[#This Row],[Material (choose from dropdown]],MaterialData[#All],2,FALSE),"")</f>
        <v/>
      </c>
      <c r="J635" s="322">
        <f>IFERROR(((VLOOKUP(Calculations[[#This Row],[TransportSource]],TransportDistance[],2,FALSE)*'Stage assumptions'!$C$11)+VLOOKUP(Calculations[[#This Row],[TransportSource]],TransportDistance[],3,FALSE)*'Stage assumptions'!$C$12)*Calculations[[#This Row],[Total Kg]],0)</f>
        <v>0</v>
      </c>
      <c r="K635">
        <f>IFERROR(VLOOKUP(Calculations[[#This Row],[Material (choose from dropdown]], MaterialData[#All],3, FALSE),0)</f>
        <v>0</v>
      </c>
      <c r="L635" s="322">
        <f>IFERROR(VLOOKUP(Calculations[[#This Row],[A5type]],A5WastageRate[#All],2,FALSE)*Calculations[[#This Row],[A1-3]],0)</f>
        <v>0</v>
      </c>
      <c r="N635">
        <f>IFERROR(ROUNDUP(50/VLOOKUP(Calculations[[#This Row],[Scope Element]],B4referenceServiceLife[[Tier 2 element]:[Default Service Life]],2, FALSE)-1,0),0)</f>
        <v>0</v>
      </c>
      <c r="O635" s="322">
        <f>IFERROR((Calculations[[#This Row],[A1-3]]+Calculations[[#This Row],[A4]]+Calculations[[#This Row],[A5]]+Calculations[[#This Row],[C2 total]]+Calculations[[#This Row],[C3 total]]+Calculations[[#This Row],[C4 total]])*Calculations[[#This Row],[Replacements]],0)</f>
        <v>0</v>
      </c>
      <c r="S635" t="str">
        <f>IFERROR(VLOOKUP(Calculations[[#This Row],[Material (choose from dropdown]],MaterialData[#All],4,FALSE),"")</f>
        <v/>
      </c>
      <c r="T635" s="322" cm="1">
        <f t="array" ref="T635">IFERROR(VLOOKUP(Calculations[[#This Row],[Waste 1]],WasteScenario[#All],2,FALSE)*'Stage assumptions'!$C$225*WasteTransportMethod[Emissions Factor
kgCO2e/kg.km]*Calculations[[#This Row],[Total Kg]],0)</f>
        <v>0</v>
      </c>
      <c r="U635" s="322" cm="1">
        <f t="array" ref="U635">IFERROR(VLOOKUP(Calculations[[#This Row],[Waste 1]],WasteScenario[#All],3,FALSE)*'Stage assumptions'!$C$224*WasteTransportMethod[Emissions Factor
kgCO2e/kg.km]*Calculations[[#This Row],[Total Kg]],0)</f>
        <v>0</v>
      </c>
      <c r="V635" s="322" cm="1">
        <f t="array" ref="V635">IFERROR(VLOOKUP(Calculations[[#This Row],[Waste 1]],WasteScenario[#All],4,FALSE)*'Stage assumptions'!$C$223*WasteTransportMethod[Emissions Factor
kgCO2e/kg.km]*Calculations[[#This Row],[Total Kg]],0)</f>
        <v>0</v>
      </c>
      <c r="W635" s="322" cm="1">
        <f t="array" ref="W635">IFERROR(VLOOKUP(Calculations[[#This Row],[Waste 1]],WasteScenario[#All],5,FALSE)*'Stage assumptions'!$C$226*WasteTransportMethod[Emissions Factor
kgCO2e/kg.km]*Calculations[[#This Row],[Total Kg]],0)</f>
        <v>0</v>
      </c>
      <c r="X635" s="322">
        <f>SUM(Calculations[[#This Row],[C2 Recycle]:[C2 Reuse]])</f>
        <v>0</v>
      </c>
      <c r="Y635" t="str">
        <f>IFERROR(VLOOKUP(Calculations[[#This Row],[Material (choose from dropdown]],MaterialData[#All],5,FALSE),"")</f>
        <v/>
      </c>
      <c r="Z635" s="322">
        <f>IFERROR(((VLOOKUP(Calculations[[#This Row],[Waste type 2]],WasteDisposalEmissions[#All],2,FALSE))*Calculations[[#This Row],[Total Kg]])*VLOOKUP(Calculations[[#This Row],[Waste 1]],WasteScenario[#All],2,FALSE),0)</f>
        <v>0</v>
      </c>
      <c r="AA635" s="322">
        <f>IFERROR((VLOOKUP(Calculations[[#This Row],[Waste type 2]],WasteDisposalEmissions[#All],3,FALSE))*Calculations[[#This Row],[Total Kg]]*VLOOKUP(Calculations[[#This Row],[Waste 1]],WasteScenario[#All],3,FALSE),0)</f>
        <v>0</v>
      </c>
      <c r="AB635" s="322">
        <f>SUM(Calculations[[#This Row],[C3 recyc]:[C3 incin]])</f>
        <v>0</v>
      </c>
      <c r="AC635" s="334">
        <f>IFERROR((VLOOKUP(Calculations[[#This Row],[Waste type 2]],WasteLandfillEmissions[#All],2,FALSE))*Calculations[[#This Row],[Total Kg]]*VLOOKUP(Calculations[[#This Row],[Waste 1]],WasteScenario[#All],4,FALSE),0)</f>
        <v>0</v>
      </c>
      <c r="AD635" s="322">
        <f>IFERROR((VLOOKUP(Calculations[[#This Row],[Waste type 2]],WasteLandfillEmissions[#All],3,FALSE))*Calculations[[#This Row],[Total Kg]]*VLOOKUP(Calculations[[#This Row],[Waste 1]],WasteScenario[#All],4,FALSE),0)</f>
        <v>0</v>
      </c>
      <c r="AE635" s="322">
        <f>SUM(Calculations[[#This Row],[C4 landfill]:[C4 re-use]])</f>
        <v>0</v>
      </c>
      <c r="AF635" s="322">
        <f>IFERROR(VLOOKUP(Calculations[[#This Row],[Material (choose from dropdown]],MaterialData[#All],8,FALSE),0)</f>
        <v>0</v>
      </c>
      <c r="AG635" s="322">
        <f>IFERROR(Calculations[[#This Row],[Total Kg]]*Calculations[[#This Row],[Seq factor]],0)</f>
        <v>0</v>
      </c>
      <c r="AI635" s="322">
        <f>Calculations[[#This Row],[A1-3]]+Calculations[[#This Row],[A4]]+Calculations[[#This Row],[A5]]+Calculations[[#This Row],[B4]]+Calculations[[#This Row],[C2 total]]+Calculations[[#This Row],[C3 total]]+Calculations[[#This Row],[C4 total]]</f>
        <v>0</v>
      </c>
      <c r="AJ635" s="2">
        <f>IFERROR(VLOOKUP(Calculations[[#This Row],[Material (choose from dropdown]],MaterialData[[#Headers],[#Data]],9,FALSE),0)</f>
        <v>0</v>
      </c>
      <c r="AK635" s="4">
        <f>IFERROR(VLOOKUP(Calculations[[#This Row],[Material (choose from dropdown]],MaterialData[[#Headers],[#Data]],10,FALSE),0)</f>
        <v>0</v>
      </c>
      <c r="AL635" s="322">
        <f>IFERROR(Calculations[[#This Row],[Data Quality Score]]*Calculations[[#This Row],[Total Kg]],0)</f>
        <v>0</v>
      </c>
    </row>
    <row r="636" spans="1:38" x14ac:dyDescent="0.3">
      <c r="A636" s="6">
        <f>IFERROR(MaterialsBoQ[[#This Row],[Scope Element]],0)</f>
        <v>0</v>
      </c>
      <c r="B636" t="str">
        <f>IFERROR(MaterialsBoQ[[#This Row],[Material ]],"")</f>
        <v/>
      </c>
      <c r="C636" t="str">
        <f>IFERROR(MaterialsBoQ[[#This Row],[Unit]],"")</f>
        <v/>
      </c>
      <c r="D636" s="322">
        <f>IFERROR(MaterialsBoQ[[#This Row],[Number]],0)</f>
        <v>0</v>
      </c>
      <c r="E636" s="322">
        <f>IFERROR(MaterialsBoQ[[#This Row],[Kg per unit]],0)</f>
        <v>0</v>
      </c>
      <c r="F636" s="322">
        <f>IFERROR(Calculations[[#This Row],[Number]]*Calculations[[#This Row],[Conversion factor]],0)</f>
        <v>0</v>
      </c>
      <c r="G636" s="322">
        <f>IFERROR(VLOOKUP(Calculations[[#This Row],[Material (choose from dropdown]],MaterialData[#All],7,FALSE),0)</f>
        <v>0</v>
      </c>
      <c r="H636" s="322">
        <f>Calculations[[#This Row],[Total Kg]]*Calculations[[#This Row],[Carbon Factor]]</f>
        <v>0</v>
      </c>
      <c r="I636" t="str">
        <f>IFERROR(VLOOKUP(Calculations[[#This Row],[Material (choose from dropdown]],MaterialData[#All],2,FALSE),"")</f>
        <v/>
      </c>
      <c r="J636" s="322">
        <f>IFERROR(((VLOOKUP(Calculations[[#This Row],[TransportSource]],TransportDistance[],2,FALSE)*'Stage assumptions'!$C$11)+VLOOKUP(Calculations[[#This Row],[TransportSource]],TransportDistance[],3,FALSE)*'Stage assumptions'!$C$12)*Calculations[[#This Row],[Total Kg]],0)</f>
        <v>0</v>
      </c>
      <c r="K636">
        <f>IFERROR(VLOOKUP(Calculations[[#This Row],[Material (choose from dropdown]], MaterialData[#All],3, FALSE),0)</f>
        <v>0</v>
      </c>
      <c r="L636" s="322">
        <f>IFERROR(VLOOKUP(Calculations[[#This Row],[A5type]],A5WastageRate[#All],2,FALSE)*Calculations[[#This Row],[A1-3]],0)</f>
        <v>0</v>
      </c>
      <c r="N636">
        <f>IFERROR(ROUNDUP(50/VLOOKUP(Calculations[[#This Row],[Scope Element]],B4referenceServiceLife[[Tier 2 element]:[Default Service Life]],2, FALSE)-1,0),0)</f>
        <v>0</v>
      </c>
      <c r="O636" s="322">
        <f>IFERROR((Calculations[[#This Row],[A1-3]]+Calculations[[#This Row],[A4]]+Calculations[[#This Row],[A5]]+Calculations[[#This Row],[C2 total]]+Calculations[[#This Row],[C3 total]]+Calculations[[#This Row],[C4 total]])*Calculations[[#This Row],[Replacements]],0)</f>
        <v>0</v>
      </c>
      <c r="S636" t="str">
        <f>IFERROR(VLOOKUP(Calculations[[#This Row],[Material (choose from dropdown]],MaterialData[#All],4,FALSE),"")</f>
        <v/>
      </c>
      <c r="T636" s="322" cm="1">
        <f t="array" ref="T636">IFERROR(VLOOKUP(Calculations[[#This Row],[Waste 1]],WasteScenario[#All],2,FALSE)*'Stage assumptions'!$C$225*WasteTransportMethod[Emissions Factor
kgCO2e/kg.km]*Calculations[[#This Row],[Total Kg]],0)</f>
        <v>0</v>
      </c>
      <c r="U636" s="322" cm="1">
        <f t="array" ref="U636">IFERROR(VLOOKUP(Calculations[[#This Row],[Waste 1]],WasteScenario[#All],3,FALSE)*'Stage assumptions'!$C$224*WasteTransportMethod[Emissions Factor
kgCO2e/kg.km]*Calculations[[#This Row],[Total Kg]],0)</f>
        <v>0</v>
      </c>
      <c r="V636" s="322" cm="1">
        <f t="array" ref="V636">IFERROR(VLOOKUP(Calculations[[#This Row],[Waste 1]],WasteScenario[#All],4,FALSE)*'Stage assumptions'!$C$223*WasteTransportMethod[Emissions Factor
kgCO2e/kg.km]*Calculations[[#This Row],[Total Kg]],0)</f>
        <v>0</v>
      </c>
      <c r="W636" s="322" cm="1">
        <f t="array" ref="W636">IFERROR(VLOOKUP(Calculations[[#This Row],[Waste 1]],WasteScenario[#All],5,FALSE)*'Stage assumptions'!$C$226*WasteTransportMethod[Emissions Factor
kgCO2e/kg.km]*Calculations[[#This Row],[Total Kg]],0)</f>
        <v>0</v>
      </c>
      <c r="X636" s="322">
        <f>SUM(Calculations[[#This Row],[C2 Recycle]:[C2 Reuse]])</f>
        <v>0</v>
      </c>
      <c r="Y636" t="str">
        <f>IFERROR(VLOOKUP(Calculations[[#This Row],[Material (choose from dropdown]],MaterialData[#All],5,FALSE),"")</f>
        <v/>
      </c>
      <c r="Z636" s="322">
        <f>IFERROR(((VLOOKUP(Calculations[[#This Row],[Waste type 2]],WasteDisposalEmissions[#All],2,FALSE))*Calculations[[#This Row],[Total Kg]])*VLOOKUP(Calculations[[#This Row],[Waste 1]],WasteScenario[#All],2,FALSE),0)</f>
        <v>0</v>
      </c>
      <c r="AA636" s="322">
        <f>IFERROR((VLOOKUP(Calculations[[#This Row],[Waste type 2]],WasteDisposalEmissions[#All],3,FALSE))*Calculations[[#This Row],[Total Kg]]*VLOOKUP(Calculations[[#This Row],[Waste 1]],WasteScenario[#All],3,FALSE),0)</f>
        <v>0</v>
      </c>
      <c r="AB636" s="322">
        <f>SUM(Calculations[[#This Row],[C3 recyc]:[C3 incin]])</f>
        <v>0</v>
      </c>
      <c r="AC636" s="334">
        <f>IFERROR((VLOOKUP(Calculations[[#This Row],[Waste type 2]],WasteLandfillEmissions[#All],2,FALSE))*Calculations[[#This Row],[Total Kg]]*VLOOKUP(Calculations[[#This Row],[Waste 1]],WasteScenario[#All],4,FALSE),0)</f>
        <v>0</v>
      </c>
      <c r="AD636" s="322">
        <f>IFERROR((VLOOKUP(Calculations[[#This Row],[Waste type 2]],WasteLandfillEmissions[#All],3,FALSE))*Calculations[[#This Row],[Total Kg]]*VLOOKUP(Calculations[[#This Row],[Waste 1]],WasteScenario[#All],4,FALSE),0)</f>
        <v>0</v>
      </c>
      <c r="AE636" s="322">
        <f>SUM(Calculations[[#This Row],[C4 landfill]:[C4 re-use]])</f>
        <v>0</v>
      </c>
      <c r="AF636" s="322">
        <f>IFERROR(VLOOKUP(Calculations[[#This Row],[Material (choose from dropdown]],MaterialData[#All],8,FALSE),0)</f>
        <v>0</v>
      </c>
      <c r="AG636" s="322">
        <f>IFERROR(Calculations[[#This Row],[Total Kg]]*Calculations[[#This Row],[Seq factor]],0)</f>
        <v>0</v>
      </c>
      <c r="AI636" s="322">
        <f>Calculations[[#This Row],[A1-3]]+Calculations[[#This Row],[A4]]+Calculations[[#This Row],[A5]]+Calculations[[#This Row],[B4]]+Calculations[[#This Row],[C2 total]]+Calculations[[#This Row],[C3 total]]+Calculations[[#This Row],[C4 total]]</f>
        <v>0</v>
      </c>
      <c r="AJ636" s="2">
        <f>IFERROR(VLOOKUP(Calculations[[#This Row],[Material (choose from dropdown]],MaterialData[[#Headers],[#Data]],9,FALSE),0)</f>
        <v>0</v>
      </c>
      <c r="AK636" s="4">
        <f>IFERROR(VLOOKUP(Calculations[[#This Row],[Material (choose from dropdown]],MaterialData[[#Headers],[#Data]],10,FALSE),0)</f>
        <v>0</v>
      </c>
      <c r="AL636" s="322">
        <f>IFERROR(Calculations[[#This Row],[Data Quality Score]]*Calculations[[#This Row],[Total Kg]],0)</f>
        <v>0</v>
      </c>
    </row>
    <row r="637" spans="1:38" x14ac:dyDescent="0.3">
      <c r="A637" s="6">
        <f>IFERROR(MaterialsBoQ[[#This Row],[Scope Element]],0)</f>
        <v>0</v>
      </c>
      <c r="B637" t="str">
        <f>IFERROR(MaterialsBoQ[[#This Row],[Material ]],"")</f>
        <v/>
      </c>
      <c r="C637" t="str">
        <f>IFERROR(MaterialsBoQ[[#This Row],[Unit]],"")</f>
        <v/>
      </c>
      <c r="D637" s="322">
        <f>IFERROR(MaterialsBoQ[[#This Row],[Number]],0)</f>
        <v>0</v>
      </c>
      <c r="E637" s="322">
        <f>IFERROR(MaterialsBoQ[[#This Row],[Kg per unit]],0)</f>
        <v>0</v>
      </c>
      <c r="F637" s="322">
        <f>IFERROR(Calculations[[#This Row],[Number]]*Calculations[[#This Row],[Conversion factor]],0)</f>
        <v>0</v>
      </c>
      <c r="G637" s="322">
        <f>IFERROR(VLOOKUP(Calculations[[#This Row],[Material (choose from dropdown]],MaterialData[#All],7,FALSE),0)</f>
        <v>0</v>
      </c>
      <c r="H637" s="322">
        <f>Calculations[[#This Row],[Total Kg]]*Calculations[[#This Row],[Carbon Factor]]</f>
        <v>0</v>
      </c>
      <c r="I637" t="str">
        <f>IFERROR(VLOOKUP(Calculations[[#This Row],[Material (choose from dropdown]],MaterialData[#All],2,FALSE),"")</f>
        <v/>
      </c>
      <c r="J637" s="322">
        <f>IFERROR(((VLOOKUP(Calculations[[#This Row],[TransportSource]],TransportDistance[],2,FALSE)*'Stage assumptions'!$C$11)+VLOOKUP(Calculations[[#This Row],[TransportSource]],TransportDistance[],3,FALSE)*'Stage assumptions'!$C$12)*Calculations[[#This Row],[Total Kg]],0)</f>
        <v>0</v>
      </c>
      <c r="K637">
        <f>IFERROR(VLOOKUP(Calculations[[#This Row],[Material (choose from dropdown]], MaterialData[#All],3, FALSE),0)</f>
        <v>0</v>
      </c>
      <c r="L637" s="322">
        <f>IFERROR(VLOOKUP(Calculations[[#This Row],[A5type]],A5WastageRate[#All],2,FALSE)*Calculations[[#This Row],[A1-3]],0)</f>
        <v>0</v>
      </c>
      <c r="N637">
        <f>IFERROR(ROUNDUP(50/VLOOKUP(Calculations[[#This Row],[Scope Element]],B4referenceServiceLife[[Tier 2 element]:[Default Service Life]],2, FALSE)-1,0),0)</f>
        <v>0</v>
      </c>
      <c r="O637" s="322">
        <f>IFERROR((Calculations[[#This Row],[A1-3]]+Calculations[[#This Row],[A4]]+Calculations[[#This Row],[A5]]+Calculations[[#This Row],[C2 total]]+Calculations[[#This Row],[C3 total]]+Calculations[[#This Row],[C4 total]])*Calculations[[#This Row],[Replacements]],0)</f>
        <v>0</v>
      </c>
      <c r="S637" t="str">
        <f>IFERROR(VLOOKUP(Calculations[[#This Row],[Material (choose from dropdown]],MaterialData[#All],4,FALSE),"")</f>
        <v/>
      </c>
      <c r="T637" s="322" cm="1">
        <f t="array" ref="T637">IFERROR(VLOOKUP(Calculations[[#This Row],[Waste 1]],WasteScenario[#All],2,FALSE)*'Stage assumptions'!$C$225*WasteTransportMethod[Emissions Factor
kgCO2e/kg.km]*Calculations[[#This Row],[Total Kg]],0)</f>
        <v>0</v>
      </c>
      <c r="U637" s="322" cm="1">
        <f t="array" ref="U637">IFERROR(VLOOKUP(Calculations[[#This Row],[Waste 1]],WasteScenario[#All],3,FALSE)*'Stage assumptions'!$C$224*WasteTransportMethod[Emissions Factor
kgCO2e/kg.km]*Calculations[[#This Row],[Total Kg]],0)</f>
        <v>0</v>
      </c>
      <c r="V637" s="322" cm="1">
        <f t="array" ref="V637">IFERROR(VLOOKUP(Calculations[[#This Row],[Waste 1]],WasteScenario[#All],4,FALSE)*'Stage assumptions'!$C$223*WasteTransportMethod[Emissions Factor
kgCO2e/kg.km]*Calculations[[#This Row],[Total Kg]],0)</f>
        <v>0</v>
      </c>
      <c r="W637" s="322" cm="1">
        <f t="array" ref="W637">IFERROR(VLOOKUP(Calculations[[#This Row],[Waste 1]],WasteScenario[#All],5,FALSE)*'Stage assumptions'!$C$226*WasteTransportMethod[Emissions Factor
kgCO2e/kg.km]*Calculations[[#This Row],[Total Kg]],0)</f>
        <v>0</v>
      </c>
      <c r="X637" s="322">
        <f>SUM(Calculations[[#This Row],[C2 Recycle]:[C2 Reuse]])</f>
        <v>0</v>
      </c>
      <c r="Y637" t="str">
        <f>IFERROR(VLOOKUP(Calculations[[#This Row],[Material (choose from dropdown]],MaterialData[#All],5,FALSE),"")</f>
        <v/>
      </c>
      <c r="Z637" s="322">
        <f>IFERROR(((VLOOKUP(Calculations[[#This Row],[Waste type 2]],WasteDisposalEmissions[#All],2,FALSE))*Calculations[[#This Row],[Total Kg]])*VLOOKUP(Calculations[[#This Row],[Waste 1]],WasteScenario[#All],2,FALSE),0)</f>
        <v>0</v>
      </c>
      <c r="AA637" s="322">
        <f>IFERROR((VLOOKUP(Calculations[[#This Row],[Waste type 2]],WasteDisposalEmissions[#All],3,FALSE))*Calculations[[#This Row],[Total Kg]]*VLOOKUP(Calculations[[#This Row],[Waste 1]],WasteScenario[#All],3,FALSE),0)</f>
        <v>0</v>
      </c>
      <c r="AB637" s="322">
        <f>SUM(Calculations[[#This Row],[C3 recyc]:[C3 incin]])</f>
        <v>0</v>
      </c>
      <c r="AC637" s="334">
        <f>IFERROR((VLOOKUP(Calculations[[#This Row],[Waste type 2]],WasteLandfillEmissions[#All],2,FALSE))*Calculations[[#This Row],[Total Kg]]*VLOOKUP(Calculations[[#This Row],[Waste 1]],WasteScenario[#All],4,FALSE),0)</f>
        <v>0</v>
      </c>
      <c r="AD637" s="322">
        <f>IFERROR((VLOOKUP(Calculations[[#This Row],[Waste type 2]],WasteLandfillEmissions[#All],3,FALSE))*Calculations[[#This Row],[Total Kg]]*VLOOKUP(Calculations[[#This Row],[Waste 1]],WasteScenario[#All],4,FALSE),0)</f>
        <v>0</v>
      </c>
      <c r="AE637" s="322">
        <f>SUM(Calculations[[#This Row],[C4 landfill]:[C4 re-use]])</f>
        <v>0</v>
      </c>
      <c r="AF637" s="322">
        <f>IFERROR(VLOOKUP(Calculations[[#This Row],[Material (choose from dropdown]],MaterialData[#All],8,FALSE),0)</f>
        <v>0</v>
      </c>
      <c r="AG637" s="322">
        <f>IFERROR(Calculations[[#This Row],[Total Kg]]*Calculations[[#This Row],[Seq factor]],0)</f>
        <v>0</v>
      </c>
      <c r="AI637" s="322">
        <f>Calculations[[#This Row],[A1-3]]+Calculations[[#This Row],[A4]]+Calculations[[#This Row],[A5]]+Calculations[[#This Row],[B4]]+Calculations[[#This Row],[C2 total]]+Calculations[[#This Row],[C3 total]]+Calculations[[#This Row],[C4 total]]</f>
        <v>0</v>
      </c>
      <c r="AJ637" s="2">
        <f>IFERROR(VLOOKUP(Calculations[[#This Row],[Material (choose from dropdown]],MaterialData[[#Headers],[#Data]],9,FALSE),0)</f>
        <v>0</v>
      </c>
      <c r="AK637" s="4">
        <f>IFERROR(VLOOKUP(Calculations[[#This Row],[Material (choose from dropdown]],MaterialData[[#Headers],[#Data]],10,FALSE),0)</f>
        <v>0</v>
      </c>
      <c r="AL637" s="322">
        <f>IFERROR(Calculations[[#This Row],[Data Quality Score]]*Calculations[[#This Row],[Total Kg]],0)</f>
        <v>0</v>
      </c>
    </row>
    <row r="638" spans="1:38" x14ac:dyDescent="0.3">
      <c r="A638" s="6">
        <f>IFERROR(MaterialsBoQ[[#This Row],[Scope Element]],0)</f>
        <v>0</v>
      </c>
      <c r="B638" t="str">
        <f>IFERROR(MaterialsBoQ[[#This Row],[Material ]],"")</f>
        <v/>
      </c>
      <c r="C638" t="str">
        <f>IFERROR(MaterialsBoQ[[#This Row],[Unit]],"")</f>
        <v/>
      </c>
      <c r="D638" s="322">
        <f>IFERROR(MaterialsBoQ[[#This Row],[Number]],0)</f>
        <v>0</v>
      </c>
      <c r="E638" s="322">
        <f>IFERROR(MaterialsBoQ[[#This Row],[Kg per unit]],0)</f>
        <v>0</v>
      </c>
      <c r="F638" s="322">
        <f>IFERROR(Calculations[[#This Row],[Number]]*Calculations[[#This Row],[Conversion factor]],0)</f>
        <v>0</v>
      </c>
      <c r="G638" s="322">
        <f>IFERROR(VLOOKUP(Calculations[[#This Row],[Material (choose from dropdown]],MaterialData[#All],7,FALSE),0)</f>
        <v>0</v>
      </c>
      <c r="H638" s="322">
        <f>Calculations[[#This Row],[Total Kg]]*Calculations[[#This Row],[Carbon Factor]]</f>
        <v>0</v>
      </c>
      <c r="I638" t="str">
        <f>IFERROR(VLOOKUP(Calculations[[#This Row],[Material (choose from dropdown]],MaterialData[#All],2,FALSE),"")</f>
        <v/>
      </c>
      <c r="J638" s="322">
        <f>IFERROR(((VLOOKUP(Calculations[[#This Row],[TransportSource]],TransportDistance[],2,FALSE)*'Stage assumptions'!$C$11)+VLOOKUP(Calculations[[#This Row],[TransportSource]],TransportDistance[],3,FALSE)*'Stage assumptions'!$C$12)*Calculations[[#This Row],[Total Kg]],0)</f>
        <v>0</v>
      </c>
      <c r="K638">
        <f>IFERROR(VLOOKUP(Calculations[[#This Row],[Material (choose from dropdown]], MaterialData[#All],3, FALSE),0)</f>
        <v>0</v>
      </c>
      <c r="L638" s="322">
        <f>IFERROR(VLOOKUP(Calculations[[#This Row],[A5type]],A5WastageRate[#All],2,FALSE)*Calculations[[#This Row],[A1-3]],0)</f>
        <v>0</v>
      </c>
      <c r="N638">
        <f>IFERROR(ROUNDUP(50/VLOOKUP(Calculations[[#This Row],[Scope Element]],B4referenceServiceLife[[Tier 2 element]:[Default Service Life]],2, FALSE)-1,0),0)</f>
        <v>0</v>
      </c>
      <c r="O638" s="322">
        <f>IFERROR((Calculations[[#This Row],[A1-3]]+Calculations[[#This Row],[A4]]+Calculations[[#This Row],[A5]]+Calculations[[#This Row],[C2 total]]+Calculations[[#This Row],[C3 total]]+Calculations[[#This Row],[C4 total]])*Calculations[[#This Row],[Replacements]],0)</f>
        <v>0</v>
      </c>
      <c r="S638" t="str">
        <f>IFERROR(VLOOKUP(Calculations[[#This Row],[Material (choose from dropdown]],MaterialData[#All],4,FALSE),"")</f>
        <v/>
      </c>
      <c r="T638" s="322" cm="1">
        <f t="array" ref="T638">IFERROR(VLOOKUP(Calculations[[#This Row],[Waste 1]],WasteScenario[#All],2,FALSE)*'Stage assumptions'!$C$225*WasteTransportMethod[Emissions Factor
kgCO2e/kg.km]*Calculations[[#This Row],[Total Kg]],0)</f>
        <v>0</v>
      </c>
      <c r="U638" s="322" cm="1">
        <f t="array" ref="U638">IFERROR(VLOOKUP(Calculations[[#This Row],[Waste 1]],WasteScenario[#All],3,FALSE)*'Stage assumptions'!$C$224*WasteTransportMethod[Emissions Factor
kgCO2e/kg.km]*Calculations[[#This Row],[Total Kg]],0)</f>
        <v>0</v>
      </c>
      <c r="V638" s="322" cm="1">
        <f t="array" ref="V638">IFERROR(VLOOKUP(Calculations[[#This Row],[Waste 1]],WasteScenario[#All],4,FALSE)*'Stage assumptions'!$C$223*WasteTransportMethod[Emissions Factor
kgCO2e/kg.km]*Calculations[[#This Row],[Total Kg]],0)</f>
        <v>0</v>
      </c>
      <c r="W638" s="322" cm="1">
        <f t="array" ref="W638">IFERROR(VLOOKUP(Calculations[[#This Row],[Waste 1]],WasteScenario[#All],5,FALSE)*'Stage assumptions'!$C$226*WasteTransportMethod[Emissions Factor
kgCO2e/kg.km]*Calculations[[#This Row],[Total Kg]],0)</f>
        <v>0</v>
      </c>
      <c r="X638" s="322">
        <f>SUM(Calculations[[#This Row],[C2 Recycle]:[C2 Reuse]])</f>
        <v>0</v>
      </c>
      <c r="Y638" t="str">
        <f>IFERROR(VLOOKUP(Calculations[[#This Row],[Material (choose from dropdown]],MaterialData[#All],5,FALSE),"")</f>
        <v/>
      </c>
      <c r="Z638" s="322">
        <f>IFERROR(((VLOOKUP(Calculations[[#This Row],[Waste type 2]],WasteDisposalEmissions[#All],2,FALSE))*Calculations[[#This Row],[Total Kg]])*VLOOKUP(Calculations[[#This Row],[Waste 1]],WasteScenario[#All],2,FALSE),0)</f>
        <v>0</v>
      </c>
      <c r="AA638" s="322">
        <f>IFERROR((VLOOKUP(Calculations[[#This Row],[Waste type 2]],WasteDisposalEmissions[#All],3,FALSE))*Calculations[[#This Row],[Total Kg]]*VLOOKUP(Calculations[[#This Row],[Waste 1]],WasteScenario[#All],3,FALSE),0)</f>
        <v>0</v>
      </c>
      <c r="AB638" s="322">
        <f>SUM(Calculations[[#This Row],[C3 recyc]:[C3 incin]])</f>
        <v>0</v>
      </c>
      <c r="AC638" s="334">
        <f>IFERROR((VLOOKUP(Calculations[[#This Row],[Waste type 2]],WasteLandfillEmissions[#All],2,FALSE))*Calculations[[#This Row],[Total Kg]]*VLOOKUP(Calculations[[#This Row],[Waste 1]],WasteScenario[#All],4,FALSE),0)</f>
        <v>0</v>
      </c>
      <c r="AD638" s="322">
        <f>IFERROR((VLOOKUP(Calculations[[#This Row],[Waste type 2]],WasteLandfillEmissions[#All],3,FALSE))*Calculations[[#This Row],[Total Kg]]*VLOOKUP(Calculations[[#This Row],[Waste 1]],WasteScenario[#All],4,FALSE),0)</f>
        <v>0</v>
      </c>
      <c r="AE638" s="322">
        <f>SUM(Calculations[[#This Row],[C4 landfill]:[C4 re-use]])</f>
        <v>0</v>
      </c>
      <c r="AF638" s="322">
        <f>IFERROR(VLOOKUP(Calculations[[#This Row],[Material (choose from dropdown]],MaterialData[#All],8,FALSE),0)</f>
        <v>0</v>
      </c>
      <c r="AG638" s="322">
        <f>IFERROR(Calculations[[#This Row],[Total Kg]]*Calculations[[#This Row],[Seq factor]],0)</f>
        <v>0</v>
      </c>
      <c r="AI638" s="322">
        <f>Calculations[[#This Row],[A1-3]]+Calculations[[#This Row],[A4]]+Calculations[[#This Row],[A5]]+Calculations[[#This Row],[B4]]+Calculations[[#This Row],[C2 total]]+Calculations[[#This Row],[C3 total]]+Calculations[[#This Row],[C4 total]]</f>
        <v>0</v>
      </c>
      <c r="AJ638" s="2">
        <f>IFERROR(VLOOKUP(Calculations[[#This Row],[Material (choose from dropdown]],MaterialData[[#Headers],[#Data]],9,FALSE),0)</f>
        <v>0</v>
      </c>
      <c r="AK638" s="4">
        <f>IFERROR(VLOOKUP(Calculations[[#This Row],[Material (choose from dropdown]],MaterialData[[#Headers],[#Data]],10,FALSE),0)</f>
        <v>0</v>
      </c>
      <c r="AL638" s="322">
        <f>IFERROR(Calculations[[#This Row],[Data Quality Score]]*Calculations[[#This Row],[Total Kg]],0)</f>
        <v>0</v>
      </c>
    </row>
    <row r="639" spans="1:38" x14ac:dyDescent="0.3">
      <c r="A639" s="6">
        <f>IFERROR(MaterialsBoQ[[#This Row],[Scope Element]],0)</f>
        <v>0</v>
      </c>
      <c r="B639" t="str">
        <f>IFERROR(MaterialsBoQ[[#This Row],[Material ]],"")</f>
        <v/>
      </c>
      <c r="C639" t="str">
        <f>IFERROR(MaterialsBoQ[[#This Row],[Unit]],"")</f>
        <v/>
      </c>
      <c r="D639" s="322">
        <f>IFERROR(MaterialsBoQ[[#This Row],[Number]],0)</f>
        <v>0</v>
      </c>
      <c r="E639" s="322">
        <f>IFERROR(MaterialsBoQ[[#This Row],[Kg per unit]],0)</f>
        <v>0</v>
      </c>
      <c r="F639" s="322">
        <f>IFERROR(Calculations[[#This Row],[Number]]*Calculations[[#This Row],[Conversion factor]],0)</f>
        <v>0</v>
      </c>
      <c r="G639" s="322">
        <f>IFERROR(VLOOKUP(Calculations[[#This Row],[Material (choose from dropdown]],MaterialData[#All],7,FALSE),0)</f>
        <v>0</v>
      </c>
      <c r="H639" s="322">
        <f>Calculations[[#This Row],[Total Kg]]*Calculations[[#This Row],[Carbon Factor]]</f>
        <v>0</v>
      </c>
      <c r="I639" t="str">
        <f>IFERROR(VLOOKUP(Calculations[[#This Row],[Material (choose from dropdown]],MaterialData[#All],2,FALSE),"")</f>
        <v/>
      </c>
      <c r="J639" s="322">
        <f>IFERROR(((VLOOKUP(Calculations[[#This Row],[TransportSource]],TransportDistance[],2,FALSE)*'Stage assumptions'!$C$11)+VLOOKUP(Calculations[[#This Row],[TransportSource]],TransportDistance[],3,FALSE)*'Stage assumptions'!$C$12)*Calculations[[#This Row],[Total Kg]],0)</f>
        <v>0</v>
      </c>
      <c r="K639">
        <f>IFERROR(VLOOKUP(Calculations[[#This Row],[Material (choose from dropdown]], MaterialData[#All],3, FALSE),0)</f>
        <v>0</v>
      </c>
      <c r="L639" s="322">
        <f>IFERROR(VLOOKUP(Calculations[[#This Row],[A5type]],A5WastageRate[#All],2,FALSE)*Calculations[[#This Row],[A1-3]],0)</f>
        <v>0</v>
      </c>
      <c r="N639">
        <f>IFERROR(ROUNDUP(50/VLOOKUP(Calculations[[#This Row],[Scope Element]],B4referenceServiceLife[[Tier 2 element]:[Default Service Life]],2, FALSE)-1,0),0)</f>
        <v>0</v>
      </c>
      <c r="O639" s="322">
        <f>IFERROR((Calculations[[#This Row],[A1-3]]+Calculations[[#This Row],[A4]]+Calculations[[#This Row],[A5]]+Calculations[[#This Row],[C2 total]]+Calculations[[#This Row],[C3 total]]+Calculations[[#This Row],[C4 total]])*Calculations[[#This Row],[Replacements]],0)</f>
        <v>0</v>
      </c>
      <c r="S639" t="str">
        <f>IFERROR(VLOOKUP(Calculations[[#This Row],[Material (choose from dropdown]],MaterialData[#All],4,FALSE),"")</f>
        <v/>
      </c>
      <c r="T639" s="322" cm="1">
        <f t="array" ref="T639">IFERROR(VLOOKUP(Calculations[[#This Row],[Waste 1]],WasteScenario[#All],2,FALSE)*'Stage assumptions'!$C$225*WasteTransportMethod[Emissions Factor
kgCO2e/kg.km]*Calculations[[#This Row],[Total Kg]],0)</f>
        <v>0</v>
      </c>
      <c r="U639" s="322" cm="1">
        <f t="array" ref="U639">IFERROR(VLOOKUP(Calculations[[#This Row],[Waste 1]],WasteScenario[#All],3,FALSE)*'Stage assumptions'!$C$224*WasteTransportMethod[Emissions Factor
kgCO2e/kg.km]*Calculations[[#This Row],[Total Kg]],0)</f>
        <v>0</v>
      </c>
      <c r="V639" s="322" cm="1">
        <f t="array" ref="V639">IFERROR(VLOOKUP(Calculations[[#This Row],[Waste 1]],WasteScenario[#All],4,FALSE)*'Stage assumptions'!$C$223*WasteTransportMethod[Emissions Factor
kgCO2e/kg.km]*Calculations[[#This Row],[Total Kg]],0)</f>
        <v>0</v>
      </c>
      <c r="W639" s="322" cm="1">
        <f t="array" ref="W639">IFERROR(VLOOKUP(Calculations[[#This Row],[Waste 1]],WasteScenario[#All],5,FALSE)*'Stage assumptions'!$C$226*WasteTransportMethod[Emissions Factor
kgCO2e/kg.km]*Calculations[[#This Row],[Total Kg]],0)</f>
        <v>0</v>
      </c>
      <c r="X639" s="322">
        <f>SUM(Calculations[[#This Row],[C2 Recycle]:[C2 Reuse]])</f>
        <v>0</v>
      </c>
      <c r="Y639" t="str">
        <f>IFERROR(VLOOKUP(Calculations[[#This Row],[Material (choose from dropdown]],MaterialData[#All],5,FALSE),"")</f>
        <v/>
      </c>
      <c r="Z639" s="322">
        <f>IFERROR(((VLOOKUP(Calculations[[#This Row],[Waste type 2]],WasteDisposalEmissions[#All],2,FALSE))*Calculations[[#This Row],[Total Kg]])*VLOOKUP(Calculations[[#This Row],[Waste 1]],WasteScenario[#All],2,FALSE),0)</f>
        <v>0</v>
      </c>
      <c r="AA639" s="322">
        <f>IFERROR((VLOOKUP(Calculations[[#This Row],[Waste type 2]],WasteDisposalEmissions[#All],3,FALSE))*Calculations[[#This Row],[Total Kg]]*VLOOKUP(Calculations[[#This Row],[Waste 1]],WasteScenario[#All],3,FALSE),0)</f>
        <v>0</v>
      </c>
      <c r="AB639" s="322">
        <f>SUM(Calculations[[#This Row],[C3 recyc]:[C3 incin]])</f>
        <v>0</v>
      </c>
      <c r="AC639" s="334">
        <f>IFERROR((VLOOKUP(Calculations[[#This Row],[Waste type 2]],WasteLandfillEmissions[#All],2,FALSE))*Calculations[[#This Row],[Total Kg]]*VLOOKUP(Calculations[[#This Row],[Waste 1]],WasteScenario[#All],4,FALSE),0)</f>
        <v>0</v>
      </c>
      <c r="AD639" s="322">
        <f>IFERROR((VLOOKUP(Calculations[[#This Row],[Waste type 2]],WasteLandfillEmissions[#All],3,FALSE))*Calculations[[#This Row],[Total Kg]]*VLOOKUP(Calculations[[#This Row],[Waste 1]],WasteScenario[#All],4,FALSE),0)</f>
        <v>0</v>
      </c>
      <c r="AE639" s="322">
        <f>SUM(Calculations[[#This Row],[C4 landfill]:[C4 re-use]])</f>
        <v>0</v>
      </c>
      <c r="AF639" s="322">
        <f>IFERROR(VLOOKUP(Calculations[[#This Row],[Material (choose from dropdown]],MaterialData[#All],8,FALSE),0)</f>
        <v>0</v>
      </c>
      <c r="AG639" s="322">
        <f>IFERROR(Calculations[[#This Row],[Total Kg]]*Calculations[[#This Row],[Seq factor]],0)</f>
        <v>0</v>
      </c>
      <c r="AI639" s="322">
        <f>Calculations[[#This Row],[A1-3]]+Calculations[[#This Row],[A4]]+Calculations[[#This Row],[A5]]+Calculations[[#This Row],[B4]]+Calculations[[#This Row],[C2 total]]+Calculations[[#This Row],[C3 total]]+Calculations[[#This Row],[C4 total]]</f>
        <v>0</v>
      </c>
      <c r="AJ639" s="2">
        <f>IFERROR(VLOOKUP(Calculations[[#This Row],[Material (choose from dropdown]],MaterialData[[#Headers],[#Data]],9,FALSE),0)</f>
        <v>0</v>
      </c>
      <c r="AK639" s="4">
        <f>IFERROR(VLOOKUP(Calculations[[#This Row],[Material (choose from dropdown]],MaterialData[[#Headers],[#Data]],10,FALSE),0)</f>
        <v>0</v>
      </c>
      <c r="AL639" s="322">
        <f>IFERROR(Calculations[[#This Row],[Data Quality Score]]*Calculations[[#This Row],[Total Kg]],0)</f>
        <v>0</v>
      </c>
    </row>
    <row r="640" spans="1:38" x14ac:dyDescent="0.3">
      <c r="A640" s="6">
        <f>IFERROR(MaterialsBoQ[[#This Row],[Scope Element]],0)</f>
        <v>0</v>
      </c>
      <c r="B640" t="str">
        <f>IFERROR(MaterialsBoQ[[#This Row],[Material ]],"")</f>
        <v/>
      </c>
      <c r="C640" t="str">
        <f>IFERROR(MaterialsBoQ[[#This Row],[Unit]],"")</f>
        <v/>
      </c>
      <c r="D640" s="322">
        <f>IFERROR(MaterialsBoQ[[#This Row],[Number]],0)</f>
        <v>0</v>
      </c>
      <c r="E640" s="322">
        <f>IFERROR(MaterialsBoQ[[#This Row],[Kg per unit]],0)</f>
        <v>0</v>
      </c>
      <c r="F640" s="322">
        <f>IFERROR(Calculations[[#This Row],[Number]]*Calculations[[#This Row],[Conversion factor]],0)</f>
        <v>0</v>
      </c>
      <c r="G640" s="322">
        <f>IFERROR(VLOOKUP(Calculations[[#This Row],[Material (choose from dropdown]],MaterialData[#All],7,FALSE),0)</f>
        <v>0</v>
      </c>
      <c r="H640" s="322">
        <f>Calculations[[#This Row],[Total Kg]]*Calculations[[#This Row],[Carbon Factor]]</f>
        <v>0</v>
      </c>
      <c r="I640" t="str">
        <f>IFERROR(VLOOKUP(Calculations[[#This Row],[Material (choose from dropdown]],MaterialData[#All],2,FALSE),"")</f>
        <v/>
      </c>
      <c r="J640" s="322">
        <f>IFERROR(((VLOOKUP(Calculations[[#This Row],[TransportSource]],TransportDistance[],2,FALSE)*'Stage assumptions'!$C$11)+VLOOKUP(Calculations[[#This Row],[TransportSource]],TransportDistance[],3,FALSE)*'Stage assumptions'!$C$12)*Calculations[[#This Row],[Total Kg]],0)</f>
        <v>0</v>
      </c>
      <c r="K640">
        <f>IFERROR(VLOOKUP(Calculations[[#This Row],[Material (choose from dropdown]], MaterialData[#All],3, FALSE),0)</f>
        <v>0</v>
      </c>
      <c r="L640" s="322">
        <f>IFERROR(VLOOKUP(Calculations[[#This Row],[A5type]],A5WastageRate[#All],2,FALSE)*Calculations[[#This Row],[A1-3]],0)</f>
        <v>0</v>
      </c>
      <c r="N640">
        <f>IFERROR(ROUNDUP(50/VLOOKUP(Calculations[[#This Row],[Scope Element]],B4referenceServiceLife[[Tier 2 element]:[Default Service Life]],2, FALSE)-1,0),0)</f>
        <v>0</v>
      </c>
      <c r="O640" s="322">
        <f>IFERROR((Calculations[[#This Row],[A1-3]]+Calculations[[#This Row],[A4]]+Calculations[[#This Row],[A5]]+Calculations[[#This Row],[C2 total]]+Calculations[[#This Row],[C3 total]]+Calculations[[#This Row],[C4 total]])*Calculations[[#This Row],[Replacements]],0)</f>
        <v>0</v>
      </c>
      <c r="S640" t="str">
        <f>IFERROR(VLOOKUP(Calculations[[#This Row],[Material (choose from dropdown]],MaterialData[#All],4,FALSE),"")</f>
        <v/>
      </c>
      <c r="T640" s="322" cm="1">
        <f t="array" ref="T640">IFERROR(VLOOKUP(Calculations[[#This Row],[Waste 1]],WasteScenario[#All],2,FALSE)*'Stage assumptions'!$C$225*WasteTransportMethod[Emissions Factor
kgCO2e/kg.km]*Calculations[[#This Row],[Total Kg]],0)</f>
        <v>0</v>
      </c>
      <c r="U640" s="322" cm="1">
        <f t="array" ref="U640">IFERROR(VLOOKUP(Calculations[[#This Row],[Waste 1]],WasteScenario[#All],3,FALSE)*'Stage assumptions'!$C$224*WasteTransportMethod[Emissions Factor
kgCO2e/kg.km]*Calculations[[#This Row],[Total Kg]],0)</f>
        <v>0</v>
      </c>
      <c r="V640" s="322" cm="1">
        <f t="array" ref="V640">IFERROR(VLOOKUP(Calculations[[#This Row],[Waste 1]],WasteScenario[#All],4,FALSE)*'Stage assumptions'!$C$223*WasteTransportMethod[Emissions Factor
kgCO2e/kg.km]*Calculations[[#This Row],[Total Kg]],0)</f>
        <v>0</v>
      </c>
      <c r="W640" s="322" cm="1">
        <f t="array" ref="W640">IFERROR(VLOOKUP(Calculations[[#This Row],[Waste 1]],WasteScenario[#All],5,FALSE)*'Stage assumptions'!$C$226*WasteTransportMethod[Emissions Factor
kgCO2e/kg.km]*Calculations[[#This Row],[Total Kg]],0)</f>
        <v>0</v>
      </c>
      <c r="X640" s="322">
        <f>SUM(Calculations[[#This Row],[C2 Recycle]:[C2 Reuse]])</f>
        <v>0</v>
      </c>
      <c r="Y640" t="str">
        <f>IFERROR(VLOOKUP(Calculations[[#This Row],[Material (choose from dropdown]],MaterialData[#All],5,FALSE),"")</f>
        <v/>
      </c>
      <c r="Z640" s="322">
        <f>IFERROR(((VLOOKUP(Calculations[[#This Row],[Waste type 2]],WasteDisposalEmissions[#All],2,FALSE))*Calculations[[#This Row],[Total Kg]])*VLOOKUP(Calculations[[#This Row],[Waste 1]],WasteScenario[#All],2,FALSE),0)</f>
        <v>0</v>
      </c>
      <c r="AA640" s="322">
        <f>IFERROR((VLOOKUP(Calculations[[#This Row],[Waste type 2]],WasteDisposalEmissions[#All],3,FALSE))*Calculations[[#This Row],[Total Kg]]*VLOOKUP(Calculations[[#This Row],[Waste 1]],WasteScenario[#All],3,FALSE),0)</f>
        <v>0</v>
      </c>
      <c r="AB640" s="322">
        <f>SUM(Calculations[[#This Row],[C3 recyc]:[C3 incin]])</f>
        <v>0</v>
      </c>
      <c r="AC640" s="334">
        <f>IFERROR((VLOOKUP(Calculations[[#This Row],[Waste type 2]],WasteLandfillEmissions[#All],2,FALSE))*Calculations[[#This Row],[Total Kg]]*VLOOKUP(Calculations[[#This Row],[Waste 1]],WasteScenario[#All],4,FALSE),0)</f>
        <v>0</v>
      </c>
      <c r="AD640" s="322">
        <f>IFERROR((VLOOKUP(Calculations[[#This Row],[Waste type 2]],WasteLandfillEmissions[#All],3,FALSE))*Calculations[[#This Row],[Total Kg]]*VLOOKUP(Calculations[[#This Row],[Waste 1]],WasteScenario[#All],4,FALSE),0)</f>
        <v>0</v>
      </c>
      <c r="AE640" s="322">
        <f>SUM(Calculations[[#This Row],[C4 landfill]:[C4 re-use]])</f>
        <v>0</v>
      </c>
      <c r="AF640" s="322">
        <f>IFERROR(VLOOKUP(Calculations[[#This Row],[Material (choose from dropdown]],MaterialData[#All],8,FALSE),0)</f>
        <v>0</v>
      </c>
      <c r="AG640" s="322">
        <f>IFERROR(Calculations[[#This Row],[Total Kg]]*Calculations[[#This Row],[Seq factor]],0)</f>
        <v>0</v>
      </c>
      <c r="AI640" s="322">
        <f>Calculations[[#This Row],[A1-3]]+Calculations[[#This Row],[A4]]+Calculations[[#This Row],[A5]]+Calculations[[#This Row],[B4]]+Calculations[[#This Row],[C2 total]]+Calculations[[#This Row],[C3 total]]+Calculations[[#This Row],[C4 total]]</f>
        <v>0</v>
      </c>
      <c r="AJ640" s="2">
        <f>IFERROR(VLOOKUP(Calculations[[#This Row],[Material (choose from dropdown]],MaterialData[[#Headers],[#Data]],9,FALSE),0)</f>
        <v>0</v>
      </c>
      <c r="AK640" s="4">
        <f>IFERROR(VLOOKUP(Calculations[[#This Row],[Material (choose from dropdown]],MaterialData[[#Headers],[#Data]],10,FALSE),0)</f>
        <v>0</v>
      </c>
      <c r="AL640" s="322">
        <f>IFERROR(Calculations[[#This Row],[Data Quality Score]]*Calculations[[#This Row],[Total Kg]],0)</f>
        <v>0</v>
      </c>
    </row>
    <row r="641" spans="1:38" x14ac:dyDescent="0.3">
      <c r="A641" s="6">
        <f>IFERROR(MaterialsBoQ[[#This Row],[Scope Element]],0)</f>
        <v>0</v>
      </c>
      <c r="B641" t="str">
        <f>IFERROR(MaterialsBoQ[[#This Row],[Material ]],"")</f>
        <v/>
      </c>
      <c r="C641" t="str">
        <f>IFERROR(MaterialsBoQ[[#This Row],[Unit]],"")</f>
        <v/>
      </c>
      <c r="D641" s="322">
        <f>IFERROR(MaterialsBoQ[[#This Row],[Number]],0)</f>
        <v>0</v>
      </c>
      <c r="E641" s="322">
        <f>IFERROR(MaterialsBoQ[[#This Row],[Kg per unit]],0)</f>
        <v>0</v>
      </c>
      <c r="F641" s="322">
        <f>IFERROR(Calculations[[#This Row],[Number]]*Calculations[[#This Row],[Conversion factor]],0)</f>
        <v>0</v>
      </c>
      <c r="G641" s="322">
        <f>IFERROR(VLOOKUP(Calculations[[#This Row],[Material (choose from dropdown]],MaterialData[#All],7,FALSE),0)</f>
        <v>0</v>
      </c>
      <c r="H641" s="322">
        <f>Calculations[[#This Row],[Total Kg]]*Calculations[[#This Row],[Carbon Factor]]</f>
        <v>0</v>
      </c>
      <c r="I641" t="str">
        <f>IFERROR(VLOOKUP(Calculations[[#This Row],[Material (choose from dropdown]],MaterialData[#All],2,FALSE),"")</f>
        <v/>
      </c>
      <c r="J641" s="322">
        <f>IFERROR(((VLOOKUP(Calculations[[#This Row],[TransportSource]],TransportDistance[],2,FALSE)*'Stage assumptions'!$C$11)+VLOOKUP(Calculations[[#This Row],[TransportSource]],TransportDistance[],3,FALSE)*'Stage assumptions'!$C$12)*Calculations[[#This Row],[Total Kg]],0)</f>
        <v>0</v>
      </c>
      <c r="K641">
        <f>IFERROR(VLOOKUP(Calculations[[#This Row],[Material (choose from dropdown]], MaterialData[#All],3, FALSE),0)</f>
        <v>0</v>
      </c>
      <c r="L641" s="322">
        <f>IFERROR(VLOOKUP(Calculations[[#This Row],[A5type]],A5WastageRate[#All],2,FALSE)*Calculations[[#This Row],[A1-3]],0)</f>
        <v>0</v>
      </c>
      <c r="N641">
        <f>IFERROR(ROUNDUP(50/VLOOKUP(Calculations[[#This Row],[Scope Element]],B4referenceServiceLife[[Tier 2 element]:[Default Service Life]],2, FALSE)-1,0),0)</f>
        <v>0</v>
      </c>
      <c r="O641" s="322">
        <f>IFERROR((Calculations[[#This Row],[A1-3]]+Calculations[[#This Row],[A4]]+Calculations[[#This Row],[A5]]+Calculations[[#This Row],[C2 total]]+Calculations[[#This Row],[C3 total]]+Calculations[[#This Row],[C4 total]])*Calculations[[#This Row],[Replacements]],0)</f>
        <v>0</v>
      </c>
      <c r="S641" t="str">
        <f>IFERROR(VLOOKUP(Calculations[[#This Row],[Material (choose from dropdown]],MaterialData[#All],4,FALSE),"")</f>
        <v/>
      </c>
      <c r="T641" s="322" cm="1">
        <f t="array" ref="T641">IFERROR(VLOOKUP(Calculations[[#This Row],[Waste 1]],WasteScenario[#All],2,FALSE)*'Stage assumptions'!$C$225*WasteTransportMethod[Emissions Factor
kgCO2e/kg.km]*Calculations[[#This Row],[Total Kg]],0)</f>
        <v>0</v>
      </c>
      <c r="U641" s="322" cm="1">
        <f t="array" ref="U641">IFERROR(VLOOKUP(Calculations[[#This Row],[Waste 1]],WasteScenario[#All],3,FALSE)*'Stage assumptions'!$C$224*WasteTransportMethod[Emissions Factor
kgCO2e/kg.km]*Calculations[[#This Row],[Total Kg]],0)</f>
        <v>0</v>
      </c>
      <c r="V641" s="322" cm="1">
        <f t="array" ref="V641">IFERROR(VLOOKUP(Calculations[[#This Row],[Waste 1]],WasteScenario[#All],4,FALSE)*'Stage assumptions'!$C$223*WasteTransportMethod[Emissions Factor
kgCO2e/kg.km]*Calculations[[#This Row],[Total Kg]],0)</f>
        <v>0</v>
      </c>
      <c r="W641" s="322" cm="1">
        <f t="array" ref="W641">IFERROR(VLOOKUP(Calculations[[#This Row],[Waste 1]],WasteScenario[#All],5,FALSE)*'Stage assumptions'!$C$226*WasteTransportMethod[Emissions Factor
kgCO2e/kg.km]*Calculations[[#This Row],[Total Kg]],0)</f>
        <v>0</v>
      </c>
      <c r="X641" s="322">
        <f>SUM(Calculations[[#This Row],[C2 Recycle]:[C2 Reuse]])</f>
        <v>0</v>
      </c>
      <c r="Y641" t="str">
        <f>IFERROR(VLOOKUP(Calculations[[#This Row],[Material (choose from dropdown]],MaterialData[#All],5,FALSE),"")</f>
        <v/>
      </c>
      <c r="Z641" s="322">
        <f>IFERROR(((VLOOKUP(Calculations[[#This Row],[Waste type 2]],WasteDisposalEmissions[#All],2,FALSE))*Calculations[[#This Row],[Total Kg]])*VLOOKUP(Calculations[[#This Row],[Waste 1]],WasteScenario[#All],2,FALSE),0)</f>
        <v>0</v>
      </c>
      <c r="AA641" s="322">
        <f>IFERROR((VLOOKUP(Calculations[[#This Row],[Waste type 2]],WasteDisposalEmissions[#All],3,FALSE))*Calculations[[#This Row],[Total Kg]]*VLOOKUP(Calculations[[#This Row],[Waste 1]],WasteScenario[#All],3,FALSE),0)</f>
        <v>0</v>
      </c>
      <c r="AB641" s="322">
        <f>SUM(Calculations[[#This Row],[C3 recyc]:[C3 incin]])</f>
        <v>0</v>
      </c>
      <c r="AC641" s="334">
        <f>IFERROR((VLOOKUP(Calculations[[#This Row],[Waste type 2]],WasteLandfillEmissions[#All],2,FALSE))*Calculations[[#This Row],[Total Kg]]*VLOOKUP(Calculations[[#This Row],[Waste 1]],WasteScenario[#All],4,FALSE),0)</f>
        <v>0</v>
      </c>
      <c r="AD641" s="322">
        <f>IFERROR((VLOOKUP(Calculations[[#This Row],[Waste type 2]],WasteLandfillEmissions[#All],3,FALSE))*Calculations[[#This Row],[Total Kg]]*VLOOKUP(Calculations[[#This Row],[Waste 1]],WasteScenario[#All],4,FALSE),0)</f>
        <v>0</v>
      </c>
      <c r="AE641" s="322">
        <f>SUM(Calculations[[#This Row],[C4 landfill]:[C4 re-use]])</f>
        <v>0</v>
      </c>
      <c r="AF641" s="322">
        <f>IFERROR(VLOOKUP(Calculations[[#This Row],[Material (choose from dropdown]],MaterialData[#All],8,FALSE),0)</f>
        <v>0</v>
      </c>
      <c r="AG641" s="322">
        <f>IFERROR(Calculations[[#This Row],[Total Kg]]*Calculations[[#This Row],[Seq factor]],0)</f>
        <v>0</v>
      </c>
      <c r="AI641" s="322">
        <f>Calculations[[#This Row],[A1-3]]+Calculations[[#This Row],[A4]]+Calculations[[#This Row],[A5]]+Calculations[[#This Row],[B4]]+Calculations[[#This Row],[C2 total]]+Calculations[[#This Row],[C3 total]]+Calculations[[#This Row],[C4 total]]</f>
        <v>0</v>
      </c>
      <c r="AJ641" s="2">
        <f>IFERROR(VLOOKUP(Calculations[[#This Row],[Material (choose from dropdown]],MaterialData[[#Headers],[#Data]],9,FALSE),0)</f>
        <v>0</v>
      </c>
      <c r="AK641" s="4">
        <f>IFERROR(VLOOKUP(Calculations[[#This Row],[Material (choose from dropdown]],MaterialData[[#Headers],[#Data]],10,FALSE),0)</f>
        <v>0</v>
      </c>
      <c r="AL641" s="322">
        <f>IFERROR(Calculations[[#This Row],[Data Quality Score]]*Calculations[[#This Row],[Total Kg]],0)</f>
        <v>0</v>
      </c>
    </row>
    <row r="642" spans="1:38" x14ac:dyDescent="0.3">
      <c r="A642" s="6">
        <f>IFERROR(MaterialsBoQ[[#This Row],[Scope Element]],0)</f>
        <v>0</v>
      </c>
      <c r="B642" t="str">
        <f>IFERROR(MaterialsBoQ[[#This Row],[Material ]],"")</f>
        <v/>
      </c>
      <c r="C642" t="str">
        <f>IFERROR(MaterialsBoQ[[#This Row],[Unit]],"")</f>
        <v/>
      </c>
      <c r="D642" s="322">
        <f>IFERROR(MaterialsBoQ[[#This Row],[Number]],0)</f>
        <v>0</v>
      </c>
      <c r="E642" s="322">
        <f>IFERROR(MaterialsBoQ[[#This Row],[Kg per unit]],0)</f>
        <v>0</v>
      </c>
      <c r="F642" s="322">
        <f>IFERROR(Calculations[[#This Row],[Number]]*Calculations[[#This Row],[Conversion factor]],0)</f>
        <v>0</v>
      </c>
      <c r="G642" s="322">
        <f>IFERROR(VLOOKUP(Calculations[[#This Row],[Material (choose from dropdown]],MaterialData[#All],7,FALSE),0)</f>
        <v>0</v>
      </c>
      <c r="H642" s="322">
        <f>Calculations[[#This Row],[Total Kg]]*Calculations[[#This Row],[Carbon Factor]]</f>
        <v>0</v>
      </c>
      <c r="I642" t="str">
        <f>IFERROR(VLOOKUP(Calculations[[#This Row],[Material (choose from dropdown]],MaterialData[#All],2,FALSE),"")</f>
        <v/>
      </c>
      <c r="J642" s="322">
        <f>IFERROR(((VLOOKUP(Calculations[[#This Row],[TransportSource]],TransportDistance[],2,FALSE)*'Stage assumptions'!$C$11)+VLOOKUP(Calculations[[#This Row],[TransportSource]],TransportDistance[],3,FALSE)*'Stage assumptions'!$C$12)*Calculations[[#This Row],[Total Kg]],0)</f>
        <v>0</v>
      </c>
      <c r="K642">
        <f>IFERROR(VLOOKUP(Calculations[[#This Row],[Material (choose from dropdown]], MaterialData[#All],3, FALSE),0)</f>
        <v>0</v>
      </c>
      <c r="L642" s="322">
        <f>IFERROR(VLOOKUP(Calculations[[#This Row],[A5type]],A5WastageRate[#All],2,FALSE)*Calculations[[#This Row],[A1-3]],0)</f>
        <v>0</v>
      </c>
      <c r="N642">
        <f>IFERROR(ROUNDUP(50/VLOOKUP(Calculations[[#This Row],[Scope Element]],B4referenceServiceLife[[Tier 2 element]:[Default Service Life]],2, FALSE)-1,0),0)</f>
        <v>0</v>
      </c>
      <c r="O642" s="322">
        <f>IFERROR((Calculations[[#This Row],[A1-3]]+Calculations[[#This Row],[A4]]+Calculations[[#This Row],[A5]]+Calculations[[#This Row],[C2 total]]+Calculations[[#This Row],[C3 total]]+Calculations[[#This Row],[C4 total]])*Calculations[[#This Row],[Replacements]],0)</f>
        <v>0</v>
      </c>
      <c r="S642" t="str">
        <f>IFERROR(VLOOKUP(Calculations[[#This Row],[Material (choose from dropdown]],MaterialData[#All],4,FALSE),"")</f>
        <v/>
      </c>
      <c r="T642" s="322" cm="1">
        <f t="array" ref="T642">IFERROR(VLOOKUP(Calculations[[#This Row],[Waste 1]],WasteScenario[#All],2,FALSE)*'Stage assumptions'!$C$225*WasteTransportMethod[Emissions Factor
kgCO2e/kg.km]*Calculations[[#This Row],[Total Kg]],0)</f>
        <v>0</v>
      </c>
      <c r="U642" s="322" cm="1">
        <f t="array" ref="U642">IFERROR(VLOOKUP(Calculations[[#This Row],[Waste 1]],WasteScenario[#All],3,FALSE)*'Stage assumptions'!$C$224*WasteTransportMethod[Emissions Factor
kgCO2e/kg.km]*Calculations[[#This Row],[Total Kg]],0)</f>
        <v>0</v>
      </c>
      <c r="V642" s="322" cm="1">
        <f t="array" ref="V642">IFERROR(VLOOKUP(Calculations[[#This Row],[Waste 1]],WasteScenario[#All],4,FALSE)*'Stage assumptions'!$C$223*WasteTransportMethod[Emissions Factor
kgCO2e/kg.km]*Calculations[[#This Row],[Total Kg]],0)</f>
        <v>0</v>
      </c>
      <c r="W642" s="322" cm="1">
        <f t="array" ref="W642">IFERROR(VLOOKUP(Calculations[[#This Row],[Waste 1]],WasteScenario[#All],5,FALSE)*'Stage assumptions'!$C$226*WasteTransportMethod[Emissions Factor
kgCO2e/kg.km]*Calculations[[#This Row],[Total Kg]],0)</f>
        <v>0</v>
      </c>
      <c r="X642" s="322">
        <f>SUM(Calculations[[#This Row],[C2 Recycle]:[C2 Reuse]])</f>
        <v>0</v>
      </c>
      <c r="Y642" t="str">
        <f>IFERROR(VLOOKUP(Calculations[[#This Row],[Material (choose from dropdown]],MaterialData[#All],5,FALSE),"")</f>
        <v/>
      </c>
      <c r="Z642" s="322">
        <f>IFERROR(((VLOOKUP(Calculations[[#This Row],[Waste type 2]],WasteDisposalEmissions[#All],2,FALSE))*Calculations[[#This Row],[Total Kg]])*VLOOKUP(Calculations[[#This Row],[Waste 1]],WasteScenario[#All],2,FALSE),0)</f>
        <v>0</v>
      </c>
      <c r="AA642" s="322">
        <f>IFERROR((VLOOKUP(Calculations[[#This Row],[Waste type 2]],WasteDisposalEmissions[#All],3,FALSE))*Calculations[[#This Row],[Total Kg]]*VLOOKUP(Calculations[[#This Row],[Waste 1]],WasteScenario[#All],3,FALSE),0)</f>
        <v>0</v>
      </c>
      <c r="AB642" s="322">
        <f>SUM(Calculations[[#This Row],[C3 recyc]:[C3 incin]])</f>
        <v>0</v>
      </c>
      <c r="AC642" s="334">
        <f>IFERROR((VLOOKUP(Calculations[[#This Row],[Waste type 2]],WasteLandfillEmissions[#All],2,FALSE))*Calculations[[#This Row],[Total Kg]]*VLOOKUP(Calculations[[#This Row],[Waste 1]],WasteScenario[#All],4,FALSE),0)</f>
        <v>0</v>
      </c>
      <c r="AD642" s="322">
        <f>IFERROR((VLOOKUP(Calculations[[#This Row],[Waste type 2]],WasteLandfillEmissions[#All],3,FALSE))*Calculations[[#This Row],[Total Kg]]*VLOOKUP(Calculations[[#This Row],[Waste 1]],WasteScenario[#All],4,FALSE),0)</f>
        <v>0</v>
      </c>
      <c r="AE642" s="322">
        <f>SUM(Calculations[[#This Row],[C4 landfill]:[C4 re-use]])</f>
        <v>0</v>
      </c>
      <c r="AF642" s="322">
        <f>IFERROR(VLOOKUP(Calculations[[#This Row],[Material (choose from dropdown]],MaterialData[#All],8,FALSE),0)</f>
        <v>0</v>
      </c>
      <c r="AG642" s="322">
        <f>IFERROR(Calculations[[#This Row],[Total Kg]]*Calculations[[#This Row],[Seq factor]],0)</f>
        <v>0</v>
      </c>
      <c r="AI642" s="322">
        <f>Calculations[[#This Row],[A1-3]]+Calculations[[#This Row],[A4]]+Calculations[[#This Row],[A5]]+Calculations[[#This Row],[B4]]+Calculations[[#This Row],[C2 total]]+Calculations[[#This Row],[C3 total]]+Calculations[[#This Row],[C4 total]]</f>
        <v>0</v>
      </c>
      <c r="AJ642" s="2">
        <f>IFERROR(VLOOKUP(Calculations[[#This Row],[Material (choose from dropdown]],MaterialData[[#Headers],[#Data]],9,FALSE),0)</f>
        <v>0</v>
      </c>
      <c r="AK642" s="4">
        <f>IFERROR(VLOOKUP(Calculations[[#This Row],[Material (choose from dropdown]],MaterialData[[#Headers],[#Data]],10,FALSE),0)</f>
        <v>0</v>
      </c>
      <c r="AL642" s="322">
        <f>IFERROR(Calculations[[#This Row],[Data Quality Score]]*Calculations[[#This Row],[Total Kg]],0)</f>
        <v>0</v>
      </c>
    </row>
    <row r="643" spans="1:38" x14ac:dyDescent="0.3">
      <c r="A643" s="6">
        <f>IFERROR(MaterialsBoQ[[#This Row],[Scope Element]],0)</f>
        <v>0</v>
      </c>
      <c r="B643" t="str">
        <f>IFERROR(MaterialsBoQ[[#This Row],[Material ]],"")</f>
        <v/>
      </c>
      <c r="C643" t="str">
        <f>IFERROR(MaterialsBoQ[[#This Row],[Unit]],"")</f>
        <v/>
      </c>
      <c r="D643" s="322">
        <f>IFERROR(MaterialsBoQ[[#This Row],[Number]],0)</f>
        <v>0</v>
      </c>
      <c r="E643" s="322">
        <f>IFERROR(MaterialsBoQ[[#This Row],[Kg per unit]],0)</f>
        <v>0</v>
      </c>
      <c r="F643" s="322">
        <f>IFERROR(Calculations[[#This Row],[Number]]*Calculations[[#This Row],[Conversion factor]],0)</f>
        <v>0</v>
      </c>
      <c r="G643" s="322">
        <f>IFERROR(VLOOKUP(Calculations[[#This Row],[Material (choose from dropdown]],MaterialData[#All],7,FALSE),0)</f>
        <v>0</v>
      </c>
      <c r="H643" s="322">
        <f>Calculations[[#This Row],[Total Kg]]*Calculations[[#This Row],[Carbon Factor]]</f>
        <v>0</v>
      </c>
      <c r="I643" t="str">
        <f>IFERROR(VLOOKUP(Calculations[[#This Row],[Material (choose from dropdown]],MaterialData[#All],2,FALSE),"")</f>
        <v/>
      </c>
      <c r="J643" s="322">
        <f>IFERROR(((VLOOKUP(Calculations[[#This Row],[TransportSource]],TransportDistance[],2,FALSE)*'Stage assumptions'!$C$11)+VLOOKUP(Calculations[[#This Row],[TransportSource]],TransportDistance[],3,FALSE)*'Stage assumptions'!$C$12)*Calculations[[#This Row],[Total Kg]],0)</f>
        <v>0</v>
      </c>
      <c r="K643">
        <f>IFERROR(VLOOKUP(Calculations[[#This Row],[Material (choose from dropdown]], MaterialData[#All],3, FALSE),0)</f>
        <v>0</v>
      </c>
      <c r="L643" s="322">
        <f>IFERROR(VLOOKUP(Calculations[[#This Row],[A5type]],A5WastageRate[#All],2,FALSE)*Calculations[[#This Row],[A1-3]],0)</f>
        <v>0</v>
      </c>
      <c r="N643">
        <f>IFERROR(ROUNDUP(50/VLOOKUP(Calculations[[#This Row],[Scope Element]],B4referenceServiceLife[[Tier 2 element]:[Default Service Life]],2, FALSE)-1,0),0)</f>
        <v>0</v>
      </c>
      <c r="O643" s="322">
        <f>IFERROR((Calculations[[#This Row],[A1-3]]+Calculations[[#This Row],[A4]]+Calculations[[#This Row],[A5]]+Calculations[[#This Row],[C2 total]]+Calculations[[#This Row],[C3 total]]+Calculations[[#This Row],[C4 total]])*Calculations[[#This Row],[Replacements]],0)</f>
        <v>0</v>
      </c>
      <c r="S643" t="str">
        <f>IFERROR(VLOOKUP(Calculations[[#This Row],[Material (choose from dropdown]],MaterialData[#All],4,FALSE),"")</f>
        <v/>
      </c>
      <c r="T643" s="322" cm="1">
        <f t="array" ref="T643">IFERROR(VLOOKUP(Calculations[[#This Row],[Waste 1]],WasteScenario[#All],2,FALSE)*'Stage assumptions'!$C$225*WasteTransportMethod[Emissions Factor
kgCO2e/kg.km]*Calculations[[#This Row],[Total Kg]],0)</f>
        <v>0</v>
      </c>
      <c r="U643" s="322" cm="1">
        <f t="array" ref="U643">IFERROR(VLOOKUP(Calculations[[#This Row],[Waste 1]],WasteScenario[#All],3,FALSE)*'Stage assumptions'!$C$224*WasteTransportMethod[Emissions Factor
kgCO2e/kg.km]*Calculations[[#This Row],[Total Kg]],0)</f>
        <v>0</v>
      </c>
      <c r="V643" s="322" cm="1">
        <f t="array" ref="V643">IFERROR(VLOOKUP(Calculations[[#This Row],[Waste 1]],WasteScenario[#All],4,FALSE)*'Stage assumptions'!$C$223*WasteTransportMethod[Emissions Factor
kgCO2e/kg.km]*Calculations[[#This Row],[Total Kg]],0)</f>
        <v>0</v>
      </c>
      <c r="W643" s="322" cm="1">
        <f t="array" ref="W643">IFERROR(VLOOKUP(Calculations[[#This Row],[Waste 1]],WasteScenario[#All],5,FALSE)*'Stage assumptions'!$C$226*WasteTransportMethod[Emissions Factor
kgCO2e/kg.km]*Calculations[[#This Row],[Total Kg]],0)</f>
        <v>0</v>
      </c>
      <c r="X643" s="322">
        <f>SUM(Calculations[[#This Row],[C2 Recycle]:[C2 Reuse]])</f>
        <v>0</v>
      </c>
      <c r="Y643" t="str">
        <f>IFERROR(VLOOKUP(Calculations[[#This Row],[Material (choose from dropdown]],MaterialData[#All],5,FALSE),"")</f>
        <v/>
      </c>
      <c r="Z643" s="322">
        <f>IFERROR(((VLOOKUP(Calculations[[#This Row],[Waste type 2]],WasteDisposalEmissions[#All],2,FALSE))*Calculations[[#This Row],[Total Kg]])*VLOOKUP(Calculations[[#This Row],[Waste 1]],WasteScenario[#All],2,FALSE),0)</f>
        <v>0</v>
      </c>
      <c r="AA643" s="322">
        <f>IFERROR((VLOOKUP(Calculations[[#This Row],[Waste type 2]],WasteDisposalEmissions[#All],3,FALSE))*Calculations[[#This Row],[Total Kg]]*VLOOKUP(Calculations[[#This Row],[Waste 1]],WasteScenario[#All],3,FALSE),0)</f>
        <v>0</v>
      </c>
      <c r="AB643" s="322">
        <f>SUM(Calculations[[#This Row],[C3 recyc]:[C3 incin]])</f>
        <v>0</v>
      </c>
      <c r="AC643" s="334">
        <f>IFERROR((VLOOKUP(Calculations[[#This Row],[Waste type 2]],WasteLandfillEmissions[#All],2,FALSE))*Calculations[[#This Row],[Total Kg]]*VLOOKUP(Calculations[[#This Row],[Waste 1]],WasteScenario[#All],4,FALSE),0)</f>
        <v>0</v>
      </c>
      <c r="AD643" s="322">
        <f>IFERROR((VLOOKUP(Calculations[[#This Row],[Waste type 2]],WasteLandfillEmissions[#All],3,FALSE))*Calculations[[#This Row],[Total Kg]]*VLOOKUP(Calculations[[#This Row],[Waste 1]],WasteScenario[#All],4,FALSE),0)</f>
        <v>0</v>
      </c>
      <c r="AE643" s="322">
        <f>SUM(Calculations[[#This Row],[C4 landfill]:[C4 re-use]])</f>
        <v>0</v>
      </c>
      <c r="AF643" s="322">
        <f>IFERROR(VLOOKUP(Calculations[[#This Row],[Material (choose from dropdown]],MaterialData[#All],8,FALSE),0)</f>
        <v>0</v>
      </c>
      <c r="AG643" s="322">
        <f>IFERROR(Calculations[[#This Row],[Total Kg]]*Calculations[[#This Row],[Seq factor]],0)</f>
        <v>0</v>
      </c>
      <c r="AI643" s="322">
        <f>Calculations[[#This Row],[A1-3]]+Calculations[[#This Row],[A4]]+Calculations[[#This Row],[A5]]+Calculations[[#This Row],[B4]]+Calculations[[#This Row],[C2 total]]+Calculations[[#This Row],[C3 total]]+Calculations[[#This Row],[C4 total]]</f>
        <v>0</v>
      </c>
      <c r="AJ643" s="2">
        <f>IFERROR(VLOOKUP(Calculations[[#This Row],[Material (choose from dropdown]],MaterialData[[#Headers],[#Data]],9,FALSE),0)</f>
        <v>0</v>
      </c>
      <c r="AK643" s="4">
        <f>IFERROR(VLOOKUP(Calculations[[#This Row],[Material (choose from dropdown]],MaterialData[[#Headers],[#Data]],10,FALSE),0)</f>
        <v>0</v>
      </c>
      <c r="AL643" s="322">
        <f>IFERROR(Calculations[[#This Row],[Data Quality Score]]*Calculations[[#This Row],[Total Kg]],0)</f>
        <v>0</v>
      </c>
    </row>
    <row r="644" spans="1:38" x14ac:dyDescent="0.3">
      <c r="A644" s="6">
        <f>IFERROR(MaterialsBoQ[[#This Row],[Scope Element]],0)</f>
        <v>0</v>
      </c>
      <c r="B644" t="str">
        <f>IFERROR(MaterialsBoQ[[#This Row],[Material ]],"")</f>
        <v/>
      </c>
      <c r="C644" t="str">
        <f>IFERROR(MaterialsBoQ[[#This Row],[Unit]],"")</f>
        <v/>
      </c>
      <c r="D644" s="322">
        <f>IFERROR(MaterialsBoQ[[#This Row],[Number]],0)</f>
        <v>0</v>
      </c>
      <c r="E644" s="322">
        <f>IFERROR(MaterialsBoQ[[#This Row],[Kg per unit]],0)</f>
        <v>0</v>
      </c>
      <c r="F644" s="322">
        <f>IFERROR(Calculations[[#This Row],[Number]]*Calculations[[#This Row],[Conversion factor]],0)</f>
        <v>0</v>
      </c>
      <c r="G644" s="322">
        <f>IFERROR(VLOOKUP(Calculations[[#This Row],[Material (choose from dropdown]],MaterialData[#All],7,FALSE),0)</f>
        <v>0</v>
      </c>
      <c r="H644" s="322">
        <f>Calculations[[#This Row],[Total Kg]]*Calculations[[#This Row],[Carbon Factor]]</f>
        <v>0</v>
      </c>
      <c r="I644" t="str">
        <f>IFERROR(VLOOKUP(Calculations[[#This Row],[Material (choose from dropdown]],MaterialData[#All],2,FALSE),"")</f>
        <v/>
      </c>
      <c r="J644" s="322">
        <f>IFERROR(((VLOOKUP(Calculations[[#This Row],[TransportSource]],TransportDistance[],2,FALSE)*'Stage assumptions'!$C$11)+VLOOKUP(Calculations[[#This Row],[TransportSource]],TransportDistance[],3,FALSE)*'Stage assumptions'!$C$12)*Calculations[[#This Row],[Total Kg]],0)</f>
        <v>0</v>
      </c>
      <c r="K644">
        <f>IFERROR(VLOOKUP(Calculations[[#This Row],[Material (choose from dropdown]], MaterialData[#All],3, FALSE),0)</f>
        <v>0</v>
      </c>
      <c r="L644" s="322">
        <f>IFERROR(VLOOKUP(Calculations[[#This Row],[A5type]],A5WastageRate[#All],2,FALSE)*Calculations[[#This Row],[A1-3]],0)</f>
        <v>0</v>
      </c>
      <c r="N644">
        <f>IFERROR(ROUNDUP(50/VLOOKUP(Calculations[[#This Row],[Scope Element]],B4referenceServiceLife[[Tier 2 element]:[Default Service Life]],2, FALSE)-1,0),0)</f>
        <v>0</v>
      </c>
      <c r="O644" s="322">
        <f>IFERROR((Calculations[[#This Row],[A1-3]]+Calculations[[#This Row],[A4]]+Calculations[[#This Row],[A5]]+Calculations[[#This Row],[C2 total]]+Calculations[[#This Row],[C3 total]]+Calculations[[#This Row],[C4 total]])*Calculations[[#This Row],[Replacements]],0)</f>
        <v>0</v>
      </c>
      <c r="S644" t="str">
        <f>IFERROR(VLOOKUP(Calculations[[#This Row],[Material (choose from dropdown]],MaterialData[#All],4,FALSE),"")</f>
        <v/>
      </c>
      <c r="T644" s="322" cm="1">
        <f t="array" ref="T644">IFERROR(VLOOKUP(Calculations[[#This Row],[Waste 1]],WasteScenario[#All],2,FALSE)*'Stage assumptions'!$C$225*WasteTransportMethod[Emissions Factor
kgCO2e/kg.km]*Calculations[[#This Row],[Total Kg]],0)</f>
        <v>0</v>
      </c>
      <c r="U644" s="322" cm="1">
        <f t="array" ref="U644">IFERROR(VLOOKUP(Calculations[[#This Row],[Waste 1]],WasteScenario[#All],3,FALSE)*'Stage assumptions'!$C$224*WasteTransportMethod[Emissions Factor
kgCO2e/kg.km]*Calculations[[#This Row],[Total Kg]],0)</f>
        <v>0</v>
      </c>
      <c r="V644" s="322" cm="1">
        <f t="array" ref="V644">IFERROR(VLOOKUP(Calculations[[#This Row],[Waste 1]],WasteScenario[#All],4,FALSE)*'Stage assumptions'!$C$223*WasteTransportMethod[Emissions Factor
kgCO2e/kg.km]*Calculations[[#This Row],[Total Kg]],0)</f>
        <v>0</v>
      </c>
      <c r="W644" s="322" cm="1">
        <f t="array" ref="W644">IFERROR(VLOOKUP(Calculations[[#This Row],[Waste 1]],WasteScenario[#All],5,FALSE)*'Stage assumptions'!$C$226*WasteTransportMethod[Emissions Factor
kgCO2e/kg.km]*Calculations[[#This Row],[Total Kg]],0)</f>
        <v>0</v>
      </c>
      <c r="X644" s="322">
        <f>SUM(Calculations[[#This Row],[C2 Recycle]:[C2 Reuse]])</f>
        <v>0</v>
      </c>
      <c r="Y644" t="str">
        <f>IFERROR(VLOOKUP(Calculations[[#This Row],[Material (choose from dropdown]],MaterialData[#All],5,FALSE),"")</f>
        <v/>
      </c>
      <c r="Z644" s="322">
        <f>IFERROR(((VLOOKUP(Calculations[[#This Row],[Waste type 2]],WasteDisposalEmissions[#All],2,FALSE))*Calculations[[#This Row],[Total Kg]])*VLOOKUP(Calculations[[#This Row],[Waste 1]],WasteScenario[#All],2,FALSE),0)</f>
        <v>0</v>
      </c>
      <c r="AA644" s="322">
        <f>IFERROR((VLOOKUP(Calculations[[#This Row],[Waste type 2]],WasteDisposalEmissions[#All],3,FALSE))*Calculations[[#This Row],[Total Kg]]*VLOOKUP(Calculations[[#This Row],[Waste 1]],WasteScenario[#All],3,FALSE),0)</f>
        <v>0</v>
      </c>
      <c r="AB644" s="322">
        <f>SUM(Calculations[[#This Row],[C3 recyc]:[C3 incin]])</f>
        <v>0</v>
      </c>
      <c r="AC644" s="334">
        <f>IFERROR((VLOOKUP(Calculations[[#This Row],[Waste type 2]],WasteLandfillEmissions[#All],2,FALSE))*Calculations[[#This Row],[Total Kg]]*VLOOKUP(Calculations[[#This Row],[Waste 1]],WasteScenario[#All],4,FALSE),0)</f>
        <v>0</v>
      </c>
      <c r="AD644" s="322">
        <f>IFERROR((VLOOKUP(Calculations[[#This Row],[Waste type 2]],WasteLandfillEmissions[#All],3,FALSE))*Calculations[[#This Row],[Total Kg]]*VLOOKUP(Calculations[[#This Row],[Waste 1]],WasteScenario[#All],4,FALSE),0)</f>
        <v>0</v>
      </c>
      <c r="AE644" s="322">
        <f>SUM(Calculations[[#This Row],[C4 landfill]:[C4 re-use]])</f>
        <v>0</v>
      </c>
      <c r="AF644" s="322">
        <f>IFERROR(VLOOKUP(Calculations[[#This Row],[Material (choose from dropdown]],MaterialData[#All],8,FALSE),0)</f>
        <v>0</v>
      </c>
      <c r="AG644" s="322">
        <f>IFERROR(Calculations[[#This Row],[Total Kg]]*Calculations[[#This Row],[Seq factor]],0)</f>
        <v>0</v>
      </c>
      <c r="AI644" s="322">
        <f>Calculations[[#This Row],[A1-3]]+Calculations[[#This Row],[A4]]+Calculations[[#This Row],[A5]]+Calculations[[#This Row],[B4]]+Calculations[[#This Row],[C2 total]]+Calculations[[#This Row],[C3 total]]+Calculations[[#This Row],[C4 total]]</f>
        <v>0</v>
      </c>
      <c r="AJ644" s="2">
        <f>IFERROR(VLOOKUP(Calculations[[#This Row],[Material (choose from dropdown]],MaterialData[[#Headers],[#Data]],9,FALSE),0)</f>
        <v>0</v>
      </c>
      <c r="AK644" s="4">
        <f>IFERROR(VLOOKUP(Calculations[[#This Row],[Material (choose from dropdown]],MaterialData[[#Headers],[#Data]],10,FALSE),0)</f>
        <v>0</v>
      </c>
      <c r="AL644" s="322">
        <f>IFERROR(Calculations[[#This Row],[Data Quality Score]]*Calculations[[#This Row],[Total Kg]],0)</f>
        <v>0</v>
      </c>
    </row>
    <row r="645" spans="1:38" x14ac:dyDescent="0.3">
      <c r="A645" s="6">
        <f>IFERROR(MaterialsBoQ[[#This Row],[Scope Element]],0)</f>
        <v>0</v>
      </c>
      <c r="B645" t="str">
        <f>IFERROR(MaterialsBoQ[[#This Row],[Material ]],"")</f>
        <v/>
      </c>
      <c r="C645" t="str">
        <f>IFERROR(MaterialsBoQ[[#This Row],[Unit]],"")</f>
        <v/>
      </c>
      <c r="D645" s="322">
        <f>IFERROR(MaterialsBoQ[[#This Row],[Number]],0)</f>
        <v>0</v>
      </c>
      <c r="E645" s="322">
        <f>IFERROR(MaterialsBoQ[[#This Row],[Kg per unit]],0)</f>
        <v>0</v>
      </c>
      <c r="F645" s="322">
        <f>IFERROR(Calculations[[#This Row],[Number]]*Calculations[[#This Row],[Conversion factor]],0)</f>
        <v>0</v>
      </c>
      <c r="G645" s="322">
        <f>IFERROR(VLOOKUP(Calculations[[#This Row],[Material (choose from dropdown]],MaterialData[#All],7,FALSE),0)</f>
        <v>0</v>
      </c>
      <c r="H645" s="322">
        <f>Calculations[[#This Row],[Total Kg]]*Calculations[[#This Row],[Carbon Factor]]</f>
        <v>0</v>
      </c>
      <c r="I645" t="str">
        <f>IFERROR(VLOOKUP(Calculations[[#This Row],[Material (choose from dropdown]],MaterialData[#All],2,FALSE),"")</f>
        <v/>
      </c>
      <c r="J645" s="322">
        <f>IFERROR(((VLOOKUP(Calculations[[#This Row],[TransportSource]],TransportDistance[],2,FALSE)*'Stage assumptions'!$C$11)+VLOOKUP(Calculations[[#This Row],[TransportSource]],TransportDistance[],3,FALSE)*'Stage assumptions'!$C$12)*Calculations[[#This Row],[Total Kg]],0)</f>
        <v>0</v>
      </c>
      <c r="K645">
        <f>IFERROR(VLOOKUP(Calculations[[#This Row],[Material (choose from dropdown]], MaterialData[#All],3, FALSE),0)</f>
        <v>0</v>
      </c>
      <c r="L645" s="322">
        <f>IFERROR(VLOOKUP(Calculations[[#This Row],[A5type]],A5WastageRate[#All],2,FALSE)*Calculations[[#This Row],[A1-3]],0)</f>
        <v>0</v>
      </c>
      <c r="N645">
        <f>IFERROR(ROUNDUP(50/VLOOKUP(Calculations[[#This Row],[Scope Element]],B4referenceServiceLife[[Tier 2 element]:[Default Service Life]],2, FALSE)-1,0),0)</f>
        <v>0</v>
      </c>
      <c r="O645" s="322">
        <f>IFERROR((Calculations[[#This Row],[A1-3]]+Calculations[[#This Row],[A4]]+Calculations[[#This Row],[A5]]+Calculations[[#This Row],[C2 total]]+Calculations[[#This Row],[C3 total]]+Calculations[[#This Row],[C4 total]])*Calculations[[#This Row],[Replacements]],0)</f>
        <v>0</v>
      </c>
      <c r="S645" t="str">
        <f>IFERROR(VLOOKUP(Calculations[[#This Row],[Material (choose from dropdown]],MaterialData[#All],4,FALSE),"")</f>
        <v/>
      </c>
      <c r="T645" s="322" cm="1">
        <f t="array" ref="T645">IFERROR(VLOOKUP(Calculations[[#This Row],[Waste 1]],WasteScenario[#All],2,FALSE)*'Stage assumptions'!$C$225*WasteTransportMethod[Emissions Factor
kgCO2e/kg.km]*Calculations[[#This Row],[Total Kg]],0)</f>
        <v>0</v>
      </c>
      <c r="U645" s="322" cm="1">
        <f t="array" ref="U645">IFERROR(VLOOKUP(Calculations[[#This Row],[Waste 1]],WasteScenario[#All],3,FALSE)*'Stage assumptions'!$C$224*WasteTransportMethod[Emissions Factor
kgCO2e/kg.km]*Calculations[[#This Row],[Total Kg]],0)</f>
        <v>0</v>
      </c>
      <c r="V645" s="322" cm="1">
        <f t="array" ref="V645">IFERROR(VLOOKUP(Calculations[[#This Row],[Waste 1]],WasteScenario[#All],4,FALSE)*'Stage assumptions'!$C$223*WasteTransportMethod[Emissions Factor
kgCO2e/kg.km]*Calculations[[#This Row],[Total Kg]],0)</f>
        <v>0</v>
      </c>
      <c r="W645" s="322" cm="1">
        <f t="array" ref="W645">IFERROR(VLOOKUP(Calculations[[#This Row],[Waste 1]],WasteScenario[#All],5,FALSE)*'Stage assumptions'!$C$226*WasteTransportMethod[Emissions Factor
kgCO2e/kg.km]*Calculations[[#This Row],[Total Kg]],0)</f>
        <v>0</v>
      </c>
      <c r="X645" s="322">
        <f>SUM(Calculations[[#This Row],[C2 Recycle]:[C2 Reuse]])</f>
        <v>0</v>
      </c>
      <c r="Y645" t="str">
        <f>IFERROR(VLOOKUP(Calculations[[#This Row],[Material (choose from dropdown]],MaterialData[#All],5,FALSE),"")</f>
        <v/>
      </c>
      <c r="Z645" s="322">
        <f>IFERROR(((VLOOKUP(Calculations[[#This Row],[Waste type 2]],WasteDisposalEmissions[#All],2,FALSE))*Calculations[[#This Row],[Total Kg]])*VLOOKUP(Calculations[[#This Row],[Waste 1]],WasteScenario[#All],2,FALSE),0)</f>
        <v>0</v>
      </c>
      <c r="AA645" s="322">
        <f>IFERROR((VLOOKUP(Calculations[[#This Row],[Waste type 2]],WasteDisposalEmissions[#All],3,FALSE))*Calculations[[#This Row],[Total Kg]]*VLOOKUP(Calculations[[#This Row],[Waste 1]],WasteScenario[#All],3,FALSE),0)</f>
        <v>0</v>
      </c>
      <c r="AB645" s="322">
        <f>SUM(Calculations[[#This Row],[C3 recyc]:[C3 incin]])</f>
        <v>0</v>
      </c>
      <c r="AC645" s="334">
        <f>IFERROR((VLOOKUP(Calculations[[#This Row],[Waste type 2]],WasteLandfillEmissions[#All],2,FALSE))*Calculations[[#This Row],[Total Kg]]*VLOOKUP(Calculations[[#This Row],[Waste 1]],WasteScenario[#All],4,FALSE),0)</f>
        <v>0</v>
      </c>
      <c r="AD645" s="322">
        <f>IFERROR((VLOOKUP(Calculations[[#This Row],[Waste type 2]],WasteLandfillEmissions[#All],3,FALSE))*Calculations[[#This Row],[Total Kg]]*VLOOKUP(Calculations[[#This Row],[Waste 1]],WasteScenario[#All],4,FALSE),0)</f>
        <v>0</v>
      </c>
      <c r="AE645" s="322">
        <f>SUM(Calculations[[#This Row],[C4 landfill]:[C4 re-use]])</f>
        <v>0</v>
      </c>
      <c r="AF645" s="322">
        <f>IFERROR(VLOOKUP(Calculations[[#This Row],[Material (choose from dropdown]],MaterialData[#All],8,FALSE),0)</f>
        <v>0</v>
      </c>
      <c r="AG645" s="322">
        <f>IFERROR(Calculations[[#This Row],[Total Kg]]*Calculations[[#This Row],[Seq factor]],0)</f>
        <v>0</v>
      </c>
      <c r="AI645" s="322">
        <f>Calculations[[#This Row],[A1-3]]+Calculations[[#This Row],[A4]]+Calculations[[#This Row],[A5]]+Calculations[[#This Row],[B4]]+Calculations[[#This Row],[C2 total]]+Calculations[[#This Row],[C3 total]]+Calculations[[#This Row],[C4 total]]</f>
        <v>0</v>
      </c>
      <c r="AJ645" s="2">
        <f>IFERROR(VLOOKUP(Calculations[[#This Row],[Material (choose from dropdown]],MaterialData[[#Headers],[#Data]],9,FALSE),0)</f>
        <v>0</v>
      </c>
      <c r="AK645" s="4">
        <f>IFERROR(VLOOKUP(Calculations[[#This Row],[Material (choose from dropdown]],MaterialData[[#Headers],[#Data]],10,FALSE),0)</f>
        <v>0</v>
      </c>
      <c r="AL645" s="322">
        <f>IFERROR(Calculations[[#This Row],[Data Quality Score]]*Calculations[[#This Row],[Total Kg]],0)</f>
        <v>0</v>
      </c>
    </row>
    <row r="646" spans="1:38" x14ac:dyDescent="0.3">
      <c r="A646" s="6">
        <f>IFERROR(MaterialsBoQ[[#This Row],[Scope Element]],0)</f>
        <v>0</v>
      </c>
      <c r="B646" t="str">
        <f>IFERROR(MaterialsBoQ[[#This Row],[Material ]],"")</f>
        <v/>
      </c>
      <c r="C646" t="str">
        <f>IFERROR(MaterialsBoQ[[#This Row],[Unit]],"")</f>
        <v/>
      </c>
      <c r="D646" s="322">
        <f>IFERROR(MaterialsBoQ[[#This Row],[Number]],0)</f>
        <v>0</v>
      </c>
      <c r="E646" s="322">
        <f>IFERROR(MaterialsBoQ[[#This Row],[Kg per unit]],0)</f>
        <v>0</v>
      </c>
      <c r="F646" s="322">
        <f>IFERROR(Calculations[[#This Row],[Number]]*Calculations[[#This Row],[Conversion factor]],0)</f>
        <v>0</v>
      </c>
      <c r="G646" s="322">
        <f>IFERROR(VLOOKUP(Calculations[[#This Row],[Material (choose from dropdown]],MaterialData[#All],7,FALSE),0)</f>
        <v>0</v>
      </c>
      <c r="H646" s="322">
        <f>Calculations[[#This Row],[Total Kg]]*Calculations[[#This Row],[Carbon Factor]]</f>
        <v>0</v>
      </c>
      <c r="I646" t="str">
        <f>IFERROR(VLOOKUP(Calculations[[#This Row],[Material (choose from dropdown]],MaterialData[#All],2,FALSE),"")</f>
        <v/>
      </c>
      <c r="J646" s="322">
        <f>IFERROR(((VLOOKUP(Calculations[[#This Row],[TransportSource]],TransportDistance[],2,FALSE)*'Stage assumptions'!$C$11)+VLOOKUP(Calculations[[#This Row],[TransportSource]],TransportDistance[],3,FALSE)*'Stage assumptions'!$C$12)*Calculations[[#This Row],[Total Kg]],0)</f>
        <v>0</v>
      </c>
      <c r="K646">
        <f>IFERROR(VLOOKUP(Calculations[[#This Row],[Material (choose from dropdown]], MaterialData[#All],3, FALSE),0)</f>
        <v>0</v>
      </c>
      <c r="L646" s="322">
        <f>IFERROR(VLOOKUP(Calculations[[#This Row],[A5type]],A5WastageRate[#All],2,FALSE)*Calculations[[#This Row],[A1-3]],0)</f>
        <v>0</v>
      </c>
      <c r="N646">
        <f>IFERROR(ROUNDUP(50/VLOOKUP(Calculations[[#This Row],[Scope Element]],B4referenceServiceLife[[Tier 2 element]:[Default Service Life]],2, FALSE)-1,0),0)</f>
        <v>0</v>
      </c>
      <c r="O646" s="322">
        <f>IFERROR((Calculations[[#This Row],[A1-3]]+Calculations[[#This Row],[A4]]+Calculations[[#This Row],[A5]]+Calculations[[#This Row],[C2 total]]+Calculations[[#This Row],[C3 total]]+Calculations[[#This Row],[C4 total]])*Calculations[[#This Row],[Replacements]],0)</f>
        <v>0</v>
      </c>
      <c r="S646" t="str">
        <f>IFERROR(VLOOKUP(Calculations[[#This Row],[Material (choose from dropdown]],MaterialData[#All],4,FALSE),"")</f>
        <v/>
      </c>
      <c r="T646" s="322" cm="1">
        <f t="array" ref="T646">IFERROR(VLOOKUP(Calculations[[#This Row],[Waste 1]],WasteScenario[#All],2,FALSE)*'Stage assumptions'!$C$225*WasteTransportMethod[Emissions Factor
kgCO2e/kg.km]*Calculations[[#This Row],[Total Kg]],0)</f>
        <v>0</v>
      </c>
      <c r="U646" s="322" cm="1">
        <f t="array" ref="U646">IFERROR(VLOOKUP(Calculations[[#This Row],[Waste 1]],WasteScenario[#All],3,FALSE)*'Stage assumptions'!$C$224*WasteTransportMethod[Emissions Factor
kgCO2e/kg.km]*Calculations[[#This Row],[Total Kg]],0)</f>
        <v>0</v>
      </c>
      <c r="V646" s="322" cm="1">
        <f t="array" ref="V646">IFERROR(VLOOKUP(Calculations[[#This Row],[Waste 1]],WasteScenario[#All],4,FALSE)*'Stage assumptions'!$C$223*WasteTransportMethod[Emissions Factor
kgCO2e/kg.km]*Calculations[[#This Row],[Total Kg]],0)</f>
        <v>0</v>
      </c>
      <c r="W646" s="322" cm="1">
        <f t="array" ref="W646">IFERROR(VLOOKUP(Calculations[[#This Row],[Waste 1]],WasteScenario[#All],5,FALSE)*'Stage assumptions'!$C$226*WasteTransportMethod[Emissions Factor
kgCO2e/kg.km]*Calculations[[#This Row],[Total Kg]],0)</f>
        <v>0</v>
      </c>
      <c r="X646" s="322">
        <f>SUM(Calculations[[#This Row],[C2 Recycle]:[C2 Reuse]])</f>
        <v>0</v>
      </c>
      <c r="Y646" t="str">
        <f>IFERROR(VLOOKUP(Calculations[[#This Row],[Material (choose from dropdown]],MaterialData[#All],5,FALSE),"")</f>
        <v/>
      </c>
      <c r="Z646" s="322">
        <f>IFERROR(((VLOOKUP(Calculations[[#This Row],[Waste type 2]],WasteDisposalEmissions[#All],2,FALSE))*Calculations[[#This Row],[Total Kg]])*VLOOKUP(Calculations[[#This Row],[Waste 1]],WasteScenario[#All],2,FALSE),0)</f>
        <v>0</v>
      </c>
      <c r="AA646" s="322">
        <f>IFERROR((VLOOKUP(Calculations[[#This Row],[Waste type 2]],WasteDisposalEmissions[#All],3,FALSE))*Calculations[[#This Row],[Total Kg]]*VLOOKUP(Calculations[[#This Row],[Waste 1]],WasteScenario[#All],3,FALSE),0)</f>
        <v>0</v>
      </c>
      <c r="AB646" s="322">
        <f>SUM(Calculations[[#This Row],[C3 recyc]:[C3 incin]])</f>
        <v>0</v>
      </c>
      <c r="AC646" s="334">
        <f>IFERROR((VLOOKUP(Calculations[[#This Row],[Waste type 2]],WasteLandfillEmissions[#All],2,FALSE))*Calculations[[#This Row],[Total Kg]]*VLOOKUP(Calculations[[#This Row],[Waste 1]],WasteScenario[#All],4,FALSE),0)</f>
        <v>0</v>
      </c>
      <c r="AD646" s="322">
        <f>IFERROR((VLOOKUP(Calculations[[#This Row],[Waste type 2]],WasteLandfillEmissions[#All],3,FALSE))*Calculations[[#This Row],[Total Kg]]*VLOOKUP(Calculations[[#This Row],[Waste 1]],WasteScenario[#All],4,FALSE),0)</f>
        <v>0</v>
      </c>
      <c r="AE646" s="322">
        <f>SUM(Calculations[[#This Row],[C4 landfill]:[C4 re-use]])</f>
        <v>0</v>
      </c>
      <c r="AF646" s="322">
        <f>IFERROR(VLOOKUP(Calculations[[#This Row],[Material (choose from dropdown]],MaterialData[#All],8,FALSE),0)</f>
        <v>0</v>
      </c>
      <c r="AG646" s="322">
        <f>IFERROR(Calculations[[#This Row],[Total Kg]]*Calculations[[#This Row],[Seq factor]],0)</f>
        <v>0</v>
      </c>
      <c r="AI646" s="322">
        <f>Calculations[[#This Row],[A1-3]]+Calculations[[#This Row],[A4]]+Calculations[[#This Row],[A5]]+Calculations[[#This Row],[B4]]+Calculations[[#This Row],[C2 total]]+Calculations[[#This Row],[C3 total]]+Calculations[[#This Row],[C4 total]]</f>
        <v>0</v>
      </c>
      <c r="AJ646" s="2">
        <f>IFERROR(VLOOKUP(Calculations[[#This Row],[Material (choose from dropdown]],MaterialData[[#Headers],[#Data]],9,FALSE),0)</f>
        <v>0</v>
      </c>
      <c r="AK646" s="4">
        <f>IFERROR(VLOOKUP(Calculations[[#This Row],[Material (choose from dropdown]],MaterialData[[#Headers],[#Data]],10,FALSE),0)</f>
        <v>0</v>
      </c>
      <c r="AL646" s="322">
        <f>IFERROR(Calculations[[#This Row],[Data Quality Score]]*Calculations[[#This Row],[Total Kg]],0)</f>
        <v>0</v>
      </c>
    </row>
    <row r="647" spans="1:38" x14ac:dyDescent="0.3">
      <c r="A647" s="6">
        <f>IFERROR(MaterialsBoQ[[#This Row],[Scope Element]],0)</f>
        <v>0</v>
      </c>
      <c r="B647" t="str">
        <f>IFERROR(MaterialsBoQ[[#This Row],[Material ]],"")</f>
        <v/>
      </c>
      <c r="C647" t="str">
        <f>IFERROR(MaterialsBoQ[[#This Row],[Unit]],"")</f>
        <v/>
      </c>
      <c r="D647" s="322">
        <f>IFERROR(MaterialsBoQ[[#This Row],[Number]],0)</f>
        <v>0</v>
      </c>
      <c r="E647" s="322">
        <f>IFERROR(MaterialsBoQ[[#This Row],[Kg per unit]],0)</f>
        <v>0</v>
      </c>
      <c r="F647" s="322">
        <f>IFERROR(Calculations[[#This Row],[Number]]*Calculations[[#This Row],[Conversion factor]],0)</f>
        <v>0</v>
      </c>
      <c r="G647" s="322">
        <f>IFERROR(VLOOKUP(Calculations[[#This Row],[Material (choose from dropdown]],MaterialData[#All],7,FALSE),0)</f>
        <v>0</v>
      </c>
      <c r="H647" s="322">
        <f>Calculations[[#This Row],[Total Kg]]*Calculations[[#This Row],[Carbon Factor]]</f>
        <v>0</v>
      </c>
      <c r="I647" t="str">
        <f>IFERROR(VLOOKUP(Calculations[[#This Row],[Material (choose from dropdown]],MaterialData[#All],2,FALSE),"")</f>
        <v/>
      </c>
      <c r="J647" s="322">
        <f>IFERROR(((VLOOKUP(Calculations[[#This Row],[TransportSource]],TransportDistance[],2,FALSE)*'Stage assumptions'!$C$11)+VLOOKUP(Calculations[[#This Row],[TransportSource]],TransportDistance[],3,FALSE)*'Stage assumptions'!$C$12)*Calculations[[#This Row],[Total Kg]],0)</f>
        <v>0</v>
      </c>
      <c r="K647">
        <f>IFERROR(VLOOKUP(Calculations[[#This Row],[Material (choose from dropdown]], MaterialData[#All],3, FALSE),0)</f>
        <v>0</v>
      </c>
      <c r="L647" s="322">
        <f>IFERROR(VLOOKUP(Calculations[[#This Row],[A5type]],A5WastageRate[#All],2,FALSE)*Calculations[[#This Row],[A1-3]],0)</f>
        <v>0</v>
      </c>
      <c r="N647">
        <f>IFERROR(ROUNDUP(50/VLOOKUP(Calculations[[#This Row],[Scope Element]],B4referenceServiceLife[[Tier 2 element]:[Default Service Life]],2, FALSE)-1,0),0)</f>
        <v>0</v>
      </c>
      <c r="O647" s="322">
        <f>IFERROR((Calculations[[#This Row],[A1-3]]+Calculations[[#This Row],[A4]]+Calculations[[#This Row],[A5]]+Calculations[[#This Row],[C2 total]]+Calculations[[#This Row],[C3 total]]+Calculations[[#This Row],[C4 total]])*Calculations[[#This Row],[Replacements]],0)</f>
        <v>0</v>
      </c>
      <c r="S647" t="str">
        <f>IFERROR(VLOOKUP(Calculations[[#This Row],[Material (choose from dropdown]],MaterialData[#All],4,FALSE),"")</f>
        <v/>
      </c>
      <c r="T647" s="322" cm="1">
        <f t="array" ref="T647">IFERROR(VLOOKUP(Calculations[[#This Row],[Waste 1]],WasteScenario[#All],2,FALSE)*'Stage assumptions'!$C$225*WasteTransportMethod[Emissions Factor
kgCO2e/kg.km]*Calculations[[#This Row],[Total Kg]],0)</f>
        <v>0</v>
      </c>
      <c r="U647" s="322" cm="1">
        <f t="array" ref="U647">IFERROR(VLOOKUP(Calculations[[#This Row],[Waste 1]],WasteScenario[#All],3,FALSE)*'Stage assumptions'!$C$224*WasteTransportMethod[Emissions Factor
kgCO2e/kg.km]*Calculations[[#This Row],[Total Kg]],0)</f>
        <v>0</v>
      </c>
      <c r="V647" s="322" cm="1">
        <f t="array" ref="V647">IFERROR(VLOOKUP(Calculations[[#This Row],[Waste 1]],WasteScenario[#All],4,FALSE)*'Stage assumptions'!$C$223*WasteTransportMethod[Emissions Factor
kgCO2e/kg.km]*Calculations[[#This Row],[Total Kg]],0)</f>
        <v>0</v>
      </c>
      <c r="W647" s="322" cm="1">
        <f t="array" ref="W647">IFERROR(VLOOKUP(Calculations[[#This Row],[Waste 1]],WasteScenario[#All],5,FALSE)*'Stage assumptions'!$C$226*WasteTransportMethod[Emissions Factor
kgCO2e/kg.km]*Calculations[[#This Row],[Total Kg]],0)</f>
        <v>0</v>
      </c>
      <c r="X647" s="322">
        <f>SUM(Calculations[[#This Row],[C2 Recycle]:[C2 Reuse]])</f>
        <v>0</v>
      </c>
      <c r="Y647" t="str">
        <f>IFERROR(VLOOKUP(Calculations[[#This Row],[Material (choose from dropdown]],MaterialData[#All],5,FALSE),"")</f>
        <v/>
      </c>
      <c r="Z647" s="322">
        <f>IFERROR(((VLOOKUP(Calculations[[#This Row],[Waste type 2]],WasteDisposalEmissions[#All],2,FALSE))*Calculations[[#This Row],[Total Kg]])*VLOOKUP(Calculations[[#This Row],[Waste 1]],WasteScenario[#All],2,FALSE),0)</f>
        <v>0</v>
      </c>
      <c r="AA647" s="322">
        <f>IFERROR((VLOOKUP(Calculations[[#This Row],[Waste type 2]],WasteDisposalEmissions[#All],3,FALSE))*Calculations[[#This Row],[Total Kg]]*VLOOKUP(Calculations[[#This Row],[Waste 1]],WasteScenario[#All],3,FALSE),0)</f>
        <v>0</v>
      </c>
      <c r="AB647" s="322">
        <f>SUM(Calculations[[#This Row],[C3 recyc]:[C3 incin]])</f>
        <v>0</v>
      </c>
      <c r="AC647" s="334">
        <f>IFERROR((VLOOKUP(Calculations[[#This Row],[Waste type 2]],WasteLandfillEmissions[#All],2,FALSE))*Calculations[[#This Row],[Total Kg]]*VLOOKUP(Calculations[[#This Row],[Waste 1]],WasteScenario[#All],4,FALSE),0)</f>
        <v>0</v>
      </c>
      <c r="AD647" s="322">
        <f>IFERROR((VLOOKUP(Calculations[[#This Row],[Waste type 2]],WasteLandfillEmissions[#All],3,FALSE))*Calculations[[#This Row],[Total Kg]]*VLOOKUP(Calculations[[#This Row],[Waste 1]],WasteScenario[#All],4,FALSE),0)</f>
        <v>0</v>
      </c>
      <c r="AE647" s="322">
        <f>SUM(Calculations[[#This Row],[C4 landfill]:[C4 re-use]])</f>
        <v>0</v>
      </c>
      <c r="AF647" s="322">
        <f>IFERROR(VLOOKUP(Calculations[[#This Row],[Material (choose from dropdown]],MaterialData[#All],8,FALSE),0)</f>
        <v>0</v>
      </c>
      <c r="AG647" s="322">
        <f>IFERROR(Calculations[[#This Row],[Total Kg]]*Calculations[[#This Row],[Seq factor]],0)</f>
        <v>0</v>
      </c>
      <c r="AI647" s="322">
        <f>Calculations[[#This Row],[A1-3]]+Calculations[[#This Row],[A4]]+Calculations[[#This Row],[A5]]+Calculations[[#This Row],[B4]]+Calculations[[#This Row],[C2 total]]+Calculations[[#This Row],[C3 total]]+Calculations[[#This Row],[C4 total]]</f>
        <v>0</v>
      </c>
      <c r="AJ647" s="2">
        <f>IFERROR(VLOOKUP(Calculations[[#This Row],[Material (choose from dropdown]],MaterialData[[#Headers],[#Data]],9,FALSE),0)</f>
        <v>0</v>
      </c>
      <c r="AK647" s="4">
        <f>IFERROR(VLOOKUP(Calculations[[#This Row],[Material (choose from dropdown]],MaterialData[[#Headers],[#Data]],10,FALSE),0)</f>
        <v>0</v>
      </c>
      <c r="AL647" s="322">
        <f>IFERROR(Calculations[[#This Row],[Data Quality Score]]*Calculations[[#This Row],[Total Kg]],0)</f>
        <v>0</v>
      </c>
    </row>
    <row r="648" spans="1:38" x14ac:dyDescent="0.3">
      <c r="A648" s="6">
        <f>IFERROR(MaterialsBoQ[[#This Row],[Scope Element]],0)</f>
        <v>0</v>
      </c>
      <c r="B648" t="str">
        <f>IFERROR(MaterialsBoQ[[#This Row],[Material ]],"")</f>
        <v/>
      </c>
      <c r="C648" t="str">
        <f>IFERROR(MaterialsBoQ[[#This Row],[Unit]],"")</f>
        <v/>
      </c>
      <c r="D648" s="322">
        <f>IFERROR(MaterialsBoQ[[#This Row],[Number]],0)</f>
        <v>0</v>
      </c>
      <c r="E648" s="322">
        <f>IFERROR(MaterialsBoQ[[#This Row],[Kg per unit]],0)</f>
        <v>0</v>
      </c>
      <c r="F648" s="322">
        <f>IFERROR(Calculations[[#This Row],[Number]]*Calculations[[#This Row],[Conversion factor]],0)</f>
        <v>0</v>
      </c>
      <c r="G648" s="322">
        <f>IFERROR(VLOOKUP(Calculations[[#This Row],[Material (choose from dropdown]],MaterialData[#All],7,FALSE),0)</f>
        <v>0</v>
      </c>
      <c r="H648" s="322">
        <f>Calculations[[#This Row],[Total Kg]]*Calculations[[#This Row],[Carbon Factor]]</f>
        <v>0</v>
      </c>
      <c r="I648" t="str">
        <f>IFERROR(VLOOKUP(Calculations[[#This Row],[Material (choose from dropdown]],MaterialData[#All],2,FALSE),"")</f>
        <v/>
      </c>
      <c r="J648" s="322">
        <f>IFERROR(((VLOOKUP(Calculations[[#This Row],[TransportSource]],TransportDistance[],2,FALSE)*'Stage assumptions'!$C$11)+VLOOKUP(Calculations[[#This Row],[TransportSource]],TransportDistance[],3,FALSE)*'Stage assumptions'!$C$12)*Calculations[[#This Row],[Total Kg]],0)</f>
        <v>0</v>
      </c>
      <c r="K648">
        <f>IFERROR(VLOOKUP(Calculations[[#This Row],[Material (choose from dropdown]], MaterialData[#All],3, FALSE),0)</f>
        <v>0</v>
      </c>
      <c r="L648" s="322">
        <f>IFERROR(VLOOKUP(Calculations[[#This Row],[A5type]],A5WastageRate[#All],2,FALSE)*Calculations[[#This Row],[A1-3]],0)</f>
        <v>0</v>
      </c>
      <c r="N648">
        <f>IFERROR(ROUNDUP(50/VLOOKUP(Calculations[[#This Row],[Scope Element]],B4referenceServiceLife[[Tier 2 element]:[Default Service Life]],2, FALSE)-1,0),0)</f>
        <v>0</v>
      </c>
      <c r="O648" s="322">
        <f>IFERROR((Calculations[[#This Row],[A1-3]]+Calculations[[#This Row],[A4]]+Calculations[[#This Row],[A5]]+Calculations[[#This Row],[C2 total]]+Calculations[[#This Row],[C3 total]]+Calculations[[#This Row],[C4 total]])*Calculations[[#This Row],[Replacements]],0)</f>
        <v>0</v>
      </c>
      <c r="S648" t="str">
        <f>IFERROR(VLOOKUP(Calculations[[#This Row],[Material (choose from dropdown]],MaterialData[#All],4,FALSE),"")</f>
        <v/>
      </c>
      <c r="T648" s="322" cm="1">
        <f t="array" ref="T648">IFERROR(VLOOKUP(Calculations[[#This Row],[Waste 1]],WasteScenario[#All],2,FALSE)*'Stage assumptions'!$C$225*WasteTransportMethod[Emissions Factor
kgCO2e/kg.km]*Calculations[[#This Row],[Total Kg]],0)</f>
        <v>0</v>
      </c>
      <c r="U648" s="322" cm="1">
        <f t="array" ref="U648">IFERROR(VLOOKUP(Calculations[[#This Row],[Waste 1]],WasteScenario[#All],3,FALSE)*'Stage assumptions'!$C$224*WasteTransportMethod[Emissions Factor
kgCO2e/kg.km]*Calculations[[#This Row],[Total Kg]],0)</f>
        <v>0</v>
      </c>
      <c r="V648" s="322" cm="1">
        <f t="array" ref="V648">IFERROR(VLOOKUP(Calculations[[#This Row],[Waste 1]],WasteScenario[#All],4,FALSE)*'Stage assumptions'!$C$223*WasteTransportMethod[Emissions Factor
kgCO2e/kg.km]*Calculations[[#This Row],[Total Kg]],0)</f>
        <v>0</v>
      </c>
      <c r="W648" s="322" cm="1">
        <f t="array" ref="W648">IFERROR(VLOOKUP(Calculations[[#This Row],[Waste 1]],WasteScenario[#All],5,FALSE)*'Stage assumptions'!$C$226*WasteTransportMethod[Emissions Factor
kgCO2e/kg.km]*Calculations[[#This Row],[Total Kg]],0)</f>
        <v>0</v>
      </c>
      <c r="X648" s="322">
        <f>SUM(Calculations[[#This Row],[C2 Recycle]:[C2 Reuse]])</f>
        <v>0</v>
      </c>
      <c r="Y648" t="str">
        <f>IFERROR(VLOOKUP(Calculations[[#This Row],[Material (choose from dropdown]],MaterialData[#All],5,FALSE),"")</f>
        <v/>
      </c>
      <c r="Z648" s="322">
        <f>IFERROR(((VLOOKUP(Calculations[[#This Row],[Waste type 2]],WasteDisposalEmissions[#All],2,FALSE))*Calculations[[#This Row],[Total Kg]])*VLOOKUP(Calculations[[#This Row],[Waste 1]],WasteScenario[#All],2,FALSE),0)</f>
        <v>0</v>
      </c>
      <c r="AA648" s="322">
        <f>IFERROR((VLOOKUP(Calculations[[#This Row],[Waste type 2]],WasteDisposalEmissions[#All],3,FALSE))*Calculations[[#This Row],[Total Kg]]*VLOOKUP(Calculations[[#This Row],[Waste 1]],WasteScenario[#All],3,FALSE),0)</f>
        <v>0</v>
      </c>
      <c r="AB648" s="322">
        <f>SUM(Calculations[[#This Row],[C3 recyc]:[C3 incin]])</f>
        <v>0</v>
      </c>
      <c r="AC648" s="334">
        <f>IFERROR((VLOOKUP(Calculations[[#This Row],[Waste type 2]],WasteLandfillEmissions[#All],2,FALSE))*Calculations[[#This Row],[Total Kg]]*VLOOKUP(Calculations[[#This Row],[Waste 1]],WasteScenario[#All],4,FALSE),0)</f>
        <v>0</v>
      </c>
      <c r="AD648" s="322">
        <f>IFERROR((VLOOKUP(Calculations[[#This Row],[Waste type 2]],WasteLandfillEmissions[#All],3,FALSE))*Calculations[[#This Row],[Total Kg]]*VLOOKUP(Calculations[[#This Row],[Waste 1]],WasteScenario[#All],4,FALSE),0)</f>
        <v>0</v>
      </c>
      <c r="AE648" s="322">
        <f>SUM(Calculations[[#This Row],[C4 landfill]:[C4 re-use]])</f>
        <v>0</v>
      </c>
      <c r="AF648" s="322">
        <f>IFERROR(VLOOKUP(Calculations[[#This Row],[Material (choose from dropdown]],MaterialData[#All],8,FALSE),0)</f>
        <v>0</v>
      </c>
      <c r="AG648" s="322">
        <f>IFERROR(Calculations[[#This Row],[Total Kg]]*Calculations[[#This Row],[Seq factor]],0)</f>
        <v>0</v>
      </c>
      <c r="AI648" s="322">
        <f>Calculations[[#This Row],[A1-3]]+Calculations[[#This Row],[A4]]+Calculations[[#This Row],[A5]]+Calculations[[#This Row],[B4]]+Calculations[[#This Row],[C2 total]]+Calculations[[#This Row],[C3 total]]+Calculations[[#This Row],[C4 total]]</f>
        <v>0</v>
      </c>
      <c r="AJ648" s="2">
        <f>IFERROR(VLOOKUP(Calculations[[#This Row],[Material (choose from dropdown]],MaterialData[[#Headers],[#Data]],9,FALSE),0)</f>
        <v>0</v>
      </c>
      <c r="AK648" s="4">
        <f>IFERROR(VLOOKUP(Calculations[[#This Row],[Material (choose from dropdown]],MaterialData[[#Headers],[#Data]],10,FALSE),0)</f>
        <v>0</v>
      </c>
      <c r="AL648" s="322">
        <f>IFERROR(Calculations[[#This Row],[Data Quality Score]]*Calculations[[#This Row],[Total Kg]],0)</f>
        <v>0</v>
      </c>
    </row>
    <row r="649" spans="1:38" x14ac:dyDescent="0.3">
      <c r="A649" s="6">
        <f>IFERROR(MaterialsBoQ[[#This Row],[Scope Element]],0)</f>
        <v>0</v>
      </c>
      <c r="B649" t="str">
        <f>IFERROR(MaterialsBoQ[[#This Row],[Material ]],"")</f>
        <v/>
      </c>
      <c r="C649" t="str">
        <f>IFERROR(MaterialsBoQ[[#This Row],[Unit]],"")</f>
        <v/>
      </c>
      <c r="D649" s="322">
        <f>IFERROR(MaterialsBoQ[[#This Row],[Number]],0)</f>
        <v>0</v>
      </c>
      <c r="E649" s="322">
        <f>IFERROR(MaterialsBoQ[[#This Row],[Kg per unit]],0)</f>
        <v>0</v>
      </c>
      <c r="F649" s="322">
        <f>IFERROR(Calculations[[#This Row],[Number]]*Calculations[[#This Row],[Conversion factor]],0)</f>
        <v>0</v>
      </c>
      <c r="G649" s="322">
        <f>IFERROR(VLOOKUP(Calculations[[#This Row],[Material (choose from dropdown]],MaterialData[#All],7,FALSE),0)</f>
        <v>0</v>
      </c>
      <c r="H649" s="322">
        <f>Calculations[[#This Row],[Total Kg]]*Calculations[[#This Row],[Carbon Factor]]</f>
        <v>0</v>
      </c>
      <c r="I649" t="str">
        <f>IFERROR(VLOOKUP(Calculations[[#This Row],[Material (choose from dropdown]],MaterialData[#All],2,FALSE),"")</f>
        <v/>
      </c>
      <c r="J649" s="322">
        <f>IFERROR(((VLOOKUP(Calculations[[#This Row],[TransportSource]],TransportDistance[],2,FALSE)*'Stage assumptions'!$C$11)+VLOOKUP(Calculations[[#This Row],[TransportSource]],TransportDistance[],3,FALSE)*'Stage assumptions'!$C$12)*Calculations[[#This Row],[Total Kg]],0)</f>
        <v>0</v>
      </c>
      <c r="K649">
        <f>IFERROR(VLOOKUP(Calculations[[#This Row],[Material (choose from dropdown]], MaterialData[#All],3, FALSE),0)</f>
        <v>0</v>
      </c>
      <c r="L649" s="322">
        <f>IFERROR(VLOOKUP(Calculations[[#This Row],[A5type]],A5WastageRate[#All],2,FALSE)*Calculations[[#This Row],[A1-3]],0)</f>
        <v>0</v>
      </c>
      <c r="N649">
        <f>IFERROR(ROUNDUP(50/VLOOKUP(Calculations[[#This Row],[Scope Element]],B4referenceServiceLife[[Tier 2 element]:[Default Service Life]],2, FALSE)-1,0),0)</f>
        <v>0</v>
      </c>
      <c r="O649" s="322">
        <f>IFERROR((Calculations[[#This Row],[A1-3]]+Calculations[[#This Row],[A4]]+Calculations[[#This Row],[A5]]+Calculations[[#This Row],[C2 total]]+Calculations[[#This Row],[C3 total]]+Calculations[[#This Row],[C4 total]])*Calculations[[#This Row],[Replacements]],0)</f>
        <v>0</v>
      </c>
      <c r="S649" t="str">
        <f>IFERROR(VLOOKUP(Calculations[[#This Row],[Material (choose from dropdown]],MaterialData[#All],4,FALSE),"")</f>
        <v/>
      </c>
      <c r="T649" s="322" cm="1">
        <f t="array" ref="T649">IFERROR(VLOOKUP(Calculations[[#This Row],[Waste 1]],WasteScenario[#All],2,FALSE)*'Stage assumptions'!$C$225*WasteTransportMethod[Emissions Factor
kgCO2e/kg.km]*Calculations[[#This Row],[Total Kg]],0)</f>
        <v>0</v>
      </c>
      <c r="U649" s="322" cm="1">
        <f t="array" ref="U649">IFERROR(VLOOKUP(Calculations[[#This Row],[Waste 1]],WasteScenario[#All],3,FALSE)*'Stage assumptions'!$C$224*WasteTransportMethod[Emissions Factor
kgCO2e/kg.km]*Calculations[[#This Row],[Total Kg]],0)</f>
        <v>0</v>
      </c>
      <c r="V649" s="322" cm="1">
        <f t="array" ref="V649">IFERROR(VLOOKUP(Calculations[[#This Row],[Waste 1]],WasteScenario[#All],4,FALSE)*'Stage assumptions'!$C$223*WasteTransportMethod[Emissions Factor
kgCO2e/kg.km]*Calculations[[#This Row],[Total Kg]],0)</f>
        <v>0</v>
      </c>
      <c r="W649" s="322" cm="1">
        <f t="array" ref="W649">IFERROR(VLOOKUP(Calculations[[#This Row],[Waste 1]],WasteScenario[#All],5,FALSE)*'Stage assumptions'!$C$226*WasteTransportMethod[Emissions Factor
kgCO2e/kg.km]*Calculations[[#This Row],[Total Kg]],0)</f>
        <v>0</v>
      </c>
      <c r="X649" s="322">
        <f>SUM(Calculations[[#This Row],[C2 Recycle]:[C2 Reuse]])</f>
        <v>0</v>
      </c>
      <c r="Y649" t="str">
        <f>IFERROR(VLOOKUP(Calculations[[#This Row],[Material (choose from dropdown]],MaterialData[#All],5,FALSE),"")</f>
        <v/>
      </c>
      <c r="Z649" s="322">
        <f>IFERROR(((VLOOKUP(Calculations[[#This Row],[Waste type 2]],WasteDisposalEmissions[#All],2,FALSE))*Calculations[[#This Row],[Total Kg]])*VLOOKUP(Calculations[[#This Row],[Waste 1]],WasteScenario[#All],2,FALSE),0)</f>
        <v>0</v>
      </c>
      <c r="AA649" s="322">
        <f>IFERROR((VLOOKUP(Calculations[[#This Row],[Waste type 2]],WasteDisposalEmissions[#All],3,FALSE))*Calculations[[#This Row],[Total Kg]]*VLOOKUP(Calculations[[#This Row],[Waste 1]],WasteScenario[#All],3,FALSE),0)</f>
        <v>0</v>
      </c>
      <c r="AB649" s="322">
        <f>SUM(Calculations[[#This Row],[C3 recyc]:[C3 incin]])</f>
        <v>0</v>
      </c>
      <c r="AC649" s="334">
        <f>IFERROR((VLOOKUP(Calculations[[#This Row],[Waste type 2]],WasteLandfillEmissions[#All],2,FALSE))*Calculations[[#This Row],[Total Kg]]*VLOOKUP(Calculations[[#This Row],[Waste 1]],WasteScenario[#All],4,FALSE),0)</f>
        <v>0</v>
      </c>
      <c r="AD649" s="322">
        <f>IFERROR((VLOOKUP(Calculations[[#This Row],[Waste type 2]],WasteLandfillEmissions[#All],3,FALSE))*Calculations[[#This Row],[Total Kg]]*VLOOKUP(Calculations[[#This Row],[Waste 1]],WasteScenario[#All],4,FALSE),0)</f>
        <v>0</v>
      </c>
      <c r="AE649" s="322">
        <f>SUM(Calculations[[#This Row],[C4 landfill]:[C4 re-use]])</f>
        <v>0</v>
      </c>
      <c r="AF649" s="322">
        <f>IFERROR(VLOOKUP(Calculations[[#This Row],[Material (choose from dropdown]],MaterialData[#All],8,FALSE),0)</f>
        <v>0</v>
      </c>
      <c r="AG649" s="322">
        <f>IFERROR(Calculations[[#This Row],[Total Kg]]*Calculations[[#This Row],[Seq factor]],0)</f>
        <v>0</v>
      </c>
      <c r="AI649" s="322">
        <f>Calculations[[#This Row],[A1-3]]+Calculations[[#This Row],[A4]]+Calculations[[#This Row],[A5]]+Calculations[[#This Row],[B4]]+Calculations[[#This Row],[C2 total]]+Calculations[[#This Row],[C3 total]]+Calculations[[#This Row],[C4 total]]</f>
        <v>0</v>
      </c>
      <c r="AJ649" s="2">
        <f>IFERROR(VLOOKUP(Calculations[[#This Row],[Material (choose from dropdown]],MaterialData[[#Headers],[#Data]],9,FALSE),0)</f>
        <v>0</v>
      </c>
      <c r="AK649" s="4">
        <f>IFERROR(VLOOKUP(Calculations[[#This Row],[Material (choose from dropdown]],MaterialData[[#Headers],[#Data]],10,FALSE),0)</f>
        <v>0</v>
      </c>
      <c r="AL649" s="322">
        <f>IFERROR(Calculations[[#This Row],[Data Quality Score]]*Calculations[[#This Row],[Total Kg]],0)</f>
        <v>0</v>
      </c>
    </row>
    <row r="650" spans="1:38" x14ac:dyDescent="0.3">
      <c r="A650" s="6">
        <f>IFERROR(MaterialsBoQ[[#This Row],[Scope Element]],0)</f>
        <v>0</v>
      </c>
      <c r="B650" t="str">
        <f>IFERROR(MaterialsBoQ[[#This Row],[Material ]],"")</f>
        <v/>
      </c>
      <c r="C650" t="str">
        <f>IFERROR(MaterialsBoQ[[#This Row],[Unit]],"")</f>
        <v/>
      </c>
      <c r="D650" s="322">
        <f>IFERROR(MaterialsBoQ[[#This Row],[Number]],0)</f>
        <v>0</v>
      </c>
      <c r="E650" s="322">
        <f>IFERROR(MaterialsBoQ[[#This Row],[Kg per unit]],0)</f>
        <v>0</v>
      </c>
      <c r="F650" s="322">
        <f>IFERROR(Calculations[[#This Row],[Number]]*Calculations[[#This Row],[Conversion factor]],0)</f>
        <v>0</v>
      </c>
      <c r="G650" s="322">
        <f>IFERROR(VLOOKUP(Calculations[[#This Row],[Material (choose from dropdown]],MaterialData[#All],7,FALSE),0)</f>
        <v>0</v>
      </c>
      <c r="H650" s="322">
        <f>Calculations[[#This Row],[Total Kg]]*Calculations[[#This Row],[Carbon Factor]]</f>
        <v>0</v>
      </c>
      <c r="I650" t="str">
        <f>IFERROR(VLOOKUP(Calculations[[#This Row],[Material (choose from dropdown]],MaterialData[#All],2,FALSE),"")</f>
        <v/>
      </c>
      <c r="J650" s="322">
        <f>IFERROR(((VLOOKUP(Calculations[[#This Row],[TransportSource]],TransportDistance[],2,FALSE)*'Stage assumptions'!$C$11)+VLOOKUP(Calculations[[#This Row],[TransportSource]],TransportDistance[],3,FALSE)*'Stage assumptions'!$C$12)*Calculations[[#This Row],[Total Kg]],0)</f>
        <v>0</v>
      </c>
      <c r="K650">
        <f>IFERROR(VLOOKUP(Calculations[[#This Row],[Material (choose from dropdown]], MaterialData[#All],3, FALSE),0)</f>
        <v>0</v>
      </c>
      <c r="L650" s="322">
        <f>IFERROR(VLOOKUP(Calculations[[#This Row],[A5type]],A5WastageRate[#All],2,FALSE)*Calculations[[#This Row],[A1-3]],0)</f>
        <v>0</v>
      </c>
      <c r="N650">
        <f>IFERROR(ROUNDUP(50/VLOOKUP(Calculations[[#This Row],[Scope Element]],B4referenceServiceLife[[Tier 2 element]:[Default Service Life]],2, FALSE)-1,0),0)</f>
        <v>0</v>
      </c>
      <c r="O650" s="322">
        <f>IFERROR((Calculations[[#This Row],[A1-3]]+Calculations[[#This Row],[A4]]+Calculations[[#This Row],[A5]]+Calculations[[#This Row],[C2 total]]+Calculations[[#This Row],[C3 total]]+Calculations[[#This Row],[C4 total]])*Calculations[[#This Row],[Replacements]],0)</f>
        <v>0</v>
      </c>
      <c r="S650" t="str">
        <f>IFERROR(VLOOKUP(Calculations[[#This Row],[Material (choose from dropdown]],MaterialData[#All],4,FALSE),"")</f>
        <v/>
      </c>
      <c r="T650" s="322" cm="1">
        <f t="array" ref="T650">IFERROR(VLOOKUP(Calculations[[#This Row],[Waste 1]],WasteScenario[#All],2,FALSE)*'Stage assumptions'!$C$225*WasteTransportMethod[Emissions Factor
kgCO2e/kg.km]*Calculations[[#This Row],[Total Kg]],0)</f>
        <v>0</v>
      </c>
      <c r="U650" s="322" cm="1">
        <f t="array" ref="U650">IFERROR(VLOOKUP(Calculations[[#This Row],[Waste 1]],WasteScenario[#All],3,FALSE)*'Stage assumptions'!$C$224*WasteTransportMethod[Emissions Factor
kgCO2e/kg.km]*Calculations[[#This Row],[Total Kg]],0)</f>
        <v>0</v>
      </c>
      <c r="V650" s="322" cm="1">
        <f t="array" ref="V650">IFERROR(VLOOKUP(Calculations[[#This Row],[Waste 1]],WasteScenario[#All],4,FALSE)*'Stage assumptions'!$C$223*WasteTransportMethod[Emissions Factor
kgCO2e/kg.km]*Calculations[[#This Row],[Total Kg]],0)</f>
        <v>0</v>
      </c>
      <c r="W650" s="322" cm="1">
        <f t="array" ref="W650">IFERROR(VLOOKUP(Calculations[[#This Row],[Waste 1]],WasteScenario[#All],5,FALSE)*'Stage assumptions'!$C$226*WasteTransportMethod[Emissions Factor
kgCO2e/kg.km]*Calculations[[#This Row],[Total Kg]],0)</f>
        <v>0</v>
      </c>
      <c r="X650" s="322">
        <f>SUM(Calculations[[#This Row],[C2 Recycle]:[C2 Reuse]])</f>
        <v>0</v>
      </c>
      <c r="Y650" t="str">
        <f>IFERROR(VLOOKUP(Calculations[[#This Row],[Material (choose from dropdown]],MaterialData[#All],5,FALSE),"")</f>
        <v/>
      </c>
      <c r="Z650" s="322">
        <f>IFERROR(((VLOOKUP(Calculations[[#This Row],[Waste type 2]],WasteDisposalEmissions[#All],2,FALSE))*Calculations[[#This Row],[Total Kg]])*VLOOKUP(Calculations[[#This Row],[Waste 1]],WasteScenario[#All],2,FALSE),0)</f>
        <v>0</v>
      </c>
      <c r="AA650" s="322">
        <f>IFERROR((VLOOKUP(Calculations[[#This Row],[Waste type 2]],WasteDisposalEmissions[#All],3,FALSE))*Calculations[[#This Row],[Total Kg]]*VLOOKUP(Calculations[[#This Row],[Waste 1]],WasteScenario[#All],3,FALSE),0)</f>
        <v>0</v>
      </c>
      <c r="AB650" s="322">
        <f>SUM(Calculations[[#This Row],[C3 recyc]:[C3 incin]])</f>
        <v>0</v>
      </c>
      <c r="AC650" s="334">
        <f>IFERROR((VLOOKUP(Calculations[[#This Row],[Waste type 2]],WasteLandfillEmissions[#All],2,FALSE))*Calculations[[#This Row],[Total Kg]]*VLOOKUP(Calculations[[#This Row],[Waste 1]],WasteScenario[#All],4,FALSE),0)</f>
        <v>0</v>
      </c>
      <c r="AD650" s="322">
        <f>IFERROR((VLOOKUP(Calculations[[#This Row],[Waste type 2]],WasteLandfillEmissions[#All],3,FALSE))*Calculations[[#This Row],[Total Kg]]*VLOOKUP(Calculations[[#This Row],[Waste 1]],WasteScenario[#All],4,FALSE),0)</f>
        <v>0</v>
      </c>
      <c r="AE650" s="322">
        <f>SUM(Calculations[[#This Row],[C4 landfill]:[C4 re-use]])</f>
        <v>0</v>
      </c>
      <c r="AF650" s="322">
        <f>IFERROR(VLOOKUP(Calculations[[#This Row],[Material (choose from dropdown]],MaterialData[#All],8,FALSE),0)</f>
        <v>0</v>
      </c>
      <c r="AG650" s="322">
        <f>IFERROR(Calculations[[#This Row],[Total Kg]]*Calculations[[#This Row],[Seq factor]],0)</f>
        <v>0</v>
      </c>
      <c r="AI650" s="322">
        <f>Calculations[[#This Row],[A1-3]]+Calculations[[#This Row],[A4]]+Calculations[[#This Row],[A5]]+Calculations[[#This Row],[B4]]+Calculations[[#This Row],[C2 total]]+Calculations[[#This Row],[C3 total]]+Calculations[[#This Row],[C4 total]]</f>
        <v>0</v>
      </c>
      <c r="AJ650" s="2">
        <f>IFERROR(VLOOKUP(Calculations[[#This Row],[Material (choose from dropdown]],MaterialData[[#Headers],[#Data]],9,FALSE),0)</f>
        <v>0</v>
      </c>
      <c r="AK650" s="4">
        <f>IFERROR(VLOOKUP(Calculations[[#This Row],[Material (choose from dropdown]],MaterialData[[#Headers],[#Data]],10,FALSE),0)</f>
        <v>0</v>
      </c>
      <c r="AL650" s="322">
        <f>IFERROR(Calculations[[#This Row],[Data Quality Score]]*Calculations[[#This Row],[Total Kg]],0)</f>
        <v>0</v>
      </c>
    </row>
    <row r="651" spans="1:38" x14ac:dyDescent="0.3">
      <c r="A651" s="6">
        <f>IFERROR(MaterialsBoQ[[#This Row],[Scope Element]],0)</f>
        <v>0</v>
      </c>
      <c r="B651" t="str">
        <f>IFERROR(MaterialsBoQ[[#This Row],[Material ]],"")</f>
        <v/>
      </c>
      <c r="C651" t="str">
        <f>IFERROR(MaterialsBoQ[[#This Row],[Unit]],"")</f>
        <v/>
      </c>
      <c r="D651" s="322">
        <f>IFERROR(MaterialsBoQ[[#This Row],[Number]],0)</f>
        <v>0</v>
      </c>
      <c r="E651" s="322">
        <f>IFERROR(MaterialsBoQ[[#This Row],[Kg per unit]],0)</f>
        <v>0</v>
      </c>
      <c r="F651" s="322">
        <f>IFERROR(Calculations[[#This Row],[Number]]*Calculations[[#This Row],[Conversion factor]],0)</f>
        <v>0</v>
      </c>
      <c r="G651" s="322">
        <f>IFERROR(VLOOKUP(Calculations[[#This Row],[Material (choose from dropdown]],MaterialData[#All],7,FALSE),0)</f>
        <v>0</v>
      </c>
      <c r="H651" s="322">
        <f>Calculations[[#This Row],[Total Kg]]*Calculations[[#This Row],[Carbon Factor]]</f>
        <v>0</v>
      </c>
      <c r="I651" t="str">
        <f>IFERROR(VLOOKUP(Calculations[[#This Row],[Material (choose from dropdown]],MaterialData[#All],2,FALSE),"")</f>
        <v/>
      </c>
      <c r="J651" s="322">
        <f>IFERROR(((VLOOKUP(Calculations[[#This Row],[TransportSource]],TransportDistance[],2,FALSE)*'Stage assumptions'!$C$11)+VLOOKUP(Calculations[[#This Row],[TransportSource]],TransportDistance[],3,FALSE)*'Stage assumptions'!$C$12)*Calculations[[#This Row],[Total Kg]],0)</f>
        <v>0</v>
      </c>
      <c r="K651">
        <f>IFERROR(VLOOKUP(Calculations[[#This Row],[Material (choose from dropdown]], MaterialData[#All],3, FALSE),0)</f>
        <v>0</v>
      </c>
      <c r="L651" s="322">
        <f>IFERROR(VLOOKUP(Calculations[[#This Row],[A5type]],A5WastageRate[#All],2,FALSE)*Calculations[[#This Row],[A1-3]],0)</f>
        <v>0</v>
      </c>
      <c r="N651">
        <f>IFERROR(ROUNDUP(50/VLOOKUP(Calculations[[#This Row],[Scope Element]],B4referenceServiceLife[[Tier 2 element]:[Default Service Life]],2, FALSE)-1,0),0)</f>
        <v>0</v>
      </c>
      <c r="O651" s="322">
        <f>IFERROR((Calculations[[#This Row],[A1-3]]+Calculations[[#This Row],[A4]]+Calculations[[#This Row],[A5]]+Calculations[[#This Row],[C2 total]]+Calculations[[#This Row],[C3 total]]+Calculations[[#This Row],[C4 total]])*Calculations[[#This Row],[Replacements]],0)</f>
        <v>0</v>
      </c>
      <c r="S651" t="str">
        <f>IFERROR(VLOOKUP(Calculations[[#This Row],[Material (choose from dropdown]],MaterialData[#All],4,FALSE),"")</f>
        <v/>
      </c>
      <c r="T651" s="322" cm="1">
        <f t="array" ref="T651">IFERROR(VLOOKUP(Calculations[[#This Row],[Waste 1]],WasteScenario[#All],2,FALSE)*'Stage assumptions'!$C$225*WasteTransportMethod[Emissions Factor
kgCO2e/kg.km]*Calculations[[#This Row],[Total Kg]],0)</f>
        <v>0</v>
      </c>
      <c r="U651" s="322" cm="1">
        <f t="array" ref="U651">IFERROR(VLOOKUP(Calculations[[#This Row],[Waste 1]],WasteScenario[#All],3,FALSE)*'Stage assumptions'!$C$224*WasteTransportMethod[Emissions Factor
kgCO2e/kg.km]*Calculations[[#This Row],[Total Kg]],0)</f>
        <v>0</v>
      </c>
      <c r="V651" s="322" cm="1">
        <f t="array" ref="V651">IFERROR(VLOOKUP(Calculations[[#This Row],[Waste 1]],WasteScenario[#All],4,FALSE)*'Stage assumptions'!$C$223*WasteTransportMethod[Emissions Factor
kgCO2e/kg.km]*Calculations[[#This Row],[Total Kg]],0)</f>
        <v>0</v>
      </c>
      <c r="W651" s="322" cm="1">
        <f t="array" ref="W651">IFERROR(VLOOKUP(Calculations[[#This Row],[Waste 1]],WasteScenario[#All],5,FALSE)*'Stage assumptions'!$C$226*WasteTransportMethod[Emissions Factor
kgCO2e/kg.km]*Calculations[[#This Row],[Total Kg]],0)</f>
        <v>0</v>
      </c>
      <c r="X651" s="322">
        <f>SUM(Calculations[[#This Row],[C2 Recycle]:[C2 Reuse]])</f>
        <v>0</v>
      </c>
      <c r="Y651" t="str">
        <f>IFERROR(VLOOKUP(Calculations[[#This Row],[Material (choose from dropdown]],MaterialData[#All],5,FALSE),"")</f>
        <v/>
      </c>
      <c r="Z651" s="322">
        <f>IFERROR(((VLOOKUP(Calculations[[#This Row],[Waste type 2]],WasteDisposalEmissions[#All],2,FALSE))*Calculations[[#This Row],[Total Kg]])*VLOOKUP(Calculations[[#This Row],[Waste 1]],WasteScenario[#All],2,FALSE),0)</f>
        <v>0</v>
      </c>
      <c r="AA651" s="322">
        <f>IFERROR((VLOOKUP(Calculations[[#This Row],[Waste type 2]],WasteDisposalEmissions[#All],3,FALSE))*Calculations[[#This Row],[Total Kg]]*VLOOKUP(Calculations[[#This Row],[Waste 1]],WasteScenario[#All],3,FALSE),0)</f>
        <v>0</v>
      </c>
      <c r="AB651" s="322">
        <f>SUM(Calculations[[#This Row],[C3 recyc]:[C3 incin]])</f>
        <v>0</v>
      </c>
      <c r="AC651" s="334">
        <f>IFERROR((VLOOKUP(Calculations[[#This Row],[Waste type 2]],WasteLandfillEmissions[#All],2,FALSE))*Calculations[[#This Row],[Total Kg]]*VLOOKUP(Calculations[[#This Row],[Waste 1]],WasteScenario[#All],4,FALSE),0)</f>
        <v>0</v>
      </c>
      <c r="AD651" s="322">
        <f>IFERROR((VLOOKUP(Calculations[[#This Row],[Waste type 2]],WasteLandfillEmissions[#All],3,FALSE))*Calculations[[#This Row],[Total Kg]]*VLOOKUP(Calculations[[#This Row],[Waste 1]],WasteScenario[#All],4,FALSE),0)</f>
        <v>0</v>
      </c>
      <c r="AE651" s="322">
        <f>SUM(Calculations[[#This Row],[C4 landfill]:[C4 re-use]])</f>
        <v>0</v>
      </c>
      <c r="AF651" s="322">
        <f>IFERROR(VLOOKUP(Calculations[[#This Row],[Material (choose from dropdown]],MaterialData[#All],8,FALSE),0)</f>
        <v>0</v>
      </c>
      <c r="AG651" s="322">
        <f>IFERROR(Calculations[[#This Row],[Total Kg]]*Calculations[[#This Row],[Seq factor]],0)</f>
        <v>0</v>
      </c>
      <c r="AI651" s="322">
        <f>Calculations[[#This Row],[A1-3]]+Calculations[[#This Row],[A4]]+Calculations[[#This Row],[A5]]+Calculations[[#This Row],[B4]]+Calculations[[#This Row],[C2 total]]+Calculations[[#This Row],[C3 total]]+Calculations[[#This Row],[C4 total]]</f>
        <v>0</v>
      </c>
      <c r="AJ651" s="2">
        <f>IFERROR(VLOOKUP(Calculations[[#This Row],[Material (choose from dropdown]],MaterialData[[#Headers],[#Data]],9,FALSE),0)</f>
        <v>0</v>
      </c>
      <c r="AK651" s="4">
        <f>IFERROR(VLOOKUP(Calculations[[#This Row],[Material (choose from dropdown]],MaterialData[[#Headers],[#Data]],10,FALSE),0)</f>
        <v>0</v>
      </c>
      <c r="AL651" s="322">
        <f>IFERROR(Calculations[[#This Row],[Data Quality Score]]*Calculations[[#This Row],[Total Kg]],0)</f>
        <v>0</v>
      </c>
    </row>
    <row r="652" spans="1:38" x14ac:dyDescent="0.3">
      <c r="A652" s="6">
        <f>IFERROR(MaterialsBoQ[[#This Row],[Scope Element]],0)</f>
        <v>0</v>
      </c>
      <c r="B652" t="str">
        <f>IFERROR(MaterialsBoQ[[#This Row],[Material ]],"")</f>
        <v/>
      </c>
      <c r="C652" t="str">
        <f>IFERROR(MaterialsBoQ[[#This Row],[Unit]],"")</f>
        <v/>
      </c>
      <c r="D652" s="322">
        <f>IFERROR(MaterialsBoQ[[#This Row],[Number]],0)</f>
        <v>0</v>
      </c>
      <c r="E652" s="322">
        <f>IFERROR(MaterialsBoQ[[#This Row],[Kg per unit]],0)</f>
        <v>0</v>
      </c>
      <c r="F652" s="322">
        <f>IFERROR(Calculations[[#This Row],[Number]]*Calculations[[#This Row],[Conversion factor]],0)</f>
        <v>0</v>
      </c>
      <c r="G652" s="322">
        <f>IFERROR(VLOOKUP(Calculations[[#This Row],[Material (choose from dropdown]],MaterialData[#All],7,FALSE),0)</f>
        <v>0</v>
      </c>
      <c r="H652" s="322">
        <f>Calculations[[#This Row],[Total Kg]]*Calculations[[#This Row],[Carbon Factor]]</f>
        <v>0</v>
      </c>
      <c r="I652" t="str">
        <f>IFERROR(VLOOKUP(Calculations[[#This Row],[Material (choose from dropdown]],MaterialData[#All],2,FALSE),"")</f>
        <v/>
      </c>
      <c r="J652" s="322">
        <f>IFERROR(((VLOOKUP(Calculations[[#This Row],[TransportSource]],TransportDistance[],2,FALSE)*'Stage assumptions'!$C$11)+VLOOKUP(Calculations[[#This Row],[TransportSource]],TransportDistance[],3,FALSE)*'Stage assumptions'!$C$12)*Calculations[[#This Row],[Total Kg]],0)</f>
        <v>0</v>
      </c>
      <c r="K652">
        <f>IFERROR(VLOOKUP(Calculations[[#This Row],[Material (choose from dropdown]], MaterialData[#All],3, FALSE),0)</f>
        <v>0</v>
      </c>
      <c r="L652" s="322">
        <f>IFERROR(VLOOKUP(Calculations[[#This Row],[A5type]],A5WastageRate[#All],2,FALSE)*Calculations[[#This Row],[A1-3]],0)</f>
        <v>0</v>
      </c>
      <c r="N652">
        <f>IFERROR(ROUNDUP(50/VLOOKUP(Calculations[[#This Row],[Scope Element]],B4referenceServiceLife[[Tier 2 element]:[Default Service Life]],2, FALSE)-1,0),0)</f>
        <v>0</v>
      </c>
      <c r="O652" s="322">
        <f>IFERROR((Calculations[[#This Row],[A1-3]]+Calculations[[#This Row],[A4]]+Calculations[[#This Row],[A5]]+Calculations[[#This Row],[C2 total]]+Calculations[[#This Row],[C3 total]]+Calculations[[#This Row],[C4 total]])*Calculations[[#This Row],[Replacements]],0)</f>
        <v>0</v>
      </c>
      <c r="S652" t="str">
        <f>IFERROR(VLOOKUP(Calculations[[#This Row],[Material (choose from dropdown]],MaterialData[#All],4,FALSE),"")</f>
        <v/>
      </c>
      <c r="T652" s="322" cm="1">
        <f t="array" ref="T652">IFERROR(VLOOKUP(Calculations[[#This Row],[Waste 1]],WasteScenario[#All],2,FALSE)*'Stage assumptions'!$C$225*WasteTransportMethod[Emissions Factor
kgCO2e/kg.km]*Calculations[[#This Row],[Total Kg]],0)</f>
        <v>0</v>
      </c>
      <c r="U652" s="322" cm="1">
        <f t="array" ref="U652">IFERROR(VLOOKUP(Calculations[[#This Row],[Waste 1]],WasteScenario[#All],3,FALSE)*'Stage assumptions'!$C$224*WasteTransportMethod[Emissions Factor
kgCO2e/kg.km]*Calculations[[#This Row],[Total Kg]],0)</f>
        <v>0</v>
      </c>
      <c r="V652" s="322" cm="1">
        <f t="array" ref="V652">IFERROR(VLOOKUP(Calculations[[#This Row],[Waste 1]],WasteScenario[#All],4,FALSE)*'Stage assumptions'!$C$223*WasteTransportMethod[Emissions Factor
kgCO2e/kg.km]*Calculations[[#This Row],[Total Kg]],0)</f>
        <v>0</v>
      </c>
      <c r="W652" s="322" cm="1">
        <f t="array" ref="W652">IFERROR(VLOOKUP(Calculations[[#This Row],[Waste 1]],WasteScenario[#All],5,FALSE)*'Stage assumptions'!$C$226*WasteTransportMethod[Emissions Factor
kgCO2e/kg.km]*Calculations[[#This Row],[Total Kg]],0)</f>
        <v>0</v>
      </c>
      <c r="X652" s="322">
        <f>SUM(Calculations[[#This Row],[C2 Recycle]:[C2 Reuse]])</f>
        <v>0</v>
      </c>
      <c r="Y652" t="str">
        <f>IFERROR(VLOOKUP(Calculations[[#This Row],[Material (choose from dropdown]],MaterialData[#All],5,FALSE),"")</f>
        <v/>
      </c>
      <c r="Z652" s="322">
        <f>IFERROR(((VLOOKUP(Calculations[[#This Row],[Waste type 2]],WasteDisposalEmissions[#All],2,FALSE))*Calculations[[#This Row],[Total Kg]])*VLOOKUP(Calculations[[#This Row],[Waste 1]],WasteScenario[#All],2,FALSE),0)</f>
        <v>0</v>
      </c>
      <c r="AA652" s="322">
        <f>IFERROR((VLOOKUP(Calculations[[#This Row],[Waste type 2]],WasteDisposalEmissions[#All],3,FALSE))*Calculations[[#This Row],[Total Kg]]*VLOOKUP(Calculations[[#This Row],[Waste 1]],WasteScenario[#All],3,FALSE),0)</f>
        <v>0</v>
      </c>
      <c r="AB652" s="322">
        <f>SUM(Calculations[[#This Row],[C3 recyc]:[C3 incin]])</f>
        <v>0</v>
      </c>
      <c r="AC652" s="334">
        <f>IFERROR((VLOOKUP(Calculations[[#This Row],[Waste type 2]],WasteLandfillEmissions[#All],2,FALSE))*Calculations[[#This Row],[Total Kg]]*VLOOKUP(Calculations[[#This Row],[Waste 1]],WasteScenario[#All],4,FALSE),0)</f>
        <v>0</v>
      </c>
      <c r="AD652" s="322">
        <f>IFERROR((VLOOKUP(Calculations[[#This Row],[Waste type 2]],WasteLandfillEmissions[#All],3,FALSE))*Calculations[[#This Row],[Total Kg]]*VLOOKUP(Calculations[[#This Row],[Waste 1]],WasteScenario[#All],4,FALSE),0)</f>
        <v>0</v>
      </c>
      <c r="AE652" s="322">
        <f>SUM(Calculations[[#This Row],[C4 landfill]:[C4 re-use]])</f>
        <v>0</v>
      </c>
      <c r="AF652" s="322">
        <f>IFERROR(VLOOKUP(Calculations[[#This Row],[Material (choose from dropdown]],MaterialData[#All],8,FALSE),0)</f>
        <v>0</v>
      </c>
      <c r="AG652" s="322">
        <f>IFERROR(Calculations[[#This Row],[Total Kg]]*Calculations[[#This Row],[Seq factor]],0)</f>
        <v>0</v>
      </c>
      <c r="AI652" s="322">
        <f>Calculations[[#This Row],[A1-3]]+Calculations[[#This Row],[A4]]+Calculations[[#This Row],[A5]]+Calculations[[#This Row],[B4]]+Calculations[[#This Row],[C2 total]]+Calculations[[#This Row],[C3 total]]+Calculations[[#This Row],[C4 total]]</f>
        <v>0</v>
      </c>
      <c r="AJ652" s="2">
        <f>IFERROR(VLOOKUP(Calculations[[#This Row],[Material (choose from dropdown]],MaterialData[[#Headers],[#Data]],9,FALSE),0)</f>
        <v>0</v>
      </c>
      <c r="AK652" s="4">
        <f>IFERROR(VLOOKUP(Calculations[[#This Row],[Material (choose from dropdown]],MaterialData[[#Headers],[#Data]],10,FALSE),0)</f>
        <v>0</v>
      </c>
      <c r="AL652" s="322">
        <f>IFERROR(Calculations[[#This Row],[Data Quality Score]]*Calculations[[#This Row],[Total Kg]],0)</f>
        <v>0</v>
      </c>
    </row>
    <row r="653" spans="1:38" x14ac:dyDescent="0.3">
      <c r="A653" s="6">
        <f>IFERROR(MaterialsBoQ[[#This Row],[Scope Element]],0)</f>
        <v>0</v>
      </c>
      <c r="B653" t="str">
        <f>IFERROR(MaterialsBoQ[[#This Row],[Material ]],"")</f>
        <v/>
      </c>
      <c r="C653" t="str">
        <f>IFERROR(MaterialsBoQ[[#This Row],[Unit]],"")</f>
        <v/>
      </c>
      <c r="D653" s="322">
        <f>IFERROR(MaterialsBoQ[[#This Row],[Number]],0)</f>
        <v>0</v>
      </c>
      <c r="E653" s="322">
        <f>IFERROR(MaterialsBoQ[[#This Row],[Kg per unit]],0)</f>
        <v>0</v>
      </c>
      <c r="F653" s="322">
        <f>IFERROR(Calculations[[#This Row],[Number]]*Calculations[[#This Row],[Conversion factor]],0)</f>
        <v>0</v>
      </c>
      <c r="G653" s="322">
        <f>IFERROR(VLOOKUP(Calculations[[#This Row],[Material (choose from dropdown]],MaterialData[#All],7,FALSE),0)</f>
        <v>0</v>
      </c>
      <c r="H653" s="322">
        <f>Calculations[[#This Row],[Total Kg]]*Calculations[[#This Row],[Carbon Factor]]</f>
        <v>0</v>
      </c>
      <c r="I653" t="str">
        <f>IFERROR(VLOOKUP(Calculations[[#This Row],[Material (choose from dropdown]],MaterialData[#All],2,FALSE),"")</f>
        <v/>
      </c>
      <c r="J653" s="322">
        <f>IFERROR(((VLOOKUP(Calculations[[#This Row],[TransportSource]],TransportDistance[],2,FALSE)*'Stage assumptions'!$C$11)+VLOOKUP(Calculations[[#This Row],[TransportSource]],TransportDistance[],3,FALSE)*'Stage assumptions'!$C$12)*Calculations[[#This Row],[Total Kg]],0)</f>
        <v>0</v>
      </c>
      <c r="K653">
        <f>IFERROR(VLOOKUP(Calculations[[#This Row],[Material (choose from dropdown]], MaterialData[#All],3, FALSE),0)</f>
        <v>0</v>
      </c>
      <c r="L653" s="322">
        <f>IFERROR(VLOOKUP(Calculations[[#This Row],[A5type]],A5WastageRate[#All],2,FALSE)*Calculations[[#This Row],[A1-3]],0)</f>
        <v>0</v>
      </c>
      <c r="N653">
        <f>IFERROR(ROUNDUP(50/VLOOKUP(Calculations[[#This Row],[Scope Element]],B4referenceServiceLife[[Tier 2 element]:[Default Service Life]],2, FALSE)-1,0),0)</f>
        <v>0</v>
      </c>
      <c r="O653" s="322">
        <f>IFERROR((Calculations[[#This Row],[A1-3]]+Calculations[[#This Row],[A4]]+Calculations[[#This Row],[A5]]+Calculations[[#This Row],[C2 total]]+Calculations[[#This Row],[C3 total]]+Calculations[[#This Row],[C4 total]])*Calculations[[#This Row],[Replacements]],0)</f>
        <v>0</v>
      </c>
      <c r="S653" t="str">
        <f>IFERROR(VLOOKUP(Calculations[[#This Row],[Material (choose from dropdown]],MaterialData[#All],4,FALSE),"")</f>
        <v/>
      </c>
      <c r="T653" s="322" cm="1">
        <f t="array" ref="T653">IFERROR(VLOOKUP(Calculations[[#This Row],[Waste 1]],WasteScenario[#All],2,FALSE)*'Stage assumptions'!$C$225*WasteTransportMethod[Emissions Factor
kgCO2e/kg.km]*Calculations[[#This Row],[Total Kg]],0)</f>
        <v>0</v>
      </c>
      <c r="U653" s="322" cm="1">
        <f t="array" ref="U653">IFERROR(VLOOKUP(Calculations[[#This Row],[Waste 1]],WasteScenario[#All],3,FALSE)*'Stage assumptions'!$C$224*WasteTransportMethod[Emissions Factor
kgCO2e/kg.km]*Calculations[[#This Row],[Total Kg]],0)</f>
        <v>0</v>
      </c>
      <c r="V653" s="322" cm="1">
        <f t="array" ref="V653">IFERROR(VLOOKUP(Calculations[[#This Row],[Waste 1]],WasteScenario[#All],4,FALSE)*'Stage assumptions'!$C$223*WasteTransportMethod[Emissions Factor
kgCO2e/kg.km]*Calculations[[#This Row],[Total Kg]],0)</f>
        <v>0</v>
      </c>
      <c r="W653" s="322" cm="1">
        <f t="array" ref="W653">IFERROR(VLOOKUP(Calculations[[#This Row],[Waste 1]],WasteScenario[#All],5,FALSE)*'Stage assumptions'!$C$226*WasteTransportMethod[Emissions Factor
kgCO2e/kg.km]*Calculations[[#This Row],[Total Kg]],0)</f>
        <v>0</v>
      </c>
      <c r="X653" s="322">
        <f>SUM(Calculations[[#This Row],[C2 Recycle]:[C2 Reuse]])</f>
        <v>0</v>
      </c>
      <c r="Y653" t="str">
        <f>IFERROR(VLOOKUP(Calculations[[#This Row],[Material (choose from dropdown]],MaterialData[#All],5,FALSE),"")</f>
        <v/>
      </c>
      <c r="Z653" s="322">
        <f>IFERROR(((VLOOKUP(Calculations[[#This Row],[Waste type 2]],WasteDisposalEmissions[#All],2,FALSE))*Calculations[[#This Row],[Total Kg]])*VLOOKUP(Calculations[[#This Row],[Waste 1]],WasteScenario[#All],2,FALSE),0)</f>
        <v>0</v>
      </c>
      <c r="AA653" s="322">
        <f>IFERROR((VLOOKUP(Calculations[[#This Row],[Waste type 2]],WasteDisposalEmissions[#All],3,FALSE))*Calculations[[#This Row],[Total Kg]]*VLOOKUP(Calculations[[#This Row],[Waste 1]],WasteScenario[#All],3,FALSE),0)</f>
        <v>0</v>
      </c>
      <c r="AB653" s="322">
        <f>SUM(Calculations[[#This Row],[C3 recyc]:[C3 incin]])</f>
        <v>0</v>
      </c>
      <c r="AC653" s="334">
        <f>IFERROR((VLOOKUP(Calculations[[#This Row],[Waste type 2]],WasteLandfillEmissions[#All],2,FALSE))*Calculations[[#This Row],[Total Kg]]*VLOOKUP(Calculations[[#This Row],[Waste 1]],WasteScenario[#All],4,FALSE),0)</f>
        <v>0</v>
      </c>
      <c r="AD653" s="322">
        <f>IFERROR((VLOOKUP(Calculations[[#This Row],[Waste type 2]],WasteLandfillEmissions[#All],3,FALSE))*Calculations[[#This Row],[Total Kg]]*VLOOKUP(Calculations[[#This Row],[Waste 1]],WasteScenario[#All],4,FALSE),0)</f>
        <v>0</v>
      </c>
      <c r="AE653" s="322">
        <f>SUM(Calculations[[#This Row],[C4 landfill]:[C4 re-use]])</f>
        <v>0</v>
      </c>
      <c r="AF653" s="322">
        <f>IFERROR(VLOOKUP(Calculations[[#This Row],[Material (choose from dropdown]],MaterialData[#All],8,FALSE),0)</f>
        <v>0</v>
      </c>
      <c r="AG653" s="322">
        <f>IFERROR(Calculations[[#This Row],[Total Kg]]*Calculations[[#This Row],[Seq factor]],0)</f>
        <v>0</v>
      </c>
      <c r="AI653" s="322">
        <f>Calculations[[#This Row],[A1-3]]+Calculations[[#This Row],[A4]]+Calculations[[#This Row],[A5]]+Calculations[[#This Row],[B4]]+Calculations[[#This Row],[C2 total]]+Calculations[[#This Row],[C3 total]]+Calculations[[#This Row],[C4 total]]</f>
        <v>0</v>
      </c>
      <c r="AJ653" s="2">
        <f>IFERROR(VLOOKUP(Calculations[[#This Row],[Material (choose from dropdown]],MaterialData[[#Headers],[#Data]],9,FALSE),0)</f>
        <v>0</v>
      </c>
      <c r="AK653" s="4">
        <f>IFERROR(VLOOKUP(Calculations[[#This Row],[Material (choose from dropdown]],MaterialData[[#Headers],[#Data]],10,FALSE),0)</f>
        <v>0</v>
      </c>
      <c r="AL653" s="322">
        <f>IFERROR(Calculations[[#This Row],[Data Quality Score]]*Calculations[[#This Row],[Total Kg]],0)</f>
        <v>0</v>
      </c>
    </row>
    <row r="654" spans="1:38" x14ac:dyDescent="0.3">
      <c r="A654" s="6">
        <f>IFERROR(MaterialsBoQ[[#This Row],[Scope Element]],0)</f>
        <v>0</v>
      </c>
      <c r="B654" t="str">
        <f>IFERROR(MaterialsBoQ[[#This Row],[Material ]],"")</f>
        <v/>
      </c>
      <c r="C654" t="str">
        <f>IFERROR(MaterialsBoQ[[#This Row],[Unit]],"")</f>
        <v/>
      </c>
      <c r="D654" s="322">
        <f>IFERROR(MaterialsBoQ[[#This Row],[Number]],0)</f>
        <v>0</v>
      </c>
      <c r="E654" s="322">
        <f>IFERROR(MaterialsBoQ[[#This Row],[Kg per unit]],0)</f>
        <v>0</v>
      </c>
      <c r="F654" s="322">
        <f>IFERROR(Calculations[[#This Row],[Number]]*Calculations[[#This Row],[Conversion factor]],0)</f>
        <v>0</v>
      </c>
      <c r="G654" s="322">
        <f>IFERROR(VLOOKUP(Calculations[[#This Row],[Material (choose from dropdown]],MaterialData[#All],7,FALSE),0)</f>
        <v>0</v>
      </c>
      <c r="H654" s="322">
        <f>Calculations[[#This Row],[Total Kg]]*Calculations[[#This Row],[Carbon Factor]]</f>
        <v>0</v>
      </c>
      <c r="I654" t="str">
        <f>IFERROR(VLOOKUP(Calculations[[#This Row],[Material (choose from dropdown]],MaterialData[#All],2,FALSE),"")</f>
        <v/>
      </c>
      <c r="J654" s="322">
        <f>IFERROR(((VLOOKUP(Calculations[[#This Row],[TransportSource]],TransportDistance[],2,FALSE)*'Stage assumptions'!$C$11)+VLOOKUP(Calculations[[#This Row],[TransportSource]],TransportDistance[],3,FALSE)*'Stage assumptions'!$C$12)*Calculations[[#This Row],[Total Kg]],0)</f>
        <v>0</v>
      </c>
      <c r="K654">
        <f>IFERROR(VLOOKUP(Calculations[[#This Row],[Material (choose from dropdown]], MaterialData[#All],3, FALSE),0)</f>
        <v>0</v>
      </c>
      <c r="L654" s="322">
        <f>IFERROR(VLOOKUP(Calculations[[#This Row],[A5type]],A5WastageRate[#All],2,FALSE)*Calculations[[#This Row],[A1-3]],0)</f>
        <v>0</v>
      </c>
      <c r="N654">
        <f>IFERROR(ROUNDUP(50/VLOOKUP(Calculations[[#This Row],[Scope Element]],B4referenceServiceLife[[Tier 2 element]:[Default Service Life]],2, FALSE)-1,0),0)</f>
        <v>0</v>
      </c>
      <c r="O654" s="322">
        <f>IFERROR((Calculations[[#This Row],[A1-3]]+Calculations[[#This Row],[A4]]+Calculations[[#This Row],[A5]]+Calculations[[#This Row],[C2 total]]+Calculations[[#This Row],[C3 total]]+Calculations[[#This Row],[C4 total]])*Calculations[[#This Row],[Replacements]],0)</f>
        <v>0</v>
      </c>
      <c r="S654" t="str">
        <f>IFERROR(VLOOKUP(Calculations[[#This Row],[Material (choose from dropdown]],MaterialData[#All],4,FALSE),"")</f>
        <v/>
      </c>
      <c r="T654" s="322" cm="1">
        <f t="array" ref="T654">IFERROR(VLOOKUP(Calculations[[#This Row],[Waste 1]],WasteScenario[#All],2,FALSE)*'Stage assumptions'!$C$225*WasteTransportMethod[Emissions Factor
kgCO2e/kg.km]*Calculations[[#This Row],[Total Kg]],0)</f>
        <v>0</v>
      </c>
      <c r="U654" s="322" cm="1">
        <f t="array" ref="U654">IFERROR(VLOOKUP(Calculations[[#This Row],[Waste 1]],WasteScenario[#All],3,FALSE)*'Stage assumptions'!$C$224*WasteTransportMethod[Emissions Factor
kgCO2e/kg.km]*Calculations[[#This Row],[Total Kg]],0)</f>
        <v>0</v>
      </c>
      <c r="V654" s="322" cm="1">
        <f t="array" ref="V654">IFERROR(VLOOKUP(Calculations[[#This Row],[Waste 1]],WasteScenario[#All],4,FALSE)*'Stage assumptions'!$C$223*WasteTransportMethod[Emissions Factor
kgCO2e/kg.km]*Calculations[[#This Row],[Total Kg]],0)</f>
        <v>0</v>
      </c>
      <c r="W654" s="322" cm="1">
        <f t="array" ref="W654">IFERROR(VLOOKUP(Calculations[[#This Row],[Waste 1]],WasteScenario[#All],5,FALSE)*'Stage assumptions'!$C$226*WasteTransportMethod[Emissions Factor
kgCO2e/kg.km]*Calculations[[#This Row],[Total Kg]],0)</f>
        <v>0</v>
      </c>
      <c r="X654" s="322">
        <f>SUM(Calculations[[#This Row],[C2 Recycle]:[C2 Reuse]])</f>
        <v>0</v>
      </c>
      <c r="Y654" t="str">
        <f>IFERROR(VLOOKUP(Calculations[[#This Row],[Material (choose from dropdown]],MaterialData[#All],5,FALSE),"")</f>
        <v/>
      </c>
      <c r="Z654" s="322">
        <f>IFERROR(((VLOOKUP(Calculations[[#This Row],[Waste type 2]],WasteDisposalEmissions[#All],2,FALSE))*Calculations[[#This Row],[Total Kg]])*VLOOKUP(Calculations[[#This Row],[Waste 1]],WasteScenario[#All],2,FALSE),0)</f>
        <v>0</v>
      </c>
      <c r="AA654" s="322">
        <f>IFERROR((VLOOKUP(Calculations[[#This Row],[Waste type 2]],WasteDisposalEmissions[#All],3,FALSE))*Calculations[[#This Row],[Total Kg]]*VLOOKUP(Calculations[[#This Row],[Waste 1]],WasteScenario[#All],3,FALSE),0)</f>
        <v>0</v>
      </c>
      <c r="AB654" s="322">
        <f>SUM(Calculations[[#This Row],[C3 recyc]:[C3 incin]])</f>
        <v>0</v>
      </c>
      <c r="AC654" s="334">
        <f>IFERROR((VLOOKUP(Calculations[[#This Row],[Waste type 2]],WasteLandfillEmissions[#All],2,FALSE))*Calculations[[#This Row],[Total Kg]]*VLOOKUP(Calculations[[#This Row],[Waste 1]],WasteScenario[#All],4,FALSE),0)</f>
        <v>0</v>
      </c>
      <c r="AD654" s="322">
        <f>IFERROR((VLOOKUP(Calculations[[#This Row],[Waste type 2]],WasteLandfillEmissions[#All],3,FALSE))*Calculations[[#This Row],[Total Kg]]*VLOOKUP(Calculations[[#This Row],[Waste 1]],WasteScenario[#All],4,FALSE),0)</f>
        <v>0</v>
      </c>
      <c r="AE654" s="322">
        <f>SUM(Calculations[[#This Row],[C4 landfill]:[C4 re-use]])</f>
        <v>0</v>
      </c>
      <c r="AF654" s="322">
        <f>IFERROR(VLOOKUP(Calculations[[#This Row],[Material (choose from dropdown]],MaterialData[#All],8,FALSE),0)</f>
        <v>0</v>
      </c>
      <c r="AG654" s="322">
        <f>IFERROR(Calculations[[#This Row],[Total Kg]]*Calculations[[#This Row],[Seq factor]],0)</f>
        <v>0</v>
      </c>
      <c r="AI654" s="322">
        <f>Calculations[[#This Row],[A1-3]]+Calculations[[#This Row],[A4]]+Calculations[[#This Row],[A5]]+Calculations[[#This Row],[B4]]+Calculations[[#This Row],[C2 total]]+Calculations[[#This Row],[C3 total]]+Calculations[[#This Row],[C4 total]]</f>
        <v>0</v>
      </c>
      <c r="AJ654" s="2">
        <f>IFERROR(VLOOKUP(Calculations[[#This Row],[Material (choose from dropdown]],MaterialData[[#Headers],[#Data]],9,FALSE),0)</f>
        <v>0</v>
      </c>
      <c r="AK654" s="4">
        <f>IFERROR(VLOOKUP(Calculations[[#This Row],[Material (choose from dropdown]],MaterialData[[#Headers],[#Data]],10,FALSE),0)</f>
        <v>0</v>
      </c>
      <c r="AL654" s="322">
        <f>IFERROR(Calculations[[#This Row],[Data Quality Score]]*Calculations[[#This Row],[Total Kg]],0)</f>
        <v>0</v>
      </c>
    </row>
    <row r="655" spans="1:38" x14ac:dyDescent="0.3">
      <c r="A655" s="6">
        <f>IFERROR(MaterialsBoQ[[#This Row],[Scope Element]],0)</f>
        <v>0</v>
      </c>
      <c r="B655" t="str">
        <f>IFERROR(MaterialsBoQ[[#This Row],[Material ]],"")</f>
        <v/>
      </c>
      <c r="C655" t="str">
        <f>IFERROR(MaterialsBoQ[[#This Row],[Unit]],"")</f>
        <v/>
      </c>
      <c r="D655" s="322">
        <f>IFERROR(MaterialsBoQ[[#This Row],[Number]],0)</f>
        <v>0</v>
      </c>
      <c r="E655" s="322">
        <f>IFERROR(MaterialsBoQ[[#This Row],[Kg per unit]],0)</f>
        <v>0</v>
      </c>
      <c r="F655" s="322">
        <f>IFERROR(Calculations[[#This Row],[Number]]*Calculations[[#This Row],[Conversion factor]],0)</f>
        <v>0</v>
      </c>
      <c r="G655" s="322">
        <f>IFERROR(VLOOKUP(Calculations[[#This Row],[Material (choose from dropdown]],MaterialData[#All],7,FALSE),0)</f>
        <v>0</v>
      </c>
      <c r="H655" s="322">
        <f>Calculations[[#This Row],[Total Kg]]*Calculations[[#This Row],[Carbon Factor]]</f>
        <v>0</v>
      </c>
      <c r="I655" t="str">
        <f>IFERROR(VLOOKUP(Calculations[[#This Row],[Material (choose from dropdown]],MaterialData[#All],2,FALSE),"")</f>
        <v/>
      </c>
      <c r="J655" s="322">
        <f>IFERROR(((VLOOKUP(Calculations[[#This Row],[TransportSource]],TransportDistance[],2,FALSE)*'Stage assumptions'!$C$11)+VLOOKUP(Calculations[[#This Row],[TransportSource]],TransportDistance[],3,FALSE)*'Stage assumptions'!$C$12)*Calculations[[#This Row],[Total Kg]],0)</f>
        <v>0</v>
      </c>
      <c r="K655">
        <f>IFERROR(VLOOKUP(Calculations[[#This Row],[Material (choose from dropdown]], MaterialData[#All],3, FALSE),0)</f>
        <v>0</v>
      </c>
      <c r="L655" s="322">
        <f>IFERROR(VLOOKUP(Calculations[[#This Row],[A5type]],A5WastageRate[#All],2,FALSE)*Calculations[[#This Row],[A1-3]],0)</f>
        <v>0</v>
      </c>
      <c r="N655">
        <f>IFERROR(ROUNDUP(50/VLOOKUP(Calculations[[#This Row],[Scope Element]],B4referenceServiceLife[[Tier 2 element]:[Default Service Life]],2, FALSE)-1,0),0)</f>
        <v>0</v>
      </c>
      <c r="O655" s="322">
        <f>IFERROR((Calculations[[#This Row],[A1-3]]+Calculations[[#This Row],[A4]]+Calculations[[#This Row],[A5]]+Calculations[[#This Row],[C2 total]]+Calculations[[#This Row],[C3 total]]+Calculations[[#This Row],[C4 total]])*Calculations[[#This Row],[Replacements]],0)</f>
        <v>0</v>
      </c>
      <c r="S655" t="str">
        <f>IFERROR(VLOOKUP(Calculations[[#This Row],[Material (choose from dropdown]],MaterialData[#All],4,FALSE),"")</f>
        <v/>
      </c>
      <c r="T655" s="322" cm="1">
        <f t="array" ref="T655">IFERROR(VLOOKUP(Calculations[[#This Row],[Waste 1]],WasteScenario[#All],2,FALSE)*'Stage assumptions'!$C$225*WasteTransportMethod[Emissions Factor
kgCO2e/kg.km]*Calculations[[#This Row],[Total Kg]],0)</f>
        <v>0</v>
      </c>
      <c r="U655" s="322" cm="1">
        <f t="array" ref="U655">IFERROR(VLOOKUP(Calculations[[#This Row],[Waste 1]],WasteScenario[#All],3,FALSE)*'Stage assumptions'!$C$224*WasteTransportMethod[Emissions Factor
kgCO2e/kg.km]*Calculations[[#This Row],[Total Kg]],0)</f>
        <v>0</v>
      </c>
      <c r="V655" s="322" cm="1">
        <f t="array" ref="V655">IFERROR(VLOOKUP(Calculations[[#This Row],[Waste 1]],WasteScenario[#All],4,FALSE)*'Stage assumptions'!$C$223*WasteTransportMethod[Emissions Factor
kgCO2e/kg.km]*Calculations[[#This Row],[Total Kg]],0)</f>
        <v>0</v>
      </c>
      <c r="W655" s="322" cm="1">
        <f t="array" ref="W655">IFERROR(VLOOKUP(Calculations[[#This Row],[Waste 1]],WasteScenario[#All],5,FALSE)*'Stage assumptions'!$C$226*WasteTransportMethod[Emissions Factor
kgCO2e/kg.km]*Calculations[[#This Row],[Total Kg]],0)</f>
        <v>0</v>
      </c>
      <c r="X655" s="322">
        <f>SUM(Calculations[[#This Row],[C2 Recycle]:[C2 Reuse]])</f>
        <v>0</v>
      </c>
      <c r="Y655" t="str">
        <f>IFERROR(VLOOKUP(Calculations[[#This Row],[Material (choose from dropdown]],MaterialData[#All],5,FALSE),"")</f>
        <v/>
      </c>
      <c r="Z655" s="322">
        <f>IFERROR(((VLOOKUP(Calculations[[#This Row],[Waste type 2]],WasteDisposalEmissions[#All],2,FALSE))*Calculations[[#This Row],[Total Kg]])*VLOOKUP(Calculations[[#This Row],[Waste 1]],WasteScenario[#All],2,FALSE),0)</f>
        <v>0</v>
      </c>
      <c r="AA655" s="322">
        <f>IFERROR((VLOOKUP(Calculations[[#This Row],[Waste type 2]],WasteDisposalEmissions[#All],3,FALSE))*Calculations[[#This Row],[Total Kg]]*VLOOKUP(Calculations[[#This Row],[Waste 1]],WasteScenario[#All],3,FALSE),0)</f>
        <v>0</v>
      </c>
      <c r="AB655" s="322">
        <f>SUM(Calculations[[#This Row],[C3 recyc]:[C3 incin]])</f>
        <v>0</v>
      </c>
      <c r="AC655" s="334">
        <f>IFERROR((VLOOKUP(Calculations[[#This Row],[Waste type 2]],WasteLandfillEmissions[#All],2,FALSE))*Calculations[[#This Row],[Total Kg]]*VLOOKUP(Calculations[[#This Row],[Waste 1]],WasteScenario[#All],4,FALSE),0)</f>
        <v>0</v>
      </c>
      <c r="AD655" s="322">
        <f>IFERROR((VLOOKUP(Calculations[[#This Row],[Waste type 2]],WasteLandfillEmissions[#All],3,FALSE))*Calculations[[#This Row],[Total Kg]]*VLOOKUP(Calculations[[#This Row],[Waste 1]],WasteScenario[#All],4,FALSE),0)</f>
        <v>0</v>
      </c>
      <c r="AE655" s="322">
        <f>SUM(Calculations[[#This Row],[C4 landfill]:[C4 re-use]])</f>
        <v>0</v>
      </c>
      <c r="AF655" s="322">
        <f>IFERROR(VLOOKUP(Calculations[[#This Row],[Material (choose from dropdown]],MaterialData[#All],8,FALSE),0)</f>
        <v>0</v>
      </c>
      <c r="AG655" s="322">
        <f>IFERROR(Calculations[[#This Row],[Total Kg]]*Calculations[[#This Row],[Seq factor]],0)</f>
        <v>0</v>
      </c>
      <c r="AI655" s="322">
        <f>Calculations[[#This Row],[A1-3]]+Calculations[[#This Row],[A4]]+Calculations[[#This Row],[A5]]+Calculations[[#This Row],[B4]]+Calculations[[#This Row],[C2 total]]+Calculations[[#This Row],[C3 total]]+Calculations[[#This Row],[C4 total]]</f>
        <v>0</v>
      </c>
      <c r="AJ655" s="2">
        <f>IFERROR(VLOOKUP(Calculations[[#This Row],[Material (choose from dropdown]],MaterialData[[#Headers],[#Data]],9,FALSE),0)</f>
        <v>0</v>
      </c>
      <c r="AK655" s="4">
        <f>IFERROR(VLOOKUP(Calculations[[#This Row],[Material (choose from dropdown]],MaterialData[[#Headers],[#Data]],10,FALSE),0)</f>
        <v>0</v>
      </c>
      <c r="AL655" s="322">
        <f>IFERROR(Calculations[[#This Row],[Data Quality Score]]*Calculations[[#This Row],[Total Kg]],0)</f>
        <v>0</v>
      </c>
    </row>
    <row r="656" spans="1:38" x14ac:dyDescent="0.3">
      <c r="A656" s="6">
        <f>IFERROR(MaterialsBoQ[[#This Row],[Scope Element]],0)</f>
        <v>0</v>
      </c>
      <c r="B656" t="str">
        <f>IFERROR(MaterialsBoQ[[#This Row],[Material ]],"")</f>
        <v/>
      </c>
      <c r="C656" t="str">
        <f>IFERROR(MaterialsBoQ[[#This Row],[Unit]],"")</f>
        <v/>
      </c>
      <c r="D656" s="322">
        <f>IFERROR(MaterialsBoQ[[#This Row],[Number]],0)</f>
        <v>0</v>
      </c>
      <c r="E656" s="322">
        <f>IFERROR(MaterialsBoQ[[#This Row],[Kg per unit]],0)</f>
        <v>0</v>
      </c>
      <c r="F656" s="322">
        <f>IFERROR(Calculations[[#This Row],[Number]]*Calculations[[#This Row],[Conversion factor]],0)</f>
        <v>0</v>
      </c>
      <c r="G656" s="322">
        <f>IFERROR(VLOOKUP(Calculations[[#This Row],[Material (choose from dropdown]],MaterialData[#All],7,FALSE),0)</f>
        <v>0</v>
      </c>
      <c r="H656" s="322">
        <f>Calculations[[#This Row],[Total Kg]]*Calculations[[#This Row],[Carbon Factor]]</f>
        <v>0</v>
      </c>
      <c r="I656" t="str">
        <f>IFERROR(VLOOKUP(Calculations[[#This Row],[Material (choose from dropdown]],MaterialData[#All],2,FALSE),"")</f>
        <v/>
      </c>
      <c r="J656" s="322">
        <f>IFERROR(((VLOOKUP(Calculations[[#This Row],[TransportSource]],TransportDistance[],2,FALSE)*'Stage assumptions'!$C$11)+VLOOKUP(Calculations[[#This Row],[TransportSource]],TransportDistance[],3,FALSE)*'Stage assumptions'!$C$12)*Calculations[[#This Row],[Total Kg]],0)</f>
        <v>0</v>
      </c>
      <c r="K656">
        <f>IFERROR(VLOOKUP(Calculations[[#This Row],[Material (choose from dropdown]], MaterialData[#All],3, FALSE),0)</f>
        <v>0</v>
      </c>
      <c r="L656" s="322">
        <f>IFERROR(VLOOKUP(Calculations[[#This Row],[A5type]],A5WastageRate[#All],2,FALSE)*Calculations[[#This Row],[A1-3]],0)</f>
        <v>0</v>
      </c>
      <c r="N656">
        <f>IFERROR(ROUNDUP(50/VLOOKUP(Calculations[[#This Row],[Scope Element]],B4referenceServiceLife[[Tier 2 element]:[Default Service Life]],2, FALSE)-1,0),0)</f>
        <v>0</v>
      </c>
      <c r="O656" s="322">
        <f>IFERROR((Calculations[[#This Row],[A1-3]]+Calculations[[#This Row],[A4]]+Calculations[[#This Row],[A5]]+Calculations[[#This Row],[C2 total]]+Calculations[[#This Row],[C3 total]]+Calculations[[#This Row],[C4 total]])*Calculations[[#This Row],[Replacements]],0)</f>
        <v>0</v>
      </c>
      <c r="S656" t="str">
        <f>IFERROR(VLOOKUP(Calculations[[#This Row],[Material (choose from dropdown]],MaterialData[#All],4,FALSE),"")</f>
        <v/>
      </c>
      <c r="T656" s="322" cm="1">
        <f t="array" ref="T656">IFERROR(VLOOKUP(Calculations[[#This Row],[Waste 1]],WasteScenario[#All],2,FALSE)*'Stage assumptions'!$C$225*WasteTransportMethod[Emissions Factor
kgCO2e/kg.km]*Calculations[[#This Row],[Total Kg]],0)</f>
        <v>0</v>
      </c>
      <c r="U656" s="322" cm="1">
        <f t="array" ref="U656">IFERROR(VLOOKUP(Calculations[[#This Row],[Waste 1]],WasteScenario[#All],3,FALSE)*'Stage assumptions'!$C$224*WasteTransportMethod[Emissions Factor
kgCO2e/kg.km]*Calculations[[#This Row],[Total Kg]],0)</f>
        <v>0</v>
      </c>
      <c r="V656" s="322" cm="1">
        <f t="array" ref="V656">IFERROR(VLOOKUP(Calculations[[#This Row],[Waste 1]],WasteScenario[#All],4,FALSE)*'Stage assumptions'!$C$223*WasteTransportMethod[Emissions Factor
kgCO2e/kg.km]*Calculations[[#This Row],[Total Kg]],0)</f>
        <v>0</v>
      </c>
      <c r="W656" s="322" cm="1">
        <f t="array" ref="W656">IFERROR(VLOOKUP(Calculations[[#This Row],[Waste 1]],WasteScenario[#All],5,FALSE)*'Stage assumptions'!$C$226*WasteTransportMethod[Emissions Factor
kgCO2e/kg.km]*Calculations[[#This Row],[Total Kg]],0)</f>
        <v>0</v>
      </c>
      <c r="X656" s="322">
        <f>SUM(Calculations[[#This Row],[C2 Recycle]:[C2 Reuse]])</f>
        <v>0</v>
      </c>
      <c r="Y656" t="str">
        <f>IFERROR(VLOOKUP(Calculations[[#This Row],[Material (choose from dropdown]],MaterialData[#All],5,FALSE),"")</f>
        <v/>
      </c>
      <c r="Z656" s="322">
        <f>IFERROR(((VLOOKUP(Calculations[[#This Row],[Waste type 2]],WasteDisposalEmissions[#All],2,FALSE))*Calculations[[#This Row],[Total Kg]])*VLOOKUP(Calculations[[#This Row],[Waste 1]],WasteScenario[#All],2,FALSE),0)</f>
        <v>0</v>
      </c>
      <c r="AA656" s="322">
        <f>IFERROR((VLOOKUP(Calculations[[#This Row],[Waste type 2]],WasteDisposalEmissions[#All],3,FALSE))*Calculations[[#This Row],[Total Kg]]*VLOOKUP(Calculations[[#This Row],[Waste 1]],WasteScenario[#All],3,FALSE),0)</f>
        <v>0</v>
      </c>
      <c r="AB656" s="322">
        <f>SUM(Calculations[[#This Row],[C3 recyc]:[C3 incin]])</f>
        <v>0</v>
      </c>
      <c r="AC656" s="334">
        <f>IFERROR((VLOOKUP(Calculations[[#This Row],[Waste type 2]],WasteLandfillEmissions[#All],2,FALSE))*Calculations[[#This Row],[Total Kg]]*VLOOKUP(Calculations[[#This Row],[Waste 1]],WasteScenario[#All],4,FALSE),0)</f>
        <v>0</v>
      </c>
      <c r="AD656" s="322">
        <f>IFERROR((VLOOKUP(Calculations[[#This Row],[Waste type 2]],WasteLandfillEmissions[#All],3,FALSE))*Calculations[[#This Row],[Total Kg]]*VLOOKUP(Calculations[[#This Row],[Waste 1]],WasteScenario[#All],4,FALSE),0)</f>
        <v>0</v>
      </c>
      <c r="AE656" s="322">
        <f>SUM(Calculations[[#This Row],[C4 landfill]:[C4 re-use]])</f>
        <v>0</v>
      </c>
      <c r="AF656" s="322">
        <f>IFERROR(VLOOKUP(Calculations[[#This Row],[Material (choose from dropdown]],MaterialData[#All],8,FALSE),0)</f>
        <v>0</v>
      </c>
      <c r="AG656" s="322">
        <f>IFERROR(Calculations[[#This Row],[Total Kg]]*Calculations[[#This Row],[Seq factor]],0)</f>
        <v>0</v>
      </c>
      <c r="AI656" s="322">
        <f>Calculations[[#This Row],[A1-3]]+Calculations[[#This Row],[A4]]+Calculations[[#This Row],[A5]]+Calculations[[#This Row],[B4]]+Calculations[[#This Row],[C2 total]]+Calculations[[#This Row],[C3 total]]+Calculations[[#This Row],[C4 total]]</f>
        <v>0</v>
      </c>
      <c r="AJ656" s="2">
        <f>IFERROR(VLOOKUP(Calculations[[#This Row],[Material (choose from dropdown]],MaterialData[[#Headers],[#Data]],9,FALSE),0)</f>
        <v>0</v>
      </c>
      <c r="AK656" s="4">
        <f>IFERROR(VLOOKUP(Calculations[[#This Row],[Material (choose from dropdown]],MaterialData[[#Headers],[#Data]],10,FALSE),0)</f>
        <v>0</v>
      </c>
      <c r="AL656" s="322">
        <f>IFERROR(Calculations[[#This Row],[Data Quality Score]]*Calculations[[#This Row],[Total Kg]],0)</f>
        <v>0</v>
      </c>
    </row>
    <row r="657" spans="1:38" x14ac:dyDescent="0.3">
      <c r="A657" s="6">
        <f>IFERROR(MaterialsBoQ[[#This Row],[Scope Element]],0)</f>
        <v>0</v>
      </c>
      <c r="B657" t="str">
        <f>IFERROR(MaterialsBoQ[[#This Row],[Material ]],"")</f>
        <v/>
      </c>
      <c r="C657" t="str">
        <f>IFERROR(MaterialsBoQ[[#This Row],[Unit]],"")</f>
        <v/>
      </c>
      <c r="D657" s="322">
        <f>IFERROR(MaterialsBoQ[[#This Row],[Number]],0)</f>
        <v>0</v>
      </c>
      <c r="E657" s="322">
        <f>IFERROR(MaterialsBoQ[[#This Row],[Kg per unit]],0)</f>
        <v>0</v>
      </c>
      <c r="F657" s="322">
        <f>IFERROR(Calculations[[#This Row],[Number]]*Calculations[[#This Row],[Conversion factor]],0)</f>
        <v>0</v>
      </c>
      <c r="G657" s="322">
        <f>IFERROR(VLOOKUP(Calculations[[#This Row],[Material (choose from dropdown]],MaterialData[#All],7,FALSE),0)</f>
        <v>0</v>
      </c>
      <c r="H657" s="322">
        <f>Calculations[[#This Row],[Total Kg]]*Calculations[[#This Row],[Carbon Factor]]</f>
        <v>0</v>
      </c>
      <c r="I657" t="str">
        <f>IFERROR(VLOOKUP(Calculations[[#This Row],[Material (choose from dropdown]],MaterialData[#All],2,FALSE),"")</f>
        <v/>
      </c>
      <c r="J657" s="322">
        <f>IFERROR(((VLOOKUP(Calculations[[#This Row],[TransportSource]],TransportDistance[],2,FALSE)*'Stage assumptions'!$C$11)+VLOOKUP(Calculations[[#This Row],[TransportSource]],TransportDistance[],3,FALSE)*'Stage assumptions'!$C$12)*Calculations[[#This Row],[Total Kg]],0)</f>
        <v>0</v>
      </c>
      <c r="K657">
        <f>IFERROR(VLOOKUP(Calculations[[#This Row],[Material (choose from dropdown]], MaterialData[#All],3, FALSE),0)</f>
        <v>0</v>
      </c>
      <c r="L657" s="322">
        <f>IFERROR(VLOOKUP(Calculations[[#This Row],[A5type]],A5WastageRate[#All],2,FALSE)*Calculations[[#This Row],[A1-3]],0)</f>
        <v>0</v>
      </c>
      <c r="N657">
        <f>IFERROR(ROUNDUP(50/VLOOKUP(Calculations[[#This Row],[Scope Element]],B4referenceServiceLife[[Tier 2 element]:[Default Service Life]],2, FALSE)-1,0),0)</f>
        <v>0</v>
      </c>
      <c r="O657" s="322">
        <f>IFERROR((Calculations[[#This Row],[A1-3]]+Calculations[[#This Row],[A4]]+Calculations[[#This Row],[A5]]+Calculations[[#This Row],[C2 total]]+Calculations[[#This Row],[C3 total]]+Calculations[[#This Row],[C4 total]])*Calculations[[#This Row],[Replacements]],0)</f>
        <v>0</v>
      </c>
      <c r="S657" t="str">
        <f>IFERROR(VLOOKUP(Calculations[[#This Row],[Material (choose from dropdown]],MaterialData[#All],4,FALSE),"")</f>
        <v/>
      </c>
      <c r="T657" s="322" cm="1">
        <f t="array" ref="T657">IFERROR(VLOOKUP(Calculations[[#This Row],[Waste 1]],WasteScenario[#All],2,FALSE)*'Stage assumptions'!$C$225*WasteTransportMethod[Emissions Factor
kgCO2e/kg.km]*Calculations[[#This Row],[Total Kg]],0)</f>
        <v>0</v>
      </c>
      <c r="U657" s="322" cm="1">
        <f t="array" ref="U657">IFERROR(VLOOKUP(Calculations[[#This Row],[Waste 1]],WasteScenario[#All],3,FALSE)*'Stage assumptions'!$C$224*WasteTransportMethod[Emissions Factor
kgCO2e/kg.km]*Calculations[[#This Row],[Total Kg]],0)</f>
        <v>0</v>
      </c>
      <c r="V657" s="322" cm="1">
        <f t="array" ref="V657">IFERROR(VLOOKUP(Calculations[[#This Row],[Waste 1]],WasteScenario[#All],4,FALSE)*'Stage assumptions'!$C$223*WasteTransportMethod[Emissions Factor
kgCO2e/kg.km]*Calculations[[#This Row],[Total Kg]],0)</f>
        <v>0</v>
      </c>
      <c r="W657" s="322" cm="1">
        <f t="array" ref="W657">IFERROR(VLOOKUP(Calculations[[#This Row],[Waste 1]],WasteScenario[#All],5,FALSE)*'Stage assumptions'!$C$226*WasteTransportMethod[Emissions Factor
kgCO2e/kg.km]*Calculations[[#This Row],[Total Kg]],0)</f>
        <v>0</v>
      </c>
      <c r="X657" s="322">
        <f>SUM(Calculations[[#This Row],[C2 Recycle]:[C2 Reuse]])</f>
        <v>0</v>
      </c>
      <c r="Y657" t="str">
        <f>IFERROR(VLOOKUP(Calculations[[#This Row],[Material (choose from dropdown]],MaterialData[#All],5,FALSE),"")</f>
        <v/>
      </c>
      <c r="Z657" s="322">
        <f>IFERROR(((VLOOKUP(Calculations[[#This Row],[Waste type 2]],WasteDisposalEmissions[#All],2,FALSE))*Calculations[[#This Row],[Total Kg]])*VLOOKUP(Calculations[[#This Row],[Waste 1]],WasteScenario[#All],2,FALSE),0)</f>
        <v>0</v>
      </c>
      <c r="AA657" s="322">
        <f>IFERROR((VLOOKUP(Calculations[[#This Row],[Waste type 2]],WasteDisposalEmissions[#All],3,FALSE))*Calculations[[#This Row],[Total Kg]]*VLOOKUP(Calculations[[#This Row],[Waste 1]],WasteScenario[#All],3,FALSE),0)</f>
        <v>0</v>
      </c>
      <c r="AB657" s="322">
        <f>SUM(Calculations[[#This Row],[C3 recyc]:[C3 incin]])</f>
        <v>0</v>
      </c>
      <c r="AC657" s="334">
        <f>IFERROR((VLOOKUP(Calculations[[#This Row],[Waste type 2]],WasteLandfillEmissions[#All],2,FALSE))*Calculations[[#This Row],[Total Kg]]*VLOOKUP(Calculations[[#This Row],[Waste 1]],WasteScenario[#All],4,FALSE),0)</f>
        <v>0</v>
      </c>
      <c r="AD657" s="322">
        <f>IFERROR((VLOOKUP(Calculations[[#This Row],[Waste type 2]],WasteLandfillEmissions[#All],3,FALSE))*Calculations[[#This Row],[Total Kg]]*VLOOKUP(Calculations[[#This Row],[Waste 1]],WasteScenario[#All],4,FALSE),0)</f>
        <v>0</v>
      </c>
      <c r="AE657" s="322">
        <f>SUM(Calculations[[#This Row],[C4 landfill]:[C4 re-use]])</f>
        <v>0</v>
      </c>
      <c r="AF657" s="322">
        <f>IFERROR(VLOOKUP(Calculations[[#This Row],[Material (choose from dropdown]],MaterialData[#All],8,FALSE),0)</f>
        <v>0</v>
      </c>
      <c r="AG657" s="322">
        <f>IFERROR(Calculations[[#This Row],[Total Kg]]*Calculations[[#This Row],[Seq factor]],0)</f>
        <v>0</v>
      </c>
      <c r="AI657" s="322">
        <f>Calculations[[#This Row],[A1-3]]+Calculations[[#This Row],[A4]]+Calculations[[#This Row],[A5]]+Calculations[[#This Row],[B4]]+Calculations[[#This Row],[C2 total]]+Calculations[[#This Row],[C3 total]]+Calculations[[#This Row],[C4 total]]</f>
        <v>0</v>
      </c>
      <c r="AJ657" s="2">
        <f>IFERROR(VLOOKUP(Calculations[[#This Row],[Material (choose from dropdown]],MaterialData[[#Headers],[#Data]],9,FALSE),0)</f>
        <v>0</v>
      </c>
      <c r="AK657" s="4">
        <f>IFERROR(VLOOKUP(Calculations[[#This Row],[Material (choose from dropdown]],MaterialData[[#Headers],[#Data]],10,FALSE),0)</f>
        <v>0</v>
      </c>
      <c r="AL657" s="322">
        <f>IFERROR(Calculations[[#This Row],[Data Quality Score]]*Calculations[[#This Row],[Total Kg]],0)</f>
        <v>0</v>
      </c>
    </row>
    <row r="658" spans="1:38" x14ac:dyDescent="0.3">
      <c r="A658" s="6">
        <f>IFERROR(MaterialsBoQ[[#This Row],[Scope Element]],0)</f>
        <v>0</v>
      </c>
      <c r="B658" t="str">
        <f>IFERROR(MaterialsBoQ[[#This Row],[Material ]],"")</f>
        <v/>
      </c>
      <c r="C658" t="str">
        <f>IFERROR(MaterialsBoQ[[#This Row],[Unit]],"")</f>
        <v/>
      </c>
      <c r="D658" s="322">
        <f>IFERROR(MaterialsBoQ[[#This Row],[Number]],0)</f>
        <v>0</v>
      </c>
      <c r="E658" s="322">
        <f>IFERROR(MaterialsBoQ[[#This Row],[Kg per unit]],0)</f>
        <v>0</v>
      </c>
      <c r="F658" s="322">
        <f>IFERROR(Calculations[[#This Row],[Number]]*Calculations[[#This Row],[Conversion factor]],0)</f>
        <v>0</v>
      </c>
      <c r="G658" s="322">
        <f>IFERROR(VLOOKUP(Calculations[[#This Row],[Material (choose from dropdown]],MaterialData[#All],7,FALSE),0)</f>
        <v>0</v>
      </c>
      <c r="H658" s="322">
        <f>Calculations[[#This Row],[Total Kg]]*Calculations[[#This Row],[Carbon Factor]]</f>
        <v>0</v>
      </c>
      <c r="I658" t="str">
        <f>IFERROR(VLOOKUP(Calculations[[#This Row],[Material (choose from dropdown]],MaterialData[#All],2,FALSE),"")</f>
        <v/>
      </c>
      <c r="J658" s="322">
        <f>IFERROR(((VLOOKUP(Calculations[[#This Row],[TransportSource]],TransportDistance[],2,FALSE)*'Stage assumptions'!$C$11)+VLOOKUP(Calculations[[#This Row],[TransportSource]],TransportDistance[],3,FALSE)*'Stage assumptions'!$C$12)*Calculations[[#This Row],[Total Kg]],0)</f>
        <v>0</v>
      </c>
      <c r="K658">
        <f>IFERROR(VLOOKUP(Calculations[[#This Row],[Material (choose from dropdown]], MaterialData[#All],3, FALSE),0)</f>
        <v>0</v>
      </c>
      <c r="L658" s="322">
        <f>IFERROR(VLOOKUP(Calculations[[#This Row],[A5type]],A5WastageRate[#All],2,FALSE)*Calculations[[#This Row],[A1-3]],0)</f>
        <v>0</v>
      </c>
      <c r="N658">
        <f>IFERROR(ROUNDUP(50/VLOOKUP(Calculations[[#This Row],[Scope Element]],B4referenceServiceLife[[Tier 2 element]:[Default Service Life]],2, FALSE)-1,0),0)</f>
        <v>0</v>
      </c>
      <c r="O658" s="322">
        <f>IFERROR((Calculations[[#This Row],[A1-3]]+Calculations[[#This Row],[A4]]+Calculations[[#This Row],[A5]]+Calculations[[#This Row],[C2 total]]+Calculations[[#This Row],[C3 total]]+Calculations[[#This Row],[C4 total]])*Calculations[[#This Row],[Replacements]],0)</f>
        <v>0</v>
      </c>
      <c r="S658" t="str">
        <f>IFERROR(VLOOKUP(Calculations[[#This Row],[Material (choose from dropdown]],MaterialData[#All],4,FALSE),"")</f>
        <v/>
      </c>
      <c r="T658" s="322" cm="1">
        <f t="array" ref="T658">IFERROR(VLOOKUP(Calculations[[#This Row],[Waste 1]],WasteScenario[#All],2,FALSE)*'Stage assumptions'!$C$225*WasteTransportMethod[Emissions Factor
kgCO2e/kg.km]*Calculations[[#This Row],[Total Kg]],0)</f>
        <v>0</v>
      </c>
      <c r="U658" s="322" cm="1">
        <f t="array" ref="U658">IFERROR(VLOOKUP(Calculations[[#This Row],[Waste 1]],WasteScenario[#All],3,FALSE)*'Stage assumptions'!$C$224*WasteTransportMethod[Emissions Factor
kgCO2e/kg.km]*Calculations[[#This Row],[Total Kg]],0)</f>
        <v>0</v>
      </c>
      <c r="V658" s="322" cm="1">
        <f t="array" ref="V658">IFERROR(VLOOKUP(Calculations[[#This Row],[Waste 1]],WasteScenario[#All],4,FALSE)*'Stage assumptions'!$C$223*WasteTransportMethod[Emissions Factor
kgCO2e/kg.km]*Calculations[[#This Row],[Total Kg]],0)</f>
        <v>0</v>
      </c>
      <c r="W658" s="322" cm="1">
        <f t="array" ref="W658">IFERROR(VLOOKUP(Calculations[[#This Row],[Waste 1]],WasteScenario[#All],5,FALSE)*'Stage assumptions'!$C$226*WasteTransportMethod[Emissions Factor
kgCO2e/kg.km]*Calculations[[#This Row],[Total Kg]],0)</f>
        <v>0</v>
      </c>
      <c r="X658" s="322">
        <f>SUM(Calculations[[#This Row],[C2 Recycle]:[C2 Reuse]])</f>
        <v>0</v>
      </c>
      <c r="Y658" t="str">
        <f>IFERROR(VLOOKUP(Calculations[[#This Row],[Material (choose from dropdown]],MaterialData[#All],5,FALSE),"")</f>
        <v/>
      </c>
      <c r="Z658" s="322">
        <f>IFERROR(((VLOOKUP(Calculations[[#This Row],[Waste type 2]],WasteDisposalEmissions[#All],2,FALSE))*Calculations[[#This Row],[Total Kg]])*VLOOKUP(Calculations[[#This Row],[Waste 1]],WasteScenario[#All],2,FALSE),0)</f>
        <v>0</v>
      </c>
      <c r="AA658" s="322">
        <f>IFERROR((VLOOKUP(Calculations[[#This Row],[Waste type 2]],WasteDisposalEmissions[#All],3,FALSE))*Calculations[[#This Row],[Total Kg]]*VLOOKUP(Calculations[[#This Row],[Waste 1]],WasteScenario[#All],3,FALSE),0)</f>
        <v>0</v>
      </c>
      <c r="AB658" s="322">
        <f>SUM(Calculations[[#This Row],[C3 recyc]:[C3 incin]])</f>
        <v>0</v>
      </c>
      <c r="AC658" s="334">
        <f>IFERROR((VLOOKUP(Calculations[[#This Row],[Waste type 2]],WasteLandfillEmissions[#All],2,FALSE))*Calculations[[#This Row],[Total Kg]]*VLOOKUP(Calculations[[#This Row],[Waste 1]],WasteScenario[#All],4,FALSE),0)</f>
        <v>0</v>
      </c>
      <c r="AD658" s="322">
        <f>IFERROR((VLOOKUP(Calculations[[#This Row],[Waste type 2]],WasteLandfillEmissions[#All],3,FALSE))*Calculations[[#This Row],[Total Kg]]*VLOOKUP(Calculations[[#This Row],[Waste 1]],WasteScenario[#All],4,FALSE),0)</f>
        <v>0</v>
      </c>
      <c r="AE658" s="322">
        <f>SUM(Calculations[[#This Row],[C4 landfill]:[C4 re-use]])</f>
        <v>0</v>
      </c>
      <c r="AF658" s="322">
        <f>IFERROR(VLOOKUP(Calculations[[#This Row],[Material (choose from dropdown]],MaterialData[#All],8,FALSE),0)</f>
        <v>0</v>
      </c>
      <c r="AG658" s="322">
        <f>IFERROR(Calculations[[#This Row],[Total Kg]]*Calculations[[#This Row],[Seq factor]],0)</f>
        <v>0</v>
      </c>
      <c r="AI658" s="322">
        <f>Calculations[[#This Row],[A1-3]]+Calculations[[#This Row],[A4]]+Calculations[[#This Row],[A5]]+Calculations[[#This Row],[B4]]+Calculations[[#This Row],[C2 total]]+Calculations[[#This Row],[C3 total]]+Calculations[[#This Row],[C4 total]]</f>
        <v>0</v>
      </c>
      <c r="AJ658" s="2">
        <f>IFERROR(VLOOKUP(Calculations[[#This Row],[Material (choose from dropdown]],MaterialData[[#Headers],[#Data]],9,FALSE),0)</f>
        <v>0</v>
      </c>
      <c r="AK658" s="4">
        <f>IFERROR(VLOOKUP(Calculations[[#This Row],[Material (choose from dropdown]],MaterialData[[#Headers],[#Data]],10,FALSE),0)</f>
        <v>0</v>
      </c>
      <c r="AL658" s="322">
        <f>IFERROR(Calculations[[#This Row],[Data Quality Score]]*Calculations[[#This Row],[Total Kg]],0)</f>
        <v>0</v>
      </c>
    </row>
    <row r="659" spans="1:38" x14ac:dyDescent="0.3">
      <c r="A659" s="6">
        <f>IFERROR(MaterialsBoQ[[#This Row],[Scope Element]],0)</f>
        <v>0</v>
      </c>
      <c r="B659" t="str">
        <f>IFERROR(MaterialsBoQ[[#This Row],[Material ]],"")</f>
        <v/>
      </c>
      <c r="C659" t="str">
        <f>IFERROR(MaterialsBoQ[[#This Row],[Unit]],"")</f>
        <v/>
      </c>
      <c r="D659" s="322">
        <f>IFERROR(MaterialsBoQ[[#This Row],[Number]],0)</f>
        <v>0</v>
      </c>
      <c r="E659" s="322">
        <f>IFERROR(MaterialsBoQ[[#This Row],[Kg per unit]],0)</f>
        <v>0</v>
      </c>
      <c r="F659" s="322">
        <f>IFERROR(Calculations[[#This Row],[Number]]*Calculations[[#This Row],[Conversion factor]],0)</f>
        <v>0</v>
      </c>
      <c r="G659" s="322">
        <f>IFERROR(VLOOKUP(Calculations[[#This Row],[Material (choose from dropdown]],MaterialData[#All],7,FALSE),0)</f>
        <v>0</v>
      </c>
      <c r="H659" s="322">
        <f>Calculations[[#This Row],[Total Kg]]*Calculations[[#This Row],[Carbon Factor]]</f>
        <v>0</v>
      </c>
      <c r="I659" t="str">
        <f>IFERROR(VLOOKUP(Calculations[[#This Row],[Material (choose from dropdown]],MaterialData[#All],2,FALSE),"")</f>
        <v/>
      </c>
      <c r="J659" s="322">
        <f>IFERROR(((VLOOKUP(Calculations[[#This Row],[TransportSource]],TransportDistance[],2,FALSE)*'Stage assumptions'!$C$11)+VLOOKUP(Calculations[[#This Row],[TransportSource]],TransportDistance[],3,FALSE)*'Stage assumptions'!$C$12)*Calculations[[#This Row],[Total Kg]],0)</f>
        <v>0</v>
      </c>
      <c r="K659">
        <f>IFERROR(VLOOKUP(Calculations[[#This Row],[Material (choose from dropdown]], MaterialData[#All],3, FALSE),0)</f>
        <v>0</v>
      </c>
      <c r="L659" s="322">
        <f>IFERROR(VLOOKUP(Calculations[[#This Row],[A5type]],A5WastageRate[#All],2,FALSE)*Calculations[[#This Row],[A1-3]],0)</f>
        <v>0</v>
      </c>
      <c r="N659">
        <f>IFERROR(ROUNDUP(50/VLOOKUP(Calculations[[#This Row],[Scope Element]],B4referenceServiceLife[[Tier 2 element]:[Default Service Life]],2, FALSE)-1,0),0)</f>
        <v>0</v>
      </c>
      <c r="O659" s="322">
        <f>IFERROR((Calculations[[#This Row],[A1-3]]+Calculations[[#This Row],[A4]]+Calculations[[#This Row],[A5]]+Calculations[[#This Row],[C2 total]]+Calculations[[#This Row],[C3 total]]+Calculations[[#This Row],[C4 total]])*Calculations[[#This Row],[Replacements]],0)</f>
        <v>0</v>
      </c>
      <c r="S659" t="str">
        <f>IFERROR(VLOOKUP(Calculations[[#This Row],[Material (choose from dropdown]],MaterialData[#All],4,FALSE),"")</f>
        <v/>
      </c>
      <c r="T659" s="322" cm="1">
        <f t="array" ref="T659">IFERROR(VLOOKUP(Calculations[[#This Row],[Waste 1]],WasteScenario[#All],2,FALSE)*'Stage assumptions'!$C$225*WasteTransportMethod[Emissions Factor
kgCO2e/kg.km]*Calculations[[#This Row],[Total Kg]],0)</f>
        <v>0</v>
      </c>
      <c r="U659" s="322" cm="1">
        <f t="array" ref="U659">IFERROR(VLOOKUP(Calculations[[#This Row],[Waste 1]],WasteScenario[#All],3,FALSE)*'Stage assumptions'!$C$224*WasteTransportMethod[Emissions Factor
kgCO2e/kg.km]*Calculations[[#This Row],[Total Kg]],0)</f>
        <v>0</v>
      </c>
      <c r="V659" s="322" cm="1">
        <f t="array" ref="V659">IFERROR(VLOOKUP(Calculations[[#This Row],[Waste 1]],WasteScenario[#All],4,FALSE)*'Stage assumptions'!$C$223*WasteTransportMethod[Emissions Factor
kgCO2e/kg.km]*Calculations[[#This Row],[Total Kg]],0)</f>
        <v>0</v>
      </c>
      <c r="W659" s="322" cm="1">
        <f t="array" ref="W659">IFERROR(VLOOKUP(Calculations[[#This Row],[Waste 1]],WasteScenario[#All],5,FALSE)*'Stage assumptions'!$C$226*WasteTransportMethod[Emissions Factor
kgCO2e/kg.km]*Calculations[[#This Row],[Total Kg]],0)</f>
        <v>0</v>
      </c>
      <c r="X659" s="322">
        <f>SUM(Calculations[[#This Row],[C2 Recycle]:[C2 Reuse]])</f>
        <v>0</v>
      </c>
      <c r="Y659" t="str">
        <f>IFERROR(VLOOKUP(Calculations[[#This Row],[Material (choose from dropdown]],MaterialData[#All],5,FALSE),"")</f>
        <v/>
      </c>
      <c r="Z659" s="322">
        <f>IFERROR(((VLOOKUP(Calculations[[#This Row],[Waste type 2]],WasteDisposalEmissions[#All],2,FALSE))*Calculations[[#This Row],[Total Kg]])*VLOOKUP(Calculations[[#This Row],[Waste 1]],WasteScenario[#All],2,FALSE),0)</f>
        <v>0</v>
      </c>
      <c r="AA659" s="322">
        <f>IFERROR((VLOOKUP(Calculations[[#This Row],[Waste type 2]],WasteDisposalEmissions[#All],3,FALSE))*Calculations[[#This Row],[Total Kg]]*VLOOKUP(Calculations[[#This Row],[Waste 1]],WasteScenario[#All],3,FALSE),0)</f>
        <v>0</v>
      </c>
      <c r="AB659" s="322">
        <f>SUM(Calculations[[#This Row],[C3 recyc]:[C3 incin]])</f>
        <v>0</v>
      </c>
      <c r="AC659" s="334">
        <f>IFERROR((VLOOKUP(Calculations[[#This Row],[Waste type 2]],WasteLandfillEmissions[#All],2,FALSE))*Calculations[[#This Row],[Total Kg]]*VLOOKUP(Calculations[[#This Row],[Waste 1]],WasteScenario[#All],4,FALSE),0)</f>
        <v>0</v>
      </c>
      <c r="AD659" s="322">
        <f>IFERROR((VLOOKUP(Calculations[[#This Row],[Waste type 2]],WasteLandfillEmissions[#All],3,FALSE))*Calculations[[#This Row],[Total Kg]]*VLOOKUP(Calculations[[#This Row],[Waste 1]],WasteScenario[#All],4,FALSE),0)</f>
        <v>0</v>
      </c>
      <c r="AE659" s="322">
        <f>SUM(Calculations[[#This Row],[C4 landfill]:[C4 re-use]])</f>
        <v>0</v>
      </c>
      <c r="AF659" s="322">
        <f>IFERROR(VLOOKUP(Calculations[[#This Row],[Material (choose from dropdown]],MaterialData[#All],8,FALSE),0)</f>
        <v>0</v>
      </c>
      <c r="AG659" s="322">
        <f>IFERROR(Calculations[[#This Row],[Total Kg]]*Calculations[[#This Row],[Seq factor]],0)</f>
        <v>0</v>
      </c>
      <c r="AI659" s="322">
        <f>Calculations[[#This Row],[A1-3]]+Calculations[[#This Row],[A4]]+Calculations[[#This Row],[A5]]+Calculations[[#This Row],[B4]]+Calculations[[#This Row],[C2 total]]+Calculations[[#This Row],[C3 total]]+Calculations[[#This Row],[C4 total]]</f>
        <v>0</v>
      </c>
      <c r="AJ659" s="2">
        <f>IFERROR(VLOOKUP(Calculations[[#This Row],[Material (choose from dropdown]],MaterialData[[#Headers],[#Data]],9,FALSE),0)</f>
        <v>0</v>
      </c>
      <c r="AK659" s="4">
        <f>IFERROR(VLOOKUP(Calculations[[#This Row],[Material (choose from dropdown]],MaterialData[[#Headers],[#Data]],10,FALSE),0)</f>
        <v>0</v>
      </c>
      <c r="AL659" s="322">
        <f>IFERROR(Calculations[[#This Row],[Data Quality Score]]*Calculations[[#This Row],[Total Kg]],0)</f>
        <v>0</v>
      </c>
    </row>
    <row r="660" spans="1:38" x14ac:dyDescent="0.3">
      <c r="A660" s="6">
        <f>IFERROR(MaterialsBoQ[[#This Row],[Scope Element]],0)</f>
        <v>0</v>
      </c>
      <c r="B660" t="str">
        <f>IFERROR(MaterialsBoQ[[#This Row],[Material ]],"")</f>
        <v/>
      </c>
      <c r="C660" t="str">
        <f>IFERROR(MaterialsBoQ[[#This Row],[Unit]],"")</f>
        <v/>
      </c>
      <c r="D660" s="322">
        <f>IFERROR(MaterialsBoQ[[#This Row],[Number]],0)</f>
        <v>0</v>
      </c>
      <c r="E660" s="322">
        <f>IFERROR(MaterialsBoQ[[#This Row],[Kg per unit]],0)</f>
        <v>0</v>
      </c>
      <c r="F660" s="322">
        <f>IFERROR(Calculations[[#This Row],[Number]]*Calculations[[#This Row],[Conversion factor]],0)</f>
        <v>0</v>
      </c>
      <c r="G660" s="322">
        <f>IFERROR(VLOOKUP(Calculations[[#This Row],[Material (choose from dropdown]],MaterialData[#All],7,FALSE),0)</f>
        <v>0</v>
      </c>
      <c r="H660" s="322">
        <f>Calculations[[#This Row],[Total Kg]]*Calculations[[#This Row],[Carbon Factor]]</f>
        <v>0</v>
      </c>
      <c r="I660" t="str">
        <f>IFERROR(VLOOKUP(Calculations[[#This Row],[Material (choose from dropdown]],MaterialData[#All],2,FALSE),"")</f>
        <v/>
      </c>
      <c r="J660" s="322">
        <f>IFERROR(((VLOOKUP(Calculations[[#This Row],[TransportSource]],TransportDistance[],2,FALSE)*'Stage assumptions'!$C$11)+VLOOKUP(Calculations[[#This Row],[TransportSource]],TransportDistance[],3,FALSE)*'Stage assumptions'!$C$12)*Calculations[[#This Row],[Total Kg]],0)</f>
        <v>0</v>
      </c>
      <c r="K660">
        <f>IFERROR(VLOOKUP(Calculations[[#This Row],[Material (choose from dropdown]], MaterialData[#All],3, FALSE),0)</f>
        <v>0</v>
      </c>
      <c r="L660" s="322">
        <f>IFERROR(VLOOKUP(Calculations[[#This Row],[A5type]],A5WastageRate[#All],2,FALSE)*Calculations[[#This Row],[A1-3]],0)</f>
        <v>0</v>
      </c>
      <c r="N660">
        <f>IFERROR(ROUNDUP(50/VLOOKUP(Calculations[[#This Row],[Scope Element]],B4referenceServiceLife[[Tier 2 element]:[Default Service Life]],2, FALSE)-1,0),0)</f>
        <v>0</v>
      </c>
      <c r="O660" s="322">
        <f>IFERROR((Calculations[[#This Row],[A1-3]]+Calculations[[#This Row],[A4]]+Calculations[[#This Row],[A5]]+Calculations[[#This Row],[C2 total]]+Calculations[[#This Row],[C3 total]]+Calculations[[#This Row],[C4 total]])*Calculations[[#This Row],[Replacements]],0)</f>
        <v>0</v>
      </c>
      <c r="S660" t="str">
        <f>IFERROR(VLOOKUP(Calculations[[#This Row],[Material (choose from dropdown]],MaterialData[#All],4,FALSE),"")</f>
        <v/>
      </c>
      <c r="T660" s="322" cm="1">
        <f t="array" ref="T660">IFERROR(VLOOKUP(Calculations[[#This Row],[Waste 1]],WasteScenario[#All],2,FALSE)*'Stage assumptions'!$C$225*WasteTransportMethod[Emissions Factor
kgCO2e/kg.km]*Calculations[[#This Row],[Total Kg]],0)</f>
        <v>0</v>
      </c>
      <c r="U660" s="322" cm="1">
        <f t="array" ref="U660">IFERROR(VLOOKUP(Calculations[[#This Row],[Waste 1]],WasteScenario[#All],3,FALSE)*'Stage assumptions'!$C$224*WasteTransportMethod[Emissions Factor
kgCO2e/kg.km]*Calculations[[#This Row],[Total Kg]],0)</f>
        <v>0</v>
      </c>
      <c r="V660" s="322" cm="1">
        <f t="array" ref="V660">IFERROR(VLOOKUP(Calculations[[#This Row],[Waste 1]],WasteScenario[#All],4,FALSE)*'Stage assumptions'!$C$223*WasteTransportMethod[Emissions Factor
kgCO2e/kg.km]*Calculations[[#This Row],[Total Kg]],0)</f>
        <v>0</v>
      </c>
      <c r="W660" s="322" cm="1">
        <f t="array" ref="W660">IFERROR(VLOOKUP(Calculations[[#This Row],[Waste 1]],WasteScenario[#All],5,FALSE)*'Stage assumptions'!$C$226*WasteTransportMethod[Emissions Factor
kgCO2e/kg.km]*Calculations[[#This Row],[Total Kg]],0)</f>
        <v>0</v>
      </c>
      <c r="X660" s="322">
        <f>SUM(Calculations[[#This Row],[C2 Recycle]:[C2 Reuse]])</f>
        <v>0</v>
      </c>
      <c r="Y660" t="str">
        <f>IFERROR(VLOOKUP(Calculations[[#This Row],[Material (choose from dropdown]],MaterialData[#All],5,FALSE),"")</f>
        <v/>
      </c>
      <c r="Z660" s="322">
        <f>IFERROR(((VLOOKUP(Calculations[[#This Row],[Waste type 2]],WasteDisposalEmissions[#All],2,FALSE))*Calculations[[#This Row],[Total Kg]])*VLOOKUP(Calculations[[#This Row],[Waste 1]],WasteScenario[#All],2,FALSE),0)</f>
        <v>0</v>
      </c>
      <c r="AA660" s="322">
        <f>IFERROR((VLOOKUP(Calculations[[#This Row],[Waste type 2]],WasteDisposalEmissions[#All],3,FALSE))*Calculations[[#This Row],[Total Kg]]*VLOOKUP(Calculations[[#This Row],[Waste 1]],WasteScenario[#All],3,FALSE),0)</f>
        <v>0</v>
      </c>
      <c r="AB660" s="322">
        <f>SUM(Calculations[[#This Row],[C3 recyc]:[C3 incin]])</f>
        <v>0</v>
      </c>
      <c r="AC660" s="334">
        <f>IFERROR((VLOOKUP(Calculations[[#This Row],[Waste type 2]],WasteLandfillEmissions[#All],2,FALSE))*Calculations[[#This Row],[Total Kg]]*VLOOKUP(Calculations[[#This Row],[Waste 1]],WasteScenario[#All],4,FALSE),0)</f>
        <v>0</v>
      </c>
      <c r="AD660" s="322">
        <f>IFERROR((VLOOKUP(Calculations[[#This Row],[Waste type 2]],WasteLandfillEmissions[#All],3,FALSE))*Calculations[[#This Row],[Total Kg]]*VLOOKUP(Calculations[[#This Row],[Waste 1]],WasteScenario[#All],4,FALSE),0)</f>
        <v>0</v>
      </c>
      <c r="AE660" s="322">
        <f>SUM(Calculations[[#This Row],[C4 landfill]:[C4 re-use]])</f>
        <v>0</v>
      </c>
      <c r="AF660" s="322">
        <f>IFERROR(VLOOKUP(Calculations[[#This Row],[Material (choose from dropdown]],MaterialData[#All],8,FALSE),0)</f>
        <v>0</v>
      </c>
      <c r="AG660" s="322">
        <f>IFERROR(Calculations[[#This Row],[Total Kg]]*Calculations[[#This Row],[Seq factor]],0)</f>
        <v>0</v>
      </c>
      <c r="AI660" s="322">
        <f>Calculations[[#This Row],[A1-3]]+Calculations[[#This Row],[A4]]+Calculations[[#This Row],[A5]]+Calculations[[#This Row],[B4]]+Calculations[[#This Row],[C2 total]]+Calculations[[#This Row],[C3 total]]+Calculations[[#This Row],[C4 total]]</f>
        <v>0</v>
      </c>
      <c r="AJ660" s="2">
        <f>IFERROR(VLOOKUP(Calculations[[#This Row],[Material (choose from dropdown]],MaterialData[[#Headers],[#Data]],9,FALSE),0)</f>
        <v>0</v>
      </c>
      <c r="AK660" s="4">
        <f>IFERROR(VLOOKUP(Calculations[[#This Row],[Material (choose from dropdown]],MaterialData[[#Headers],[#Data]],10,FALSE),0)</f>
        <v>0</v>
      </c>
      <c r="AL660" s="322">
        <f>IFERROR(Calculations[[#This Row],[Data Quality Score]]*Calculations[[#This Row],[Total Kg]],0)</f>
        <v>0</v>
      </c>
    </row>
    <row r="661" spans="1:38" x14ac:dyDescent="0.3">
      <c r="A661" s="6">
        <f>IFERROR(MaterialsBoQ[[#This Row],[Scope Element]],0)</f>
        <v>0</v>
      </c>
      <c r="B661" t="str">
        <f>IFERROR(MaterialsBoQ[[#This Row],[Material ]],"")</f>
        <v/>
      </c>
      <c r="C661" t="str">
        <f>IFERROR(MaterialsBoQ[[#This Row],[Unit]],"")</f>
        <v/>
      </c>
      <c r="D661" s="322">
        <f>IFERROR(MaterialsBoQ[[#This Row],[Number]],0)</f>
        <v>0</v>
      </c>
      <c r="E661" s="322">
        <f>IFERROR(MaterialsBoQ[[#This Row],[Kg per unit]],0)</f>
        <v>0</v>
      </c>
      <c r="F661" s="322">
        <f>IFERROR(Calculations[[#This Row],[Number]]*Calculations[[#This Row],[Conversion factor]],0)</f>
        <v>0</v>
      </c>
      <c r="G661" s="322">
        <f>IFERROR(VLOOKUP(Calculations[[#This Row],[Material (choose from dropdown]],MaterialData[#All],7,FALSE),0)</f>
        <v>0</v>
      </c>
      <c r="H661" s="322">
        <f>Calculations[[#This Row],[Total Kg]]*Calculations[[#This Row],[Carbon Factor]]</f>
        <v>0</v>
      </c>
      <c r="I661" t="str">
        <f>IFERROR(VLOOKUP(Calculations[[#This Row],[Material (choose from dropdown]],MaterialData[#All],2,FALSE),"")</f>
        <v/>
      </c>
      <c r="J661" s="322">
        <f>IFERROR(((VLOOKUP(Calculations[[#This Row],[TransportSource]],TransportDistance[],2,FALSE)*'Stage assumptions'!$C$11)+VLOOKUP(Calculations[[#This Row],[TransportSource]],TransportDistance[],3,FALSE)*'Stage assumptions'!$C$12)*Calculations[[#This Row],[Total Kg]],0)</f>
        <v>0</v>
      </c>
      <c r="K661">
        <f>IFERROR(VLOOKUP(Calculations[[#This Row],[Material (choose from dropdown]], MaterialData[#All],3, FALSE),0)</f>
        <v>0</v>
      </c>
      <c r="L661" s="322">
        <f>IFERROR(VLOOKUP(Calculations[[#This Row],[A5type]],A5WastageRate[#All],2,FALSE)*Calculations[[#This Row],[A1-3]],0)</f>
        <v>0</v>
      </c>
      <c r="N661">
        <f>IFERROR(ROUNDUP(50/VLOOKUP(Calculations[[#This Row],[Scope Element]],B4referenceServiceLife[[Tier 2 element]:[Default Service Life]],2, FALSE)-1,0),0)</f>
        <v>0</v>
      </c>
      <c r="O661" s="322">
        <f>IFERROR((Calculations[[#This Row],[A1-3]]+Calculations[[#This Row],[A4]]+Calculations[[#This Row],[A5]]+Calculations[[#This Row],[C2 total]]+Calculations[[#This Row],[C3 total]]+Calculations[[#This Row],[C4 total]])*Calculations[[#This Row],[Replacements]],0)</f>
        <v>0</v>
      </c>
      <c r="S661" t="str">
        <f>IFERROR(VLOOKUP(Calculations[[#This Row],[Material (choose from dropdown]],MaterialData[#All],4,FALSE),"")</f>
        <v/>
      </c>
      <c r="T661" s="322" cm="1">
        <f t="array" ref="T661">IFERROR(VLOOKUP(Calculations[[#This Row],[Waste 1]],WasteScenario[#All],2,FALSE)*'Stage assumptions'!$C$225*WasteTransportMethod[Emissions Factor
kgCO2e/kg.km]*Calculations[[#This Row],[Total Kg]],0)</f>
        <v>0</v>
      </c>
      <c r="U661" s="322" cm="1">
        <f t="array" ref="U661">IFERROR(VLOOKUP(Calculations[[#This Row],[Waste 1]],WasteScenario[#All],3,FALSE)*'Stage assumptions'!$C$224*WasteTransportMethod[Emissions Factor
kgCO2e/kg.km]*Calculations[[#This Row],[Total Kg]],0)</f>
        <v>0</v>
      </c>
      <c r="V661" s="322" cm="1">
        <f t="array" ref="V661">IFERROR(VLOOKUP(Calculations[[#This Row],[Waste 1]],WasteScenario[#All],4,FALSE)*'Stage assumptions'!$C$223*WasteTransportMethod[Emissions Factor
kgCO2e/kg.km]*Calculations[[#This Row],[Total Kg]],0)</f>
        <v>0</v>
      </c>
      <c r="W661" s="322" cm="1">
        <f t="array" ref="W661">IFERROR(VLOOKUP(Calculations[[#This Row],[Waste 1]],WasteScenario[#All],5,FALSE)*'Stage assumptions'!$C$226*WasteTransportMethod[Emissions Factor
kgCO2e/kg.km]*Calculations[[#This Row],[Total Kg]],0)</f>
        <v>0</v>
      </c>
      <c r="X661" s="322">
        <f>SUM(Calculations[[#This Row],[C2 Recycle]:[C2 Reuse]])</f>
        <v>0</v>
      </c>
      <c r="Y661" t="str">
        <f>IFERROR(VLOOKUP(Calculations[[#This Row],[Material (choose from dropdown]],MaterialData[#All],5,FALSE),"")</f>
        <v/>
      </c>
      <c r="Z661" s="322">
        <f>IFERROR(((VLOOKUP(Calculations[[#This Row],[Waste type 2]],WasteDisposalEmissions[#All],2,FALSE))*Calculations[[#This Row],[Total Kg]])*VLOOKUP(Calculations[[#This Row],[Waste 1]],WasteScenario[#All],2,FALSE),0)</f>
        <v>0</v>
      </c>
      <c r="AA661" s="322">
        <f>IFERROR((VLOOKUP(Calculations[[#This Row],[Waste type 2]],WasteDisposalEmissions[#All],3,FALSE))*Calculations[[#This Row],[Total Kg]]*VLOOKUP(Calculations[[#This Row],[Waste 1]],WasteScenario[#All],3,FALSE),0)</f>
        <v>0</v>
      </c>
      <c r="AB661" s="322">
        <f>SUM(Calculations[[#This Row],[C3 recyc]:[C3 incin]])</f>
        <v>0</v>
      </c>
      <c r="AC661" s="334">
        <f>IFERROR((VLOOKUP(Calculations[[#This Row],[Waste type 2]],WasteLandfillEmissions[#All],2,FALSE))*Calculations[[#This Row],[Total Kg]]*VLOOKUP(Calculations[[#This Row],[Waste 1]],WasteScenario[#All],4,FALSE),0)</f>
        <v>0</v>
      </c>
      <c r="AD661" s="322">
        <f>IFERROR((VLOOKUP(Calculations[[#This Row],[Waste type 2]],WasteLandfillEmissions[#All],3,FALSE))*Calculations[[#This Row],[Total Kg]]*VLOOKUP(Calculations[[#This Row],[Waste 1]],WasteScenario[#All],4,FALSE),0)</f>
        <v>0</v>
      </c>
      <c r="AE661" s="322">
        <f>SUM(Calculations[[#This Row],[C4 landfill]:[C4 re-use]])</f>
        <v>0</v>
      </c>
      <c r="AF661" s="322">
        <f>IFERROR(VLOOKUP(Calculations[[#This Row],[Material (choose from dropdown]],MaterialData[#All],8,FALSE),0)</f>
        <v>0</v>
      </c>
      <c r="AG661" s="322">
        <f>IFERROR(Calculations[[#This Row],[Total Kg]]*Calculations[[#This Row],[Seq factor]],0)</f>
        <v>0</v>
      </c>
      <c r="AI661" s="322">
        <f>Calculations[[#This Row],[A1-3]]+Calculations[[#This Row],[A4]]+Calculations[[#This Row],[A5]]+Calculations[[#This Row],[B4]]+Calculations[[#This Row],[C2 total]]+Calculations[[#This Row],[C3 total]]+Calculations[[#This Row],[C4 total]]</f>
        <v>0</v>
      </c>
      <c r="AJ661" s="2">
        <f>IFERROR(VLOOKUP(Calculations[[#This Row],[Material (choose from dropdown]],MaterialData[[#Headers],[#Data]],9,FALSE),0)</f>
        <v>0</v>
      </c>
      <c r="AK661" s="4">
        <f>IFERROR(VLOOKUP(Calculations[[#This Row],[Material (choose from dropdown]],MaterialData[[#Headers],[#Data]],10,FALSE),0)</f>
        <v>0</v>
      </c>
      <c r="AL661" s="322">
        <f>IFERROR(Calculations[[#This Row],[Data Quality Score]]*Calculations[[#This Row],[Total Kg]],0)</f>
        <v>0</v>
      </c>
    </row>
    <row r="662" spans="1:38" x14ac:dyDescent="0.3">
      <c r="A662" s="6">
        <f>IFERROR(MaterialsBoQ[[#This Row],[Scope Element]],0)</f>
        <v>0</v>
      </c>
      <c r="B662" t="str">
        <f>IFERROR(MaterialsBoQ[[#This Row],[Material ]],"")</f>
        <v/>
      </c>
      <c r="C662" t="str">
        <f>IFERROR(MaterialsBoQ[[#This Row],[Unit]],"")</f>
        <v/>
      </c>
      <c r="D662" s="322">
        <f>IFERROR(MaterialsBoQ[[#This Row],[Number]],0)</f>
        <v>0</v>
      </c>
      <c r="E662" s="322">
        <f>IFERROR(MaterialsBoQ[[#This Row],[Kg per unit]],0)</f>
        <v>0</v>
      </c>
      <c r="F662" s="322">
        <f>IFERROR(Calculations[[#This Row],[Number]]*Calculations[[#This Row],[Conversion factor]],0)</f>
        <v>0</v>
      </c>
      <c r="G662" s="322">
        <f>IFERROR(VLOOKUP(Calculations[[#This Row],[Material (choose from dropdown]],MaterialData[#All],7,FALSE),0)</f>
        <v>0</v>
      </c>
      <c r="H662" s="322">
        <f>Calculations[[#This Row],[Total Kg]]*Calculations[[#This Row],[Carbon Factor]]</f>
        <v>0</v>
      </c>
      <c r="I662" t="str">
        <f>IFERROR(VLOOKUP(Calculations[[#This Row],[Material (choose from dropdown]],MaterialData[#All],2,FALSE),"")</f>
        <v/>
      </c>
      <c r="J662" s="322">
        <f>IFERROR(((VLOOKUP(Calculations[[#This Row],[TransportSource]],TransportDistance[],2,FALSE)*'Stage assumptions'!$C$11)+VLOOKUP(Calculations[[#This Row],[TransportSource]],TransportDistance[],3,FALSE)*'Stage assumptions'!$C$12)*Calculations[[#This Row],[Total Kg]],0)</f>
        <v>0</v>
      </c>
      <c r="K662">
        <f>IFERROR(VLOOKUP(Calculations[[#This Row],[Material (choose from dropdown]], MaterialData[#All],3, FALSE),0)</f>
        <v>0</v>
      </c>
      <c r="L662" s="322">
        <f>IFERROR(VLOOKUP(Calculations[[#This Row],[A5type]],A5WastageRate[#All],2,FALSE)*Calculations[[#This Row],[A1-3]],0)</f>
        <v>0</v>
      </c>
      <c r="N662">
        <f>IFERROR(ROUNDUP(50/VLOOKUP(Calculations[[#This Row],[Scope Element]],B4referenceServiceLife[[Tier 2 element]:[Default Service Life]],2, FALSE)-1,0),0)</f>
        <v>0</v>
      </c>
      <c r="O662" s="322">
        <f>IFERROR((Calculations[[#This Row],[A1-3]]+Calculations[[#This Row],[A4]]+Calculations[[#This Row],[A5]]+Calculations[[#This Row],[C2 total]]+Calculations[[#This Row],[C3 total]]+Calculations[[#This Row],[C4 total]])*Calculations[[#This Row],[Replacements]],0)</f>
        <v>0</v>
      </c>
      <c r="S662" t="str">
        <f>IFERROR(VLOOKUP(Calculations[[#This Row],[Material (choose from dropdown]],MaterialData[#All],4,FALSE),"")</f>
        <v/>
      </c>
      <c r="T662" s="322" cm="1">
        <f t="array" ref="T662">IFERROR(VLOOKUP(Calculations[[#This Row],[Waste 1]],WasteScenario[#All],2,FALSE)*'Stage assumptions'!$C$225*WasteTransportMethod[Emissions Factor
kgCO2e/kg.km]*Calculations[[#This Row],[Total Kg]],0)</f>
        <v>0</v>
      </c>
      <c r="U662" s="322" cm="1">
        <f t="array" ref="U662">IFERROR(VLOOKUP(Calculations[[#This Row],[Waste 1]],WasteScenario[#All],3,FALSE)*'Stage assumptions'!$C$224*WasteTransportMethod[Emissions Factor
kgCO2e/kg.km]*Calculations[[#This Row],[Total Kg]],0)</f>
        <v>0</v>
      </c>
      <c r="V662" s="322" cm="1">
        <f t="array" ref="V662">IFERROR(VLOOKUP(Calculations[[#This Row],[Waste 1]],WasteScenario[#All],4,FALSE)*'Stage assumptions'!$C$223*WasteTransportMethod[Emissions Factor
kgCO2e/kg.km]*Calculations[[#This Row],[Total Kg]],0)</f>
        <v>0</v>
      </c>
      <c r="W662" s="322" cm="1">
        <f t="array" ref="W662">IFERROR(VLOOKUP(Calculations[[#This Row],[Waste 1]],WasteScenario[#All],5,FALSE)*'Stage assumptions'!$C$226*WasteTransportMethod[Emissions Factor
kgCO2e/kg.km]*Calculations[[#This Row],[Total Kg]],0)</f>
        <v>0</v>
      </c>
      <c r="X662" s="322">
        <f>SUM(Calculations[[#This Row],[C2 Recycle]:[C2 Reuse]])</f>
        <v>0</v>
      </c>
      <c r="Y662" t="str">
        <f>IFERROR(VLOOKUP(Calculations[[#This Row],[Material (choose from dropdown]],MaterialData[#All],5,FALSE),"")</f>
        <v/>
      </c>
      <c r="Z662" s="322">
        <f>IFERROR(((VLOOKUP(Calculations[[#This Row],[Waste type 2]],WasteDisposalEmissions[#All],2,FALSE))*Calculations[[#This Row],[Total Kg]])*VLOOKUP(Calculations[[#This Row],[Waste 1]],WasteScenario[#All],2,FALSE),0)</f>
        <v>0</v>
      </c>
      <c r="AA662" s="322">
        <f>IFERROR((VLOOKUP(Calculations[[#This Row],[Waste type 2]],WasteDisposalEmissions[#All],3,FALSE))*Calculations[[#This Row],[Total Kg]]*VLOOKUP(Calculations[[#This Row],[Waste 1]],WasteScenario[#All],3,FALSE),0)</f>
        <v>0</v>
      </c>
      <c r="AB662" s="322">
        <f>SUM(Calculations[[#This Row],[C3 recyc]:[C3 incin]])</f>
        <v>0</v>
      </c>
      <c r="AC662" s="334">
        <f>IFERROR((VLOOKUP(Calculations[[#This Row],[Waste type 2]],WasteLandfillEmissions[#All],2,FALSE))*Calculations[[#This Row],[Total Kg]]*VLOOKUP(Calculations[[#This Row],[Waste 1]],WasteScenario[#All],4,FALSE),0)</f>
        <v>0</v>
      </c>
      <c r="AD662" s="322">
        <f>IFERROR((VLOOKUP(Calculations[[#This Row],[Waste type 2]],WasteLandfillEmissions[#All],3,FALSE))*Calculations[[#This Row],[Total Kg]]*VLOOKUP(Calculations[[#This Row],[Waste 1]],WasteScenario[#All],4,FALSE),0)</f>
        <v>0</v>
      </c>
      <c r="AE662" s="322">
        <f>SUM(Calculations[[#This Row],[C4 landfill]:[C4 re-use]])</f>
        <v>0</v>
      </c>
      <c r="AF662" s="322">
        <f>IFERROR(VLOOKUP(Calculations[[#This Row],[Material (choose from dropdown]],MaterialData[#All],8,FALSE),0)</f>
        <v>0</v>
      </c>
      <c r="AG662" s="322">
        <f>IFERROR(Calculations[[#This Row],[Total Kg]]*Calculations[[#This Row],[Seq factor]],0)</f>
        <v>0</v>
      </c>
      <c r="AI662" s="322">
        <f>Calculations[[#This Row],[A1-3]]+Calculations[[#This Row],[A4]]+Calculations[[#This Row],[A5]]+Calculations[[#This Row],[B4]]+Calculations[[#This Row],[C2 total]]+Calculations[[#This Row],[C3 total]]+Calculations[[#This Row],[C4 total]]</f>
        <v>0</v>
      </c>
      <c r="AJ662" s="2">
        <f>IFERROR(VLOOKUP(Calculations[[#This Row],[Material (choose from dropdown]],MaterialData[[#Headers],[#Data]],9,FALSE),0)</f>
        <v>0</v>
      </c>
      <c r="AK662" s="4">
        <f>IFERROR(VLOOKUP(Calculations[[#This Row],[Material (choose from dropdown]],MaterialData[[#Headers],[#Data]],10,FALSE),0)</f>
        <v>0</v>
      </c>
      <c r="AL662" s="322">
        <f>IFERROR(Calculations[[#This Row],[Data Quality Score]]*Calculations[[#This Row],[Total Kg]],0)</f>
        <v>0</v>
      </c>
    </row>
    <row r="663" spans="1:38" x14ac:dyDescent="0.3">
      <c r="A663" s="6">
        <f>IFERROR(MaterialsBoQ[[#This Row],[Scope Element]],0)</f>
        <v>0</v>
      </c>
      <c r="B663" t="str">
        <f>IFERROR(MaterialsBoQ[[#This Row],[Material ]],"")</f>
        <v/>
      </c>
      <c r="C663" t="str">
        <f>IFERROR(MaterialsBoQ[[#This Row],[Unit]],"")</f>
        <v/>
      </c>
      <c r="D663" s="322">
        <f>IFERROR(MaterialsBoQ[[#This Row],[Number]],0)</f>
        <v>0</v>
      </c>
      <c r="E663" s="322">
        <f>IFERROR(MaterialsBoQ[[#This Row],[Kg per unit]],0)</f>
        <v>0</v>
      </c>
      <c r="F663" s="322">
        <f>IFERROR(Calculations[[#This Row],[Number]]*Calculations[[#This Row],[Conversion factor]],0)</f>
        <v>0</v>
      </c>
      <c r="G663" s="322">
        <f>IFERROR(VLOOKUP(Calculations[[#This Row],[Material (choose from dropdown]],MaterialData[#All],7,FALSE),0)</f>
        <v>0</v>
      </c>
      <c r="H663" s="322">
        <f>Calculations[[#This Row],[Total Kg]]*Calculations[[#This Row],[Carbon Factor]]</f>
        <v>0</v>
      </c>
      <c r="I663" t="str">
        <f>IFERROR(VLOOKUP(Calculations[[#This Row],[Material (choose from dropdown]],MaterialData[#All],2,FALSE),"")</f>
        <v/>
      </c>
      <c r="J663" s="322">
        <f>IFERROR(((VLOOKUP(Calculations[[#This Row],[TransportSource]],TransportDistance[],2,FALSE)*'Stage assumptions'!$C$11)+VLOOKUP(Calculations[[#This Row],[TransportSource]],TransportDistance[],3,FALSE)*'Stage assumptions'!$C$12)*Calculations[[#This Row],[Total Kg]],0)</f>
        <v>0</v>
      </c>
      <c r="K663">
        <f>IFERROR(VLOOKUP(Calculations[[#This Row],[Material (choose from dropdown]], MaterialData[#All],3, FALSE),0)</f>
        <v>0</v>
      </c>
      <c r="L663" s="322">
        <f>IFERROR(VLOOKUP(Calculations[[#This Row],[A5type]],A5WastageRate[#All],2,FALSE)*Calculations[[#This Row],[A1-3]],0)</f>
        <v>0</v>
      </c>
      <c r="N663">
        <f>IFERROR(ROUNDUP(50/VLOOKUP(Calculations[[#This Row],[Scope Element]],B4referenceServiceLife[[Tier 2 element]:[Default Service Life]],2, FALSE)-1,0),0)</f>
        <v>0</v>
      </c>
      <c r="O663" s="322">
        <f>IFERROR((Calculations[[#This Row],[A1-3]]+Calculations[[#This Row],[A4]]+Calculations[[#This Row],[A5]]+Calculations[[#This Row],[C2 total]]+Calculations[[#This Row],[C3 total]]+Calculations[[#This Row],[C4 total]])*Calculations[[#This Row],[Replacements]],0)</f>
        <v>0</v>
      </c>
      <c r="S663" t="str">
        <f>IFERROR(VLOOKUP(Calculations[[#This Row],[Material (choose from dropdown]],MaterialData[#All],4,FALSE),"")</f>
        <v/>
      </c>
      <c r="T663" s="322" cm="1">
        <f t="array" ref="T663">IFERROR(VLOOKUP(Calculations[[#This Row],[Waste 1]],WasteScenario[#All],2,FALSE)*'Stage assumptions'!$C$225*WasteTransportMethod[Emissions Factor
kgCO2e/kg.km]*Calculations[[#This Row],[Total Kg]],0)</f>
        <v>0</v>
      </c>
      <c r="U663" s="322" cm="1">
        <f t="array" ref="U663">IFERROR(VLOOKUP(Calculations[[#This Row],[Waste 1]],WasteScenario[#All],3,FALSE)*'Stage assumptions'!$C$224*WasteTransportMethod[Emissions Factor
kgCO2e/kg.km]*Calculations[[#This Row],[Total Kg]],0)</f>
        <v>0</v>
      </c>
      <c r="V663" s="322" cm="1">
        <f t="array" ref="V663">IFERROR(VLOOKUP(Calculations[[#This Row],[Waste 1]],WasteScenario[#All],4,FALSE)*'Stage assumptions'!$C$223*WasteTransportMethod[Emissions Factor
kgCO2e/kg.km]*Calculations[[#This Row],[Total Kg]],0)</f>
        <v>0</v>
      </c>
      <c r="W663" s="322" cm="1">
        <f t="array" ref="W663">IFERROR(VLOOKUP(Calculations[[#This Row],[Waste 1]],WasteScenario[#All],5,FALSE)*'Stage assumptions'!$C$226*WasteTransportMethod[Emissions Factor
kgCO2e/kg.km]*Calculations[[#This Row],[Total Kg]],0)</f>
        <v>0</v>
      </c>
      <c r="X663" s="322">
        <f>SUM(Calculations[[#This Row],[C2 Recycle]:[C2 Reuse]])</f>
        <v>0</v>
      </c>
      <c r="Y663" t="str">
        <f>IFERROR(VLOOKUP(Calculations[[#This Row],[Material (choose from dropdown]],MaterialData[#All],5,FALSE),"")</f>
        <v/>
      </c>
      <c r="Z663" s="322">
        <f>IFERROR(((VLOOKUP(Calculations[[#This Row],[Waste type 2]],WasteDisposalEmissions[#All],2,FALSE))*Calculations[[#This Row],[Total Kg]])*VLOOKUP(Calculations[[#This Row],[Waste 1]],WasteScenario[#All],2,FALSE),0)</f>
        <v>0</v>
      </c>
      <c r="AA663" s="322">
        <f>IFERROR((VLOOKUP(Calculations[[#This Row],[Waste type 2]],WasteDisposalEmissions[#All],3,FALSE))*Calculations[[#This Row],[Total Kg]]*VLOOKUP(Calculations[[#This Row],[Waste 1]],WasteScenario[#All],3,FALSE),0)</f>
        <v>0</v>
      </c>
      <c r="AB663" s="322">
        <f>SUM(Calculations[[#This Row],[C3 recyc]:[C3 incin]])</f>
        <v>0</v>
      </c>
      <c r="AC663" s="334">
        <f>IFERROR((VLOOKUP(Calculations[[#This Row],[Waste type 2]],WasteLandfillEmissions[#All],2,FALSE))*Calculations[[#This Row],[Total Kg]]*VLOOKUP(Calculations[[#This Row],[Waste 1]],WasteScenario[#All],4,FALSE),0)</f>
        <v>0</v>
      </c>
      <c r="AD663" s="322">
        <f>IFERROR((VLOOKUP(Calculations[[#This Row],[Waste type 2]],WasteLandfillEmissions[#All],3,FALSE))*Calculations[[#This Row],[Total Kg]]*VLOOKUP(Calculations[[#This Row],[Waste 1]],WasteScenario[#All],4,FALSE),0)</f>
        <v>0</v>
      </c>
      <c r="AE663" s="322">
        <f>SUM(Calculations[[#This Row],[C4 landfill]:[C4 re-use]])</f>
        <v>0</v>
      </c>
      <c r="AF663" s="322">
        <f>IFERROR(VLOOKUP(Calculations[[#This Row],[Material (choose from dropdown]],MaterialData[#All],8,FALSE),0)</f>
        <v>0</v>
      </c>
      <c r="AG663" s="322">
        <f>IFERROR(Calculations[[#This Row],[Total Kg]]*Calculations[[#This Row],[Seq factor]],0)</f>
        <v>0</v>
      </c>
      <c r="AI663" s="322">
        <f>Calculations[[#This Row],[A1-3]]+Calculations[[#This Row],[A4]]+Calculations[[#This Row],[A5]]+Calculations[[#This Row],[B4]]+Calculations[[#This Row],[C2 total]]+Calculations[[#This Row],[C3 total]]+Calculations[[#This Row],[C4 total]]</f>
        <v>0</v>
      </c>
      <c r="AJ663" s="2">
        <f>IFERROR(VLOOKUP(Calculations[[#This Row],[Material (choose from dropdown]],MaterialData[[#Headers],[#Data]],9,FALSE),0)</f>
        <v>0</v>
      </c>
      <c r="AK663" s="4">
        <f>IFERROR(VLOOKUP(Calculations[[#This Row],[Material (choose from dropdown]],MaterialData[[#Headers],[#Data]],10,FALSE),0)</f>
        <v>0</v>
      </c>
      <c r="AL663" s="322">
        <f>IFERROR(Calculations[[#This Row],[Data Quality Score]]*Calculations[[#This Row],[Total Kg]],0)</f>
        <v>0</v>
      </c>
    </row>
    <row r="664" spans="1:38" x14ac:dyDescent="0.3">
      <c r="A664" s="6">
        <f>IFERROR(MaterialsBoQ[[#This Row],[Scope Element]],0)</f>
        <v>0</v>
      </c>
      <c r="B664" t="str">
        <f>IFERROR(MaterialsBoQ[[#This Row],[Material ]],"")</f>
        <v/>
      </c>
      <c r="C664" t="str">
        <f>IFERROR(MaterialsBoQ[[#This Row],[Unit]],"")</f>
        <v/>
      </c>
      <c r="D664" s="322">
        <f>IFERROR(MaterialsBoQ[[#This Row],[Number]],0)</f>
        <v>0</v>
      </c>
      <c r="E664" s="322">
        <f>IFERROR(MaterialsBoQ[[#This Row],[Kg per unit]],0)</f>
        <v>0</v>
      </c>
      <c r="F664" s="322">
        <f>IFERROR(Calculations[[#This Row],[Number]]*Calculations[[#This Row],[Conversion factor]],0)</f>
        <v>0</v>
      </c>
      <c r="G664" s="322">
        <f>IFERROR(VLOOKUP(Calculations[[#This Row],[Material (choose from dropdown]],MaterialData[#All],7,FALSE),0)</f>
        <v>0</v>
      </c>
      <c r="H664" s="322">
        <f>Calculations[[#This Row],[Total Kg]]*Calculations[[#This Row],[Carbon Factor]]</f>
        <v>0</v>
      </c>
      <c r="I664" t="str">
        <f>IFERROR(VLOOKUP(Calculations[[#This Row],[Material (choose from dropdown]],MaterialData[#All],2,FALSE),"")</f>
        <v/>
      </c>
      <c r="J664" s="322">
        <f>IFERROR(((VLOOKUP(Calculations[[#This Row],[TransportSource]],TransportDistance[],2,FALSE)*'Stage assumptions'!$C$11)+VLOOKUP(Calculations[[#This Row],[TransportSource]],TransportDistance[],3,FALSE)*'Stage assumptions'!$C$12)*Calculations[[#This Row],[Total Kg]],0)</f>
        <v>0</v>
      </c>
      <c r="K664">
        <f>IFERROR(VLOOKUP(Calculations[[#This Row],[Material (choose from dropdown]], MaterialData[#All],3, FALSE),0)</f>
        <v>0</v>
      </c>
      <c r="L664" s="322">
        <f>IFERROR(VLOOKUP(Calculations[[#This Row],[A5type]],A5WastageRate[#All],2,FALSE)*Calculations[[#This Row],[A1-3]],0)</f>
        <v>0</v>
      </c>
      <c r="N664">
        <f>IFERROR(ROUNDUP(50/VLOOKUP(Calculations[[#This Row],[Scope Element]],B4referenceServiceLife[[Tier 2 element]:[Default Service Life]],2, FALSE)-1,0),0)</f>
        <v>0</v>
      </c>
      <c r="O664" s="322">
        <f>IFERROR((Calculations[[#This Row],[A1-3]]+Calculations[[#This Row],[A4]]+Calculations[[#This Row],[A5]]+Calculations[[#This Row],[C2 total]]+Calculations[[#This Row],[C3 total]]+Calculations[[#This Row],[C4 total]])*Calculations[[#This Row],[Replacements]],0)</f>
        <v>0</v>
      </c>
      <c r="S664" t="str">
        <f>IFERROR(VLOOKUP(Calculations[[#This Row],[Material (choose from dropdown]],MaterialData[#All],4,FALSE),"")</f>
        <v/>
      </c>
      <c r="T664" s="322" cm="1">
        <f t="array" ref="T664">IFERROR(VLOOKUP(Calculations[[#This Row],[Waste 1]],WasteScenario[#All],2,FALSE)*'Stage assumptions'!$C$225*WasteTransportMethod[Emissions Factor
kgCO2e/kg.km]*Calculations[[#This Row],[Total Kg]],0)</f>
        <v>0</v>
      </c>
      <c r="U664" s="322" cm="1">
        <f t="array" ref="U664">IFERROR(VLOOKUP(Calculations[[#This Row],[Waste 1]],WasteScenario[#All],3,FALSE)*'Stage assumptions'!$C$224*WasteTransportMethod[Emissions Factor
kgCO2e/kg.km]*Calculations[[#This Row],[Total Kg]],0)</f>
        <v>0</v>
      </c>
      <c r="V664" s="322" cm="1">
        <f t="array" ref="V664">IFERROR(VLOOKUP(Calculations[[#This Row],[Waste 1]],WasteScenario[#All],4,FALSE)*'Stage assumptions'!$C$223*WasteTransportMethod[Emissions Factor
kgCO2e/kg.km]*Calculations[[#This Row],[Total Kg]],0)</f>
        <v>0</v>
      </c>
      <c r="W664" s="322" cm="1">
        <f t="array" ref="W664">IFERROR(VLOOKUP(Calculations[[#This Row],[Waste 1]],WasteScenario[#All],5,FALSE)*'Stage assumptions'!$C$226*WasteTransportMethod[Emissions Factor
kgCO2e/kg.km]*Calculations[[#This Row],[Total Kg]],0)</f>
        <v>0</v>
      </c>
      <c r="X664" s="322">
        <f>SUM(Calculations[[#This Row],[C2 Recycle]:[C2 Reuse]])</f>
        <v>0</v>
      </c>
      <c r="Y664" t="str">
        <f>IFERROR(VLOOKUP(Calculations[[#This Row],[Material (choose from dropdown]],MaterialData[#All],5,FALSE),"")</f>
        <v/>
      </c>
      <c r="Z664" s="322">
        <f>IFERROR(((VLOOKUP(Calculations[[#This Row],[Waste type 2]],WasteDisposalEmissions[#All],2,FALSE))*Calculations[[#This Row],[Total Kg]])*VLOOKUP(Calculations[[#This Row],[Waste 1]],WasteScenario[#All],2,FALSE),0)</f>
        <v>0</v>
      </c>
      <c r="AA664" s="322">
        <f>IFERROR((VLOOKUP(Calculations[[#This Row],[Waste type 2]],WasteDisposalEmissions[#All],3,FALSE))*Calculations[[#This Row],[Total Kg]]*VLOOKUP(Calculations[[#This Row],[Waste 1]],WasteScenario[#All],3,FALSE),0)</f>
        <v>0</v>
      </c>
      <c r="AB664" s="322">
        <f>SUM(Calculations[[#This Row],[C3 recyc]:[C3 incin]])</f>
        <v>0</v>
      </c>
      <c r="AC664" s="334">
        <f>IFERROR((VLOOKUP(Calculations[[#This Row],[Waste type 2]],WasteLandfillEmissions[#All],2,FALSE))*Calculations[[#This Row],[Total Kg]]*VLOOKUP(Calculations[[#This Row],[Waste 1]],WasteScenario[#All],4,FALSE),0)</f>
        <v>0</v>
      </c>
      <c r="AD664" s="322">
        <f>IFERROR((VLOOKUP(Calculations[[#This Row],[Waste type 2]],WasteLandfillEmissions[#All],3,FALSE))*Calculations[[#This Row],[Total Kg]]*VLOOKUP(Calculations[[#This Row],[Waste 1]],WasteScenario[#All],4,FALSE),0)</f>
        <v>0</v>
      </c>
      <c r="AE664" s="322">
        <f>SUM(Calculations[[#This Row],[C4 landfill]:[C4 re-use]])</f>
        <v>0</v>
      </c>
      <c r="AF664" s="322">
        <f>IFERROR(VLOOKUP(Calculations[[#This Row],[Material (choose from dropdown]],MaterialData[#All],8,FALSE),0)</f>
        <v>0</v>
      </c>
      <c r="AG664" s="322">
        <f>IFERROR(Calculations[[#This Row],[Total Kg]]*Calculations[[#This Row],[Seq factor]],0)</f>
        <v>0</v>
      </c>
      <c r="AI664" s="322">
        <f>Calculations[[#This Row],[A1-3]]+Calculations[[#This Row],[A4]]+Calculations[[#This Row],[A5]]+Calculations[[#This Row],[B4]]+Calculations[[#This Row],[C2 total]]+Calculations[[#This Row],[C3 total]]+Calculations[[#This Row],[C4 total]]</f>
        <v>0</v>
      </c>
      <c r="AJ664" s="2">
        <f>IFERROR(VLOOKUP(Calculations[[#This Row],[Material (choose from dropdown]],MaterialData[[#Headers],[#Data]],9,FALSE),0)</f>
        <v>0</v>
      </c>
      <c r="AK664" s="4">
        <f>IFERROR(VLOOKUP(Calculations[[#This Row],[Material (choose from dropdown]],MaterialData[[#Headers],[#Data]],10,FALSE),0)</f>
        <v>0</v>
      </c>
      <c r="AL664" s="322">
        <f>IFERROR(Calculations[[#This Row],[Data Quality Score]]*Calculations[[#This Row],[Total Kg]],0)</f>
        <v>0</v>
      </c>
    </row>
    <row r="665" spans="1:38" x14ac:dyDescent="0.3">
      <c r="A665" s="6">
        <f>IFERROR(MaterialsBoQ[[#This Row],[Scope Element]],0)</f>
        <v>0</v>
      </c>
      <c r="B665" t="str">
        <f>IFERROR(MaterialsBoQ[[#This Row],[Material ]],"")</f>
        <v/>
      </c>
      <c r="C665" t="str">
        <f>IFERROR(MaterialsBoQ[[#This Row],[Unit]],"")</f>
        <v/>
      </c>
      <c r="D665" s="322">
        <f>IFERROR(MaterialsBoQ[[#This Row],[Number]],0)</f>
        <v>0</v>
      </c>
      <c r="E665" s="322">
        <f>IFERROR(MaterialsBoQ[[#This Row],[Kg per unit]],0)</f>
        <v>0</v>
      </c>
      <c r="F665" s="322">
        <f>IFERROR(Calculations[[#This Row],[Number]]*Calculations[[#This Row],[Conversion factor]],0)</f>
        <v>0</v>
      </c>
      <c r="G665" s="322">
        <f>IFERROR(VLOOKUP(Calculations[[#This Row],[Material (choose from dropdown]],MaterialData[#All],7,FALSE),0)</f>
        <v>0</v>
      </c>
      <c r="H665" s="322">
        <f>Calculations[[#This Row],[Total Kg]]*Calculations[[#This Row],[Carbon Factor]]</f>
        <v>0</v>
      </c>
      <c r="I665" t="str">
        <f>IFERROR(VLOOKUP(Calculations[[#This Row],[Material (choose from dropdown]],MaterialData[#All],2,FALSE),"")</f>
        <v/>
      </c>
      <c r="J665" s="322">
        <f>IFERROR(((VLOOKUP(Calculations[[#This Row],[TransportSource]],TransportDistance[],2,FALSE)*'Stage assumptions'!$C$11)+VLOOKUP(Calculations[[#This Row],[TransportSource]],TransportDistance[],3,FALSE)*'Stage assumptions'!$C$12)*Calculations[[#This Row],[Total Kg]],0)</f>
        <v>0</v>
      </c>
      <c r="K665">
        <f>IFERROR(VLOOKUP(Calculations[[#This Row],[Material (choose from dropdown]], MaterialData[#All],3, FALSE),0)</f>
        <v>0</v>
      </c>
      <c r="L665" s="322">
        <f>IFERROR(VLOOKUP(Calculations[[#This Row],[A5type]],A5WastageRate[#All],2,FALSE)*Calculations[[#This Row],[A1-3]],0)</f>
        <v>0</v>
      </c>
      <c r="N665">
        <f>IFERROR(ROUNDUP(50/VLOOKUP(Calculations[[#This Row],[Scope Element]],B4referenceServiceLife[[Tier 2 element]:[Default Service Life]],2, FALSE)-1,0),0)</f>
        <v>0</v>
      </c>
      <c r="O665" s="322">
        <f>IFERROR((Calculations[[#This Row],[A1-3]]+Calculations[[#This Row],[A4]]+Calculations[[#This Row],[A5]]+Calculations[[#This Row],[C2 total]]+Calculations[[#This Row],[C3 total]]+Calculations[[#This Row],[C4 total]])*Calculations[[#This Row],[Replacements]],0)</f>
        <v>0</v>
      </c>
      <c r="S665" t="str">
        <f>IFERROR(VLOOKUP(Calculations[[#This Row],[Material (choose from dropdown]],MaterialData[#All],4,FALSE),"")</f>
        <v/>
      </c>
      <c r="T665" s="322" cm="1">
        <f t="array" ref="T665">IFERROR(VLOOKUP(Calculations[[#This Row],[Waste 1]],WasteScenario[#All],2,FALSE)*'Stage assumptions'!$C$225*WasteTransportMethod[Emissions Factor
kgCO2e/kg.km]*Calculations[[#This Row],[Total Kg]],0)</f>
        <v>0</v>
      </c>
      <c r="U665" s="322" cm="1">
        <f t="array" ref="U665">IFERROR(VLOOKUP(Calculations[[#This Row],[Waste 1]],WasteScenario[#All],3,FALSE)*'Stage assumptions'!$C$224*WasteTransportMethod[Emissions Factor
kgCO2e/kg.km]*Calculations[[#This Row],[Total Kg]],0)</f>
        <v>0</v>
      </c>
      <c r="V665" s="322" cm="1">
        <f t="array" ref="V665">IFERROR(VLOOKUP(Calculations[[#This Row],[Waste 1]],WasteScenario[#All],4,FALSE)*'Stage assumptions'!$C$223*WasteTransportMethod[Emissions Factor
kgCO2e/kg.km]*Calculations[[#This Row],[Total Kg]],0)</f>
        <v>0</v>
      </c>
      <c r="W665" s="322" cm="1">
        <f t="array" ref="W665">IFERROR(VLOOKUP(Calculations[[#This Row],[Waste 1]],WasteScenario[#All],5,FALSE)*'Stage assumptions'!$C$226*WasteTransportMethod[Emissions Factor
kgCO2e/kg.km]*Calculations[[#This Row],[Total Kg]],0)</f>
        <v>0</v>
      </c>
      <c r="X665" s="322">
        <f>SUM(Calculations[[#This Row],[C2 Recycle]:[C2 Reuse]])</f>
        <v>0</v>
      </c>
      <c r="Y665" t="str">
        <f>IFERROR(VLOOKUP(Calculations[[#This Row],[Material (choose from dropdown]],MaterialData[#All],5,FALSE),"")</f>
        <v/>
      </c>
      <c r="Z665" s="322">
        <f>IFERROR(((VLOOKUP(Calculations[[#This Row],[Waste type 2]],WasteDisposalEmissions[#All],2,FALSE))*Calculations[[#This Row],[Total Kg]])*VLOOKUP(Calculations[[#This Row],[Waste 1]],WasteScenario[#All],2,FALSE),0)</f>
        <v>0</v>
      </c>
      <c r="AA665" s="322">
        <f>IFERROR((VLOOKUP(Calculations[[#This Row],[Waste type 2]],WasteDisposalEmissions[#All],3,FALSE))*Calculations[[#This Row],[Total Kg]]*VLOOKUP(Calculations[[#This Row],[Waste 1]],WasteScenario[#All],3,FALSE),0)</f>
        <v>0</v>
      </c>
      <c r="AB665" s="322">
        <f>SUM(Calculations[[#This Row],[C3 recyc]:[C3 incin]])</f>
        <v>0</v>
      </c>
      <c r="AC665" s="334">
        <f>IFERROR((VLOOKUP(Calculations[[#This Row],[Waste type 2]],WasteLandfillEmissions[#All],2,FALSE))*Calculations[[#This Row],[Total Kg]]*VLOOKUP(Calculations[[#This Row],[Waste 1]],WasteScenario[#All],4,FALSE),0)</f>
        <v>0</v>
      </c>
      <c r="AD665" s="322">
        <f>IFERROR((VLOOKUP(Calculations[[#This Row],[Waste type 2]],WasteLandfillEmissions[#All],3,FALSE))*Calculations[[#This Row],[Total Kg]]*VLOOKUP(Calculations[[#This Row],[Waste 1]],WasteScenario[#All],4,FALSE),0)</f>
        <v>0</v>
      </c>
      <c r="AE665" s="322">
        <f>SUM(Calculations[[#This Row],[C4 landfill]:[C4 re-use]])</f>
        <v>0</v>
      </c>
      <c r="AF665" s="322">
        <f>IFERROR(VLOOKUP(Calculations[[#This Row],[Material (choose from dropdown]],MaterialData[#All],8,FALSE),0)</f>
        <v>0</v>
      </c>
      <c r="AG665" s="322">
        <f>IFERROR(Calculations[[#This Row],[Total Kg]]*Calculations[[#This Row],[Seq factor]],0)</f>
        <v>0</v>
      </c>
      <c r="AI665" s="322">
        <f>Calculations[[#This Row],[A1-3]]+Calculations[[#This Row],[A4]]+Calculations[[#This Row],[A5]]+Calculations[[#This Row],[B4]]+Calculations[[#This Row],[C2 total]]+Calculations[[#This Row],[C3 total]]+Calculations[[#This Row],[C4 total]]</f>
        <v>0</v>
      </c>
      <c r="AJ665" s="2">
        <f>IFERROR(VLOOKUP(Calculations[[#This Row],[Material (choose from dropdown]],MaterialData[[#Headers],[#Data]],9,FALSE),0)</f>
        <v>0</v>
      </c>
      <c r="AK665" s="4">
        <f>IFERROR(VLOOKUP(Calculations[[#This Row],[Material (choose from dropdown]],MaterialData[[#Headers],[#Data]],10,FALSE),0)</f>
        <v>0</v>
      </c>
      <c r="AL665" s="322">
        <f>IFERROR(Calculations[[#This Row],[Data Quality Score]]*Calculations[[#This Row],[Total Kg]],0)</f>
        <v>0</v>
      </c>
    </row>
    <row r="666" spans="1:38" x14ac:dyDescent="0.3">
      <c r="A666" s="6">
        <f>IFERROR(MaterialsBoQ[[#This Row],[Scope Element]],0)</f>
        <v>0</v>
      </c>
      <c r="B666" t="str">
        <f>IFERROR(MaterialsBoQ[[#This Row],[Material ]],"")</f>
        <v/>
      </c>
      <c r="C666" t="str">
        <f>IFERROR(MaterialsBoQ[[#This Row],[Unit]],"")</f>
        <v/>
      </c>
      <c r="D666" s="322">
        <f>IFERROR(MaterialsBoQ[[#This Row],[Number]],0)</f>
        <v>0</v>
      </c>
      <c r="E666" s="322">
        <f>IFERROR(MaterialsBoQ[[#This Row],[Kg per unit]],0)</f>
        <v>0</v>
      </c>
      <c r="F666" s="322">
        <f>IFERROR(Calculations[[#This Row],[Number]]*Calculations[[#This Row],[Conversion factor]],0)</f>
        <v>0</v>
      </c>
      <c r="G666" s="322">
        <f>IFERROR(VLOOKUP(Calculations[[#This Row],[Material (choose from dropdown]],MaterialData[#All],7,FALSE),0)</f>
        <v>0</v>
      </c>
      <c r="H666" s="322">
        <f>Calculations[[#This Row],[Total Kg]]*Calculations[[#This Row],[Carbon Factor]]</f>
        <v>0</v>
      </c>
      <c r="I666" t="str">
        <f>IFERROR(VLOOKUP(Calculations[[#This Row],[Material (choose from dropdown]],MaterialData[#All],2,FALSE),"")</f>
        <v/>
      </c>
      <c r="J666" s="322">
        <f>IFERROR(((VLOOKUP(Calculations[[#This Row],[TransportSource]],TransportDistance[],2,FALSE)*'Stage assumptions'!$C$11)+VLOOKUP(Calculations[[#This Row],[TransportSource]],TransportDistance[],3,FALSE)*'Stage assumptions'!$C$12)*Calculations[[#This Row],[Total Kg]],0)</f>
        <v>0</v>
      </c>
      <c r="K666">
        <f>IFERROR(VLOOKUP(Calculations[[#This Row],[Material (choose from dropdown]], MaterialData[#All],3, FALSE),0)</f>
        <v>0</v>
      </c>
      <c r="L666" s="322">
        <f>IFERROR(VLOOKUP(Calculations[[#This Row],[A5type]],A5WastageRate[#All],2,FALSE)*Calculations[[#This Row],[A1-3]],0)</f>
        <v>0</v>
      </c>
      <c r="N666">
        <f>IFERROR(ROUNDUP(50/VLOOKUP(Calculations[[#This Row],[Scope Element]],B4referenceServiceLife[[Tier 2 element]:[Default Service Life]],2, FALSE)-1,0),0)</f>
        <v>0</v>
      </c>
      <c r="O666" s="322">
        <f>IFERROR((Calculations[[#This Row],[A1-3]]+Calculations[[#This Row],[A4]]+Calculations[[#This Row],[A5]]+Calculations[[#This Row],[C2 total]]+Calculations[[#This Row],[C3 total]]+Calculations[[#This Row],[C4 total]])*Calculations[[#This Row],[Replacements]],0)</f>
        <v>0</v>
      </c>
      <c r="S666" t="str">
        <f>IFERROR(VLOOKUP(Calculations[[#This Row],[Material (choose from dropdown]],MaterialData[#All],4,FALSE),"")</f>
        <v/>
      </c>
      <c r="T666" s="322" cm="1">
        <f t="array" ref="T666">IFERROR(VLOOKUP(Calculations[[#This Row],[Waste 1]],WasteScenario[#All],2,FALSE)*'Stage assumptions'!$C$225*WasteTransportMethod[Emissions Factor
kgCO2e/kg.km]*Calculations[[#This Row],[Total Kg]],0)</f>
        <v>0</v>
      </c>
      <c r="U666" s="322" cm="1">
        <f t="array" ref="U666">IFERROR(VLOOKUP(Calculations[[#This Row],[Waste 1]],WasteScenario[#All],3,FALSE)*'Stage assumptions'!$C$224*WasteTransportMethod[Emissions Factor
kgCO2e/kg.km]*Calculations[[#This Row],[Total Kg]],0)</f>
        <v>0</v>
      </c>
      <c r="V666" s="322" cm="1">
        <f t="array" ref="V666">IFERROR(VLOOKUP(Calculations[[#This Row],[Waste 1]],WasteScenario[#All],4,FALSE)*'Stage assumptions'!$C$223*WasteTransportMethod[Emissions Factor
kgCO2e/kg.km]*Calculations[[#This Row],[Total Kg]],0)</f>
        <v>0</v>
      </c>
      <c r="W666" s="322" cm="1">
        <f t="array" ref="W666">IFERROR(VLOOKUP(Calculations[[#This Row],[Waste 1]],WasteScenario[#All],5,FALSE)*'Stage assumptions'!$C$226*WasteTransportMethod[Emissions Factor
kgCO2e/kg.km]*Calculations[[#This Row],[Total Kg]],0)</f>
        <v>0</v>
      </c>
      <c r="X666" s="322">
        <f>SUM(Calculations[[#This Row],[C2 Recycle]:[C2 Reuse]])</f>
        <v>0</v>
      </c>
      <c r="Y666" t="str">
        <f>IFERROR(VLOOKUP(Calculations[[#This Row],[Material (choose from dropdown]],MaterialData[#All],5,FALSE),"")</f>
        <v/>
      </c>
      <c r="Z666" s="322">
        <f>IFERROR(((VLOOKUP(Calculations[[#This Row],[Waste type 2]],WasteDisposalEmissions[#All],2,FALSE))*Calculations[[#This Row],[Total Kg]])*VLOOKUP(Calculations[[#This Row],[Waste 1]],WasteScenario[#All],2,FALSE),0)</f>
        <v>0</v>
      </c>
      <c r="AA666" s="322">
        <f>IFERROR((VLOOKUP(Calculations[[#This Row],[Waste type 2]],WasteDisposalEmissions[#All],3,FALSE))*Calculations[[#This Row],[Total Kg]]*VLOOKUP(Calculations[[#This Row],[Waste 1]],WasteScenario[#All],3,FALSE),0)</f>
        <v>0</v>
      </c>
      <c r="AB666" s="322">
        <f>SUM(Calculations[[#This Row],[C3 recyc]:[C3 incin]])</f>
        <v>0</v>
      </c>
      <c r="AC666" s="334">
        <f>IFERROR((VLOOKUP(Calculations[[#This Row],[Waste type 2]],WasteLandfillEmissions[#All],2,FALSE))*Calculations[[#This Row],[Total Kg]]*VLOOKUP(Calculations[[#This Row],[Waste 1]],WasteScenario[#All],4,FALSE),0)</f>
        <v>0</v>
      </c>
      <c r="AD666" s="322">
        <f>IFERROR((VLOOKUP(Calculations[[#This Row],[Waste type 2]],WasteLandfillEmissions[#All],3,FALSE))*Calculations[[#This Row],[Total Kg]]*VLOOKUP(Calculations[[#This Row],[Waste 1]],WasteScenario[#All],4,FALSE),0)</f>
        <v>0</v>
      </c>
      <c r="AE666" s="322">
        <f>SUM(Calculations[[#This Row],[C4 landfill]:[C4 re-use]])</f>
        <v>0</v>
      </c>
      <c r="AF666" s="322">
        <f>IFERROR(VLOOKUP(Calculations[[#This Row],[Material (choose from dropdown]],MaterialData[#All],8,FALSE),0)</f>
        <v>0</v>
      </c>
      <c r="AG666" s="322">
        <f>IFERROR(Calculations[[#This Row],[Total Kg]]*Calculations[[#This Row],[Seq factor]],0)</f>
        <v>0</v>
      </c>
      <c r="AI666" s="322">
        <f>Calculations[[#This Row],[A1-3]]+Calculations[[#This Row],[A4]]+Calculations[[#This Row],[A5]]+Calculations[[#This Row],[B4]]+Calculations[[#This Row],[C2 total]]+Calculations[[#This Row],[C3 total]]+Calculations[[#This Row],[C4 total]]</f>
        <v>0</v>
      </c>
      <c r="AJ666" s="2">
        <f>IFERROR(VLOOKUP(Calculations[[#This Row],[Material (choose from dropdown]],MaterialData[[#Headers],[#Data]],9,FALSE),0)</f>
        <v>0</v>
      </c>
      <c r="AK666" s="4">
        <f>IFERROR(VLOOKUP(Calculations[[#This Row],[Material (choose from dropdown]],MaterialData[[#Headers],[#Data]],10,FALSE),0)</f>
        <v>0</v>
      </c>
      <c r="AL666" s="322">
        <f>IFERROR(Calculations[[#This Row],[Data Quality Score]]*Calculations[[#This Row],[Total Kg]],0)</f>
        <v>0</v>
      </c>
    </row>
    <row r="667" spans="1:38" x14ac:dyDescent="0.3">
      <c r="A667" s="6">
        <f>IFERROR(MaterialsBoQ[[#This Row],[Scope Element]],0)</f>
        <v>0</v>
      </c>
      <c r="B667" t="str">
        <f>IFERROR(MaterialsBoQ[[#This Row],[Material ]],"")</f>
        <v/>
      </c>
      <c r="C667" t="str">
        <f>IFERROR(MaterialsBoQ[[#This Row],[Unit]],"")</f>
        <v/>
      </c>
      <c r="D667" s="322">
        <f>IFERROR(MaterialsBoQ[[#This Row],[Number]],0)</f>
        <v>0</v>
      </c>
      <c r="E667" s="322">
        <f>IFERROR(MaterialsBoQ[[#This Row],[Kg per unit]],0)</f>
        <v>0</v>
      </c>
      <c r="F667" s="322">
        <f>IFERROR(Calculations[[#This Row],[Number]]*Calculations[[#This Row],[Conversion factor]],0)</f>
        <v>0</v>
      </c>
      <c r="G667" s="322">
        <f>IFERROR(VLOOKUP(Calculations[[#This Row],[Material (choose from dropdown]],MaterialData[#All],7,FALSE),0)</f>
        <v>0</v>
      </c>
      <c r="H667" s="322">
        <f>Calculations[[#This Row],[Total Kg]]*Calculations[[#This Row],[Carbon Factor]]</f>
        <v>0</v>
      </c>
      <c r="I667" t="str">
        <f>IFERROR(VLOOKUP(Calculations[[#This Row],[Material (choose from dropdown]],MaterialData[#All],2,FALSE),"")</f>
        <v/>
      </c>
      <c r="J667" s="322">
        <f>IFERROR(((VLOOKUP(Calculations[[#This Row],[TransportSource]],TransportDistance[],2,FALSE)*'Stage assumptions'!$C$11)+VLOOKUP(Calculations[[#This Row],[TransportSource]],TransportDistance[],3,FALSE)*'Stage assumptions'!$C$12)*Calculations[[#This Row],[Total Kg]],0)</f>
        <v>0</v>
      </c>
      <c r="K667">
        <f>IFERROR(VLOOKUP(Calculations[[#This Row],[Material (choose from dropdown]], MaterialData[#All],3, FALSE),0)</f>
        <v>0</v>
      </c>
      <c r="L667" s="322">
        <f>IFERROR(VLOOKUP(Calculations[[#This Row],[A5type]],A5WastageRate[#All],2,FALSE)*Calculations[[#This Row],[A1-3]],0)</f>
        <v>0</v>
      </c>
      <c r="N667">
        <f>IFERROR(ROUNDUP(50/VLOOKUP(Calculations[[#This Row],[Scope Element]],B4referenceServiceLife[[Tier 2 element]:[Default Service Life]],2, FALSE)-1,0),0)</f>
        <v>0</v>
      </c>
      <c r="O667" s="322">
        <f>IFERROR((Calculations[[#This Row],[A1-3]]+Calculations[[#This Row],[A4]]+Calculations[[#This Row],[A5]]+Calculations[[#This Row],[C2 total]]+Calculations[[#This Row],[C3 total]]+Calculations[[#This Row],[C4 total]])*Calculations[[#This Row],[Replacements]],0)</f>
        <v>0</v>
      </c>
      <c r="S667" t="str">
        <f>IFERROR(VLOOKUP(Calculations[[#This Row],[Material (choose from dropdown]],MaterialData[#All],4,FALSE),"")</f>
        <v/>
      </c>
      <c r="T667" s="322" cm="1">
        <f t="array" ref="T667">IFERROR(VLOOKUP(Calculations[[#This Row],[Waste 1]],WasteScenario[#All],2,FALSE)*'Stage assumptions'!$C$225*WasteTransportMethod[Emissions Factor
kgCO2e/kg.km]*Calculations[[#This Row],[Total Kg]],0)</f>
        <v>0</v>
      </c>
      <c r="U667" s="322" cm="1">
        <f t="array" ref="U667">IFERROR(VLOOKUP(Calculations[[#This Row],[Waste 1]],WasteScenario[#All],3,FALSE)*'Stage assumptions'!$C$224*WasteTransportMethod[Emissions Factor
kgCO2e/kg.km]*Calculations[[#This Row],[Total Kg]],0)</f>
        <v>0</v>
      </c>
      <c r="V667" s="322" cm="1">
        <f t="array" ref="V667">IFERROR(VLOOKUP(Calculations[[#This Row],[Waste 1]],WasteScenario[#All],4,FALSE)*'Stage assumptions'!$C$223*WasteTransportMethod[Emissions Factor
kgCO2e/kg.km]*Calculations[[#This Row],[Total Kg]],0)</f>
        <v>0</v>
      </c>
      <c r="W667" s="322" cm="1">
        <f t="array" ref="W667">IFERROR(VLOOKUP(Calculations[[#This Row],[Waste 1]],WasteScenario[#All],5,FALSE)*'Stage assumptions'!$C$226*WasteTransportMethod[Emissions Factor
kgCO2e/kg.km]*Calculations[[#This Row],[Total Kg]],0)</f>
        <v>0</v>
      </c>
      <c r="X667" s="322">
        <f>SUM(Calculations[[#This Row],[C2 Recycle]:[C2 Reuse]])</f>
        <v>0</v>
      </c>
      <c r="Y667" t="str">
        <f>IFERROR(VLOOKUP(Calculations[[#This Row],[Material (choose from dropdown]],MaterialData[#All],5,FALSE),"")</f>
        <v/>
      </c>
      <c r="Z667" s="322">
        <f>IFERROR(((VLOOKUP(Calculations[[#This Row],[Waste type 2]],WasteDisposalEmissions[#All],2,FALSE))*Calculations[[#This Row],[Total Kg]])*VLOOKUP(Calculations[[#This Row],[Waste 1]],WasteScenario[#All],2,FALSE),0)</f>
        <v>0</v>
      </c>
      <c r="AA667" s="322">
        <f>IFERROR((VLOOKUP(Calculations[[#This Row],[Waste type 2]],WasteDisposalEmissions[#All],3,FALSE))*Calculations[[#This Row],[Total Kg]]*VLOOKUP(Calculations[[#This Row],[Waste 1]],WasteScenario[#All],3,FALSE),0)</f>
        <v>0</v>
      </c>
      <c r="AB667" s="322">
        <f>SUM(Calculations[[#This Row],[C3 recyc]:[C3 incin]])</f>
        <v>0</v>
      </c>
      <c r="AC667" s="334">
        <f>IFERROR((VLOOKUP(Calculations[[#This Row],[Waste type 2]],WasteLandfillEmissions[#All],2,FALSE))*Calculations[[#This Row],[Total Kg]]*VLOOKUP(Calculations[[#This Row],[Waste 1]],WasteScenario[#All],4,FALSE),0)</f>
        <v>0</v>
      </c>
      <c r="AD667" s="322">
        <f>IFERROR((VLOOKUP(Calculations[[#This Row],[Waste type 2]],WasteLandfillEmissions[#All],3,FALSE))*Calculations[[#This Row],[Total Kg]]*VLOOKUP(Calculations[[#This Row],[Waste 1]],WasteScenario[#All],4,FALSE),0)</f>
        <v>0</v>
      </c>
      <c r="AE667" s="322">
        <f>SUM(Calculations[[#This Row],[C4 landfill]:[C4 re-use]])</f>
        <v>0</v>
      </c>
      <c r="AF667" s="322">
        <f>IFERROR(VLOOKUP(Calculations[[#This Row],[Material (choose from dropdown]],MaterialData[#All],8,FALSE),0)</f>
        <v>0</v>
      </c>
      <c r="AG667" s="322">
        <f>IFERROR(Calculations[[#This Row],[Total Kg]]*Calculations[[#This Row],[Seq factor]],0)</f>
        <v>0</v>
      </c>
      <c r="AI667" s="322">
        <f>Calculations[[#This Row],[A1-3]]+Calculations[[#This Row],[A4]]+Calculations[[#This Row],[A5]]+Calculations[[#This Row],[B4]]+Calculations[[#This Row],[C2 total]]+Calculations[[#This Row],[C3 total]]+Calculations[[#This Row],[C4 total]]</f>
        <v>0</v>
      </c>
      <c r="AJ667" s="2">
        <f>IFERROR(VLOOKUP(Calculations[[#This Row],[Material (choose from dropdown]],MaterialData[[#Headers],[#Data]],9,FALSE),0)</f>
        <v>0</v>
      </c>
      <c r="AK667" s="4">
        <f>IFERROR(VLOOKUP(Calculations[[#This Row],[Material (choose from dropdown]],MaterialData[[#Headers],[#Data]],10,FALSE),0)</f>
        <v>0</v>
      </c>
      <c r="AL667" s="322">
        <f>IFERROR(Calculations[[#This Row],[Data Quality Score]]*Calculations[[#This Row],[Total Kg]],0)</f>
        <v>0</v>
      </c>
    </row>
    <row r="668" spans="1:38" x14ac:dyDescent="0.3">
      <c r="A668" s="6">
        <f>IFERROR(MaterialsBoQ[[#This Row],[Scope Element]],0)</f>
        <v>0</v>
      </c>
      <c r="B668" t="str">
        <f>IFERROR(MaterialsBoQ[[#This Row],[Material ]],"")</f>
        <v/>
      </c>
      <c r="C668" t="str">
        <f>IFERROR(MaterialsBoQ[[#This Row],[Unit]],"")</f>
        <v/>
      </c>
      <c r="D668" s="322">
        <f>IFERROR(MaterialsBoQ[[#This Row],[Number]],0)</f>
        <v>0</v>
      </c>
      <c r="E668" s="322">
        <f>IFERROR(MaterialsBoQ[[#This Row],[Kg per unit]],0)</f>
        <v>0</v>
      </c>
      <c r="F668" s="322">
        <f>IFERROR(Calculations[[#This Row],[Number]]*Calculations[[#This Row],[Conversion factor]],0)</f>
        <v>0</v>
      </c>
      <c r="G668" s="322">
        <f>IFERROR(VLOOKUP(Calculations[[#This Row],[Material (choose from dropdown]],MaterialData[#All],7,FALSE),0)</f>
        <v>0</v>
      </c>
      <c r="H668" s="322">
        <f>Calculations[[#This Row],[Total Kg]]*Calculations[[#This Row],[Carbon Factor]]</f>
        <v>0</v>
      </c>
      <c r="I668" t="str">
        <f>IFERROR(VLOOKUP(Calculations[[#This Row],[Material (choose from dropdown]],MaterialData[#All],2,FALSE),"")</f>
        <v/>
      </c>
      <c r="J668" s="322">
        <f>IFERROR(((VLOOKUP(Calculations[[#This Row],[TransportSource]],TransportDistance[],2,FALSE)*'Stage assumptions'!$C$11)+VLOOKUP(Calculations[[#This Row],[TransportSource]],TransportDistance[],3,FALSE)*'Stage assumptions'!$C$12)*Calculations[[#This Row],[Total Kg]],0)</f>
        <v>0</v>
      </c>
      <c r="K668">
        <f>IFERROR(VLOOKUP(Calculations[[#This Row],[Material (choose from dropdown]], MaterialData[#All],3, FALSE),0)</f>
        <v>0</v>
      </c>
      <c r="L668" s="322">
        <f>IFERROR(VLOOKUP(Calculations[[#This Row],[A5type]],A5WastageRate[#All],2,FALSE)*Calculations[[#This Row],[A1-3]],0)</f>
        <v>0</v>
      </c>
      <c r="N668">
        <f>IFERROR(ROUNDUP(50/VLOOKUP(Calculations[[#This Row],[Scope Element]],B4referenceServiceLife[[Tier 2 element]:[Default Service Life]],2, FALSE)-1,0),0)</f>
        <v>0</v>
      </c>
      <c r="O668" s="322">
        <f>IFERROR((Calculations[[#This Row],[A1-3]]+Calculations[[#This Row],[A4]]+Calculations[[#This Row],[A5]]+Calculations[[#This Row],[C2 total]]+Calculations[[#This Row],[C3 total]]+Calculations[[#This Row],[C4 total]])*Calculations[[#This Row],[Replacements]],0)</f>
        <v>0</v>
      </c>
      <c r="S668" t="str">
        <f>IFERROR(VLOOKUP(Calculations[[#This Row],[Material (choose from dropdown]],MaterialData[#All],4,FALSE),"")</f>
        <v/>
      </c>
      <c r="T668" s="322" cm="1">
        <f t="array" ref="T668">IFERROR(VLOOKUP(Calculations[[#This Row],[Waste 1]],WasteScenario[#All],2,FALSE)*'Stage assumptions'!$C$225*WasteTransportMethod[Emissions Factor
kgCO2e/kg.km]*Calculations[[#This Row],[Total Kg]],0)</f>
        <v>0</v>
      </c>
      <c r="U668" s="322" cm="1">
        <f t="array" ref="U668">IFERROR(VLOOKUP(Calculations[[#This Row],[Waste 1]],WasteScenario[#All],3,FALSE)*'Stage assumptions'!$C$224*WasteTransportMethod[Emissions Factor
kgCO2e/kg.km]*Calculations[[#This Row],[Total Kg]],0)</f>
        <v>0</v>
      </c>
      <c r="V668" s="322" cm="1">
        <f t="array" ref="V668">IFERROR(VLOOKUP(Calculations[[#This Row],[Waste 1]],WasteScenario[#All],4,FALSE)*'Stage assumptions'!$C$223*WasteTransportMethod[Emissions Factor
kgCO2e/kg.km]*Calculations[[#This Row],[Total Kg]],0)</f>
        <v>0</v>
      </c>
      <c r="W668" s="322" cm="1">
        <f t="array" ref="W668">IFERROR(VLOOKUP(Calculations[[#This Row],[Waste 1]],WasteScenario[#All],5,FALSE)*'Stage assumptions'!$C$226*WasteTransportMethod[Emissions Factor
kgCO2e/kg.km]*Calculations[[#This Row],[Total Kg]],0)</f>
        <v>0</v>
      </c>
      <c r="X668" s="322">
        <f>SUM(Calculations[[#This Row],[C2 Recycle]:[C2 Reuse]])</f>
        <v>0</v>
      </c>
      <c r="Y668" t="str">
        <f>IFERROR(VLOOKUP(Calculations[[#This Row],[Material (choose from dropdown]],MaterialData[#All],5,FALSE),"")</f>
        <v/>
      </c>
      <c r="Z668" s="322">
        <f>IFERROR(((VLOOKUP(Calculations[[#This Row],[Waste type 2]],WasteDisposalEmissions[#All],2,FALSE))*Calculations[[#This Row],[Total Kg]])*VLOOKUP(Calculations[[#This Row],[Waste 1]],WasteScenario[#All],2,FALSE),0)</f>
        <v>0</v>
      </c>
      <c r="AA668" s="322">
        <f>IFERROR((VLOOKUP(Calculations[[#This Row],[Waste type 2]],WasteDisposalEmissions[#All],3,FALSE))*Calculations[[#This Row],[Total Kg]]*VLOOKUP(Calculations[[#This Row],[Waste 1]],WasteScenario[#All],3,FALSE),0)</f>
        <v>0</v>
      </c>
      <c r="AB668" s="322">
        <f>SUM(Calculations[[#This Row],[C3 recyc]:[C3 incin]])</f>
        <v>0</v>
      </c>
      <c r="AC668" s="334">
        <f>IFERROR((VLOOKUP(Calculations[[#This Row],[Waste type 2]],WasteLandfillEmissions[#All],2,FALSE))*Calculations[[#This Row],[Total Kg]]*VLOOKUP(Calculations[[#This Row],[Waste 1]],WasteScenario[#All],4,FALSE),0)</f>
        <v>0</v>
      </c>
      <c r="AD668" s="322">
        <f>IFERROR((VLOOKUP(Calculations[[#This Row],[Waste type 2]],WasteLandfillEmissions[#All],3,FALSE))*Calculations[[#This Row],[Total Kg]]*VLOOKUP(Calculations[[#This Row],[Waste 1]],WasteScenario[#All],4,FALSE),0)</f>
        <v>0</v>
      </c>
      <c r="AE668" s="322">
        <f>SUM(Calculations[[#This Row],[C4 landfill]:[C4 re-use]])</f>
        <v>0</v>
      </c>
      <c r="AF668" s="322">
        <f>IFERROR(VLOOKUP(Calculations[[#This Row],[Material (choose from dropdown]],MaterialData[#All],8,FALSE),0)</f>
        <v>0</v>
      </c>
      <c r="AG668" s="322">
        <f>IFERROR(Calculations[[#This Row],[Total Kg]]*Calculations[[#This Row],[Seq factor]],0)</f>
        <v>0</v>
      </c>
      <c r="AI668" s="322">
        <f>Calculations[[#This Row],[A1-3]]+Calculations[[#This Row],[A4]]+Calculations[[#This Row],[A5]]+Calculations[[#This Row],[B4]]+Calculations[[#This Row],[C2 total]]+Calculations[[#This Row],[C3 total]]+Calculations[[#This Row],[C4 total]]</f>
        <v>0</v>
      </c>
      <c r="AJ668" s="2">
        <f>IFERROR(VLOOKUP(Calculations[[#This Row],[Material (choose from dropdown]],MaterialData[[#Headers],[#Data]],9,FALSE),0)</f>
        <v>0</v>
      </c>
      <c r="AK668" s="4">
        <f>IFERROR(VLOOKUP(Calculations[[#This Row],[Material (choose from dropdown]],MaterialData[[#Headers],[#Data]],10,FALSE),0)</f>
        <v>0</v>
      </c>
      <c r="AL668" s="322">
        <f>IFERROR(Calculations[[#This Row],[Data Quality Score]]*Calculations[[#This Row],[Total Kg]],0)</f>
        <v>0</v>
      </c>
    </row>
    <row r="669" spans="1:38" x14ac:dyDescent="0.3">
      <c r="A669" s="6">
        <f>IFERROR(MaterialsBoQ[[#This Row],[Scope Element]],0)</f>
        <v>0</v>
      </c>
      <c r="B669" t="str">
        <f>IFERROR(MaterialsBoQ[[#This Row],[Material ]],"")</f>
        <v/>
      </c>
      <c r="C669" t="str">
        <f>IFERROR(MaterialsBoQ[[#This Row],[Unit]],"")</f>
        <v/>
      </c>
      <c r="D669" s="322">
        <f>IFERROR(MaterialsBoQ[[#This Row],[Number]],0)</f>
        <v>0</v>
      </c>
      <c r="E669" s="322">
        <f>IFERROR(MaterialsBoQ[[#This Row],[Kg per unit]],0)</f>
        <v>0</v>
      </c>
      <c r="F669" s="322">
        <f>IFERROR(Calculations[[#This Row],[Number]]*Calculations[[#This Row],[Conversion factor]],0)</f>
        <v>0</v>
      </c>
      <c r="G669" s="322">
        <f>IFERROR(VLOOKUP(Calculations[[#This Row],[Material (choose from dropdown]],MaterialData[#All],7,FALSE),0)</f>
        <v>0</v>
      </c>
      <c r="H669" s="322">
        <f>Calculations[[#This Row],[Total Kg]]*Calculations[[#This Row],[Carbon Factor]]</f>
        <v>0</v>
      </c>
      <c r="I669" t="str">
        <f>IFERROR(VLOOKUP(Calculations[[#This Row],[Material (choose from dropdown]],MaterialData[#All],2,FALSE),"")</f>
        <v/>
      </c>
      <c r="J669" s="322">
        <f>IFERROR(((VLOOKUP(Calculations[[#This Row],[TransportSource]],TransportDistance[],2,FALSE)*'Stage assumptions'!$C$11)+VLOOKUP(Calculations[[#This Row],[TransportSource]],TransportDistance[],3,FALSE)*'Stage assumptions'!$C$12)*Calculations[[#This Row],[Total Kg]],0)</f>
        <v>0</v>
      </c>
      <c r="K669">
        <f>IFERROR(VLOOKUP(Calculations[[#This Row],[Material (choose from dropdown]], MaterialData[#All],3, FALSE),0)</f>
        <v>0</v>
      </c>
      <c r="L669" s="322">
        <f>IFERROR(VLOOKUP(Calculations[[#This Row],[A5type]],A5WastageRate[#All],2,FALSE)*Calculations[[#This Row],[A1-3]],0)</f>
        <v>0</v>
      </c>
      <c r="N669">
        <f>IFERROR(ROUNDUP(50/VLOOKUP(Calculations[[#This Row],[Scope Element]],B4referenceServiceLife[[Tier 2 element]:[Default Service Life]],2, FALSE)-1,0),0)</f>
        <v>0</v>
      </c>
      <c r="O669" s="322">
        <f>IFERROR((Calculations[[#This Row],[A1-3]]+Calculations[[#This Row],[A4]]+Calculations[[#This Row],[A5]]+Calculations[[#This Row],[C2 total]]+Calculations[[#This Row],[C3 total]]+Calculations[[#This Row],[C4 total]])*Calculations[[#This Row],[Replacements]],0)</f>
        <v>0</v>
      </c>
      <c r="S669" t="str">
        <f>IFERROR(VLOOKUP(Calculations[[#This Row],[Material (choose from dropdown]],MaterialData[#All],4,FALSE),"")</f>
        <v/>
      </c>
      <c r="T669" s="322" cm="1">
        <f t="array" ref="T669">IFERROR(VLOOKUP(Calculations[[#This Row],[Waste 1]],WasteScenario[#All],2,FALSE)*'Stage assumptions'!$C$225*WasteTransportMethod[Emissions Factor
kgCO2e/kg.km]*Calculations[[#This Row],[Total Kg]],0)</f>
        <v>0</v>
      </c>
      <c r="U669" s="322" cm="1">
        <f t="array" ref="U669">IFERROR(VLOOKUP(Calculations[[#This Row],[Waste 1]],WasteScenario[#All],3,FALSE)*'Stage assumptions'!$C$224*WasteTransportMethod[Emissions Factor
kgCO2e/kg.km]*Calculations[[#This Row],[Total Kg]],0)</f>
        <v>0</v>
      </c>
      <c r="V669" s="322" cm="1">
        <f t="array" ref="V669">IFERROR(VLOOKUP(Calculations[[#This Row],[Waste 1]],WasteScenario[#All],4,FALSE)*'Stage assumptions'!$C$223*WasteTransportMethod[Emissions Factor
kgCO2e/kg.km]*Calculations[[#This Row],[Total Kg]],0)</f>
        <v>0</v>
      </c>
      <c r="W669" s="322" cm="1">
        <f t="array" ref="W669">IFERROR(VLOOKUP(Calculations[[#This Row],[Waste 1]],WasteScenario[#All],5,FALSE)*'Stage assumptions'!$C$226*WasteTransportMethod[Emissions Factor
kgCO2e/kg.km]*Calculations[[#This Row],[Total Kg]],0)</f>
        <v>0</v>
      </c>
      <c r="X669" s="322">
        <f>SUM(Calculations[[#This Row],[C2 Recycle]:[C2 Reuse]])</f>
        <v>0</v>
      </c>
      <c r="Y669" t="str">
        <f>IFERROR(VLOOKUP(Calculations[[#This Row],[Material (choose from dropdown]],MaterialData[#All],5,FALSE),"")</f>
        <v/>
      </c>
      <c r="Z669" s="322">
        <f>IFERROR(((VLOOKUP(Calculations[[#This Row],[Waste type 2]],WasteDisposalEmissions[#All],2,FALSE))*Calculations[[#This Row],[Total Kg]])*VLOOKUP(Calculations[[#This Row],[Waste 1]],WasteScenario[#All],2,FALSE),0)</f>
        <v>0</v>
      </c>
      <c r="AA669" s="322">
        <f>IFERROR((VLOOKUP(Calculations[[#This Row],[Waste type 2]],WasteDisposalEmissions[#All],3,FALSE))*Calculations[[#This Row],[Total Kg]]*VLOOKUP(Calculations[[#This Row],[Waste 1]],WasteScenario[#All],3,FALSE),0)</f>
        <v>0</v>
      </c>
      <c r="AB669" s="322">
        <f>SUM(Calculations[[#This Row],[C3 recyc]:[C3 incin]])</f>
        <v>0</v>
      </c>
      <c r="AC669" s="334">
        <f>IFERROR((VLOOKUP(Calculations[[#This Row],[Waste type 2]],WasteLandfillEmissions[#All],2,FALSE))*Calculations[[#This Row],[Total Kg]]*VLOOKUP(Calculations[[#This Row],[Waste 1]],WasteScenario[#All],4,FALSE),0)</f>
        <v>0</v>
      </c>
      <c r="AD669" s="322">
        <f>IFERROR((VLOOKUP(Calculations[[#This Row],[Waste type 2]],WasteLandfillEmissions[#All],3,FALSE))*Calculations[[#This Row],[Total Kg]]*VLOOKUP(Calculations[[#This Row],[Waste 1]],WasteScenario[#All],4,FALSE),0)</f>
        <v>0</v>
      </c>
      <c r="AE669" s="322">
        <f>SUM(Calculations[[#This Row],[C4 landfill]:[C4 re-use]])</f>
        <v>0</v>
      </c>
      <c r="AF669" s="322">
        <f>IFERROR(VLOOKUP(Calculations[[#This Row],[Material (choose from dropdown]],MaterialData[#All],8,FALSE),0)</f>
        <v>0</v>
      </c>
      <c r="AG669" s="322">
        <f>IFERROR(Calculations[[#This Row],[Total Kg]]*Calculations[[#This Row],[Seq factor]],0)</f>
        <v>0</v>
      </c>
      <c r="AI669" s="322">
        <f>Calculations[[#This Row],[A1-3]]+Calculations[[#This Row],[A4]]+Calculations[[#This Row],[A5]]+Calculations[[#This Row],[B4]]+Calculations[[#This Row],[C2 total]]+Calculations[[#This Row],[C3 total]]+Calculations[[#This Row],[C4 total]]</f>
        <v>0</v>
      </c>
      <c r="AJ669" s="2">
        <f>IFERROR(VLOOKUP(Calculations[[#This Row],[Material (choose from dropdown]],MaterialData[[#Headers],[#Data]],9,FALSE),0)</f>
        <v>0</v>
      </c>
      <c r="AK669" s="4">
        <f>IFERROR(VLOOKUP(Calculations[[#This Row],[Material (choose from dropdown]],MaterialData[[#Headers],[#Data]],10,FALSE),0)</f>
        <v>0</v>
      </c>
      <c r="AL669" s="322">
        <f>IFERROR(Calculations[[#This Row],[Data Quality Score]]*Calculations[[#This Row],[Total Kg]],0)</f>
        <v>0</v>
      </c>
    </row>
    <row r="670" spans="1:38" x14ac:dyDescent="0.3">
      <c r="A670" s="6">
        <f>IFERROR(MaterialsBoQ[[#This Row],[Scope Element]],0)</f>
        <v>0</v>
      </c>
      <c r="B670" t="str">
        <f>IFERROR(MaterialsBoQ[[#This Row],[Material ]],"")</f>
        <v/>
      </c>
      <c r="C670" t="str">
        <f>IFERROR(MaterialsBoQ[[#This Row],[Unit]],"")</f>
        <v/>
      </c>
      <c r="D670" s="322">
        <f>IFERROR(MaterialsBoQ[[#This Row],[Number]],0)</f>
        <v>0</v>
      </c>
      <c r="E670" s="322">
        <f>IFERROR(MaterialsBoQ[[#This Row],[Kg per unit]],0)</f>
        <v>0</v>
      </c>
      <c r="F670" s="322">
        <f>IFERROR(Calculations[[#This Row],[Number]]*Calculations[[#This Row],[Conversion factor]],0)</f>
        <v>0</v>
      </c>
      <c r="G670" s="322">
        <f>IFERROR(VLOOKUP(Calculations[[#This Row],[Material (choose from dropdown]],MaterialData[#All],7,FALSE),0)</f>
        <v>0</v>
      </c>
      <c r="H670" s="322">
        <f>Calculations[[#This Row],[Total Kg]]*Calculations[[#This Row],[Carbon Factor]]</f>
        <v>0</v>
      </c>
      <c r="I670" t="str">
        <f>IFERROR(VLOOKUP(Calculations[[#This Row],[Material (choose from dropdown]],MaterialData[#All],2,FALSE),"")</f>
        <v/>
      </c>
      <c r="J670" s="322">
        <f>IFERROR(((VLOOKUP(Calculations[[#This Row],[TransportSource]],TransportDistance[],2,FALSE)*'Stage assumptions'!$C$11)+VLOOKUP(Calculations[[#This Row],[TransportSource]],TransportDistance[],3,FALSE)*'Stage assumptions'!$C$12)*Calculations[[#This Row],[Total Kg]],0)</f>
        <v>0</v>
      </c>
      <c r="K670">
        <f>IFERROR(VLOOKUP(Calculations[[#This Row],[Material (choose from dropdown]], MaterialData[#All],3, FALSE),0)</f>
        <v>0</v>
      </c>
      <c r="L670" s="322">
        <f>IFERROR(VLOOKUP(Calculations[[#This Row],[A5type]],A5WastageRate[#All],2,FALSE)*Calculations[[#This Row],[A1-3]],0)</f>
        <v>0</v>
      </c>
      <c r="N670">
        <f>IFERROR(ROUNDUP(50/VLOOKUP(Calculations[[#This Row],[Scope Element]],B4referenceServiceLife[[Tier 2 element]:[Default Service Life]],2, FALSE)-1,0),0)</f>
        <v>0</v>
      </c>
      <c r="O670" s="322">
        <f>IFERROR((Calculations[[#This Row],[A1-3]]+Calculations[[#This Row],[A4]]+Calculations[[#This Row],[A5]]+Calculations[[#This Row],[C2 total]]+Calculations[[#This Row],[C3 total]]+Calculations[[#This Row],[C4 total]])*Calculations[[#This Row],[Replacements]],0)</f>
        <v>0</v>
      </c>
      <c r="S670" t="str">
        <f>IFERROR(VLOOKUP(Calculations[[#This Row],[Material (choose from dropdown]],MaterialData[#All],4,FALSE),"")</f>
        <v/>
      </c>
      <c r="T670" s="322" cm="1">
        <f t="array" ref="T670">IFERROR(VLOOKUP(Calculations[[#This Row],[Waste 1]],WasteScenario[#All],2,FALSE)*'Stage assumptions'!$C$225*WasteTransportMethod[Emissions Factor
kgCO2e/kg.km]*Calculations[[#This Row],[Total Kg]],0)</f>
        <v>0</v>
      </c>
      <c r="U670" s="322" cm="1">
        <f t="array" ref="U670">IFERROR(VLOOKUP(Calculations[[#This Row],[Waste 1]],WasteScenario[#All],3,FALSE)*'Stage assumptions'!$C$224*WasteTransportMethod[Emissions Factor
kgCO2e/kg.km]*Calculations[[#This Row],[Total Kg]],0)</f>
        <v>0</v>
      </c>
      <c r="V670" s="322" cm="1">
        <f t="array" ref="V670">IFERROR(VLOOKUP(Calculations[[#This Row],[Waste 1]],WasteScenario[#All],4,FALSE)*'Stage assumptions'!$C$223*WasteTransportMethod[Emissions Factor
kgCO2e/kg.km]*Calculations[[#This Row],[Total Kg]],0)</f>
        <v>0</v>
      </c>
      <c r="W670" s="322" cm="1">
        <f t="array" ref="W670">IFERROR(VLOOKUP(Calculations[[#This Row],[Waste 1]],WasteScenario[#All],5,FALSE)*'Stage assumptions'!$C$226*WasteTransportMethod[Emissions Factor
kgCO2e/kg.km]*Calculations[[#This Row],[Total Kg]],0)</f>
        <v>0</v>
      </c>
      <c r="X670" s="322">
        <f>SUM(Calculations[[#This Row],[C2 Recycle]:[C2 Reuse]])</f>
        <v>0</v>
      </c>
      <c r="Y670" t="str">
        <f>IFERROR(VLOOKUP(Calculations[[#This Row],[Material (choose from dropdown]],MaterialData[#All],5,FALSE),"")</f>
        <v/>
      </c>
      <c r="Z670" s="322">
        <f>IFERROR(((VLOOKUP(Calculations[[#This Row],[Waste type 2]],WasteDisposalEmissions[#All],2,FALSE))*Calculations[[#This Row],[Total Kg]])*VLOOKUP(Calculations[[#This Row],[Waste 1]],WasteScenario[#All],2,FALSE),0)</f>
        <v>0</v>
      </c>
      <c r="AA670" s="322">
        <f>IFERROR((VLOOKUP(Calculations[[#This Row],[Waste type 2]],WasteDisposalEmissions[#All],3,FALSE))*Calculations[[#This Row],[Total Kg]]*VLOOKUP(Calculations[[#This Row],[Waste 1]],WasteScenario[#All],3,FALSE),0)</f>
        <v>0</v>
      </c>
      <c r="AB670" s="322">
        <f>SUM(Calculations[[#This Row],[C3 recyc]:[C3 incin]])</f>
        <v>0</v>
      </c>
      <c r="AC670" s="334">
        <f>IFERROR((VLOOKUP(Calculations[[#This Row],[Waste type 2]],WasteLandfillEmissions[#All],2,FALSE))*Calculations[[#This Row],[Total Kg]]*VLOOKUP(Calculations[[#This Row],[Waste 1]],WasteScenario[#All],4,FALSE),0)</f>
        <v>0</v>
      </c>
      <c r="AD670" s="322">
        <f>IFERROR((VLOOKUP(Calculations[[#This Row],[Waste type 2]],WasteLandfillEmissions[#All],3,FALSE))*Calculations[[#This Row],[Total Kg]]*VLOOKUP(Calculations[[#This Row],[Waste 1]],WasteScenario[#All],4,FALSE),0)</f>
        <v>0</v>
      </c>
      <c r="AE670" s="322">
        <f>SUM(Calculations[[#This Row],[C4 landfill]:[C4 re-use]])</f>
        <v>0</v>
      </c>
      <c r="AF670" s="322">
        <f>IFERROR(VLOOKUP(Calculations[[#This Row],[Material (choose from dropdown]],MaterialData[#All],8,FALSE),0)</f>
        <v>0</v>
      </c>
      <c r="AG670" s="322">
        <f>IFERROR(Calculations[[#This Row],[Total Kg]]*Calculations[[#This Row],[Seq factor]],0)</f>
        <v>0</v>
      </c>
      <c r="AI670" s="322">
        <f>Calculations[[#This Row],[A1-3]]+Calculations[[#This Row],[A4]]+Calculations[[#This Row],[A5]]+Calculations[[#This Row],[B4]]+Calculations[[#This Row],[C2 total]]+Calculations[[#This Row],[C3 total]]+Calculations[[#This Row],[C4 total]]</f>
        <v>0</v>
      </c>
      <c r="AJ670" s="2">
        <f>IFERROR(VLOOKUP(Calculations[[#This Row],[Material (choose from dropdown]],MaterialData[[#Headers],[#Data]],9,FALSE),0)</f>
        <v>0</v>
      </c>
      <c r="AK670" s="4">
        <f>IFERROR(VLOOKUP(Calculations[[#This Row],[Material (choose from dropdown]],MaterialData[[#Headers],[#Data]],10,FALSE),0)</f>
        <v>0</v>
      </c>
      <c r="AL670" s="322">
        <f>IFERROR(Calculations[[#This Row],[Data Quality Score]]*Calculations[[#This Row],[Total Kg]],0)</f>
        <v>0</v>
      </c>
    </row>
    <row r="671" spans="1:38" x14ac:dyDescent="0.3">
      <c r="A671" s="6">
        <f>IFERROR(MaterialsBoQ[[#This Row],[Scope Element]],0)</f>
        <v>0</v>
      </c>
      <c r="B671" t="str">
        <f>IFERROR(MaterialsBoQ[[#This Row],[Material ]],"")</f>
        <v/>
      </c>
      <c r="C671" t="str">
        <f>IFERROR(MaterialsBoQ[[#This Row],[Unit]],"")</f>
        <v/>
      </c>
      <c r="D671" s="322">
        <f>IFERROR(MaterialsBoQ[[#This Row],[Number]],0)</f>
        <v>0</v>
      </c>
      <c r="E671" s="322">
        <f>IFERROR(MaterialsBoQ[[#This Row],[Kg per unit]],0)</f>
        <v>0</v>
      </c>
      <c r="F671" s="322">
        <f>IFERROR(Calculations[[#This Row],[Number]]*Calculations[[#This Row],[Conversion factor]],0)</f>
        <v>0</v>
      </c>
      <c r="G671" s="322">
        <f>IFERROR(VLOOKUP(Calculations[[#This Row],[Material (choose from dropdown]],MaterialData[#All],7,FALSE),0)</f>
        <v>0</v>
      </c>
      <c r="H671" s="322">
        <f>Calculations[[#This Row],[Total Kg]]*Calculations[[#This Row],[Carbon Factor]]</f>
        <v>0</v>
      </c>
      <c r="I671" t="str">
        <f>IFERROR(VLOOKUP(Calculations[[#This Row],[Material (choose from dropdown]],MaterialData[#All],2,FALSE),"")</f>
        <v/>
      </c>
      <c r="J671" s="322">
        <f>IFERROR(((VLOOKUP(Calculations[[#This Row],[TransportSource]],TransportDistance[],2,FALSE)*'Stage assumptions'!$C$11)+VLOOKUP(Calculations[[#This Row],[TransportSource]],TransportDistance[],3,FALSE)*'Stage assumptions'!$C$12)*Calculations[[#This Row],[Total Kg]],0)</f>
        <v>0</v>
      </c>
      <c r="K671">
        <f>IFERROR(VLOOKUP(Calculations[[#This Row],[Material (choose from dropdown]], MaterialData[#All],3, FALSE),0)</f>
        <v>0</v>
      </c>
      <c r="L671" s="322">
        <f>IFERROR(VLOOKUP(Calculations[[#This Row],[A5type]],A5WastageRate[#All],2,FALSE)*Calculations[[#This Row],[A1-3]],0)</f>
        <v>0</v>
      </c>
      <c r="N671">
        <f>IFERROR(ROUNDUP(50/VLOOKUP(Calculations[[#This Row],[Scope Element]],B4referenceServiceLife[[Tier 2 element]:[Default Service Life]],2, FALSE)-1,0),0)</f>
        <v>0</v>
      </c>
      <c r="O671" s="322">
        <f>IFERROR((Calculations[[#This Row],[A1-3]]+Calculations[[#This Row],[A4]]+Calculations[[#This Row],[A5]]+Calculations[[#This Row],[C2 total]]+Calculations[[#This Row],[C3 total]]+Calculations[[#This Row],[C4 total]])*Calculations[[#This Row],[Replacements]],0)</f>
        <v>0</v>
      </c>
      <c r="S671" t="str">
        <f>IFERROR(VLOOKUP(Calculations[[#This Row],[Material (choose from dropdown]],MaterialData[#All],4,FALSE),"")</f>
        <v/>
      </c>
      <c r="T671" s="322" cm="1">
        <f t="array" ref="T671">IFERROR(VLOOKUP(Calculations[[#This Row],[Waste 1]],WasteScenario[#All],2,FALSE)*'Stage assumptions'!$C$225*WasteTransportMethod[Emissions Factor
kgCO2e/kg.km]*Calculations[[#This Row],[Total Kg]],0)</f>
        <v>0</v>
      </c>
      <c r="U671" s="322" cm="1">
        <f t="array" ref="U671">IFERROR(VLOOKUP(Calculations[[#This Row],[Waste 1]],WasteScenario[#All],3,FALSE)*'Stage assumptions'!$C$224*WasteTransportMethod[Emissions Factor
kgCO2e/kg.km]*Calculations[[#This Row],[Total Kg]],0)</f>
        <v>0</v>
      </c>
      <c r="V671" s="322" cm="1">
        <f t="array" ref="V671">IFERROR(VLOOKUP(Calculations[[#This Row],[Waste 1]],WasteScenario[#All],4,FALSE)*'Stage assumptions'!$C$223*WasteTransportMethod[Emissions Factor
kgCO2e/kg.km]*Calculations[[#This Row],[Total Kg]],0)</f>
        <v>0</v>
      </c>
      <c r="W671" s="322" cm="1">
        <f t="array" ref="W671">IFERROR(VLOOKUP(Calculations[[#This Row],[Waste 1]],WasteScenario[#All],5,FALSE)*'Stage assumptions'!$C$226*WasteTransportMethod[Emissions Factor
kgCO2e/kg.km]*Calculations[[#This Row],[Total Kg]],0)</f>
        <v>0</v>
      </c>
      <c r="X671" s="322">
        <f>SUM(Calculations[[#This Row],[C2 Recycle]:[C2 Reuse]])</f>
        <v>0</v>
      </c>
      <c r="Y671" t="str">
        <f>IFERROR(VLOOKUP(Calculations[[#This Row],[Material (choose from dropdown]],MaterialData[#All],5,FALSE),"")</f>
        <v/>
      </c>
      <c r="Z671" s="322">
        <f>IFERROR(((VLOOKUP(Calculations[[#This Row],[Waste type 2]],WasteDisposalEmissions[#All],2,FALSE))*Calculations[[#This Row],[Total Kg]])*VLOOKUP(Calculations[[#This Row],[Waste 1]],WasteScenario[#All],2,FALSE),0)</f>
        <v>0</v>
      </c>
      <c r="AA671" s="322">
        <f>IFERROR((VLOOKUP(Calculations[[#This Row],[Waste type 2]],WasteDisposalEmissions[#All],3,FALSE))*Calculations[[#This Row],[Total Kg]]*VLOOKUP(Calculations[[#This Row],[Waste 1]],WasteScenario[#All],3,FALSE),0)</f>
        <v>0</v>
      </c>
      <c r="AB671" s="322">
        <f>SUM(Calculations[[#This Row],[C3 recyc]:[C3 incin]])</f>
        <v>0</v>
      </c>
      <c r="AC671" s="334">
        <f>IFERROR((VLOOKUP(Calculations[[#This Row],[Waste type 2]],WasteLandfillEmissions[#All],2,FALSE))*Calculations[[#This Row],[Total Kg]]*VLOOKUP(Calculations[[#This Row],[Waste 1]],WasteScenario[#All],4,FALSE),0)</f>
        <v>0</v>
      </c>
      <c r="AD671" s="322">
        <f>IFERROR((VLOOKUP(Calculations[[#This Row],[Waste type 2]],WasteLandfillEmissions[#All],3,FALSE))*Calculations[[#This Row],[Total Kg]]*VLOOKUP(Calculations[[#This Row],[Waste 1]],WasteScenario[#All],4,FALSE),0)</f>
        <v>0</v>
      </c>
      <c r="AE671" s="322">
        <f>SUM(Calculations[[#This Row],[C4 landfill]:[C4 re-use]])</f>
        <v>0</v>
      </c>
      <c r="AF671" s="322">
        <f>IFERROR(VLOOKUP(Calculations[[#This Row],[Material (choose from dropdown]],MaterialData[#All],8,FALSE),0)</f>
        <v>0</v>
      </c>
      <c r="AG671" s="322">
        <f>IFERROR(Calculations[[#This Row],[Total Kg]]*Calculations[[#This Row],[Seq factor]],0)</f>
        <v>0</v>
      </c>
      <c r="AI671" s="322">
        <f>Calculations[[#This Row],[A1-3]]+Calculations[[#This Row],[A4]]+Calculations[[#This Row],[A5]]+Calculations[[#This Row],[B4]]+Calculations[[#This Row],[C2 total]]+Calculations[[#This Row],[C3 total]]+Calculations[[#This Row],[C4 total]]</f>
        <v>0</v>
      </c>
      <c r="AJ671" s="2">
        <f>IFERROR(VLOOKUP(Calculations[[#This Row],[Material (choose from dropdown]],MaterialData[[#Headers],[#Data]],9,FALSE),0)</f>
        <v>0</v>
      </c>
      <c r="AK671" s="4">
        <f>IFERROR(VLOOKUP(Calculations[[#This Row],[Material (choose from dropdown]],MaterialData[[#Headers],[#Data]],10,FALSE),0)</f>
        <v>0</v>
      </c>
      <c r="AL671" s="322">
        <f>IFERROR(Calculations[[#This Row],[Data Quality Score]]*Calculations[[#This Row],[Total Kg]],0)</f>
        <v>0</v>
      </c>
    </row>
    <row r="672" spans="1:38" x14ac:dyDescent="0.3">
      <c r="A672" s="6">
        <f>IFERROR(MaterialsBoQ[[#This Row],[Scope Element]],0)</f>
        <v>0</v>
      </c>
      <c r="B672" t="str">
        <f>IFERROR(MaterialsBoQ[[#This Row],[Material ]],"")</f>
        <v/>
      </c>
      <c r="C672" t="str">
        <f>IFERROR(MaterialsBoQ[[#This Row],[Unit]],"")</f>
        <v/>
      </c>
      <c r="D672" s="322">
        <f>IFERROR(MaterialsBoQ[[#This Row],[Number]],0)</f>
        <v>0</v>
      </c>
      <c r="E672" s="322">
        <f>IFERROR(MaterialsBoQ[[#This Row],[Kg per unit]],0)</f>
        <v>0</v>
      </c>
      <c r="F672" s="322">
        <f>IFERROR(Calculations[[#This Row],[Number]]*Calculations[[#This Row],[Conversion factor]],0)</f>
        <v>0</v>
      </c>
      <c r="G672" s="322">
        <f>IFERROR(VLOOKUP(Calculations[[#This Row],[Material (choose from dropdown]],MaterialData[#All],7,FALSE),0)</f>
        <v>0</v>
      </c>
      <c r="H672" s="322">
        <f>Calculations[[#This Row],[Total Kg]]*Calculations[[#This Row],[Carbon Factor]]</f>
        <v>0</v>
      </c>
      <c r="I672" t="str">
        <f>IFERROR(VLOOKUP(Calculations[[#This Row],[Material (choose from dropdown]],MaterialData[#All],2,FALSE),"")</f>
        <v/>
      </c>
      <c r="J672" s="322">
        <f>IFERROR(((VLOOKUP(Calculations[[#This Row],[TransportSource]],TransportDistance[],2,FALSE)*'Stage assumptions'!$C$11)+VLOOKUP(Calculations[[#This Row],[TransportSource]],TransportDistance[],3,FALSE)*'Stage assumptions'!$C$12)*Calculations[[#This Row],[Total Kg]],0)</f>
        <v>0</v>
      </c>
      <c r="K672">
        <f>IFERROR(VLOOKUP(Calculations[[#This Row],[Material (choose from dropdown]], MaterialData[#All],3, FALSE),0)</f>
        <v>0</v>
      </c>
      <c r="L672" s="322">
        <f>IFERROR(VLOOKUP(Calculations[[#This Row],[A5type]],A5WastageRate[#All],2,FALSE)*Calculations[[#This Row],[A1-3]],0)</f>
        <v>0</v>
      </c>
      <c r="N672">
        <f>IFERROR(ROUNDUP(50/VLOOKUP(Calculations[[#This Row],[Scope Element]],B4referenceServiceLife[[Tier 2 element]:[Default Service Life]],2, FALSE)-1,0),0)</f>
        <v>0</v>
      </c>
      <c r="O672" s="322">
        <f>IFERROR((Calculations[[#This Row],[A1-3]]+Calculations[[#This Row],[A4]]+Calculations[[#This Row],[A5]]+Calculations[[#This Row],[C2 total]]+Calculations[[#This Row],[C3 total]]+Calculations[[#This Row],[C4 total]])*Calculations[[#This Row],[Replacements]],0)</f>
        <v>0</v>
      </c>
      <c r="S672" t="str">
        <f>IFERROR(VLOOKUP(Calculations[[#This Row],[Material (choose from dropdown]],MaterialData[#All],4,FALSE),"")</f>
        <v/>
      </c>
      <c r="T672" s="322" cm="1">
        <f t="array" ref="T672">IFERROR(VLOOKUP(Calculations[[#This Row],[Waste 1]],WasteScenario[#All],2,FALSE)*'Stage assumptions'!$C$225*WasteTransportMethod[Emissions Factor
kgCO2e/kg.km]*Calculations[[#This Row],[Total Kg]],0)</f>
        <v>0</v>
      </c>
      <c r="U672" s="322" cm="1">
        <f t="array" ref="U672">IFERROR(VLOOKUP(Calculations[[#This Row],[Waste 1]],WasteScenario[#All],3,FALSE)*'Stage assumptions'!$C$224*WasteTransportMethod[Emissions Factor
kgCO2e/kg.km]*Calculations[[#This Row],[Total Kg]],0)</f>
        <v>0</v>
      </c>
      <c r="V672" s="322" cm="1">
        <f t="array" ref="V672">IFERROR(VLOOKUP(Calculations[[#This Row],[Waste 1]],WasteScenario[#All],4,FALSE)*'Stage assumptions'!$C$223*WasteTransportMethod[Emissions Factor
kgCO2e/kg.km]*Calculations[[#This Row],[Total Kg]],0)</f>
        <v>0</v>
      </c>
      <c r="W672" s="322" cm="1">
        <f t="array" ref="W672">IFERROR(VLOOKUP(Calculations[[#This Row],[Waste 1]],WasteScenario[#All],5,FALSE)*'Stage assumptions'!$C$226*WasteTransportMethod[Emissions Factor
kgCO2e/kg.km]*Calculations[[#This Row],[Total Kg]],0)</f>
        <v>0</v>
      </c>
      <c r="X672" s="322">
        <f>SUM(Calculations[[#This Row],[C2 Recycle]:[C2 Reuse]])</f>
        <v>0</v>
      </c>
      <c r="Y672" t="str">
        <f>IFERROR(VLOOKUP(Calculations[[#This Row],[Material (choose from dropdown]],MaterialData[#All],5,FALSE),"")</f>
        <v/>
      </c>
      <c r="Z672" s="322">
        <f>IFERROR(((VLOOKUP(Calculations[[#This Row],[Waste type 2]],WasteDisposalEmissions[#All],2,FALSE))*Calculations[[#This Row],[Total Kg]])*VLOOKUP(Calculations[[#This Row],[Waste 1]],WasteScenario[#All],2,FALSE),0)</f>
        <v>0</v>
      </c>
      <c r="AA672" s="322">
        <f>IFERROR((VLOOKUP(Calculations[[#This Row],[Waste type 2]],WasteDisposalEmissions[#All],3,FALSE))*Calculations[[#This Row],[Total Kg]]*VLOOKUP(Calculations[[#This Row],[Waste 1]],WasteScenario[#All],3,FALSE),0)</f>
        <v>0</v>
      </c>
      <c r="AB672" s="322">
        <f>SUM(Calculations[[#This Row],[C3 recyc]:[C3 incin]])</f>
        <v>0</v>
      </c>
      <c r="AC672" s="334">
        <f>IFERROR((VLOOKUP(Calculations[[#This Row],[Waste type 2]],WasteLandfillEmissions[#All],2,FALSE))*Calculations[[#This Row],[Total Kg]]*VLOOKUP(Calculations[[#This Row],[Waste 1]],WasteScenario[#All],4,FALSE),0)</f>
        <v>0</v>
      </c>
      <c r="AD672" s="322">
        <f>IFERROR((VLOOKUP(Calculations[[#This Row],[Waste type 2]],WasteLandfillEmissions[#All],3,FALSE))*Calculations[[#This Row],[Total Kg]]*VLOOKUP(Calculations[[#This Row],[Waste 1]],WasteScenario[#All],4,FALSE),0)</f>
        <v>0</v>
      </c>
      <c r="AE672" s="322">
        <f>SUM(Calculations[[#This Row],[C4 landfill]:[C4 re-use]])</f>
        <v>0</v>
      </c>
      <c r="AF672" s="322">
        <f>IFERROR(VLOOKUP(Calculations[[#This Row],[Material (choose from dropdown]],MaterialData[#All],8,FALSE),0)</f>
        <v>0</v>
      </c>
      <c r="AG672" s="322">
        <f>IFERROR(Calculations[[#This Row],[Total Kg]]*Calculations[[#This Row],[Seq factor]],0)</f>
        <v>0</v>
      </c>
      <c r="AI672" s="322">
        <f>Calculations[[#This Row],[A1-3]]+Calculations[[#This Row],[A4]]+Calculations[[#This Row],[A5]]+Calculations[[#This Row],[B4]]+Calculations[[#This Row],[C2 total]]+Calculations[[#This Row],[C3 total]]+Calculations[[#This Row],[C4 total]]</f>
        <v>0</v>
      </c>
      <c r="AJ672" s="2">
        <f>IFERROR(VLOOKUP(Calculations[[#This Row],[Material (choose from dropdown]],MaterialData[[#Headers],[#Data]],9,FALSE),0)</f>
        <v>0</v>
      </c>
      <c r="AK672" s="4">
        <f>IFERROR(VLOOKUP(Calculations[[#This Row],[Material (choose from dropdown]],MaterialData[[#Headers],[#Data]],10,FALSE),0)</f>
        <v>0</v>
      </c>
      <c r="AL672" s="322">
        <f>IFERROR(Calculations[[#This Row],[Data Quality Score]]*Calculations[[#This Row],[Total Kg]],0)</f>
        <v>0</v>
      </c>
    </row>
    <row r="673" spans="1:38" x14ac:dyDescent="0.3">
      <c r="A673" s="6">
        <f>IFERROR(MaterialsBoQ[[#This Row],[Scope Element]],0)</f>
        <v>0</v>
      </c>
      <c r="B673" t="str">
        <f>IFERROR(MaterialsBoQ[[#This Row],[Material ]],"")</f>
        <v/>
      </c>
      <c r="C673" t="str">
        <f>IFERROR(MaterialsBoQ[[#This Row],[Unit]],"")</f>
        <v/>
      </c>
      <c r="D673" s="322">
        <f>IFERROR(MaterialsBoQ[[#This Row],[Number]],0)</f>
        <v>0</v>
      </c>
      <c r="E673" s="322">
        <f>IFERROR(MaterialsBoQ[[#This Row],[Kg per unit]],0)</f>
        <v>0</v>
      </c>
      <c r="F673" s="322">
        <f>IFERROR(Calculations[[#This Row],[Number]]*Calculations[[#This Row],[Conversion factor]],0)</f>
        <v>0</v>
      </c>
      <c r="G673" s="322">
        <f>IFERROR(VLOOKUP(Calculations[[#This Row],[Material (choose from dropdown]],MaterialData[#All],7,FALSE),0)</f>
        <v>0</v>
      </c>
      <c r="H673" s="322">
        <f>Calculations[[#This Row],[Total Kg]]*Calculations[[#This Row],[Carbon Factor]]</f>
        <v>0</v>
      </c>
      <c r="I673" t="str">
        <f>IFERROR(VLOOKUP(Calculations[[#This Row],[Material (choose from dropdown]],MaterialData[#All],2,FALSE),"")</f>
        <v/>
      </c>
      <c r="J673" s="322">
        <f>IFERROR(((VLOOKUP(Calculations[[#This Row],[TransportSource]],TransportDistance[],2,FALSE)*'Stage assumptions'!$C$11)+VLOOKUP(Calculations[[#This Row],[TransportSource]],TransportDistance[],3,FALSE)*'Stage assumptions'!$C$12)*Calculations[[#This Row],[Total Kg]],0)</f>
        <v>0</v>
      </c>
      <c r="K673">
        <f>IFERROR(VLOOKUP(Calculations[[#This Row],[Material (choose from dropdown]], MaterialData[#All],3, FALSE),0)</f>
        <v>0</v>
      </c>
      <c r="L673" s="322">
        <f>IFERROR(VLOOKUP(Calculations[[#This Row],[A5type]],A5WastageRate[#All],2,FALSE)*Calculations[[#This Row],[A1-3]],0)</f>
        <v>0</v>
      </c>
      <c r="N673">
        <f>IFERROR(ROUNDUP(50/VLOOKUP(Calculations[[#This Row],[Scope Element]],B4referenceServiceLife[[Tier 2 element]:[Default Service Life]],2, FALSE)-1,0),0)</f>
        <v>0</v>
      </c>
      <c r="O673" s="322">
        <f>IFERROR((Calculations[[#This Row],[A1-3]]+Calculations[[#This Row],[A4]]+Calculations[[#This Row],[A5]]+Calculations[[#This Row],[C2 total]]+Calculations[[#This Row],[C3 total]]+Calculations[[#This Row],[C4 total]])*Calculations[[#This Row],[Replacements]],0)</f>
        <v>0</v>
      </c>
      <c r="S673" t="str">
        <f>IFERROR(VLOOKUP(Calculations[[#This Row],[Material (choose from dropdown]],MaterialData[#All],4,FALSE),"")</f>
        <v/>
      </c>
      <c r="T673" s="322" cm="1">
        <f t="array" ref="T673">IFERROR(VLOOKUP(Calculations[[#This Row],[Waste 1]],WasteScenario[#All],2,FALSE)*'Stage assumptions'!$C$225*WasteTransportMethod[Emissions Factor
kgCO2e/kg.km]*Calculations[[#This Row],[Total Kg]],0)</f>
        <v>0</v>
      </c>
      <c r="U673" s="322" cm="1">
        <f t="array" ref="U673">IFERROR(VLOOKUP(Calculations[[#This Row],[Waste 1]],WasteScenario[#All],3,FALSE)*'Stage assumptions'!$C$224*WasteTransportMethod[Emissions Factor
kgCO2e/kg.km]*Calculations[[#This Row],[Total Kg]],0)</f>
        <v>0</v>
      </c>
      <c r="V673" s="322" cm="1">
        <f t="array" ref="V673">IFERROR(VLOOKUP(Calculations[[#This Row],[Waste 1]],WasteScenario[#All],4,FALSE)*'Stage assumptions'!$C$223*WasteTransportMethod[Emissions Factor
kgCO2e/kg.km]*Calculations[[#This Row],[Total Kg]],0)</f>
        <v>0</v>
      </c>
      <c r="W673" s="322" cm="1">
        <f t="array" ref="W673">IFERROR(VLOOKUP(Calculations[[#This Row],[Waste 1]],WasteScenario[#All],5,FALSE)*'Stage assumptions'!$C$226*WasteTransportMethod[Emissions Factor
kgCO2e/kg.km]*Calculations[[#This Row],[Total Kg]],0)</f>
        <v>0</v>
      </c>
      <c r="X673" s="322">
        <f>SUM(Calculations[[#This Row],[C2 Recycle]:[C2 Reuse]])</f>
        <v>0</v>
      </c>
      <c r="Y673" t="str">
        <f>IFERROR(VLOOKUP(Calculations[[#This Row],[Material (choose from dropdown]],MaterialData[#All],5,FALSE),"")</f>
        <v/>
      </c>
      <c r="Z673" s="322">
        <f>IFERROR(((VLOOKUP(Calculations[[#This Row],[Waste type 2]],WasteDisposalEmissions[#All],2,FALSE))*Calculations[[#This Row],[Total Kg]])*VLOOKUP(Calculations[[#This Row],[Waste 1]],WasteScenario[#All],2,FALSE),0)</f>
        <v>0</v>
      </c>
      <c r="AA673" s="322">
        <f>IFERROR((VLOOKUP(Calculations[[#This Row],[Waste type 2]],WasteDisposalEmissions[#All],3,FALSE))*Calculations[[#This Row],[Total Kg]]*VLOOKUP(Calculations[[#This Row],[Waste 1]],WasteScenario[#All],3,FALSE),0)</f>
        <v>0</v>
      </c>
      <c r="AB673" s="322">
        <f>SUM(Calculations[[#This Row],[C3 recyc]:[C3 incin]])</f>
        <v>0</v>
      </c>
      <c r="AC673" s="334">
        <f>IFERROR((VLOOKUP(Calculations[[#This Row],[Waste type 2]],WasteLandfillEmissions[#All],2,FALSE))*Calculations[[#This Row],[Total Kg]]*VLOOKUP(Calculations[[#This Row],[Waste 1]],WasteScenario[#All],4,FALSE),0)</f>
        <v>0</v>
      </c>
      <c r="AD673" s="322">
        <f>IFERROR((VLOOKUP(Calculations[[#This Row],[Waste type 2]],WasteLandfillEmissions[#All],3,FALSE))*Calculations[[#This Row],[Total Kg]]*VLOOKUP(Calculations[[#This Row],[Waste 1]],WasteScenario[#All],4,FALSE),0)</f>
        <v>0</v>
      </c>
      <c r="AE673" s="322">
        <f>SUM(Calculations[[#This Row],[C4 landfill]:[C4 re-use]])</f>
        <v>0</v>
      </c>
      <c r="AF673" s="322">
        <f>IFERROR(VLOOKUP(Calculations[[#This Row],[Material (choose from dropdown]],MaterialData[#All],8,FALSE),0)</f>
        <v>0</v>
      </c>
      <c r="AG673" s="322">
        <f>IFERROR(Calculations[[#This Row],[Total Kg]]*Calculations[[#This Row],[Seq factor]],0)</f>
        <v>0</v>
      </c>
      <c r="AI673" s="322">
        <f>Calculations[[#This Row],[A1-3]]+Calculations[[#This Row],[A4]]+Calculations[[#This Row],[A5]]+Calculations[[#This Row],[B4]]+Calculations[[#This Row],[C2 total]]+Calculations[[#This Row],[C3 total]]+Calculations[[#This Row],[C4 total]]</f>
        <v>0</v>
      </c>
      <c r="AJ673" s="2">
        <f>IFERROR(VLOOKUP(Calculations[[#This Row],[Material (choose from dropdown]],MaterialData[[#Headers],[#Data]],9,FALSE),0)</f>
        <v>0</v>
      </c>
      <c r="AK673" s="4">
        <f>IFERROR(VLOOKUP(Calculations[[#This Row],[Material (choose from dropdown]],MaterialData[[#Headers],[#Data]],10,FALSE),0)</f>
        <v>0</v>
      </c>
      <c r="AL673" s="322">
        <f>IFERROR(Calculations[[#This Row],[Data Quality Score]]*Calculations[[#This Row],[Total Kg]],0)</f>
        <v>0</v>
      </c>
    </row>
    <row r="674" spans="1:38" x14ac:dyDescent="0.3">
      <c r="A674" s="6">
        <f>IFERROR(MaterialsBoQ[[#This Row],[Scope Element]],0)</f>
        <v>0</v>
      </c>
      <c r="B674" t="str">
        <f>IFERROR(MaterialsBoQ[[#This Row],[Material ]],"")</f>
        <v/>
      </c>
      <c r="C674" t="str">
        <f>IFERROR(MaterialsBoQ[[#This Row],[Unit]],"")</f>
        <v/>
      </c>
      <c r="D674" s="322">
        <f>IFERROR(MaterialsBoQ[[#This Row],[Number]],0)</f>
        <v>0</v>
      </c>
      <c r="E674" s="322">
        <f>IFERROR(MaterialsBoQ[[#This Row],[Kg per unit]],0)</f>
        <v>0</v>
      </c>
      <c r="F674" s="322">
        <f>IFERROR(Calculations[[#This Row],[Number]]*Calculations[[#This Row],[Conversion factor]],0)</f>
        <v>0</v>
      </c>
      <c r="G674" s="322">
        <f>IFERROR(VLOOKUP(Calculations[[#This Row],[Material (choose from dropdown]],MaterialData[#All],7,FALSE),0)</f>
        <v>0</v>
      </c>
      <c r="H674" s="322">
        <f>Calculations[[#This Row],[Total Kg]]*Calculations[[#This Row],[Carbon Factor]]</f>
        <v>0</v>
      </c>
      <c r="I674" t="str">
        <f>IFERROR(VLOOKUP(Calculations[[#This Row],[Material (choose from dropdown]],MaterialData[#All],2,FALSE),"")</f>
        <v/>
      </c>
      <c r="J674" s="322">
        <f>IFERROR(((VLOOKUP(Calculations[[#This Row],[TransportSource]],TransportDistance[],2,FALSE)*'Stage assumptions'!$C$11)+VLOOKUP(Calculations[[#This Row],[TransportSource]],TransportDistance[],3,FALSE)*'Stage assumptions'!$C$12)*Calculations[[#This Row],[Total Kg]],0)</f>
        <v>0</v>
      </c>
      <c r="K674">
        <f>IFERROR(VLOOKUP(Calculations[[#This Row],[Material (choose from dropdown]], MaterialData[#All],3, FALSE),0)</f>
        <v>0</v>
      </c>
      <c r="L674" s="322">
        <f>IFERROR(VLOOKUP(Calculations[[#This Row],[A5type]],A5WastageRate[#All],2,FALSE)*Calculations[[#This Row],[A1-3]],0)</f>
        <v>0</v>
      </c>
      <c r="N674">
        <f>IFERROR(ROUNDUP(50/VLOOKUP(Calculations[[#This Row],[Scope Element]],B4referenceServiceLife[[Tier 2 element]:[Default Service Life]],2, FALSE)-1,0),0)</f>
        <v>0</v>
      </c>
      <c r="O674" s="322">
        <f>IFERROR((Calculations[[#This Row],[A1-3]]+Calculations[[#This Row],[A4]]+Calculations[[#This Row],[A5]]+Calculations[[#This Row],[C2 total]]+Calculations[[#This Row],[C3 total]]+Calculations[[#This Row],[C4 total]])*Calculations[[#This Row],[Replacements]],0)</f>
        <v>0</v>
      </c>
      <c r="S674" t="str">
        <f>IFERROR(VLOOKUP(Calculations[[#This Row],[Material (choose from dropdown]],MaterialData[#All],4,FALSE),"")</f>
        <v/>
      </c>
      <c r="T674" s="322" cm="1">
        <f t="array" ref="T674">IFERROR(VLOOKUP(Calculations[[#This Row],[Waste 1]],WasteScenario[#All],2,FALSE)*'Stage assumptions'!$C$225*WasteTransportMethod[Emissions Factor
kgCO2e/kg.km]*Calculations[[#This Row],[Total Kg]],0)</f>
        <v>0</v>
      </c>
      <c r="U674" s="322" cm="1">
        <f t="array" ref="U674">IFERROR(VLOOKUP(Calculations[[#This Row],[Waste 1]],WasteScenario[#All],3,FALSE)*'Stage assumptions'!$C$224*WasteTransportMethod[Emissions Factor
kgCO2e/kg.km]*Calculations[[#This Row],[Total Kg]],0)</f>
        <v>0</v>
      </c>
      <c r="V674" s="322" cm="1">
        <f t="array" ref="V674">IFERROR(VLOOKUP(Calculations[[#This Row],[Waste 1]],WasteScenario[#All],4,FALSE)*'Stage assumptions'!$C$223*WasteTransportMethod[Emissions Factor
kgCO2e/kg.km]*Calculations[[#This Row],[Total Kg]],0)</f>
        <v>0</v>
      </c>
      <c r="W674" s="322" cm="1">
        <f t="array" ref="W674">IFERROR(VLOOKUP(Calculations[[#This Row],[Waste 1]],WasteScenario[#All],5,FALSE)*'Stage assumptions'!$C$226*WasteTransportMethod[Emissions Factor
kgCO2e/kg.km]*Calculations[[#This Row],[Total Kg]],0)</f>
        <v>0</v>
      </c>
      <c r="X674" s="322">
        <f>SUM(Calculations[[#This Row],[C2 Recycle]:[C2 Reuse]])</f>
        <v>0</v>
      </c>
      <c r="Y674" t="str">
        <f>IFERROR(VLOOKUP(Calculations[[#This Row],[Material (choose from dropdown]],MaterialData[#All],5,FALSE),"")</f>
        <v/>
      </c>
      <c r="Z674" s="322">
        <f>IFERROR(((VLOOKUP(Calculations[[#This Row],[Waste type 2]],WasteDisposalEmissions[#All],2,FALSE))*Calculations[[#This Row],[Total Kg]])*VLOOKUP(Calculations[[#This Row],[Waste 1]],WasteScenario[#All],2,FALSE),0)</f>
        <v>0</v>
      </c>
      <c r="AA674" s="322">
        <f>IFERROR((VLOOKUP(Calculations[[#This Row],[Waste type 2]],WasteDisposalEmissions[#All],3,FALSE))*Calculations[[#This Row],[Total Kg]]*VLOOKUP(Calculations[[#This Row],[Waste 1]],WasteScenario[#All],3,FALSE),0)</f>
        <v>0</v>
      </c>
      <c r="AB674" s="322">
        <f>SUM(Calculations[[#This Row],[C3 recyc]:[C3 incin]])</f>
        <v>0</v>
      </c>
      <c r="AC674" s="334">
        <f>IFERROR((VLOOKUP(Calculations[[#This Row],[Waste type 2]],WasteLandfillEmissions[#All],2,FALSE))*Calculations[[#This Row],[Total Kg]]*VLOOKUP(Calculations[[#This Row],[Waste 1]],WasteScenario[#All],4,FALSE),0)</f>
        <v>0</v>
      </c>
      <c r="AD674" s="322">
        <f>IFERROR((VLOOKUP(Calculations[[#This Row],[Waste type 2]],WasteLandfillEmissions[#All],3,FALSE))*Calculations[[#This Row],[Total Kg]]*VLOOKUP(Calculations[[#This Row],[Waste 1]],WasteScenario[#All],4,FALSE),0)</f>
        <v>0</v>
      </c>
      <c r="AE674" s="322">
        <f>SUM(Calculations[[#This Row],[C4 landfill]:[C4 re-use]])</f>
        <v>0</v>
      </c>
      <c r="AF674" s="322">
        <f>IFERROR(VLOOKUP(Calculations[[#This Row],[Material (choose from dropdown]],MaterialData[#All],8,FALSE),0)</f>
        <v>0</v>
      </c>
      <c r="AG674" s="322">
        <f>IFERROR(Calculations[[#This Row],[Total Kg]]*Calculations[[#This Row],[Seq factor]],0)</f>
        <v>0</v>
      </c>
      <c r="AI674" s="322">
        <f>Calculations[[#This Row],[A1-3]]+Calculations[[#This Row],[A4]]+Calculations[[#This Row],[A5]]+Calculations[[#This Row],[B4]]+Calculations[[#This Row],[C2 total]]+Calculations[[#This Row],[C3 total]]+Calculations[[#This Row],[C4 total]]</f>
        <v>0</v>
      </c>
      <c r="AJ674" s="2">
        <f>IFERROR(VLOOKUP(Calculations[[#This Row],[Material (choose from dropdown]],MaterialData[[#Headers],[#Data]],9,FALSE),0)</f>
        <v>0</v>
      </c>
      <c r="AK674" s="4">
        <f>IFERROR(VLOOKUP(Calculations[[#This Row],[Material (choose from dropdown]],MaterialData[[#Headers],[#Data]],10,FALSE),0)</f>
        <v>0</v>
      </c>
      <c r="AL674" s="322">
        <f>IFERROR(Calculations[[#This Row],[Data Quality Score]]*Calculations[[#This Row],[Total Kg]],0)</f>
        <v>0</v>
      </c>
    </row>
    <row r="675" spans="1:38" x14ac:dyDescent="0.3">
      <c r="A675" s="6">
        <f>IFERROR(MaterialsBoQ[[#This Row],[Scope Element]],0)</f>
        <v>0</v>
      </c>
      <c r="B675" t="str">
        <f>IFERROR(MaterialsBoQ[[#This Row],[Material ]],"")</f>
        <v/>
      </c>
      <c r="C675" t="str">
        <f>IFERROR(MaterialsBoQ[[#This Row],[Unit]],"")</f>
        <v/>
      </c>
      <c r="D675" s="322">
        <f>IFERROR(MaterialsBoQ[[#This Row],[Number]],0)</f>
        <v>0</v>
      </c>
      <c r="E675" s="322">
        <f>IFERROR(MaterialsBoQ[[#This Row],[Kg per unit]],0)</f>
        <v>0</v>
      </c>
      <c r="F675" s="322">
        <f>IFERROR(Calculations[[#This Row],[Number]]*Calculations[[#This Row],[Conversion factor]],0)</f>
        <v>0</v>
      </c>
      <c r="G675" s="322">
        <f>IFERROR(VLOOKUP(Calculations[[#This Row],[Material (choose from dropdown]],MaterialData[#All],7,FALSE),0)</f>
        <v>0</v>
      </c>
      <c r="H675" s="322">
        <f>Calculations[[#This Row],[Total Kg]]*Calculations[[#This Row],[Carbon Factor]]</f>
        <v>0</v>
      </c>
      <c r="I675" t="str">
        <f>IFERROR(VLOOKUP(Calculations[[#This Row],[Material (choose from dropdown]],MaterialData[#All],2,FALSE),"")</f>
        <v/>
      </c>
      <c r="J675" s="322">
        <f>IFERROR(((VLOOKUP(Calculations[[#This Row],[TransportSource]],TransportDistance[],2,FALSE)*'Stage assumptions'!$C$11)+VLOOKUP(Calculations[[#This Row],[TransportSource]],TransportDistance[],3,FALSE)*'Stage assumptions'!$C$12)*Calculations[[#This Row],[Total Kg]],0)</f>
        <v>0</v>
      </c>
      <c r="K675">
        <f>IFERROR(VLOOKUP(Calculations[[#This Row],[Material (choose from dropdown]], MaterialData[#All],3, FALSE),0)</f>
        <v>0</v>
      </c>
      <c r="L675" s="322">
        <f>IFERROR(VLOOKUP(Calculations[[#This Row],[A5type]],A5WastageRate[#All],2,FALSE)*Calculations[[#This Row],[A1-3]],0)</f>
        <v>0</v>
      </c>
      <c r="N675">
        <f>IFERROR(ROUNDUP(50/VLOOKUP(Calculations[[#This Row],[Scope Element]],B4referenceServiceLife[[Tier 2 element]:[Default Service Life]],2, FALSE)-1,0),0)</f>
        <v>0</v>
      </c>
      <c r="O675" s="322">
        <f>IFERROR((Calculations[[#This Row],[A1-3]]+Calculations[[#This Row],[A4]]+Calculations[[#This Row],[A5]]+Calculations[[#This Row],[C2 total]]+Calculations[[#This Row],[C3 total]]+Calculations[[#This Row],[C4 total]])*Calculations[[#This Row],[Replacements]],0)</f>
        <v>0</v>
      </c>
      <c r="S675" t="str">
        <f>IFERROR(VLOOKUP(Calculations[[#This Row],[Material (choose from dropdown]],MaterialData[#All],4,FALSE),"")</f>
        <v/>
      </c>
      <c r="T675" s="322" cm="1">
        <f t="array" ref="T675">IFERROR(VLOOKUP(Calculations[[#This Row],[Waste 1]],WasteScenario[#All],2,FALSE)*'Stage assumptions'!$C$225*WasteTransportMethod[Emissions Factor
kgCO2e/kg.km]*Calculations[[#This Row],[Total Kg]],0)</f>
        <v>0</v>
      </c>
      <c r="U675" s="322" cm="1">
        <f t="array" ref="U675">IFERROR(VLOOKUP(Calculations[[#This Row],[Waste 1]],WasteScenario[#All],3,FALSE)*'Stage assumptions'!$C$224*WasteTransportMethod[Emissions Factor
kgCO2e/kg.km]*Calculations[[#This Row],[Total Kg]],0)</f>
        <v>0</v>
      </c>
      <c r="V675" s="322" cm="1">
        <f t="array" ref="V675">IFERROR(VLOOKUP(Calculations[[#This Row],[Waste 1]],WasteScenario[#All],4,FALSE)*'Stage assumptions'!$C$223*WasteTransportMethod[Emissions Factor
kgCO2e/kg.km]*Calculations[[#This Row],[Total Kg]],0)</f>
        <v>0</v>
      </c>
      <c r="W675" s="322" cm="1">
        <f t="array" ref="W675">IFERROR(VLOOKUP(Calculations[[#This Row],[Waste 1]],WasteScenario[#All],5,FALSE)*'Stage assumptions'!$C$226*WasteTransportMethod[Emissions Factor
kgCO2e/kg.km]*Calculations[[#This Row],[Total Kg]],0)</f>
        <v>0</v>
      </c>
      <c r="X675" s="322">
        <f>SUM(Calculations[[#This Row],[C2 Recycle]:[C2 Reuse]])</f>
        <v>0</v>
      </c>
      <c r="Y675" t="str">
        <f>IFERROR(VLOOKUP(Calculations[[#This Row],[Material (choose from dropdown]],MaterialData[#All],5,FALSE),"")</f>
        <v/>
      </c>
      <c r="Z675" s="322">
        <f>IFERROR(((VLOOKUP(Calculations[[#This Row],[Waste type 2]],WasteDisposalEmissions[#All],2,FALSE))*Calculations[[#This Row],[Total Kg]])*VLOOKUP(Calculations[[#This Row],[Waste 1]],WasteScenario[#All],2,FALSE),0)</f>
        <v>0</v>
      </c>
      <c r="AA675" s="322">
        <f>IFERROR((VLOOKUP(Calculations[[#This Row],[Waste type 2]],WasteDisposalEmissions[#All],3,FALSE))*Calculations[[#This Row],[Total Kg]]*VLOOKUP(Calculations[[#This Row],[Waste 1]],WasteScenario[#All],3,FALSE),0)</f>
        <v>0</v>
      </c>
      <c r="AB675" s="322">
        <f>SUM(Calculations[[#This Row],[C3 recyc]:[C3 incin]])</f>
        <v>0</v>
      </c>
      <c r="AC675" s="334">
        <f>IFERROR((VLOOKUP(Calculations[[#This Row],[Waste type 2]],WasteLandfillEmissions[#All],2,FALSE))*Calculations[[#This Row],[Total Kg]]*VLOOKUP(Calculations[[#This Row],[Waste 1]],WasteScenario[#All],4,FALSE),0)</f>
        <v>0</v>
      </c>
      <c r="AD675" s="322">
        <f>IFERROR((VLOOKUP(Calculations[[#This Row],[Waste type 2]],WasteLandfillEmissions[#All],3,FALSE))*Calculations[[#This Row],[Total Kg]]*VLOOKUP(Calculations[[#This Row],[Waste 1]],WasteScenario[#All],4,FALSE),0)</f>
        <v>0</v>
      </c>
      <c r="AE675" s="322">
        <f>SUM(Calculations[[#This Row],[C4 landfill]:[C4 re-use]])</f>
        <v>0</v>
      </c>
      <c r="AF675" s="322">
        <f>IFERROR(VLOOKUP(Calculations[[#This Row],[Material (choose from dropdown]],MaterialData[#All],8,FALSE),0)</f>
        <v>0</v>
      </c>
      <c r="AG675" s="322">
        <f>IFERROR(Calculations[[#This Row],[Total Kg]]*Calculations[[#This Row],[Seq factor]],0)</f>
        <v>0</v>
      </c>
      <c r="AI675" s="322">
        <f>Calculations[[#This Row],[A1-3]]+Calculations[[#This Row],[A4]]+Calculations[[#This Row],[A5]]+Calculations[[#This Row],[B4]]+Calculations[[#This Row],[C2 total]]+Calculations[[#This Row],[C3 total]]+Calculations[[#This Row],[C4 total]]</f>
        <v>0</v>
      </c>
      <c r="AJ675" s="2">
        <f>IFERROR(VLOOKUP(Calculations[[#This Row],[Material (choose from dropdown]],MaterialData[[#Headers],[#Data]],9,FALSE),0)</f>
        <v>0</v>
      </c>
      <c r="AK675" s="4">
        <f>IFERROR(VLOOKUP(Calculations[[#This Row],[Material (choose from dropdown]],MaterialData[[#Headers],[#Data]],10,FALSE),0)</f>
        <v>0</v>
      </c>
      <c r="AL675" s="322">
        <f>IFERROR(Calculations[[#This Row],[Data Quality Score]]*Calculations[[#This Row],[Total Kg]],0)</f>
        <v>0</v>
      </c>
    </row>
    <row r="676" spans="1:38" x14ac:dyDescent="0.3">
      <c r="A676" s="6">
        <f>IFERROR(MaterialsBoQ[[#This Row],[Scope Element]],0)</f>
        <v>0</v>
      </c>
      <c r="B676" t="str">
        <f>IFERROR(MaterialsBoQ[[#This Row],[Material ]],"")</f>
        <v/>
      </c>
      <c r="C676" t="str">
        <f>IFERROR(MaterialsBoQ[[#This Row],[Unit]],"")</f>
        <v/>
      </c>
      <c r="D676" s="322">
        <f>IFERROR(MaterialsBoQ[[#This Row],[Number]],0)</f>
        <v>0</v>
      </c>
      <c r="E676" s="322">
        <f>IFERROR(MaterialsBoQ[[#This Row],[Kg per unit]],0)</f>
        <v>0</v>
      </c>
      <c r="F676" s="322">
        <f>IFERROR(Calculations[[#This Row],[Number]]*Calculations[[#This Row],[Conversion factor]],0)</f>
        <v>0</v>
      </c>
      <c r="G676" s="322">
        <f>IFERROR(VLOOKUP(Calculations[[#This Row],[Material (choose from dropdown]],MaterialData[#All],7,FALSE),0)</f>
        <v>0</v>
      </c>
      <c r="H676" s="322">
        <f>Calculations[[#This Row],[Total Kg]]*Calculations[[#This Row],[Carbon Factor]]</f>
        <v>0</v>
      </c>
      <c r="I676" t="str">
        <f>IFERROR(VLOOKUP(Calculations[[#This Row],[Material (choose from dropdown]],MaterialData[#All],2,FALSE),"")</f>
        <v/>
      </c>
      <c r="J676" s="322">
        <f>IFERROR(((VLOOKUP(Calculations[[#This Row],[TransportSource]],TransportDistance[],2,FALSE)*'Stage assumptions'!$C$11)+VLOOKUP(Calculations[[#This Row],[TransportSource]],TransportDistance[],3,FALSE)*'Stage assumptions'!$C$12)*Calculations[[#This Row],[Total Kg]],0)</f>
        <v>0</v>
      </c>
      <c r="K676">
        <f>IFERROR(VLOOKUP(Calculations[[#This Row],[Material (choose from dropdown]], MaterialData[#All],3, FALSE),0)</f>
        <v>0</v>
      </c>
      <c r="L676" s="322">
        <f>IFERROR(VLOOKUP(Calculations[[#This Row],[A5type]],A5WastageRate[#All],2,FALSE)*Calculations[[#This Row],[A1-3]],0)</f>
        <v>0</v>
      </c>
      <c r="N676">
        <f>IFERROR(ROUNDUP(50/VLOOKUP(Calculations[[#This Row],[Scope Element]],B4referenceServiceLife[[Tier 2 element]:[Default Service Life]],2, FALSE)-1,0),0)</f>
        <v>0</v>
      </c>
      <c r="O676" s="322">
        <f>IFERROR((Calculations[[#This Row],[A1-3]]+Calculations[[#This Row],[A4]]+Calculations[[#This Row],[A5]]+Calculations[[#This Row],[C2 total]]+Calculations[[#This Row],[C3 total]]+Calculations[[#This Row],[C4 total]])*Calculations[[#This Row],[Replacements]],0)</f>
        <v>0</v>
      </c>
      <c r="S676" t="str">
        <f>IFERROR(VLOOKUP(Calculations[[#This Row],[Material (choose from dropdown]],MaterialData[#All],4,FALSE),"")</f>
        <v/>
      </c>
      <c r="T676" s="322" cm="1">
        <f t="array" ref="T676">IFERROR(VLOOKUP(Calculations[[#This Row],[Waste 1]],WasteScenario[#All],2,FALSE)*'Stage assumptions'!$C$225*WasteTransportMethod[Emissions Factor
kgCO2e/kg.km]*Calculations[[#This Row],[Total Kg]],0)</f>
        <v>0</v>
      </c>
      <c r="U676" s="322" cm="1">
        <f t="array" ref="U676">IFERROR(VLOOKUP(Calculations[[#This Row],[Waste 1]],WasteScenario[#All],3,FALSE)*'Stage assumptions'!$C$224*WasteTransportMethod[Emissions Factor
kgCO2e/kg.km]*Calculations[[#This Row],[Total Kg]],0)</f>
        <v>0</v>
      </c>
      <c r="V676" s="322" cm="1">
        <f t="array" ref="V676">IFERROR(VLOOKUP(Calculations[[#This Row],[Waste 1]],WasteScenario[#All],4,FALSE)*'Stage assumptions'!$C$223*WasteTransportMethod[Emissions Factor
kgCO2e/kg.km]*Calculations[[#This Row],[Total Kg]],0)</f>
        <v>0</v>
      </c>
      <c r="W676" s="322" cm="1">
        <f t="array" ref="W676">IFERROR(VLOOKUP(Calculations[[#This Row],[Waste 1]],WasteScenario[#All],5,FALSE)*'Stage assumptions'!$C$226*WasteTransportMethod[Emissions Factor
kgCO2e/kg.km]*Calculations[[#This Row],[Total Kg]],0)</f>
        <v>0</v>
      </c>
      <c r="X676" s="322">
        <f>SUM(Calculations[[#This Row],[C2 Recycle]:[C2 Reuse]])</f>
        <v>0</v>
      </c>
      <c r="Y676" t="str">
        <f>IFERROR(VLOOKUP(Calculations[[#This Row],[Material (choose from dropdown]],MaterialData[#All],5,FALSE),"")</f>
        <v/>
      </c>
      <c r="Z676" s="322">
        <f>IFERROR(((VLOOKUP(Calculations[[#This Row],[Waste type 2]],WasteDisposalEmissions[#All],2,FALSE))*Calculations[[#This Row],[Total Kg]])*VLOOKUP(Calculations[[#This Row],[Waste 1]],WasteScenario[#All],2,FALSE),0)</f>
        <v>0</v>
      </c>
      <c r="AA676" s="322">
        <f>IFERROR((VLOOKUP(Calculations[[#This Row],[Waste type 2]],WasteDisposalEmissions[#All],3,FALSE))*Calculations[[#This Row],[Total Kg]]*VLOOKUP(Calculations[[#This Row],[Waste 1]],WasteScenario[#All],3,FALSE),0)</f>
        <v>0</v>
      </c>
      <c r="AB676" s="322">
        <f>SUM(Calculations[[#This Row],[C3 recyc]:[C3 incin]])</f>
        <v>0</v>
      </c>
      <c r="AC676" s="334">
        <f>IFERROR((VLOOKUP(Calculations[[#This Row],[Waste type 2]],WasteLandfillEmissions[#All],2,FALSE))*Calculations[[#This Row],[Total Kg]]*VLOOKUP(Calculations[[#This Row],[Waste 1]],WasteScenario[#All],4,FALSE),0)</f>
        <v>0</v>
      </c>
      <c r="AD676" s="322">
        <f>IFERROR((VLOOKUP(Calculations[[#This Row],[Waste type 2]],WasteLandfillEmissions[#All],3,FALSE))*Calculations[[#This Row],[Total Kg]]*VLOOKUP(Calculations[[#This Row],[Waste 1]],WasteScenario[#All],4,FALSE),0)</f>
        <v>0</v>
      </c>
      <c r="AE676" s="322">
        <f>SUM(Calculations[[#This Row],[C4 landfill]:[C4 re-use]])</f>
        <v>0</v>
      </c>
      <c r="AF676" s="322">
        <f>IFERROR(VLOOKUP(Calculations[[#This Row],[Material (choose from dropdown]],MaterialData[#All],8,FALSE),0)</f>
        <v>0</v>
      </c>
      <c r="AG676" s="322">
        <f>IFERROR(Calculations[[#This Row],[Total Kg]]*Calculations[[#This Row],[Seq factor]],0)</f>
        <v>0</v>
      </c>
      <c r="AI676" s="322">
        <f>Calculations[[#This Row],[A1-3]]+Calculations[[#This Row],[A4]]+Calculations[[#This Row],[A5]]+Calculations[[#This Row],[B4]]+Calculations[[#This Row],[C2 total]]+Calculations[[#This Row],[C3 total]]+Calculations[[#This Row],[C4 total]]</f>
        <v>0</v>
      </c>
      <c r="AJ676" s="2">
        <f>IFERROR(VLOOKUP(Calculations[[#This Row],[Material (choose from dropdown]],MaterialData[[#Headers],[#Data]],9,FALSE),0)</f>
        <v>0</v>
      </c>
      <c r="AK676" s="4">
        <f>IFERROR(VLOOKUP(Calculations[[#This Row],[Material (choose from dropdown]],MaterialData[[#Headers],[#Data]],10,FALSE),0)</f>
        <v>0</v>
      </c>
      <c r="AL676" s="322">
        <f>IFERROR(Calculations[[#This Row],[Data Quality Score]]*Calculations[[#This Row],[Total Kg]],0)</f>
        <v>0</v>
      </c>
    </row>
    <row r="677" spans="1:38" x14ac:dyDescent="0.3">
      <c r="A677" s="6">
        <f>IFERROR(MaterialsBoQ[[#This Row],[Scope Element]],0)</f>
        <v>0</v>
      </c>
      <c r="B677" t="str">
        <f>IFERROR(MaterialsBoQ[[#This Row],[Material ]],"")</f>
        <v/>
      </c>
      <c r="C677" t="str">
        <f>IFERROR(MaterialsBoQ[[#This Row],[Unit]],"")</f>
        <v/>
      </c>
      <c r="D677" s="322">
        <f>IFERROR(MaterialsBoQ[[#This Row],[Number]],0)</f>
        <v>0</v>
      </c>
      <c r="E677" s="322">
        <f>IFERROR(MaterialsBoQ[[#This Row],[Kg per unit]],0)</f>
        <v>0</v>
      </c>
      <c r="F677" s="322">
        <f>IFERROR(Calculations[[#This Row],[Number]]*Calculations[[#This Row],[Conversion factor]],0)</f>
        <v>0</v>
      </c>
      <c r="G677" s="322">
        <f>IFERROR(VLOOKUP(Calculations[[#This Row],[Material (choose from dropdown]],MaterialData[#All],7,FALSE),0)</f>
        <v>0</v>
      </c>
      <c r="H677" s="322">
        <f>Calculations[[#This Row],[Total Kg]]*Calculations[[#This Row],[Carbon Factor]]</f>
        <v>0</v>
      </c>
      <c r="I677" t="str">
        <f>IFERROR(VLOOKUP(Calculations[[#This Row],[Material (choose from dropdown]],MaterialData[#All],2,FALSE),"")</f>
        <v/>
      </c>
      <c r="J677" s="322">
        <f>IFERROR(((VLOOKUP(Calculations[[#This Row],[TransportSource]],TransportDistance[],2,FALSE)*'Stage assumptions'!$C$11)+VLOOKUP(Calculations[[#This Row],[TransportSource]],TransportDistance[],3,FALSE)*'Stage assumptions'!$C$12)*Calculations[[#This Row],[Total Kg]],0)</f>
        <v>0</v>
      </c>
      <c r="K677">
        <f>IFERROR(VLOOKUP(Calculations[[#This Row],[Material (choose from dropdown]], MaterialData[#All],3, FALSE),0)</f>
        <v>0</v>
      </c>
      <c r="L677" s="322">
        <f>IFERROR(VLOOKUP(Calculations[[#This Row],[A5type]],A5WastageRate[#All],2,FALSE)*Calculations[[#This Row],[A1-3]],0)</f>
        <v>0</v>
      </c>
      <c r="N677">
        <f>IFERROR(ROUNDUP(50/VLOOKUP(Calculations[[#This Row],[Scope Element]],B4referenceServiceLife[[Tier 2 element]:[Default Service Life]],2, FALSE)-1,0),0)</f>
        <v>0</v>
      </c>
      <c r="O677" s="322">
        <f>IFERROR((Calculations[[#This Row],[A1-3]]+Calculations[[#This Row],[A4]]+Calculations[[#This Row],[A5]]+Calculations[[#This Row],[C2 total]]+Calculations[[#This Row],[C3 total]]+Calculations[[#This Row],[C4 total]])*Calculations[[#This Row],[Replacements]],0)</f>
        <v>0</v>
      </c>
      <c r="S677" t="str">
        <f>IFERROR(VLOOKUP(Calculations[[#This Row],[Material (choose from dropdown]],MaterialData[#All],4,FALSE),"")</f>
        <v/>
      </c>
      <c r="T677" s="322" cm="1">
        <f t="array" ref="T677">IFERROR(VLOOKUP(Calculations[[#This Row],[Waste 1]],WasteScenario[#All],2,FALSE)*'Stage assumptions'!$C$225*WasteTransportMethod[Emissions Factor
kgCO2e/kg.km]*Calculations[[#This Row],[Total Kg]],0)</f>
        <v>0</v>
      </c>
      <c r="U677" s="322" cm="1">
        <f t="array" ref="U677">IFERROR(VLOOKUP(Calculations[[#This Row],[Waste 1]],WasteScenario[#All],3,FALSE)*'Stage assumptions'!$C$224*WasteTransportMethod[Emissions Factor
kgCO2e/kg.km]*Calculations[[#This Row],[Total Kg]],0)</f>
        <v>0</v>
      </c>
      <c r="V677" s="322" cm="1">
        <f t="array" ref="V677">IFERROR(VLOOKUP(Calculations[[#This Row],[Waste 1]],WasteScenario[#All],4,FALSE)*'Stage assumptions'!$C$223*WasteTransportMethod[Emissions Factor
kgCO2e/kg.km]*Calculations[[#This Row],[Total Kg]],0)</f>
        <v>0</v>
      </c>
      <c r="W677" s="322" cm="1">
        <f t="array" ref="W677">IFERROR(VLOOKUP(Calculations[[#This Row],[Waste 1]],WasteScenario[#All],5,FALSE)*'Stage assumptions'!$C$226*WasteTransportMethod[Emissions Factor
kgCO2e/kg.km]*Calculations[[#This Row],[Total Kg]],0)</f>
        <v>0</v>
      </c>
      <c r="X677" s="322">
        <f>SUM(Calculations[[#This Row],[C2 Recycle]:[C2 Reuse]])</f>
        <v>0</v>
      </c>
      <c r="Y677" t="str">
        <f>IFERROR(VLOOKUP(Calculations[[#This Row],[Material (choose from dropdown]],MaterialData[#All],5,FALSE),"")</f>
        <v/>
      </c>
      <c r="Z677" s="322">
        <f>IFERROR(((VLOOKUP(Calculations[[#This Row],[Waste type 2]],WasteDisposalEmissions[#All],2,FALSE))*Calculations[[#This Row],[Total Kg]])*VLOOKUP(Calculations[[#This Row],[Waste 1]],WasteScenario[#All],2,FALSE),0)</f>
        <v>0</v>
      </c>
      <c r="AA677" s="322">
        <f>IFERROR((VLOOKUP(Calculations[[#This Row],[Waste type 2]],WasteDisposalEmissions[#All],3,FALSE))*Calculations[[#This Row],[Total Kg]]*VLOOKUP(Calculations[[#This Row],[Waste 1]],WasteScenario[#All],3,FALSE),0)</f>
        <v>0</v>
      </c>
      <c r="AB677" s="322">
        <f>SUM(Calculations[[#This Row],[C3 recyc]:[C3 incin]])</f>
        <v>0</v>
      </c>
      <c r="AC677" s="334">
        <f>IFERROR((VLOOKUP(Calculations[[#This Row],[Waste type 2]],WasteLandfillEmissions[#All],2,FALSE))*Calculations[[#This Row],[Total Kg]]*VLOOKUP(Calculations[[#This Row],[Waste 1]],WasteScenario[#All],4,FALSE),0)</f>
        <v>0</v>
      </c>
      <c r="AD677" s="322">
        <f>IFERROR((VLOOKUP(Calculations[[#This Row],[Waste type 2]],WasteLandfillEmissions[#All],3,FALSE))*Calculations[[#This Row],[Total Kg]]*VLOOKUP(Calculations[[#This Row],[Waste 1]],WasteScenario[#All],4,FALSE),0)</f>
        <v>0</v>
      </c>
      <c r="AE677" s="322">
        <f>SUM(Calculations[[#This Row],[C4 landfill]:[C4 re-use]])</f>
        <v>0</v>
      </c>
      <c r="AF677" s="322">
        <f>IFERROR(VLOOKUP(Calculations[[#This Row],[Material (choose from dropdown]],MaterialData[#All],8,FALSE),0)</f>
        <v>0</v>
      </c>
      <c r="AG677" s="322">
        <f>IFERROR(Calculations[[#This Row],[Total Kg]]*Calculations[[#This Row],[Seq factor]],0)</f>
        <v>0</v>
      </c>
      <c r="AI677" s="322">
        <f>Calculations[[#This Row],[A1-3]]+Calculations[[#This Row],[A4]]+Calculations[[#This Row],[A5]]+Calculations[[#This Row],[B4]]+Calculations[[#This Row],[C2 total]]+Calculations[[#This Row],[C3 total]]+Calculations[[#This Row],[C4 total]]</f>
        <v>0</v>
      </c>
      <c r="AJ677" s="2">
        <f>IFERROR(VLOOKUP(Calculations[[#This Row],[Material (choose from dropdown]],MaterialData[[#Headers],[#Data]],9,FALSE),0)</f>
        <v>0</v>
      </c>
      <c r="AK677" s="4">
        <f>IFERROR(VLOOKUP(Calculations[[#This Row],[Material (choose from dropdown]],MaterialData[[#Headers],[#Data]],10,FALSE),0)</f>
        <v>0</v>
      </c>
      <c r="AL677" s="322">
        <f>IFERROR(Calculations[[#This Row],[Data Quality Score]]*Calculations[[#This Row],[Total Kg]],0)</f>
        <v>0</v>
      </c>
    </row>
    <row r="678" spans="1:38" x14ac:dyDescent="0.3">
      <c r="A678" s="6">
        <f>IFERROR(MaterialsBoQ[[#This Row],[Scope Element]],0)</f>
        <v>0</v>
      </c>
      <c r="B678" t="str">
        <f>IFERROR(MaterialsBoQ[[#This Row],[Material ]],"")</f>
        <v/>
      </c>
      <c r="C678" t="str">
        <f>IFERROR(MaterialsBoQ[[#This Row],[Unit]],"")</f>
        <v/>
      </c>
      <c r="D678" s="322">
        <f>IFERROR(MaterialsBoQ[[#This Row],[Number]],0)</f>
        <v>0</v>
      </c>
      <c r="E678" s="322">
        <f>IFERROR(MaterialsBoQ[[#This Row],[Kg per unit]],0)</f>
        <v>0</v>
      </c>
      <c r="F678" s="322">
        <f>IFERROR(Calculations[[#This Row],[Number]]*Calculations[[#This Row],[Conversion factor]],0)</f>
        <v>0</v>
      </c>
      <c r="G678" s="322">
        <f>IFERROR(VLOOKUP(Calculations[[#This Row],[Material (choose from dropdown]],MaterialData[#All],7,FALSE),0)</f>
        <v>0</v>
      </c>
      <c r="H678" s="322">
        <f>Calculations[[#This Row],[Total Kg]]*Calculations[[#This Row],[Carbon Factor]]</f>
        <v>0</v>
      </c>
      <c r="I678" t="str">
        <f>IFERROR(VLOOKUP(Calculations[[#This Row],[Material (choose from dropdown]],MaterialData[#All],2,FALSE),"")</f>
        <v/>
      </c>
      <c r="J678" s="322">
        <f>IFERROR(((VLOOKUP(Calculations[[#This Row],[TransportSource]],TransportDistance[],2,FALSE)*'Stage assumptions'!$C$11)+VLOOKUP(Calculations[[#This Row],[TransportSource]],TransportDistance[],3,FALSE)*'Stage assumptions'!$C$12)*Calculations[[#This Row],[Total Kg]],0)</f>
        <v>0</v>
      </c>
      <c r="K678">
        <f>IFERROR(VLOOKUP(Calculations[[#This Row],[Material (choose from dropdown]], MaterialData[#All],3, FALSE),0)</f>
        <v>0</v>
      </c>
      <c r="L678" s="322">
        <f>IFERROR(VLOOKUP(Calculations[[#This Row],[A5type]],A5WastageRate[#All],2,FALSE)*Calculations[[#This Row],[A1-3]],0)</f>
        <v>0</v>
      </c>
      <c r="N678">
        <f>IFERROR(ROUNDUP(50/VLOOKUP(Calculations[[#This Row],[Scope Element]],B4referenceServiceLife[[Tier 2 element]:[Default Service Life]],2, FALSE)-1,0),0)</f>
        <v>0</v>
      </c>
      <c r="O678" s="322">
        <f>IFERROR((Calculations[[#This Row],[A1-3]]+Calculations[[#This Row],[A4]]+Calculations[[#This Row],[A5]]+Calculations[[#This Row],[C2 total]]+Calculations[[#This Row],[C3 total]]+Calculations[[#This Row],[C4 total]])*Calculations[[#This Row],[Replacements]],0)</f>
        <v>0</v>
      </c>
      <c r="S678" t="str">
        <f>IFERROR(VLOOKUP(Calculations[[#This Row],[Material (choose from dropdown]],MaterialData[#All],4,FALSE),"")</f>
        <v/>
      </c>
      <c r="T678" s="322" cm="1">
        <f t="array" ref="T678">IFERROR(VLOOKUP(Calculations[[#This Row],[Waste 1]],WasteScenario[#All],2,FALSE)*'Stage assumptions'!$C$225*WasteTransportMethod[Emissions Factor
kgCO2e/kg.km]*Calculations[[#This Row],[Total Kg]],0)</f>
        <v>0</v>
      </c>
      <c r="U678" s="322" cm="1">
        <f t="array" ref="U678">IFERROR(VLOOKUP(Calculations[[#This Row],[Waste 1]],WasteScenario[#All],3,FALSE)*'Stage assumptions'!$C$224*WasteTransportMethod[Emissions Factor
kgCO2e/kg.km]*Calculations[[#This Row],[Total Kg]],0)</f>
        <v>0</v>
      </c>
      <c r="V678" s="322" cm="1">
        <f t="array" ref="V678">IFERROR(VLOOKUP(Calculations[[#This Row],[Waste 1]],WasteScenario[#All],4,FALSE)*'Stage assumptions'!$C$223*WasteTransportMethod[Emissions Factor
kgCO2e/kg.km]*Calculations[[#This Row],[Total Kg]],0)</f>
        <v>0</v>
      </c>
      <c r="W678" s="322" cm="1">
        <f t="array" ref="W678">IFERROR(VLOOKUP(Calculations[[#This Row],[Waste 1]],WasteScenario[#All],5,FALSE)*'Stage assumptions'!$C$226*WasteTransportMethod[Emissions Factor
kgCO2e/kg.km]*Calculations[[#This Row],[Total Kg]],0)</f>
        <v>0</v>
      </c>
      <c r="X678" s="322">
        <f>SUM(Calculations[[#This Row],[C2 Recycle]:[C2 Reuse]])</f>
        <v>0</v>
      </c>
      <c r="Y678" t="str">
        <f>IFERROR(VLOOKUP(Calculations[[#This Row],[Material (choose from dropdown]],MaterialData[#All],5,FALSE),"")</f>
        <v/>
      </c>
      <c r="Z678" s="322">
        <f>IFERROR(((VLOOKUP(Calculations[[#This Row],[Waste type 2]],WasteDisposalEmissions[#All],2,FALSE))*Calculations[[#This Row],[Total Kg]])*VLOOKUP(Calculations[[#This Row],[Waste 1]],WasteScenario[#All],2,FALSE),0)</f>
        <v>0</v>
      </c>
      <c r="AA678" s="322">
        <f>IFERROR((VLOOKUP(Calculations[[#This Row],[Waste type 2]],WasteDisposalEmissions[#All],3,FALSE))*Calculations[[#This Row],[Total Kg]]*VLOOKUP(Calculations[[#This Row],[Waste 1]],WasteScenario[#All],3,FALSE),0)</f>
        <v>0</v>
      </c>
      <c r="AB678" s="322">
        <f>SUM(Calculations[[#This Row],[C3 recyc]:[C3 incin]])</f>
        <v>0</v>
      </c>
      <c r="AC678" s="334">
        <f>IFERROR((VLOOKUP(Calculations[[#This Row],[Waste type 2]],WasteLandfillEmissions[#All],2,FALSE))*Calculations[[#This Row],[Total Kg]]*VLOOKUP(Calculations[[#This Row],[Waste 1]],WasteScenario[#All],4,FALSE),0)</f>
        <v>0</v>
      </c>
      <c r="AD678" s="322">
        <f>IFERROR((VLOOKUP(Calculations[[#This Row],[Waste type 2]],WasteLandfillEmissions[#All],3,FALSE))*Calculations[[#This Row],[Total Kg]]*VLOOKUP(Calculations[[#This Row],[Waste 1]],WasteScenario[#All],4,FALSE),0)</f>
        <v>0</v>
      </c>
      <c r="AE678" s="322">
        <f>SUM(Calculations[[#This Row],[C4 landfill]:[C4 re-use]])</f>
        <v>0</v>
      </c>
      <c r="AF678" s="322">
        <f>IFERROR(VLOOKUP(Calculations[[#This Row],[Material (choose from dropdown]],MaterialData[#All],8,FALSE),0)</f>
        <v>0</v>
      </c>
      <c r="AG678" s="322">
        <f>IFERROR(Calculations[[#This Row],[Total Kg]]*Calculations[[#This Row],[Seq factor]],0)</f>
        <v>0</v>
      </c>
      <c r="AI678" s="322">
        <f>Calculations[[#This Row],[A1-3]]+Calculations[[#This Row],[A4]]+Calculations[[#This Row],[A5]]+Calculations[[#This Row],[B4]]+Calculations[[#This Row],[C2 total]]+Calculations[[#This Row],[C3 total]]+Calculations[[#This Row],[C4 total]]</f>
        <v>0</v>
      </c>
      <c r="AJ678" s="2">
        <f>IFERROR(VLOOKUP(Calculations[[#This Row],[Material (choose from dropdown]],MaterialData[[#Headers],[#Data]],9,FALSE),0)</f>
        <v>0</v>
      </c>
      <c r="AK678" s="4">
        <f>IFERROR(VLOOKUP(Calculations[[#This Row],[Material (choose from dropdown]],MaterialData[[#Headers],[#Data]],10,FALSE),0)</f>
        <v>0</v>
      </c>
      <c r="AL678" s="322">
        <f>IFERROR(Calculations[[#This Row],[Data Quality Score]]*Calculations[[#This Row],[Total Kg]],0)</f>
        <v>0</v>
      </c>
    </row>
    <row r="679" spans="1:38" x14ac:dyDescent="0.3">
      <c r="A679" s="6">
        <f>IFERROR(MaterialsBoQ[[#This Row],[Scope Element]],0)</f>
        <v>0</v>
      </c>
      <c r="B679" t="str">
        <f>IFERROR(MaterialsBoQ[[#This Row],[Material ]],"")</f>
        <v/>
      </c>
      <c r="C679" t="str">
        <f>IFERROR(MaterialsBoQ[[#This Row],[Unit]],"")</f>
        <v/>
      </c>
      <c r="D679" s="322">
        <f>IFERROR(MaterialsBoQ[[#This Row],[Number]],0)</f>
        <v>0</v>
      </c>
      <c r="E679" s="322">
        <f>IFERROR(MaterialsBoQ[[#This Row],[Kg per unit]],0)</f>
        <v>0</v>
      </c>
      <c r="F679" s="322">
        <f>IFERROR(Calculations[[#This Row],[Number]]*Calculations[[#This Row],[Conversion factor]],0)</f>
        <v>0</v>
      </c>
      <c r="G679" s="322">
        <f>IFERROR(VLOOKUP(Calculations[[#This Row],[Material (choose from dropdown]],MaterialData[#All],7,FALSE),0)</f>
        <v>0</v>
      </c>
      <c r="H679" s="322">
        <f>Calculations[[#This Row],[Total Kg]]*Calculations[[#This Row],[Carbon Factor]]</f>
        <v>0</v>
      </c>
      <c r="I679" t="str">
        <f>IFERROR(VLOOKUP(Calculations[[#This Row],[Material (choose from dropdown]],MaterialData[#All],2,FALSE),"")</f>
        <v/>
      </c>
      <c r="J679" s="322">
        <f>IFERROR(((VLOOKUP(Calculations[[#This Row],[TransportSource]],TransportDistance[],2,FALSE)*'Stage assumptions'!$C$11)+VLOOKUP(Calculations[[#This Row],[TransportSource]],TransportDistance[],3,FALSE)*'Stage assumptions'!$C$12)*Calculations[[#This Row],[Total Kg]],0)</f>
        <v>0</v>
      </c>
      <c r="K679">
        <f>IFERROR(VLOOKUP(Calculations[[#This Row],[Material (choose from dropdown]], MaterialData[#All],3, FALSE),0)</f>
        <v>0</v>
      </c>
      <c r="L679" s="322">
        <f>IFERROR(VLOOKUP(Calculations[[#This Row],[A5type]],A5WastageRate[#All],2,FALSE)*Calculations[[#This Row],[A1-3]],0)</f>
        <v>0</v>
      </c>
      <c r="N679">
        <f>IFERROR(ROUNDUP(50/VLOOKUP(Calculations[[#This Row],[Scope Element]],B4referenceServiceLife[[Tier 2 element]:[Default Service Life]],2, FALSE)-1,0),0)</f>
        <v>0</v>
      </c>
      <c r="O679" s="322">
        <f>IFERROR((Calculations[[#This Row],[A1-3]]+Calculations[[#This Row],[A4]]+Calculations[[#This Row],[A5]]+Calculations[[#This Row],[C2 total]]+Calculations[[#This Row],[C3 total]]+Calculations[[#This Row],[C4 total]])*Calculations[[#This Row],[Replacements]],0)</f>
        <v>0</v>
      </c>
      <c r="S679" t="str">
        <f>IFERROR(VLOOKUP(Calculations[[#This Row],[Material (choose from dropdown]],MaterialData[#All],4,FALSE),"")</f>
        <v/>
      </c>
      <c r="T679" s="322" cm="1">
        <f t="array" ref="T679">IFERROR(VLOOKUP(Calculations[[#This Row],[Waste 1]],WasteScenario[#All],2,FALSE)*'Stage assumptions'!$C$225*WasteTransportMethod[Emissions Factor
kgCO2e/kg.km]*Calculations[[#This Row],[Total Kg]],0)</f>
        <v>0</v>
      </c>
      <c r="U679" s="322" cm="1">
        <f t="array" ref="U679">IFERROR(VLOOKUP(Calculations[[#This Row],[Waste 1]],WasteScenario[#All],3,FALSE)*'Stage assumptions'!$C$224*WasteTransportMethod[Emissions Factor
kgCO2e/kg.km]*Calculations[[#This Row],[Total Kg]],0)</f>
        <v>0</v>
      </c>
      <c r="V679" s="322" cm="1">
        <f t="array" ref="V679">IFERROR(VLOOKUP(Calculations[[#This Row],[Waste 1]],WasteScenario[#All],4,FALSE)*'Stage assumptions'!$C$223*WasteTransportMethod[Emissions Factor
kgCO2e/kg.km]*Calculations[[#This Row],[Total Kg]],0)</f>
        <v>0</v>
      </c>
      <c r="W679" s="322" cm="1">
        <f t="array" ref="W679">IFERROR(VLOOKUP(Calculations[[#This Row],[Waste 1]],WasteScenario[#All],5,FALSE)*'Stage assumptions'!$C$226*WasteTransportMethod[Emissions Factor
kgCO2e/kg.km]*Calculations[[#This Row],[Total Kg]],0)</f>
        <v>0</v>
      </c>
      <c r="X679" s="322">
        <f>SUM(Calculations[[#This Row],[C2 Recycle]:[C2 Reuse]])</f>
        <v>0</v>
      </c>
      <c r="Y679" t="str">
        <f>IFERROR(VLOOKUP(Calculations[[#This Row],[Material (choose from dropdown]],MaterialData[#All],5,FALSE),"")</f>
        <v/>
      </c>
      <c r="Z679" s="322">
        <f>IFERROR(((VLOOKUP(Calculations[[#This Row],[Waste type 2]],WasteDisposalEmissions[#All],2,FALSE))*Calculations[[#This Row],[Total Kg]])*VLOOKUP(Calculations[[#This Row],[Waste 1]],WasteScenario[#All],2,FALSE),0)</f>
        <v>0</v>
      </c>
      <c r="AA679" s="322">
        <f>IFERROR((VLOOKUP(Calculations[[#This Row],[Waste type 2]],WasteDisposalEmissions[#All],3,FALSE))*Calculations[[#This Row],[Total Kg]]*VLOOKUP(Calculations[[#This Row],[Waste 1]],WasteScenario[#All],3,FALSE),0)</f>
        <v>0</v>
      </c>
      <c r="AB679" s="322">
        <f>SUM(Calculations[[#This Row],[C3 recyc]:[C3 incin]])</f>
        <v>0</v>
      </c>
      <c r="AC679" s="334">
        <f>IFERROR((VLOOKUP(Calculations[[#This Row],[Waste type 2]],WasteLandfillEmissions[#All],2,FALSE))*Calculations[[#This Row],[Total Kg]]*VLOOKUP(Calculations[[#This Row],[Waste 1]],WasteScenario[#All],4,FALSE),0)</f>
        <v>0</v>
      </c>
      <c r="AD679" s="322">
        <f>IFERROR((VLOOKUP(Calculations[[#This Row],[Waste type 2]],WasteLandfillEmissions[#All],3,FALSE))*Calculations[[#This Row],[Total Kg]]*VLOOKUP(Calculations[[#This Row],[Waste 1]],WasteScenario[#All],4,FALSE),0)</f>
        <v>0</v>
      </c>
      <c r="AE679" s="322">
        <f>SUM(Calculations[[#This Row],[C4 landfill]:[C4 re-use]])</f>
        <v>0</v>
      </c>
      <c r="AF679" s="322">
        <f>IFERROR(VLOOKUP(Calculations[[#This Row],[Material (choose from dropdown]],MaterialData[#All],8,FALSE),0)</f>
        <v>0</v>
      </c>
      <c r="AG679" s="322">
        <f>IFERROR(Calculations[[#This Row],[Total Kg]]*Calculations[[#This Row],[Seq factor]],0)</f>
        <v>0</v>
      </c>
      <c r="AI679" s="322">
        <f>Calculations[[#This Row],[A1-3]]+Calculations[[#This Row],[A4]]+Calculations[[#This Row],[A5]]+Calculations[[#This Row],[B4]]+Calculations[[#This Row],[C2 total]]+Calculations[[#This Row],[C3 total]]+Calculations[[#This Row],[C4 total]]</f>
        <v>0</v>
      </c>
      <c r="AJ679" s="2">
        <f>IFERROR(VLOOKUP(Calculations[[#This Row],[Material (choose from dropdown]],MaterialData[[#Headers],[#Data]],9,FALSE),0)</f>
        <v>0</v>
      </c>
      <c r="AK679" s="4">
        <f>IFERROR(VLOOKUP(Calculations[[#This Row],[Material (choose from dropdown]],MaterialData[[#Headers],[#Data]],10,FALSE),0)</f>
        <v>0</v>
      </c>
      <c r="AL679" s="322">
        <f>IFERROR(Calculations[[#This Row],[Data Quality Score]]*Calculations[[#This Row],[Total Kg]],0)</f>
        <v>0</v>
      </c>
    </row>
    <row r="680" spans="1:38" x14ac:dyDescent="0.3">
      <c r="A680" s="6">
        <f>IFERROR(MaterialsBoQ[[#This Row],[Scope Element]],0)</f>
        <v>0</v>
      </c>
      <c r="B680" t="str">
        <f>IFERROR(MaterialsBoQ[[#This Row],[Material ]],"")</f>
        <v/>
      </c>
      <c r="C680" t="str">
        <f>IFERROR(MaterialsBoQ[[#This Row],[Unit]],"")</f>
        <v/>
      </c>
      <c r="D680" s="322">
        <f>IFERROR(MaterialsBoQ[[#This Row],[Number]],0)</f>
        <v>0</v>
      </c>
      <c r="E680" s="322">
        <f>IFERROR(MaterialsBoQ[[#This Row],[Kg per unit]],0)</f>
        <v>0</v>
      </c>
      <c r="F680" s="322">
        <f>IFERROR(Calculations[[#This Row],[Number]]*Calculations[[#This Row],[Conversion factor]],0)</f>
        <v>0</v>
      </c>
      <c r="G680" s="322">
        <f>IFERROR(VLOOKUP(Calculations[[#This Row],[Material (choose from dropdown]],MaterialData[#All],7,FALSE),0)</f>
        <v>0</v>
      </c>
      <c r="H680" s="322">
        <f>Calculations[[#This Row],[Total Kg]]*Calculations[[#This Row],[Carbon Factor]]</f>
        <v>0</v>
      </c>
      <c r="I680" t="str">
        <f>IFERROR(VLOOKUP(Calculations[[#This Row],[Material (choose from dropdown]],MaterialData[#All],2,FALSE),"")</f>
        <v/>
      </c>
      <c r="J680" s="322">
        <f>IFERROR(((VLOOKUP(Calculations[[#This Row],[TransportSource]],TransportDistance[],2,FALSE)*'Stage assumptions'!$C$11)+VLOOKUP(Calculations[[#This Row],[TransportSource]],TransportDistance[],3,FALSE)*'Stage assumptions'!$C$12)*Calculations[[#This Row],[Total Kg]],0)</f>
        <v>0</v>
      </c>
      <c r="K680">
        <f>IFERROR(VLOOKUP(Calculations[[#This Row],[Material (choose from dropdown]], MaterialData[#All],3, FALSE),0)</f>
        <v>0</v>
      </c>
      <c r="L680" s="322">
        <f>IFERROR(VLOOKUP(Calculations[[#This Row],[A5type]],A5WastageRate[#All],2,FALSE)*Calculations[[#This Row],[A1-3]],0)</f>
        <v>0</v>
      </c>
      <c r="N680">
        <f>IFERROR(ROUNDUP(50/VLOOKUP(Calculations[[#This Row],[Scope Element]],B4referenceServiceLife[[Tier 2 element]:[Default Service Life]],2, FALSE)-1,0),0)</f>
        <v>0</v>
      </c>
      <c r="O680" s="322">
        <f>IFERROR((Calculations[[#This Row],[A1-3]]+Calculations[[#This Row],[A4]]+Calculations[[#This Row],[A5]]+Calculations[[#This Row],[C2 total]]+Calculations[[#This Row],[C3 total]]+Calculations[[#This Row],[C4 total]])*Calculations[[#This Row],[Replacements]],0)</f>
        <v>0</v>
      </c>
      <c r="S680" t="str">
        <f>IFERROR(VLOOKUP(Calculations[[#This Row],[Material (choose from dropdown]],MaterialData[#All],4,FALSE),"")</f>
        <v/>
      </c>
      <c r="T680" s="322" cm="1">
        <f t="array" ref="T680">IFERROR(VLOOKUP(Calculations[[#This Row],[Waste 1]],WasteScenario[#All],2,FALSE)*'Stage assumptions'!$C$225*WasteTransportMethod[Emissions Factor
kgCO2e/kg.km]*Calculations[[#This Row],[Total Kg]],0)</f>
        <v>0</v>
      </c>
      <c r="U680" s="322" cm="1">
        <f t="array" ref="U680">IFERROR(VLOOKUP(Calculations[[#This Row],[Waste 1]],WasteScenario[#All],3,FALSE)*'Stage assumptions'!$C$224*WasteTransportMethod[Emissions Factor
kgCO2e/kg.km]*Calculations[[#This Row],[Total Kg]],0)</f>
        <v>0</v>
      </c>
      <c r="V680" s="322" cm="1">
        <f t="array" ref="V680">IFERROR(VLOOKUP(Calculations[[#This Row],[Waste 1]],WasteScenario[#All],4,FALSE)*'Stage assumptions'!$C$223*WasteTransportMethod[Emissions Factor
kgCO2e/kg.km]*Calculations[[#This Row],[Total Kg]],0)</f>
        <v>0</v>
      </c>
      <c r="W680" s="322" cm="1">
        <f t="array" ref="W680">IFERROR(VLOOKUP(Calculations[[#This Row],[Waste 1]],WasteScenario[#All],5,FALSE)*'Stage assumptions'!$C$226*WasteTransportMethod[Emissions Factor
kgCO2e/kg.km]*Calculations[[#This Row],[Total Kg]],0)</f>
        <v>0</v>
      </c>
      <c r="X680" s="322">
        <f>SUM(Calculations[[#This Row],[C2 Recycle]:[C2 Reuse]])</f>
        <v>0</v>
      </c>
      <c r="Y680" t="str">
        <f>IFERROR(VLOOKUP(Calculations[[#This Row],[Material (choose from dropdown]],MaterialData[#All],5,FALSE),"")</f>
        <v/>
      </c>
      <c r="Z680" s="322">
        <f>IFERROR(((VLOOKUP(Calculations[[#This Row],[Waste type 2]],WasteDisposalEmissions[#All],2,FALSE))*Calculations[[#This Row],[Total Kg]])*VLOOKUP(Calculations[[#This Row],[Waste 1]],WasteScenario[#All],2,FALSE),0)</f>
        <v>0</v>
      </c>
      <c r="AA680" s="322">
        <f>IFERROR((VLOOKUP(Calculations[[#This Row],[Waste type 2]],WasteDisposalEmissions[#All],3,FALSE))*Calculations[[#This Row],[Total Kg]]*VLOOKUP(Calculations[[#This Row],[Waste 1]],WasteScenario[#All],3,FALSE),0)</f>
        <v>0</v>
      </c>
      <c r="AB680" s="322">
        <f>SUM(Calculations[[#This Row],[C3 recyc]:[C3 incin]])</f>
        <v>0</v>
      </c>
      <c r="AC680" s="334">
        <f>IFERROR((VLOOKUP(Calculations[[#This Row],[Waste type 2]],WasteLandfillEmissions[#All],2,FALSE))*Calculations[[#This Row],[Total Kg]]*VLOOKUP(Calculations[[#This Row],[Waste 1]],WasteScenario[#All],4,FALSE),0)</f>
        <v>0</v>
      </c>
      <c r="AD680" s="322">
        <f>IFERROR((VLOOKUP(Calculations[[#This Row],[Waste type 2]],WasteLandfillEmissions[#All],3,FALSE))*Calculations[[#This Row],[Total Kg]]*VLOOKUP(Calculations[[#This Row],[Waste 1]],WasteScenario[#All],4,FALSE),0)</f>
        <v>0</v>
      </c>
      <c r="AE680" s="322">
        <f>SUM(Calculations[[#This Row],[C4 landfill]:[C4 re-use]])</f>
        <v>0</v>
      </c>
      <c r="AF680" s="322">
        <f>IFERROR(VLOOKUP(Calculations[[#This Row],[Material (choose from dropdown]],MaterialData[#All],8,FALSE),0)</f>
        <v>0</v>
      </c>
      <c r="AG680" s="322">
        <f>IFERROR(Calculations[[#This Row],[Total Kg]]*Calculations[[#This Row],[Seq factor]],0)</f>
        <v>0</v>
      </c>
      <c r="AI680" s="322">
        <f>Calculations[[#This Row],[A1-3]]+Calculations[[#This Row],[A4]]+Calculations[[#This Row],[A5]]+Calculations[[#This Row],[B4]]+Calculations[[#This Row],[C2 total]]+Calculations[[#This Row],[C3 total]]+Calculations[[#This Row],[C4 total]]</f>
        <v>0</v>
      </c>
      <c r="AJ680" s="2">
        <f>IFERROR(VLOOKUP(Calculations[[#This Row],[Material (choose from dropdown]],MaterialData[[#Headers],[#Data]],9,FALSE),0)</f>
        <v>0</v>
      </c>
      <c r="AK680" s="4">
        <f>IFERROR(VLOOKUP(Calculations[[#This Row],[Material (choose from dropdown]],MaterialData[[#Headers],[#Data]],10,FALSE),0)</f>
        <v>0</v>
      </c>
      <c r="AL680" s="322">
        <f>IFERROR(Calculations[[#This Row],[Data Quality Score]]*Calculations[[#This Row],[Total Kg]],0)</f>
        <v>0</v>
      </c>
    </row>
    <row r="681" spans="1:38" x14ac:dyDescent="0.3">
      <c r="A681" s="6">
        <f>IFERROR(MaterialsBoQ[[#This Row],[Scope Element]],0)</f>
        <v>0</v>
      </c>
      <c r="B681" t="str">
        <f>IFERROR(MaterialsBoQ[[#This Row],[Material ]],"")</f>
        <v/>
      </c>
      <c r="C681" t="str">
        <f>IFERROR(MaterialsBoQ[[#This Row],[Unit]],"")</f>
        <v/>
      </c>
      <c r="D681" s="322">
        <f>IFERROR(MaterialsBoQ[[#This Row],[Number]],0)</f>
        <v>0</v>
      </c>
      <c r="E681" s="322">
        <f>IFERROR(MaterialsBoQ[[#This Row],[Kg per unit]],0)</f>
        <v>0</v>
      </c>
      <c r="F681" s="322">
        <f>IFERROR(Calculations[[#This Row],[Number]]*Calculations[[#This Row],[Conversion factor]],0)</f>
        <v>0</v>
      </c>
      <c r="G681" s="322">
        <f>IFERROR(VLOOKUP(Calculations[[#This Row],[Material (choose from dropdown]],MaterialData[#All],7,FALSE),0)</f>
        <v>0</v>
      </c>
      <c r="H681" s="322">
        <f>Calculations[[#This Row],[Total Kg]]*Calculations[[#This Row],[Carbon Factor]]</f>
        <v>0</v>
      </c>
      <c r="I681" t="str">
        <f>IFERROR(VLOOKUP(Calculations[[#This Row],[Material (choose from dropdown]],MaterialData[#All],2,FALSE),"")</f>
        <v/>
      </c>
      <c r="J681" s="322">
        <f>IFERROR(((VLOOKUP(Calculations[[#This Row],[TransportSource]],TransportDistance[],2,FALSE)*'Stage assumptions'!$C$11)+VLOOKUP(Calculations[[#This Row],[TransportSource]],TransportDistance[],3,FALSE)*'Stage assumptions'!$C$12)*Calculations[[#This Row],[Total Kg]],0)</f>
        <v>0</v>
      </c>
      <c r="K681">
        <f>IFERROR(VLOOKUP(Calculations[[#This Row],[Material (choose from dropdown]], MaterialData[#All],3, FALSE),0)</f>
        <v>0</v>
      </c>
      <c r="L681" s="322">
        <f>IFERROR(VLOOKUP(Calculations[[#This Row],[A5type]],A5WastageRate[#All],2,FALSE)*Calculations[[#This Row],[A1-3]],0)</f>
        <v>0</v>
      </c>
      <c r="N681">
        <f>IFERROR(ROUNDUP(50/VLOOKUP(Calculations[[#This Row],[Scope Element]],B4referenceServiceLife[[Tier 2 element]:[Default Service Life]],2, FALSE)-1,0),0)</f>
        <v>0</v>
      </c>
      <c r="O681" s="322">
        <f>IFERROR((Calculations[[#This Row],[A1-3]]+Calculations[[#This Row],[A4]]+Calculations[[#This Row],[A5]]+Calculations[[#This Row],[C2 total]]+Calculations[[#This Row],[C3 total]]+Calculations[[#This Row],[C4 total]])*Calculations[[#This Row],[Replacements]],0)</f>
        <v>0</v>
      </c>
      <c r="S681" t="str">
        <f>IFERROR(VLOOKUP(Calculations[[#This Row],[Material (choose from dropdown]],MaterialData[#All],4,FALSE),"")</f>
        <v/>
      </c>
      <c r="T681" s="322" cm="1">
        <f t="array" ref="T681">IFERROR(VLOOKUP(Calculations[[#This Row],[Waste 1]],WasteScenario[#All],2,FALSE)*'Stage assumptions'!$C$225*WasteTransportMethod[Emissions Factor
kgCO2e/kg.km]*Calculations[[#This Row],[Total Kg]],0)</f>
        <v>0</v>
      </c>
      <c r="U681" s="322" cm="1">
        <f t="array" ref="U681">IFERROR(VLOOKUP(Calculations[[#This Row],[Waste 1]],WasteScenario[#All],3,FALSE)*'Stage assumptions'!$C$224*WasteTransportMethod[Emissions Factor
kgCO2e/kg.km]*Calculations[[#This Row],[Total Kg]],0)</f>
        <v>0</v>
      </c>
      <c r="V681" s="322" cm="1">
        <f t="array" ref="V681">IFERROR(VLOOKUP(Calculations[[#This Row],[Waste 1]],WasteScenario[#All],4,FALSE)*'Stage assumptions'!$C$223*WasteTransportMethod[Emissions Factor
kgCO2e/kg.km]*Calculations[[#This Row],[Total Kg]],0)</f>
        <v>0</v>
      </c>
      <c r="W681" s="322" cm="1">
        <f t="array" ref="W681">IFERROR(VLOOKUP(Calculations[[#This Row],[Waste 1]],WasteScenario[#All],5,FALSE)*'Stage assumptions'!$C$226*WasteTransportMethod[Emissions Factor
kgCO2e/kg.km]*Calculations[[#This Row],[Total Kg]],0)</f>
        <v>0</v>
      </c>
      <c r="X681" s="322">
        <f>SUM(Calculations[[#This Row],[C2 Recycle]:[C2 Reuse]])</f>
        <v>0</v>
      </c>
      <c r="Y681" t="str">
        <f>IFERROR(VLOOKUP(Calculations[[#This Row],[Material (choose from dropdown]],MaterialData[#All],5,FALSE),"")</f>
        <v/>
      </c>
      <c r="Z681" s="322">
        <f>IFERROR(((VLOOKUP(Calculations[[#This Row],[Waste type 2]],WasteDisposalEmissions[#All],2,FALSE))*Calculations[[#This Row],[Total Kg]])*VLOOKUP(Calculations[[#This Row],[Waste 1]],WasteScenario[#All],2,FALSE),0)</f>
        <v>0</v>
      </c>
      <c r="AA681" s="322">
        <f>IFERROR((VLOOKUP(Calculations[[#This Row],[Waste type 2]],WasteDisposalEmissions[#All],3,FALSE))*Calculations[[#This Row],[Total Kg]]*VLOOKUP(Calculations[[#This Row],[Waste 1]],WasteScenario[#All],3,FALSE),0)</f>
        <v>0</v>
      </c>
      <c r="AB681" s="322">
        <f>SUM(Calculations[[#This Row],[C3 recyc]:[C3 incin]])</f>
        <v>0</v>
      </c>
      <c r="AC681" s="334">
        <f>IFERROR((VLOOKUP(Calculations[[#This Row],[Waste type 2]],WasteLandfillEmissions[#All],2,FALSE))*Calculations[[#This Row],[Total Kg]]*VLOOKUP(Calculations[[#This Row],[Waste 1]],WasteScenario[#All],4,FALSE),0)</f>
        <v>0</v>
      </c>
      <c r="AD681" s="322">
        <f>IFERROR((VLOOKUP(Calculations[[#This Row],[Waste type 2]],WasteLandfillEmissions[#All],3,FALSE))*Calculations[[#This Row],[Total Kg]]*VLOOKUP(Calculations[[#This Row],[Waste 1]],WasteScenario[#All],4,FALSE),0)</f>
        <v>0</v>
      </c>
      <c r="AE681" s="322">
        <f>SUM(Calculations[[#This Row],[C4 landfill]:[C4 re-use]])</f>
        <v>0</v>
      </c>
      <c r="AF681" s="322">
        <f>IFERROR(VLOOKUP(Calculations[[#This Row],[Material (choose from dropdown]],MaterialData[#All],8,FALSE),0)</f>
        <v>0</v>
      </c>
      <c r="AG681" s="322">
        <f>IFERROR(Calculations[[#This Row],[Total Kg]]*Calculations[[#This Row],[Seq factor]],0)</f>
        <v>0</v>
      </c>
      <c r="AI681" s="322">
        <f>Calculations[[#This Row],[A1-3]]+Calculations[[#This Row],[A4]]+Calculations[[#This Row],[A5]]+Calculations[[#This Row],[B4]]+Calculations[[#This Row],[C2 total]]+Calculations[[#This Row],[C3 total]]+Calculations[[#This Row],[C4 total]]</f>
        <v>0</v>
      </c>
      <c r="AJ681" s="2">
        <f>IFERROR(VLOOKUP(Calculations[[#This Row],[Material (choose from dropdown]],MaterialData[[#Headers],[#Data]],9,FALSE),0)</f>
        <v>0</v>
      </c>
      <c r="AK681" s="4">
        <f>IFERROR(VLOOKUP(Calculations[[#This Row],[Material (choose from dropdown]],MaterialData[[#Headers],[#Data]],10,FALSE),0)</f>
        <v>0</v>
      </c>
      <c r="AL681" s="322">
        <f>IFERROR(Calculations[[#This Row],[Data Quality Score]]*Calculations[[#This Row],[Total Kg]],0)</f>
        <v>0</v>
      </c>
    </row>
    <row r="682" spans="1:38" x14ac:dyDescent="0.3">
      <c r="A682" s="6">
        <f>IFERROR(MaterialsBoQ[[#This Row],[Scope Element]],0)</f>
        <v>0</v>
      </c>
      <c r="B682" t="str">
        <f>IFERROR(MaterialsBoQ[[#This Row],[Material ]],"")</f>
        <v/>
      </c>
      <c r="C682" t="str">
        <f>IFERROR(MaterialsBoQ[[#This Row],[Unit]],"")</f>
        <v/>
      </c>
      <c r="D682" s="322">
        <f>IFERROR(MaterialsBoQ[[#This Row],[Number]],0)</f>
        <v>0</v>
      </c>
      <c r="E682" s="322">
        <f>IFERROR(MaterialsBoQ[[#This Row],[Kg per unit]],0)</f>
        <v>0</v>
      </c>
      <c r="F682" s="322">
        <f>IFERROR(Calculations[[#This Row],[Number]]*Calculations[[#This Row],[Conversion factor]],0)</f>
        <v>0</v>
      </c>
      <c r="G682" s="322">
        <f>IFERROR(VLOOKUP(Calculations[[#This Row],[Material (choose from dropdown]],MaterialData[#All],7,FALSE),0)</f>
        <v>0</v>
      </c>
      <c r="H682" s="322">
        <f>Calculations[[#This Row],[Total Kg]]*Calculations[[#This Row],[Carbon Factor]]</f>
        <v>0</v>
      </c>
      <c r="I682" t="str">
        <f>IFERROR(VLOOKUP(Calculations[[#This Row],[Material (choose from dropdown]],MaterialData[#All],2,FALSE),"")</f>
        <v/>
      </c>
      <c r="J682" s="322">
        <f>IFERROR(((VLOOKUP(Calculations[[#This Row],[TransportSource]],TransportDistance[],2,FALSE)*'Stage assumptions'!$C$11)+VLOOKUP(Calculations[[#This Row],[TransportSource]],TransportDistance[],3,FALSE)*'Stage assumptions'!$C$12)*Calculations[[#This Row],[Total Kg]],0)</f>
        <v>0</v>
      </c>
      <c r="K682">
        <f>IFERROR(VLOOKUP(Calculations[[#This Row],[Material (choose from dropdown]], MaterialData[#All],3, FALSE),0)</f>
        <v>0</v>
      </c>
      <c r="L682" s="322">
        <f>IFERROR(VLOOKUP(Calculations[[#This Row],[A5type]],A5WastageRate[#All],2,FALSE)*Calculations[[#This Row],[A1-3]],0)</f>
        <v>0</v>
      </c>
      <c r="N682">
        <f>IFERROR(ROUNDUP(50/VLOOKUP(Calculations[[#This Row],[Scope Element]],B4referenceServiceLife[[Tier 2 element]:[Default Service Life]],2, FALSE)-1,0),0)</f>
        <v>0</v>
      </c>
      <c r="O682" s="322">
        <f>IFERROR((Calculations[[#This Row],[A1-3]]+Calculations[[#This Row],[A4]]+Calculations[[#This Row],[A5]]+Calculations[[#This Row],[C2 total]]+Calculations[[#This Row],[C3 total]]+Calculations[[#This Row],[C4 total]])*Calculations[[#This Row],[Replacements]],0)</f>
        <v>0</v>
      </c>
      <c r="S682" t="str">
        <f>IFERROR(VLOOKUP(Calculations[[#This Row],[Material (choose from dropdown]],MaterialData[#All],4,FALSE),"")</f>
        <v/>
      </c>
      <c r="T682" s="322" cm="1">
        <f t="array" ref="T682">IFERROR(VLOOKUP(Calculations[[#This Row],[Waste 1]],WasteScenario[#All],2,FALSE)*'Stage assumptions'!$C$225*WasteTransportMethod[Emissions Factor
kgCO2e/kg.km]*Calculations[[#This Row],[Total Kg]],0)</f>
        <v>0</v>
      </c>
      <c r="U682" s="322" cm="1">
        <f t="array" ref="U682">IFERROR(VLOOKUP(Calculations[[#This Row],[Waste 1]],WasteScenario[#All],3,FALSE)*'Stage assumptions'!$C$224*WasteTransportMethod[Emissions Factor
kgCO2e/kg.km]*Calculations[[#This Row],[Total Kg]],0)</f>
        <v>0</v>
      </c>
      <c r="V682" s="322" cm="1">
        <f t="array" ref="V682">IFERROR(VLOOKUP(Calculations[[#This Row],[Waste 1]],WasteScenario[#All],4,FALSE)*'Stage assumptions'!$C$223*WasteTransportMethod[Emissions Factor
kgCO2e/kg.km]*Calculations[[#This Row],[Total Kg]],0)</f>
        <v>0</v>
      </c>
      <c r="W682" s="322" cm="1">
        <f t="array" ref="W682">IFERROR(VLOOKUP(Calculations[[#This Row],[Waste 1]],WasteScenario[#All],5,FALSE)*'Stage assumptions'!$C$226*WasteTransportMethod[Emissions Factor
kgCO2e/kg.km]*Calculations[[#This Row],[Total Kg]],0)</f>
        <v>0</v>
      </c>
      <c r="X682" s="322">
        <f>SUM(Calculations[[#This Row],[C2 Recycle]:[C2 Reuse]])</f>
        <v>0</v>
      </c>
      <c r="Y682" t="str">
        <f>IFERROR(VLOOKUP(Calculations[[#This Row],[Material (choose from dropdown]],MaterialData[#All],5,FALSE),"")</f>
        <v/>
      </c>
      <c r="Z682" s="322">
        <f>IFERROR(((VLOOKUP(Calculations[[#This Row],[Waste type 2]],WasteDisposalEmissions[#All],2,FALSE))*Calculations[[#This Row],[Total Kg]])*VLOOKUP(Calculations[[#This Row],[Waste 1]],WasteScenario[#All],2,FALSE),0)</f>
        <v>0</v>
      </c>
      <c r="AA682" s="322">
        <f>IFERROR((VLOOKUP(Calculations[[#This Row],[Waste type 2]],WasteDisposalEmissions[#All],3,FALSE))*Calculations[[#This Row],[Total Kg]]*VLOOKUP(Calculations[[#This Row],[Waste 1]],WasteScenario[#All],3,FALSE),0)</f>
        <v>0</v>
      </c>
      <c r="AB682" s="322">
        <f>SUM(Calculations[[#This Row],[C3 recyc]:[C3 incin]])</f>
        <v>0</v>
      </c>
      <c r="AC682" s="334">
        <f>IFERROR((VLOOKUP(Calculations[[#This Row],[Waste type 2]],WasteLandfillEmissions[#All],2,FALSE))*Calculations[[#This Row],[Total Kg]]*VLOOKUP(Calculations[[#This Row],[Waste 1]],WasteScenario[#All],4,FALSE),0)</f>
        <v>0</v>
      </c>
      <c r="AD682" s="322">
        <f>IFERROR((VLOOKUP(Calculations[[#This Row],[Waste type 2]],WasteLandfillEmissions[#All],3,FALSE))*Calculations[[#This Row],[Total Kg]]*VLOOKUP(Calculations[[#This Row],[Waste 1]],WasteScenario[#All],4,FALSE),0)</f>
        <v>0</v>
      </c>
      <c r="AE682" s="322">
        <f>SUM(Calculations[[#This Row],[C4 landfill]:[C4 re-use]])</f>
        <v>0</v>
      </c>
      <c r="AF682" s="322">
        <f>IFERROR(VLOOKUP(Calculations[[#This Row],[Material (choose from dropdown]],MaterialData[#All],8,FALSE),0)</f>
        <v>0</v>
      </c>
      <c r="AG682" s="322">
        <f>IFERROR(Calculations[[#This Row],[Total Kg]]*Calculations[[#This Row],[Seq factor]],0)</f>
        <v>0</v>
      </c>
      <c r="AI682" s="322">
        <f>Calculations[[#This Row],[A1-3]]+Calculations[[#This Row],[A4]]+Calculations[[#This Row],[A5]]+Calculations[[#This Row],[B4]]+Calculations[[#This Row],[C2 total]]+Calculations[[#This Row],[C3 total]]+Calculations[[#This Row],[C4 total]]</f>
        <v>0</v>
      </c>
      <c r="AJ682" s="2">
        <f>IFERROR(VLOOKUP(Calculations[[#This Row],[Material (choose from dropdown]],MaterialData[[#Headers],[#Data]],9,FALSE),0)</f>
        <v>0</v>
      </c>
      <c r="AK682" s="4">
        <f>IFERROR(VLOOKUP(Calculations[[#This Row],[Material (choose from dropdown]],MaterialData[[#Headers],[#Data]],10,FALSE),0)</f>
        <v>0</v>
      </c>
      <c r="AL682" s="322">
        <f>IFERROR(Calculations[[#This Row],[Data Quality Score]]*Calculations[[#This Row],[Total Kg]],0)</f>
        <v>0</v>
      </c>
    </row>
    <row r="683" spans="1:38" x14ac:dyDescent="0.3">
      <c r="A683" s="6">
        <f>IFERROR(MaterialsBoQ[[#This Row],[Scope Element]],0)</f>
        <v>0</v>
      </c>
      <c r="B683" t="str">
        <f>IFERROR(MaterialsBoQ[[#This Row],[Material ]],"")</f>
        <v/>
      </c>
      <c r="C683" t="str">
        <f>IFERROR(MaterialsBoQ[[#This Row],[Unit]],"")</f>
        <v/>
      </c>
      <c r="D683" s="322">
        <f>IFERROR(MaterialsBoQ[[#This Row],[Number]],0)</f>
        <v>0</v>
      </c>
      <c r="E683" s="322">
        <f>IFERROR(MaterialsBoQ[[#This Row],[Kg per unit]],0)</f>
        <v>0</v>
      </c>
      <c r="F683" s="322">
        <f>IFERROR(Calculations[[#This Row],[Number]]*Calculations[[#This Row],[Conversion factor]],0)</f>
        <v>0</v>
      </c>
      <c r="G683" s="322">
        <f>IFERROR(VLOOKUP(Calculations[[#This Row],[Material (choose from dropdown]],MaterialData[#All],7,FALSE),0)</f>
        <v>0</v>
      </c>
      <c r="H683" s="322">
        <f>Calculations[[#This Row],[Total Kg]]*Calculations[[#This Row],[Carbon Factor]]</f>
        <v>0</v>
      </c>
      <c r="I683" t="str">
        <f>IFERROR(VLOOKUP(Calculations[[#This Row],[Material (choose from dropdown]],MaterialData[#All],2,FALSE),"")</f>
        <v/>
      </c>
      <c r="J683" s="322">
        <f>IFERROR(((VLOOKUP(Calculations[[#This Row],[TransportSource]],TransportDistance[],2,FALSE)*'Stage assumptions'!$C$11)+VLOOKUP(Calculations[[#This Row],[TransportSource]],TransportDistance[],3,FALSE)*'Stage assumptions'!$C$12)*Calculations[[#This Row],[Total Kg]],0)</f>
        <v>0</v>
      </c>
      <c r="K683">
        <f>IFERROR(VLOOKUP(Calculations[[#This Row],[Material (choose from dropdown]], MaterialData[#All],3, FALSE),0)</f>
        <v>0</v>
      </c>
      <c r="L683" s="322">
        <f>IFERROR(VLOOKUP(Calculations[[#This Row],[A5type]],A5WastageRate[#All],2,FALSE)*Calculations[[#This Row],[A1-3]],0)</f>
        <v>0</v>
      </c>
      <c r="N683">
        <f>IFERROR(ROUNDUP(50/VLOOKUP(Calculations[[#This Row],[Scope Element]],B4referenceServiceLife[[Tier 2 element]:[Default Service Life]],2, FALSE)-1,0),0)</f>
        <v>0</v>
      </c>
      <c r="O683" s="322">
        <f>IFERROR((Calculations[[#This Row],[A1-3]]+Calculations[[#This Row],[A4]]+Calculations[[#This Row],[A5]]+Calculations[[#This Row],[C2 total]]+Calculations[[#This Row],[C3 total]]+Calculations[[#This Row],[C4 total]])*Calculations[[#This Row],[Replacements]],0)</f>
        <v>0</v>
      </c>
      <c r="S683" t="str">
        <f>IFERROR(VLOOKUP(Calculations[[#This Row],[Material (choose from dropdown]],MaterialData[#All],4,FALSE),"")</f>
        <v/>
      </c>
      <c r="T683" s="322" cm="1">
        <f t="array" ref="T683">IFERROR(VLOOKUP(Calculations[[#This Row],[Waste 1]],WasteScenario[#All],2,FALSE)*'Stage assumptions'!$C$225*WasteTransportMethod[Emissions Factor
kgCO2e/kg.km]*Calculations[[#This Row],[Total Kg]],0)</f>
        <v>0</v>
      </c>
      <c r="U683" s="322" cm="1">
        <f t="array" ref="U683">IFERROR(VLOOKUP(Calculations[[#This Row],[Waste 1]],WasteScenario[#All],3,FALSE)*'Stage assumptions'!$C$224*WasteTransportMethod[Emissions Factor
kgCO2e/kg.km]*Calculations[[#This Row],[Total Kg]],0)</f>
        <v>0</v>
      </c>
      <c r="V683" s="322" cm="1">
        <f t="array" ref="V683">IFERROR(VLOOKUP(Calculations[[#This Row],[Waste 1]],WasteScenario[#All],4,FALSE)*'Stage assumptions'!$C$223*WasteTransportMethod[Emissions Factor
kgCO2e/kg.km]*Calculations[[#This Row],[Total Kg]],0)</f>
        <v>0</v>
      </c>
      <c r="W683" s="322" cm="1">
        <f t="array" ref="W683">IFERROR(VLOOKUP(Calculations[[#This Row],[Waste 1]],WasteScenario[#All],5,FALSE)*'Stage assumptions'!$C$226*WasteTransportMethod[Emissions Factor
kgCO2e/kg.km]*Calculations[[#This Row],[Total Kg]],0)</f>
        <v>0</v>
      </c>
      <c r="X683" s="322">
        <f>SUM(Calculations[[#This Row],[C2 Recycle]:[C2 Reuse]])</f>
        <v>0</v>
      </c>
      <c r="Y683" t="str">
        <f>IFERROR(VLOOKUP(Calculations[[#This Row],[Material (choose from dropdown]],MaterialData[#All],5,FALSE),"")</f>
        <v/>
      </c>
      <c r="Z683" s="322">
        <f>IFERROR(((VLOOKUP(Calculations[[#This Row],[Waste type 2]],WasteDisposalEmissions[#All],2,FALSE))*Calculations[[#This Row],[Total Kg]])*VLOOKUP(Calculations[[#This Row],[Waste 1]],WasteScenario[#All],2,FALSE),0)</f>
        <v>0</v>
      </c>
      <c r="AA683" s="322">
        <f>IFERROR((VLOOKUP(Calculations[[#This Row],[Waste type 2]],WasteDisposalEmissions[#All],3,FALSE))*Calculations[[#This Row],[Total Kg]]*VLOOKUP(Calculations[[#This Row],[Waste 1]],WasteScenario[#All],3,FALSE),0)</f>
        <v>0</v>
      </c>
      <c r="AB683" s="322">
        <f>SUM(Calculations[[#This Row],[C3 recyc]:[C3 incin]])</f>
        <v>0</v>
      </c>
      <c r="AC683" s="334">
        <f>IFERROR((VLOOKUP(Calculations[[#This Row],[Waste type 2]],WasteLandfillEmissions[#All],2,FALSE))*Calculations[[#This Row],[Total Kg]]*VLOOKUP(Calculations[[#This Row],[Waste 1]],WasteScenario[#All],4,FALSE),0)</f>
        <v>0</v>
      </c>
      <c r="AD683" s="322">
        <f>IFERROR((VLOOKUP(Calculations[[#This Row],[Waste type 2]],WasteLandfillEmissions[#All],3,FALSE))*Calculations[[#This Row],[Total Kg]]*VLOOKUP(Calculations[[#This Row],[Waste 1]],WasteScenario[#All],4,FALSE),0)</f>
        <v>0</v>
      </c>
      <c r="AE683" s="322">
        <f>SUM(Calculations[[#This Row],[C4 landfill]:[C4 re-use]])</f>
        <v>0</v>
      </c>
      <c r="AF683" s="322">
        <f>IFERROR(VLOOKUP(Calculations[[#This Row],[Material (choose from dropdown]],MaterialData[#All],8,FALSE),0)</f>
        <v>0</v>
      </c>
      <c r="AG683" s="322">
        <f>IFERROR(Calculations[[#This Row],[Total Kg]]*Calculations[[#This Row],[Seq factor]],0)</f>
        <v>0</v>
      </c>
      <c r="AI683" s="322">
        <f>Calculations[[#This Row],[A1-3]]+Calculations[[#This Row],[A4]]+Calculations[[#This Row],[A5]]+Calculations[[#This Row],[B4]]+Calculations[[#This Row],[C2 total]]+Calculations[[#This Row],[C3 total]]+Calculations[[#This Row],[C4 total]]</f>
        <v>0</v>
      </c>
      <c r="AJ683" s="2">
        <f>IFERROR(VLOOKUP(Calculations[[#This Row],[Material (choose from dropdown]],MaterialData[[#Headers],[#Data]],9,FALSE),0)</f>
        <v>0</v>
      </c>
      <c r="AK683" s="4">
        <f>IFERROR(VLOOKUP(Calculations[[#This Row],[Material (choose from dropdown]],MaterialData[[#Headers],[#Data]],10,FALSE),0)</f>
        <v>0</v>
      </c>
      <c r="AL683" s="322">
        <f>IFERROR(Calculations[[#This Row],[Data Quality Score]]*Calculations[[#This Row],[Total Kg]],0)</f>
        <v>0</v>
      </c>
    </row>
    <row r="684" spans="1:38" x14ac:dyDescent="0.3">
      <c r="A684" s="6">
        <f>IFERROR(MaterialsBoQ[[#This Row],[Scope Element]],0)</f>
        <v>0</v>
      </c>
      <c r="B684" t="str">
        <f>IFERROR(MaterialsBoQ[[#This Row],[Material ]],"")</f>
        <v/>
      </c>
      <c r="C684" t="str">
        <f>IFERROR(MaterialsBoQ[[#This Row],[Unit]],"")</f>
        <v/>
      </c>
      <c r="D684" s="322">
        <f>IFERROR(MaterialsBoQ[[#This Row],[Number]],0)</f>
        <v>0</v>
      </c>
      <c r="E684" s="322">
        <f>IFERROR(MaterialsBoQ[[#This Row],[Kg per unit]],0)</f>
        <v>0</v>
      </c>
      <c r="F684" s="322">
        <f>IFERROR(Calculations[[#This Row],[Number]]*Calculations[[#This Row],[Conversion factor]],0)</f>
        <v>0</v>
      </c>
      <c r="G684" s="322">
        <f>IFERROR(VLOOKUP(Calculations[[#This Row],[Material (choose from dropdown]],MaterialData[#All],7,FALSE),0)</f>
        <v>0</v>
      </c>
      <c r="H684" s="322">
        <f>Calculations[[#This Row],[Total Kg]]*Calculations[[#This Row],[Carbon Factor]]</f>
        <v>0</v>
      </c>
      <c r="I684" t="str">
        <f>IFERROR(VLOOKUP(Calculations[[#This Row],[Material (choose from dropdown]],MaterialData[#All],2,FALSE),"")</f>
        <v/>
      </c>
      <c r="J684" s="322">
        <f>IFERROR(((VLOOKUP(Calculations[[#This Row],[TransportSource]],TransportDistance[],2,FALSE)*'Stage assumptions'!$C$11)+VLOOKUP(Calculations[[#This Row],[TransportSource]],TransportDistance[],3,FALSE)*'Stage assumptions'!$C$12)*Calculations[[#This Row],[Total Kg]],0)</f>
        <v>0</v>
      </c>
      <c r="K684">
        <f>IFERROR(VLOOKUP(Calculations[[#This Row],[Material (choose from dropdown]], MaterialData[#All],3, FALSE),0)</f>
        <v>0</v>
      </c>
      <c r="L684" s="322">
        <f>IFERROR(VLOOKUP(Calculations[[#This Row],[A5type]],A5WastageRate[#All],2,FALSE)*Calculations[[#This Row],[A1-3]],0)</f>
        <v>0</v>
      </c>
      <c r="N684">
        <f>IFERROR(ROUNDUP(50/VLOOKUP(Calculations[[#This Row],[Scope Element]],B4referenceServiceLife[[Tier 2 element]:[Default Service Life]],2, FALSE)-1,0),0)</f>
        <v>0</v>
      </c>
      <c r="O684" s="322">
        <f>IFERROR((Calculations[[#This Row],[A1-3]]+Calculations[[#This Row],[A4]]+Calculations[[#This Row],[A5]]+Calculations[[#This Row],[C2 total]]+Calculations[[#This Row],[C3 total]]+Calculations[[#This Row],[C4 total]])*Calculations[[#This Row],[Replacements]],0)</f>
        <v>0</v>
      </c>
      <c r="S684" t="str">
        <f>IFERROR(VLOOKUP(Calculations[[#This Row],[Material (choose from dropdown]],MaterialData[#All],4,FALSE),"")</f>
        <v/>
      </c>
      <c r="T684" s="322" cm="1">
        <f t="array" ref="T684">IFERROR(VLOOKUP(Calculations[[#This Row],[Waste 1]],WasteScenario[#All],2,FALSE)*'Stage assumptions'!$C$225*WasteTransportMethod[Emissions Factor
kgCO2e/kg.km]*Calculations[[#This Row],[Total Kg]],0)</f>
        <v>0</v>
      </c>
      <c r="U684" s="322" cm="1">
        <f t="array" ref="U684">IFERROR(VLOOKUP(Calculations[[#This Row],[Waste 1]],WasteScenario[#All],3,FALSE)*'Stage assumptions'!$C$224*WasteTransportMethod[Emissions Factor
kgCO2e/kg.km]*Calculations[[#This Row],[Total Kg]],0)</f>
        <v>0</v>
      </c>
      <c r="V684" s="322" cm="1">
        <f t="array" ref="V684">IFERROR(VLOOKUP(Calculations[[#This Row],[Waste 1]],WasteScenario[#All],4,FALSE)*'Stage assumptions'!$C$223*WasteTransportMethod[Emissions Factor
kgCO2e/kg.km]*Calculations[[#This Row],[Total Kg]],0)</f>
        <v>0</v>
      </c>
      <c r="W684" s="322" cm="1">
        <f t="array" ref="W684">IFERROR(VLOOKUP(Calculations[[#This Row],[Waste 1]],WasteScenario[#All],5,FALSE)*'Stage assumptions'!$C$226*WasteTransportMethod[Emissions Factor
kgCO2e/kg.km]*Calculations[[#This Row],[Total Kg]],0)</f>
        <v>0</v>
      </c>
      <c r="X684" s="322">
        <f>SUM(Calculations[[#This Row],[C2 Recycle]:[C2 Reuse]])</f>
        <v>0</v>
      </c>
      <c r="Y684" t="str">
        <f>IFERROR(VLOOKUP(Calculations[[#This Row],[Material (choose from dropdown]],MaterialData[#All],5,FALSE),"")</f>
        <v/>
      </c>
      <c r="Z684" s="322">
        <f>IFERROR(((VLOOKUP(Calculations[[#This Row],[Waste type 2]],WasteDisposalEmissions[#All],2,FALSE))*Calculations[[#This Row],[Total Kg]])*VLOOKUP(Calculations[[#This Row],[Waste 1]],WasteScenario[#All],2,FALSE),0)</f>
        <v>0</v>
      </c>
      <c r="AA684" s="322">
        <f>IFERROR((VLOOKUP(Calculations[[#This Row],[Waste type 2]],WasteDisposalEmissions[#All],3,FALSE))*Calculations[[#This Row],[Total Kg]]*VLOOKUP(Calculations[[#This Row],[Waste 1]],WasteScenario[#All],3,FALSE),0)</f>
        <v>0</v>
      </c>
      <c r="AB684" s="322">
        <f>SUM(Calculations[[#This Row],[C3 recyc]:[C3 incin]])</f>
        <v>0</v>
      </c>
      <c r="AC684" s="334">
        <f>IFERROR((VLOOKUP(Calculations[[#This Row],[Waste type 2]],WasteLandfillEmissions[#All],2,FALSE))*Calculations[[#This Row],[Total Kg]]*VLOOKUP(Calculations[[#This Row],[Waste 1]],WasteScenario[#All],4,FALSE),0)</f>
        <v>0</v>
      </c>
      <c r="AD684" s="322">
        <f>IFERROR((VLOOKUP(Calculations[[#This Row],[Waste type 2]],WasteLandfillEmissions[#All],3,FALSE))*Calculations[[#This Row],[Total Kg]]*VLOOKUP(Calculations[[#This Row],[Waste 1]],WasteScenario[#All],4,FALSE),0)</f>
        <v>0</v>
      </c>
      <c r="AE684" s="322">
        <f>SUM(Calculations[[#This Row],[C4 landfill]:[C4 re-use]])</f>
        <v>0</v>
      </c>
      <c r="AF684" s="322">
        <f>IFERROR(VLOOKUP(Calculations[[#This Row],[Material (choose from dropdown]],MaterialData[#All],8,FALSE),0)</f>
        <v>0</v>
      </c>
      <c r="AG684" s="322">
        <f>IFERROR(Calculations[[#This Row],[Total Kg]]*Calculations[[#This Row],[Seq factor]],0)</f>
        <v>0</v>
      </c>
      <c r="AI684" s="322">
        <f>Calculations[[#This Row],[A1-3]]+Calculations[[#This Row],[A4]]+Calculations[[#This Row],[A5]]+Calculations[[#This Row],[B4]]+Calculations[[#This Row],[C2 total]]+Calculations[[#This Row],[C3 total]]+Calculations[[#This Row],[C4 total]]</f>
        <v>0</v>
      </c>
      <c r="AJ684" s="2">
        <f>IFERROR(VLOOKUP(Calculations[[#This Row],[Material (choose from dropdown]],MaterialData[[#Headers],[#Data]],9,FALSE),0)</f>
        <v>0</v>
      </c>
      <c r="AK684" s="4">
        <f>IFERROR(VLOOKUP(Calculations[[#This Row],[Material (choose from dropdown]],MaterialData[[#Headers],[#Data]],10,FALSE),0)</f>
        <v>0</v>
      </c>
      <c r="AL684" s="322">
        <f>IFERROR(Calculations[[#This Row],[Data Quality Score]]*Calculations[[#This Row],[Total Kg]],0)</f>
        <v>0</v>
      </c>
    </row>
    <row r="685" spans="1:38" x14ac:dyDescent="0.3">
      <c r="A685" s="6">
        <f>IFERROR(MaterialsBoQ[[#This Row],[Scope Element]],0)</f>
        <v>0</v>
      </c>
      <c r="B685" t="str">
        <f>IFERROR(MaterialsBoQ[[#This Row],[Material ]],"")</f>
        <v/>
      </c>
      <c r="C685" t="str">
        <f>IFERROR(MaterialsBoQ[[#This Row],[Unit]],"")</f>
        <v/>
      </c>
      <c r="D685" s="322">
        <f>IFERROR(MaterialsBoQ[[#This Row],[Number]],0)</f>
        <v>0</v>
      </c>
      <c r="E685" s="322">
        <f>IFERROR(MaterialsBoQ[[#This Row],[Kg per unit]],0)</f>
        <v>0</v>
      </c>
      <c r="F685" s="322">
        <f>IFERROR(Calculations[[#This Row],[Number]]*Calculations[[#This Row],[Conversion factor]],0)</f>
        <v>0</v>
      </c>
      <c r="G685" s="322">
        <f>IFERROR(VLOOKUP(Calculations[[#This Row],[Material (choose from dropdown]],MaterialData[#All],7,FALSE),0)</f>
        <v>0</v>
      </c>
      <c r="H685" s="322">
        <f>Calculations[[#This Row],[Total Kg]]*Calculations[[#This Row],[Carbon Factor]]</f>
        <v>0</v>
      </c>
      <c r="I685" t="str">
        <f>IFERROR(VLOOKUP(Calculations[[#This Row],[Material (choose from dropdown]],MaterialData[#All],2,FALSE),"")</f>
        <v/>
      </c>
      <c r="J685" s="322">
        <f>IFERROR(((VLOOKUP(Calculations[[#This Row],[TransportSource]],TransportDistance[],2,FALSE)*'Stage assumptions'!$C$11)+VLOOKUP(Calculations[[#This Row],[TransportSource]],TransportDistance[],3,FALSE)*'Stage assumptions'!$C$12)*Calculations[[#This Row],[Total Kg]],0)</f>
        <v>0</v>
      </c>
      <c r="K685">
        <f>IFERROR(VLOOKUP(Calculations[[#This Row],[Material (choose from dropdown]], MaterialData[#All],3, FALSE),0)</f>
        <v>0</v>
      </c>
      <c r="L685" s="322">
        <f>IFERROR(VLOOKUP(Calculations[[#This Row],[A5type]],A5WastageRate[#All],2,FALSE)*Calculations[[#This Row],[A1-3]],0)</f>
        <v>0</v>
      </c>
      <c r="N685">
        <f>IFERROR(ROUNDUP(50/VLOOKUP(Calculations[[#This Row],[Scope Element]],B4referenceServiceLife[[Tier 2 element]:[Default Service Life]],2, FALSE)-1,0),0)</f>
        <v>0</v>
      </c>
      <c r="O685" s="322">
        <f>IFERROR((Calculations[[#This Row],[A1-3]]+Calculations[[#This Row],[A4]]+Calculations[[#This Row],[A5]]+Calculations[[#This Row],[C2 total]]+Calculations[[#This Row],[C3 total]]+Calculations[[#This Row],[C4 total]])*Calculations[[#This Row],[Replacements]],0)</f>
        <v>0</v>
      </c>
      <c r="S685" t="str">
        <f>IFERROR(VLOOKUP(Calculations[[#This Row],[Material (choose from dropdown]],MaterialData[#All],4,FALSE),"")</f>
        <v/>
      </c>
      <c r="T685" s="322" cm="1">
        <f t="array" ref="T685">IFERROR(VLOOKUP(Calculations[[#This Row],[Waste 1]],WasteScenario[#All],2,FALSE)*'Stage assumptions'!$C$225*WasteTransportMethod[Emissions Factor
kgCO2e/kg.km]*Calculations[[#This Row],[Total Kg]],0)</f>
        <v>0</v>
      </c>
      <c r="U685" s="322" cm="1">
        <f t="array" ref="U685">IFERROR(VLOOKUP(Calculations[[#This Row],[Waste 1]],WasteScenario[#All],3,FALSE)*'Stage assumptions'!$C$224*WasteTransportMethod[Emissions Factor
kgCO2e/kg.km]*Calculations[[#This Row],[Total Kg]],0)</f>
        <v>0</v>
      </c>
      <c r="V685" s="322" cm="1">
        <f t="array" ref="V685">IFERROR(VLOOKUP(Calculations[[#This Row],[Waste 1]],WasteScenario[#All],4,FALSE)*'Stage assumptions'!$C$223*WasteTransportMethod[Emissions Factor
kgCO2e/kg.km]*Calculations[[#This Row],[Total Kg]],0)</f>
        <v>0</v>
      </c>
      <c r="W685" s="322" cm="1">
        <f t="array" ref="W685">IFERROR(VLOOKUP(Calculations[[#This Row],[Waste 1]],WasteScenario[#All],5,FALSE)*'Stage assumptions'!$C$226*WasteTransportMethod[Emissions Factor
kgCO2e/kg.km]*Calculations[[#This Row],[Total Kg]],0)</f>
        <v>0</v>
      </c>
      <c r="X685" s="322">
        <f>SUM(Calculations[[#This Row],[C2 Recycle]:[C2 Reuse]])</f>
        <v>0</v>
      </c>
      <c r="Y685" t="str">
        <f>IFERROR(VLOOKUP(Calculations[[#This Row],[Material (choose from dropdown]],MaterialData[#All],5,FALSE),"")</f>
        <v/>
      </c>
      <c r="Z685" s="322">
        <f>IFERROR(((VLOOKUP(Calculations[[#This Row],[Waste type 2]],WasteDisposalEmissions[#All],2,FALSE))*Calculations[[#This Row],[Total Kg]])*VLOOKUP(Calculations[[#This Row],[Waste 1]],WasteScenario[#All],2,FALSE),0)</f>
        <v>0</v>
      </c>
      <c r="AA685" s="322">
        <f>IFERROR((VLOOKUP(Calculations[[#This Row],[Waste type 2]],WasteDisposalEmissions[#All],3,FALSE))*Calculations[[#This Row],[Total Kg]]*VLOOKUP(Calculations[[#This Row],[Waste 1]],WasteScenario[#All],3,FALSE),0)</f>
        <v>0</v>
      </c>
      <c r="AB685" s="322">
        <f>SUM(Calculations[[#This Row],[C3 recyc]:[C3 incin]])</f>
        <v>0</v>
      </c>
      <c r="AC685" s="334">
        <f>IFERROR((VLOOKUP(Calculations[[#This Row],[Waste type 2]],WasteLandfillEmissions[#All],2,FALSE))*Calculations[[#This Row],[Total Kg]]*VLOOKUP(Calculations[[#This Row],[Waste 1]],WasteScenario[#All],4,FALSE),0)</f>
        <v>0</v>
      </c>
      <c r="AD685" s="322">
        <f>IFERROR((VLOOKUP(Calculations[[#This Row],[Waste type 2]],WasteLandfillEmissions[#All],3,FALSE))*Calculations[[#This Row],[Total Kg]]*VLOOKUP(Calculations[[#This Row],[Waste 1]],WasteScenario[#All],4,FALSE),0)</f>
        <v>0</v>
      </c>
      <c r="AE685" s="322">
        <f>SUM(Calculations[[#This Row],[C4 landfill]:[C4 re-use]])</f>
        <v>0</v>
      </c>
      <c r="AF685" s="322">
        <f>IFERROR(VLOOKUP(Calculations[[#This Row],[Material (choose from dropdown]],MaterialData[#All],8,FALSE),0)</f>
        <v>0</v>
      </c>
      <c r="AG685" s="322">
        <f>IFERROR(Calculations[[#This Row],[Total Kg]]*Calculations[[#This Row],[Seq factor]],0)</f>
        <v>0</v>
      </c>
      <c r="AI685" s="322">
        <f>Calculations[[#This Row],[A1-3]]+Calculations[[#This Row],[A4]]+Calculations[[#This Row],[A5]]+Calculations[[#This Row],[B4]]+Calculations[[#This Row],[C2 total]]+Calculations[[#This Row],[C3 total]]+Calculations[[#This Row],[C4 total]]</f>
        <v>0</v>
      </c>
      <c r="AJ685" s="2">
        <f>IFERROR(VLOOKUP(Calculations[[#This Row],[Material (choose from dropdown]],MaterialData[[#Headers],[#Data]],9,FALSE),0)</f>
        <v>0</v>
      </c>
      <c r="AK685" s="4">
        <f>IFERROR(VLOOKUP(Calculations[[#This Row],[Material (choose from dropdown]],MaterialData[[#Headers],[#Data]],10,FALSE),0)</f>
        <v>0</v>
      </c>
      <c r="AL685" s="322">
        <f>IFERROR(Calculations[[#This Row],[Data Quality Score]]*Calculations[[#This Row],[Total Kg]],0)</f>
        <v>0</v>
      </c>
    </row>
    <row r="686" spans="1:38" x14ac:dyDescent="0.3">
      <c r="A686" s="6">
        <f>IFERROR(MaterialsBoQ[[#This Row],[Scope Element]],0)</f>
        <v>0</v>
      </c>
      <c r="B686" t="str">
        <f>IFERROR(MaterialsBoQ[[#This Row],[Material ]],"")</f>
        <v/>
      </c>
      <c r="C686" t="str">
        <f>IFERROR(MaterialsBoQ[[#This Row],[Unit]],"")</f>
        <v/>
      </c>
      <c r="D686" s="322">
        <f>IFERROR(MaterialsBoQ[[#This Row],[Number]],0)</f>
        <v>0</v>
      </c>
      <c r="E686" s="322">
        <f>IFERROR(MaterialsBoQ[[#This Row],[Kg per unit]],0)</f>
        <v>0</v>
      </c>
      <c r="F686" s="322">
        <f>IFERROR(Calculations[[#This Row],[Number]]*Calculations[[#This Row],[Conversion factor]],0)</f>
        <v>0</v>
      </c>
      <c r="G686" s="322">
        <f>IFERROR(VLOOKUP(Calculations[[#This Row],[Material (choose from dropdown]],MaterialData[#All],7,FALSE),0)</f>
        <v>0</v>
      </c>
      <c r="H686" s="322">
        <f>Calculations[[#This Row],[Total Kg]]*Calculations[[#This Row],[Carbon Factor]]</f>
        <v>0</v>
      </c>
      <c r="I686" t="str">
        <f>IFERROR(VLOOKUP(Calculations[[#This Row],[Material (choose from dropdown]],MaterialData[#All],2,FALSE),"")</f>
        <v/>
      </c>
      <c r="J686" s="322">
        <f>IFERROR(((VLOOKUP(Calculations[[#This Row],[TransportSource]],TransportDistance[],2,FALSE)*'Stage assumptions'!$C$11)+VLOOKUP(Calculations[[#This Row],[TransportSource]],TransportDistance[],3,FALSE)*'Stage assumptions'!$C$12)*Calculations[[#This Row],[Total Kg]],0)</f>
        <v>0</v>
      </c>
      <c r="K686">
        <f>IFERROR(VLOOKUP(Calculations[[#This Row],[Material (choose from dropdown]], MaterialData[#All],3, FALSE),0)</f>
        <v>0</v>
      </c>
      <c r="L686" s="322">
        <f>IFERROR(VLOOKUP(Calculations[[#This Row],[A5type]],A5WastageRate[#All],2,FALSE)*Calculations[[#This Row],[A1-3]],0)</f>
        <v>0</v>
      </c>
      <c r="N686">
        <f>IFERROR(ROUNDUP(50/VLOOKUP(Calculations[[#This Row],[Scope Element]],B4referenceServiceLife[[Tier 2 element]:[Default Service Life]],2, FALSE)-1,0),0)</f>
        <v>0</v>
      </c>
      <c r="O686" s="322">
        <f>IFERROR((Calculations[[#This Row],[A1-3]]+Calculations[[#This Row],[A4]]+Calculations[[#This Row],[A5]]+Calculations[[#This Row],[C2 total]]+Calculations[[#This Row],[C3 total]]+Calculations[[#This Row],[C4 total]])*Calculations[[#This Row],[Replacements]],0)</f>
        <v>0</v>
      </c>
      <c r="S686" t="str">
        <f>IFERROR(VLOOKUP(Calculations[[#This Row],[Material (choose from dropdown]],MaterialData[#All],4,FALSE),"")</f>
        <v/>
      </c>
      <c r="T686" s="322" cm="1">
        <f t="array" ref="T686">IFERROR(VLOOKUP(Calculations[[#This Row],[Waste 1]],WasteScenario[#All],2,FALSE)*'Stage assumptions'!$C$225*WasteTransportMethod[Emissions Factor
kgCO2e/kg.km]*Calculations[[#This Row],[Total Kg]],0)</f>
        <v>0</v>
      </c>
      <c r="U686" s="322" cm="1">
        <f t="array" ref="U686">IFERROR(VLOOKUP(Calculations[[#This Row],[Waste 1]],WasteScenario[#All],3,FALSE)*'Stage assumptions'!$C$224*WasteTransportMethod[Emissions Factor
kgCO2e/kg.km]*Calculations[[#This Row],[Total Kg]],0)</f>
        <v>0</v>
      </c>
      <c r="V686" s="322" cm="1">
        <f t="array" ref="V686">IFERROR(VLOOKUP(Calculations[[#This Row],[Waste 1]],WasteScenario[#All],4,FALSE)*'Stage assumptions'!$C$223*WasteTransportMethod[Emissions Factor
kgCO2e/kg.km]*Calculations[[#This Row],[Total Kg]],0)</f>
        <v>0</v>
      </c>
      <c r="W686" s="322" cm="1">
        <f t="array" ref="W686">IFERROR(VLOOKUP(Calculations[[#This Row],[Waste 1]],WasteScenario[#All],5,FALSE)*'Stage assumptions'!$C$226*WasteTransportMethod[Emissions Factor
kgCO2e/kg.km]*Calculations[[#This Row],[Total Kg]],0)</f>
        <v>0</v>
      </c>
      <c r="X686" s="322">
        <f>SUM(Calculations[[#This Row],[C2 Recycle]:[C2 Reuse]])</f>
        <v>0</v>
      </c>
      <c r="Y686" t="str">
        <f>IFERROR(VLOOKUP(Calculations[[#This Row],[Material (choose from dropdown]],MaterialData[#All],5,FALSE),"")</f>
        <v/>
      </c>
      <c r="Z686" s="322">
        <f>IFERROR(((VLOOKUP(Calculations[[#This Row],[Waste type 2]],WasteDisposalEmissions[#All],2,FALSE))*Calculations[[#This Row],[Total Kg]])*VLOOKUP(Calculations[[#This Row],[Waste 1]],WasteScenario[#All],2,FALSE),0)</f>
        <v>0</v>
      </c>
      <c r="AA686" s="322">
        <f>IFERROR((VLOOKUP(Calculations[[#This Row],[Waste type 2]],WasteDisposalEmissions[#All],3,FALSE))*Calculations[[#This Row],[Total Kg]]*VLOOKUP(Calculations[[#This Row],[Waste 1]],WasteScenario[#All],3,FALSE),0)</f>
        <v>0</v>
      </c>
      <c r="AB686" s="322">
        <f>SUM(Calculations[[#This Row],[C3 recyc]:[C3 incin]])</f>
        <v>0</v>
      </c>
      <c r="AC686" s="334">
        <f>IFERROR((VLOOKUP(Calculations[[#This Row],[Waste type 2]],WasteLandfillEmissions[#All],2,FALSE))*Calculations[[#This Row],[Total Kg]]*VLOOKUP(Calculations[[#This Row],[Waste 1]],WasteScenario[#All],4,FALSE),0)</f>
        <v>0</v>
      </c>
      <c r="AD686" s="322">
        <f>IFERROR((VLOOKUP(Calculations[[#This Row],[Waste type 2]],WasteLandfillEmissions[#All],3,FALSE))*Calculations[[#This Row],[Total Kg]]*VLOOKUP(Calculations[[#This Row],[Waste 1]],WasteScenario[#All],4,FALSE),0)</f>
        <v>0</v>
      </c>
      <c r="AE686" s="322">
        <f>SUM(Calculations[[#This Row],[C4 landfill]:[C4 re-use]])</f>
        <v>0</v>
      </c>
      <c r="AF686" s="322">
        <f>IFERROR(VLOOKUP(Calculations[[#This Row],[Material (choose from dropdown]],MaterialData[#All],8,FALSE),0)</f>
        <v>0</v>
      </c>
      <c r="AG686" s="322">
        <f>IFERROR(Calculations[[#This Row],[Total Kg]]*Calculations[[#This Row],[Seq factor]],0)</f>
        <v>0</v>
      </c>
      <c r="AI686" s="322">
        <f>Calculations[[#This Row],[A1-3]]+Calculations[[#This Row],[A4]]+Calculations[[#This Row],[A5]]+Calculations[[#This Row],[B4]]+Calculations[[#This Row],[C2 total]]+Calculations[[#This Row],[C3 total]]+Calculations[[#This Row],[C4 total]]</f>
        <v>0</v>
      </c>
      <c r="AJ686" s="2">
        <f>IFERROR(VLOOKUP(Calculations[[#This Row],[Material (choose from dropdown]],MaterialData[[#Headers],[#Data]],9,FALSE),0)</f>
        <v>0</v>
      </c>
      <c r="AK686" s="4">
        <f>IFERROR(VLOOKUP(Calculations[[#This Row],[Material (choose from dropdown]],MaterialData[[#Headers],[#Data]],10,FALSE),0)</f>
        <v>0</v>
      </c>
      <c r="AL686" s="322">
        <f>IFERROR(Calculations[[#This Row],[Data Quality Score]]*Calculations[[#This Row],[Total Kg]],0)</f>
        <v>0</v>
      </c>
    </row>
    <row r="687" spans="1:38" x14ac:dyDescent="0.3">
      <c r="A687" s="6">
        <f>IFERROR(MaterialsBoQ[[#This Row],[Scope Element]],0)</f>
        <v>0</v>
      </c>
      <c r="B687" t="str">
        <f>IFERROR(MaterialsBoQ[[#This Row],[Material ]],"")</f>
        <v/>
      </c>
      <c r="C687" t="str">
        <f>IFERROR(MaterialsBoQ[[#This Row],[Unit]],"")</f>
        <v/>
      </c>
      <c r="D687" s="322">
        <f>IFERROR(MaterialsBoQ[[#This Row],[Number]],0)</f>
        <v>0</v>
      </c>
      <c r="E687" s="322">
        <f>IFERROR(MaterialsBoQ[[#This Row],[Kg per unit]],0)</f>
        <v>0</v>
      </c>
      <c r="F687" s="322">
        <f>IFERROR(Calculations[[#This Row],[Number]]*Calculations[[#This Row],[Conversion factor]],0)</f>
        <v>0</v>
      </c>
      <c r="G687" s="322">
        <f>IFERROR(VLOOKUP(Calculations[[#This Row],[Material (choose from dropdown]],MaterialData[#All],7,FALSE),0)</f>
        <v>0</v>
      </c>
      <c r="H687" s="322">
        <f>Calculations[[#This Row],[Total Kg]]*Calculations[[#This Row],[Carbon Factor]]</f>
        <v>0</v>
      </c>
      <c r="I687" t="str">
        <f>IFERROR(VLOOKUP(Calculations[[#This Row],[Material (choose from dropdown]],MaterialData[#All],2,FALSE),"")</f>
        <v/>
      </c>
      <c r="J687" s="322">
        <f>IFERROR(((VLOOKUP(Calculations[[#This Row],[TransportSource]],TransportDistance[],2,FALSE)*'Stage assumptions'!$C$11)+VLOOKUP(Calculations[[#This Row],[TransportSource]],TransportDistance[],3,FALSE)*'Stage assumptions'!$C$12)*Calculations[[#This Row],[Total Kg]],0)</f>
        <v>0</v>
      </c>
      <c r="K687">
        <f>IFERROR(VLOOKUP(Calculations[[#This Row],[Material (choose from dropdown]], MaterialData[#All],3, FALSE),0)</f>
        <v>0</v>
      </c>
      <c r="L687" s="322">
        <f>IFERROR(VLOOKUP(Calculations[[#This Row],[A5type]],A5WastageRate[#All],2,FALSE)*Calculations[[#This Row],[A1-3]],0)</f>
        <v>0</v>
      </c>
      <c r="N687">
        <f>IFERROR(ROUNDUP(50/VLOOKUP(Calculations[[#This Row],[Scope Element]],B4referenceServiceLife[[Tier 2 element]:[Default Service Life]],2, FALSE)-1,0),0)</f>
        <v>0</v>
      </c>
      <c r="O687" s="322">
        <f>IFERROR((Calculations[[#This Row],[A1-3]]+Calculations[[#This Row],[A4]]+Calculations[[#This Row],[A5]]+Calculations[[#This Row],[C2 total]]+Calculations[[#This Row],[C3 total]]+Calculations[[#This Row],[C4 total]])*Calculations[[#This Row],[Replacements]],0)</f>
        <v>0</v>
      </c>
      <c r="S687" t="str">
        <f>IFERROR(VLOOKUP(Calculations[[#This Row],[Material (choose from dropdown]],MaterialData[#All],4,FALSE),"")</f>
        <v/>
      </c>
      <c r="T687" s="322" cm="1">
        <f t="array" ref="T687">IFERROR(VLOOKUP(Calculations[[#This Row],[Waste 1]],WasteScenario[#All],2,FALSE)*'Stage assumptions'!$C$225*WasteTransportMethod[Emissions Factor
kgCO2e/kg.km]*Calculations[[#This Row],[Total Kg]],0)</f>
        <v>0</v>
      </c>
      <c r="U687" s="322" cm="1">
        <f t="array" ref="U687">IFERROR(VLOOKUP(Calculations[[#This Row],[Waste 1]],WasteScenario[#All],3,FALSE)*'Stage assumptions'!$C$224*WasteTransportMethod[Emissions Factor
kgCO2e/kg.km]*Calculations[[#This Row],[Total Kg]],0)</f>
        <v>0</v>
      </c>
      <c r="V687" s="322" cm="1">
        <f t="array" ref="V687">IFERROR(VLOOKUP(Calculations[[#This Row],[Waste 1]],WasteScenario[#All],4,FALSE)*'Stage assumptions'!$C$223*WasteTransportMethod[Emissions Factor
kgCO2e/kg.km]*Calculations[[#This Row],[Total Kg]],0)</f>
        <v>0</v>
      </c>
      <c r="W687" s="322" cm="1">
        <f t="array" ref="W687">IFERROR(VLOOKUP(Calculations[[#This Row],[Waste 1]],WasteScenario[#All],5,FALSE)*'Stage assumptions'!$C$226*WasteTransportMethod[Emissions Factor
kgCO2e/kg.km]*Calculations[[#This Row],[Total Kg]],0)</f>
        <v>0</v>
      </c>
      <c r="X687" s="322">
        <f>SUM(Calculations[[#This Row],[C2 Recycle]:[C2 Reuse]])</f>
        <v>0</v>
      </c>
      <c r="Y687" t="str">
        <f>IFERROR(VLOOKUP(Calculations[[#This Row],[Material (choose from dropdown]],MaterialData[#All],5,FALSE),"")</f>
        <v/>
      </c>
      <c r="Z687" s="322">
        <f>IFERROR(((VLOOKUP(Calculations[[#This Row],[Waste type 2]],WasteDisposalEmissions[#All],2,FALSE))*Calculations[[#This Row],[Total Kg]])*VLOOKUP(Calculations[[#This Row],[Waste 1]],WasteScenario[#All],2,FALSE),0)</f>
        <v>0</v>
      </c>
      <c r="AA687" s="322">
        <f>IFERROR((VLOOKUP(Calculations[[#This Row],[Waste type 2]],WasteDisposalEmissions[#All],3,FALSE))*Calculations[[#This Row],[Total Kg]]*VLOOKUP(Calculations[[#This Row],[Waste 1]],WasteScenario[#All],3,FALSE),0)</f>
        <v>0</v>
      </c>
      <c r="AB687" s="322">
        <f>SUM(Calculations[[#This Row],[C3 recyc]:[C3 incin]])</f>
        <v>0</v>
      </c>
      <c r="AC687" s="334">
        <f>IFERROR((VLOOKUP(Calculations[[#This Row],[Waste type 2]],WasteLandfillEmissions[#All],2,FALSE))*Calculations[[#This Row],[Total Kg]]*VLOOKUP(Calculations[[#This Row],[Waste 1]],WasteScenario[#All],4,FALSE),0)</f>
        <v>0</v>
      </c>
      <c r="AD687" s="322">
        <f>IFERROR((VLOOKUP(Calculations[[#This Row],[Waste type 2]],WasteLandfillEmissions[#All],3,FALSE))*Calculations[[#This Row],[Total Kg]]*VLOOKUP(Calculations[[#This Row],[Waste 1]],WasteScenario[#All],4,FALSE),0)</f>
        <v>0</v>
      </c>
      <c r="AE687" s="322">
        <f>SUM(Calculations[[#This Row],[C4 landfill]:[C4 re-use]])</f>
        <v>0</v>
      </c>
      <c r="AF687" s="322">
        <f>IFERROR(VLOOKUP(Calculations[[#This Row],[Material (choose from dropdown]],MaterialData[#All],8,FALSE),0)</f>
        <v>0</v>
      </c>
      <c r="AG687" s="322">
        <f>IFERROR(Calculations[[#This Row],[Total Kg]]*Calculations[[#This Row],[Seq factor]],0)</f>
        <v>0</v>
      </c>
      <c r="AI687" s="322">
        <f>Calculations[[#This Row],[A1-3]]+Calculations[[#This Row],[A4]]+Calculations[[#This Row],[A5]]+Calculations[[#This Row],[B4]]+Calculations[[#This Row],[C2 total]]+Calculations[[#This Row],[C3 total]]+Calculations[[#This Row],[C4 total]]</f>
        <v>0</v>
      </c>
      <c r="AJ687" s="2">
        <f>IFERROR(VLOOKUP(Calculations[[#This Row],[Material (choose from dropdown]],MaterialData[[#Headers],[#Data]],9,FALSE),0)</f>
        <v>0</v>
      </c>
      <c r="AK687" s="4">
        <f>IFERROR(VLOOKUP(Calculations[[#This Row],[Material (choose from dropdown]],MaterialData[[#Headers],[#Data]],10,FALSE),0)</f>
        <v>0</v>
      </c>
      <c r="AL687" s="322">
        <f>IFERROR(Calculations[[#This Row],[Data Quality Score]]*Calculations[[#This Row],[Total Kg]],0)</f>
        <v>0</v>
      </c>
    </row>
    <row r="688" spans="1:38" x14ac:dyDescent="0.3">
      <c r="A688" s="6">
        <f>IFERROR(MaterialsBoQ[[#This Row],[Scope Element]],0)</f>
        <v>0</v>
      </c>
      <c r="B688" t="str">
        <f>IFERROR(MaterialsBoQ[[#This Row],[Material ]],"")</f>
        <v/>
      </c>
      <c r="C688" t="str">
        <f>IFERROR(MaterialsBoQ[[#This Row],[Unit]],"")</f>
        <v/>
      </c>
      <c r="D688" s="322">
        <f>IFERROR(MaterialsBoQ[[#This Row],[Number]],0)</f>
        <v>0</v>
      </c>
      <c r="E688" s="322">
        <f>IFERROR(MaterialsBoQ[[#This Row],[Kg per unit]],0)</f>
        <v>0</v>
      </c>
      <c r="F688" s="322">
        <f>IFERROR(Calculations[[#This Row],[Number]]*Calculations[[#This Row],[Conversion factor]],0)</f>
        <v>0</v>
      </c>
      <c r="G688" s="322">
        <f>IFERROR(VLOOKUP(Calculations[[#This Row],[Material (choose from dropdown]],MaterialData[#All],7,FALSE),0)</f>
        <v>0</v>
      </c>
      <c r="H688" s="322">
        <f>Calculations[[#This Row],[Total Kg]]*Calculations[[#This Row],[Carbon Factor]]</f>
        <v>0</v>
      </c>
      <c r="I688" t="str">
        <f>IFERROR(VLOOKUP(Calculations[[#This Row],[Material (choose from dropdown]],MaterialData[#All],2,FALSE),"")</f>
        <v/>
      </c>
      <c r="J688" s="322">
        <f>IFERROR(((VLOOKUP(Calculations[[#This Row],[TransportSource]],TransportDistance[],2,FALSE)*'Stage assumptions'!$C$11)+VLOOKUP(Calculations[[#This Row],[TransportSource]],TransportDistance[],3,FALSE)*'Stage assumptions'!$C$12)*Calculations[[#This Row],[Total Kg]],0)</f>
        <v>0</v>
      </c>
      <c r="K688">
        <f>IFERROR(VLOOKUP(Calculations[[#This Row],[Material (choose from dropdown]], MaterialData[#All],3, FALSE),0)</f>
        <v>0</v>
      </c>
      <c r="L688" s="322">
        <f>IFERROR(VLOOKUP(Calculations[[#This Row],[A5type]],A5WastageRate[#All],2,FALSE)*Calculations[[#This Row],[A1-3]],0)</f>
        <v>0</v>
      </c>
      <c r="N688">
        <f>IFERROR(ROUNDUP(50/VLOOKUP(Calculations[[#This Row],[Scope Element]],B4referenceServiceLife[[Tier 2 element]:[Default Service Life]],2, FALSE)-1,0),0)</f>
        <v>0</v>
      </c>
      <c r="O688" s="322">
        <f>IFERROR((Calculations[[#This Row],[A1-3]]+Calculations[[#This Row],[A4]]+Calculations[[#This Row],[A5]]+Calculations[[#This Row],[C2 total]]+Calculations[[#This Row],[C3 total]]+Calculations[[#This Row],[C4 total]])*Calculations[[#This Row],[Replacements]],0)</f>
        <v>0</v>
      </c>
      <c r="S688" t="str">
        <f>IFERROR(VLOOKUP(Calculations[[#This Row],[Material (choose from dropdown]],MaterialData[#All],4,FALSE),"")</f>
        <v/>
      </c>
      <c r="T688" s="322" cm="1">
        <f t="array" ref="T688">IFERROR(VLOOKUP(Calculations[[#This Row],[Waste 1]],WasteScenario[#All],2,FALSE)*'Stage assumptions'!$C$225*WasteTransportMethod[Emissions Factor
kgCO2e/kg.km]*Calculations[[#This Row],[Total Kg]],0)</f>
        <v>0</v>
      </c>
      <c r="U688" s="322" cm="1">
        <f t="array" ref="U688">IFERROR(VLOOKUP(Calculations[[#This Row],[Waste 1]],WasteScenario[#All],3,FALSE)*'Stage assumptions'!$C$224*WasteTransportMethod[Emissions Factor
kgCO2e/kg.km]*Calculations[[#This Row],[Total Kg]],0)</f>
        <v>0</v>
      </c>
      <c r="V688" s="322" cm="1">
        <f t="array" ref="V688">IFERROR(VLOOKUP(Calculations[[#This Row],[Waste 1]],WasteScenario[#All],4,FALSE)*'Stage assumptions'!$C$223*WasteTransportMethod[Emissions Factor
kgCO2e/kg.km]*Calculations[[#This Row],[Total Kg]],0)</f>
        <v>0</v>
      </c>
      <c r="W688" s="322" cm="1">
        <f t="array" ref="W688">IFERROR(VLOOKUP(Calculations[[#This Row],[Waste 1]],WasteScenario[#All],5,FALSE)*'Stage assumptions'!$C$226*WasteTransportMethod[Emissions Factor
kgCO2e/kg.km]*Calculations[[#This Row],[Total Kg]],0)</f>
        <v>0</v>
      </c>
      <c r="X688" s="322">
        <f>SUM(Calculations[[#This Row],[C2 Recycle]:[C2 Reuse]])</f>
        <v>0</v>
      </c>
      <c r="Y688" t="str">
        <f>IFERROR(VLOOKUP(Calculations[[#This Row],[Material (choose from dropdown]],MaterialData[#All],5,FALSE),"")</f>
        <v/>
      </c>
      <c r="Z688" s="322">
        <f>IFERROR(((VLOOKUP(Calculations[[#This Row],[Waste type 2]],WasteDisposalEmissions[#All],2,FALSE))*Calculations[[#This Row],[Total Kg]])*VLOOKUP(Calculations[[#This Row],[Waste 1]],WasteScenario[#All],2,FALSE),0)</f>
        <v>0</v>
      </c>
      <c r="AA688" s="322">
        <f>IFERROR((VLOOKUP(Calculations[[#This Row],[Waste type 2]],WasteDisposalEmissions[#All],3,FALSE))*Calculations[[#This Row],[Total Kg]]*VLOOKUP(Calculations[[#This Row],[Waste 1]],WasteScenario[#All],3,FALSE),0)</f>
        <v>0</v>
      </c>
      <c r="AB688" s="322">
        <f>SUM(Calculations[[#This Row],[C3 recyc]:[C3 incin]])</f>
        <v>0</v>
      </c>
      <c r="AC688" s="334">
        <f>IFERROR((VLOOKUP(Calculations[[#This Row],[Waste type 2]],WasteLandfillEmissions[#All],2,FALSE))*Calculations[[#This Row],[Total Kg]]*VLOOKUP(Calculations[[#This Row],[Waste 1]],WasteScenario[#All],4,FALSE),0)</f>
        <v>0</v>
      </c>
      <c r="AD688" s="322">
        <f>IFERROR((VLOOKUP(Calculations[[#This Row],[Waste type 2]],WasteLandfillEmissions[#All],3,FALSE))*Calculations[[#This Row],[Total Kg]]*VLOOKUP(Calculations[[#This Row],[Waste 1]],WasteScenario[#All],4,FALSE),0)</f>
        <v>0</v>
      </c>
      <c r="AE688" s="322">
        <f>SUM(Calculations[[#This Row],[C4 landfill]:[C4 re-use]])</f>
        <v>0</v>
      </c>
      <c r="AF688" s="322">
        <f>IFERROR(VLOOKUP(Calculations[[#This Row],[Material (choose from dropdown]],MaterialData[#All],8,FALSE),0)</f>
        <v>0</v>
      </c>
      <c r="AG688" s="322">
        <f>IFERROR(Calculations[[#This Row],[Total Kg]]*Calculations[[#This Row],[Seq factor]],0)</f>
        <v>0</v>
      </c>
      <c r="AI688" s="322">
        <f>Calculations[[#This Row],[A1-3]]+Calculations[[#This Row],[A4]]+Calculations[[#This Row],[A5]]+Calculations[[#This Row],[B4]]+Calculations[[#This Row],[C2 total]]+Calculations[[#This Row],[C3 total]]+Calculations[[#This Row],[C4 total]]</f>
        <v>0</v>
      </c>
      <c r="AJ688" s="2">
        <f>IFERROR(VLOOKUP(Calculations[[#This Row],[Material (choose from dropdown]],MaterialData[[#Headers],[#Data]],9,FALSE),0)</f>
        <v>0</v>
      </c>
      <c r="AK688" s="4">
        <f>IFERROR(VLOOKUP(Calculations[[#This Row],[Material (choose from dropdown]],MaterialData[[#Headers],[#Data]],10,FALSE),0)</f>
        <v>0</v>
      </c>
      <c r="AL688" s="322">
        <f>IFERROR(Calculations[[#This Row],[Data Quality Score]]*Calculations[[#This Row],[Total Kg]],0)</f>
        <v>0</v>
      </c>
    </row>
    <row r="689" spans="1:38" x14ac:dyDescent="0.3">
      <c r="A689" s="6">
        <f>IFERROR(MaterialsBoQ[[#This Row],[Scope Element]],0)</f>
        <v>0</v>
      </c>
      <c r="B689" t="str">
        <f>IFERROR(MaterialsBoQ[[#This Row],[Material ]],"")</f>
        <v/>
      </c>
      <c r="C689" t="str">
        <f>IFERROR(MaterialsBoQ[[#This Row],[Unit]],"")</f>
        <v/>
      </c>
      <c r="D689" s="322">
        <f>IFERROR(MaterialsBoQ[[#This Row],[Number]],0)</f>
        <v>0</v>
      </c>
      <c r="E689" s="322">
        <f>IFERROR(MaterialsBoQ[[#This Row],[Kg per unit]],0)</f>
        <v>0</v>
      </c>
      <c r="F689" s="322">
        <f>IFERROR(Calculations[[#This Row],[Number]]*Calculations[[#This Row],[Conversion factor]],0)</f>
        <v>0</v>
      </c>
      <c r="G689" s="322">
        <f>IFERROR(VLOOKUP(Calculations[[#This Row],[Material (choose from dropdown]],MaterialData[#All],7,FALSE),0)</f>
        <v>0</v>
      </c>
      <c r="H689" s="322">
        <f>Calculations[[#This Row],[Total Kg]]*Calculations[[#This Row],[Carbon Factor]]</f>
        <v>0</v>
      </c>
      <c r="I689" t="str">
        <f>IFERROR(VLOOKUP(Calculations[[#This Row],[Material (choose from dropdown]],MaterialData[#All],2,FALSE),"")</f>
        <v/>
      </c>
      <c r="J689" s="322">
        <f>IFERROR(((VLOOKUP(Calculations[[#This Row],[TransportSource]],TransportDistance[],2,FALSE)*'Stage assumptions'!$C$11)+VLOOKUP(Calculations[[#This Row],[TransportSource]],TransportDistance[],3,FALSE)*'Stage assumptions'!$C$12)*Calculations[[#This Row],[Total Kg]],0)</f>
        <v>0</v>
      </c>
      <c r="K689">
        <f>IFERROR(VLOOKUP(Calculations[[#This Row],[Material (choose from dropdown]], MaterialData[#All],3, FALSE),0)</f>
        <v>0</v>
      </c>
      <c r="L689" s="322">
        <f>IFERROR(VLOOKUP(Calculations[[#This Row],[A5type]],A5WastageRate[#All],2,FALSE)*Calculations[[#This Row],[A1-3]],0)</f>
        <v>0</v>
      </c>
      <c r="N689">
        <f>IFERROR(ROUNDUP(50/VLOOKUP(Calculations[[#This Row],[Scope Element]],B4referenceServiceLife[[Tier 2 element]:[Default Service Life]],2, FALSE)-1,0),0)</f>
        <v>0</v>
      </c>
      <c r="O689" s="322">
        <f>IFERROR((Calculations[[#This Row],[A1-3]]+Calculations[[#This Row],[A4]]+Calculations[[#This Row],[A5]]+Calculations[[#This Row],[C2 total]]+Calculations[[#This Row],[C3 total]]+Calculations[[#This Row],[C4 total]])*Calculations[[#This Row],[Replacements]],0)</f>
        <v>0</v>
      </c>
      <c r="S689" t="str">
        <f>IFERROR(VLOOKUP(Calculations[[#This Row],[Material (choose from dropdown]],MaterialData[#All],4,FALSE),"")</f>
        <v/>
      </c>
      <c r="T689" s="322" cm="1">
        <f t="array" ref="T689">IFERROR(VLOOKUP(Calculations[[#This Row],[Waste 1]],WasteScenario[#All],2,FALSE)*'Stage assumptions'!$C$225*WasteTransportMethod[Emissions Factor
kgCO2e/kg.km]*Calculations[[#This Row],[Total Kg]],0)</f>
        <v>0</v>
      </c>
      <c r="U689" s="322" cm="1">
        <f t="array" ref="U689">IFERROR(VLOOKUP(Calculations[[#This Row],[Waste 1]],WasteScenario[#All],3,FALSE)*'Stage assumptions'!$C$224*WasteTransportMethod[Emissions Factor
kgCO2e/kg.km]*Calculations[[#This Row],[Total Kg]],0)</f>
        <v>0</v>
      </c>
      <c r="V689" s="322" cm="1">
        <f t="array" ref="V689">IFERROR(VLOOKUP(Calculations[[#This Row],[Waste 1]],WasteScenario[#All],4,FALSE)*'Stage assumptions'!$C$223*WasteTransportMethod[Emissions Factor
kgCO2e/kg.km]*Calculations[[#This Row],[Total Kg]],0)</f>
        <v>0</v>
      </c>
      <c r="W689" s="322" cm="1">
        <f t="array" ref="W689">IFERROR(VLOOKUP(Calculations[[#This Row],[Waste 1]],WasteScenario[#All],5,FALSE)*'Stage assumptions'!$C$226*WasteTransportMethod[Emissions Factor
kgCO2e/kg.km]*Calculations[[#This Row],[Total Kg]],0)</f>
        <v>0</v>
      </c>
      <c r="X689" s="322">
        <f>SUM(Calculations[[#This Row],[C2 Recycle]:[C2 Reuse]])</f>
        <v>0</v>
      </c>
      <c r="Y689" t="str">
        <f>IFERROR(VLOOKUP(Calculations[[#This Row],[Material (choose from dropdown]],MaterialData[#All],5,FALSE),"")</f>
        <v/>
      </c>
      <c r="Z689" s="322">
        <f>IFERROR(((VLOOKUP(Calculations[[#This Row],[Waste type 2]],WasteDisposalEmissions[#All],2,FALSE))*Calculations[[#This Row],[Total Kg]])*VLOOKUP(Calculations[[#This Row],[Waste 1]],WasteScenario[#All],2,FALSE),0)</f>
        <v>0</v>
      </c>
      <c r="AA689" s="322">
        <f>IFERROR((VLOOKUP(Calculations[[#This Row],[Waste type 2]],WasteDisposalEmissions[#All],3,FALSE))*Calculations[[#This Row],[Total Kg]]*VLOOKUP(Calculations[[#This Row],[Waste 1]],WasteScenario[#All],3,FALSE),0)</f>
        <v>0</v>
      </c>
      <c r="AB689" s="322">
        <f>SUM(Calculations[[#This Row],[C3 recyc]:[C3 incin]])</f>
        <v>0</v>
      </c>
      <c r="AC689" s="334">
        <f>IFERROR((VLOOKUP(Calculations[[#This Row],[Waste type 2]],WasteLandfillEmissions[#All],2,FALSE))*Calculations[[#This Row],[Total Kg]]*VLOOKUP(Calculations[[#This Row],[Waste 1]],WasteScenario[#All],4,FALSE),0)</f>
        <v>0</v>
      </c>
      <c r="AD689" s="322">
        <f>IFERROR((VLOOKUP(Calculations[[#This Row],[Waste type 2]],WasteLandfillEmissions[#All],3,FALSE))*Calculations[[#This Row],[Total Kg]]*VLOOKUP(Calculations[[#This Row],[Waste 1]],WasteScenario[#All],4,FALSE),0)</f>
        <v>0</v>
      </c>
      <c r="AE689" s="322">
        <f>SUM(Calculations[[#This Row],[C4 landfill]:[C4 re-use]])</f>
        <v>0</v>
      </c>
      <c r="AF689" s="322">
        <f>IFERROR(VLOOKUP(Calculations[[#This Row],[Material (choose from dropdown]],MaterialData[#All],8,FALSE),0)</f>
        <v>0</v>
      </c>
      <c r="AG689" s="322">
        <f>IFERROR(Calculations[[#This Row],[Total Kg]]*Calculations[[#This Row],[Seq factor]],0)</f>
        <v>0</v>
      </c>
      <c r="AI689" s="322">
        <f>Calculations[[#This Row],[A1-3]]+Calculations[[#This Row],[A4]]+Calculations[[#This Row],[A5]]+Calculations[[#This Row],[B4]]+Calculations[[#This Row],[C2 total]]+Calculations[[#This Row],[C3 total]]+Calculations[[#This Row],[C4 total]]</f>
        <v>0</v>
      </c>
      <c r="AJ689" s="2">
        <f>IFERROR(VLOOKUP(Calculations[[#This Row],[Material (choose from dropdown]],MaterialData[[#Headers],[#Data]],9,FALSE),0)</f>
        <v>0</v>
      </c>
      <c r="AK689" s="4">
        <f>IFERROR(VLOOKUP(Calculations[[#This Row],[Material (choose from dropdown]],MaterialData[[#Headers],[#Data]],10,FALSE),0)</f>
        <v>0</v>
      </c>
      <c r="AL689" s="322">
        <f>IFERROR(Calculations[[#This Row],[Data Quality Score]]*Calculations[[#This Row],[Total Kg]],0)</f>
        <v>0</v>
      </c>
    </row>
    <row r="690" spans="1:38" x14ac:dyDescent="0.3">
      <c r="A690" s="6">
        <f>IFERROR(MaterialsBoQ[[#This Row],[Scope Element]],0)</f>
        <v>0</v>
      </c>
      <c r="B690" t="str">
        <f>IFERROR(MaterialsBoQ[[#This Row],[Material ]],"")</f>
        <v/>
      </c>
      <c r="C690" t="str">
        <f>IFERROR(MaterialsBoQ[[#This Row],[Unit]],"")</f>
        <v/>
      </c>
      <c r="D690" s="322">
        <f>IFERROR(MaterialsBoQ[[#This Row],[Number]],0)</f>
        <v>0</v>
      </c>
      <c r="E690" s="322">
        <f>IFERROR(MaterialsBoQ[[#This Row],[Kg per unit]],0)</f>
        <v>0</v>
      </c>
      <c r="F690" s="322">
        <f>IFERROR(Calculations[[#This Row],[Number]]*Calculations[[#This Row],[Conversion factor]],0)</f>
        <v>0</v>
      </c>
      <c r="G690" s="322">
        <f>IFERROR(VLOOKUP(Calculations[[#This Row],[Material (choose from dropdown]],MaterialData[#All],7,FALSE),0)</f>
        <v>0</v>
      </c>
      <c r="H690" s="322">
        <f>Calculations[[#This Row],[Total Kg]]*Calculations[[#This Row],[Carbon Factor]]</f>
        <v>0</v>
      </c>
      <c r="I690" t="str">
        <f>IFERROR(VLOOKUP(Calculations[[#This Row],[Material (choose from dropdown]],MaterialData[#All],2,FALSE),"")</f>
        <v/>
      </c>
      <c r="J690" s="322">
        <f>IFERROR(((VLOOKUP(Calculations[[#This Row],[TransportSource]],TransportDistance[],2,FALSE)*'Stage assumptions'!$C$11)+VLOOKUP(Calculations[[#This Row],[TransportSource]],TransportDistance[],3,FALSE)*'Stage assumptions'!$C$12)*Calculations[[#This Row],[Total Kg]],0)</f>
        <v>0</v>
      </c>
      <c r="K690">
        <f>IFERROR(VLOOKUP(Calculations[[#This Row],[Material (choose from dropdown]], MaterialData[#All],3, FALSE),0)</f>
        <v>0</v>
      </c>
      <c r="L690" s="322">
        <f>IFERROR(VLOOKUP(Calculations[[#This Row],[A5type]],A5WastageRate[#All],2,FALSE)*Calculations[[#This Row],[A1-3]],0)</f>
        <v>0</v>
      </c>
      <c r="N690">
        <f>IFERROR(ROUNDUP(50/VLOOKUP(Calculations[[#This Row],[Scope Element]],B4referenceServiceLife[[Tier 2 element]:[Default Service Life]],2, FALSE)-1,0),0)</f>
        <v>0</v>
      </c>
      <c r="O690" s="322">
        <f>IFERROR((Calculations[[#This Row],[A1-3]]+Calculations[[#This Row],[A4]]+Calculations[[#This Row],[A5]]+Calculations[[#This Row],[C2 total]]+Calculations[[#This Row],[C3 total]]+Calculations[[#This Row],[C4 total]])*Calculations[[#This Row],[Replacements]],0)</f>
        <v>0</v>
      </c>
      <c r="S690" t="str">
        <f>IFERROR(VLOOKUP(Calculations[[#This Row],[Material (choose from dropdown]],MaterialData[#All],4,FALSE),"")</f>
        <v/>
      </c>
      <c r="T690" s="322" cm="1">
        <f t="array" ref="T690">IFERROR(VLOOKUP(Calculations[[#This Row],[Waste 1]],WasteScenario[#All],2,FALSE)*'Stage assumptions'!$C$225*WasteTransportMethod[Emissions Factor
kgCO2e/kg.km]*Calculations[[#This Row],[Total Kg]],0)</f>
        <v>0</v>
      </c>
      <c r="U690" s="322" cm="1">
        <f t="array" ref="U690">IFERROR(VLOOKUP(Calculations[[#This Row],[Waste 1]],WasteScenario[#All],3,FALSE)*'Stage assumptions'!$C$224*WasteTransportMethod[Emissions Factor
kgCO2e/kg.km]*Calculations[[#This Row],[Total Kg]],0)</f>
        <v>0</v>
      </c>
      <c r="V690" s="322" cm="1">
        <f t="array" ref="V690">IFERROR(VLOOKUP(Calculations[[#This Row],[Waste 1]],WasteScenario[#All],4,FALSE)*'Stage assumptions'!$C$223*WasteTransportMethod[Emissions Factor
kgCO2e/kg.km]*Calculations[[#This Row],[Total Kg]],0)</f>
        <v>0</v>
      </c>
      <c r="W690" s="322" cm="1">
        <f t="array" ref="W690">IFERROR(VLOOKUP(Calculations[[#This Row],[Waste 1]],WasteScenario[#All],5,FALSE)*'Stage assumptions'!$C$226*WasteTransportMethod[Emissions Factor
kgCO2e/kg.km]*Calculations[[#This Row],[Total Kg]],0)</f>
        <v>0</v>
      </c>
      <c r="X690" s="322">
        <f>SUM(Calculations[[#This Row],[C2 Recycle]:[C2 Reuse]])</f>
        <v>0</v>
      </c>
      <c r="Y690" t="str">
        <f>IFERROR(VLOOKUP(Calculations[[#This Row],[Material (choose from dropdown]],MaterialData[#All],5,FALSE),"")</f>
        <v/>
      </c>
      <c r="Z690" s="322">
        <f>IFERROR(((VLOOKUP(Calculations[[#This Row],[Waste type 2]],WasteDisposalEmissions[#All],2,FALSE))*Calculations[[#This Row],[Total Kg]])*VLOOKUP(Calculations[[#This Row],[Waste 1]],WasteScenario[#All],2,FALSE),0)</f>
        <v>0</v>
      </c>
      <c r="AA690" s="322">
        <f>IFERROR((VLOOKUP(Calculations[[#This Row],[Waste type 2]],WasteDisposalEmissions[#All],3,FALSE))*Calculations[[#This Row],[Total Kg]]*VLOOKUP(Calculations[[#This Row],[Waste 1]],WasteScenario[#All],3,FALSE),0)</f>
        <v>0</v>
      </c>
      <c r="AB690" s="322">
        <f>SUM(Calculations[[#This Row],[C3 recyc]:[C3 incin]])</f>
        <v>0</v>
      </c>
      <c r="AC690" s="334">
        <f>IFERROR((VLOOKUP(Calculations[[#This Row],[Waste type 2]],WasteLandfillEmissions[#All],2,FALSE))*Calculations[[#This Row],[Total Kg]]*VLOOKUP(Calculations[[#This Row],[Waste 1]],WasteScenario[#All],4,FALSE),0)</f>
        <v>0</v>
      </c>
      <c r="AD690" s="322">
        <f>IFERROR((VLOOKUP(Calculations[[#This Row],[Waste type 2]],WasteLandfillEmissions[#All],3,FALSE))*Calculations[[#This Row],[Total Kg]]*VLOOKUP(Calculations[[#This Row],[Waste 1]],WasteScenario[#All],4,FALSE),0)</f>
        <v>0</v>
      </c>
      <c r="AE690" s="322">
        <f>SUM(Calculations[[#This Row],[C4 landfill]:[C4 re-use]])</f>
        <v>0</v>
      </c>
      <c r="AF690" s="322">
        <f>IFERROR(VLOOKUP(Calculations[[#This Row],[Material (choose from dropdown]],MaterialData[#All],8,FALSE),0)</f>
        <v>0</v>
      </c>
      <c r="AG690" s="322">
        <f>IFERROR(Calculations[[#This Row],[Total Kg]]*Calculations[[#This Row],[Seq factor]],0)</f>
        <v>0</v>
      </c>
      <c r="AI690" s="322">
        <f>Calculations[[#This Row],[A1-3]]+Calculations[[#This Row],[A4]]+Calculations[[#This Row],[A5]]+Calculations[[#This Row],[B4]]+Calculations[[#This Row],[C2 total]]+Calculations[[#This Row],[C3 total]]+Calculations[[#This Row],[C4 total]]</f>
        <v>0</v>
      </c>
      <c r="AJ690" s="2">
        <f>IFERROR(VLOOKUP(Calculations[[#This Row],[Material (choose from dropdown]],MaterialData[[#Headers],[#Data]],9,FALSE),0)</f>
        <v>0</v>
      </c>
      <c r="AK690" s="4">
        <f>IFERROR(VLOOKUP(Calculations[[#This Row],[Material (choose from dropdown]],MaterialData[[#Headers],[#Data]],10,FALSE),0)</f>
        <v>0</v>
      </c>
      <c r="AL690" s="322">
        <f>IFERROR(Calculations[[#This Row],[Data Quality Score]]*Calculations[[#This Row],[Total Kg]],0)</f>
        <v>0</v>
      </c>
    </row>
    <row r="691" spans="1:38" x14ac:dyDescent="0.3">
      <c r="A691" s="6">
        <f>IFERROR(MaterialsBoQ[[#This Row],[Scope Element]],0)</f>
        <v>0</v>
      </c>
      <c r="B691" t="str">
        <f>IFERROR(MaterialsBoQ[[#This Row],[Material ]],"")</f>
        <v/>
      </c>
      <c r="C691" t="str">
        <f>IFERROR(MaterialsBoQ[[#This Row],[Unit]],"")</f>
        <v/>
      </c>
      <c r="D691" s="322">
        <f>IFERROR(MaterialsBoQ[[#This Row],[Number]],0)</f>
        <v>0</v>
      </c>
      <c r="E691" s="322">
        <f>IFERROR(MaterialsBoQ[[#This Row],[Kg per unit]],0)</f>
        <v>0</v>
      </c>
      <c r="F691" s="322">
        <f>IFERROR(Calculations[[#This Row],[Number]]*Calculations[[#This Row],[Conversion factor]],0)</f>
        <v>0</v>
      </c>
      <c r="G691" s="322">
        <f>IFERROR(VLOOKUP(Calculations[[#This Row],[Material (choose from dropdown]],MaterialData[#All],7,FALSE),0)</f>
        <v>0</v>
      </c>
      <c r="H691" s="322">
        <f>Calculations[[#This Row],[Total Kg]]*Calculations[[#This Row],[Carbon Factor]]</f>
        <v>0</v>
      </c>
      <c r="I691" t="str">
        <f>IFERROR(VLOOKUP(Calculations[[#This Row],[Material (choose from dropdown]],MaterialData[#All],2,FALSE),"")</f>
        <v/>
      </c>
      <c r="J691" s="322">
        <f>IFERROR(((VLOOKUP(Calculations[[#This Row],[TransportSource]],TransportDistance[],2,FALSE)*'Stage assumptions'!$C$11)+VLOOKUP(Calculations[[#This Row],[TransportSource]],TransportDistance[],3,FALSE)*'Stage assumptions'!$C$12)*Calculations[[#This Row],[Total Kg]],0)</f>
        <v>0</v>
      </c>
      <c r="K691">
        <f>IFERROR(VLOOKUP(Calculations[[#This Row],[Material (choose from dropdown]], MaterialData[#All],3, FALSE),0)</f>
        <v>0</v>
      </c>
      <c r="L691" s="322">
        <f>IFERROR(VLOOKUP(Calculations[[#This Row],[A5type]],A5WastageRate[#All],2,FALSE)*Calculations[[#This Row],[A1-3]],0)</f>
        <v>0</v>
      </c>
      <c r="N691">
        <f>IFERROR(ROUNDUP(50/VLOOKUP(Calculations[[#This Row],[Scope Element]],B4referenceServiceLife[[Tier 2 element]:[Default Service Life]],2, FALSE)-1,0),0)</f>
        <v>0</v>
      </c>
      <c r="O691" s="322">
        <f>IFERROR((Calculations[[#This Row],[A1-3]]+Calculations[[#This Row],[A4]]+Calculations[[#This Row],[A5]]+Calculations[[#This Row],[C2 total]]+Calculations[[#This Row],[C3 total]]+Calculations[[#This Row],[C4 total]])*Calculations[[#This Row],[Replacements]],0)</f>
        <v>0</v>
      </c>
      <c r="S691" t="str">
        <f>IFERROR(VLOOKUP(Calculations[[#This Row],[Material (choose from dropdown]],MaterialData[#All],4,FALSE),"")</f>
        <v/>
      </c>
      <c r="T691" s="322" cm="1">
        <f t="array" ref="T691">IFERROR(VLOOKUP(Calculations[[#This Row],[Waste 1]],WasteScenario[#All],2,FALSE)*'Stage assumptions'!$C$225*WasteTransportMethod[Emissions Factor
kgCO2e/kg.km]*Calculations[[#This Row],[Total Kg]],0)</f>
        <v>0</v>
      </c>
      <c r="U691" s="322" cm="1">
        <f t="array" ref="U691">IFERROR(VLOOKUP(Calculations[[#This Row],[Waste 1]],WasteScenario[#All],3,FALSE)*'Stage assumptions'!$C$224*WasteTransportMethod[Emissions Factor
kgCO2e/kg.km]*Calculations[[#This Row],[Total Kg]],0)</f>
        <v>0</v>
      </c>
      <c r="V691" s="322" cm="1">
        <f t="array" ref="V691">IFERROR(VLOOKUP(Calculations[[#This Row],[Waste 1]],WasteScenario[#All],4,FALSE)*'Stage assumptions'!$C$223*WasteTransportMethod[Emissions Factor
kgCO2e/kg.km]*Calculations[[#This Row],[Total Kg]],0)</f>
        <v>0</v>
      </c>
      <c r="W691" s="322" cm="1">
        <f t="array" ref="W691">IFERROR(VLOOKUP(Calculations[[#This Row],[Waste 1]],WasteScenario[#All],5,FALSE)*'Stage assumptions'!$C$226*WasteTransportMethod[Emissions Factor
kgCO2e/kg.km]*Calculations[[#This Row],[Total Kg]],0)</f>
        <v>0</v>
      </c>
      <c r="X691" s="322">
        <f>SUM(Calculations[[#This Row],[C2 Recycle]:[C2 Reuse]])</f>
        <v>0</v>
      </c>
      <c r="Y691" t="str">
        <f>IFERROR(VLOOKUP(Calculations[[#This Row],[Material (choose from dropdown]],MaterialData[#All],5,FALSE),"")</f>
        <v/>
      </c>
      <c r="Z691" s="322">
        <f>IFERROR(((VLOOKUP(Calculations[[#This Row],[Waste type 2]],WasteDisposalEmissions[#All],2,FALSE))*Calculations[[#This Row],[Total Kg]])*VLOOKUP(Calculations[[#This Row],[Waste 1]],WasteScenario[#All],2,FALSE),0)</f>
        <v>0</v>
      </c>
      <c r="AA691" s="322">
        <f>IFERROR((VLOOKUP(Calculations[[#This Row],[Waste type 2]],WasteDisposalEmissions[#All],3,FALSE))*Calculations[[#This Row],[Total Kg]]*VLOOKUP(Calculations[[#This Row],[Waste 1]],WasteScenario[#All],3,FALSE),0)</f>
        <v>0</v>
      </c>
      <c r="AB691" s="322">
        <f>SUM(Calculations[[#This Row],[C3 recyc]:[C3 incin]])</f>
        <v>0</v>
      </c>
      <c r="AC691" s="334">
        <f>IFERROR((VLOOKUP(Calculations[[#This Row],[Waste type 2]],WasteLandfillEmissions[#All],2,FALSE))*Calculations[[#This Row],[Total Kg]]*VLOOKUP(Calculations[[#This Row],[Waste 1]],WasteScenario[#All],4,FALSE),0)</f>
        <v>0</v>
      </c>
      <c r="AD691" s="322">
        <f>IFERROR((VLOOKUP(Calculations[[#This Row],[Waste type 2]],WasteLandfillEmissions[#All],3,FALSE))*Calculations[[#This Row],[Total Kg]]*VLOOKUP(Calculations[[#This Row],[Waste 1]],WasteScenario[#All],4,FALSE),0)</f>
        <v>0</v>
      </c>
      <c r="AE691" s="322">
        <f>SUM(Calculations[[#This Row],[C4 landfill]:[C4 re-use]])</f>
        <v>0</v>
      </c>
      <c r="AF691" s="322">
        <f>IFERROR(VLOOKUP(Calculations[[#This Row],[Material (choose from dropdown]],MaterialData[#All],8,FALSE),0)</f>
        <v>0</v>
      </c>
      <c r="AG691" s="322">
        <f>IFERROR(Calculations[[#This Row],[Total Kg]]*Calculations[[#This Row],[Seq factor]],0)</f>
        <v>0</v>
      </c>
      <c r="AI691" s="322">
        <f>Calculations[[#This Row],[A1-3]]+Calculations[[#This Row],[A4]]+Calculations[[#This Row],[A5]]+Calculations[[#This Row],[B4]]+Calculations[[#This Row],[C2 total]]+Calculations[[#This Row],[C3 total]]+Calculations[[#This Row],[C4 total]]</f>
        <v>0</v>
      </c>
      <c r="AJ691" s="2">
        <f>IFERROR(VLOOKUP(Calculations[[#This Row],[Material (choose from dropdown]],MaterialData[[#Headers],[#Data]],9,FALSE),0)</f>
        <v>0</v>
      </c>
      <c r="AK691" s="4">
        <f>IFERROR(VLOOKUP(Calculations[[#This Row],[Material (choose from dropdown]],MaterialData[[#Headers],[#Data]],10,FALSE),0)</f>
        <v>0</v>
      </c>
      <c r="AL691" s="322">
        <f>IFERROR(Calculations[[#This Row],[Data Quality Score]]*Calculations[[#This Row],[Total Kg]],0)</f>
        <v>0</v>
      </c>
    </row>
    <row r="692" spans="1:38" x14ac:dyDescent="0.3">
      <c r="A692" s="6">
        <f>IFERROR(MaterialsBoQ[[#This Row],[Scope Element]],0)</f>
        <v>0</v>
      </c>
      <c r="B692" t="str">
        <f>IFERROR(MaterialsBoQ[[#This Row],[Material ]],"")</f>
        <v/>
      </c>
      <c r="C692" t="str">
        <f>IFERROR(MaterialsBoQ[[#This Row],[Unit]],"")</f>
        <v/>
      </c>
      <c r="D692" s="322">
        <f>IFERROR(MaterialsBoQ[[#This Row],[Number]],0)</f>
        <v>0</v>
      </c>
      <c r="E692" s="322">
        <f>IFERROR(MaterialsBoQ[[#This Row],[Kg per unit]],0)</f>
        <v>0</v>
      </c>
      <c r="F692" s="322">
        <f>IFERROR(Calculations[[#This Row],[Number]]*Calculations[[#This Row],[Conversion factor]],0)</f>
        <v>0</v>
      </c>
      <c r="G692" s="322">
        <f>IFERROR(VLOOKUP(Calculations[[#This Row],[Material (choose from dropdown]],MaterialData[#All],7,FALSE),0)</f>
        <v>0</v>
      </c>
      <c r="H692" s="322">
        <f>Calculations[[#This Row],[Total Kg]]*Calculations[[#This Row],[Carbon Factor]]</f>
        <v>0</v>
      </c>
      <c r="I692" t="str">
        <f>IFERROR(VLOOKUP(Calculations[[#This Row],[Material (choose from dropdown]],MaterialData[#All],2,FALSE),"")</f>
        <v/>
      </c>
      <c r="J692" s="322">
        <f>IFERROR(((VLOOKUP(Calculations[[#This Row],[TransportSource]],TransportDistance[],2,FALSE)*'Stage assumptions'!$C$11)+VLOOKUP(Calculations[[#This Row],[TransportSource]],TransportDistance[],3,FALSE)*'Stage assumptions'!$C$12)*Calculations[[#This Row],[Total Kg]],0)</f>
        <v>0</v>
      </c>
      <c r="K692">
        <f>IFERROR(VLOOKUP(Calculations[[#This Row],[Material (choose from dropdown]], MaterialData[#All],3, FALSE),0)</f>
        <v>0</v>
      </c>
      <c r="L692" s="322">
        <f>IFERROR(VLOOKUP(Calculations[[#This Row],[A5type]],A5WastageRate[#All],2,FALSE)*Calculations[[#This Row],[A1-3]],0)</f>
        <v>0</v>
      </c>
      <c r="N692">
        <f>IFERROR(ROUNDUP(50/VLOOKUP(Calculations[[#This Row],[Scope Element]],B4referenceServiceLife[[Tier 2 element]:[Default Service Life]],2, FALSE)-1,0),0)</f>
        <v>0</v>
      </c>
      <c r="O692" s="322">
        <f>IFERROR((Calculations[[#This Row],[A1-3]]+Calculations[[#This Row],[A4]]+Calculations[[#This Row],[A5]]+Calculations[[#This Row],[C2 total]]+Calculations[[#This Row],[C3 total]]+Calculations[[#This Row],[C4 total]])*Calculations[[#This Row],[Replacements]],0)</f>
        <v>0</v>
      </c>
      <c r="S692" t="str">
        <f>IFERROR(VLOOKUP(Calculations[[#This Row],[Material (choose from dropdown]],MaterialData[#All],4,FALSE),"")</f>
        <v/>
      </c>
      <c r="T692" s="322" cm="1">
        <f t="array" ref="T692">IFERROR(VLOOKUP(Calculations[[#This Row],[Waste 1]],WasteScenario[#All],2,FALSE)*'Stage assumptions'!$C$225*WasteTransportMethod[Emissions Factor
kgCO2e/kg.km]*Calculations[[#This Row],[Total Kg]],0)</f>
        <v>0</v>
      </c>
      <c r="U692" s="322" cm="1">
        <f t="array" ref="U692">IFERROR(VLOOKUP(Calculations[[#This Row],[Waste 1]],WasteScenario[#All],3,FALSE)*'Stage assumptions'!$C$224*WasteTransportMethod[Emissions Factor
kgCO2e/kg.km]*Calculations[[#This Row],[Total Kg]],0)</f>
        <v>0</v>
      </c>
      <c r="V692" s="322" cm="1">
        <f t="array" ref="V692">IFERROR(VLOOKUP(Calculations[[#This Row],[Waste 1]],WasteScenario[#All],4,FALSE)*'Stage assumptions'!$C$223*WasteTransportMethod[Emissions Factor
kgCO2e/kg.km]*Calculations[[#This Row],[Total Kg]],0)</f>
        <v>0</v>
      </c>
      <c r="W692" s="322" cm="1">
        <f t="array" ref="W692">IFERROR(VLOOKUP(Calculations[[#This Row],[Waste 1]],WasteScenario[#All],5,FALSE)*'Stage assumptions'!$C$226*WasteTransportMethod[Emissions Factor
kgCO2e/kg.km]*Calculations[[#This Row],[Total Kg]],0)</f>
        <v>0</v>
      </c>
      <c r="X692" s="322">
        <f>SUM(Calculations[[#This Row],[C2 Recycle]:[C2 Reuse]])</f>
        <v>0</v>
      </c>
      <c r="Y692" t="str">
        <f>IFERROR(VLOOKUP(Calculations[[#This Row],[Material (choose from dropdown]],MaterialData[#All],5,FALSE),"")</f>
        <v/>
      </c>
      <c r="Z692" s="322">
        <f>IFERROR(((VLOOKUP(Calculations[[#This Row],[Waste type 2]],WasteDisposalEmissions[#All],2,FALSE))*Calculations[[#This Row],[Total Kg]])*VLOOKUP(Calculations[[#This Row],[Waste 1]],WasteScenario[#All],2,FALSE),0)</f>
        <v>0</v>
      </c>
      <c r="AA692" s="322">
        <f>IFERROR((VLOOKUP(Calculations[[#This Row],[Waste type 2]],WasteDisposalEmissions[#All],3,FALSE))*Calculations[[#This Row],[Total Kg]]*VLOOKUP(Calculations[[#This Row],[Waste 1]],WasteScenario[#All],3,FALSE),0)</f>
        <v>0</v>
      </c>
      <c r="AB692" s="322">
        <f>SUM(Calculations[[#This Row],[C3 recyc]:[C3 incin]])</f>
        <v>0</v>
      </c>
      <c r="AC692" s="334">
        <f>IFERROR((VLOOKUP(Calculations[[#This Row],[Waste type 2]],WasteLandfillEmissions[#All],2,FALSE))*Calculations[[#This Row],[Total Kg]]*VLOOKUP(Calculations[[#This Row],[Waste 1]],WasteScenario[#All],4,FALSE),0)</f>
        <v>0</v>
      </c>
      <c r="AD692" s="322">
        <f>IFERROR((VLOOKUP(Calculations[[#This Row],[Waste type 2]],WasteLandfillEmissions[#All],3,FALSE))*Calculations[[#This Row],[Total Kg]]*VLOOKUP(Calculations[[#This Row],[Waste 1]],WasteScenario[#All],4,FALSE),0)</f>
        <v>0</v>
      </c>
      <c r="AE692" s="322">
        <f>SUM(Calculations[[#This Row],[C4 landfill]:[C4 re-use]])</f>
        <v>0</v>
      </c>
      <c r="AF692" s="322">
        <f>IFERROR(VLOOKUP(Calculations[[#This Row],[Material (choose from dropdown]],MaterialData[#All],8,FALSE),0)</f>
        <v>0</v>
      </c>
      <c r="AG692" s="322">
        <f>IFERROR(Calculations[[#This Row],[Total Kg]]*Calculations[[#This Row],[Seq factor]],0)</f>
        <v>0</v>
      </c>
      <c r="AI692" s="322">
        <f>Calculations[[#This Row],[A1-3]]+Calculations[[#This Row],[A4]]+Calculations[[#This Row],[A5]]+Calculations[[#This Row],[B4]]+Calculations[[#This Row],[C2 total]]+Calculations[[#This Row],[C3 total]]+Calculations[[#This Row],[C4 total]]</f>
        <v>0</v>
      </c>
      <c r="AJ692" s="2">
        <f>IFERROR(VLOOKUP(Calculations[[#This Row],[Material (choose from dropdown]],MaterialData[[#Headers],[#Data]],9,FALSE),0)</f>
        <v>0</v>
      </c>
      <c r="AK692" s="4">
        <f>IFERROR(VLOOKUP(Calculations[[#This Row],[Material (choose from dropdown]],MaterialData[[#Headers],[#Data]],10,FALSE),0)</f>
        <v>0</v>
      </c>
      <c r="AL692" s="322">
        <f>IFERROR(Calculations[[#This Row],[Data Quality Score]]*Calculations[[#This Row],[Total Kg]],0)</f>
        <v>0</v>
      </c>
    </row>
    <row r="693" spans="1:38" x14ac:dyDescent="0.3">
      <c r="A693" s="6">
        <f>IFERROR(MaterialsBoQ[[#This Row],[Scope Element]],0)</f>
        <v>0</v>
      </c>
      <c r="B693" t="str">
        <f>IFERROR(MaterialsBoQ[[#This Row],[Material ]],"")</f>
        <v/>
      </c>
      <c r="C693" t="str">
        <f>IFERROR(MaterialsBoQ[[#This Row],[Unit]],"")</f>
        <v/>
      </c>
      <c r="D693" s="322">
        <f>IFERROR(MaterialsBoQ[[#This Row],[Number]],0)</f>
        <v>0</v>
      </c>
      <c r="E693" s="322">
        <f>IFERROR(MaterialsBoQ[[#This Row],[Kg per unit]],0)</f>
        <v>0</v>
      </c>
      <c r="F693" s="322">
        <f>IFERROR(Calculations[[#This Row],[Number]]*Calculations[[#This Row],[Conversion factor]],0)</f>
        <v>0</v>
      </c>
      <c r="G693" s="322">
        <f>IFERROR(VLOOKUP(Calculations[[#This Row],[Material (choose from dropdown]],MaterialData[#All],7,FALSE),0)</f>
        <v>0</v>
      </c>
      <c r="H693" s="322">
        <f>Calculations[[#This Row],[Total Kg]]*Calculations[[#This Row],[Carbon Factor]]</f>
        <v>0</v>
      </c>
      <c r="I693" t="str">
        <f>IFERROR(VLOOKUP(Calculations[[#This Row],[Material (choose from dropdown]],MaterialData[#All],2,FALSE),"")</f>
        <v/>
      </c>
      <c r="J693" s="322">
        <f>IFERROR(((VLOOKUP(Calculations[[#This Row],[TransportSource]],TransportDistance[],2,FALSE)*'Stage assumptions'!$C$11)+VLOOKUP(Calculations[[#This Row],[TransportSource]],TransportDistance[],3,FALSE)*'Stage assumptions'!$C$12)*Calculations[[#This Row],[Total Kg]],0)</f>
        <v>0</v>
      </c>
      <c r="K693">
        <f>IFERROR(VLOOKUP(Calculations[[#This Row],[Material (choose from dropdown]], MaterialData[#All],3, FALSE),0)</f>
        <v>0</v>
      </c>
      <c r="L693" s="322">
        <f>IFERROR(VLOOKUP(Calculations[[#This Row],[A5type]],A5WastageRate[#All],2,FALSE)*Calculations[[#This Row],[A1-3]],0)</f>
        <v>0</v>
      </c>
      <c r="N693">
        <f>IFERROR(ROUNDUP(50/VLOOKUP(Calculations[[#This Row],[Scope Element]],B4referenceServiceLife[[Tier 2 element]:[Default Service Life]],2, FALSE)-1,0),0)</f>
        <v>0</v>
      </c>
      <c r="O693" s="322">
        <f>IFERROR((Calculations[[#This Row],[A1-3]]+Calculations[[#This Row],[A4]]+Calculations[[#This Row],[A5]]+Calculations[[#This Row],[C2 total]]+Calculations[[#This Row],[C3 total]]+Calculations[[#This Row],[C4 total]])*Calculations[[#This Row],[Replacements]],0)</f>
        <v>0</v>
      </c>
      <c r="S693" t="str">
        <f>IFERROR(VLOOKUP(Calculations[[#This Row],[Material (choose from dropdown]],MaterialData[#All],4,FALSE),"")</f>
        <v/>
      </c>
      <c r="T693" s="322" cm="1">
        <f t="array" ref="T693">IFERROR(VLOOKUP(Calculations[[#This Row],[Waste 1]],WasteScenario[#All],2,FALSE)*'Stage assumptions'!$C$225*WasteTransportMethod[Emissions Factor
kgCO2e/kg.km]*Calculations[[#This Row],[Total Kg]],0)</f>
        <v>0</v>
      </c>
      <c r="U693" s="322" cm="1">
        <f t="array" ref="U693">IFERROR(VLOOKUP(Calculations[[#This Row],[Waste 1]],WasteScenario[#All],3,FALSE)*'Stage assumptions'!$C$224*WasteTransportMethod[Emissions Factor
kgCO2e/kg.km]*Calculations[[#This Row],[Total Kg]],0)</f>
        <v>0</v>
      </c>
      <c r="V693" s="322" cm="1">
        <f t="array" ref="V693">IFERROR(VLOOKUP(Calculations[[#This Row],[Waste 1]],WasteScenario[#All],4,FALSE)*'Stage assumptions'!$C$223*WasteTransportMethod[Emissions Factor
kgCO2e/kg.km]*Calculations[[#This Row],[Total Kg]],0)</f>
        <v>0</v>
      </c>
      <c r="W693" s="322" cm="1">
        <f t="array" ref="W693">IFERROR(VLOOKUP(Calculations[[#This Row],[Waste 1]],WasteScenario[#All],5,FALSE)*'Stage assumptions'!$C$226*WasteTransportMethod[Emissions Factor
kgCO2e/kg.km]*Calculations[[#This Row],[Total Kg]],0)</f>
        <v>0</v>
      </c>
      <c r="X693" s="322">
        <f>SUM(Calculations[[#This Row],[C2 Recycle]:[C2 Reuse]])</f>
        <v>0</v>
      </c>
      <c r="Y693" t="str">
        <f>IFERROR(VLOOKUP(Calculations[[#This Row],[Material (choose from dropdown]],MaterialData[#All],5,FALSE),"")</f>
        <v/>
      </c>
      <c r="Z693" s="322">
        <f>IFERROR(((VLOOKUP(Calculations[[#This Row],[Waste type 2]],WasteDisposalEmissions[#All],2,FALSE))*Calculations[[#This Row],[Total Kg]])*VLOOKUP(Calculations[[#This Row],[Waste 1]],WasteScenario[#All],2,FALSE),0)</f>
        <v>0</v>
      </c>
      <c r="AA693" s="322">
        <f>IFERROR((VLOOKUP(Calculations[[#This Row],[Waste type 2]],WasteDisposalEmissions[#All],3,FALSE))*Calculations[[#This Row],[Total Kg]]*VLOOKUP(Calculations[[#This Row],[Waste 1]],WasteScenario[#All],3,FALSE),0)</f>
        <v>0</v>
      </c>
      <c r="AB693" s="322">
        <f>SUM(Calculations[[#This Row],[C3 recyc]:[C3 incin]])</f>
        <v>0</v>
      </c>
      <c r="AC693" s="334">
        <f>IFERROR((VLOOKUP(Calculations[[#This Row],[Waste type 2]],WasteLandfillEmissions[#All],2,FALSE))*Calculations[[#This Row],[Total Kg]]*VLOOKUP(Calculations[[#This Row],[Waste 1]],WasteScenario[#All],4,FALSE),0)</f>
        <v>0</v>
      </c>
      <c r="AD693" s="322">
        <f>IFERROR((VLOOKUP(Calculations[[#This Row],[Waste type 2]],WasteLandfillEmissions[#All],3,FALSE))*Calculations[[#This Row],[Total Kg]]*VLOOKUP(Calculations[[#This Row],[Waste 1]],WasteScenario[#All],4,FALSE),0)</f>
        <v>0</v>
      </c>
      <c r="AE693" s="322">
        <f>SUM(Calculations[[#This Row],[C4 landfill]:[C4 re-use]])</f>
        <v>0</v>
      </c>
      <c r="AF693" s="322">
        <f>IFERROR(VLOOKUP(Calculations[[#This Row],[Material (choose from dropdown]],MaterialData[#All],8,FALSE),0)</f>
        <v>0</v>
      </c>
      <c r="AG693" s="322">
        <f>IFERROR(Calculations[[#This Row],[Total Kg]]*Calculations[[#This Row],[Seq factor]],0)</f>
        <v>0</v>
      </c>
      <c r="AI693" s="322">
        <f>Calculations[[#This Row],[A1-3]]+Calculations[[#This Row],[A4]]+Calculations[[#This Row],[A5]]+Calculations[[#This Row],[B4]]+Calculations[[#This Row],[C2 total]]+Calculations[[#This Row],[C3 total]]+Calculations[[#This Row],[C4 total]]</f>
        <v>0</v>
      </c>
      <c r="AJ693" s="2">
        <f>IFERROR(VLOOKUP(Calculations[[#This Row],[Material (choose from dropdown]],MaterialData[[#Headers],[#Data]],9,FALSE),0)</f>
        <v>0</v>
      </c>
      <c r="AK693" s="4">
        <f>IFERROR(VLOOKUP(Calculations[[#This Row],[Material (choose from dropdown]],MaterialData[[#Headers],[#Data]],10,FALSE),0)</f>
        <v>0</v>
      </c>
      <c r="AL693" s="322">
        <f>IFERROR(Calculations[[#This Row],[Data Quality Score]]*Calculations[[#This Row],[Total Kg]],0)</f>
        <v>0</v>
      </c>
    </row>
    <row r="694" spans="1:38" x14ac:dyDescent="0.3">
      <c r="A694" s="6">
        <f>IFERROR(MaterialsBoQ[[#This Row],[Scope Element]],0)</f>
        <v>0</v>
      </c>
      <c r="B694" t="str">
        <f>IFERROR(MaterialsBoQ[[#This Row],[Material ]],"")</f>
        <v/>
      </c>
      <c r="C694" t="str">
        <f>IFERROR(MaterialsBoQ[[#This Row],[Unit]],"")</f>
        <v/>
      </c>
      <c r="D694" s="322">
        <f>IFERROR(MaterialsBoQ[[#This Row],[Number]],0)</f>
        <v>0</v>
      </c>
      <c r="E694" s="322">
        <f>IFERROR(MaterialsBoQ[[#This Row],[Kg per unit]],0)</f>
        <v>0</v>
      </c>
      <c r="F694" s="322">
        <f>IFERROR(Calculations[[#This Row],[Number]]*Calculations[[#This Row],[Conversion factor]],0)</f>
        <v>0</v>
      </c>
      <c r="G694" s="322">
        <f>IFERROR(VLOOKUP(Calculations[[#This Row],[Material (choose from dropdown]],MaterialData[#All],7,FALSE),0)</f>
        <v>0</v>
      </c>
      <c r="H694" s="322">
        <f>Calculations[[#This Row],[Total Kg]]*Calculations[[#This Row],[Carbon Factor]]</f>
        <v>0</v>
      </c>
      <c r="I694" t="str">
        <f>IFERROR(VLOOKUP(Calculations[[#This Row],[Material (choose from dropdown]],MaterialData[#All],2,FALSE),"")</f>
        <v/>
      </c>
      <c r="J694" s="322">
        <f>IFERROR(((VLOOKUP(Calculations[[#This Row],[TransportSource]],TransportDistance[],2,FALSE)*'Stage assumptions'!$C$11)+VLOOKUP(Calculations[[#This Row],[TransportSource]],TransportDistance[],3,FALSE)*'Stage assumptions'!$C$12)*Calculations[[#This Row],[Total Kg]],0)</f>
        <v>0</v>
      </c>
      <c r="K694">
        <f>IFERROR(VLOOKUP(Calculations[[#This Row],[Material (choose from dropdown]], MaterialData[#All],3, FALSE),0)</f>
        <v>0</v>
      </c>
      <c r="L694" s="322">
        <f>IFERROR(VLOOKUP(Calculations[[#This Row],[A5type]],A5WastageRate[#All],2,FALSE)*Calculations[[#This Row],[A1-3]],0)</f>
        <v>0</v>
      </c>
      <c r="N694">
        <f>IFERROR(ROUNDUP(50/VLOOKUP(Calculations[[#This Row],[Scope Element]],B4referenceServiceLife[[Tier 2 element]:[Default Service Life]],2, FALSE)-1,0),0)</f>
        <v>0</v>
      </c>
      <c r="O694" s="322">
        <f>IFERROR((Calculations[[#This Row],[A1-3]]+Calculations[[#This Row],[A4]]+Calculations[[#This Row],[A5]]+Calculations[[#This Row],[C2 total]]+Calculations[[#This Row],[C3 total]]+Calculations[[#This Row],[C4 total]])*Calculations[[#This Row],[Replacements]],0)</f>
        <v>0</v>
      </c>
      <c r="S694" t="str">
        <f>IFERROR(VLOOKUP(Calculations[[#This Row],[Material (choose from dropdown]],MaterialData[#All],4,FALSE),"")</f>
        <v/>
      </c>
      <c r="T694" s="322" cm="1">
        <f t="array" ref="T694">IFERROR(VLOOKUP(Calculations[[#This Row],[Waste 1]],WasteScenario[#All],2,FALSE)*'Stage assumptions'!$C$225*WasteTransportMethod[Emissions Factor
kgCO2e/kg.km]*Calculations[[#This Row],[Total Kg]],0)</f>
        <v>0</v>
      </c>
      <c r="U694" s="322" cm="1">
        <f t="array" ref="U694">IFERROR(VLOOKUP(Calculations[[#This Row],[Waste 1]],WasteScenario[#All],3,FALSE)*'Stage assumptions'!$C$224*WasteTransportMethod[Emissions Factor
kgCO2e/kg.km]*Calculations[[#This Row],[Total Kg]],0)</f>
        <v>0</v>
      </c>
      <c r="V694" s="322" cm="1">
        <f t="array" ref="V694">IFERROR(VLOOKUP(Calculations[[#This Row],[Waste 1]],WasteScenario[#All],4,FALSE)*'Stage assumptions'!$C$223*WasteTransportMethod[Emissions Factor
kgCO2e/kg.km]*Calculations[[#This Row],[Total Kg]],0)</f>
        <v>0</v>
      </c>
      <c r="W694" s="322" cm="1">
        <f t="array" ref="W694">IFERROR(VLOOKUP(Calculations[[#This Row],[Waste 1]],WasteScenario[#All],5,FALSE)*'Stage assumptions'!$C$226*WasteTransportMethod[Emissions Factor
kgCO2e/kg.km]*Calculations[[#This Row],[Total Kg]],0)</f>
        <v>0</v>
      </c>
      <c r="X694" s="322">
        <f>SUM(Calculations[[#This Row],[C2 Recycle]:[C2 Reuse]])</f>
        <v>0</v>
      </c>
      <c r="Y694" t="str">
        <f>IFERROR(VLOOKUP(Calculations[[#This Row],[Material (choose from dropdown]],MaterialData[#All],5,FALSE),"")</f>
        <v/>
      </c>
      <c r="Z694" s="322">
        <f>IFERROR(((VLOOKUP(Calculations[[#This Row],[Waste type 2]],WasteDisposalEmissions[#All],2,FALSE))*Calculations[[#This Row],[Total Kg]])*VLOOKUP(Calculations[[#This Row],[Waste 1]],WasteScenario[#All],2,FALSE),0)</f>
        <v>0</v>
      </c>
      <c r="AA694" s="322">
        <f>IFERROR((VLOOKUP(Calculations[[#This Row],[Waste type 2]],WasteDisposalEmissions[#All],3,FALSE))*Calculations[[#This Row],[Total Kg]]*VLOOKUP(Calculations[[#This Row],[Waste 1]],WasteScenario[#All],3,FALSE),0)</f>
        <v>0</v>
      </c>
      <c r="AB694" s="322">
        <f>SUM(Calculations[[#This Row],[C3 recyc]:[C3 incin]])</f>
        <v>0</v>
      </c>
      <c r="AC694" s="334">
        <f>IFERROR((VLOOKUP(Calculations[[#This Row],[Waste type 2]],WasteLandfillEmissions[#All],2,FALSE))*Calculations[[#This Row],[Total Kg]]*VLOOKUP(Calculations[[#This Row],[Waste 1]],WasteScenario[#All],4,FALSE),0)</f>
        <v>0</v>
      </c>
      <c r="AD694" s="322">
        <f>IFERROR((VLOOKUP(Calculations[[#This Row],[Waste type 2]],WasteLandfillEmissions[#All],3,FALSE))*Calculations[[#This Row],[Total Kg]]*VLOOKUP(Calculations[[#This Row],[Waste 1]],WasteScenario[#All],4,FALSE),0)</f>
        <v>0</v>
      </c>
      <c r="AE694" s="322">
        <f>SUM(Calculations[[#This Row],[C4 landfill]:[C4 re-use]])</f>
        <v>0</v>
      </c>
      <c r="AF694" s="322">
        <f>IFERROR(VLOOKUP(Calculations[[#This Row],[Material (choose from dropdown]],MaterialData[#All],8,FALSE),0)</f>
        <v>0</v>
      </c>
      <c r="AG694" s="322">
        <f>IFERROR(Calculations[[#This Row],[Total Kg]]*Calculations[[#This Row],[Seq factor]],0)</f>
        <v>0</v>
      </c>
      <c r="AI694" s="322">
        <f>Calculations[[#This Row],[A1-3]]+Calculations[[#This Row],[A4]]+Calculations[[#This Row],[A5]]+Calculations[[#This Row],[B4]]+Calculations[[#This Row],[C2 total]]+Calculations[[#This Row],[C3 total]]+Calculations[[#This Row],[C4 total]]</f>
        <v>0</v>
      </c>
      <c r="AJ694" s="2">
        <f>IFERROR(VLOOKUP(Calculations[[#This Row],[Material (choose from dropdown]],MaterialData[[#Headers],[#Data]],9,FALSE),0)</f>
        <v>0</v>
      </c>
      <c r="AK694" s="4">
        <f>IFERROR(VLOOKUP(Calculations[[#This Row],[Material (choose from dropdown]],MaterialData[[#Headers],[#Data]],10,FALSE),0)</f>
        <v>0</v>
      </c>
      <c r="AL694" s="322">
        <f>IFERROR(Calculations[[#This Row],[Data Quality Score]]*Calculations[[#This Row],[Total Kg]],0)</f>
        <v>0</v>
      </c>
    </row>
    <row r="695" spans="1:38" x14ac:dyDescent="0.3">
      <c r="A695" s="6">
        <f>IFERROR(MaterialsBoQ[[#This Row],[Scope Element]],0)</f>
        <v>0</v>
      </c>
      <c r="B695" t="str">
        <f>IFERROR(MaterialsBoQ[[#This Row],[Material ]],"")</f>
        <v/>
      </c>
      <c r="C695" t="str">
        <f>IFERROR(MaterialsBoQ[[#This Row],[Unit]],"")</f>
        <v/>
      </c>
      <c r="D695" s="322">
        <f>IFERROR(MaterialsBoQ[[#This Row],[Number]],0)</f>
        <v>0</v>
      </c>
      <c r="E695" s="322">
        <f>IFERROR(MaterialsBoQ[[#This Row],[Kg per unit]],0)</f>
        <v>0</v>
      </c>
      <c r="F695" s="322">
        <f>IFERROR(Calculations[[#This Row],[Number]]*Calculations[[#This Row],[Conversion factor]],0)</f>
        <v>0</v>
      </c>
      <c r="G695" s="322">
        <f>IFERROR(VLOOKUP(Calculations[[#This Row],[Material (choose from dropdown]],MaterialData[#All],7,FALSE),0)</f>
        <v>0</v>
      </c>
      <c r="H695" s="322">
        <f>Calculations[[#This Row],[Total Kg]]*Calculations[[#This Row],[Carbon Factor]]</f>
        <v>0</v>
      </c>
      <c r="I695" t="str">
        <f>IFERROR(VLOOKUP(Calculations[[#This Row],[Material (choose from dropdown]],MaterialData[#All],2,FALSE),"")</f>
        <v/>
      </c>
      <c r="J695" s="322">
        <f>IFERROR(((VLOOKUP(Calculations[[#This Row],[TransportSource]],TransportDistance[],2,FALSE)*'Stage assumptions'!$C$11)+VLOOKUP(Calculations[[#This Row],[TransportSource]],TransportDistance[],3,FALSE)*'Stage assumptions'!$C$12)*Calculations[[#This Row],[Total Kg]],0)</f>
        <v>0</v>
      </c>
      <c r="K695">
        <f>IFERROR(VLOOKUP(Calculations[[#This Row],[Material (choose from dropdown]], MaterialData[#All],3, FALSE),0)</f>
        <v>0</v>
      </c>
      <c r="L695" s="322">
        <f>IFERROR(VLOOKUP(Calculations[[#This Row],[A5type]],A5WastageRate[#All],2,FALSE)*Calculations[[#This Row],[A1-3]],0)</f>
        <v>0</v>
      </c>
      <c r="N695">
        <f>IFERROR(ROUNDUP(50/VLOOKUP(Calculations[[#This Row],[Scope Element]],B4referenceServiceLife[[Tier 2 element]:[Default Service Life]],2, FALSE)-1,0),0)</f>
        <v>0</v>
      </c>
      <c r="O695" s="322">
        <f>IFERROR((Calculations[[#This Row],[A1-3]]+Calculations[[#This Row],[A4]]+Calculations[[#This Row],[A5]]+Calculations[[#This Row],[C2 total]]+Calculations[[#This Row],[C3 total]]+Calculations[[#This Row],[C4 total]])*Calculations[[#This Row],[Replacements]],0)</f>
        <v>0</v>
      </c>
      <c r="S695" t="str">
        <f>IFERROR(VLOOKUP(Calculations[[#This Row],[Material (choose from dropdown]],MaterialData[#All],4,FALSE),"")</f>
        <v/>
      </c>
      <c r="T695" s="322" cm="1">
        <f t="array" ref="T695">IFERROR(VLOOKUP(Calculations[[#This Row],[Waste 1]],WasteScenario[#All],2,FALSE)*'Stage assumptions'!$C$225*WasteTransportMethod[Emissions Factor
kgCO2e/kg.km]*Calculations[[#This Row],[Total Kg]],0)</f>
        <v>0</v>
      </c>
      <c r="U695" s="322" cm="1">
        <f t="array" ref="U695">IFERROR(VLOOKUP(Calculations[[#This Row],[Waste 1]],WasteScenario[#All],3,FALSE)*'Stage assumptions'!$C$224*WasteTransportMethod[Emissions Factor
kgCO2e/kg.km]*Calculations[[#This Row],[Total Kg]],0)</f>
        <v>0</v>
      </c>
      <c r="V695" s="322" cm="1">
        <f t="array" ref="V695">IFERROR(VLOOKUP(Calculations[[#This Row],[Waste 1]],WasteScenario[#All],4,FALSE)*'Stage assumptions'!$C$223*WasteTransportMethod[Emissions Factor
kgCO2e/kg.km]*Calculations[[#This Row],[Total Kg]],0)</f>
        <v>0</v>
      </c>
      <c r="W695" s="322" cm="1">
        <f t="array" ref="W695">IFERROR(VLOOKUP(Calculations[[#This Row],[Waste 1]],WasteScenario[#All],5,FALSE)*'Stage assumptions'!$C$226*WasteTransportMethod[Emissions Factor
kgCO2e/kg.km]*Calculations[[#This Row],[Total Kg]],0)</f>
        <v>0</v>
      </c>
      <c r="X695" s="322">
        <f>SUM(Calculations[[#This Row],[C2 Recycle]:[C2 Reuse]])</f>
        <v>0</v>
      </c>
      <c r="Y695" t="str">
        <f>IFERROR(VLOOKUP(Calculations[[#This Row],[Material (choose from dropdown]],MaterialData[#All],5,FALSE),"")</f>
        <v/>
      </c>
      <c r="Z695" s="322">
        <f>IFERROR(((VLOOKUP(Calculations[[#This Row],[Waste type 2]],WasteDisposalEmissions[#All],2,FALSE))*Calculations[[#This Row],[Total Kg]])*VLOOKUP(Calculations[[#This Row],[Waste 1]],WasteScenario[#All],2,FALSE),0)</f>
        <v>0</v>
      </c>
      <c r="AA695" s="322">
        <f>IFERROR((VLOOKUP(Calculations[[#This Row],[Waste type 2]],WasteDisposalEmissions[#All],3,FALSE))*Calculations[[#This Row],[Total Kg]]*VLOOKUP(Calculations[[#This Row],[Waste 1]],WasteScenario[#All],3,FALSE),0)</f>
        <v>0</v>
      </c>
      <c r="AB695" s="322">
        <f>SUM(Calculations[[#This Row],[C3 recyc]:[C3 incin]])</f>
        <v>0</v>
      </c>
      <c r="AC695" s="334">
        <f>IFERROR((VLOOKUP(Calculations[[#This Row],[Waste type 2]],WasteLandfillEmissions[#All],2,FALSE))*Calculations[[#This Row],[Total Kg]]*VLOOKUP(Calculations[[#This Row],[Waste 1]],WasteScenario[#All],4,FALSE),0)</f>
        <v>0</v>
      </c>
      <c r="AD695" s="322">
        <f>IFERROR((VLOOKUP(Calculations[[#This Row],[Waste type 2]],WasteLandfillEmissions[#All],3,FALSE))*Calculations[[#This Row],[Total Kg]]*VLOOKUP(Calculations[[#This Row],[Waste 1]],WasteScenario[#All],4,FALSE),0)</f>
        <v>0</v>
      </c>
      <c r="AE695" s="322">
        <f>SUM(Calculations[[#This Row],[C4 landfill]:[C4 re-use]])</f>
        <v>0</v>
      </c>
      <c r="AF695" s="322">
        <f>IFERROR(VLOOKUP(Calculations[[#This Row],[Material (choose from dropdown]],MaterialData[#All],8,FALSE),0)</f>
        <v>0</v>
      </c>
      <c r="AG695" s="322">
        <f>IFERROR(Calculations[[#This Row],[Total Kg]]*Calculations[[#This Row],[Seq factor]],0)</f>
        <v>0</v>
      </c>
      <c r="AI695" s="322">
        <f>Calculations[[#This Row],[A1-3]]+Calculations[[#This Row],[A4]]+Calculations[[#This Row],[A5]]+Calculations[[#This Row],[B4]]+Calculations[[#This Row],[C2 total]]+Calculations[[#This Row],[C3 total]]+Calculations[[#This Row],[C4 total]]</f>
        <v>0</v>
      </c>
      <c r="AJ695" s="2">
        <f>IFERROR(VLOOKUP(Calculations[[#This Row],[Material (choose from dropdown]],MaterialData[[#Headers],[#Data]],9,FALSE),0)</f>
        <v>0</v>
      </c>
      <c r="AK695" s="4">
        <f>IFERROR(VLOOKUP(Calculations[[#This Row],[Material (choose from dropdown]],MaterialData[[#Headers],[#Data]],10,FALSE),0)</f>
        <v>0</v>
      </c>
      <c r="AL695" s="322">
        <f>IFERROR(Calculations[[#This Row],[Data Quality Score]]*Calculations[[#This Row],[Total Kg]],0)</f>
        <v>0</v>
      </c>
    </row>
    <row r="696" spans="1:38" x14ac:dyDescent="0.3">
      <c r="A696" s="6">
        <f>IFERROR(MaterialsBoQ[[#This Row],[Scope Element]],0)</f>
        <v>0</v>
      </c>
      <c r="B696" t="str">
        <f>IFERROR(MaterialsBoQ[[#This Row],[Material ]],"")</f>
        <v/>
      </c>
      <c r="C696" t="str">
        <f>IFERROR(MaterialsBoQ[[#This Row],[Unit]],"")</f>
        <v/>
      </c>
      <c r="D696" s="322">
        <f>IFERROR(MaterialsBoQ[[#This Row],[Number]],0)</f>
        <v>0</v>
      </c>
      <c r="E696" s="322">
        <f>IFERROR(MaterialsBoQ[[#This Row],[Kg per unit]],0)</f>
        <v>0</v>
      </c>
      <c r="F696" s="322">
        <f>IFERROR(Calculations[[#This Row],[Number]]*Calculations[[#This Row],[Conversion factor]],0)</f>
        <v>0</v>
      </c>
      <c r="G696" s="322">
        <f>IFERROR(VLOOKUP(Calculations[[#This Row],[Material (choose from dropdown]],MaterialData[#All],7,FALSE),0)</f>
        <v>0</v>
      </c>
      <c r="H696" s="322">
        <f>Calculations[[#This Row],[Total Kg]]*Calculations[[#This Row],[Carbon Factor]]</f>
        <v>0</v>
      </c>
      <c r="I696" t="str">
        <f>IFERROR(VLOOKUP(Calculations[[#This Row],[Material (choose from dropdown]],MaterialData[#All],2,FALSE),"")</f>
        <v/>
      </c>
      <c r="J696" s="322">
        <f>IFERROR(((VLOOKUP(Calculations[[#This Row],[TransportSource]],TransportDistance[],2,FALSE)*'Stage assumptions'!$C$11)+VLOOKUP(Calculations[[#This Row],[TransportSource]],TransportDistance[],3,FALSE)*'Stage assumptions'!$C$12)*Calculations[[#This Row],[Total Kg]],0)</f>
        <v>0</v>
      </c>
      <c r="K696">
        <f>IFERROR(VLOOKUP(Calculations[[#This Row],[Material (choose from dropdown]], MaterialData[#All],3, FALSE),0)</f>
        <v>0</v>
      </c>
      <c r="L696" s="322">
        <f>IFERROR(VLOOKUP(Calculations[[#This Row],[A5type]],A5WastageRate[#All],2,FALSE)*Calculations[[#This Row],[A1-3]],0)</f>
        <v>0</v>
      </c>
      <c r="N696">
        <f>IFERROR(ROUNDUP(50/VLOOKUP(Calculations[[#This Row],[Scope Element]],B4referenceServiceLife[[Tier 2 element]:[Default Service Life]],2, FALSE)-1,0),0)</f>
        <v>0</v>
      </c>
      <c r="O696" s="322">
        <f>IFERROR((Calculations[[#This Row],[A1-3]]+Calculations[[#This Row],[A4]]+Calculations[[#This Row],[A5]]+Calculations[[#This Row],[C2 total]]+Calculations[[#This Row],[C3 total]]+Calculations[[#This Row],[C4 total]])*Calculations[[#This Row],[Replacements]],0)</f>
        <v>0</v>
      </c>
      <c r="S696" t="str">
        <f>IFERROR(VLOOKUP(Calculations[[#This Row],[Material (choose from dropdown]],MaterialData[#All],4,FALSE),"")</f>
        <v/>
      </c>
      <c r="T696" s="322" cm="1">
        <f t="array" ref="T696">IFERROR(VLOOKUP(Calculations[[#This Row],[Waste 1]],WasteScenario[#All],2,FALSE)*'Stage assumptions'!$C$225*WasteTransportMethod[Emissions Factor
kgCO2e/kg.km]*Calculations[[#This Row],[Total Kg]],0)</f>
        <v>0</v>
      </c>
      <c r="U696" s="322" cm="1">
        <f t="array" ref="U696">IFERROR(VLOOKUP(Calculations[[#This Row],[Waste 1]],WasteScenario[#All],3,FALSE)*'Stage assumptions'!$C$224*WasteTransportMethod[Emissions Factor
kgCO2e/kg.km]*Calculations[[#This Row],[Total Kg]],0)</f>
        <v>0</v>
      </c>
      <c r="V696" s="322" cm="1">
        <f t="array" ref="V696">IFERROR(VLOOKUP(Calculations[[#This Row],[Waste 1]],WasteScenario[#All],4,FALSE)*'Stage assumptions'!$C$223*WasteTransportMethod[Emissions Factor
kgCO2e/kg.km]*Calculations[[#This Row],[Total Kg]],0)</f>
        <v>0</v>
      </c>
      <c r="W696" s="322" cm="1">
        <f t="array" ref="W696">IFERROR(VLOOKUP(Calculations[[#This Row],[Waste 1]],WasteScenario[#All],5,FALSE)*'Stage assumptions'!$C$226*WasteTransportMethod[Emissions Factor
kgCO2e/kg.km]*Calculations[[#This Row],[Total Kg]],0)</f>
        <v>0</v>
      </c>
      <c r="X696" s="322">
        <f>SUM(Calculations[[#This Row],[C2 Recycle]:[C2 Reuse]])</f>
        <v>0</v>
      </c>
      <c r="Y696" t="str">
        <f>IFERROR(VLOOKUP(Calculations[[#This Row],[Material (choose from dropdown]],MaterialData[#All],5,FALSE),"")</f>
        <v/>
      </c>
      <c r="Z696" s="322">
        <f>IFERROR(((VLOOKUP(Calculations[[#This Row],[Waste type 2]],WasteDisposalEmissions[#All],2,FALSE))*Calculations[[#This Row],[Total Kg]])*VLOOKUP(Calculations[[#This Row],[Waste 1]],WasteScenario[#All],2,FALSE),0)</f>
        <v>0</v>
      </c>
      <c r="AA696" s="322">
        <f>IFERROR((VLOOKUP(Calculations[[#This Row],[Waste type 2]],WasteDisposalEmissions[#All],3,FALSE))*Calculations[[#This Row],[Total Kg]]*VLOOKUP(Calculations[[#This Row],[Waste 1]],WasteScenario[#All],3,FALSE),0)</f>
        <v>0</v>
      </c>
      <c r="AB696" s="322">
        <f>SUM(Calculations[[#This Row],[C3 recyc]:[C3 incin]])</f>
        <v>0</v>
      </c>
      <c r="AC696" s="334">
        <f>IFERROR((VLOOKUP(Calculations[[#This Row],[Waste type 2]],WasteLandfillEmissions[#All],2,FALSE))*Calculations[[#This Row],[Total Kg]]*VLOOKUP(Calculations[[#This Row],[Waste 1]],WasteScenario[#All],4,FALSE),0)</f>
        <v>0</v>
      </c>
      <c r="AD696" s="322">
        <f>IFERROR((VLOOKUP(Calculations[[#This Row],[Waste type 2]],WasteLandfillEmissions[#All],3,FALSE))*Calculations[[#This Row],[Total Kg]]*VLOOKUP(Calculations[[#This Row],[Waste 1]],WasteScenario[#All],4,FALSE),0)</f>
        <v>0</v>
      </c>
      <c r="AE696" s="322">
        <f>SUM(Calculations[[#This Row],[C4 landfill]:[C4 re-use]])</f>
        <v>0</v>
      </c>
      <c r="AF696" s="322">
        <f>IFERROR(VLOOKUP(Calculations[[#This Row],[Material (choose from dropdown]],MaterialData[#All],8,FALSE),0)</f>
        <v>0</v>
      </c>
      <c r="AG696" s="322">
        <f>IFERROR(Calculations[[#This Row],[Total Kg]]*Calculations[[#This Row],[Seq factor]],0)</f>
        <v>0</v>
      </c>
      <c r="AI696" s="322">
        <f>Calculations[[#This Row],[A1-3]]+Calculations[[#This Row],[A4]]+Calculations[[#This Row],[A5]]+Calculations[[#This Row],[B4]]+Calculations[[#This Row],[C2 total]]+Calculations[[#This Row],[C3 total]]+Calculations[[#This Row],[C4 total]]</f>
        <v>0</v>
      </c>
      <c r="AJ696" s="2">
        <f>IFERROR(VLOOKUP(Calculations[[#This Row],[Material (choose from dropdown]],MaterialData[[#Headers],[#Data]],9,FALSE),0)</f>
        <v>0</v>
      </c>
      <c r="AK696" s="4">
        <f>IFERROR(VLOOKUP(Calculations[[#This Row],[Material (choose from dropdown]],MaterialData[[#Headers],[#Data]],10,FALSE),0)</f>
        <v>0</v>
      </c>
      <c r="AL696" s="322">
        <f>IFERROR(Calculations[[#This Row],[Data Quality Score]]*Calculations[[#This Row],[Total Kg]],0)</f>
        <v>0</v>
      </c>
    </row>
    <row r="697" spans="1:38" x14ac:dyDescent="0.3">
      <c r="A697" s="6">
        <f>IFERROR(MaterialsBoQ[[#This Row],[Scope Element]],0)</f>
        <v>0</v>
      </c>
      <c r="B697" t="str">
        <f>IFERROR(MaterialsBoQ[[#This Row],[Material ]],"")</f>
        <v/>
      </c>
      <c r="C697" t="str">
        <f>IFERROR(MaterialsBoQ[[#This Row],[Unit]],"")</f>
        <v/>
      </c>
      <c r="D697" s="322">
        <f>IFERROR(MaterialsBoQ[[#This Row],[Number]],0)</f>
        <v>0</v>
      </c>
      <c r="E697" s="322">
        <f>IFERROR(MaterialsBoQ[[#This Row],[Kg per unit]],0)</f>
        <v>0</v>
      </c>
      <c r="F697" s="322">
        <f>IFERROR(Calculations[[#This Row],[Number]]*Calculations[[#This Row],[Conversion factor]],0)</f>
        <v>0</v>
      </c>
      <c r="G697" s="322">
        <f>IFERROR(VLOOKUP(Calculations[[#This Row],[Material (choose from dropdown]],MaterialData[#All],7,FALSE),0)</f>
        <v>0</v>
      </c>
      <c r="H697" s="322">
        <f>Calculations[[#This Row],[Total Kg]]*Calculations[[#This Row],[Carbon Factor]]</f>
        <v>0</v>
      </c>
      <c r="I697" t="str">
        <f>IFERROR(VLOOKUP(Calculations[[#This Row],[Material (choose from dropdown]],MaterialData[#All],2,FALSE),"")</f>
        <v/>
      </c>
      <c r="J697" s="322">
        <f>IFERROR(((VLOOKUP(Calculations[[#This Row],[TransportSource]],TransportDistance[],2,FALSE)*'Stage assumptions'!$C$11)+VLOOKUP(Calculations[[#This Row],[TransportSource]],TransportDistance[],3,FALSE)*'Stage assumptions'!$C$12)*Calculations[[#This Row],[Total Kg]],0)</f>
        <v>0</v>
      </c>
      <c r="K697">
        <f>IFERROR(VLOOKUP(Calculations[[#This Row],[Material (choose from dropdown]], MaterialData[#All],3, FALSE),0)</f>
        <v>0</v>
      </c>
      <c r="L697" s="322">
        <f>IFERROR(VLOOKUP(Calculations[[#This Row],[A5type]],A5WastageRate[#All],2,FALSE)*Calculations[[#This Row],[A1-3]],0)</f>
        <v>0</v>
      </c>
      <c r="N697">
        <f>IFERROR(ROUNDUP(50/VLOOKUP(Calculations[[#This Row],[Scope Element]],B4referenceServiceLife[[Tier 2 element]:[Default Service Life]],2, FALSE)-1,0),0)</f>
        <v>0</v>
      </c>
      <c r="O697" s="322">
        <f>IFERROR((Calculations[[#This Row],[A1-3]]+Calculations[[#This Row],[A4]]+Calculations[[#This Row],[A5]]+Calculations[[#This Row],[C2 total]]+Calculations[[#This Row],[C3 total]]+Calculations[[#This Row],[C4 total]])*Calculations[[#This Row],[Replacements]],0)</f>
        <v>0</v>
      </c>
      <c r="S697" t="str">
        <f>IFERROR(VLOOKUP(Calculations[[#This Row],[Material (choose from dropdown]],MaterialData[#All],4,FALSE),"")</f>
        <v/>
      </c>
      <c r="T697" s="322" cm="1">
        <f t="array" ref="T697">IFERROR(VLOOKUP(Calculations[[#This Row],[Waste 1]],WasteScenario[#All],2,FALSE)*'Stage assumptions'!$C$225*WasteTransportMethod[Emissions Factor
kgCO2e/kg.km]*Calculations[[#This Row],[Total Kg]],0)</f>
        <v>0</v>
      </c>
      <c r="U697" s="322" cm="1">
        <f t="array" ref="U697">IFERROR(VLOOKUP(Calculations[[#This Row],[Waste 1]],WasteScenario[#All],3,FALSE)*'Stage assumptions'!$C$224*WasteTransportMethod[Emissions Factor
kgCO2e/kg.km]*Calculations[[#This Row],[Total Kg]],0)</f>
        <v>0</v>
      </c>
      <c r="V697" s="322" cm="1">
        <f t="array" ref="V697">IFERROR(VLOOKUP(Calculations[[#This Row],[Waste 1]],WasteScenario[#All],4,FALSE)*'Stage assumptions'!$C$223*WasteTransportMethod[Emissions Factor
kgCO2e/kg.km]*Calculations[[#This Row],[Total Kg]],0)</f>
        <v>0</v>
      </c>
      <c r="W697" s="322" cm="1">
        <f t="array" ref="W697">IFERROR(VLOOKUP(Calculations[[#This Row],[Waste 1]],WasteScenario[#All],5,FALSE)*'Stage assumptions'!$C$226*WasteTransportMethod[Emissions Factor
kgCO2e/kg.km]*Calculations[[#This Row],[Total Kg]],0)</f>
        <v>0</v>
      </c>
      <c r="X697" s="322">
        <f>SUM(Calculations[[#This Row],[C2 Recycle]:[C2 Reuse]])</f>
        <v>0</v>
      </c>
      <c r="Y697" t="str">
        <f>IFERROR(VLOOKUP(Calculations[[#This Row],[Material (choose from dropdown]],MaterialData[#All],5,FALSE),"")</f>
        <v/>
      </c>
      <c r="Z697" s="322">
        <f>IFERROR(((VLOOKUP(Calculations[[#This Row],[Waste type 2]],WasteDisposalEmissions[#All],2,FALSE))*Calculations[[#This Row],[Total Kg]])*VLOOKUP(Calculations[[#This Row],[Waste 1]],WasteScenario[#All],2,FALSE),0)</f>
        <v>0</v>
      </c>
      <c r="AA697" s="322">
        <f>IFERROR((VLOOKUP(Calculations[[#This Row],[Waste type 2]],WasteDisposalEmissions[#All],3,FALSE))*Calculations[[#This Row],[Total Kg]]*VLOOKUP(Calculations[[#This Row],[Waste 1]],WasteScenario[#All],3,FALSE),0)</f>
        <v>0</v>
      </c>
      <c r="AB697" s="322">
        <f>SUM(Calculations[[#This Row],[C3 recyc]:[C3 incin]])</f>
        <v>0</v>
      </c>
      <c r="AC697" s="334">
        <f>IFERROR((VLOOKUP(Calculations[[#This Row],[Waste type 2]],WasteLandfillEmissions[#All],2,FALSE))*Calculations[[#This Row],[Total Kg]]*VLOOKUP(Calculations[[#This Row],[Waste 1]],WasteScenario[#All],4,FALSE),0)</f>
        <v>0</v>
      </c>
      <c r="AD697" s="322">
        <f>IFERROR((VLOOKUP(Calculations[[#This Row],[Waste type 2]],WasteLandfillEmissions[#All],3,FALSE))*Calculations[[#This Row],[Total Kg]]*VLOOKUP(Calculations[[#This Row],[Waste 1]],WasteScenario[#All],4,FALSE),0)</f>
        <v>0</v>
      </c>
      <c r="AE697" s="322">
        <f>SUM(Calculations[[#This Row],[C4 landfill]:[C4 re-use]])</f>
        <v>0</v>
      </c>
      <c r="AF697" s="322">
        <f>IFERROR(VLOOKUP(Calculations[[#This Row],[Material (choose from dropdown]],MaterialData[#All],8,FALSE),0)</f>
        <v>0</v>
      </c>
      <c r="AG697" s="322">
        <f>IFERROR(Calculations[[#This Row],[Total Kg]]*Calculations[[#This Row],[Seq factor]],0)</f>
        <v>0</v>
      </c>
      <c r="AI697" s="322">
        <f>Calculations[[#This Row],[A1-3]]+Calculations[[#This Row],[A4]]+Calculations[[#This Row],[A5]]+Calculations[[#This Row],[B4]]+Calculations[[#This Row],[C2 total]]+Calculations[[#This Row],[C3 total]]+Calculations[[#This Row],[C4 total]]</f>
        <v>0</v>
      </c>
      <c r="AJ697" s="2">
        <f>IFERROR(VLOOKUP(Calculations[[#This Row],[Material (choose from dropdown]],MaterialData[[#Headers],[#Data]],9,FALSE),0)</f>
        <v>0</v>
      </c>
      <c r="AK697" s="4">
        <f>IFERROR(VLOOKUP(Calculations[[#This Row],[Material (choose from dropdown]],MaterialData[[#Headers],[#Data]],10,FALSE),0)</f>
        <v>0</v>
      </c>
      <c r="AL697" s="322">
        <f>IFERROR(Calculations[[#This Row],[Data Quality Score]]*Calculations[[#This Row],[Total Kg]],0)</f>
        <v>0</v>
      </c>
    </row>
    <row r="698" spans="1:38" x14ac:dyDescent="0.3">
      <c r="A698" s="6">
        <f>IFERROR(MaterialsBoQ[[#This Row],[Scope Element]],0)</f>
        <v>0</v>
      </c>
      <c r="B698" t="str">
        <f>IFERROR(MaterialsBoQ[[#This Row],[Material ]],"")</f>
        <v/>
      </c>
      <c r="C698" t="str">
        <f>IFERROR(MaterialsBoQ[[#This Row],[Unit]],"")</f>
        <v/>
      </c>
      <c r="D698" s="322">
        <f>IFERROR(MaterialsBoQ[[#This Row],[Number]],0)</f>
        <v>0</v>
      </c>
      <c r="E698" s="322">
        <f>IFERROR(MaterialsBoQ[[#This Row],[Kg per unit]],0)</f>
        <v>0</v>
      </c>
      <c r="F698" s="322">
        <f>IFERROR(Calculations[[#This Row],[Number]]*Calculations[[#This Row],[Conversion factor]],0)</f>
        <v>0</v>
      </c>
      <c r="G698" s="322">
        <f>IFERROR(VLOOKUP(Calculations[[#This Row],[Material (choose from dropdown]],MaterialData[#All],7,FALSE),0)</f>
        <v>0</v>
      </c>
      <c r="H698" s="322">
        <f>Calculations[[#This Row],[Total Kg]]*Calculations[[#This Row],[Carbon Factor]]</f>
        <v>0</v>
      </c>
      <c r="I698" t="str">
        <f>IFERROR(VLOOKUP(Calculations[[#This Row],[Material (choose from dropdown]],MaterialData[#All],2,FALSE),"")</f>
        <v/>
      </c>
      <c r="J698" s="322">
        <f>IFERROR(((VLOOKUP(Calculations[[#This Row],[TransportSource]],TransportDistance[],2,FALSE)*'Stage assumptions'!$C$11)+VLOOKUP(Calculations[[#This Row],[TransportSource]],TransportDistance[],3,FALSE)*'Stage assumptions'!$C$12)*Calculations[[#This Row],[Total Kg]],0)</f>
        <v>0</v>
      </c>
      <c r="K698">
        <f>IFERROR(VLOOKUP(Calculations[[#This Row],[Material (choose from dropdown]], MaterialData[#All],3, FALSE),0)</f>
        <v>0</v>
      </c>
      <c r="L698" s="322">
        <f>IFERROR(VLOOKUP(Calculations[[#This Row],[A5type]],A5WastageRate[#All],2,FALSE)*Calculations[[#This Row],[A1-3]],0)</f>
        <v>0</v>
      </c>
      <c r="N698">
        <f>IFERROR(ROUNDUP(50/VLOOKUP(Calculations[[#This Row],[Scope Element]],B4referenceServiceLife[[Tier 2 element]:[Default Service Life]],2, FALSE)-1,0),0)</f>
        <v>0</v>
      </c>
      <c r="O698" s="322">
        <f>IFERROR((Calculations[[#This Row],[A1-3]]+Calculations[[#This Row],[A4]]+Calculations[[#This Row],[A5]]+Calculations[[#This Row],[C2 total]]+Calculations[[#This Row],[C3 total]]+Calculations[[#This Row],[C4 total]])*Calculations[[#This Row],[Replacements]],0)</f>
        <v>0</v>
      </c>
      <c r="S698" t="str">
        <f>IFERROR(VLOOKUP(Calculations[[#This Row],[Material (choose from dropdown]],MaterialData[#All],4,FALSE),"")</f>
        <v/>
      </c>
      <c r="T698" s="322" cm="1">
        <f t="array" ref="T698">IFERROR(VLOOKUP(Calculations[[#This Row],[Waste 1]],WasteScenario[#All],2,FALSE)*'Stage assumptions'!$C$225*WasteTransportMethod[Emissions Factor
kgCO2e/kg.km]*Calculations[[#This Row],[Total Kg]],0)</f>
        <v>0</v>
      </c>
      <c r="U698" s="322" cm="1">
        <f t="array" ref="U698">IFERROR(VLOOKUP(Calculations[[#This Row],[Waste 1]],WasteScenario[#All],3,FALSE)*'Stage assumptions'!$C$224*WasteTransportMethod[Emissions Factor
kgCO2e/kg.km]*Calculations[[#This Row],[Total Kg]],0)</f>
        <v>0</v>
      </c>
      <c r="V698" s="322" cm="1">
        <f t="array" ref="V698">IFERROR(VLOOKUP(Calculations[[#This Row],[Waste 1]],WasteScenario[#All],4,FALSE)*'Stage assumptions'!$C$223*WasteTransportMethod[Emissions Factor
kgCO2e/kg.km]*Calculations[[#This Row],[Total Kg]],0)</f>
        <v>0</v>
      </c>
      <c r="W698" s="322" cm="1">
        <f t="array" ref="W698">IFERROR(VLOOKUP(Calculations[[#This Row],[Waste 1]],WasteScenario[#All],5,FALSE)*'Stage assumptions'!$C$226*WasteTransportMethod[Emissions Factor
kgCO2e/kg.km]*Calculations[[#This Row],[Total Kg]],0)</f>
        <v>0</v>
      </c>
      <c r="X698" s="322">
        <f>SUM(Calculations[[#This Row],[C2 Recycle]:[C2 Reuse]])</f>
        <v>0</v>
      </c>
      <c r="Y698" t="str">
        <f>IFERROR(VLOOKUP(Calculations[[#This Row],[Material (choose from dropdown]],MaterialData[#All],5,FALSE),"")</f>
        <v/>
      </c>
      <c r="Z698" s="322">
        <f>IFERROR(((VLOOKUP(Calculations[[#This Row],[Waste type 2]],WasteDisposalEmissions[#All],2,FALSE))*Calculations[[#This Row],[Total Kg]])*VLOOKUP(Calculations[[#This Row],[Waste 1]],WasteScenario[#All],2,FALSE),0)</f>
        <v>0</v>
      </c>
      <c r="AA698" s="322">
        <f>IFERROR((VLOOKUP(Calculations[[#This Row],[Waste type 2]],WasteDisposalEmissions[#All],3,FALSE))*Calculations[[#This Row],[Total Kg]]*VLOOKUP(Calculations[[#This Row],[Waste 1]],WasteScenario[#All],3,FALSE),0)</f>
        <v>0</v>
      </c>
      <c r="AB698" s="322">
        <f>SUM(Calculations[[#This Row],[C3 recyc]:[C3 incin]])</f>
        <v>0</v>
      </c>
      <c r="AC698" s="334">
        <f>IFERROR((VLOOKUP(Calculations[[#This Row],[Waste type 2]],WasteLandfillEmissions[#All],2,FALSE))*Calculations[[#This Row],[Total Kg]]*VLOOKUP(Calculations[[#This Row],[Waste 1]],WasteScenario[#All],4,FALSE),0)</f>
        <v>0</v>
      </c>
      <c r="AD698" s="322">
        <f>IFERROR((VLOOKUP(Calculations[[#This Row],[Waste type 2]],WasteLandfillEmissions[#All],3,FALSE))*Calculations[[#This Row],[Total Kg]]*VLOOKUP(Calculations[[#This Row],[Waste 1]],WasteScenario[#All],4,FALSE),0)</f>
        <v>0</v>
      </c>
      <c r="AE698" s="322">
        <f>SUM(Calculations[[#This Row],[C4 landfill]:[C4 re-use]])</f>
        <v>0</v>
      </c>
      <c r="AF698" s="322">
        <f>IFERROR(VLOOKUP(Calculations[[#This Row],[Material (choose from dropdown]],MaterialData[#All],8,FALSE),0)</f>
        <v>0</v>
      </c>
      <c r="AG698" s="322">
        <f>IFERROR(Calculations[[#This Row],[Total Kg]]*Calculations[[#This Row],[Seq factor]],0)</f>
        <v>0</v>
      </c>
      <c r="AI698" s="322">
        <f>Calculations[[#This Row],[A1-3]]+Calculations[[#This Row],[A4]]+Calculations[[#This Row],[A5]]+Calculations[[#This Row],[B4]]+Calculations[[#This Row],[C2 total]]+Calculations[[#This Row],[C3 total]]+Calculations[[#This Row],[C4 total]]</f>
        <v>0</v>
      </c>
      <c r="AJ698" s="2">
        <f>IFERROR(VLOOKUP(Calculations[[#This Row],[Material (choose from dropdown]],MaterialData[[#Headers],[#Data]],9,FALSE),0)</f>
        <v>0</v>
      </c>
      <c r="AK698" s="4">
        <f>IFERROR(VLOOKUP(Calculations[[#This Row],[Material (choose from dropdown]],MaterialData[[#Headers],[#Data]],10,FALSE),0)</f>
        <v>0</v>
      </c>
      <c r="AL698" s="322">
        <f>IFERROR(Calculations[[#This Row],[Data Quality Score]]*Calculations[[#This Row],[Total Kg]],0)</f>
        <v>0</v>
      </c>
    </row>
    <row r="699" spans="1:38" x14ac:dyDescent="0.3">
      <c r="A699" s="6">
        <f>IFERROR(MaterialsBoQ[[#This Row],[Scope Element]],0)</f>
        <v>0</v>
      </c>
      <c r="B699" t="str">
        <f>IFERROR(MaterialsBoQ[[#This Row],[Material ]],"")</f>
        <v/>
      </c>
      <c r="C699" t="str">
        <f>IFERROR(MaterialsBoQ[[#This Row],[Unit]],"")</f>
        <v/>
      </c>
      <c r="D699" s="322">
        <f>IFERROR(MaterialsBoQ[[#This Row],[Number]],0)</f>
        <v>0</v>
      </c>
      <c r="E699" s="322">
        <f>IFERROR(MaterialsBoQ[[#This Row],[Kg per unit]],0)</f>
        <v>0</v>
      </c>
      <c r="F699" s="322">
        <f>IFERROR(Calculations[[#This Row],[Number]]*Calculations[[#This Row],[Conversion factor]],0)</f>
        <v>0</v>
      </c>
      <c r="G699" s="322">
        <f>IFERROR(VLOOKUP(Calculations[[#This Row],[Material (choose from dropdown]],MaterialData[#All],7,FALSE),0)</f>
        <v>0</v>
      </c>
      <c r="H699" s="322">
        <f>Calculations[[#This Row],[Total Kg]]*Calculations[[#This Row],[Carbon Factor]]</f>
        <v>0</v>
      </c>
      <c r="I699" t="str">
        <f>IFERROR(VLOOKUP(Calculations[[#This Row],[Material (choose from dropdown]],MaterialData[#All],2,FALSE),"")</f>
        <v/>
      </c>
      <c r="J699" s="322">
        <f>IFERROR(((VLOOKUP(Calculations[[#This Row],[TransportSource]],TransportDistance[],2,FALSE)*'Stage assumptions'!$C$11)+VLOOKUP(Calculations[[#This Row],[TransportSource]],TransportDistance[],3,FALSE)*'Stage assumptions'!$C$12)*Calculations[[#This Row],[Total Kg]],0)</f>
        <v>0</v>
      </c>
      <c r="K699">
        <f>IFERROR(VLOOKUP(Calculations[[#This Row],[Material (choose from dropdown]], MaterialData[#All],3, FALSE),0)</f>
        <v>0</v>
      </c>
      <c r="L699" s="322">
        <f>IFERROR(VLOOKUP(Calculations[[#This Row],[A5type]],A5WastageRate[#All],2,FALSE)*Calculations[[#This Row],[A1-3]],0)</f>
        <v>0</v>
      </c>
      <c r="N699">
        <f>IFERROR(ROUNDUP(50/VLOOKUP(Calculations[[#This Row],[Scope Element]],B4referenceServiceLife[[Tier 2 element]:[Default Service Life]],2, FALSE)-1,0),0)</f>
        <v>0</v>
      </c>
      <c r="O699" s="322">
        <f>IFERROR((Calculations[[#This Row],[A1-3]]+Calculations[[#This Row],[A4]]+Calculations[[#This Row],[A5]]+Calculations[[#This Row],[C2 total]]+Calculations[[#This Row],[C3 total]]+Calculations[[#This Row],[C4 total]])*Calculations[[#This Row],[Replacements]],0)</f>
        <v>0</v>
      </c>
      <c r="S699" t="str">
        <f>IFERROR(VLOOKUP(Calculations[[#This Row],[Material (choose from dropdown]],MaterialData[#All],4,FALSE),"")</f>
        <v/>
      </c>
      <c r="T699" s="322" cm="1">
        <f t="array" ref="T699">IFERROR(VLOOKUP(Calculations[[#This Row],[Waste 1]],WasteScenario[#All],2,FALSE)*'Stage assumptions'!$C$225*WasteTransportMethod[Emissions Factor
kgCO2e/kg.km]*Calculations[[#This Row],[Total Kg]],0)</f>
        <v>0</v>
      </c>
      <c r="U699" s="322" cm="1">
        <f t="array" ref="U699">IFERROR(VLOOKUP(Calculations[[#This Row],[Waste 1]],WasteScenario[#All],3,FALSE)*'Stage assumptions'!$C$224*WasteTransportMethod[Emissions Factor
kgCO2e/kg.km]*Calculations[[#This Row],[Total Kg]],0)</f>
        <v>0</v>
      </c>
      <c r="V699" s="322" cm="1">
        <f t="array" ref="V699">IFERROR(VLOOKUP(Calculations[[#This Row],[Waste 1]],WasteScenario[#All],4,FALSE)*'Stage assumptions'!$C$223*WasteTransportMethod[Emissions Factor
kgCO2e/kg.km]*Calculations[[#This Row],[Total Kg]],0)</f>
        <v>0</v>
      </c>
      <c r="W699" s="322" cm="1">
        <f t="array" ref="W699">IFERROR(VLOOKUP(Calculations[[#This Row],[Waste 1]],WasteScenario[#All],5,FALSE)*'Stage assumptions'!$C$226*WasteTransportMethod[Emissions Factor
kgCO2e/kg.km]*Calculations[[#This Row],[Total Kg]],0)</f>
        <v>0</v>
      </c>
      <c r="X699" s="322">
        <f>SUM(Calculations[[#This Row],[C2 Recycle]:[C2 Reuse]])</f>
        <v>0</v>
      </c>
      <c r="Y699" t="str">
        <f>IFERROR(VLOOKUP(Calculations[[#This Row],[Material (choose from dropdown]],MaterialData[#All],5,FALSE),"")</f>
        <v/>
      </c>
      <c r="Z699" s="322">
        <f>IFERROR(((VLOOKUP(Calculations[[#This Row],[Waste type 2]],WasteDisposalEmissions[#All],2,FALSE))*Calculations[[#This Row],[Total Kg]])*VLOOKUP(Calculations[[#This Row],[Waste 1]],WasteScenario[#All],2,FALSE),0)</f>
        <v>0</v>
      </c>
      <c r="AA699" s="322">
        <f>IFERROR((VLOOKUP(Calculations[[#This Row],[Waste type 2]],WasteDisposalEmissions[#All],3,FALSE))*Calculations[[#This Row],[Total Kg]]*VLOOKUP(Calculations[[#This Row],[Waste 1]],WasteScenario[#All],3,FALSE),0)</f>
        <v>0</v>
      </c>
      <c r="AB699" s="322">
        <f>SUM(Calculations[[#This Row],[C3 recyc]:[C3 incin]])</f>
        <v>0</v>
      </c>
      <c r="AC699" s="334">
        <f>IFERROR((VLOOKUP(Calculations[[#This Row],[Waste type 2]],WasteLandfillEmissions[#All],2,FALSE))*Calculations[[#This Row],[Total Kg]]*VLOOKUP(Calculations[[#This Row],[Waste 1]],WasteScenario[#All],4,FALSE),0)</f>
        <v>0</v>
      </c>
      <c r="AD699" s="322">
        <f>IFERROR((VLOOKUP(Calculations[[#This Row],[Waste type 2]],WasteLandfillEmissions[#All],3,FALSE))*Calculations[[#This Row],[Total Kg]]*VLOOKUP(Calculations[[#This Row],[Waste 1]],WasteScenario[#All],4,FALSE),0)</f>
        <v>0</v>
      </c>
      <c r="AE699" s="322">
        <f>SUM(Calculations[[#This Row],[C4 landfill]:[C4 re-use]])</f>
        <v>0</v>
      </c>
      <c r="AF699" s="322">
        <f>IFERROR(VLOOKUP(Calculations[[#This Row],[Material (choose from dropdown]],MaterialData[#All],8,FALSE),0)</f>
        <v>0</v>
      </c>
      <c r="AG699" s="322">
        <f>IFERROR(Calculations[[#This Row],[Total Kg]]*Calculations[[#This Row],[Seq factor]],0)</f>
        <v>0</v>
      </c>
      <c r="AI699" s="322">
        <f>Calculations[[#This Row],[A1-3]]+Calculations[[#This Row],[A4]]+Calculations[[#This Row],[A5]]+Calculations[[#This Row],[B4]]+Calculations[[#This Row],[C2 total]]+Calculations[[#This Row],[C3 total]]+Calculations[[#This Row],[C4 total]]</f>
        <v>0</v>
      </c>
      <c r="AJ699" s="2">
        <f>IFERROR(VLOOKUP(Calculations[[#This Row],[Material (choose from dropdown]],MaterialData[[#Headers],[#Data]],9,FALSE),0)</f>
        <v>0</v>
      </c>
      <c r="AK699" s="4">
        <f>IFERROR(VLOOKUP(Calculations[[#This Row],[Material (choose from dropdown]],MaterialData[[#Headers],[#Data]],10,FALSE),0)</f>
        <v>0</v>
      </c>
      <c r="AL699" s="322">
        <f>IFERROR(Calculations[[#This Row],[Data Quality Score]]*Calculations[[#This Row],[Total Kg]],0)</f>
        <v>0</v>
      </c>
    </row>
    <row r="700" spans="1:38" x14ac:dyDescent="0.3">
      <c r="A700" s="6">
        <f>IFERROR(MaterialsBoQ[[#This Row],[Scope Element]],0)</f>
        <v>0</v>
      </c>
      <c r="B700" t="str">
        <f>IFERROR(MaterialsBoQ[[#This Row],[Material ]],"")</f>
        <v/>
      </c>
      <c r="C700" t="str">
        <f>IFERROR(MaterialsBoQ[[#This Row],[Unit]],"")</f>
        <v/>
      </c>
      <c r="D700" s="322">
        <f>IFERROR(MaterialsBoQ[[#This Row],[Number]],0)</f>
        <v>0</v>
      </c>
      <c r="E700" s="322">
        <f>IFERROR(MaterialsBoQ[[#This Row],[Kg per unit]],0)</f>
        <v>0</v>
      </c>
      <c r="F700" s="322">
        <f>IFERROR(Calculations[[#This Row],[Number]]*Calculations[[#This Row],[Conversion factor]],0)</f>
        <v>0</v>
      </c>
      <c r="G700" s="322">
        <f>IFERROR(VLOOKUP(Calculations[[#This Row],[Material (choose from dropdown]],MaterialData[#All],7,FALSE),0)</f>
        <v>0</v>
      </c>
      <c r="H700" s="322">
        <f>Calculations[[#This Row],[Total Kg]]*Calculations[[#This Row],[Carbon Factor]]</f>
        <v>0</v>
      </c>
      <c r="I700" t="str">
        <f>IFERROR(VLOOKUP(Calculations[[#This Row],[Material (choose from dropdown]],MaterialData[#All],2,FALSE),"")</f>
        <v/>
      </c>
      <c r="J700" s="322">
        <f>IFERROR(((VLOOKUP(Calculations[[#This Row],[TransportSource]],TransportDistance[],2,FALSE)*'Stage assumptions'!$C$11)+VLOOKUP(Calculations[[#This Row],[TransportSource]],TransportDistance[],3,FALSE)*'Stage assumptions'!$C$12)*Calculations[[#This Row],[Total Kg]],0)</f>
        <v>0</v>
      </c>
      <c r="K700">
        <f>IFERROR(VLOOKUP(Calculations[[#This Row],[Material (choose from dropdown]], MaterialData[#All],3, FALSE),0)</f>
        <v>0</v>
      </c>
      <c r="L700" s="322">
        <f>IFERROR(VLOOKUP(Calculations[[#This Row],[A5type]],A5WastageRate[#All],2,FALSE)*Calculations[[#This Row],[A1-3]],0)</f>
        <v>0</v>
      </c>
      <c r="N700">
        <f>IFERROR(ROUNDUP(50/VLOOKUP(Calculations[[#This Row],[Scope Element]],B4referenceServiceLife[[Tier 2 element]:[Default Service Life]],2, FALSE)-1,0),0)</f>
        <v>0</v>
      </c>
      <c r="O700" s="322">
        <f>IFERROR((Calculations[[#This Row],[A1-3]]+Calculations[[#This Row],[A4]]+Calculations[[#This Row],[A5]]+Calculations[[#This Row],[C2 total]]+Calculations[[#This Row],[C3 total]]+Calculations[[#This Row],[C4 total]])*Calculations[[#This Row],[Replacements]],0)</f>
        <v>0</v>
      </c>
      <c r="S700" t="str">
        <f>IFERROR(VLOOKUP(Calculations[[#This Row],[Material (choose from dropdown]],MaterialData[#All],4,FALSE),"")</f>
        <v/>
      </c>
      <c r="T700" s="322" cm="1">
        <f t="array" ref="T700">IFERROR(VLOOKUP(Calculations[[#This Row],[Waste 1]],WasteScenario[#All],2,FALSE)*'Stage assumptions'!$C$225*WasteTransportMethod[Emissions Factor
kgCO2e/kg.km]*Calculations[[#This Row],[Total Kg]],0)</f>
        <v>0</v>
      </c>
      <c r="U700" s="322" cm="1">
        <f t="array" ref="U700">IFERROR(VLOOKUP(Calculations[[#This Row],[Waste 1]],WasteScenario[#All],3,FALSE)*'Stage assumptions'!$C$224*WasteTransportMethod[Emissions Factor
kgCO2e/kg.km]*Calculations[[#This Row],[Total Kg]],0)</f>
        <v>0</v>
      </c>
      <c r="V700" s="322" cm="1">
        <f t="array" ref="V700">IFERROR(VLOOKUP(Calculations[[#This Row],[Waste 1]],WasteScenario[#All],4,FALSE)*'Stage assumptions'!$C$223*WasteTransportMethod[Emissions Factor
kgCO2e/kg.km]*Calculations[[#This Row],[Total Kg]],0)</f>
        <v>0</v>
      </c>
      <c r="W700" s="322" cm="1">
        <f t="array" ref="W700">IFERROR(VLOOKUP(Calculations[[#This Row],[Waste 1]],WasteScenario[#All],5,FALSE)*'Stage assumptions'!$C$226*WasteTransportMethod[Emissions Factor
kgCO2e/kg.km]*Calculations[[#This Row],[Total Kg]],0)</f>
        <v>0</v>
      </c>
      <c r="X700" s="322">
        <f>SUM(Calculations[[#This Row],[C2 Recycle]:[C2 Reuse]])</f>
        <v>0</v>
      </c>
      <c r="Y700" t="str">
        <f>IFERROR(VLOOKUP(Calculations[[#This Row],[Material (choose from dropdown]],MaterialData[#All],5,FALSE),"")</f>
        <v/>
      </c>
      <c r="Z700" s="322">
        <f>IFERROR(((VLOOKUP(Calculations[[#This Row],[Waste type 2]],WasteDisposalEmissions[#All],2,FALSE))*Calculations[[#This Row],[Total Kg]])*VLOOKUP(Calculations[[#This Row],[Waste 1]],WasteScenario[#All],2,FALSE),0)</f>
        <v>0</v>
      </c>
      <c r="AA700" s="322">
        <f>IFERROR((VLOOKUP(Calculations[[#This Row],[Waste type 2]],WasteDisposalEmissions[#All],3,FALSE))*Calculations[[#This Row],[Total Kg]]*VLOOKUP(Calculations[[#This Row],[Waste 1]],WasteScenario[#All],3,FALSE),0)</f>
        <v>0</v>
      </c>
      <c r="AB700" s="322">
        <f>SUM(Calculations[[#This Row],[C3 recyc]:[C3 incin]])</f>
        <v>0</v>
      </c>
      <c r="AC700" s="334">
        <f>IFERROR((VLOOKUP(Calculations[[#This Row],[Waste type 2]],WasteLandfillEmissions[#All],2,FALSE))*Calculations[[#This Row],[Total Kg]]*VLOOKUP(Calculations[[#This Row],[Waste 1]],WasteScenario[#All],4,FALSE),0)</f>
        <v>0</v>
      </c>
      <c r="AD700" s="322">
        <f>IFERROR((VLOOKUP(Calculations[[#This Row],[Waste type 2]],WasteLandfillEmissions[#All],3,FALSE))*Calculations[[#This Row],[Total Kg]]*VLOOKUP(Calculations[[#This Row],[Waste 1]],WasteScenario[#All],4,FALSE),0)</f>
        <v>0</v>
      </c>
      <c r="AE700" s="322">
        <f>SUM(Calculations[[#This Row],[C4 landfill]:[C4 re-use]])</f>
        <v>0</v>
      </c>
      <c r="AF700" s="322">
        <f>IFERROR(VLOOKUP(Calculations[[#This Row],[Material (choose from dropdown]],MaterialData[#All],8,FALSE),0)</f>
        <v>0</v>
      </c>
      <c r="AG700" s="322">
        <f>IFERROR(Calculations[[#This Row],[Total Kg]]*Calculations[[#This Row],[Seq factor]],0)</f>
        <v>0</v>
      </c>
      <c r="AI700" s="322">
        <f>Calculations[[#This Row],[A1-3]]+Calculations[[#This Row],[A4]]+Calculations[[#This Row],[A5]]+Calculations[[#This Row],[B4]]+Calculations[[#This Row],[C2 total]]+Calculations[[#This Row],[C3 total]]+Calculations[[#This Row],[C4 total]]</f>
        <v>0</v>
      </c>
      <c r="AJ700" s="2">
        <f>IFERROR(VLOOKUP(Calculations[[#This Row],[Material (choose from dropdown]],MaterialData[[#Headers],[#Data]],9,FALSE),0)</f>
        <v>0</v>
      </c>
      <c r="AK700" s="4">
        <f>IFERROR(VLOOKUP(Calculations[[#This Row],[Material (choose from dropdown]],MaterialData[[#Headers],[#Data]],10,FALSE),0)</f>
        <v>0</v>
      </c>
      <c r="AL700" s="322">
        <f>IFERROR(Calculations[[#This Row],[Data Quality Score]]*Calculations[[#This Row],[Total Kg]],0)</f>
        <v>0</v>
      </c>
    </row>
    <row r="701" spans="1:38" x14ac:dyDescent="0.3">
      <c r="A701" s="6">
        <f>IFERROR(MaterialsBoQ[[#This Row],[Scope Element]],0)</f>
        <v>0</v>
      </c>
      <c r="B701" t="str">
        <f>IFERROR(MaterialsBoQ[[#This Row],[Material ]],"")</f>
        <v/>
      </c>
      <c r="C701" t="str">
        <f>IFERROR(MaterialsBoQ[[#This Row],[Unit]],"")</f>
        <v/>
      </c>
      <c r="D701" s="322">
        <f>IFERROR(MaterialsBoQ[[#This Row],[Number]],0)</f>
        <v>0</v>
      </c>
      <c r="E701" s="322">
        <f>IFERROR(MaterialsBoQ[[#This Row],[Kg per unit]],0)</f>
        <v>0</v>
      </c>
      <c r="F701" s="322">
        <f>IFERROR(Calculations[[#This Row],[Number]]*Calculations[[#This Row],[Conversion factor]],0)</f>
        <v>0</v>
      </c>
      <c r="G701" s="322">
        <f>IFERROR(VLOOKUP(Calculations[[#This Row],[Material (choose from dropdown]],MaterialData[#All],7,FALSE),0)</f>
        <v>0</v>
      </c>
      <c r="H701" s="322">
        <f>Calculations[[#This Row],[Total Kg]]*Calculations[[#This Row],[Carbon Factor]]</f>
        <v>0</v>
      </c>
      <c r="I701" t="str">
        <f>IFERROR(VLOOKUP(Calculations[[#This Row],[Material (choose from dropdown]],MaterialData[#All],2,FALSE),"")</f>
        <v/>
      </c>
      <c r="J701" s="322">
        <f>IFERROR(((VLOOKUP(Calculations[[#This Row],[TransportSource]],TransportDistance[],2,FALSE)*'Stage assumptions'!$C$11)+VLOOKUP(Calculations[[#This Row],[TransportSource]],TransportDistance[],3,FALSE)*'Stage assumptions'!$C$12)*Calculations[[#This Row],[Total Kg]],0)</f>
        <v>0</v>
      </c>
      <c r="K701">
        <f>IFERROR(VLOOKUP(Calculations[[#This Row],[Material (choose from dropdown]], MaterialData[#All],3, FALSE),0)</f>
        <v>0</v>
      </c>
      <c r="L701" s="322">
        <f>IFERROR(VLOOKUP(Calculations[[#This Row],[A5type]],A5WastageRate[#All],2,FALSE)*Calculations[[#This Row],[A1-3]],0)</f>
        <v>0</v>
      </c>
      <c r="N701">
        <f>IFERROR(ROUNDUP(50/VLOOKUP(Calculations[[#This Row],[Scope Element]],B4referenceServiceLife[[Tier 2 element]:[Default Service Life]],2, FALSE)-1,0),0)</f>
        <v>0</v>
      </c>
      <c r="O701" s="322">
        <f>IFERROR((Calculations[[#This Row],[A1-3]]+Calculations[[#This Row],[A4]]+Calculations[[#This Row],[A5]]+Calculations[[#This Row],[C2 total]]+Calculations[[#This Row],[C3 total]]+Calculations[[#This Row],[C4 total]])*Calculations[[#This Row],[Replacements]],0)</f>
        <v>0</v>
      </c>
      <c r="S701" t="str">
        <f>IFERROR(VLOOKUP(Calculations[[#This Row],[Material (choose from dropdown]],MaterialData[#All],4,FALSE),"")</f>
        <v/>
      </c>
      <c r="T701" s="322" cm="1">
        <f t="array" ref="T701">IFERROR(VLOOKUP(Calculations[[#This Row],[Waste 1]],WasteScenario[#All],2,FALSE)*'Stage assumptions'!$C$225*WasteTransportMethod[Emissions Factor
kgCO2e/kg.km]*Calculations[[#This Row],[Total Kg]],0)</f>
        <v>0</v>
      </c>
      <c r="U701" s="322" cm="1">
        <f t="array" ref="U701">IFERROR(VLOOKUP(Calculations[[#This Row],[Waste 1]],WasteScenario[#All],3,FALSE)*'Stage assumptions'!$C$224*WasteTransportMethod[Emissions Factor
kgCO2e/kg.km]*Calculations[[#This Row],[Total Kg]],0)</f>
        <v>0</v>
      </c>
      <c r="V701" s="322" cm="1">
        <f t="array" ref="V701">IFERROR(VLOOKUP(Calculations[[#This Row],[Waste 1]],WasteScenario[#All],4,FALSE)*'Stage assumptions'!$C$223*WasteTransportMethod[Emissions Factor
kgCO2e/kg.km]*Calculations[[#This Row],[Total Kg]],0)</f>
        <v>0</v>
      </c>
      <c r="W701" s="322" cm="1">
        <f t="array" ref="W701">IFERROR(VLOOKUP(Calculations[[#This Row],[Waste 1]],WasteScenario[#All],5,FALSE)*'Stage assumptions'!$C$226*WasteTransportMethod[Emissions Factor
kgCO2e/kg.km]*Calculations[[#This Row],[Total Kg]],0)</f>
        <v>0</v>
      </c>
      <c r="X701" s="322">
        <f>SUM(Calculations[[#This Row],[C2 Recycle]:[C2 Reuse]])</f>
        <v>0</v>
      </c>
      <c r="Y701" t="str">
        <f>IFERROR(VLOOKUP(Calculations[[#This Row],[Material (choose from dropdown]],MaterialData[#All],5,FALSE),"")</f>
        <v/>
      </c>
      <c r="Z701" s="322">
        <f>IFERROR(((VLOOKUP(Calculations[[#This Row],[Waste type 2]],WasteDisposalEmissions[#All],2,FALSE))*Calculations[[#This Row],[Total Kg]])*VLOOKUP(Calculations[[#This Row],[Waste 1]],WasteScenario[#All],2,FALSE),0)</f>
        <v>0</v>
      </c>
      <c r="AA701" s="322">
        <f>IFERROR((VLOOKUP(Calculations[[#This Row],[Waste type 2]],WasteDisposalEmissions[#All],3,FALSE))*Calculations[[#This Row],[Total Kg]]*VLOOKUP(Calculations[[#This Row],[Waste 1]],WasteScenario[#All],3,FALSE),0)</f>
        <v>0</v>
      </c>
      <c r="AB701" s="322">
        <f>SUM(Calculations[[#This Row],[C3 recyc]:[C3 incin]])</f>
        <v>0</v>
      </c>
      <c r="AC701" s="334">
        <f>IFERROR((VLOOKUP(Calculations[[#This Row],[Waste type 2]],WasteLandfillEmissions[#All],2,FALSE))*Calculations[[#This Row],[Total Kg]]*VLOOKUP(Calculations[[#This Row],[Waste 1]],WasteScenario[#All],4,FALSE),0)</f>
        <v>0</v>
      </c>
      <c r="AD701" s="322">
        <f>IFERROR((VLOOKUP(Calculations[[#This Row],[Waste type 2]],WasteLandfillEmissions[#All],3,FALSE))*Calculations[[#This Row],[Total Kg]]*VLOOKUP(Calculations[[#This Row],[Waste 1]],WasteScenario[#All],4,FALSE),0)</f>
        <v>0</v>
      </c>
      <c r="AE701" s="322">
        <f>SUM(Calculations[[#This Row],[C4 landfill]:[C4 re-use]])</f>
        <v>0</v>
      </c>
      <c r="AF701" s="322">
        <f>IFERROR(VLOOKUP(Calculations[[#This Row],[Material (choose from dropdown]],MaterialData[#All],8,FALSE),0)</f>
        <v>0</v>
      </c>
      <c r="AG701" s="322">
        <f>IFERROR(Calculations[[#This Row],[Total Kg]]*Calculations[[#This Row],[Seq factor]],0)</f>
        <v>0</v>
      </c>
      <c r="AI701" s="322">
        <f>Calculations[[#This Row],[A1-3]]+Calculations[[#This Row],[A4]]+Calculations[[#This Row],[A5]]+Calculations[[#This Row],[B4]]+Calculations[[#This Row],[C2 total]]+Calculations[[#This Row],[C3 total]]+Calculations[[#This Row],[C4 total]]</f>
        <v>0</v>
      </c>
      <c r="AJ701" s="2">
        <f>IFERROR(VLOOKUP(Calculations[[#This Row],[Material (choose from dropdown]],MaterialData[[#Headers],[#Data]],9,FALSE),0)</f>
        <v>0</v>
      </c>
      <c r="AK701" s="4">
        <f>IFERROR(VLOOKUP(Calculations[[#This Row],[Material (choose from dropdown]],MaterialData[[#Headers],[#Data]],10,FALSE),0)</f>
        <v>0</v>
      </c>
      <c r="AL701" s="322">
        <f>IFERROR(Calculations[[#This Row],[Data Quality Score]]*Calculations[[#This Row],[Total Kg]],0)</f>
        <v>0</v>
      </c>
    </row>
    <row r="702" spans="1:38" x14ac:dyDescent="0.3">
      <c r="A702" s="6">
        <f>IFERROR(MaterialsBoQ[[#This Row],[Scope Element]],0)</f>
        <v>0</v>
      </c>
      <c r="B702" t="str">
        <f>IFERROR(MaterialsBoQ[[#This Row],[Material ]],"")</f>
        <v/>
      </c>
      <c r="C702" t="str">
        <f>IFERROR(MaterialsBoQ[[#This Row],[Unit]],"")</f>
        <v/>
      </c>
      <c r="D702" s="322">
        <f>IFERROR(MaterialsBoQ[[#This Row],[Number]],0)</f>
        <v>0</v>
      </c>
      <c r="E702" s="322">
        <f>IFERROR(MaterialsBoQ[[#This Row],[Kg per unit]],0)</f>
        <v>0</v>
      </c>
      <c r="F702" s="322">
        <f>IFERROR(Calculations[[#This Row],[Number]]*Calculations[[#This Row],[Conversion factor]],0)</f>
        <v>0</v>
      </c>
      <c r="G702" s="322">
        <f>IFERROR(VLOOKUP(Calculations[[#This Row],[Material (choose from dropdown]],MaterialData[#All],7,FALSE),0)</f>
        <v>0</v>
      </c>
      <c r="H702" s="322">
        <f>Calculations[[#This Row],[Total Kg]]*Calculations[[#This Row],[Carbon Factor]]</f>
        <v>0</v>
      </c>
      <c r="I702" t="str">
        <f>IFERROR(VLOOKUP(Calculations[[#This Row],[Material (choose from dropdown]],MaterialData[#All],2,FALSE),"")</f>
        <v/>
      </c>
      <c r="J702" s="322">
        <f>IFERROR(((VLOOKUP(Calculations[[#This Row],[TransportSource]],TransportDistance[],2,FALSE)*'Stage assumptions'!$C$11)+VLOOKUP(Calculations[[#This Row],[TransportSource]],TransportDistance[],3,FALSE)*'Stage assumptions'!$C$12)*Calculations[[#This Row],[Total Kg]],0)</f>
        <v>0</v>
      </c>
      <c r="K702">
        <f>IFERROR(VLOOKUP(Calculations[[#This Row],[Material (choose from dropdown]], MaterialData[#All],3, FALSE),0)</f>
        <v>0</v>
      </c>
      <c r="L702" s="322">
        <f>IFERROR(VLOOKUP(Calculations[[#This Row],[A5type]],A5WastageRate[#All],2,FALSE)*Calculations[[#This Row],[A1-3]],0)</f>
        <v>0</v>
      </c>
      <c r="N702">
        <f>IFERROR(ROUNDUP(50/VLOOKUP(Calculations[[#This Row],[Scope Element]],B4referenceServiceLife[[Tier 2 element]:[Default Service Life]],2, FALSE)-1,0),0)</f>
        <v>0</v>
      </c>
      <c r="O702" s="322">
        <f>IFERROR((Calculations[[#This Row],[A1-3]]+Calculations[[#This Row],[A4]]+Calculations[[#This Row],[A5]]+Calculations[[#This Row],[C2 total]]+Calculations[[#This Row],[C3 total]]+Calculations[[#This Row],[C4 total]])*Calculations[[#This Row],[Replacements]],0)</f>
        <v>0</v>
      </c>
      <c r="S702" t="str">
        <f>IFERROR(VLOOKUP(Calculations[[#This Row],[Material (choose from dropdown]],MaterialData[#All],4,FALSE),"")</f>
        <v/>
      </c>
      <c r="T702" s="322" cm="1">
        <f t="array" ref="T702">IFERROR(VLOOKUP(Calculations[[#This Row],[Waste 1]],WasteScenario[#All],2,FALSE)*'Stage assumptions'!$C$225*WasteTransportMethod[Emissions Factor
kgCO2e/kg.km]*Calculations[[#This Row],[Total Kg]],0)</f>
        <v>0</v>
      </c>
      <c r="U702" s="322" cm="1">
        <f t="array" ref="U702">IFERROR(VLOOKUP(Calculations[[#This Row],[Waste 1]],WasteScenario[#All],3,FALSE)*'Stage assumptions'!$C$224*WasteTransportMethod[Emissions Factor
kgCO2e/kg.km]*Calculations[[#This Row],[Total Kg]],0)</f>
        <v>0</v>
      </c>
      <c r="V702" s="322" cm="1">
        <f t="array" ref="V702">IFERROR(VLOOKUP(Calculations[[#This Row],[Waste 1]],WasteScenario[#All],4,FALSE)*'Stage assumptions'!$C$223*WasteTransportMethod[Emissions Factor
kgCO2e/kg.km]*Calculations[[#This Row],[Total Kg]],0)</f>
        <v>0</v>
      </c>
      <c r="W702" s="322" cm="1">
        <f t="array" ref="W702">IFERROR(VLOOKUP(Calculations[[#This Row],[Waste 1]],WasteScenario[#All],5,FALSE)*'Stage assumptions'!$C$226*WasteTransportMethod[Emissions Factor
kgCO2e/kg.km]*Calculations[[#This Row],[Total Kg]],0)</f>
        <v>0</v>
      </c>
      <c r="X702" s="322">
        <f>SUM(Calculations[[#This Row],[C2 Recycle]:[C2 Reuse]])</f>
        <v>0</v>
      </c>
      <c r="Y702" t="str">
        <f>IFERROR(VLOOKUP(Calculations[[#This Row],[Material (choose from dropdown]],MaterialData[#All],5,FALSE),"")</f>
        <v/>
      </c>
      <c r="Z702" s="322">
        <f>IFERROR(((VLOOKUP(Calculations[[#This Row],[Waste type 2]],WasteDisposalEmissions[#All],2,FALSE))*Calculations[[#This Row],[Total Kg]])*VLOOKUP(Calculations[[#This Row],[Waste 1]],WasteScenario[#All],2,FALSE),0)</f>
        <v>0</v>
      </c>
      <c r="AA702" s="322">
        <f>IFERROR((VLOOKUP(Calculations[[#This Row],[Waste type 2]],WasteDisposalEmissions[#All],3,FALSE))*Calculations[[#This Row],[Total Kg]]*VLOOKUP(Calculations[[#This Row],[Waste 1]],WasteScenario[#All],3,FALSE),0)</f>
        <v>0</v>
      </c>
      <c r="AB702" s="322">
        <f>SUM(Calculations[[#This Row],[C3 recyc]:[C3 incin]])</f>
        <v>0</v>
      </c>
      <c r="AC702" s="334">
        <f>IFERROR((VLOOKUP(Calculations[[#This Row],[Waste type 2]],WasteLandfillEmissions[#All],2,FALSE))*Calculations[[#This Row],[Total Kg]]*VLOOKUP(Calculations[[#This Row],[Waste 1]],WasteScenario[#All],4,FALSE),0)</f>
        <v>0</v>
      </c>
      <c r="AD702" s="322">
        <f>IFERROR((VLOOKUP(Calculations[[#This Row],[Waste type 2]],WasteLandfillEmissions[#All],3,FALSE))*Calculations[[#This Row],[Total Kg]]*VLOOKUP(Calculations[[#This Row],[Waste 1]],WasteScenario[#All],4,FALSE),0)</f>
        <v>0</v>
      </c>
      <c r="AE702" s="322">
        <f>SUM(Calculations[[#This Row],[C4 landfill]:[C4 re-use]])</f>
        <v>0</v>
      </c>
      <c r="AF702" s="322">
        <f>IFERROR(VLOOKUP(Calculations[[#This Row],[Material (choose from dropdown]],MaterialData[#All],8,FALSE),0)</f>
        <v>0</v>
      </c>
      <c r="AG702" s="322">
        <f>IFERROR(Calculations[[#This Row],[Total Kg]]*Calculations[[#This Row],[Seq factor]],0)</f>
        <v>0</v>
      </c>
      <c r="AI702" s="322">
        <f>Calculations[[#This Row],[A1-3]]+Calculations[[#This Row],[A4]]+Calculations[[#This Row],[A5]]+Calculations[[#This Row],[B4]]+Calculations[[#This Row],[C2 total]]+Calculations[[#This Row],[C3 total]]+Calculations[[#This Row],[C4 total]]</f>
        <v>0</v>
      </c>
      <c r="AJ702" s="2">
        <f>IFERROR(VLOOKUP(Calculations[[#This Row],[Material (choose from dropdown]],MaterialData[[#Headers],[#Data]],9,FALSE),0)</f>
        <v>0</v>
      </c>
      <c r="AK702" s="4">
        <f>IFERROR(VLOOKUP(Calculations[[#This Row],[Material (choose from dropdown]],MaterialData[[#Headers],[#Data]],10,FALSE),0)</f>
        <v>0</v>
      </c>
      <c r="AL702" s="322">
        <f>IFERROR(Calculations[[#This Row],[Data Quality Score]]*Calculations[[#This Row],[Total Kg]],0)</f>
        <v>0</v>
      </c>
    </row>
    <row r="703" spans="1:38" x14ac:dyDescent="0.3">
      <c r="A703" s="6">
        <f>IFERROR(MaterialsBoQ[[#This Row],[Scope Element]],0)</f>
        <v>0</v>
      </c>
      <c r="B703" t="str">
        <f>IFERROR(MaterialsBoQ[[#This Row],[Material ]],"")</f>
        <v/>
      </c>
      <c r="C703" t="str">
        <f>IFERROR(MaterialsBoQ[[#This Row],[Unit]],"")</f>
        <v/>
      </c>
      <c r="D703" s="322">
        <f>IFERROR(MaterialsBoQ[[#This Row],[Number]],0)</f>
        <v>0</v>
      </c>
      <c r="E703" s="322">
        <f>IFERROR(MaterialsBoQ[[#This Row],[Kg per unit]],0)</f>
        <v>0</v>
      </c>
      <c r="F703" s="322">
        <f>IFERROR(Calculations[[#This Row],[Number]]*Calculations[[#This Row],[Conversion factor]],0)</f>
        <v>0</v>
      </c>
      <c r="G703" s="322">
        <f>IFERROR(VLOOKUP(Calculations[[#This Row],[Material (choose from dropdown]],MaterialData[#All],7,FALSE),0)</f>
        <v>0</v>
      </c>
      <c r="H703" s="322">
        <f>Calculations[[#This Row],[Total Kg]]*Calculations[[#This Row],[Carbon Factor]]</f>
        <v>0</v>
      </c>
      <c r="I703" t="str">
        <f>IFERROR(VLOOKUP(Calculations[[#This Row],[Material (choose from dropdown]],MaterialData[#All],2,FALSE),"")</f>
        <v/>
      </c>
      <c r="J703" s="322">
        <f>IFERROR(((VLOOKUP(Calculations[[#This Row],[TransportSource]],TransportDistance[],2,FALSE)*'Stage assumptions'!$C$11)+VLOOKUP(Calculations[[#This Row],[TransportSource]],TransportDistance[],3,FALSE)*'Stage assumptions'!$C$12)*Calculations[[#This Row],[Total Kg]],0)</f>
        <v>0</v>
      </c>
      <c r="K703">
        <f>IFERROR(VLOOKUP(Calculations[[#This Row],[Material (choose from dropdown]], MaterialData[#All],3, FALSE),0)</f>
        <v>0</v>
      </c>
      <c r="L703" s="322">
        <f>IFERROR(VLOOKUP(Calculations[[#This Row],[A5type]],A5WastageRate[#All],2,FALSE)*Calculations[[#This Row],[A1-3]],0)</f>
        <v>0</v>
      </c>
      <c r="N703">
        <f>IFERROR(ROUNDUP(50/VLOOKUP(Calculations[[#This Row],[Scope Element]],B4referenceServiceLife[[Tier 2 element]:[Default Service Life]],2, FALSE)-1,0),0)</f>
        <v>0</v>
      </c>
      <c r="O703" s="322">
        <f>IFERROR((Calculations[[#This Row],[A1-3]]+Calculations[[#This Row],[A4]]+Calculations[[#This Row],[A5]]+Calculations[[#This Row],[C2 total]]+Calculations[[#This Row],[C3 total]]+Calculations[[#This Row],[C4 total]])*Calculations[[#This Row],[Replacements]],0)</f>
        <v>0</v>
      </c>
      <c r="S703" t="str">
        <f>IFERROR(VLOOKUP(Calculations[[#This Row],[Material (choose from dropdown]],MaterialData[#All],4,FALSE),"")</f>
        <v/>
      </c>
      <c r="T703" s="322" cm="1">
        <f t="array" ref="T703">IFERROR(VLOOKUP(Calculations[[#This Row],[Waste 1]],WasteScenario[#All],2,FALSE)*'Stage assumptions'!$C$225*WasteTransportMethod[Emissions Factor
kgCO2e/kg.km]*Calculations[[#This Row],[Total Kg]],0)</f>
        <v>0</v>
      </c>
      <c r="U703" s="322" cm="1">
        <f t="array" ref="U703">IFERROR(VLOOKUP(Calculations[[#This Row],[Waste 1]],WasteScenario[#All],3,FALSE)*'Stage assumptions'!$C$224*WasteTransportMethod[Emissions Factor
kgCO2e/kg.km]*Calculations[[#This Row],[Total Kg]],0)</f>
        <v>0</v>
      </c>
      <c r="V703" s="322" cm="1">
        <f t="array" ref="V703">IFERROR(VLOOKUP(Calculations[[#This Row],[Waste 1]],WasteScenario[#All],4,FALSE)*'Stage assumptions'!$C$223*WasteTransportMethod[Emissions Factor
kgCO2e/kg.km]*Calculations[[#This Row],[Total Kg]],0)</f>
        <v>0</v>
      </c>
      <c r="W703" s="322" cm="1">
        <f t="array" ref="W703">IFERROR(VLOOKUP(Calculations[[#This Row],[Waste 1]],WasteScenario[#All],5,FALSE)*'Stage assumptions'!$C$226*WasteTransportMethod[Emissions Factor
kgCO2e/kg.km]*Calculations[[#This Row],[Total Kg]],0)</f>
        <v>0</v>
      </c>
      <c r="X703" s="322">
        <f>SUM(Calculations[[#This Row],[C2 Recycle]:[C2 Reuse]])</f>
        <v>0</v>
      </c>
      <c r="Y703" t="str">
        <f>IFERROR(VLOOKUP(Calculations[[#This Row],[Material (choose from dropdown]],MaterialData[#All],5,FALSE),"")</f>
        <v/>
      </c>
      <c r="Z703" s="322">
        <f>IFERROR(((VLOOKUP(Calculations[[#This Row],[Waste type 2]],WasteDisposalEmissions[#All],2,FALSE))*Calculations[[#This Row],[Total Kg]])*VLOOKUP(Calculations[[#This Row],[Waste 1]],WasteScenario[#All],2,FALSE),0)</f>
        <v>0</v>
      </c>
      <c r="AA703" s="322">
        <f>IFERROR((VLOOKUP(Calculations[[#This Row],[Waste type 2]],WasteDisposalEmissions[#All],3,FALSE))*Calculations[[#This Row],[Total Kg]]*VLOOKUP(Calculations[[#This Row],[Waste 1]],WasteScenario[#All],3,FALSE),0)</f>
        <v>0</v>
      </c>
      <c r="AB703" s="322">
        <f>SUM(Calculations[[#This Row],[C3 recyc]:[C3 incin]])</f>
        <v>0</v>
      </c>
      <c r="AC703" s="334">
        <f>IFERROR((VLOOKUP(Calculations[[#This Row],[Waste type 2]],WasteLandfillEmissions[#All],2,FALSE))*Calculations[[#This Row],[Total Kg]]*VLOOKUP(Calculations[[#This Row],[Waste 1]],WasteScenario[#All],4,FALSE),0)</f>
        <v>0</v>
      </c>
      <c r="AD703" s="322">
        <f>IFERROR((VLOOKUP(Calculations[[#This Row],[Waste type 2]],WasteLandfillEmissions[#All],3,FALSE))*Calculations[[#This Row],[Total Kg]]*VLOOKUP(Calculations[[#This Row],[Waste 1]],WasteScenario[#All],4,FALSE),0)</f>
        <v>0</v>
      </c>
      <c r="AE703" s="322">
        <f>SUM(Calculations[[#This Row],[C4 landfill]:[C4 re-use]])</f>
        <v>0</v>
      </c>
      <c r="AF703" s="322">
        <f>IFERROR(VLOOKUP(Calculations[[#This Row],[Material (choose from dropdown]],MaterialData[#All],8,FALSE),0)</f>
        <v>0</v>
      </c>
      <c r="AG703" s="322">
        <f>IFERROR(Calculations[[#This Row],[Total Kg]]*Calculations[[#This Row],[Seq factor]],0)</f>
        <v>0</v>
      </c>
      <c r="AI703" s="322">
        <f>Calculations[[#This Row],[A1-3]]+Calculations[[#This Row],[A4]]+Calculations[[#This Row],[A5]]+Calculations[[#This Row],[B4]]+Calculations[[#This Row],[C2 total]]+Calculations[[#This Row],[C3 total]]+Calculations[[#This Row],[C4 total]]</f>
        <v>0</v>
      </c>
      <c r="AJ703" s="2">
        <f>IFERROR(VLOOKUP(Calculations[[#This Row],[Material (choose from dropdown]],MaterialData[[#Headers],[#Data]],9,FALSE),0)</f>
        <v>0</v>
      </c>
      <c r="AK703" s="4">
        <f>IFERROR(VLOOKUP(Calculations[[#This Row],[Material (choose from dropdown]],MaterialData[[#Headers],[#Data]],10,FALSE),0)</f>
        <v>0</v>
      </c>
      <c r="AL703" s="322">
        <f>IFERROR(Calculations[[#This Row],[Data Quality Score]]*Calculations[[#This Row],[Total Kg]],0)</f>
        <v>0</v>
      </c>
    </row>
    <row r="704" spans="1:38" x14ac:dyDescent="0.3">
      <c r="A704" s="6">
        <f>IFERROR(MaterialsBoQ[[#This Row],[Scope Element]],0)</f>
        <v>0</v>
      </c>
      <c r="B704" t="str">
        <f>IFERROR(MaterialsBoQ[[#This Row],[Material ]],"")</f>
        <v/>
      </c>
      <c r="C704" t="str">
        <f>IFERROR(MaterialsBoQ[[#This Row],[Unit]],"")</f>
        <v/>
      </c>
      <c r="D704" s="322">
        <f>IFERROR(MaterialsBoQ[[#This Row],[Number]],0)</f>
        <v>0</v>
      </c>
      <c r="E704" s="322">
        <f>IFERROR(MaterialsBoQ[[#This Row],[Kg per unit]],0)</f>
        <v>0</v>
      </c>
      <c r="F704" s="322">
        <f>IFERROR(Calculations[[#This Row],[Number]]*Calculations[[#This Row],[Conversion factor]],0)</f>
        <v>0</v>
      </c>
      <c r="G704" s="322">
        <f>IFERROR(VLOOKUP(Calculations[[#This Row],[Material (choose from dropdown]],MaterialData[#All],7,FALSE),0)</f>
        <v>0</v>
      </c>
      <c r="H704" s="322">
        <f>Calculations[[#This Row],[Total Kg]]*Calculations[[#This Row],[Carbon Factor]]</f>
        <v>0</v>
      </c>
      <c r="I704" t="str">
        <f>IFERROR(VLOOKUP(Calculations[[#This Row],[Material (choose from dropdown]],MaterialData[#All],2,FALSE),"")</f>
        <v/>
      </c>
      <c r="J704" s="322">
        <f>IFERROR(((VLOOKUP(Calculations[[#This Row],[TransportSource]],TransportDistance[],2,FALSE)*'Stage assumptions'!$C$11)+VLOOKUP(Calculations[[#This Row],[TransportSource]],TransportDistance[],3,FALSE)*'Stage assumptions'!$C$12)*Calculations[[#This Row],[Total Kg]],0)</f>
        <v>0</v>
      </c>
      <c r="K704">
        <f>IFERROR(VLOOKUP(Calculations[[#This Row],[Material (choose from dropdown]], MaterialData[#All],3, FALSE),0)</f>
        <v>0</v>
      </c>
      <c r="L704" s="322">
        <f>IFERROR(VLOOKUP(Calculations[[#This Row],[A5type]],A5WastageRate[#All],2,FALSE)*Calculations[[#This Row],[A1-3]],0)</f>
        <v>0</v>
      </c>
      <c r="N704">
        <f>IFERROR(ROUNDUP(50/VLOOKUP(Calculations[[#This Row],[Scope Element]],B4referenceServiceLife[[Tier 2 element]:[Default Service Life]],2, FALSE)-1,0),0)</f>
        <v>0</v>
      </c>
      <c r="O704" s="322">
        <f>IFERROR((Calculations[[#This Row],[A1-3]]+Calculations[[#This Row],[A4]]+Calculations[[#This Row],[A5]]+Calculations[[#This Row],[C2 total]]+Calculations[[#This Row],[C3 total]]+Calculations[[#This Row],[C4 total]])*Calculations[[#This Row],[Replacements]],0)</f>
        <v>0</v>
      </c>
      <c r="S704" t="str">
        <f>IFERROR(VLOOKUP(Calculations[[#This Row],[Material (choose from dropdown]],MaterialData[#All],4,FALSE),"")</f>
        <v/>
      </c>
      <c r="T704" s="322" cm="1">
        <f t="array" ref="T704">IFERROR(VLOOKUP(Calculations[[#This Row],[Waste 1]],WasteScenario[#All],2,FALSE)*'Stage assumptions'!$C$225*WasteTransportMethod[Emissions Factor
kgCO2e/kg.km]*Calculations[[#This Row],[Total Kg]],0)</f>
        <v>0</v>
      </c>
      <c r="U704" s="322" cm="1">
        <f t="array" ref="U704">IFERROR(VLOOKUP(Calculations[[#This Row],[Waste 1]],WasteScenario[#All],3,FALSE)*'Stage assumptions'!$C$224*WasteTransportMethod[Emissions Factor
kgCO2e/kg.km]*Calculations[[#This Row],[Total Kg]],0)</f>
        <v>0</v>
      </c>
      <c r="V704" s="322" cm="1">
        <f t="array" ref="V704">IFERROR(VLOOKUP(Calculations[[#This Row],[Waste 1]],WasteScenario[#All],4,FALSE)*'Stage assumptions'!$C$223*WasteTransportMethod[Emissions Factor
kgCO2e/kg.km]*Calculations[[#This Row],[Total Kg]],0)</f>
        <v>0</v>
      </c>
      <c r="W704" s="322" cm="1">
        <f t="array" ref="W704">IFERROR(VLOOKUP(Calculations[[#This Row],[Waste 1]],WasteScenario[#All],5,FALSE)*'Stage assumptions'!$C$226*WasteTransportMethod[Emissions Factor
kgCO2e/kg.km]*Calculations[[#This Row],[Total Kg]],0)</f>
        <v>0</v>
      </c>
      <c r="X704" s="322">
        <f>SUM(Calculations[[#This Row],[C2 Recycle]:[C2 Reuse]])</f>
        <v>0</v>
      </c>
      <c r="Y704" t="str">
        <f>IFERROR(VLOOKUP(Calculations[[#This Row],[Material (choose from dropdown]],MaterialData[#All],5,FALSE),"")</f>
        <v/>
      </c>
      <c r="Z704" s="322">
        <f>IFERROR(((VLOOKUP(Calculations[[#This Row],[Waste type 2]],WasteDisposalEmissions[#All],2,FALSE))*Calculations[[#This Row],[Total Kg]])*VLOOKUP(Calculations[[#This Row],[Waste 1]],WasteScenario[#All],2,FALSE),0)</f>
        <v>0</v>
      </c>
      <c r="AA704" s="322">
        <f>IFERROR((VLOOKUP(Calculations[[#This Row],[Waste type 2]],WasteDisposalEmissions[#All],3,FALSE))*Calculations[[#This Row],[Total Kg]]*VLOOKUP(Calculations[[#This Row],[Waste 1]],WasteScenario[#All],3,FALSE),0)</f>
        <v>0</v>
      </c>
      <c r="AB704" s="322">
        <f>SUM(Calculations[[#This Row],[C3 recyc]:[C3 incin]])</f>
        <v>0</v>
      </c>
      <c r="AC704" s="334">
        <f>IFERROR((VLOOKUP(Calculations[[#This Row],[Waste type 2]],WasteLandfillEmissions[#All],2,FALSE))*Calculations[[#This Row],[Total Kg]]*VLOOKUP(Calculations[[#This Row],[Waste 1]],WasteScenario[#All],4,FALSE),0)</f>
        <v>0</v>
      </c>
      <c r="AD704" s="322">
        <f>IFERROR((VLOOKUP(Calculations[[#This Row],[Waste type 2]],WasteLandfillEmissions[#All],3,FALSE))*Calculations[[#This Row],[Total Kg]]*VLOOKUP(Calculations[[#This Row],[Waste 1]],WasteScenario[#All],4,FALSE),0)</f>
        <v>0</v>
      </c>
      <c r="AE704" s="322">
        <f>SUM(Calculations[[#This Row],[C4 landfill]:[C4 re-use]])</f>
        <v>0</v>
      </c>
      <c r="AF704" s="322">
        <f>IFERROR(VLOOKUP(Calculations[[#This Row],[Material (choose from dropdown]],MaterialData[#All],8,FALSE),0)</f>
        <v>0</v>
      </c>
      <c r="AG704" s="322">
        <f>IFERROR(Calculations[[#This Row],[Total Kg]]*Calculations[[#This Row],[Seq factor]],0)</f>
        <v>0</v>
      </c>
      <c r="AI704" s="322">
        <f>Calculations[[#This Row],[A1-3]]+Calculations[[#This Row],[A4]]+Calculations[[#This Row],[A5]]+Calculations[[#This Row],[B4]]+Calculations[[#This Row],[C2 total]]+Calculations[[#This Row],[C3 total]]+Calculations[[#This Row],[C4 total]]</f>
        <v>0</v>
      </c>
      <c r="AJ704" s="2">
        <f>IFERROR(VLOOKUP(Calculations[[#This Row],[Material (choose from dropdown]],MaterialData[[#Headers],[#Data]],9,FALSE),0)</f>
        <v>0</v>
      </c>
      <c r="AK704" s="4">
        <f>IFERROR(VLOOKUP(Calculations[[#This Row],[Material (choose from dropdown]],MaterialData[[#Headers],[#Data]],10,FALSE),0)</f>
        <v>0</v>
      </c>
      <c r="AL704" s="322">
        <f>IFERROR(Calculations[[#This Row],[Data Quality Score]]*Calculations[[#This Row],[Total Kg]],0)</f>
        <v>0</v>
      </c>
    </row>
    <row r="705" spans="1:38" x14ac:dyDescent="0.3">
      <c r="A705" s="6">
        <f>IFERROR(MaterialsBoQ[[#This Row],[Scope Element]],0)</f>
        <v>0</v>
      </c>
      <c r="B705" t="str">
        <f>IFERROR(MaterialsBoQ[[#This Row],[Material ]],"")</f>
        <v/>
      </c>
      <c r="C705" t="str">
        <f>IFERROR(MaterialsBoQ[[#This Row],[Unit]],"")</f>
        <v/>
      </c>
      <c r="D705" s="322">
        <f>IFERROR(MaterialsBoQ[[#This Row],[Number]],0)</f>
        <v>0</v>
      </c>
      <c r="E705" s="322">
        <f>IFERROR(MaterialsBoQ[[#This Row],[Kg per unit]],0)</f>
        <v>0</v>
      </c>
      <c r="F705" s="322">
        <f>IFERROR(Calculations[[#This Row],[Number]]*Calculations[[#This Row],[Conversion factor]],0)</f>
        <v>0</v>
      </c>
      <c r="G705" s="322">
        <f>IFERROR(VLOOKUP(Calculations[[#This Row],[Material (choose from dropdown]],MaterialData[#All],7,FALSE),0)</f>
        <v>0</v>
      </c>
      <c r="H705" s="322">
        <f>Calculations[[#This Row],[Total Kg]]*Calculations[[#This Row],[Carbon Factor]]</f>
        <v>0</v>
      </c>
      <c r="I705" t="str">
        <f>IFERROR(VLOOKUP(Calculations[[#This Row],[Material (choose from dropdown]],MaterialData[#All],2,FALSE),"")</f>
        <v/>
      </c>
      <c r="J705" s="322">
        <f>IFERROR(((VLOOKUP(Calculations[[#This Row],[TransportSource]],TransportDistance[],2,FALSE)*'Stage assumptions'!$C$11)+VLOOKUP(Calculations[[#This Row],[TransportSource]],TransportDistance[],3,FALSE)*'Stage assumptions'!$C$12)*Calculations[[#This Row],[Total Kg]],0)</f>
        <v>0</v>
      </c>
      <c r="K705">
        <f>IFERROR(VLOOKUP(Calculations[[#This Row],[Material (choose from dropdown]], MaterialData[#All],3, FALSE),0)</f>
        <v>0</v>
      </c>
      <c r="L705" s="322">
        <f>IFERROR(VLOOKUP(Calculations[[#This Row],[A5type]],A5WastageRate[#All],2,FALSE)*Calculations[[#This Row],[A1-3]],0)</f>
        <v>0</v>
      </c>
      <c r="N705">
        <f>IFERROR(ROUNDUP(50/VLOOKUP(Calculations[[#This Row],[Scope Element]],B4referenceServiceLife[[Tier 2 element]:[Default Service Life]],2, FALSE)-1,0),0)</f>
        <v>0</v>
      </c>
      <c r="O705" s="322">
        <f>IFERROR((Calculations[[#This Row],[A1-3]]+Calculations[[#This Row],[A4]]+Calculations[[#This Row],[A5]]+Calculations[[#This Row],[C2 total]]+Calculations[[#This Row],[C3 total]]+Calculations[[#This Row],[C4 total]])*Calculations[[#This Row],[Replacements]],0)</f>
        <v>0</v>
      </c>
      <c r="S705" t="str">
        <f>IFERROR(VLOOKUP(Calculations[[#This Row],[Material (choose from dropdown]],MaterialData[#All],4,FALSE),"")</f>
        <v/>
      </c>
      <c r="T705" s="322" cm="1">
        <f t="array" ref="T705">IFERROR(VLOOKUP(Calculations[[#This Row],[Waste 1]],WasteScenario[#All],2,FALSE)*'Stage assumptions'!$C$225*WasteTransportMethod[Emissions Factor
kgCO2e/kg.km]*Calculations[[#This Row],[Total Kg]],0)</f>
        <v>0</v>
      </c>
      <c r="U705" s="322" cm="1">
        <f t="array" ref="U705">IFERROR(VLOOKUP(Calculations[[#This Row],[Waste 1]],WasteScenario[#All],3,FALSE)*'Stage assumptions'!$C$224*WasteTransportMethod[Emissions Factor
kgCO2e/kg.km]*Calculations[[#This Row],[Total Kg]],0)</f>
        <v>0</v>
      </c>
      <c r="V705" s="322" cm="1">
        <f t="array" ref="V705">IFERROR(VLOOKUP(Calculations[[#This Row],[Waste 1]],WasteScenario[#All],4,FALSE)*'Stage assumptions'!$C$223*WasteTransportMethod[Emissions Factor
kgCO2e/kg.km]*Calculations[[#This Row],[Total Kg]],0)</f>
        <v>0</v>
      </c>
      <c r="W705" s="322" cm="1">
        <f t="array" ref="W705">IFERROR(VLOOKUP(Calculations[[#This Row],[Waste 1]],WasteScenario[#All],5,FALSE)*'Stage assumptions'!$C$226*WasteTransportMethod[Emissions Factor
kgCO2e/kg.km]*Calculations[[#This Row],[Total Kg]],0)</f>
        <v>0</v>
      </c>
      <c r="X705" s="322">
        <f>SUM(Calculations[[#This Row],[C2 Recycle]:[C2 Reuse]])</f>
        <v>0</v>
      </c>
      <c r="Y705" t="str">
        <f>IFERROR(VLOOKUP(Calculations[[#This Row],[Material (choose from dropdown]],MaterialData[#All],5,FALSE),"")</f>
        <v/>
      </c>
      <c r="Z705" s="322">
        <f>IFERROR(((VLOOKUP(Calculations[[#This Row],[Waste type 2]],WasteDisposalEmissions[#All],2,FALSE))*Calculations[[#This Row],[Total Kg]])*VLOOKUP(Calculations[[#This Row],[Waste 1]],WasteScenario[#All],2,FALSE),0)</f>
        <v>0</v>
      </c>
      <c r="AA705" s="322">
        <f>IFERROR((VLOOKUP(Calculations[[#This Row],[Waste type 2]],WasteDisposalEmissions[#All],3,FALSE))*Calculations[[#This Row],[Total Kg]]*VLOOKUP(Calculations[[#This Row],[Waste 1]],WasteScenario[#All],3,FALSE),0)</f>
        <v>0</v>
      </c>
      <c r="AB705" s="322">
        <f>SUM(Calculations[[#This Row],[C3 recyc]:[C3 incin]])</f>
        <v>0</v>
      </c>
      <c r="AC705" s="334">
        <f>IFERROR((VLOOKUP(Calculations[[#This Row],[Waste type 2]],WasteLandfillEmissions[#All],2,FALSE))*Calculations[[#This Row],[Total Kg]]*VLOOKUP(Calculations[[#This Row],[Waste 1]],WasteScenario[#All],4,FALSE),0)</f>
        <v>0</v>
      </c>
      <c r="AD705" s="322">
        <f>IFERROR((VLOOKUP(Calculations[[#This Row],[Waste type 2]],WasteLandfillEmissions[#All],3,FALSE))*Calculations[[#This Row],[Total Kg]]*VLOOKUP(Calculations[[#This Row],[Waste 1]],WasteScenario[#All],4,FALSE),0)</f>
        <v>0</v>
      </c>
      <c r="AE705" s="322">
        <f>SUM(Calculations[[#This Row],[C4 landfill]:[C4 re-use]])</f>
        <v>0</v>
      </c>
      <c r="AF705" s="322">
        <f>IFERROR(VLOOKUP(Calculations[[#This Row],[Material (choose from dropdown]],MaterialData[#All],8,FALSE),0)</f>
        <v>0</v>
      </c>
      <c r="AG705" s="322">
        <f>IFERROR(Calculations[[#This Row],[Total Kg]]*Calculations[[#This Row],[Seq factor]],0)</f>
        <v>0</v>
      </c>
      <c r="AI705" s="322">
        <f>Calculations[[#This Row],[A1-3]]+Calculations[[#This Row],[A4]]+Calculations[[#This Row],[A5]]+Calculations[[#This Row],[B4]]+Calculations[[#This Row],[C2 total]]+Calculations[[#This Row],[C3 total]]+Calculations[[#This Row],[C4 total]]</f>
        <v>0</v>
      </c>
      <c r="AJ705" s="2">
        <f>IFERROR(VLOOKUP(Calculations[[#This Row],[Material (choose from dropdown]],MaterialData[[#Headers],[#Data]],9,FALSE),0)</f>
        <v>0</v>
      </c>
      <c r="AK705" s="4">
        <f>IFERROR(VLOOKUP(Calculations[[#This Row],[Material (choose from dropdown]],MaterialData[[#Headers],[#Data]],10,FALSE),0)</f>
        <v>0</v>
      </c>
      <c r="AL705" s="322">
        <f>IFERROR(Calculations[[#This Row],[Data Quality Score]]*Calculations[[#This Row],[Total Kg]],0)</f>
        <v>0</v>
      </c>
    </row>
    <row r="706" spans="1:38" x14ac:dyDescent="0.3">
      <c r="A706" s="6">
        <f>IFERROR(MaterialsBoQ[[#This Row],[Scope Element]],0)</f>
        <v>0</v>
      </c>
      <c r="B706" t="str">
        <f>IFERROR(MaterialsBoQ[[#This Row],[Material ]],"")</f>
        <v/>
      </c>
      <c r="C706" t="str">
        <f>IFERROR(MaterialsBoQ[[#This Row],[Unit]],"")</f>
        <v/>
      </c>
      <c r="D706" s="322">
        <f>IFERROR(MaterialsBoQ[[#This Row],[Number]],0)</f>
        <v>0</v>
      </c>
      <c r="E706" s="322">
        <f>IFERROR(MaterialsBoQ[[#This Row],[Kg per unit]],0)</f>
        <v>0</v>
      </c>
      <c r="F706" s="322">
        <f>IFERROR(Calculations[[#This Row],[Number]]*Calculations[[#This Row],[Conversion factor]],0)</f>
        <v>0</v>
      </c>
      <c r="G706" s="322">
        <f>IFERROR(VLOOKUP(Calculations[[#This Row],[Material (choose from dropdown]],MaterialData[#All],7,FALSE),0)</f>
        <v>0</v>
      </c>
      <c r="H706" s="322">
        <f>Calculations[[#This Row],[Total Kg]]*Calculations[[#This Row],[Carbon Factor]]</f>
        <v>0</v>
      </c>
      <c r="I706" t="str">
        <f>IFERROR(VLOOKUP(Calculations[[#This Row],[Material (choose from dropdown]],MaterialData[#All],2,FALSE),"")</f>
        <v/>
      </c>
      <c r="J706" s="322">
        <f>IFERROR(((VLOOKUP(Calculations[[#This Row],[TransportSource]],TransportDistance[],2,FALSE)*'Stage assumptions'!$C$11)+VLOOKUP(Calculations[[#This Row],[TransportSource]],TransportDistance[],3,FALSE)*'Stage assumptions'!$C$12)*Calculations[[#This Row],[Total Kg]],0)</f>
        <v>0</v>
      </c>
      <c r="K706">
        <f>IFERROR(VLOOKUP(Calculations[[#This Row],[Material (choose from dropdown]], MaterialData[#All],3, FALSE),0)</f>
        <v>0</v>
      </c>
      <c r="L706" s="322">
        <f>IFERROR(VLOOKUP(Calculations[[#This Row],[A5type]],A5WastageRate[#All],2,FALSE)*Calculations[[#This Row],[A1-3]],0)</f>
        <v>0</v>
      </c>
      <c r="N706">
        <f>IFERROR(ROUNDUP(50/VLOOKUP(Calculations[[#This Row],[Scope Element]],B4referenceServiceLife[[Tier 2 element]:[Default Service Life]],2, FALSE)-1,0),0)</f>
        <v>0</v>
      </c>
      <c r="O706" s="322">
        <f>IFERROR((Calculations[[#This Row],[A1-3]]+Calculations[[#This Row],[A4]]+Calculations[[#This Row],[A5]]+Calculations[[#This Row],[C2 total]]+Calculations[[#This Row],[C3 total]]+Calculations[[#This Row],[C4 total]])*Calculations[[#This Row],[Replacements]],0)</f>
        <v>0</v>
      </c>
      <c r="S706" t="str">
        <f>IFERROR(VLOOKUP(Calculations[[#This Row],[Material (choose from dropdown]],MaterialData[#All],4,FALSE),"")</f>
        <v/>
      </c>
      <c r="T706" s="322" cm="1">
        <f t="array" ref="T706">IFERROR(VLOOKUP(Calculations[[#This Row],[Waste 1]],WasteScenario[#All],2,FALSE)*'Stage assumptions'!$C$225*WasteTransportMethod[Emissions Factor
kgCO2e/kg.km]*Calculations[[#This Row],[Total Kg]],0)</f>
        <v>0</v>
      </c>
      <c r="U706" s="322" cm="1">
        <f t="array" ref="U706">IFERROR(VLOOKUP(Calculations[[#This Row],[Waste 1]],WasteScenario[#All],3,FALSE)*'Stage assumptions'!$C$224*WasteTransportMethod[Emissions Factor
kgCO2e/kg.km]*Calculations[[#This Row],[Total Kg]],0)</f>
        <v>0</v>
      </c>
      <c r="V706" s="322" cm="1">
        <f t="array" ref="V706">IFERROR(VLOOKUP(Calculations[[#This Row],[Waste 1]],WasteScenario[#All],4,FALSE)*'Stage assumptions'!$C$223*WasteTransportMethod[Emissions Factor
kgCO2e/kg.km]*Calculations[[#This Row],[Total Kg]],0)</f>
        <v>0</v>
      </c>
      <c r="W706" s="322" cm="1">
        <f t="array" ref="W706">IFERROR(VLOOKUP(Calculations[[#This Row],[Waste 1]],WasteScenario[#All],5,FALSE)*'Stage assumptions'!$C$226*WasteTransportMethod[Emissions Factor
kgCO2e/kg.km]*Calculations[[#This Row],[Total Kg]],0)</f>
        <v>0</v>
      </c>
      <c r="X706" s="322">
        <f>SUM(Calculations[[#This Row],[C2 Recycle]:[C2 Reuse]])</f>
        <v>0</v>
      </c>
      <c r="Y706" t="str">
        <f>IFERROR(VLOOKUP(Calculations[[#This Row],[Material (choose from dropdown]],MaterialData[#All],5,FALSE),"")</f>
        <v/>
      </c>
      <c r="Z706" s="322">
        <f>IFERROR(((VLOOKUP(Calculations[[#This Row],[Waste type 2]],WasteDisposalEmissions[#All],2,FALSE))*Calculations[[#This Row],[Total Kg]])*VLOOKUP(Calculations[[#This Row],[Waste 1]],WasteScenario[#All],2,FALSE),0)</f>
        <v>0</v>
      </c>
      <c r="AA706" s="322">
        <f>IFERROR((VLOOKUP(Calculations[[#This Row],[Waste type 2]],WasteDisposalEmissions[#All],3,FALSE))*Calculations[[#This Row],[Total Kg]]*VLOOKUP(Calculations[[#This Row],[Waste 1]],WasteScenario[#All],3,FALSE),0)</f>
        <v>0</v>
      </c>
      <c r="AB706" s="322">
        <f>SUM(Calculations[[#This Row],[C3 recyc]:[C3 incin]])</f>
        <v>0</v>
      </c>
      <c r="AC706" s="334">
        <f>IFERROR((VLOOKUP(Calculations[[#This Row],[Waste type 2]],WasteLandfillEmissions[#All],2,FALSE))*Calculations[[#This Row],[Total Kg]]*VLOOKUP(Calculations[[#This Row],[Waste 1]],WasteScenario[#All],4,FALSE),0)</f>
        <v>0</v>
      </c>
      <c r="AD706" s="322">
        <f>IFERROR((VLOOKUP(Calculations[[#This Row],[Waste type 2]],WasteLandfillEmissions[#All],3,FALSE))*Calculations[[#This Row],[Total Kg]]*VLOOKUP(Calculations[[#This Row],[Waste 1]],WasteScenario[#All],4,FALSE),0)</f>
        <v>0</v>
      </c>
      <c r="AE706" s="322">
        <f>SUM(Calculations[[#This Row],[C4 landfill]:[C4 re-use]])</f>
        <v>0</v>
      </c>
      <c r="AF706" s="322">
        <f>IFERROR(VLOOKUP(Calculations[[#This Row],[Material (choose from dropdown]],MaterialData[#All],8,FALSE),0)</f>
        <v>0</v>
      </c>
      <c r="AG706" s="322">
        <f>IFERROR(Calculations[[#This Row],[Total Kg]]*Calculations[[#This Row],[Seq factor]],0)</f>
        <v>0</v>
      </c>
      <c r="AI706" s="322">
        <f>Calculations[[#This Row],[A1-3]]+Calculations[[#This Row],[A4]]+Calculations[[#This Row],[A5]]+Calculations[[#This Row],[B4]]+Calculations[[#This Row],[C2 total]]+Calculations[[#This Row],[C3 total]]+Calculations[[#This Row],[C4 total]]</f>
        <v>0</v>
      </c>
      <c r="AJ706" s="2">
        <f>IFERROR(VLOOKUP(Calculations[[#This Row],[Material (choose from dropdown]],MaterialData[[#Headers],[#Data]],9,FALSE),0)</f>
        <v>0</v>
      </c>
      <c r="AK706" s="4">
        <f>IFERROR(VLOOKUP(Calculations[[#This Row],[Material (choose from dropdown]],MaterialData[[#Headers],[#Data]],10,FALSE),0)</f>
        <v>0</v>
      </c>
      <c r="AL706" s="322">
        <f>IFERROR(Calculations[[#This Row],[Data Quality Score]]*Calculations[[#This Row],[Total Kg]],0)</f>
        <v>0</v>
      </c>
    </row>
    <row r="707" spans="1:38" x14ac:dyDescent="0.3">
      <c r="A707" s="6">
        <f>IFERROR(MaterialsBoQ[[#This Row],[Scope Element]],0)</f>
        <v>0</v>
      </c>
      <c r="B707" t="str">
        <f>IFERROR(MaterialsBoQ[[#This Row],[Material ]],"")</f>
        <v/>
      </c>
      <c r="C707" t="str">
        <f>IFERROR(MaterialsBoQ[[#This Row],[Unit]],"")</f>
        <v/>
      </c>
      <c r="D707" s="322">
        <f>IFERROR(MaterialsBoQ[[#This Row],[Number]],0)</f>
        <v>0</v>
      </c>
      <c r="E707" s="322">
        <f>IFERROR(MaterialsBoQ[[#This Row],[Kg per unit]],0)</f>
        <v>0</v>
      </c>
      <c r="F707" s="322">
        <f>IFERROR(Calculations[[#This Row],[Number]]*Calculations[[#This Row],[Conversion factor]],0)</f>
        <v>0</v>
      </c>
      <c r="G707" s="322">
        <f>IFERROR(VLOOKUP(Calculations[[#This Row],[Material (choose from dropdown]],MaterialData[#All],7,FALSE),0)</f>
        <v>0</v>
      </c>
      <c r="H707" s="322">
        <f>Calculations[[#This Row],[Total Kg]]*Calculations[[#This Row],[Carbon Factor]]</f>
        <v>0</v>
      </c>
      <c r="I707" t="str">
        <f>IFERROR(VLOOKUP(Calculations[[#This Row],[Material (choose from dropdown]],MaterialData[#All],2,FALSE),"")</f>
        <v/>
      </c>
      <c r="J707" s="322">
        <f>IFERROR(((VLOOKUP(Calculations[[#This Row],[TransportSource]],TransportDistance[],2,FALSE)*'Stage assumptions'!$C$11)+VLOOKUP(Calculations[[#This Row],[TransportSource]],TransportDistance[],3,FALSE)*'Stage assumptions'!$C$12)*Calculations[[#This Row],[Total Kg]],0)</f>
        <v>0</v>
      </c>
      <c r="K707">
        <f>IFERROR(VLOOKUP(Calculations[[#This Row],[Material (choose from dropdown]], MaterialData[#All],3, FALSE),0)</f>
        <v>0</v>
      </c>
      <c r="L707" s="322">
        <f>IFERROR(VLOOKUP(Calculations[[#This Row],[A5type]],A5WastageRate[#All],2,FALSE)*Calculations[[#This Row],[A1-3]],0)</f>
        <v>0</v>
      </c>
      <c r="N707">
        <f>IFERROR(ROUNDUP(50/VLOOKUP(Calculations[[#This Row],[Scope Element]],B4referenceServiceLife[[Tier 2 element]:[Default Service Life]],2, FALSE)-1,0),0)</f>
        <v>0</v>
      </c>
      <c r="O707" s="322">
        <f>IFERROR((Calculations[[#This Row],[A1-3]]+Calculations[[#This Row],[A4]]+Calculations[[#This Row],[A5]]+Calculations[[#This Row],[C2 total]]+Calculations[[#This Row],[C3 total]]+Calculations[[#This Row],[C4 total]])*Calculations[[#This Row],[Replacements]],0)</f>
        <v>0</v>
      </c>
      <c r="S707" t="str">
        <f>IFERROR(VLOOKUP(Calculations[[#This Row],[Material (choose from dropdown]],MaterialData[#All],4,FALSE),"")</f>
        <v/>
      </c>
      <c r="T707" s="322" cm="1">
        <f t="array" ref="T707">IFERROR(VLOOKUP(Calculations[[#This Row],[Waste 1]],WasteScenario[#All],2,FALSE)*'Stage assumptions'!$C$225*WasteTransportMethod[Emissions Factor
kgCO2e/kg.km]*Calculations[[#This Row],[Total Kg]],0)</f>
        <v>0</v>
      </c>
      <c r="U707" s="322" cm="1">
        <f t="array" ref="U707">IFERROR(VLOOKUP(Calculations[[#This Row],[Waste 1]],WasteScenario[#All],3,FALSE)*'Stage assumptions'!$C$224*WasteTransportMethod[Emissions Factor
kgCO2e/kg.km]*Calculations[[#This Row],[Total Kg]],0)</f>
        <v>0</v>
      </c>
      <c r="V707" s="322" cm="1">
        <f t="array" ref="V707">IFERROR(VLOOKUP(Calculations[[#This Row],[Waste 1]],WasteScenario[#All],4,FALSE)*'Stage assumptions'!$C$223*WasteTransportMethod[Emissions Factor
kgCO2e/kg.km]*Calculations[[#This Row],[Total Kg]],0)</f>
        <v>0</v>
      </c>
      <c r="W707" s="322" cm="1">
        <f t="array" ref="W707">IFERROR(VLOOKUP(Calculations[[#This Row],[Waste 1]],WasteScenario[#All],5,FALSE)*'Stage assumptions'!$C$226*WasteTransportMethod[Emissions Factor
kgCO2e/kg.km]*Calculations[[#This Row],[Total Kg]],0)</f>
        <v>0</v>
      </c>
      <c r="X707" s="322">
        <f>SUM(Calculations[[#This Row],[C2 Recycle]:[C2 Reuse]])</f>
        <v>0</v>
      </c>
      <c r="Y707" t="str">
        <f>IFERROR(VLOOKUP(Calculations[[#This Row],[Material (choose from dropdown]],MaterialData[#All],5,FALSE),"")</f>
        <v/>
      </c>
      <c r="Z707" s="322">
        <f>IFERROR(((VLOOKUP(Calculations[[#This Row],[Waste type 2]],WasteDisposalEmissions[#All],2,FALSE))*Calculations[[#This Row],[Total Kg]])*VLOOKUP(Calculations[[#This Row],[Waste 1]],WasteScenario[#All],2,FALSE),0)</f>
        <v>0</v>
      </c>
      <c r="AA707" s="322">
        <f>IFERROR((VLOOKUP(Calculations[[#This Row],[Waste type 2]],WasteDisposalEmissions[#All],3,FALSE))*Calculations[[#This Row],[Total Kg]]*VLOOKUP(Calculations[[#This Row],[Waste 1]],WasteScenario[#All],3,FALSE),0)</f>
        <v>0</v>
      </c>
      <c r="AB707" s="322">
        <f>SUM(Calculations[[#This Row],[C3 recyc]:[C3 incin]])</f>
        <v>0</v>
      </c>
      <c r="AC707" s="334">
        <f>IFERROR((VLOOKUP(Calculations[[#This Row],[Waste type 2]],WasteLandfillEmissions[#All],2,FALSE))*Calculations[[#This Row],[Total Kg]]*VLOOKUP(Calculations[[#This Row],[Waste 1]],WasteScenario[#All],4,FALSE),0)</f>
        <v>0</v>
      </c>
      <c r="AD707" s="322">
        <f>IFERROR((VLOOKUP(Calculations[[#This Row],[Waste type 2]],WasteLandfillEmissions[#All],3,FALSE))*Calculations[[#This Row],[Total Kg]]*VLOOKUP(Calculations[[#This Row],[Waste 1]],WasteScenario[#All],4,FALSE),0)</f>
        <v>0</v>
      </c>
      <c r="AE707" s="322">
        <f>SUM(Calculations[[#This Row],[C4 landfill]:[C4 re-use]])</f>
        <v>0</v>
      </c>
      <c r="AF707" s="322">
        <f>IFERROR(VLOOKUP(Calculations[[#This Row],[Material (choose from dropdown]],MaterialData[#All],8,FALSE),0)</f>
        <v>0</v>
      </c>
      <c r="AG707" s="322">
        <f>IFERROR(Calculations[[#This Row],[Total Kg]]*Calculations[[#This Row],[Seq factor]],0)</f>
        <v>0</v>
      </c>
      <c r="AI707" s="322">
        <f>Calculations[[#This Row],[A1-3]]+Calculations[[#This Row],[A4]]+Calculations[[#This Row],[A5]]+Calculations[[#This Row],[B4]]+Calculations[[#This Row],[C2 total]]+Calculations[[#This Row],[C3 total]]+Calculations[[#This Row],[C4 total]]</f>
        <v>0</v>
      </c>
      <c r="AJ707" s="2">
        <f>IFERROR(VLOOKUP(Calculations[[#This Row],[Material (choose from dropdown]],MaterialData[[#Headers],[#Data]],9,FALSE),0)</f>
        <v>0</v>
      </c>
      <c r="AK707" s="4">
        <f>IFERROR(VLOOKUP(Calculations[[#This Row],[Material (choose from dropdown]],MaterialData[[#Headers],[#Data]],10,FALSE),0)</f>
        <v>0</v>
      </c>
      <c r="AL707" s="322">
        <f>IFERROR(Calculations[[#This Row],[Data Quality Score]]*Calculations[[#This Row],[Total Kg]],0)</f>
        <v>0</v>
      </c>
    </row>
    <row r="708" spans="1:38" x14ac:dyDescent="0.3">
      <c r="A708" s="6">
        <f>IFERROR(MaterialsBoQ[[#This Row],[Scope Element]],0)</f>
        <v>0</v>
      </c>
      <c r="B708" t="str">
        <f>IFERROR(MaterialsBoQ[[#This Row],[Material ]],"")</f>
        <v/>
      </c>
      <c r="C708" t="str">
        <f>IFERROR(MaterialsBoQ[[#This Row],[Unit]],"")</f>
        <v/>
      </c>
      <c r="D708" s="322">
        <f>IFERROR(MaterialsBoQ[[#This Row],[Number]],0)</f>
        <v>0</v>
      </c>
      <c r="E708" s="322">
        <f>IFERROR(MaterialsBoQ[[#This Row],[Kg per unit]],0)</f>
        <v>0</v>
      </c>
      <c r="F708" s="322">
        <f>IFERROR(Calculations[[#This Row],[Number]]*Calculations[[#This Row],[Conversion factor]],0)</f>
        <v>0</v>
      </c>
      <c r="G708" s="322">
        <f>IFERROR(VLOOKUP(Calculations[[#This Row],[Material (choose from dropdown]],MaterialData[#All],7,FALSE),0)</f>
        <v>0</v>
      </c>
      <c r="H708" s="322">
        <f>Calculations[[#This Row],[Total Kg]]*Calculations[[#This Row],[Carbon Factor]]</f>
        <v>0</v>
      </c>
      <c r="I708" t="str">
        <f>IFERROR(VLOOKUP(Calculations[[#This Row],[Material (choose from dropdown]],MaterialData[#All],2,FALSE),"")</f>
        <v/>
      </c>
      <c r="J708" s="322">
        <f>IFERROR(((VLOOKUP(Calculations[[#This Row],[TransportSource]],TransportDistance[],2,FALSE)*'Stage assumptions'!$C$11)+VLOOKUP(Calculations[[#This Row],[TransportSource]],TransportDistance[],3,FALSE)*'Stage assumptions'!$C$12)*Calculations[[#This Row],[Total Kg]],0)</f>
        <v>0</v>
      </c>
      <c r="K708">
        <f>IFERROR(VLOOKUP(Calculations[[#This Row],[Material (choose from dropdown]], MaterialData[#All],3, FALSE),0)</f>
        <v>0</v>
      </c>
      <c r="L708" s="322">
        <f>IFERROR(VLOOKUP(Calculations[[#This Row],[A5type]],A5WastageRate[#All],2,FALSE)*Calculations[[#This Row],[A1-3]],0)</f>
        <v>0</v>
      </c>
      <c r="N708">
        <f>IFERROR(ROUNDUP(50/VLOOKUP(Calculations[[#This Row],[Scope Element]],B4referenceServiceLife[[Tier 2 element]:[Default Service Life]],2, FALSE)-1,0),0)</f>
        <v>0</v>
      </c>
      <c r="O708" s="322">
        <f>IFERROR((Calculations[[#This Row],[A1-3]]+Calculations[[#This Row],[A4]]+Calculations[[#This Row],[A5]]+Calculations[[#This Row],[C2 total]]+Calculations[[#This Row],[C3 total]]+Calculations[[#This Row],[C4 total]])*Calculations[[#This Row],[Replacements]],0)</f>
        <v>0</v>
      </c>
      <c r="S708" t="str">
        <f>IFERROR(VLOOKUP(Calculations[[#This Row],[Material (choose from dropdown]],MaterialData[#All],4,FALSE),"")</f>
        <v/>
      </c>
      <c r="T708" s="322" cm="1">
        <f t="array" ref="T708">IFERROR(VLOOKUP(Calculations[[#This Row],[Waste 1]],WasteScenario[#All],2,FALSE)*'Stage assumptions'!$C$225*WasteTransportMethod[Emissions Factor
kgCO2e/kg.km]*Calculations[[#This Row],[Total Kg]],0)</f>
        <v>0</v>
      </c>
      <c r="U708" s="322" cm="1">
        <f t="array" ref="U708">IFERROR(VLOOKUP(Calculations[[#This Row],[Waste 1]],WasteScenario[#All],3,FALSE)*'Stage assumptions'!$C$224*WasteTransportMethod[Emissions Factor
kgCO2e/kg.km]*Calculations[[#This Row],[Total Kg]],0)</f>
        <v>0</v>
      </c>
      <c r="V708" s="322" cm="1">
        <f t="array" ref="V708">IFERROR(VLOOKUP(Calculations[[#This Row],[Waste 1]],WasteScenario[#All],4,FALSE)*'Stage assumptions'!$C$223*WasteTransportMethod[Emissions Factor
kgCO2e/kg.km]*Calculations[[#This Row],[Total Kg]],0)</f>
        <v>0</v>
      </c>
      <c r="W708" s="322" cm="1">
        <f t="array" ref="W708">IFERROR(VLOOKUP(Calculations[[#This Row],[Waste 1]],WasteScenario[#All],5,FALSE)*'Stage assumptions'!$C$226*WasteTransportMethod[Emissions Factor
kgCO2e/kg.km]*Calculations[[#This Row],[Total Kg]],0)</f>
        <v>0</v>
      </c>
      <c r="X708" s="322">
        <f>SUM(Calculations[[#This Row],[C2 Recycle]:[C2 Reuse]])</f>
        <v>0</v>
      </c>
      <c r="Y708" t="str">
        <f>IFERROR(VLOOKUP(Calculations[[#This Row],[Material (choose from dropdown]],MaterialData[#All],5,FALSE),"")</f>
        <v/>
      </c>
      <c r="Z708" s="322">
        <f>IFERROR(((VLOOKUP(Calculations[[#This Row],[Waste type 2]],WasteDisposalEmissions[#All],2,FALSE))*Calculations[[#This Row],[Total Kg]])*VLOOKUP(Calculations[[#This Row],[Waste 1]],WasteScenario[#All],2,FALSE),0)</f>
        <v>0</v>
      </c>
      <c r="AA708" s="322">
        <f>IFERROR((VLOOKUP(Calculations[[#This Row],[Waste type 2]],WasteDisposalEmissions[#All],3,FALSE))*Calculations[[#This Row],[Total Kg]]*VLOOKUP(Calculations[[#This Row],[Waste 1]],WasteScenario[#All],3,FALSE),0)</f>
        <v>0</v>
      </c>
      <c r="AB708" s="322">
        <f>SUM(Calculations[[#This Row],[C3 recyc]:[C3 incin]])</f>
        <v>0</v>
      </c>
      <c r="AC708" s="334">
        <f>IFERROR((VLOOKUP(Calculations[[#This Row],[Waste type 2]],WasteLandfillEmissions[#All],2,FALSE))*Calculations[[#This Row],[Total Kg]]*VLOOKUP(Calculations[[#This Row],[Waste 1]],WasteScenario[#All],4,FALSE),0)</f>
        <v>0</v>
      </c>
      <c r="AD708" s="322">
        <f>IFERROR((VLOOKUP(Calculations[[#This Row],[Waste type 2]],WasteLandfillEmissions[#All],3,FALSE))*Calculations[[#This Row],[Total Kg]]*VLOOKUP(Calculations[[#This Row],[Waste 1]],WasteScenario[#All],4,FALSE),0)</f>
        <v>0</v>
      </c>
      <c r="AE708" s="322">
        <f>SUM(Calculations[[#This Row],[C4 landfill]:[C4 re-use]])</f>
        <v>0</v>
      </c>
      <c r="AF708" s="322">
        <f>IFERROR(VLOOKUP(Calculations[[#This Row],[Material (choose from dropdown]],MaterialData[#All],8,FALSE),0)</f>
        <v>0</v>
      </c>
      <c r="AG708" s="322">
        <f>IFERROR(Calculations[[#This Row],[Total Kg]]*Calculations[[#This Row],[Seq factor]],0)</f>
        <v>0</v>
      </c>
      <c r="AI708" s="322">
        <f>Calculations[[#This Row],[A1-3]]+Calculations[[#This Row],[A4]]+Calculations[[#This Row],[A5]]+Calculations[[#This Row],[B4]]+Calculations[[#This Row],[C2 total]]+Calculations[[#This Row],[C3 total]]+Calculations[[#This Row],[C4 total]]</f>
        <v>0</v>
      </c>
      <c r="AJ708" s="2">
        <f>IFERROR(VLOOKUP(Calculations[[#This Row],[Material (choose from dropdown]],MaterialData[[#Headers],[#Data]],9,FALSE),0)</f>
        <v>0</v>
      </c>
      <c r="AK708" s="4">
        <f>IFERROR(VLOOKUP(Calculations[[#This Row],[Material (choose from dropdown]],MaterialData[[#Headers],[#Data]],10,FALSE),0)</f>
        <v>0</v>
      </c>
      <c r="AL708" s="322">
        <f>IFERROR(Calculations[[#This Row],[Data Quality Score]]*Calculations[[#This Row],[Total Kg]],0)</f>
        <v>0</v>
      </c>
    </row>
    <row r="709" spans="1:38" x14ac:dyDescent="0.3">
      <c r="A709" s="6">
        <f>IFERROR(MaterialsBoQ[[#This Row],[Scope Element]],0)</f>
        <v>0</v>
      </c>
      <c r="B709" t="str">
        <f>IFERROR(MaterialsBoQ[[#This Row],[Material ]],"")</f>
        <v/>
      </c>
      <c r="C709" t="str">
        <f>IFERROR(MaterialsBoQ[[#This Row],[Unit]],"")</f>
        <v/>
      </c>
      <c r="D709" s="322">
        <f>IFERROR(MaterialsBoQ[[#This Row],[Number]],0)</f>
        <v>0</v>
      </c>
      <c r="E709" s="322">
        <f>IFERROR(MaterialsBoQ[[#This Row],[Kg per unit]],0)</f>
        <v>0</v>
      </c>
      <c r="F709" s="322">
        <f>IFERROR(Calculations[[#This Row],[Number]]*Calculations[[#This Row],[Conversion factor]],0)</f>
        <v>0</v>
      </c>
      <c r="G709" s="322">
        <f>IFERROR(VLOOKUP(Calculations[[#This Row],[Material (choose from dropdown]],MaterialData[#All],7,FALSE),0)</f>
        <v>0</v>
      </c>
      <c r="H709" s="322">
        <f>Calculations[[#This Row],[Total Kg]]*Calculations[[#This Row],[Carbon Factor]]</f>
        <v>0</v>
      </c>
      <c r="I709" t="str">
        <f>IFERROR(VLOOKUP(Calculations[[#This Row],[Material (choose from dropdown]],MaterialData[#All],2,FALSE),"")</f>
        <v/>
      </c>
      <c r="J709" s="322">
        <f>IFERROR(((VLOOKUP(Calculations[[#This Row],[TransportSource]],TransportDistance[],2,FALSE)*'Stage assumptions'!$C$11)+VLOOKUP(Calculations[[#This Row],[TransportSource]],TransportDistance[],3,FALSE)*'Stage assumptions'!$C$12)*Calculations[[#This Row],[Total Kg]],0)</f>
        <v>0</v>
      </c>
      <c r="K709">
        <f>IFERROR(VLOOKUP(Calculations[[#This Row],[Material (choose from dropdown]], MaterialData[#All],3, FALSE),0)</f>
        <v>0</v>
      </c>
      <c r="L709" s="322">
        <f>IFERROR(VLOOKUP(Calculations[[#This Row],[A5type]],A5WastageRate[#All],2,FALSE)*Calculations[[#This Row],[A1-3]],0)</f>
        <v>0</v>
      </c>
      <c r="N709">
        <f>IFERROR(ROUNDUP(50/VLOOKUP(Calculations[[#This Row],[Scope Element]],B4referenceServiceLife[[Tier 2 element]:[Default Service Life]],2, FALSE)-1,0),0)</f>
        <v>0</v>
      </c>
      <c r="O709" s="322">
        <f>IFERROR((Calculations[[#This Row],[A1-3]]+Calculations[[#This Row],[A4]]+Calculations[[#This Row],[A5]]+Calculations[[#This Row],[C2 total]]+Calculations[[#This Row],[C3 total]]+Calculations[[#This Row],[C4 total]])*Calculations[[#This Row],[Replacements]],0)</f>
        <v>0</v>
      </c>
      <c r="S709" t="str">
        <f>IFERROR(VLOOKUP(Calculations[[#This Row],[Material (choose from dropdown]],MaterialData[#All],4,FALSE),"")</f>
        <v/>
      </c>
      <c r="T709" s="322" cm="1">
        <f t="array" ref="T709">IFERROR(VLOOKUP(Calculations[[#This Row],[Waste 1]],WasteScenario[#All],2,FALSE)*'Stage assumptions'!$C$225*WasteTransportMethod[Emissions Factor
kgCO2e/kg.km]*Calculations[[#This Row],[Total Kg]],0)</f>
        <v>0</v>
      </c>
      <c r="U709" s="322" cm="1">
        <f t="array" ref="U709">IFERROR(VLOOKUP(Calculations[[#This Row],[Waste 1]],WasteScenario[#All],3,FALSE)*'Stage assumptions'!$C$224*WasteTransportMethod[Emissions Factor
kgCO2e/kg.km]*Calculations[[#This Row],[Total Kg]],0)</f>
        <v>0</v>
      </c>
      <c r="V709" s="322" cm="1">
        <f t="array" ref="V709">IFERROR(VLOOKUP(Calculations[[#This Row],[Waste 1]],WasteScenario[#All],4,FALSE)*'Stage assumptions'!$C$223*WasteTransportMethod[Emissions Factor
kgCO2e/kg.km]*Calculations[[#This Row],[Total Kg]],0)</f>
        <v>0</v>
      </c>
      <c r="W709" s="322" cm="1">
        <f t="array" ref="W709">IFERROR(VLOOKUP(Calculations[[#This Row],[Waste 1]],WasteScenario[#All],5,FALSE)*'Stage assumptions'!$C$226*WasteTransportMethod[Emissions Factor
kgCO2e/kg.km]*Calculations[[#This Row],[Total Kg]],0)</f>
        <v>0</v>
      </c>
      <c r="X709" s="322">
        <f>SUM(Calculations[[#This Row],[C2 Recycle]:[C2 Reuse]])</f>
        <v>0</v>
      </c>
      <c r="Y709" t="str">
        <f>IFERROR(VLOOKUP(Calculations[[#This Row],[Material (choose from dropdown]],MaterialData[#All],5,FALSE),"")</f>
        <v/>
      </c>
      <c r="Z709" s="322">
        <f>IFERROR(((VLOOKUP(Calculations[[#This Row],[Waste type 2]],WasteDisposalEmissions[#All],2,FALSE))*Calculations[[#This Row],[Total Kg]])*VLOOKUP(Calculations[[#This Row],[Waste 1]],WasteScenario[#All],2,FALSE),0)</f>
        <v>0</v>
      </c>
      <c r="AA709" s="322">
        <f>IFERROR((VLOOKUP(Calculations[[#This Row],[Waste type 2]],WasteDisposalEmissions[#All],3,FALSE))*Calculations[[#This Row],[Total Kg]]*VLOOKUP(Calculations[[#This Row],[Waste 1]],WasteScenario[#All],3,FALSE),0)</f>
        <v>0</v>
      </c>
      <c r="AB709" s="322">
        <f>SUM(Calculations[[#This Row],[C3 recyc]:[C3 incin]])</f>
        <v>0</v>
      </c>
      <c r="AC709" s="334">
        <f>IFERROR((VLOOKUP(Calculations[[#This Row],[Waste type 2]],WasteLandfillEmissions[#All],2,FALSE))*Calculations[[#This Row],[Total Kg]]*VLOOKUP(Calculations[[#This Row],[Waste 1]],WasteScenario[#All],4,FALSE),0)</f>
        <v>0</v>
      </c>
      <c r="AD709" s="322">
        <f>IFERROR((VLOOKUP(Calculations[[#This Row],[Waste type 2]],WasteLandfillEmissions[#All],3,FALSE))*Calculations[[#This Row],[Total Kg]]*VLOOKUP(Calculations[[#This Row],[Waste 1]],WasteScenario[#All],4,FALSE),0)</f>
        <v>0</v>
      </c>
      <c r="AE709" s="322">
        <f>SUM(Calculations[[#This Row],[C4 landfill]:[C4 re-use]])</f>
        <v>0</v>
      </c>
      <c r="AF709" s="322">
        <f>IFERROR(VLOOKUP(Calculations[[#This Row],[Material (choose from dropdown]],MaterialData[#All],8,FALSE),0)</f>
        <v>0</v>
      </c>
      <c r="AG709" s="322">
        <f>IFERROR(Calculations[[#This Row],[Total Kg]]*Calculations[[#This Row],[Seq factor]],0)</f>
        <v>0</v>
      </c>
      <c r="AI709" s="322">
        <f>Calculations[[#This Row],[A1-3]]+Calculations[[#This Row],[A4]]+Calculations[[#This Row],[A5]]+Calculations[[#This Row],[B4]]+Calculations[[#This Row],[C2 total]]+Calculations[[#This Row],[C3 total]]+Calculations[[#This Row],[C4 total]]</f>
        <v>0</v>
      </c>
      <c r="AJ709" s="2">
        <f>IFERROR(VLOOKUP(Calculations[[#This Row],[Material (choose from dropdown]],MaterialData[[#Headers],[#Data]],9,FALSE),0)</f>
        <v>0</v>
      </c>
      <c r="AK709" s="4">
        <f>IFERROR(VLOOKUP(Calculations[[#This Row],[Material (choose from dropdown]],MaterialData[[#Headers],[#Data]],10,FALSE),0)</f>
        <v>0</v>
      </c>
      <c r="AL709" s="322">
        <f>IFERROR(Calculations[[#This Row],[Data Quality Score]]*Calculations[[#This Row],[Total Kg]],0)</f>
        <v>0</v>
      </c>
    </row>
    <row r="710" spans="1:38" x14ac:dyDescent="0.3">
      <c r="A710" s="6">
        <f>IFERROR(MaterialsBoQ[[#This Row],[Scope Element]],0)</f>
        <v>0</v>
      </c>
      <c r="B710" t="str">
        <f>IFERROR(MaterialsBoQ[[#This Row],[Material ]],"")</f>
        <v/>
      </c>
      <c r="C710" t="str">
        <f>IFERROR(MaterialsBoQ[[#This Row],[Unit]],"")</f>
        <v/>
      </c>
      <c r="D710" s="322">
        <f>IFERROR(MaterialsBoQ[[#This Row],[Number]],0)</f>
        <v>0</v>
      </c>
      <c r="E710" s="322">
        <f>IFERROR(MaterialsBoQ[[#This Row],[Kg per unit]],0)</f>
        <v>0</v>
      </c>
      <c r="F710" s="322">
        <f>IFERROR(Calculations[[#This Row],[Number]]*Calculations[[#This Row],[Conversion factor]],0)</f>
        <v>0</v>
      </c>
      <c r="G710" s="322">
        <f>IFERROR(VLOOKUP(Calculations[[#This Row],[Material (choose from dropdown]],MaterialData[#All],7,FALSE),0)</f>
        <v>0</v>
      </c>
      <c r="H710" s="322">
        <f>Calculations[[#This Row],[Total Kg]]*Calculations[[#This Row],[Carbon Factor]]</f>
        <v>0</v>
      </c>
      <c r="I710" t="str">
        <f>IFERROR(VLOOKUP(Calculations[[#This Row],[Material (choose from dropdown]],MaterialData[#All],2,FALSE),"")</f>
        <v/>
      </c>
      <c r="J710" s="322">
        <f>IFERROR(((VLOOKUP(Calculations[[#This Row],[TransportSource]],TransportDistance[],2,FALSE)*'Stage assumptions'!$C$11)+VLOOKUP(Calculations[[#This Row],[TransportSource]],TransportDistance[],3,FALSE)*'Stage assumptions'!$C$12)*Calculations[[#This Row],[Total Kg]],0)</f>
        <v>0</v>
      </c>
      <c r="K710">
        <f>IFERROR(VLOOKUP(Calculations[[#This Row],[Material (choose from dropdown]], MaterialData[#All],3, FALSE),0)</f>
        <v>0</v>
      </c>
      <c r="L710" s="322">
        <f>IFERROR(VLOOKUP(Calculations[[#This Row],[A5type]],A5WastageRate[#All],2,FALSE)*Calculations[[#This Row],[A1-3]],0)</f>
        <v>0</v>
      </c>
      <c r="N710">
        <f>IFERROR(ROUNDUP(50/VLOOKUP(Calculations[[#This Row],[Scope Element]],B4referenceServiceLife[[Tier 2 element]:[Default Service Life]],2, FALSE)-1,0),0)</f>
        <v>0</v>
      </c>
      <c r="O710" s="322">
        <f>IFERROR((Calculations[[#This Row],[A1-3]]+Calculations[[#This Row],[A4]]+Calculations[[#This Row],[A5]]+Calculations[[#This Row],[C2 total]]+Calculations[[#This Row],[C3 total]]+Calculations[[#This Row],[C4 total]])*Calculations[[#This Row],[Replacements]],0)</f>
        <v>0</v>
      </c>
      <c r="S710" t="str">
        <f>IFERROR(VLOOKUP(Calculations[[#This Row],[Material (choose from dropdown]],MaterialData[#All],4,FALSE),"")</f>
        <v/>
      </c>
      <c r="T710" s="322" cm="1">
        <f t="array" ref="T710">IFERROR(VLOOKUP(Calculations[[#This Row],[Waste 1]],WasteScenario[#All],2,FALSE)*'Stage assumptions'!$C$225*WasteTransportMethod[Emissions Factor
kgCO2e/kg.km]*Calculations[[#This Row],[Total Kg]],0)</f>
        <v>0</v>
      </c>
      <c r="U710" s="322" cm="1">
        <f t="array" ref="U710">IFERROR(VLOOKUP(Calculations[[#This Row],[Waste 1]],WasteScenario[#All],3,FALSE)*'Stage assumptions'!$C$224*WasteTransportMethod[Emissions Factor
kgCO2e/kg.km]*Calculations[[#This Row],[Total Kg]],0)</f>
        <v>0</v>
      </c>
      <c r="V710" s="322" cm="1">
        <f t="array" ref="V710">IFERROR(VLOOKUP(Calculations[[#This Row],[Waste 1]],WasteScenario[#All],4,FALSE)*'Stage assumptions'!$C$223*WasteTransportMethod[Emissions Factor
kgCO2e/kg.km]*Calculations[[#This Row],[Total Kg]],0)</f>
        <v>0</v>
      </c>
      <c r="W710" s="322" cm="1">
        <f t="array" ref="W710">IFERROR(VLOOKUP(Calculations[[#This Row],[Waste 1]],WasteScenario[#All],5,FALSE)*'Stage assumptions'!$C$226*WasteTransportMethod[Emissions Factor
kgCO2e/kg.km]*Calculations[[#This Row],[Total Kg]],0)</f>
        <v>0</v>
      </c>
      <c r="X710" s="322">
        <f>SUM(Calculations[[#This Row],[C2 Recycle]:[C2 Reuse]])</f>
        <v>0</v>
      </c>
      <c r="Y710" t="str">
        <f>IFERROR(VLOOKUP(Calculations[[#This Row],[Material (choose from dropdown]],MaterialData[#All],5,FALSE),"")</f>
        <v/>
      </c>
      <c r="Z710" s="322">
        <f>IFERROR(((VLOOKUP(Calculations[[#This Row],[Waste type 2]],WasteDisposalEmissions[#All],2,FALSE))*Calculations[[#This Row],[Total Kg]])*VLOOKUP(Calculations[[#This Row],[Waste 1]],WasteScenario[#All],2,FALSE),0)</f>
        <v>0</v>
      </c>
      <c r="AA710" s="322">
        <f>IFERROR((VLOOKUP(Calculations[[#This Row],[Waste type 2]],WasteDisposalEmissions[#All],3,FALSE))*Calculations[[#This Row],[Total Kg]]*VLOOKUP(Calculations[[#This Row],[Waste 1]],WasteScenario[#All],3,FALSE),0)</f>
        <v>0</v>
      </c>
      <c r="AB710" s="322">
        <f>SUM(Calculations[[#This Row],[C3 recyc]:[C3 incin]])</f>
        <v>0</v>
      </c>
      <c r="AC710" s="334">
        <f>IFERROR((VLOOKUP(Calculations[[#This Row],[Waste type 2]],WasteLandfillEmissions[#All],2,FALSE))*Calculations[[#This Row],[Total Kg]]*VLOOKUP(Calculations[[#This Row],[Waste 1]],WasteScenario[#All],4,FALSE),0)</f>
        <v>0</v>
      </c>
      <c r="AD710" s="322">
        <f>IFERROR((VLOOKUP(Calculations[[#This Row],[Waste type 2]],WasteLandfillEmissions[#All],3,FALSE))*Calculations[[#This Row],[Total Kg]]*VLOOKUP(Calculations[[#This Row],[Waste 1]],WasteScenario[#All],4,FALSE),0)</f>
        <v>0</v>
      </c>
      <c r="AE710" s="322">
        <f>SUM(Calculations[[#This Row],[C4 landfill]:[C4 re-use]])</f>
        <v>0</v>
      </c>
      <c r="AF710" s="322">
        <f>IFERROR(VLOOKUP(Calculations[[#This Row],[Material (choose from dropdown]],MaterialData[#All],8,FALSE),0)</f>
        <v>0</v>
      </c>
      <c r="AG710" s="322">
        <f>IFERROR(Calculations[[#This Row],[Total Kg]]*Calculations[[#This Row],[Seq factor]],0)</f>
        <v>0</v>
      </c>
      <c r="AI710" s="322">
        <f>Calculations[[#This Row],[A1-3]]+Calculations[[#This Row],[A4]]+Calculations[[#This Row],[A5]]+Calculations[[#This Row],[B4]]+Calculations[[#This Row],[C2 total]]+Calculations[[#This Row],[C3 total]]+Calculations[[#This Row],[C4 total]]</f>
        <v>0</v>
      </c>
      <c r="AJ710" s="2">
        <f>IFERROR(VLOOKUP(Calculations[[#This Row],[Material (choose from dropdown]],MaterialData[[#Headers],[#Data]],9,FALSE),0)</f>
        <v>0</v>
      </c>
      <c r="AK710" s="4">
        <f>IFERROR(VLOOKUP(Calculations[[#This Row],[Material (choose from dropdown]],MaterialData[[#Headers],[#Data]],10,FALSE),0)</f>
        <v>0</v>
      </c>
      <c r="AL710" s="322">
        <f>IFERROR(Calculations[[#This Row],[Data Quality Score]]*Calculations[[#This Row],[Total Kg]],0)</f>
        <v>0</v>
      </c>
    </row>
    <row r="711" spans="1:38" x14ac:dyDescent="0.3">
      <c r="A711" s="6">
        <f>IFERROR(MaterialsBoQ[[#This Row],[Scope Element]],0)</f>
        <v>0</v>
      </c>
      <c r="B711" t="str">
        <f>IFERROR(MaterialsBoQ[[#This Row],[Material ]],"")</f>
        <v/>
      </c>
      <c r="C711" t="str">
        <f>IFERROR(MaterialsBoQ[[#This Row],[Unit]],"")</f>
        <v/>
      </c>
      <c r="D711" s="322">
        <f>IFERROR(MaterialsBoQ[[#This Row],[Number]],0)</f>
        <v>0</v>
      </c>
      <c r="E711" s="322">
        <f>IFERROR(MaterialsBoQ[[#This Row],[Kg per unit]],0)</f>
        <v>0</v>
      </c>
      <c r="F711" s="322">
        <f>IFERROR(Calculations[[#This Row],[Number]]*Calculations[[#This Row],[Conversion factor]],0)</f>
        <v>0</v>
      </c>
      <c r="G711" s="322">
        <f>IFERROR(VLOOKUP(Calculations[[#This Row],[Material (choose from dropdown]],MaterialData[#All],7,FALSE),0)</f>
        <v>0</v>
      </c>
      <c r="H711" s="322">
        <f>Calculations[[#This Row],[Total Kg]]*Calculations[[#This Row],[Carbon Factor]]</f>
        <v>0</v>
      </c>
      <c r="I711" t="str">
        <f>IFERROR(VLOOKUP(Calculations[[#This Row],[Material (choose from dropdown]],MaterialData[#All],2,FALSE),"")</f>
        <v/>
      </c>
      <c r="J711" s="322">
        <f>IFERROR(((VLOOKUP(Calculations[[#This Row],[TransportSource]],TransportDistance[],2,FALSE)*'Stage assumptions'!$C$11)+VLOOKUP(Calculations[[#This Row],[TransportSource]],TransportDistance[],3,FALSE)*'Stage assumptions'!$C$12)*Calculations[[#This Row],[Total Kg]],0)</f>
        <v>0</v>
      </c>
      <c r="K711">
        <f>IFERROR(VLOOKUP(Calculations[[#This Row],[Material (choose from dropdown]], MaterialData[#All],3, FALSE),0)</f>
        <v>0</v>
      </c>
      <c r="L711" s="322">
        <f>IFERROR(VLOOKUP(Calculations[[#This Row],[A5type]],A5WastageRate[#All],2,FALSE)*Calculations[[#This Row],[A1-3]],0)</f>
        <v>0</v>
      </c>
      <c r="N711">
        <f>IFERROR(ROUNDUP(50/VLOOKUP(Calculations[[#This Row],[Scope Element]],B4referenceServiceLife[[Tier 2 element]:[Default Service Life]],2, FALSE)-1,0),0)</f>
        <v>0</v>
      </c>
      <c r="O711" s="322">
        <f>IFERROR((Calculations[[#This Row],[A1-3]]+Calculations[[#This Row],[A4]]+Calculations[[#This Row],[A5]]+Calculations[[#This Row],[C2 total]]+Calculations[[#This Row],[C3 total]]+Calculations[[#This Row],[C4 total]])*Calculations[[#This Row],[Replacements]],0)</f>
        <v>0</v>
      </c>
      <c r="S711" t="str">
        <f>IFERROR(VLOOKUP(Calculations[[#This Row],[Material (choose from dropdown]],MaterialData[#All],4,FALSE),"")</f>
        <v/>
      </c>
      <c r="T711" s="322" cm="1">
        <f t="array" ref="T711">IFERROR(VLOOKUP(Calculations[[#This Row],[Waste 1]],WasteScenario[#All],2,FALSE)*'Stage assumptions'!$C$225*WasteTransportMethod[Emissions Factor
kgCO2e/kg.km]*Calculations[[#This Row],[Total Kg]],0)</f>
        <v>0</v>
      </c>
      <c r="U711" s="322" cm="1">
        <f t="array" ref="U711">IFERROR(VLOOKUP(Calculations[[#This Row],[Waste 1]],WasteScenario[#All],3,FALSE)*'Stage assumptions'!$C$224*WasteTransportMethod[Emissions Factor
kgCO2e/kg.km]*Calculations[[#This Row],[Total Kg]],0)</f>
        <v>0</v>
      </c>
      <c r="V711" s="322" cm="1">
        <f t="array" ref="V711">IFERROR(VLOOKUP(Calculations[[#This Row],[Waste 1]],WasteScenario[#All],4,FALSE)*'Stage assumptions'!$C$223*WasteTransportMethod[Emissions Factor
kgCO2e/kg.km]*Calculations[[#This Row],[Total Kg]],0)</f>
        <v>0</v>
      </c>
      <c r="W711" s="322" cm="1">
        <f t="array" ref="W711">IFERROR(VLOOKUP(Calculations[[#This Row],[Waste 1]],WasteScenario[#All],5,FALSE)*'Stage assumptions'!$C$226*WasteTransportMethod[Emissions Factor
kgCO2e/kg.km]*Calculations[[#This Row],[Total Kg]],0)</f>
        <v>0</v>
      </c>
      <c r="X711" s="322">
        <f>SUM(Calculations[[#This Row],[C2 Recycle]:[C2 Reuse]])</f>
        <v>0</v>
      </c>
      <c r="Y711" t="str">
        <f>IFERROR(VLOOKUP(Calculations[[#This Row],[Material (choose from dropdown]],MaterialData[#All],5,FALSE),"")</f>
        <v/>
      </c>
      <c r="Z711" s="322">
        <f>IFERROR(((VLOOKUP(Calculations[[#This Row],[Waste type 2]],WasteDisposalEmissions[#All],2,FALSE))*Calculations[[#This Row],[Total Kg]])*VLOOKUP(Calculations[[#This Row],[Waste 1]],WasteScenario[#All],2,FALSE),0)</f>
        <v>0</v>
      </c>
      <c r="AA711" s="322">
        <f>IFERROR((VLOOKUP(Calculations[[#This Row],[Waste type 2]],WasteDisposalEmissions[#All],3,FALSE))*Calculations[[#This Row],[Total Kg]]*VLOOKUP(Calculations[[#This Row],[Waste 1]],WasteScenario[#All],3,FALSE),0)</f>
        <v>0</v>
      </c>
      <c r="AB711" s="322">
        <f>SUM(Calculations[[#This Row],[C3 recyc]:[C3 incin]])</f>
        <v>0</v>
      </c>
      <c r="AC711" s="334">
        <f>IFERROR((VLOOKUP(Calculations[[#This Row],[Waste type 2]],WasteLandfillEmissions[#All],2,FALSE))*Calculations[[#This Row],[Total Kg]]*VLOOKUP(Calculations[[#This Row],[Waste 1]],WasteScenario[#All],4,FALSE),0)</f>
        <v>0</v>
      </c>
      <c r="AD711" s="322">
        <f>IFERROR((VLOOKUP(Calculations[[#This Row],[Waste type 2]],WasteLandfillEmissions[#All],3,FALSE))*Calculations[[#This Row],[Total Kg]]*VLOOKUP(Calculations[[#This Row],[Waste 1]],WasteScenario[#All],4,FALSE),0)</f>
        <v>0</v>
      </c>
      <c r="AE711" s="322">
        <f>SUM(Calculations[[#This Row],[C4 landfill]:[C4 re-use]])</f>
        <v>0</v>
      </c>
      <c r="AF711" s="322">
        <f>IFERROR(VLOOKUP(Calculations[[#This Row],[Material (choose from dropdown]],MaterialData[#All],8,FALSE),0)</f>
        <v>0</v>
      </c>
      <c r="AG711" s="322">
        <f>IFERROR(Calculations[[#This Row],[Total Kg]]*Calculations[[#This Row],[Seq factor]],0)</f>
        <v>0</v>
      </c>
      <c r="AI711" s="322">
        <f>Calculations[[#This Row],[A1-3]]+Calculations[[#This Row],[A4]]+Calculations[[#This Row],[A5]]+Calculations[[#This Row],[B4]]+Calculations[[#This Row],[C2 total]]+Calculations[[#This Row],[C3 total]]+Calculations[[#This Row],[C4 total]]</f>
        <v>0</v>
      </c>
      <c r="AJ711" s="2">
        <f>IFERROR(VLOOKUP(Calculations[[#This Row],[Material (choose from dropdown]],MaterialData[[#Headers],[#Data]],9,FALSE),0)</f>
        <v>0</v>
      </c>
      <c r="AK711" s="4">
        <f>IFERROR(VLOOKUP(Calculations[[#This Row],[Material (choose from dropdown]],MaterialData[[#Headers],[#Data]],10,FALSE),0)</f>
        <v>0</v>
      </c>
      <c r="AL711" s="322">
        <f>IFERROR(Calculations[[#This Row],[Data Quality Score]]*Calculations[[#This Row],[Total Kg]],0)</f>
        <v>0</v>
      </c>
    </row>
    <row r="712" spans="1:38" x14ac:dyDescent="0.3">
      <c r="A712" s="6">
        <f>IFERROR(MaterialsBoQ[[#This Row],[Scope Element]],0)</f>
        <v>0</v>
      </c>
      <c r="B712" t="str">
        <f>IFERROR(MaterialsBoQ[[#This Row],[Material ]],"")</f>
        <v/>
      </c>
      <c r="C712" t="str">
        <f>IFERROR(MaterialsBoQ[[#This Row],[Unit]],"")</f>
        <v/>
      </c>
      <c r="D712" s="322">
        <f>IFERROR(MaterialsBoQ[[#This Row],[Number]],0)</f>
        <v>0</v>
      </c>
      <c r="E712" s="322">
        <f>IFERROR(MaterialsBoQ[[#This Row],[Kg per unit]],0)</f>
        <v>0</v>
      </c>
      <c r="F712" s="322">
        <f>IFERROR(Calculations[[#This Row],[Number]]*Calculations[[#This Row],[Conversion factor]],0)</f>
        <v>0</v>
      </c>
      <c r="G712" s="322">
        <f>IFERROR(VLOOKUP(Calculations[[#This Row],[Material (choose from dropdown]],MaterialData[#All],7,FALSE),0)</f>
        <v>0</v>
      </c>
      <c r="H712" s="322">
        <f>Calculations[[#This Row],[Total Kg]]*Calculations[[#This Row],[Carbon Factor]]</f>
        <v>0</v>
      </c>
      <c r="I712" t="str">
        <f>IFERROR(VLOOKUP(Calculations[[#This Row],[Material (choose from dropdown]],MaterialData[#All],2,FALSE),"")</f>
        <v/>
      </c>
      <c r="J712" s="322">
        <f>IFERROR(((VLOOKUP(Calculations[[#This Row],[TransportSource]],TransportDistance[],2,FALSE)*'Stage assumptions'!$C$11)+VLOOKUP(Calculations[[#This Row],[TransportSource]],TransportDistance[],3,FALSE)*'Stage assumptions'!$C$12)*Calculations[[#This Row],[Total Kg]],0)</f>
        <v>0</v>
      </c>
      <c r="K712">
        <f>IFERROR(VLOOKUP(Calculations[[#This Row],[Material (choose from dropdown]], MaterialData[#All],3, FALSE),0)</f>
        <v>0</v>
      </c>
      <c r="L712" s="322">
        <f>IFERROR(VLOOKUP(Calculations[[#This Row],[A5type]],A5WastageRate[#All],2,FALSE)*Calculations[[#This Row],[A1-3]],0)</f>
        <v>0</v>
      </c>
      <c r="N712">
        <f>IFERROR(ROUNDUP(50/VLOOKUP(Calculations[[#This Row],[Scope Element]],B4referenceServiceLife[[Tier 2 element]:[Default Service Life]],2, FALSE)-1,0),0)</f>
        <v>0</v>
      </c>
      <c r="O712" s="322">
        <f>IFERROR((Calculations[[#This Row],[A1-3]]+Calculations[[#This Row],[A4]]+Calculations[[#This Row],[A5]]+Calculations[[#This Row],[C2 total]]+Calculations[[#This Row],[C3 total]]+Calculations[[#This Row],[C4 total]])*Calculations[[#This Row],[Replacements]],0)</f>
        <v>0</v>
      </c>
      <c r="S712" t="str">
        <f>IFERROR(VLOOKUP(Calculations[[#This Row],[Material (choose from dropdown]],MaterialData[#All],4,FALSE),"")</f>
        <v/>
      </c>
      <c r="T712" s="322" cm="1">
        <f t="array" ref="T712">IFERROR(VLOOKUP(Calculations[[#This Row],[Waste 1]],WasteScenario[#All],2,FALSE)*'Stage assumptions'!$C$225*WasteTransportMethod[Emissions Factor
kgCO2e/kg.km]*Calculations[[#This Row],[Total Kg]],0)</f>
        <v>0</v>
      </c>
      <c r="U712" s="322" cm="1">
        <f t="array" ref="U712">IFERROR(VLOOKUP(Calculations[[#This Row],[Waste 1]],WasteScenario[#All],3,FALSE)*'Stage assumptions'!$C$224*WasteTransportMethod[Emissions Factor
kgCO2e/kg.km]*Calculations[[#This Row],[Total Kg]],0)</f>
        <v>0</v>
      </c>
      <c r="V712" s="322" cm="1">
        <f t="array" ref="V712">IFERROR(VLOOKUP(Calculations[[#This Row],[Waste 1]],WasteScenario[#All],4,FALSE)*'Stage assumptions'!$C$223*WasteTransportMethod[Emissions Factor
kgCO2e/kg.km]*Calculations[[#This Row],[Total Kg]],0)</f>
        <v>0</v>
      </c>
      <c r="W712" s="322" cm="1">
        <f t="array" ref="W712">IFERROR(VLOOKUP(Calculations[[#This Row],[Waste 1]],WasteScenario[#All],5,FALSE)*'Stage assumptions'!$C$226*WasteTransportMethod[Emissions Factor
kgCO2e/kg.km]*Calculations[[#This Row],[Total Kg]],0)</f>
        <v>0</v>
      </c>
      <c r="X712" s="322">
        <f>SUM(Calculations[[#This Row],[C2 Recycle]:[C2 Reuse]])</f>
        <v>0</v>
      </c>
      <c r="Y712" t="str">
        <f>IFERROR(VLOOKUP(Calculations[[#This Row],[Material (choose from dropdown]],MaterialData[#All],5,FALSE),"")</f>
        <v/>
      </c>
      <c r="Z712" s="322">
        <f>IFERROR(((VLOOKUP(Calculations[[#This Row],[Waste type 2]],WasteDisposalEmissions[#All],2,FALSE))*Calculations[[#This Row],[Total Kg]])*VLOOKUP(Calculations[[#This Row],[Waste 1]],WasteScenario[#All],2,FALSE),0)</f>
        <v>0</v>
      </c>
      <c r="AA712" s="322">
        <f>IFERROR((VLOOKUP(Calculations[[#This Row],[Waste type 2]],WasteDisposalEmissions[#All],3,FALSE))*Calculations[[#This Row],[Total Kg]]*VLOOKUP(Calculations[[#This Row],[Waste 1]],WasteScenario[#All],3,FALSE),0)</f>
        <v>0</v>
      </c>
      <c r="AB712" s="322">
        <f>SUM(Calculations[[#This Row],[C3 recyc]:[C3 incin]])</f>
        <v>0</v>
      </c>
      <c r="AC712" s="334">
        <f>IFERROR((VLOOKUP(Calculations[[#This Row],[Waste type 2]],WasteLandfillEmissions[#All],2,FALSE))*Calculations[[#This Row],[Total Kg]]*VLOOKUP(Calculations[[#This Row],[Waste 1]],WasteScenario[#All],4,FALSE),0)</f>
        <v>0</v>
      </c>
      <c r="AD712" s="322">
        <f>IFERROR((VLOOKUP(Calculations[[#This Row],[Waste type 2]],WasteLandfillEmissions[#All],3,FALSE))*Calculations[[#This Row],[Total Kg]]*VLOOKUP(Calculations[[#This Row],[Waste 1]],WasteScenario[#All],4,FALSE),0)</f>
        <v>0</v>
      </c>
      <c r="AE712" s="322">
        <f>SUM(Calculations[[#This Row],[C4 landfill]:[C4 re-use]])</f>
        <v>0</v>
      </c>
      <c r="AF712" s="322">
        <f>IFERROR(VLOOKUP(Calculations[[#This Row],[Material (choose from dropdown]],MaterialData[#All],8,FALSE),0)</f>
        <v>0</v>
      </c>
      <c r="AG712" s="322">
        <f>IFERROR(Calculations[[#This Row],[Total Kg]]*Calculations[[#This Row],[Seq factor]],0)</f>
        <v>0</v>
      </c>
      <c r="AI712" s="322">
        <f>Calculations[[#This Row],[A1-3]]+Calculations[[#This Row],[A4]]+Calculations[[#This Row],[A5]]+Calculations[[#This Row],[B4]]+Calculations[[#This Row],[C2 total]]+Calculations[[#This Row],[C3 total]]+Calculations[[#This Row],[C4 total]]</f>
        <v>0</v>
      </c>
      <c r="AJ712" s="2">
        <f>IFERROR(VLOOKUP(Calculations[[#This Row],[Material (choose from dropdown]],MaterialData[[#Headers],[#Data]],9,FALSE),0)</f>
        <v>0</v>
      </c>
      <c r="AK712" s="4">
        <f>IFERROR(VLOOKUP(Calculations[[#This Row],[Material (choose from dropdown]],MaterialData[[#Headers],[#Data]],10,FALSE),0)</f>
        <v>0</v>
      </c>
      <c r="AL712" s="322">
        <f>IFERROR(Calculations[[#This Row],[Data Quality Score]]*Calculations[[#This Row],[Total Kg]],0)</f>
        <v>0</v>
      </c>
    </row>
    <row r="713" spans="1:38" x14ac:dyDescent="0.3">
      <c r="A713" s="6">
        <f>IFERROR(MaterialsBoQ[[#This Row],[Scope Element]],0)</f>
        <v>0</v>
      </c>
      <c r="B713" t="str">
        <f>IFERROR(MaterialsBoQ[[#This Row],[Material ]],"")</f>
        <v/>
      </c>
      <c r="C713" t="str">
        <f>IFERROR(MaterialsBoQ[[#This Row],[Unit]],"")</f>
        <v/>
      </c>
      <c r="D713" s="322">
        <f>IFERROR(MaterialsBoQ[[#This Row],[Number]],0)</f>
        <v>0</v>
      </c>
      <c r="E713" s="322">
        <f>IFERROR(MaterialsBoQ[[#This Row],[Kg per unit]],0)</f>
        <v>0</v>
      </c>
      <c r="F713" s="322">
        <f>IFERROR(Calculations[[#This Row],[Number]]*Calculations[[#This Row],[Conversion factor]],0)</f>
        <v>0</v>
      </c>
      <c r="G713" s="322">
        <f>IFERROR(VLOOKUP(Calculations[[#This Row],[Material (choose from dropdown]],MaterialData[#All],7,FALSE),0)</f>
        <v>0</v>
      </c>
      <c r="H713" s="322">
        <f>Calculations[[#This Row],[Total Kg]]*Calculations[[#This Row],[Carbon Factor]]</f>
        <v>0</v>
      </c>
      <c r="I713" t="str">
        <f>IFERROR(VLOOKUP(Calculations[[#This Row],[Material (choose from dropdown]],MaterialData[#All],2,FALSE),"")</f>
        <v/>
      </c>
      <c r="J713" s="322">
        <f>IFERROR(((VLOOKUP(Calculations[[#This Row],[TransportSource]],TransportDistance[],2,FALSE)*'Stage assumptions'!$C$11)+VLOOKUP(Calculations[[#This Row],[TransportSource]],TransportDistance[],3,FALSE)*'Stage assumptions'!$C$12)*Calculations[[#This Row],[Total Kg]],0)</f>
        <v>0</v>
      </c>
      <c r="K713">
        <f>IFERROR(VLOOKUP(Calculations[[#This Row],[Material (choose from dropdown]], MaterialData[#All],3, FALSE),0)</f>
        <v>0</v>
      </c>
      <c r="L713" s="322">
        <f>IFERROR(VLOOKUP(Calculations[[#This Row],[A5type]],A5WastageRate[#All],2,FALSE)*Calculations[[#This Row],[A1-3]],0)</f>
        <v>0</v>
      </c>
      <c r="N713">
        <f>IFERROR(ROUNDUP(50/VLOOKUP(Calculations[[#This Row],[Scope Element]],B4referenceServiceLife[[Tier 2 element]:[Default Service Life]],2, FALSE)-1,0),0)</f>
        <v>0</v>
      </c>
      <c r="O713" s="322">
        <f>IFERROR((Calculations[[#This Row],[A1-3]]+Calculations[[#This Row],[A4]]+Calculations[[#This Row],[A5]]+Calculations[[#This Row],[C2 total]]+Calculations[[#This Row],[C3 total]]+Calculations[[#This Row],[C4 total]])*Calculations[[#This Row],[Replacements]],0)</f>
        <v>0</v>
      </c>
      <c r="S713" t="str">
        <f>IFERROR(VLOOKUP(Calculations[[#This Row],[Material (choose from dropdown]],MaterialData[#All],4,FALSE),"")</f>
        <v/>
      </c>
      <c r="T713" s="322" cm="1">
        <f t="array" ref="T713">IFERROR(VLOOKUP(Calculations[[#This Row],[Waste 1]],WasteScenario[#All],2,FALSE)*'Stage assumptions'!$C$225*WasteTransportMethod[Emissions Factor
kgCO2e/kg.km]*Calculations[[#This Row],[Total Kg]],0)</f>
        <v>0</v>
      </c>
      <c r="U713" s="322" cm="1">
        <f t="array" ref="U713">IFERROR(VLOOKUP(Calculations[[#This Row],[Waste 1]],WasteScenario[#All],3,FALSE)*'Stage assumptions'!$C$224*WasteTransportMethod[Emissions Factor
kgCO2e/kg.km]*Calculations[[#This Row],[Total Kg]],0)</f>
        <v>0</v>
      </c>
      <c r="V713" s="322" cm="1">
        <f t="array" ref="V713">IFERROR(VLOOKUP(Calculations[[#This Row],[Waste 1]],WasteScenario[#All],4,FALSE)*'Stage assumptions'!$C$223*WasteTransportMethod[Emissions Factor
kgCO2e/kg.km]*Calculations[[#This Row],[Total Kg]],0)</f>
        <v>0</v>
      </c>
      <c r="W713" s="322" cm="1">
        <f t="array" ref="W713">IFERROR(VLOOKUP(Calculations[[#This Row],[Waste 1]],WasteScenario[#All],5,FALSE)*'Stage assumptions'!$C$226*WasteTransportMethod[Emissions Factor
kgCO2e/kg.km]*Calculations[[#This Row],[Total Kg]],0)</f>
        <v>0</v>
      </c>
      <c r="X713" s="322">
        <f>SUM(Calculations[[#This Row],[C2 Recycle]:[C2 Reuse]])</f>
        <v>0</v>
      </c>
      <c r="Y713" t="str">
        <f>IFERROR(VLOOKUP(Calculations[[#This Row],[Material (choose from dropdown]],MaterialData[#All],5,FALSE),"")</f>
        <v/>
      </c>
      <c r="Z713" s="322">
        <f>IFERROR(((VLOOKUP(Calculations[[#This Row],[Waste type 2]],WasteDisposalEmissions[#All],2,FALSE))*Calculations[[#This Row],[Total Kg]])*VLOOKUP(Calculations[[#This Row],[Waste 1]],WasteScenario[#All],2,FALSE),0)</f>
        <v>0</v>
      </c>
      <c r="AA713" s="322">
        <f>IFERROR((VLOOKUP(Calculations[[#This Row],[Waste type 2]],WasteDisposalEmissions[#All],3,FALSE))*Calculations[[#This Row],[Total Kg]]*VLOOKUP(Calculations[[#This Row],[Waste 1]],WasteScenario[#All],3,FALSE),0)</f>
        <v>0</v>
      </c>
      <c r="AB713" s="322">
        <f>SUM(Calculations[[#This Row],[C3 recyc]:[C3 incin]])</f>
        <v>0</v>
      </c>
      <c r="AC713" s="334">
        <f>IFERROR((VLOOKUP(Calculations[[#This Row],[Waste type 2]],WasteLandfillEmissions[#All],2,FALSE))*Calculations[[#This Row],[Total Kg]]*VLOOKUP(Calculations[[#This Row],[Waste 1]],WasteScenario[#All],4,FALSE),0)</f>
        <v>0</v>
      </c>
      <c r="AD713" s="322">
        <f>IFERROR((VLOOKUP(Calculations[[#This Row],[Waste type 2]],WasteLandfillEmissions[#All],3,FALSE))*Calculations[[#This Row],[Total Kg]]*VLOOKUP(Calculations[[#This Row],[Waste 1]],WasteScenario[#All],4,FALSE),0)</f>
        <v>0</v>
      </c>
      <c r="AE713" s="322">
        <f>SUM(Calculations[[#This Row],[C4 landfill]:[C4 re-use]])</f>
        <v>0</v>
      </c>
      <c r="AF713" s="322">
        <f>IFERROR(VLOOKUP(Calculations[[#This Row],[Material (choose from dropdown]],MaterialData[#All],8,FALSE),0)</f>
        <v>0</v>
      </c>
      <c r="AG713" s="322">
        <f>IFERROR(Calculations[[#This Row],[Total Kg]]*Calculations[[#This Row],[Seq factor]],0)</f>
        <v>0</v>
      </c>
      <c r="AI713" s="322">
        <f>Calculations[[#This Row],[A1-3]]+Calculations[[#This Row],[A4]]+Calculations[[#This Row],[A5]]+Calculations[[#This Row],[B4]]+Calculations[[#This Row],[C2 total]]+Calculations[[#This Row],[C3 total]]+Calculations[[#This Row],[C4 total]]</f>
        <v>0</v>
      </c>
      <c r="AJ713" s="2">
        <f>IFERROR(VLOOKUP(Calculations[[#This Row],[Material (choose from dropdown]],MaterialData[[#Headers],[#Data]],9,FALSE),0)</f>
        <v>0</v>
      </c>
      <c r="AK713" s="4">
        <f>IFERROR(VLOOKUP(Calculations[[#This Row],[Material (choose from dropdown]],MaterialData[[#Headers],[#Data]],10,FALSE),0)</f>
        <v>0</v>
      </c>
      <c r="AL713" s="322">
        <f>IFERROR(Calculations[[#This Row],[Data Quality Score]]*Calculations[[#This Row],[Total Kg]],0)</f>
        <v>0</v>
      </c>
    </row>
    <row r="714" spans="1:38" x14ac:dyDescent="0.3">
      <c r="A714" s="6">
        <f>IFERROR(MaterialsBoQ[[#This Row],[Scope Element]],0)</f>
        <v>0</v>
      </c>
      <c r="B714" t="str">
        <f>IFERROR(MaterialsBoQ[[#This Row],[Material ]],"")</f>
        <v/>
      </c>
      <c r="C714" t="str">
        <f>IFERROR(MaterialsBoQ[[#This Row],[Unit]],"")</f>
        <v/>
      </c>
      <c r="D714" s="322">
        <f>IFERROR(MaterialsBoQ[[#This Row],[Number]],0)</f>
        <v>0</v>
      </c>
      <c r="E714" s="322">
        <f>IFERROR(MaterialsBoQ[[#This Row],[Kg per unit]],0)</f>
        <v>0</v>
      </c>
      <c r="F714" s="322">
        <f>IFERROR(Calculations[[#This Row],[Number]]*Calculations[[#This Row],[Conversion factor]],0)</f>
        <v>0</v>
      </c>
      <c r="G714" s="322">
        <f>IFERROR(VLOOKUP(Calculations[[#This Row],[Material (choose from dropdown]],MaterialData[#All],7,FALSE),0)</f>
        <v>0</v>
      </c>
      <c r="H714" s="322">
        <f>Calculations[[#This Row],[Total Kg]]*Calculations[[#This Row],[Carbon Factor]]</f>
        <v>0</v>
      </c>
      <c r="I714" t="str">
        <f>IFERROR(VLOOKUP(Calculations[[#This Row],[Material (choose from dropdown]],MaterialData[#All],2,FALSE),"")</f>
        <v/>
      </c>
      <c r="J714" s="322">
        <f>IFERROR(((VLOOKUP(Calculations[[#This Row],[TransportSource]],TransportDistance[],2,FALSE)*'Stage assumptions'!$C$11)+VLOOKUP(Calculations[[#This Row],[TransportSource]],TransportDistance[],3,FALSE)*'Stage assumptions'!$C$12)*Calculations[[#This Row],[Total Kg]],0)</f>
        <v>0</v>
      </c>
      <c r="K714">
        <f>IFERROR(VLOOKUP(Calculations[[#This Row],[Material (choose from dropdown]], MaterialData[#All],3, FALSE),0)</f>
        <v>0</v>
      </c>
      <c r="L714" s="322">
        <f>IFERROR(VLOOKUP(Calculations[[#This Row],[A5type]],A5WastageRate[#All],2,FALSE)*Calculations[[#This Row],[A1-3]],0)</f>
        <v>0</v>
      </c>
      <c r="N714">
        <f>IFERROR(ROUNDUP(50/VLOOKUP(Calculations[[#This Row],[Scope Element]],B4referenceServiceLife[[Tier 2 element]:[Default Service Life]],2, FALSE)-1,0),0)</f>
        <v>0</v>
      </c>
      <c r="O714" s="322">
        <f>IFERROR((Calculations[[#This Row],[A1-3]]+Calculations[[#This Row],[A4]]+Calculations[[#This Row],[A5]]+Calculations[[#This Row],[C2 total]]+Calculations[[#This Row],[C3 total]]+Calculations[[#This Row],[C4 total]])*Calculations[[#This Row],[Replacements]],0)</f>
        <v>0</v>
      </c>
      <c r="S714" t="str">
        <f>IFERROR(VLOOKUP(Calculations[[#This Row],[Material (choose from dropdown]],MaterialData[#All],4,FALSE),"")</f>
        <v/>
      </c>
      <c r="T714" s="322" cm="1">
        <f t="array" ref="T714">IFERROR(VLOOKUP(Calculations[[#This Row],[Waste 1]],WasteScenario[#All],2,FALSE)*'Stage assumptions'!$C$225*WasteTransportMethod[Emissions Factor
kgCO2e/kg.km]*Calculations[[#This Row],[Total Kg]],0)</f>
        <v>0</v>
      </c>
      <c r="U714" s="322" cm="1">
        <f t="array" ref="U714">IFERROR(VLOOKUP(Calculations[[#This Row],[Waste 1]],WasteScenario[#All],3,FALSE)*'Stage assumptions'!$C$224*WasteTransportMethod[Emissions Factor
kgCO2e/kg.km]*Calculations[[#This Row],[Total Kg]],0)</f>
        <v>0</v>
      </c>
      <c r="V714" s="322" cm="1">
        <f t="array" ref="V714">IFERROR(VLOOKUP(Calculations[[#This Row],[Waste 1]],WasteScenario[#All],4,FALSE)*'Stage assumptions'!$C$223*WasteTransportMethod[Emissions Factor
kgCO2e/kg.km]*Calculations[[#This Row],[Total Kg]],0)</f>
        <v>0</v>
      </c>
      <c r="W714" s="322" cm="1">
        <f t="array" ref="W714">IFERROR(VLOOKUP(Calculations[[#This Row],[Waste 1]],WasteScenario[#All],5,FALSE)*'Stage assumptions'!$C$226*WasteTransportMethod[Emissions Factor
kgCO2e/kg.km]*Calculations[[#This Row],[Total Kg]],0)</f>
        <v>0</v>
      </c>
      <c r="X714" s="322">
        <f>SUM(Calculations[[#This Row],[C2 Recycle]:[C2 Reuse]])</f>
        <v>0</v>
      </c>
      <c r="Y714" t="str">
        <f>IFERROR(VLOOKUP(Calculations[[#This Row],[Material (choose from dropdown]],MaterialData[#All],5,FALSE),"")</f>
        <v/>
      </c>
      <c r="Z714" s="322">
        <f>IFERROR(((VLOOKUP(Calculations[[#This Row],[Waste type 2]],WasteDisposalEmissions[#All],2,FALSE))*Calculations[[#This Row],[Total Kg]])*VLOOKUP(Calculations[[#This Row],[Waste 1]],WasteScenario[#All],2,FALSE),0)</f>
        <v>0</v>
      </c>
      <c r="AA714" s="322">
        <f>IFERROR((VLOOKUP(Calculations[[#This Row],[Waste type 2]],WasteDisposalEmissions[#All],3,FALSE))*Calculations[[#This Row],[Total Kg]]*VLOOKUP(Calculations[[#This Row],[Waste 1]],WasteScenario[#All],3,FALSE),0)</f>
        <v>0</v>
      </c>
      <c r="AB714" s="322">
        <f>SUM(Calculations[[#This Row],[C3 recyc]:[C3 incin]])</f>
        <v>0</v>
      </c>
      <c r="AC714" s="334">
        <f>IFERROR((VLOOKUP(Calculations[[#This Row],[Waste type 2]],WasteLandfillEmissions[#All],2,FALSE))*Calculations[[#This Row],[Total Kg]]*VLOOKUP(Calculations[[#This Row],[Waste 1]],WasteScenario[#All],4,FALSE),0)</f>
        <v>0</v>
      </c>
      <c r="AD714" s="322">
        <f>IFERROR((VLOOKUP(Calculations[[#This Row],[Waste type 2]],WasteLandfillEmissions[#All],3,FALSE))*Calculations[[#This Row],[Total Kg]]*VLOOKUP(Calculations[[#This Row],[Waste 1]],WasteScenario[#All],4,FALSE),0)</f>
        <v>0</v>
      </c>
      <c r="AE714" s="322">
        <f>SUM(Calculations[[#This Row],[C4 landfill]:[C4 re-use]])</f>
        <v>0</v>
      </c>
      <c r="AF714" s="322">
        <f>IFERROR(VLOOKUP(Calculations[[#This Row],[Material (choose from dropdown]],MaterialData[#All],8,FALSE),0)</f>
        <v>0</v>
      </c>
      <c r="AG714" s="322">
        <f>IFERROR(Calculations[[#This Row],[Total Kg]]*Calculations[[#This Row],[Seq factor]],0)</f>
        <v>0</v>
      </c>
      <c r="AI714" s="322">
        <f>Calculations[[#This Row],[A1-3]]+Calculations[[#This Row],[A4]]+Calculations[[#This Row],[A5]]+Calculations[[#This Row],[B4]]+Calculations[[#This Row],[C2 total]]+Calculations[[#This Row],[C3 total]]+Calculations[[#This Row],[C4 total]]</f>
        <v>0</v>
      </c>
      <c r="AJ714" s="2">
        <f>IFERROR(VLOOKUP(Calculations[[#This Row],[Material (choose from dropdown]],MaterialData[[#Headers],[#Data]],9,FALSE),0)</f>
        <v>0</v>
      </c>
      <c r="AK714" s="4">
        <f>IFERROR(VLOOKUP(Calculations[[#This Row],[Material (choose from dropdown]],MaterialData[[#Headers],[#Data]],10,FALSE),0)</f>
        <v>0</v>
      </c>
      <c r="AL714" s="322">
        <f>IFERROR(Calculations[[#This Row],[Data Quality Score]]*Calculations[[#This Row],[Total Kg]],0)</f>
        <v>0</v>
      </c>
    </row>
    <row r="715" spans="1:38" x14ac:dyDescent="0.3">
      <c r="A715" s="6">
        <f>IFERROR(MaterialsBoQ[[#This Row],[Scope Element]],0)</f>
        <v>0</v>
      </c>
      <c r="B715" t="str">
        <f>IFERROR(MaterialsBoQ[[#This Row],[Material ]],"")</f>
        <v/>
      </c>
      <c r="C715" t="str">
        <f>IFERROR(MaterialsBoQ[[#This Row],[Unit]],"")</f>
        <v/>
      </c>
      <c r="D715" s="322">
        <f>IFERROR(MaterialsBoQ[[#This Row],[Number]],0)</f>
        <v>0</v>
      </c>
      <c r="E715" s="322">
        <f>IFERROR(MaterialsBoQ[[#This Row],[Kg per unit]],0)</f>
        <v>0</v>
      </c>
      <c r="F715" s="322">
        <f>IFERROR(Calculations[[#This Row],[Number]]*Calculations[[#This Row],[Conversion factor]],0)</f>
        <v>0</v>
      </c>
      <c r="G715" s="322">
        <f>IFERROR(VLOOKUP(Calculations[[#This Row],[Material (choose from dropdown]],MaterialData[#All],7,FALSE),0)</f>
        <v>0</v>
      </c>
      <c r="H715" s="322">
        <f>Calculations[[#This Row],[Total Kg]]*Calculations[[#This Row],[Carbon Factor]]</f>
        <v>0</v>
      </c>
      <c r="I715" t="str">
        <f>IFERROR(VLOOKUP(Calculations[[#This Row],[Material (choose from dropdown]],MaterialData[#All],2,FALSE),"")</f>
        <v/>
      </c>
      <c r="J715" s="322">
        <f>IFERROR(((VLOOKUP(Calculations[[#This Row],[TransportSource]],TransportDistance[],2,FALSE)*'Stage assumptions'!$C$11)+VLOOKUP(Calculations[[#This Row],[TransportSource]],TransportDistance[],3,FALSE)*'Stage assumptions'!$C$12)*Calculations[[#This Row],[Total Kg]],0)</f>
        <v>0</v>
      </c>
      <c r="K715">
        <f>IFERROR(VLOOKUP(Calculations[[#This Row],[Material (choose from dropdown]], MaterialData[#All],3, FALSE),0)</f>
        <v>0</v>
      </c>
      <c r="L715" s="322">
        <f>IFERROR(VLOOKUP(Calculations[[#This Row],[A5type]],A5WastageRate[#All],2,FALSE)*Calculations[[#This Row],[A1-3]],0)</f>
        <v>0</v>
      </c>
      <c r="N715">
        <f>IFERROR(ROUNDUP(50/VLOOKUP(Calculations[[#This Row],[Scope Element]],B4referenceServiceLife[[Tier 2 element]:[Default Service Life]],2, FALSE)-1,0),0)</f>
        <v>0</v>
      </c>
      <c r="O715" s="322">
        <f>IFERROR((Calculations[[#This Row],[A1-3]]+Calculations[[#This Row],[A4]]+Calculations[[#This Row],[A5]]+Calculations[[#This Row],[C2 total]]+Calculations[[#This Row],[C3 total]]+Calculations[[#This Row],[C4 total]])*Calculations[[#This Row],[Replacements]],0)</f>
        <v>0</v>
      </c>
      <c r="S715" t="str">
        <f>IFERROR(VLOOKUP(Calculations[[#This Row],[Material (choose from dropdown]],MaterialData[#All],4,FALSE),"")</f>
        <v/>
      </c>
      <c r="T715" s="322" cm="1">
        <f t="array" ref="T715">IFERROR(VLOOKUP(Calculations[[#This Row],[Waste 1]],WasteScenario[#All],2,FALSE)*'Stage assumptions'!$C$225*WasteTransportMethod[Emissions Factor
kgCO2e/kg.km]*Calculations[[#This Row],[Total Kg]],0)</f>
        <v>0</v>
      </c>
      <c r="U715" s="322" cm="1">
        <f t="array" ref="U715">IFERROR(VLOOKUP(Calculations[[#This Row],[Waste 1]],WasteScenario[#All],3,FALSE)*'Stage assumptions'!$C$224*WasteTransportMethod[Emissions Factor
kgCO2e/kg.km]*Calculations[[#This Row],[Total Kg]],0)</f>
        <v>0</v>
      </c>
      <c r="V715" s="322" cm="1">
        <f t="array" ref="V715">IFERROR(VLOOKUP(Calculations[[#This Row],[Waste 1]],WasteScenario[#All],4,FALSE)*'Stage assumptions'!$C$223*WasteTransportMethod[Emissions Factor
kgCO2e/kg.km]*Calculations[[#This Row],[Total Kg]],0)</f>
        <v>0</v>
      </c>
      <c r="W715" s="322" cm="1">
        <f t="array" ref="W715">IFERROR(VLOOKUP(Calculations[[#This Row],[Waste 1]],WasteScenario[#All],5,FALSE)*'Stage assumptions'!$C$226*WasteTransportMethod[Emissions Factor
kgCO2e/kg.km]*Calculations[[#This Row],[Total Kg]],0)</f>
        <v>0</v>
      </c>
      <c r="X715" s="322">
        <f>SUM(Calculations[[#This Row],[C2 Recycle]:[C2 Reuse]])</f>
        <v>0</v>
      </c>
      <c r="Y715" t="str">
        <f>IFERROR(VLOOKUP(Calculations[[#This Row],[Material (choose from dropdown]],MaterialData[#All],5,FALSE),"")</f>
        <v/>
      </c>
      <c r="Z715" s="322">
        <f>IFERROR(((VLOOKUP(Calculations[[#This Row],[Waste type 2]],WasteDisposalEmissions[#All],2,FALSE))*Calculations[[#This Row],[Total Kg]])*VLOOKUP(Calculations[[#This Row],[Waste 1]],WasteScenario[#All],2,FALSE),0)</f>
        <v>0</v>
      </c>
      <c r="AA715" s="322">
        <f>IFERROR((VLOOKUP(Calculations[[#This Row],[Waste type 2]],WasteDisposalEmissions[#All],3,FALSE))*Calculations[[#This Row],[Total Kg]]*VLOOKUP(Calculations[[#This Row],[Waste 1]],WasteScenario[#All],3,FALSE),0)</f>
        <v>0</v>
      </c>
      <c r="AB715" s="322">
        <f>SUM(Calculations[[#This Row],[C3 recyc]:[C3 incin]])</f>
        <v>0</v>
      </c>
      <c r="AC715" s="334">
        <f>IFERROR((VLOOKUP(Calculations[[#This Row],[Waste type 2]],WasteLandfillEmissions[#All],2,FALSE))*Calculations[[#This Row],[Total Kg]]*VLOOKUP(Calculations[[#This Row],[Waste 1]],WasteScenario[#All],4,FALSE),0)</f>
        <v>0</v>
      </c>
      <c r="AD715" s="322">
        <f>IFERROR((VLOOKUP(Calculations[[#This Row],[Waste type 2]],WasteLandfillEmissions[#All],3,FALSE))*Calculations[[#This Row],[Total Kg]]*VLOOKUP(Calculations[[#This Row],[Waste 1]],WasteScenario[#All],4,FALSE),0)</f>
        <v>0</v>
      </c>
      <c r="AE715" s="322">
        <f>SUM(Calculations[[#This Row],[C4 landfill]:[C4 re-use]])</f>
        <v>0</v>
      </c>
      <c r="AF715" s="322">
        <f>IFERROR(VLOOKUP(Calculations[[#This Row],[Material (choose from dropdown]],MaterialData[#All],8,FALSE),0)</f>
        <v>0</v>
      </c>
      <c r="AG715" s="322">
        <f>IFERROR(Calculations[[#This Row],[Total Kg]]*Calculations[[#This Row],[Seq factor]],0)</f>
        <v>0</v>
      </c>
      <c r="AI715" s="322">
        <f>Calculations[[#This Row],[A1-3]]+Calculations[[#This Row],[A4]]+Calculations[[#This Row],[A5]]+Calculations[[#This Row],[B4]]+Calculations[[#This Row],[C2 total]]+Calculations[[#This Row],[C3 total]]+Calculations[[#This Row],[C4 total]]</f>
        <v>0</v>
      </c>
      <c r="AJ715" s="2">
        <f>IFERROR(VLOOKUP(Calculations[[#This Row],[Material (choose from dropdown]],MaterialData[[#Headers],[#Data]],9,FALSE),0)</f>
        <v>0</v>
      </c>
      <c r="AK715" s="4">
        <f>IFERROR(VLOOKUP(Calculations[[#This Row],[Material (choose from dropdown]],MaterialData[[#Headers],[#Data]],10,FALSE),0)</f>
        <v>0</v>
      </c>
      <c r="AL715" s="322">
        <f>IFERROR(Calculations[[#This Row],[Data Quality Score]]*Calculations[[#This Row],[Total Kg]],0)</f>
        <v>0</v>
      </c>
    </row>
    <row r="716" spans="1:38" x14ac:dyDescent="0.3">
      <c r="A716" s="6">
        <f>IFERROR(MaterialsBoQ[[#This Row],[Scope Element]],0)</f>
        <v>0</v>
      </c>
      <c r="B716" t="str">
        <f>IFERROR(MaterialsBoQ[[#This Row],[Material ]],"")</f>
        <v/>
      </c>
      <c r="C716" t="str">
        <f>IFERROR(MaterialsBoQ[[#This Row],[Unit]],"")</f>
        <v/>
      </c>
      <c r="D716" s="322">
        <f>IFERROR(MaterialsBoQ[[#This Row],[Number]],0)</f>
        <v>0</v>
      </c>
      <c r="E716" s="322">
        <f>IFERROR(MaterialsBoQ[[#This Row],[Kg per unit]],0)</f>
        <v>0</v>
      </c>
      <c r="F716" s="322">
        <f>IFERROR(Calculations[[#This Row],[Number]]*Calculations[[#This Row],[Conversion factor]],0)</f>
        <v>0</v>
      </c>
      <c r="G716" s="322">
        <f>IFERROR(VLOOKUP(Calculations[[#This Row],[Material (choose from dropdown]],MaterialData[#All],7,FALSE),0)</f>
        <v>0</v>
      </c>
      <c r="H716" s="322">
        <f>Calculations[[#This Row],[Total Kg]]*Calculations[[#This Row],[Carbon Factor]]</f>
        <v>0</v>
      </c>
      <c r="I716" t="str">
        <f>IFERROR(VLOOKUP(Calculations[[#This Row],[Material (choose from dropdown]],MaterialData[#All],2,FALSE),"")</f>
        <v/>
      </c>
      <c r="J716" s="322">
        <f>IFERROR(((VLOOKUP(Calculations[[#This Row],[TransportSource]],TransportDistance[],2,FALSE)*'Stage assumptions'!$C$11)+VLOOKUP(Calculations[[#This Row],[TransportSource]],TransportDistance[],3,FALSE)*'Stage assumptions'!$C$12)*Calculations[[#This Row],[Total Kg]],0)</f>
        <v>0</v>
      </c>
      <c r="K716">
        <f>IFERROR(VLOOKUP(Calculations[[#This Row],[Material (choose from dropdown]], MaterialData[#All],3, FALSE),0)</f>
        <v>0</v>
      </c>
      <c r="L716" s="322">
        <f>IFERROR(VLOOKUP(Calculations[[#This Row],[A5type]],A5WastageRate[#All],2,FALSE)*Calculations[[#This Row],[A1-3]],0)</f>
        <v>0</v>
      </c>
      <c r="N716">
        <f>IFERROR(ROUNDUP(50/VLOOKUP(Calculations[[#This Row],[Scope Element]],B4referenceServiceLife[[Tier 2 element]:[Default Service Life]],2, FALSE)-1,0),0)</f>
        <v>0</v>
      </c>
      <c r="O716" s="322">
        <f>IFERROR((Calculations[[#This Row],[A1-3]]+Calculations[[#This Row],[A4]]+Calculations[[#This Row],[A5]]+Calculations[[#This Row],[C2 total]]+Calculations[[#This Row],[C3 total]]+Calculations[[#This Row],[C4 total]])*Calculations[[#This Row],[Replacements]],0)</f>
        <v>0</v>
      </c>
      <c r="S716" t="str">
        <f>IFERROR(VLOOKUP(Calculations[[#This Row],[Material (choose from dropdown]],MaterialData[#All],4,FALSE),"")</f>
        <v/>
      </c>
      <c r="T716" s="322" cm="1">
        <f t="array" ref="T716">IFERROR(VLOOKUP(Calculations[[#This Row],[Waste 1]],WasteScenario[#All],2,FALSE)*'Stage assumptions'!$C$225*WasteTransportMethod[Emissions Factor
kgCO2e/kg.km]*Calculations[[#This Row],[Total Kg]],0)</f>
        <v>0</v>
      </c>
      <c r="U716" s="322" cm="1">
        <f t="array" ref="U716">IFERROR(VLOOKUP(Calculations[[#This Row],[Waste 1]],WasteScenario[#All],3,FALSE)*'Stage assumptions'!$C$224*WasteTransportMethod[Emissions Factor
kgCO2e/kg.km]*Calculations[[#This Row],[Total Kg]],0)</f>
        <v>0</v>
      </c>
      <c r="V716" s="322" cm="1">
        <f t="array" ref="V716">IFERROR(VLOOKUP(Calculations[[#This Row],[Waste 1]],WasteScenario[#All],4,FALSE)*'Stage assumptions'!$C$223*WasteTransportMethod[Emissions Factor
kgCO2e/kg.km]*Calculations[[#This Row],[Total Kg]],0)</f>
        <v>0</v>
      </c>
      <c r="W716" s="322" cm="1">
        <f t="array" ref="W716">IFERROR(VLOOKUP(Calculations[[#This Row],[Waste 1]],WasteScenario[#All],5,FALSE)*'Stage assumptions'!$C$226*WasteTransportMethod[Emissions Factor
kgCO2e/kg.km]*Calculations[[#This Row],[Total Kg]],0)</f>
        <v>0</v>
      </c>
      <c r="X716" s="322">
        <f>SUM(Calculations[[#This Row],[C2 Recycle]:[C2 Reuse]])</f>
        <v>0</v>
      </c>
      <c r="Y716" t="str">
        <f>IFERROR(VLOOKUP(Calculations[[#This Row],[Material (choose from dropdown]],MaterialData[#All],5,FALSE),"")</f>
        <v/>
      </c>
      <c r="Z716" s="322">
        <f>IFERROR(((VLOOKUP(Calculations[[#This Row],[Waste type 2]],WasteDisposalEmissions[#All],2,FALSE))*Calculations[[#This Row],[Total Kg]])*VLOOKUP(Calculations[[#This Row],[Waste 1]],WasteScenario[#All],2,FALSE),0)</f>
        <v>0</v>
      </c>
      <c r="AA716" s="322">
        <f>IFERROR((VLOOKUP(Calculations[[#This Row],[Waste type 2]],WasteDisposalEmissions[#All],3,FALSE))*Calculations[[#This Row],[Total Kg]]*VLOOKUP(Calculations[[#This Row],[Waste 1]],WasteScenario[#All],3,FALSE),0)</f>
        <v>0</v>
      </c>
      <c r="AB716" s="322">
        <f>SUM(Calculations[[#This Row],[C3 recyc]:[C3 incin]])</f>
        <v>0</v>
      </c>
      <c r="AC716" s="334">
        <f>IFERROR((VLOOKUP(Calculations[[#This Row],[Waste type 2]],WasteLandfillEmissions[#All],2,FALSE))*Calculations[[#This Row],[Total Kg]]*VLOOKUP(Calculations[[#This Row],[Waste 1]],WasteScenario[#All],4,FALSE),0)</f>
        <v>0</v>
      </c>
      <c r="AD716" s="322">
        <f>IFERROR((VLOOKUP(Calculations[[#This Row],[Waste type 2]],WasteLandfillEmissions[#All],3,FALSE))*Calculations[[#This Row],[Total Kg]]*VLOOKUP(Calculations[[#This Row],[Waste 1]],WasteScenario[#All],4,FALSE),0)</f>
        <v>0</v>
      </c>
      <c r="AE716" s="322">
        <f>SUM(Calculations[[#This Row],[C4 landfill]:[C4 re-use]])</f>
        <v>0</v>
      </c>
      <c r="AF716" s="322">
        <f>IFERROR(VLOOKUP(Calculations[[#This Row],[Material (choose from dropdown]],MaterialData[#All],8,FALSE),0)</f>
        <v>0</v>
      </c>
      <c r="AG716" s="322">
        <f>IFERROR(Calculations[[#This Row],[Total Kg]]*Calculations[[#This Row],[Seq factor]],0)</f>
        <v>0</v>
      </c>
      <c r="AI716" s="322">
        <f>Calculations[[#This Row],[A1-3]]+Calculations[[#This Row],[A4]]+Calculations[[#This Row],[A5]]+Calculations[[#This Row],[B4]]+Calculations[[#This Row],[C2 total]]+Calculations[[#This Row],[C3 total]]+Calculations[[#This Row],[C4 total]]</f>
        <v>0</v>
      </c>
      <c r="AJ716" s="2">
        <f>IFERROR(VLOOKUP(Calculations[[#This Row],[Material (choose from dropdown]],MaterialData[[#Headers],[#Data]],9,FALSE),0)</f>
        <v>0</v>
      </c>
      <c r="AK716" s="4">
        <f>IFERROR(VLOOKUP(Calculations[[#This Row],[Material (choose from dropdown]],MaterialData[[#Headers],[#Data]],10,FALSE),0)</f>
        <v>0</v>
      </c>
      <c r="AL716" s="322">
        <f>IFERROR(Calculations[[#This Row],[Data Quality Score]]*Calculations[[#This Row],[Total Kg]],0)</f>
        <v>0</v>
      </c>
    </row>
    <row r="717" spans="1:38" x14ac:dyDescent="0.3">
      <c r="A717" s="6">
        <f>IFERROR(MaterialsBoQ[[#This Row],[Scope Element]],0)</f>
        <v>0</v>
      </c>
      <c r="B717" t="str">
        <f>IFERROR(MaterialsBoQ[[#This Row],[Material ]],"")</f>
        <v/>
      </c>
      <c r="C717" t="str">
        <f>IFERROR(MaterialsBoQ[[#This Row],[Unit]],"")</f>
        <v/>
      </c>
      <c r="D717" s="322">
        <f>IFERROR(MaterialsBoQ[[#This Row],[Number]],0)</f>
        <v>0</v>
      </c>
      <c r="E717" s="322">
        <f>IFERROR(MaterialsBoQ[[#This Row],[Kg per unit]],0)</f>
        <v>0</v>
      </c>
      <c r="F717" s="322">
        <f>IFERROR(Calculations[[#This Row],[Number]]*Calculations[[#This Row],[Conversion factor]],0)</f>
        <v>0</v>
      </c>
      <c r="G717" s="322">
        <f>IFERROR(VLOOKUP(Calculations[[#This Row],[Material (choose from dropdown]],MaterialData[#All],7,FALSE),0)</f>
        <v>0</v>
      </c>
      <c r="H717" s="322">
        <f>Calculations[[#This Row],[Total Kg]]*Calculations[[#This Row],[Carbon Factor]]</f>
        <v>0</v>
      </c>
      <c r="I717" t="str">
        <f>IFERROR(VLOOKUP(Calculations[[#This Row],[Material (choose from dropdown]],MaterialData[#All],2,FALSE),"")</f>
        <v/>
      </c>
      <c r="J717" s="322">
        <f>IFERROR(((VLOOKUP(Calculations[[#This Row],[TransportSource]],TransportDistance[],2,FALSE)*'Stage assumptions'!$C$11)+VLOOKUP(Calculations[[#This Row],[TransportSource]],TransportDistance[],3,FALSE)*'Stage assumptions'!$C$12)*Calculations[[#This Row],[Total Kg]],0)</f>
        <v>0</v>
      </c>
      <c r="K717">
        <f>IFERROR(VLOOKUP(Calculations[[#This Row],[Material (choose from dropdown]], MaterialData[#All],3, FALSE),0)</f>
        <v>0</v>
      </c>
      <c r="L717" s="322">
        <f>IFERROR(VLOOKUP(Calculations[[#This Row],[A5type]],A5WastageRate[#All],2,FALSE)*Calculations[[#This Row],[A1-3]],0)</f>
        <v>0</v>
      </c>
      <c r="N717">
        <f>IFERROR(ROUNDUP(50/VLOOKUP(Calculations[[#This Row],[Scope Element]],B4referenceServiceLife[[Tier 2 element]:[Default Service Life]],2, FALSE)-1,0),0)</f>
        <v>0</v>
      </c>
      <c r="O717" s="322">
        <f>IFERROR((Calculations[[#This Row],[A1-3]]+Calculations[[#This Row],[A4]]+Calculations[[#This Row],[A5]]+Calculations[[#This Row],[C2 total]]+Calculations[[#This Row],[C3 total]]+Calculations[[#This Row],[C4 total]])*Calculations[[#This Row],[Replacements]],0)</f>
        <v>0</v>
      </c>
      <c r="S717" t="str">
        <f>IFERROR(VLOOKUP(Calculations[[#This Row],[Material (choose from dropdown]],MaterialData[#All],4,FALSE),"")</f>
        <v/>
      </c>
      <c r="T717" s="322" cm="1">
        <f t="array" ref="T717">IFERROR(VLOOKUP(Calculations[[#This Row],[Waste 1]],WasteScenario[#All],2,FALSE)*'Stage assumptions'!$C$225*WasteTransportMethod[Emissions Factor
kgCO2e/kg.km]*Calculations[[#This Row],[Total Kg]],0)</f>
        <v>0</v>
      </c>
      <c r="U717" s="322" cm="1">
        <f t="array" ref="U717">IFERROR(VLOOKUP(Calculations[[#This Row],[Waste 1]],WasteScenario[#All],3,FALSE)*'Stage assumptions'!$C$224*WasteTransportMethod[Emissions Factor
kgCO2e/kg.km]*Calculations[[#This Row],[Total Kg]],0)</f>
        <v>0</v>
      </c>
      <c r="V717" s="322" cm="1">
        <f t="array" ref="V717">IFERROR(VLOOKUP(Calculations[[#This Row],[Waste 1]],WasteScenario[#All],4,FALSE)*'Stage assumptions'!$C$223*WasteTransportMethod[Emissions Factor
kgCO2e/kg.km]*Calculations[[#This Row],[Total Kg]],0)</f>
        <v>0</v>
      </c>
      <c r="W717" s="322" cm="1">
        <f t="array" ref="W717">IFERROR(VLOOKUP(Calculations[[#This Row],[Waste 1]],WasteScenario[#All],5,FALSE)*'Stage assumptions'!$C$226*WasteTransportMethod[Emissions Factor
kgCO2e/kg.km]*Calculations[[#This Row],[Total Kg]],0)</f>
        <v>0</v>
      </c>
      <c r="X717" s="322">
        <f>SUM(Calculations[[#This Row],[C2 Recycle]:[C2 Reuse]])</f>
        <v>0</v>
      </c>
      <c r="Y717" t="str">
        <f>IFERROR(VLOOKUP(Calculations[[#This Row],[Material (choose from dropdown]],MaterialData[#All],5,FALSE),"")</f>
        <v/>
      </c>
      <c r="Z717" s="322">
        <f>IFERROR(((VLOOKUP(Calculations[[#This Row],[Waste type 2]],WasteDisposalEmissions[#All],2,FALSE))*Calculations[[#This Row],[Total Kg]])*VLOOKUP(Calculations[[#This Row],[Waste 1]],WasteScenario[#All],2,FALSE),0)</f>
        <v>0</v>
      </c>
      <c r="AA717" s="322">
        <f>IFERROR((VLOOKUP(Calculations[[#This Row],[Waste type 2]],WasteDisposalEmissions[#All],3,FALSE))*Calculations[[#This Row],[Total Kg]]*VLOOKUP(Calculations[[#This Row],[Waste 1]],WasteScenario[#All],3,FALSE),0)</f>
        <v>0</v>
      </c>
      <c r="AB717" s="322">
        <f>SUM(Calculations[[#This Row],[C3 recyc]:[C3 incin]])</f>
        <v>0</v>
      </c>
      <c r="AC717" s="334">
        <f>IFERROR((VLOOKUP(Calculations[[#This Row],[Waste type 2]],WasteLandfillEmissions[#All],2,FALSE))*Calculations[[#This Row],[Total Kg]]*VLOOKUP(Calculations[[#This Row],[Waste 1]],WasteScenario[#All],4,FALSE),0)</f>
        <v>0</v>
      </c>
      <c r="AD717" s="322">
        <f>IFERROR((VLOOKUP(Calculations[[#This Row],[Waste type 2]],WasteLandfillEmissions[#All],3,FALSE))*Calculations[[#This Row],[Total Kg]]*VLOOKUP(Calculations[[#This Row],[Waste 1]],WasteScenario[#All],4,FALSE),0)</f>
        <v>0</v>
      </c>
      <c r="AE717" s="322">
        <f>SUM(Calculations[[#This Row],[C4 landfill]:[C4 re-use]])</f>
        <v>0</v>
      </c>
      <c r="AF717" s="322">
        <f>IFERROR(VLOOKUP(Calculations[[#This Row],[Material (choose from dropdown]],MaterialData[#All],8,FALSE),0)</f>
        <v>0</v>
      </c>
      <c r="AG717" s="322">
        <f>IFERROR(Calculations[[#This Row],[Total Kg]]*Calculations[[#This Row],[Seq factor]],0)</f>
        <v>0</v>
      </c>
      <c r="AI717" s="322">
        <f>Calculations[[#This Row],[A1-3]]+Calculations[[#This Row],[A4]]+Calculations[[#This Row],[A5]]+Calculations[[#This Row],[B4]]+Calculations[[#This Row],[C2 total]]+Calculations[[#This Row],[C3 total]]+Calculations[[#This Row],[C4 total]]</f>
        <v>0</v>
      </c>
      <c r="AJ717" s="2">
        <f>IFERROR(VLOOKUP(Calculations[[#This Row],[Material (choose from dropdown]],MaterialData[[#Headers],[#Data]],9,FALSE),0)</f>
        <v>0</v>
      </c>
      <c r="AK717" s="4">
        <f>IFERROR(VLOOKUP(Calculations[[#This Row],[Material (choose from dropdown]],MaterialData[[#Headers],[#Data]],10,FALSE),0)</f>
        <v>0</v>
      </c>
      <c r="AL717" s="322">
        <f>IFERROR(Calculations[[#This Row],[Data Quality Score]]*Calculations[[#This Row],[Total Kg]],0)</f>
        <v>0</v>
      </c>
    </row>
    <row r="718" spans="1:38" x14ac:dyDescent="0.3">
      <c r="A718" s="6">
        <f>IFERROR(MaterialsBoQ[[#This Row],[Scope Element]],0)</f>
        <v>0</v>
      </c>
      <c r="B718" t="str">
        <f>IFERROR(MaterialsBoQ[[#This Row],[Material ]],"")</f>
        <v/>
      </c>
      <c r="C718" t="str">
        <f>IFERROR(MaterialsBoQ[[#This Row],[Unit]],"")</f>
        <v/>
      </c>
      <c r="D718" s="322">
        <f>IFERROR(MaterialsBoQ[[#This Row],[Number]],0)</f>
        <v>0</v>
      </c>
      <c r="E718" s="322">
        <f>IFERROR(MaterialsBoQ[[#This Row],[Kg per unit]],0)</f>
        <v>0</v>
      </c>
      <c r="F718" s="322">
        <f>IFERROR(Calculations[[#This Row],[Number]]*Calculations[[#This Row],[Conversion factor]],0)</f>
        <v>0</v>
      </c>
      <c r="G718" s="322">
        <f>IFERROR(VLOOKUP(Calculations[[#This Row],[Material (choose from dropdown]],MaterialData[#All],7,FALSE),0)</f>
        <v>0</v>
      </c>
      <c r="H718" s="322">
        <f>Calculations[[#This Row],[Total Kg]]*Calculations[[#This Row],[Carbon Factor]]</f>
        <v>0</v>
      </c>
      <c r="I718" t="str">
        <f>IFERROR(VLOOKUP(Calculations[[#This Row],[Material (choose from dropdown]],MaterialData[#All],2,FALSE),"")</f>
        <v/>
      </c>
      <c r="J718" s="322">
        <f>IFERROR(((VLOOKUP(Calculations[[#This Row],[TransportSource]],TransportDistance[],2,FALSE)*'Stage assumptions'!$C$11)+VLOOKUP(Calculations[[#This Row],[TransportSource]],TransportDistance[],3,FALSE)*'Stage assumptions'!$C$12)*Calculations[[#This Row],[Total Kg]],0)</f>
        <v>0</v>
      </c>
      <c r="K718">
        <f>IFERROR(VLOOKUP(Calculations[[#This Row],[Material (choose from dropdown]], MaterialData[#All],3, FALSE),0)</f>
        <v>0</v>
      </c>
      <c r="L718" s="322">
        <f>IFERROR(VLOOKUP(Calculations[[#This Row],[A5type]],A5WastageRate[#All],2,FALSE)*Calculations[[#This Row],[A1-3]],0)</f>
        <v>0</v>
      </c>
      <c r="N718">
        <f>IFERROR(ROUNDUP(50/VLOOKUP(Calculations[[#This Row],[Scope Element]],B4referenceServiceLife[[Tier 2 element]:[Default Service Life]],2, FALSE)-1,0),0)</f>
        <v>0</v>
      </c>
      <c r="O718" s="322">
        <f>IFERROR((Calculations[[#This Row],[A1-3]]+Calculations[[#This Row],[A4]]+Calculations[[#This Row],[A5]]+Calculations[[#This Row],[C2 total]]+Calculations[[#This Row],[C3 total]]+Calculations[[#This Row],[C4 total]])*Calculations[[#This Row],[Replacements]],0)</f>
        <v>0</v>
      </c>
      <c r="S718" t="str">
        <f>IFERROR(VLOOKUP(Calculations[[#This Row],[Material (choose from dropdown]],MaterialData[#All],4,FALSE),"")</f>
        <v/>
      </c>
      <c r="T718" s="322" cm="1">
        <f t="array" ref="T718">IFERROR(VLOOKUP(Calculations[[#This Row],[Waste 1]],WasteScenario[#All],2,FALSE)*'Stage assumptions'!$C$225*WasteTransportMethod[Emissions Factor
kgCO2e/kg.km]*Calculations[[#This Row],[Total Kg]],0)</f>
        <v>0</v>
      </c>
      <c r="U718" s="322" cm="1">
        <f t="array" ref="U718">IFERROR(VLOOKUP(Calculations[[#This Row],[Waste 1]],WasteScenario[#All],3,FALSE)*'Stage assumptions'!$C$224*WasteTransportMethod[Emissions Factor
kgCO2e/kg.km]*Calculations[[#This Row],[Total Kg]],0)</f>
        <v>0</v>
      </c>
      <c r="V718" s="322" cm="1">
        <f t="array" ref="V718">IFERROR(VLOOKUP(Calculations[[#This Row],[Waste 1]],WasteScenario[#All],4,FALSE)*'Stage assumptions'!$C$223*WasteTransportMethod[Emissions Factor
kgCO2e/kg.km]*Calculations[[#This Row],[Total Kg]],0)</f>
        <v>0</v>
      </c>
      <c r="W718" s="322" cm="1">
        <f t="array" ref="W718">IFERROR(VLOOKUP(Calculations[[#This Row],[Waste 1]],WasteScenario[#All],5,FALSE)*'Stage assumptions'!$C$226*WasteTransportMethod[Emissions Factor
kgCO2e/kg.km]*Calculations[[#This Row],[Total Kg]],0)</f>
        <v>0</v>
      </c>
      <c r="X718" s="322">
        <f>SUM(Calculations[[#This Row],[C2 Recycle]:[C2 Reuse]])</f>
        <v>0</v>
      </c>
      <c r="Y718" t="str">
        <f>IFERROR(VLOOKUP(Calculations[[#This Row],[Material (choose from dropdown]],MaterialData[#All],5,FALSE),"")</f>
        <v/>
      </c>
      <c r="Z718" s="322">
        <f>IFERROR(((VLOOKUP(Calculations[[#This Row],[Waste type 2]],WasteDisposalEmissions[#All],2,FALSE))*Calculations[[#This Row],[Total Kg]])*VLOOKUP(Calculations[[#This Row],[Waste 1]],WasteScenario[#All],2,FALSE),0)</f>
        <v>0</v>
      </c>
      <c r="AA718" s="322">
        <f>IFERROR((VLOOKUP(Calculations[[#This Row],[Waste type 2]],WasteDisposalEmissions[#All],3,FALSE))*Calculations[[#This Row],[Total Kg]]*VLOOKUP(Calculations[[#This Row],[Waste 1]],WasteScenario[#All],3,FALSE),0)</f>
        <v>0</v>
      </c>
      <c r="AB718" s="322">
        <f>SUM(Calculations[[#This Row],[C3 recyc]:[C3 incin]])</f>
        <v>0</v>
      </c>
      <c r="AC718" s="334">
        <f>IFERROR((VLOOKUP(Calculations[[#This Row],[Waste type 2]],WasteLandfillEmissions[#All],2,FALSE))*Calculations[[#This Row],[Total Kg]]*VLOOKUP(Calculations[[#This Row],[Waste 1]],WasteScenario[#All],4,FALSE),0)</f>
        <v>0</v>
      </c>
      <c r="AD718" s="322">
        <f>IFERROR((VLOOKUP(Calculations[[#This Row],[Waste type 2]],WasteLandfillEmissions[#All],3,FALSE))*Calculations[[#This Row],[Total Kg]]*VLOOKUP(Calculations[[#This Row],[Waste 1]],WasteScenario[#All],4,FALSE),0)</f>
        <v>0</v>
      </c>
      <c r="AE718" s="322">
        <f>SUM(Calculations[[#This Row],[C4 landfill]:[C4 re-use]])</f>
        <v>0</v>
      </c>
      <c r="AF718" s="322">
        <f>IFERROR(VLOOKUP(Calculations[[#This Row],[Material (choose from dropdown]],MaterialData[#All],8,FALSE),0)</f>
        <v>0</v>
      </c>
      <c r="AG718" s="322">
        <f>IFERROR(Calculations[[#This Row],[Total Kg]]*Calculations[[#This Row],[Seq factor]],0)</f>
        <v>0</v>
      </c>
      <c r="AI718" s="322">
        <f>Calculations[[#This Row],[A1-3]]+Calculations[[#This Row],[A4]]+Calculations[[#This Row],[A5]]+Calculations[[#This Row],[B4]]+Calculations[[#This Row],[C2 total]]+Calculations[[#This Row],[C3 total]]+Calculations[[#This Row],[C4 total]]</f>
        <v>0</v>
      </c>
      <c r="AJ718" s="2">
        <f>IFERROR(VLOOKUP(Calculations[[#This Row],[Material (choose from dropdown]],MaterialData[[#Headers],[#Data]],9,FALSE),0)</f>
        <v>0</v>
      </c>
      <c r="AK718" s="4">
        <f>IFERROR(VLOOKUP(Calculations[[#This Row],[Material (choose from dropdown]],MaterialData[[#Headers],[#Data]],10,FALSE),0)</f>
        <v>0</v>
      </c>
      <c r="AL718" s="322">
        <f>IFERROR(Calculations[[#This Row],[Data Quality Score]]*Calculations[[#This Row],[Total Kg]],0)</f>
        <v>0</v>
      </c>
    </row>
    <row r="719" spans="1:38" x14ac:dyDescent="0.3">
      <c r="A719" s="6">
        <f>IFERROR(MaterialsBoQ[[#This Row],[Scope Element]],0)</f>
        <v>0</v>
      </c>
      <c r="B719" t="str">
        <f>IFERROR(MaterialsBoQ[[#This Row],[Material ]],"")</f>
        <v/>
      </c>
      <c r="C719" t="str">
        <f>IFERROR(MaterialsBoQ[[#This Row],[Unit]],"")</f>
        <v/>
      </c>
      <c r="D719" s="322">
        <f>IFERROR(MaterialsBoQ[[#This Row],[Number]],0)</f>
        <v>0</v>
      </c>
      <c r="E719" s="322">
        <f>IFERROR(MaterialsBoQ[[#This Row],[Kg per unit]],0)</f>
        <v>0</v>
      </c>
      <c r="F719" s="322">
        <f>IFERROR(Calculations[[#This Row],[Number]]*Calculations[[#This Row],[Conversion factor]],0)</f>
        <v>0</v>
      </c>
      <c r="G719" s="322">
        <f>IFERROR(VLOOKUP(Calculations[[#This Row],[Material (choose from dropdown]],MaterialData[#All],7,FALSE),0)</f>
        <v>0</v>
      </c>
      <c r="H719" s="322">
        <f>Calculations[[#This Row],[Total Kg]]*Calculations[[#This Row],[Carbon Factor]]</f>
        <v>0</v>
      </c>
      <c r="I719" t="str">
        <f>IFERROR(VLOOKUP(Calculations[[#This Row],[Material (choose from dropdown]],MaterialData[#All],2,FALSE),"")</f>
        <v/>
      </c>
      <c r="J719" s="322">
        <f>IFERROR(((VLOOKUP(Calculations[[#This Row],[TransportSource]],TransportDistance[],2,FALSE)*'Stage assumptions'!$C$11)+VLOOKUP(Calculations[[#This Row],[TransportSource]],TransportDistance[],3,FALSE)*'Stage assumptions'!$C$12)*Calculations[[#This Row],[Total Kg]],0)</f>
        <v>0</v>
      </c>
      <c r="K719">
        <f>IFERROR(VLOOKUP(Calculations[[#This Row],[Material (choose from dropdown]], MaterialData[#All],3, FALSE),0)</f>
        <v>0</v>
      </c>
      <c r="L719" s="322">
        <f>IFERROR(VLOOKUP(Calculations[[#This Row],[A5type]],A5WastageRate[#All],2,FALSE)*Calculations[[#This Row],[A1-3]],0)</f>
        <v>0</v>
      </c>
      <c r="N719">
        <f>IFERROR(ROUNDUP(50/VLOOKUP(Calculations[[#This Row],[Scope Element]],B4referenceServiceLife[[Tier 2 element]:[Default Service Life]],2, FALSE)-1,0),0)</f>
        <v>0</v>
      </c>
      <c r="O719" s="322">
        <f>IFERROR((Calculations[[#This Row],[A1-3]]+Calculations[[#This Row],[A4]]+Calculations[[#This Row],[A5]]+Calculations[[#This Row],[C2 total]]+Calculations[[#This Row],[C3 total]]+Calculations[[#This Row],[C4 total]])*Calculations[[#This Row],[Replacements]],0)</f>
        <v>0</v>
      </c>
      <c r="S719" t="str">
        <f>IFERROR(VLOOKUP(Calculations[[#This Row],[Material (choose from dropdown]],MaterialData[#All],4,FALSE),"")</f>
        <v/>
      </c>
      <c r="T719" s="322" cm="1">
        <f t="array" ref="T719">IFERROR(VLOOKUP(Calculations[[#This Row],[Waste 1]],WasteScenario[#All],2,FALSE)*'Stage assumptions'!$C$225*WasteTransportMethod[Emissions Factor
kgCO2e/kg.km]*Calculations[[#This Row],[Total Kg]],0)</f>
        <v>0</v>
      </c>
      <c r="U719" s="322" cm="1">
        <f t="array" ref="U719">IFERROR(VLOOKUP(Calculations[[#This Row],[Waste 1]],WasteScenario[#All],3,FALSE)*'Stage assumptions'!$C$224*WasteTransportMethod[Emissions Factor
kgCO2e/kg.km]*Calculations[[#This Row],[Total Kg]],0)</f>
        <v>0</v>
      </c>
      <c r="V719" s="322" cm="1">
        <f t="array" ref="V719">IFERROR(VLOOKUP(Calculations[[#This Row],[Waste 1]],WasteScenario[#All],4,FALSE)*'Stage assumptions'!$C$223*WasteTransportMethod[Emissions Factor
kgCO2e/kg.km]*Calculations[[#This Row],[Total Kg]],0)</f>
        <v>0</v>
      </c>
      <c r="W719" s="322" cm="1">
        <f t="array" ref="W719">IFERROR(VLOOKUP(Calculations[[#This Row],[Waste 1]],WasteScenario[#All],5,FALSE)*'Stage assumptions'!$C$226*WasteTransportMethod[Emissions Factor
kgCO2e/kg.km]*Calculations[[#This Row],[Total Kg]],0)</f>
        <v>0</v>
      </c>
      <c r="X719" s="322">
        <f>SUM(Calculations[[#This Row],[C2 Recycle]:[C2 Reuse]])</f>
        <v>0</v>
      </c>
      <c r="Y719" t="str">
        <f>IFERROR(VLOOKUP(Calculations[[#This Row],[Material (choose from dropdown]],MaterialData[#All],5,FALSE),"")</f>
        <v/>
      </c>
      <c r="Z719" s="322">
        <f>IFERROR(((VLOOKUP(Calculations[[#This Row],[Waste type 2]],WasteDisposalEmissions[#All],2,FALSE))*Calculations[[#This Row],[Total Kg]])*VLOOKUP(Calculations[[#This Row],[Waste 1]],WasteScenario[#All],2,FALSE),0)</f>
        <v>0</v>
      </c>
      <c r="AA719" s="322">
        <f>IFERROR((VLOOKUP(Calculations[[#This Row],[Waste type 2]],WasteDisposalEmissions[#All],3,FALSE))*Calculations[[#This Row],[Total Kg]]*VLOOKUP(Calculations[[#This Row],[Waste 1]],WasteScenario[#All],3,FALSE),0)</f>
        <v>0</v>
      </c>
      <c r="AB719" s="322">
        <f>SUM(Calculations[[#This Row],[C3 recyc]:[C3 incin]])</f>
        <v>0</v>
      </c>
      <c r="AC719" s="334">
        <f>IFERROR((VLOOKUP(Calculations[[#This Row],[Waste type 2]],WasteLandfillEmissions[#All],2,FALSE))*Calculations[[#This Row],[Total Kg]]*VLOOKUP(Calculations[[#This Row],[Waste 1]],WasteScenario[#All],4,FALSE),0)</f>
        <v>0</v>
      </c>
      <c r="AD719" s="322">
        <f>IFERROR((VLOOKUP(Calculations[[#This Row],[Waste type 2]],WasteLandfillEmissions[#All],3,FALSE))*Calculations[[#This Row],[Total Kg]]*VLOOKUP(Calculations[[#This Row],[Waste 1]],WasteScenario[#All],4,FALSE),0)</f>
        <v>0</v>
      </c>
      <c r="AE719" s="322">
        <f>SUM(Calculations[[#This Row],[C4 landfill]:[C4 re-use]])</f>
        <v>0</v>
      </c>
      <c r="AF719" s="322">
        <f>IFERROR(VLOOKUP(Calculations[[#This Row],[Material (choose from dropdown]],MaterialData[#All],8,FALSE),0)</f>
        <v>0</v>
      </c>
      <c r="AG719" s="322">
        <f>IFERROR(Calculations[[#This Row],[Total Kg]]*Calculations[[#This Row],[Seq factor]],0)</f>
        <v>0</v>
      </c>
      <c r="AI719" s="322">
        <f>Calculations[[#This Row],[A1-3]]+Calculations[[#This Row],[A4]]+Calculations[[#This Row],[A5]]+Calculations[[#This Row],[B4]]+Calculations[[#This Row],[C2 total]]+Calculations[[#This Row],[C3 total]]+Calculations[[#This Row],[C4 total]]</f>
        <v>0</v>
      </c>
      <c r="AJ719" s="2">
        <f>IFERROR(VLOOKUP(Calculations[[#This Row],[Material (choose from dropdown]],MaterialData[[#Headers],[#Data]],9,FALSE),0)</f>
        <v>0</v>
      </c>
      <c r="AK719" s="4">
        <f>IFERROR(VLOOKUP(Calculations[[#This Row],[Material (choose from dropdown]],MaterialData[[#Headers],[#Data]],10,FALSE),0)</f>
        <v>0</v>
      </c>
      <c r="AL719" s="322">
        <f>IFERROR(Calculations[[#This Row],[Data Quality Score]]*Calculations[[#This Row],[Total Kg]],0)</f>
        <v>0</v>
      </c>
    </row>
    <row r="720" spans="1:38" x14ac:dyDescent="0.3">
      <c r="A720" s="6">
        <f>IFERROR(MaterialsBoQ[[#This Row],[Scope Element]],0)</f>
        <v>0</v>
      </c>
      <c r="B720" t="str">
        <f>IFERROR(MaterialsBoQ[[#This Row],[Material ]],"")</f>
        <v/>
      </c>
      <c r="C720" t="str">
        <f>IFERROR(MaterialsBoQ[[#This Row],[Unit]],"")</f>
        <v/>
      </c>
      <c r="D720" s="322">
        <f>IFERROR(MaterialsBoQ[[#This Row],[Number]],0)</f>
        <v>0</v>
      </c>
      <c r="E720" s="322">
        <f>IFERROR(MaterialsBoQ[[#This Row],[Kg per unit]],0)</f>
        <v>0</v>
      </c>
      <c r="F720" s="322">
        <f>IFERROR(Calculations[[#This Row],[Number]]*Calculations[[#This Row],[Conversion factor]],0)</f>
        <v>0</v>
      </c>
      <c r="G720" s="322">
        <f>IFERROR(VLOOKUP(Calculations[[#This Row],[Material (choose from dropdown]],MaterialData[#All],7,FALSE),0)</f>
        <v>0</v>
      </c>
      <c r="H720" s="322">
        <f>Calculations[[#This Row],[Total Kg]]*Calculations[[#This Row],[Carbon Factor]]</f>
        <v>0</v>
      </c>
      <c r="I720" t="str">
        <f>IFERROR(VLOOKUP(Calculations[[#This Row],[Material (choose from dropdown]],MaterialData[#All],2,FALSE),"")</f>
        <v/>
      </c>
      <c r="J720" s="322">
        <f>IFERROR(((VLOOKUP(Calculations[[#This Row],[TransportSource]],TransportDistance[],2,FALSE)*'Stage assumptions'!$C$11)+VLOOKUP(Calculations[[#This Row],[TransportSource]],TransportDistance[],3,FALSE)*'Stage assumptions'!$C$12)*Calculations[[#This Row],[Total Kg]],0)</f>
        <v>0</v>
      </c>
      <c r="K720">
        <f>IFERROR(VLOOKUP(Calculations[[#This Row],[Material (choose from dropdown]], MaterialData[#All],3, FALSE),0)</f>
        <v>0</v>
      </c>
      <c r="L720" s="322">
        <f>IFERROR(VLOOKUP(Calculations[[#This Row],[A5type]],A5WastageRate[#All],2,FALSE)*Calculations[[#This Row],[A1-3]],0)</f>
        <v>0</v>
      </c>
      <c r="N720">
        <f>IFERROR(ROUNDUP(50/VLOOKUP(Calculations[[#This Row],[Scope Element]],B4referenceServiceLife[[Tier 2 element]:[Default Service Life]],2, FALSE)-1,0),0)</f>
        <v>0</v>
      </c>
      <c r="O720" s="322">
        <f>IFERROR((Calculations[[#This Row],[A1-3]]+Calculations[[#This Row],[A4]]+Calculations[[#This Row],[A5]]+Calculations[[#This Row],[C2 total]]+Calculations[[#This Row],[C3 total]]+Calculations[[#This Row],[C4 total]])*Calculations[[#This Row],[Replacements]],0)</f>
        <v>0</v>
      </c>
      <c r="S720" t="str">
        <f>IFERROR(VLOOKUP(Calculations[[#This Row],[Material (choose from dropdown]],MaterialData[#All],4,FALSE),"")</f>
        <v/>
      </c>
      <c r="T720" s="322" cm="1">
        <f t="array" ref="T720">IFERROR(VLOOKUP(Calculations[[#This Row],[Waste 1]],WasteScenario[#All],2,FALSE)*'Stage assumptions'!$C$225*WasteTransportMethod[Emissions Factor
kgCO2e/kg.km]*Calculations[[#This Row],[Total Kg]],0)</f>
        <v>0</v>
      </c>
      <c r="U720" s="322" cm="1">
        <f t="array" ref="U720">IFERROR(VLOOKUP(Calculations[[#This Row],[Waste 1]],WasteScenario[#All],3,FALSE)*'Stage assumptions'!$C$224*WasteTransportMethod[Emissions Factor
kgCO2e/kg.km]*Calculations[[#This Row],[Total Kg]],0)</f>
        <v>0</v>
      </c>
      <c r="V720" s="322" cm="1">
        <f t="array" ref="V720">IFERROR(VLOOKUP(Calculations[[#This Row],[Waste 1]],WasteScenario[#All],4,FALSE)*'Stage assumptions'!$C$223*WasteTransportMethod[Emissions Factor
kgCO2e/kg.km]*Calculations[[#This Row],[Total Kg]],0)</f>
        <v>0</v>
      </c>
      <c r="W720" s="322" cm="1">
        <f t="array" ref="W720">IFERROR(VLOOKUP(Calculations[[#This Row],[Waste 1]],WasteScenario[#All],5,FALSE)*'Stage assumptions'!$C$226*WasteTransportMethod[Emissions Factor
kgCO2e/kg.km]*Calculations[[#This Row],[Total Kg]],0)</f>
        <v>0</v>
      </c>
      <c r="X720" s="322">
        <f>SUM(Calculations[[#This Row],[C2 Recycle]:[C2 Reuse]])</f>
        <v>0</v>
      </c>
      <c r="Y720" t="str">
        <f>IFERROR(VLOOKUP(Calculations[[#This Row],[Material (choose from dropdown]],MaterialData[#All],5,FALSE),"")</f>
        <v/>
      </c>
      <c r="Z720" s="322">
        <f>IFERROR(((VLOOKUP(Calculations[[#This Row],[Waste type 2]],WasteDisposalEmissions[#All],2,FALSE))*Calculations[[#This Row],[Total Kg]])*VLOOKUP(Calculations[[#This Row],[Waste 1]],WasteScenario[#All],2,FALSE),0)</f>
        <v>0</v>
      </c>
      <c r="AA720" s="322">
        <f>IFERROR((VLOOKUP(Calculations[[#This Row],[Waste type 2]],WasteDisposalEmissions[#All],3,FALSE))*Calculations[[#This Row],[Total Kg]]*VLOOKUP(Calculations[[#This Row],[Waste 1]],WasteScenario[#All],3,FALSE),0)</f>
        <v>0</v>
      </c>
      <c r="AB720" s="322">
        <f>SUM(Calculations[[#This Row],[C3 recyc]:[C3 incin]])</f>
        <v>0</v>
      </c>
      <c r="AC720" s="334">
        <f>IFERROR((VLOOKUP(Calculations[[#This Row],[Waste type 2]],WasteLandfillEmissions[#All],2,FALSE))*Calculations[[#This Row],[Total Kg]]*VLOOKUP(Calculations[[#This Row],[Waste 1]],WasteScenario[#All],4,FALSE),0)</f>
        <v>0</v>
      </c>
      <c r="AD720" s="322">
        <f>IFERROR((VLOOKUP(Calculations[[#This Row],[Waste type 2]],WasteLandfillEmissions[#All],3,FALSE))*Calculations[[#This Row],[Total Kg]]*VLOOKUP(Calculations[[#This Row],[Waste 1]],WasteScenario[#All],4,FALSE),0)</f>
        <v>0</v>
      </c>
      <c r="AE720" s="322">
        <f>SUM(Calculations[[#This Row],[C4 landfill]:[C4 re-use]])</f>
        <v>0</v>
      </c>
      <c r="AF720" s="322">
        <f>IFERROR(VLOOKUP(Calculations[[#This Row],[Material (choose from dropdown]],MaterialData[#All],8,FALSE),0)</f>
        <v>0</v>
      </c>
      <c r="AG720" s="322">
        <f>IFERROR(Calculations[[#This Row],[Total Kg]]*Calculations[[#This Row],[Seq factor]],0)</f>
        <v>0</v>
      </c>
      <c r="AI720" s="322">
        <f>Calculations[[#This Row],[A1-3]]+Calculations[[#This Row],[A4]]+Calculations[[#This Row],[A5]]+Calculations[[#This Row],[B4]]+Calculations[[#This Row],[C2 total]]+Calculations[[#This Row],[C3 total]]+Calculations[[#This Row],[C4 total]]</f>
        <v>0</v>
      </c>
      <c r="AJ720" s="2">
        <f>IFERROR(VLOOKUP(Calculations[[#This Row],[Material (choose from dropdown]],MaterialData[[#Headers],[#Data]],9,FALSE),0)</f>
        <v>0</v>
      </c>
      <c r="AK720" s="4">
        <f>IFERROR(VLOOKUP(Calculations[[#This Row],[Material (choose from dropdown]],MaterialData[[#Headers],[#Data]],10,FALSE),0)</f>
        <v>0</v>
      </c>
      <c r="AL720" s="322">
        <f>IFERROR(Calculations[[#This Row],[Data Quality Score]]*Calculations[[#This Row],[Total Kg]],0)</f>
        <v>0</v>
      </c>
    </row>
    <row r="721" spans="1:38" x14ac:dyDescent="0.3">
      <c r="A721" s="6">
        <f>IFERROR(MaterialsBoQ[[#This Row],[Scope Element]],0)</f>
        <v>0</v>
      </c>
      <c r="B721" t="str">
        <f>IFERROR(MaterialsBoQ[[#This Row],[Material ]],"")</f>
        <v/>
      </c>
      <c r="C721" t="str">
        <f>IFERROR(MaterialsBoQ[[#This Row],[Unit]],"")</f>
        <v/>
      </c>
      <c r="D721" s="322">
        <f>IFERROR(MaterialsBoQ[[#This Row],[Number]],0)</f>
        <v>0</v>
      </c>
      <c r="E721" s="322">
        <f>IFERROR(MaterialsBoQ[[#This Row],[Kg per unit]],0)</f>
        <v>0</v>
      </c>
      <c r="F721" s="322">
        <f>IFERROR(Calculations[[#This Row],[Number]]*Calculations[[#This Row],[Conversion factor]],0)</f>
        <v>0</v>
      </c>
      <c r="G721" s="322">
        <f>IFERROR(VLOOKUP(Calculations[[#This Row],[Material (choose from dropdown]],MaterialData[#All],7,FALSE),0)</f>
        <v>0</v>
      </c>
      <c r="H721" s="322">
        <f>Calculations[[#This Row],[Total Kg]]*Calculations[[#This Row],[Carbon Factor]]</f>
        <v>0</v>
      </c>
      <c r="I721" t="str">
        <f>IFERROR(VLOOKUP(Calculations[[#This Row],[Material (choose from dropdown]],MaterialData[#All],2,FALSE),"")</f>
        <v/>
      </c>
      <c r="J721" s="322">
        <f>IFERROR(((VLOOKUP(Calculations[[#This Row],[TransportSource]],TransportDistance[],2,FALSE)*'Stage assumptions'!$C$11)+VLOOKUP(Calculations[[#This Row],[TransportSource]],TransportDistance[],3,FALSE)*'Stage assumptions'!$C$12)*Calculations[[#This Row],[Total Kg]],0)</f>
        <v>0</v>
      </c>
      <c r="K721">
        <f>IFERROR(VLOOKUP(Calculations[[#This Row],[Material (choose from dropdown]], MaterialData[#All],3, FALSE),0)</f>
        <v>0</v>
      </c>
      <c r="L721" s="322">
        <f>IFERROR(VLOOKUP(Calculations[[#This Row],[A5type]],A5WastageRate[#All],2,FALSE)*Calculations[[#This Row],[A1-3]],0)</f>
        <v>0</v>
      </c>
      <c r="N721">
        <f>IFERROR(ROUNDUP(50/VLOOKUP(Calculations[[#This Row],[Scope Element]],B4referenceServiceLife[[Tier 2 element]:[Default Service Life]],2, FALSE)-1,0),0)</f>
        <v>0</v>
      </c>
      <c r="O721" s="322">
        <f>IFERROR((Calculations[[#This Row],[A1-3]]+Calculations[[#This Row],[A4]]+Calculations[[#This Row],[A5]]+Calculations[[#This Row],[C2 total]]+Calculations[[#This Row],[C3 total]]+Calculations[[#This Row],[C4 total]])*Calculations[[#This Row],[Replacements]],0)</f>
        <v>0</v>
      </c>
      <c r="S721" t="str">
        <f>IFERROR(VLOOKUP(Calculations[[#This Row],[Material (choose from dropdown]],MaterialData[#All],4,FALSE),"")</f>
        <v/>
      </c>
      <c r="T721" s="322" cm="1">
        <f t="array" ref="T721">IFERROR(VLOOKUP(Calculations[[#This Row],[Waste 1]],WasteScenario[#All],2,FALSE)*'Stage assumptions'!$C$225*WasteTransportMethod[Emissions Factor
kgCO2e/kg.km]*Calculations[[#This Row],[Total Kg]],0)</f>
        <v>0</v>
      </c>
      <c r="U721" s="322" cm="1">
        <f t="array" ref="U721">IFERROR(VLOOKUP(Calculations[[#This Row],[Waste 1]],WasteScenario[#All],3,FALSE)*'Stage assumptions'!$C$224*WasteTransportMethod[Emissions Factor
kgCO2e/kg.km]*Calculations[[#This Row],[Total Kg]],0)</f>
        <v>0</v>
      </c>
      <c r="V721" s="322" cm="1">
        <f t="array" ref="V721">IFERROR(VLOOKUP(Calculations[[#This Row],[Waste 1]],WasteScenario[#All],4,FALSE)*'Stage assumptions'!$C$223*WasteTransportMethod[Emissions Factor
kgCO2e/kg.km]*Calculations[[#This Row],[Total Kg]],0)</f>
        <v>0</v>
      </c>
      <c r="W721" s="322" cm="1">
        <f t="array" ref="W721">IFERROR(VLOOKUP(Calculations[[#This Row],[Waste 1]],WasteScenario[#All],5,FALSE)*'Stage assumptions'!$C$226*WasteTransportMethod[Emissions Factor
kgCO2e/kg.km]*Calculations[[#This Row],[Total Kg]],0)</f>
        <v>0</v>
      </c>
      <c r="X721" s="322">
        <f>SUM(Calculations[[#This Row],[C2 Recycle]:[C2 Reuse]])</f>
        <v>0</v>
      </c>
      <c r="Y721" t="str">
        <f>IFERROR(VLOOKUP(Calculations[[#This Row],[Material (choose from dropdown]],MaterialData[#All],5,FALSE),"")</f>
        <v/>
      </c>
      <c r="Z721" s="322">
        <f>IFERROR(((VLOOKUP(Calculations[[#This Row],[Waste type 2]],WasteDisposalEmissions[#All],2,FALSE))*Calculations[[#This Row],[Total Kg]])*VLOOKUP(Calculations[[#This Row],[Waste 1]],WasteScenario[#All],2,FALSE),0)</f>
        <v>0</v>
      </c>
      <c r="AA721" s="322">
        <f>IFERROR((VLOOKUP(Calculations[[#This Row],[Waste type 2]],WasteDisposalEmissions[#All],3,FALSE))*Calculations[[#This Row],[Total Kg]]*VLOOKUP(Calculations[[#This Row],[Waste 1]],WasteScenario[#All],3,FALSE),0)</f>
        <v>0</v>
      </c>
      <c r="AB721" s="322">
        <f>SUM(Calculations[[#This Row],[C3 recyc]:[C3 incin]])</f>
        <v>0</v>
      </c>
      <c r="AC721" s="334">
        <f>IFERROR((VLOOKUP(Calculations[[#This Row],[Waste type 2]],WasteLandfillEmissions[#All],2,FALSE))*Calculations[[#This Row],[Total Kg]]*VLOOKUP(Calculations[[#This Row],[Waste 1]],WasteScenario[#All],4,FALSE),0)</f>
        <v>0</v>
      </c>
      <c r="AD721" s="322">
        <f>IFERROR((VLOOKUP(Calculations[[#This Row],[Waste type 2]],WasteLandfillEmissions[#All],3,FALSE))*Calculations[[#This Row],[Total Kg]]*VLOOKUP(Calculations[[#This Row],[Waste 1]],WasteScenario[#All],4,FALSE),0)</f>
        <v>0</v>
      </c>
      <c r="AE721" s="322">
        <f>SUM(Calculations[[#This Row],[C4 landfill]:[C4 re-use]])</f>
        <v>0</v>
      </c>
      <c r="AF721" s="322">
        <f>IFERROR(VLOOKUP(Calculations[[#This Row],[Material (choose from dropdown]],MaterialData[#All],8,FALSE),0)</f>
        <v>0</v>
      </c>
      <c r="AG721" s="322">
        <f>IFERROR(Calculations[[#This Row],[Total Kg]]*Calculations[[#This Row],[Seq factor]],0)</f>
        <v>0</v>
      </c>
      <c r="AI721" s="322">
        <f>Calculations[[#This Row],[A1-3]]+Calculations[[#This Row],[A4]]+Calculations[[#This Row],[A5]]+Calculations[[#This Row],[B4]]+Calculations[[#This Row],[C2 total]]+Calculations[[#This Row],[C3 total]]+Calculations[[#This Row],[C4 total]]</f>
        <v>0</v>
      </c>
      <c r="AJ721" s="2">
        <f>IFERROR(VLOOKUP(Calculations[[#This Row],[Material (choose from dropdown]],MaterialData[[#Headers],[#Data]],9,FALSE),0)</f>
        <v>0</v>
      </c>
      <c r="AK721" s="4">
        <f>IFERROR(VLOOKUP(Calculations[[#This Row],[Material (choose from dropdown]],MaterialData[[#Headers],[#Data]],10,FALSE),0)</f>
        <v>0</v>
      </c>
      <c r="AL721" s="322">
        <f>IFERROR(Calculations[[#This Row],[Data Quality Score]]*Calculations[[#This Row],[Total Kg]],0)</f>
        <v>0</v>
      </c>
    </row>
    <row r="722" spans="1:38" x14ac:dyDescent="0.3">
      <c r="A722" s="6">
        <f>IFERROR(MaterialsBoQ[[#This Row],[Scope Element]],0)</f>
        <v>0</v>
      </c>
      <c r="B722" t="str">
        <f>IFERROR(MaterialsBoQ[[#This Row],[Material ]],"")</f>
        <v/>
      </c>
      <c r="C722" t="str">
        <f>IFERROR(MaterialsBoQ[[#This Row],[Unit]],"")</f>
        <v/>
      </c>
      <c r="D722" s="322">
        <f>IFERROR(MaterialsBoQ[[#This Row],[Number]],0)</f>
        <v>0</v>
      </c>
      <c r="E722" s="322">
        <f>IFERROR(MaterialsBoQ[[#This Row],[Kg per unit]],0)</f>
        <v>0</v>
      </c>
      <c r="F722" s="322">
        <f>IFERROR(Calculations[[#This Row],[Number]]*Calculations[[#This Row],[Conversion factor]],0)</f>
        <v>0</v>
      </c>
      <c r="G722" s="322">
        <f>IFERROR(VLOOKUP(Calculations[[#This Row],[Material (choose from dropdown]],MaterialData[#All],7,FALSE),0)</f>
        <v>0</v>
      </c>
      <c r="H722" s="322">
        <f>Calculations[[#This Row],[Total Kg]]*Calculations[[#This Row],[Carbon Factor]]</f>
        <v>0</v>
      </c>
      <c r="I722" t="str">
        <f>IFERROR(VLOOKUP(Calculations[[#This Row],[Material (choose from dropdown]],MaterialData[#All],2,FALSE),"")</f>
        <v/>
      </c>
      <c r="J722" s="322">
        <f>IFERROR(((VLOOKUP(Calculations[[#This Row],[TransportSource]],TransportDistance[],2,FALSE)*'Stage assumptions'!$C$11)+VLOOKUP(Calculations[[#This Row],[TransportSource]],TransportDistance[],3,FALSE)*'Stage assumptions'!$C$12)*Calculations[[#This Row],[Total Kg]],0)</f>
        <v>0</v>
      </c>
      <c r="K722">
        <f>IFERROR(VLOOKUP(Calculations[[#This Row],[Material (choose from dropdown]], MaterialData[#All],3, FALSE),0)</f>
        <v>0</v>
      </c>
      <c r="L722" s="322">
        <f>IFERROR(VLOOKUP(Calculations[[#This Row],[A5type]],A5WastageRate[#All],2,FALSE)*Calculations[[#This Row],[A1-3]],0)</f>
        <v>0</v>
      </c>
      <c r="N722">
        <f>IFERROR(ROUNDUP(50/VLOOKUP(Calculations[[#This Row],[Scope Element]],B4referenceServiceLife[[Tier 2 element]:[Default Service Life]],2, FALSE)-1,0),0)</f>
        <v>0</v>
      </c>
      <c r="O722" s="322">
        <f>IFERROR((Calculations[[#This Row],[A1-3]]+Calculations[[#This Row],[A4]]+Calculations[[#This Row],[A5]]+Calculations[[#This Row],[C2 total]]+Calculations[[#This Row],[C3 total]]+Calculations[[#This Row],[C4 total]])*Calculations[[#This Row],[Replacements]],0)</f>
        <v>0</v>
      </c>
      <c r="S722" t="str">
        <f>IFERROR(VLOOKUP(Calculations[[#This Row],[Material (choose from dropdown]],MaterialData[#All],4,FALSE),"")</f>
        <v/>
      </c>
      <c r="T722" s="322" cm="1">
        <f t="array" ref="T722">IFERROR(VLOOKUP(Calculations[[#This Row],[Waste 1]],WasteScenario[#All],2,FALSE)*'Stage assumptions'!$C$225*WasteTransportMethod[Emissions Factor
kgCO2e/kg.km]*Calculations[[#This Row],[Total Kg]],0)</f>
        <v>0</v>
      </c>
      <c r="U722" s="322" cm="1">
        <f t="array" ref="U722">IFERROR(VLOOKUP(Calculations[[#This Row],[Waste 1]],WasteScenario[#All],3,FALSE)*'Stage assumptions'!$C$224*WasteTransportMethod[Emissions Factor
kgCO2e/kg.km]*Calculations[[#This Row],[Total Kg]],0)</f>
        <v>0</v>
      </c>
      <c r="V722" s="322" cm="1">
        <f t="array" ref="V722">IFERROR(VLOOKUP(Calculations[[#This Row],[Waste 1]],WasteScenario[#All],4,FALSE)*'Stage assumptions'!$C$223*WasteTransportMethod[Emissions Factor
kgCO2e/kg.km]*Calculations[[#This Row],[Total Kg]],0)</f>
        <v>0</v>
      </c>
      <c r="W722" s="322" cm="1">
        <f t="array" ref="W722">IFERROR(VLOOKUP(Calculations[[#This Row],[Waste 1]],WasteScenario[#All],5,FALSE)*'Stage assumptions'!$C$226*WasteTransportMethod[Emissions Factor
kgCO2e/kg.km]*Calculations[[#This Row],[Total Kg]],0)</f>
        <v>0</v>
      </c>
      <c r="X722" s="322">
        <f>SUM(Calculations[[#This Row],[C2 Recycle]:[C2 Reuse]])</f>
        <v>0</v>
      </c>
      <c r="Y722" t="str">
        <f>IFERROR(VLOOKUP(Calculations[[#This Row],[Material (choose from dropdown]],MaterialData[#All],5,FALSE),"")</f>
        <v/>
      </c>
      <c r="Z722" s="322">
        <f>IFERROR(((VLOOKUP(Calculations[[#This Row],[Waste type 2]],WasteDisposalEmissions[#All],2,FALSE))*Calculations[[#This Row],[Total Kg]])*VLOOKUP(Calculations[[#This Row],[Waste 1]],WasteScenario[#All],2,FALSE),0)</f>
        <v>0</v>
      </c>
      <c r="AA722" s="322">
        <f>IFERROR((VLOOKUP(Calculations[[#This Row],[Waste type 2]],WasteDisposalEmissions[#All],3,FALSE))*Calculations[[#This Row],[Total Kg]]*VLOOKUP(Calculations[[#This Row],[Waste 1]],WasteScenario[#All],3,FALSE),0)</f>
        <v>0</v>
      </c>
      <c r="AB722" s="322">
        <f>SUM(Calculations[[#This Row],[C3 recyc]:[C3 incin]])</f>
        <v>0</v>
      </c>
      <c r="AC722" s="334">
        <f>IFERROR((VLOOKUP(Calculations[[#This Row],[Waste type 2]],WasteLandfillEmissions[#All],2,FALSE))*Calculations[[#This Row],[Total Kg]]*VLOOKUP(Calculations[[#This Row],[Waste 1]],WasteScenario[#All],4,FALSE),0)</f>
        <v>0</v>
      </c>
      <c r="AD722" s="322">
        <f>IFERROR((VLOOKUP(Calculations[[#This Row],[Waste type 2]],WasteLandfillEmissions[#All],3,FALSE))*Calculations[[#This Row],[Total Kg]]*VLOOKUP(Calculations[[#This Row],[Waste 1]],WasteScenario[#All],4,FALSE),0)</f>
        <v>0</v>
      </c>
      <c r="AE722" s="322">
        <f>SUM(Calculations[[#This Row],[C4 landfill]:[C4 re-use]])</f>
        <v>0</v>
      </c>
      <c r="AF722" s="322">
        <f>IFERROR(VLOOKUP(Calculations[[#This Row],[Material (choose from dropdown]],MaterialData[#All],8,FALSE),0)</f>
        <v>0</v>
      </c>
      <c r="AG722" s="322">
        <f>IFERROR(Calculations[[#This Row],[Total Kg]]*Calculations[[#This Row],[Seq factor]],0)</f>
        <v>0</v>
      </c>
      <c r="AI722" s="322">
        <f>Calculations[[#This Row],[A1-3]]+Calculations[[#This Row],[A4]]+Calculations[[#This Row],[A5]]+Calculations[[#This Row],[B4]]+Calculations[[#This Row],[C2 total]]+Calculations[[#This Row],[C3 total]]+Calculations[[#This Row],[C4 total]]</f>
        <v>0</v>
      </c>
      <c r="AJ722" s="2">
        <f>IFERROR(VLOOKUP(Calculations[[#This Row],[Material (choose from dropdown]],MaterialData[[#Headers],[#Data]],9,FALSE),0)</f>
        <v>0</v>
      </c>
      <c r="AK722" s="4">
        <f>IFERROR(VLOOKUP(Calculations[[#This Row],[Material (choose from dropdown]],MaterialData[[#Headers],[#Data]],10,FALSE),0)</f>
        <v>0</v>
      </c>
      <c r="AL722" s="322">
        <f>IFERROR(Calculations[[#This Row],[Data Quality Score]]*Calculations[[#This Row],[Total Kg]],0)</f>
        <v>0</v>
      </c>
    </row>
    <row r="723" spans="1:38" x14ac:dyDescent="0.3">
      <c r="A723" s="6">
        <f>IFERROR(MaterialsBoQ[[#This Row],[Scope Element]],0)</f>
        <v>0</v>
      </c>
      <c r="B723" t="str">
        <f>IFERROR(MaterialsBoQ[[#This Row],[Material ]],"")</f>
        <v/>
      </c>
      <c r="C723" t="str">
        <f>IFERROR(MaterialsBoQ[[#This Row],[Unit]],"")</f>
        <v/>
      </c>
      <c r="D723" s="322">
        <f>IFERROR(MaterialsBoQ[[#This Row],[Number]],0)</f>
        <v>0</v>
      </c>
      <c r="E723" s="322">
        <f>IFERROR(MaterialsBoQ[[#This Row],[Kg per unit]],0)</f>
        <v>0</v>
      </c>
      <c r="F723" s="322">
        <f>IFERROR(Calculations[[#This Row],[Number]]*Calculations[[#This Row],[Conversion factor]],0)</f>
        <v>0</v>
      </c>
      <c r="G723" s="322">
        <f>IFERROR(VLOOKUP(Calculations[[#This Row],[Material (choose from dropdown]],MaterialData[#All],7,FALSE),0)</f>
        <v>0</v>
      </c>
      <c r="H723" s="322">
        <f>Calculations[[#This Row],[Total Kg]]*Calculations[[#This Row],[Carbon Factor]]</f>
        <v>0</v>
      </c>
      <c r="I723" t="str">
        <f>IFERROR(VLOOKUP(Calculations[[#This Row],[Material (choose from dropdown]],MaterialData[#All],2,FALSE),"")</f>
        <v/>
      </c>
      <c r="J723" s="322">
        <f>IFERROR(((VLOOKUP(Calculations[[#This Row],[TransportSource]],TransportDistance[],2,FALSE)*'Stage assumptions'!$C$11)+VLOOKUP(Calculations[[#This Row],[TransportSource]],TransportDistance[],3,FALSE)*'Stage assumptions'!$C$12)*Calculations[[#This Row],[Total Kg]],0)</f>
        <v>0</v>
      </c>
      <c r="K723">
        <f>IFERROR(VLOOKUP(Calculations[[#This Row],[Material (choose from dropdown]], MaterialData[#All],3, FALSE),0)</f>
        <v>0</v>
      </c>
      <c r="L723" s="322">
        <f>IFERROR(VLOOKUP(Calculations[[#This Row],[A5type]],A5WastageRate[#All],2,FALSE)*Calculations[[#This Row],[A1-3]],0)</f>
        <v>0</v>
      </c>
      <c r="N723">
        <f>IFERROR(ROUNDUP(50/VLOOKUP(Calculations[[#This Row],[Scope Element]],B4referenceServiceLife[[Tier 2 element]:[Default Service Life]],2, FALSE)-1,0),0)</f>
        <v>0</v>
      </c>
      <c r="O723" s="322">
        <f>IFERROR((Calculations[[#This Row],[A1-3]]+Calculations[[#This Row],[A4]]+Calculations[[#This Row],[A5]]+Calculations[[#This Row],[C2 total]]+Calculations[[#This Row],[C3 total]]+Calculations[[#This Row],[C4 total]])*Calculations[[#This Row],[Replacements]],0)</f>
        <v>0</v>
      </c>
      <c r="S723" t="str">
        <f>IFERROR(VLOOKUP(Calculations[[#This Row],[Material (choose from dropdown]],MaterialData[#All],4,FALSE),"")</f>
        <v/>
      </c>
      <c r="T723" s="322" cm="1">
        <f t="array" ref="T723">IFERROR(VLOOKUP(Calculations[[#This Row],[Waste 1]],WasteScenario[#All],2,FALSE)*'Stage assumptions'!$C$225*WasteTransportMethod[Emissions Factor
kgCO2e/kg.km]*Calculations[[#This Row],[Total Kg]],0)</f>
        <v>0</v>
      </c>
      <c r="U723" s="322" cm="1">
        <f t="array" ref="U723">IFERROR(VLOOKUP(Calculations[[#This Row],[Waste 1]],WasteScenario[#All],3,FALSE)*'Stage assumptions'!$C$224*WasteTransportMethod[Emissions Factor
kgCO2e/kg.km]*Calculations[[#This Row],[Total Kg]],0)</f>
        <v>0</v>
      </c>
      <c r="V723" s="322" cm="1">
        <f t="array" ref="V723">IFERROR(VLOOKUP(Calculations[[#This Row],[Waste 1]],WasteScenario[#All],4,FALSE)*'Stage assumptions'!$C$223*WasteTransportMethod[Emissions Factor
kgCO2e/kg.km]*Calculations[[#This Row],[Total Kg]],0)</f>
        <v>0</v>
      </c>
      <c r="W723" s="322" cm="1">
        <f t="array" ref="W723">IFERROR(VLOOKUP(Calculations[[#This Row],[Waste 1]],WasteScenario[#All],5,FALSE)*'Stage assumptions'!$C$226*WasteTransportMethod[Emissions Factor
kgCO2e/kg.km]*Calculations[[#This Row],[Total Kg]],0)</f>
        <v>0</v>
      </c>
      <c r="X723" s="322">
        <f>SUM(Calculations[[#This Row],[C2 Recycle]:[C2 Reuse]])</f>
        <v>0</v>
      </c>
      <c r="Y723" t="str">
        <f>IFERROR(VLOOKUP(Calculations[[#This Row],[Material (choose from dropdown]],MaterialData[#All],5,FALSE),"")</f>
        <v/>
      </c>
      <c r="Z723" s="322">
        <f>IFERROR(((VLOOKUP(Calculations[[#This Row],[Waste type 2]],WasteDisposalEmissions[#All],2,FALSE))*Calculations[[#This Row],[Total Kg]])*VLOOKUP(Calculations[[#This Row],[Waste 1]],WasteScenario[#All],2,FALSE),0)</f>
        <v>0</v>
      </c>
      <c r="AA723" s="322">
        <f>IFERROR((VLOOKUP(Calculations[[#This Row],[Waste type 2]],WasteDisposalEmissions[#All],3,FALSE))*Calculations[[#This Row],[Total Kg]]*VLOOKUP(Calculations[[#This Row],[Waste 1]],WasteScenario[#All],3,FALSE),0)</f>
        <v>0</v>
      </c>
      <c r="AB723" s="322">
        <f>SUM(Calculations[[#This Row],[C3 recyc]:[C3 incin]])</f>
        <v>0</v>
      </c>
      <c r="AC723" s="334">
        <f>IFERROR((VLOOKUP(Calculations[[#This Row],[Waste type 2]],WasteLandfillEmissions[#All],2,FALSE))*Calculations[[#This Row],[Total Kg]]*VLOOKUP(Calculations[[#This Row],[Waste 1]],WasteScenario[#All],4,FALSE),0)</f>
        <v>0</v>
      </c>
      <c r="AD723" s="322">
        <f>IFERROR((VLOOKUP(Calculations[[#This Row],[Waste type 2]],WasteLandfillEmissions[#All],3,FALSE))*Calculations[[#This Row],[Total Kg]]*VLOOKUP(Calculations[[#This Row],[Waste 1]],WasteScenario[#All],4,FALSE),0)</f>
        <v>0</v>
      </c>
      <c r="AE723" s="322">
        <f>SUM(Calculations[[#This Row],[C4 landfill]:[C4 re-use]])</f>
        <v>0</v>
      </c>
      <c r="AF723" s="322">
        <f>IFERROR(VLOOKUP(Calculations[[#This Row],[Material (choose from dropdown]],MaterialData[#All],8,FALSE),0)</f>
        <v>0</v>
      </c>
      <c r="AG723" s="322">
        <f>IFERROR(Calculations[[#This Row],[Total Kg]]*Calculations[[#This Row],[Seq factor]],0)</f>
        <v>0</v>
      </c>
      <c r="AI723" s="322">
        <f>Calculations[[#This Row],[A1-3]]+Calculations[[#This Row],[A4]]+Calculations[[#This Row],[A5]]+Calculations[[#This Row],[B4]]+Calculations[[#This Row],[C2 total]]+Calculations[[#This Row],[C3 total]]+Calculations[[#This Row],[C4 total]]</f>
        <v>0</v>
      </c>
      <c r="AJ723" s="2">
        <f>IFERROR(VLOOKUP(Calculations[[#This Row],[Material (choose from dropdown]],MaterialData[[#Headers],[#Data]],9,FALSE),0)</f>
        <v>0</v>
      </c>
      <c r="AK723" s="4">
        <f>IFERROR(VLOOKUP(Calculations[[#This Row],[Material (choose from dropdown]],MaterialData[[#Headers],[#Data]],10,FALSE),0)</f>
        <v>0</v>
      </c>
      <c r="AL723" s="322">
        <f>IFERROR(Calculations[[#This Row],[Data Quality Score]]*Calculations[[#This Row],[Total Kg]],0)</f>
        <v>0</v>
      </c>
    </row>
    <row r="724" spans="1:38" x14ac:dyDescent="0.3">
      <c r="A724" s="6">
        <f>IFERROR(MaterialsBoQ[[#This Row],[Scope Element]],0)</f>
        <v>0</v>
      </c>
      <c r="B724" t="str">
        <f>IFERROR(MaterialsBoQ[[#This Row],[Material ]],"")</f>
        <v/>
      </c>
      <c r="C724" t="str">
        <f>IFERROR(MaterialsBoQ[[#This Row],[Unit]],"")</f>
        <v/>
      </c>
      <c r="D724" s="322">
        <f>IFERROR(MaterialsBoQ[[#This Row],[Number]],0)</f>
        <v>0</v>
      </c>
      <c r="E724" s="322">
        <f>IFERROR(MaterialsBoQ[[#This Row],[Kg per unit]],0)</f>
        <v>0</v>
      </c>
      <c r="F724" s="322">
        <f>IFERROR(Calculations[[#This Row],[Number]]*Calculations[[#This Row],[Conversion factor]],0)</f>
        <v>0</v>
      </c>
      <c r="G724" s="322">
        <f>IFERROR(VLOOKUP(Calculations[[#This Row],[Material (choose from dropdown]],MaterialData[#All],7,FALSE),0)</f>
        <v>0</v>
      </c>
      <c r="H724" s="322">
        <f>Calculations[[#This Row],[Total Kg]]*Calculations[[#This Row],[Carbon Factor]]</f>
        <v>0</v>
      </c>
      <c r="I724" t="str">
        <f>IFERROR(VLOOKUP(Calculations[[#This Row],[Material (choose from dropdown]],MaterialData[#All],2,FALSE),"")</f>
        <v/>
      </c>
      <c r="J724" s="322">
        <f>IFERROR(((VLOOKUP(Calculations[[#This Row],[TransportSource]],TransportDistance[],2,FALSE)*'Stage assumptions'!$C$11)+VLOOKUP(Calculations[[#This Row],[TransportSource]],TransportDistance[],3,FALSE)*'Stage assumptions'!$C$12)*Calculations[[#This Row],[Total Kg]],0)</f>
        <v>0</v>
      </c>
      <c r="K724">
        <f>IFERROR(VLOOKUP(Calculations[[#This Row],[Material (choose from dropdown]], MaterialData[#All],3, FALSE),0)</f>
        <v>0</v>
      </c>
      <c r="L724" s="322">
        <f>IFERROR(VLOOKUP(Calculations[[#This Row],[A5type]],A5WastageRate[#All],2,FALSE)*Calculations[[#This Row],[A1-3]],0)</f>
        <v>0</v>
      </c>
      <c r="N724">
        <f>IFERROR(ROUNDUP(50/VLOOKUP(Calculations[[#This Row],[Scope Element]],B4referenceServiceLife[[Tier 2 element]:[Default Service Life]],2, FALSE)-1,0),0)</f>
        <v>0</v>
      </c>
      <c r="O724" s="322">
        <f>IFERROR((Calculations[[#This Row],[A1-3]]+Calculations[[#This Row],[A4]]+Calculations[[#This Row],[A5]]+Calculations[[#This Row],[C2 total]]+Calculations[[#This Row],[C3 total]]+Calculations[[#This Row],[C4 total]])*Calculations[[#This Row],[Replacements]],0)</f>
        <v>0</v>
      </c>
      <c r="S724" t="str">
        <f>IFERROR(VLOOKUP(Calculations[[#This Row],[Material (choose from dropdown]],MaterialData[#All],4,FALSE),"")</f>
        <v/>
      </c>
      <c r="T724" s="322" cm="1">
        <f t="array" ref="T724">IFERROR(VLOOKUP(Calculations[[#This Row],[Waste 1]],WasteScenario[#All],2,FALSE)*'Stage assumptions'!$C$225*WasteTransportMethod[Emissions Factor
kgCO2e/kg.km]*Calculations[[#This Row],[Total Kg]],0)</f>
        <v>0</v>
      </c>
      <c r="U724" s="322" cm="1">
        <f t="array" ref="U724">IFERROR(VLOOKUP(Calculations[[#This Row],[Waste 1]],WasteScenario[#All],3,FALSE)*'Stage assumptions'!$C$224*WasteTransportMethod[Emissions Factor
kgCO2e/kg.km]*Calculations[[#This Row],[Total Kg]],0)</f>
        <v>0</v>
      </c>
      <c r="V724" s="322" cm="1">
        <f t="array" ref="V724">IFERROR(VLOOKUP(Calculations[[#This Row],[Waste 1]],WasteScenario[#All],4,FALSE)*'Stage assumptions'!$C$223*WasteTransportMethod[Emissions Factor
kgCO2e/kg.km]*Calculations[[#This Row],[Total Kg]],0)</f>
        <v>0</v>
      </c>
      <c r="W724" s="322" cm="1">
        <f t="array" ref="W724">IFERROR(VLOOKUP(Calculations[[#This Row],[Waste 1]],WasteScenario[#All],5,FALSE)*'Stage assumptions'!$C$226*WasteTransportMethod[Emissions Factor
kgCO2e/kg.km]*Calculations[[#This Row],[Total Kg]],0)</f>
        <v>0</v>
      </c>
      <c r="X724" s="322">
        <f>SUM(Calculations[[#This Row],[C2 Recycle]:[C2 Reuse]])</f>
        <v>0</v>
      </c>
      <c r="Y724" t="str">
        <f>IFERROR(VLOOKUP(Calculations[[#This Row],[Material (choose from dropdown]],MaterialData[#All],5,FALSE),"")</f>
        <v/>
      </c>
      <c r="Z724" s="322">
        <f>IFERROR(((VLOOKUP(Calculations[[#This Row],[Waste type 2]],WasteDisposalEmissions[#All],2,FALSE))*Calculations[[#This Row],[Total Kg]])*VLOOKUP(Calculations[[#This Row],[Waste 1]],WasteScenario[#All],2,FALSE),0)</f>
        <v>0</v>
      </c>
      <c r="AA724" s="322">
        <f>IFERROR((VLOOKUP(Calculations[[#This Row],[Waste type 2]],WasteDisposalEmissions[#All],3,FALSE))*Calculations[[#This Row],[Total Kg]]*VLOOKUP(Calculations[[#This Row],[Waste 1]],WasteScenario[#All],3,FALSE),0)</f>
        <v>0</v>
      </c>
      <c r="AB724" s="322">
        <f>SUM(Calculations[[#This Row],[C3 recyc]:[C3 incin]])</f>
        <v>0</v>
      </c>
      <c r="AC724" s="334">
        <f>IFERROR((VLOOKUP(Calculations[[#This Row],[Waste type 2]],WasteLandfillEmissions[#All],2,FALSE))*Calculations[[#This Row],[Total Kg]]*VLOOKUP(Calculations[[#This Row],[Waste 1]],WasteScenario[#All],4,FALSE),0)</f>
        <v>0</v>
      </c>
      <c r="AD724" s="322">
        <f>IFERROR((VLOOKUP(Calculations[[#This Row],[Waste type 2]],WasteLandfillEmissions[#All],3,FALSE))*Calculations[[#This Row],[Total Kg]]*VLOOKUP(Calculations[[#This Row],[Waste 1]],WasteScenario[#All],4,FALSE),0)</f>
        <v>0</v>
      </c>
      <c r="AE724" s="322">
        <f>SUM(Calculations[[#This Row],[C4 landfill]:[C4 re-use]])</f>
        <v>0</v>
      </c>
      <c r="AF724" s="322">
        <f>IFERROR(VLOOKUP(Calculations[[#This Row],[Material (choose from dropdown]],MaterialData[#All],8,FALSE),0)</f>
        <v>0</v>
      </c>
      <c r="AG724" s="322">
        <f>IFERROR(Calculations[[#This Row],[Total Kg]]*Calculations[[#This Row],[Seq factor]],0)</f>
        <v>0</v>
      </c>
      <c r="AI724" s="322">
        <f>Calculations[[#This Row],[A1-3]]+Calculations[[#This Row],[A4]]+Calculations[[#This Row],[A5]]+Calculations[[#This Row],[B4]]+Calculations[[#This Row],[C2 total]]+Calculations[[#This Row],[C3 total]]+Calculations[[#This Row],[C4 total]]</f>
        <v>0</v>
      </c>
      <c r="AJ724" s="2">
        <f>IFERROR(VLOOKUP(Calculations[[#This Row],[Material (choose from dropdown]],MaterialData[[#Headers],[#Data]],9,FALSE),0)</f>
        <v>0</v>
      </c>
      <c r="AK724" s="4">
        <f>IFERROR(VLOOKUP(Calculations[[#This Row],[Material (choose from dropdown]],MaterialData[[#Headers],[#Data]],10,FALSE),0)</f>
        <v>0</v>
      </c>
      <c r="AL724" s="322">
        <f>IFERROR(Calculations[[#This Row],[Data Quality Score]]*Calculations[[#This Row],[Total Kg]],0)</f>
        <v>0</v>
      </c>
    </row>
    <row r="725" spans="1:38" x14ac:dyDescent="0.3">
      <c r="A725" s="6">
        <f>IFERROR(MaterialsBoQ[[#This Row],[Scope Element]],0)</f>
        <v>0</v>
      </c>
      <c r="B725" t="str">
        <f>IFERROR(MaterialsBoQ[[#This Row],[Material ]],"")</f>
        <v/>
      </c>
      <c r="C725" t="str">
        <f>IFERROR(MaterialsBoQ[[#This Row],[Unit]],"")</f>
        <v/>
      </c>
      <c r="D725" s="322">
        <f>IFERROR(MaterialsBoQ[[#This Row],[Number]],0)</f>
        <v>0</v>
      </c>
      <c r="E725" s="322">
        <f>IFERROR(MaterialsBoQ[[#This Row],[Kg per unit]],0)</f>
        <v>0</v>
      </c>
      <c r="F725" s="322">
        <f>IFERROR(Calculations[[#This Row],[Number]]*Calculations[[#This Row],[Conversion factor]],0)</f>
        <v>0</v>
      </c>
      <c r="G725" s="322">
        <f>IFERROR(VLOOKUP(Calculations[[#This Row],[Material (choose from dropdown]],MaterialData[#All],7,FALSE),0)</f>
        <v>0</v>
      </c>
      <c r="H725" s="322">
        <f>Calculations[[#This Row],[Total Kg]]*Calculations[[#This Row],[Carbon Factor]]</f>
        <v>0</v>
      </c>
      <c r="I725" t="str">
        <f>IFERROR(VLOOKUP(Calculations[[#This Row],[Material (choose from dropdown]],MaterialData[#All],2,FALSE),"")</f>
        <v/>
      </c>
      <c r="J725" s="322">
        <f>IFERROR(((VLOOKUP(Calculations[[#This Row],[TransportSource]],TransportDistance[],2,FALSE)*'Stage assumptions'!$C$11)+VLOOKUP(Calculations[[#This Row],[TransportSource]],TransportDistance[],3,FALSE)*'Stage assumptions'!$C$12)*Calculations[[#This Row],[Total Kg]],0)</f>
        <v>0</v>
      </c>
      <c r="K725">
        <f>IFERROR(VLOOKUP(Calculations[[#This Row],[Material (choose from dropdown]], MaterialData[#All],3, FALSE),0)</f>
        <v>0</v>
      </c>
      <c r="L725" s="322">
        <f>IFERROR(VLOOKUP(Calculations[[#This Row],[A5type]],A5WastageRate[#All],2,FALSE)*Calculations[[#This Row],[A1-3]],0)</f>
        <v>0</v>
      </c>
      <c r="N725">
        <f>IFERROR(ROUNDUP(50/VLOOKUP(Calculations[[#This Row],[Scope Element]],B4referenceServiceLife[[Tier 2 element]:[Default Service Life]],2, FALSE)-1,0),0)</f>
        <v>0</v>
      </c>
      <c r="O725" s="322">
        <f>IFERROR((Calculations[[#This Row],[A1-3]]+Calculations[[#This Row],[A4]]+Calculations[[#This Row],[A5]]+Calculations[[#This Row],[C2 total]]+Calculations[[#This Row],[C3 total]]+Calculations[[#This Row],[C4 total]])*Calculations[[#This Row],[Replacements]],0)</f>
        <v>0</v>
      </c>
      <c r="S725" t="str">
        <f>IFERROR(VLOOKUP(Calculations[[#This Row],[Material (choose from dropdown]],MaterialData[#All],4,FALSE),"")</f>
        <v/>
      </c>
      <c r="T725" s="322" cm="1">
        <f t="array" ref="T725">IFERROR(VLOOKUP(Calculations[[#This Row],[Waste 1]],WasteScenario[#All],2,FALSE)*'Stage assumptions'!$C$225*WasteTransportMethod[Emissions Factor
kgCO2e/kg.km]*Calculations[[#This Row],[Total Kg]],0)</f>
        <v>0</v>
      </c>
      <c r="U725" s="322" cm="1">
        <f t="array" ref="U725">IFERROR(VLOOKUP(Calculations[[#This Row],[Waste 1]],WasteScenario[#All],3,FALSE)*'Stage assumptions'!$C$224*WasteTransportMethod[Emissions Factor
kgCO2e/kg.km]*Calculations[[#This Row],[Total Kg]],0)</f>
        <v>0</v>
      </c>
      <c r="V725" s="322" cm="1">
        <f t="array" ref="V725">IFERROR(VLOOKUP(Calculations[[#This Row],[Waste 1]],WasteScenario[#All],4,FALSE)*'Stage assumptions'!$C$223*WasteTransportMethod[Emissions Factor
kgCO2e/kg.km]*Calculations[[#This Row],[Total Kg]],0)</f>
        <v>0</v>
      </c>
      <c r="W725" s="322" cm="1">
        <f t="array" ref="W725">IFERROR(VLOOKUP(Calculations[[#This Row],[Waste 1]],WasteScenario[#All],5,FALSE)*'Stage assumptions'!$C$226*WasteTransportMethod[Emissions Factor
kgCO2e/kg.km]*Calculations[[#This Row],[Total Kg]],0)</f>
        <v>0</v>
      </c>
      <c r="X725" s="322">
        <f>SUM(Calculations[[#This Row],[C2 Recycle]:[C2 Reuse]])</f>
        <v>0</v>
      </c>
      <c r="Y725" t="str">
        <f>IFERROR(VLOOKUP(Calculations[[#This Row],[Material (choose from dropdown]],MaterialData[#All],5,FALSE),"")</f>
        <v/>
      </c>
      <c r="Z725" s="322">
        <f>IFERROR(((VLOOKUP(Calculations[[#This Row],[Waste type 2]],WasteDisposalEmissions[#All],2,FALSE))*Calculations[[#This Row],[Total Kg]])*VLOOKUP(Calculations[[#This Row],[Waste 1]],WasteScenario[#All],2,FALSE),0)</f>
        <v>0</v>
      </c>
      <c r="AA725" s="322">
        <f>IFERROR((VLOOKUP(Calculations[[#This Row],[Waste type 2]],WasteDisposalEmissions[#All],3,FALSE))*Calculations[[#This Row],[Total Kg]]*VLOOKUP(Calculations[[#This Row],[Waste 1]],WasteScenario[#All],3,FALSE),0)</f>
        <v>0</v>
      </c>
      <c r="AB725" s="322">
        <f>SUM(Calculations[[#This Row],[C3 recyc]:[C3 incin]])</f>
        <v>0</v>
      </c>
      <c r="AC725" s="334">
        <f>IFERROR((VLOOKUP(Calculations[[#This Row],[Waste type 2]],WasteLandfillEmissions[#All],2,FALSE))*Calculations[[#This Row],[Total Kg]]*VLOOKUP(Calculations[[#This Row],[Waste 1]],WasteScenario[#All],4,FALSE),0)</f>
        <v>0</v>
      </c>
      <c r="AD725" s="322">
        <f>IFERROR((VLOOKUP(Calculations[[#This Row],[Waste type 2]],WasteLandfillEmissions[#All],3,FALSE))*Calculations[[#This Row],[Total Kg]]*VLOOKUP(Calculations[[#This Row],[Waste 1]],WasteScenario[#All],4,FALSE),0)</f>
        <v>0</v>
      </c>
      <c r="AE725" s="322">
        <f>SUM(Calculations[[#This Row],[C4 landfill]:[C4 re-use]])</f>
        <v>0</v>
      </c>
      <c r="AF725" s="322">
        <f>IFERROR(VLOOKUP(Calculations[[#This Row],[Material (choose from dropdown]],MaterialData[#All],8,FALSE),0)</f>
        <v>0</v>
      </c>
      <c r="AG725" s="322">
        <f>IFERROR(Calculations[[#This Row],[Total Kg]]*Calculations[[#This Row],[Seq factor]],0)</f>
        <v>0</v>
      </c>
      <c r="AI725" s="322">
        <f>Calculations[[#This Row],[A1-3]]+Calculations[[#This Row],[A4]]+Calculations[[#This Row],[A5]]+Calculations[[#This Row],[B4]]+Calculations[[#This Row],[C2 total]]+Calculations[[#This Row],[C3 total]]+Calculations[[#This Row],[C4 total]]</f>
        <v>0</v>
      </c>
      <c r="AJ725" s="2">
        <f>IFERROR(VLOOKUP(Calculations[[#This Row],[Material (choose from dropdown]],MaterialData[[#Headers],[#Data]],9,FALSE),0)</f>
        <v>0</v>
      </c>
      <c r="AK725" s="4">
        <f>IFERROR(VLOOKUP(Calculations[[#This Row],[Material (choose from dropdown]],MaterialData[[#Headers],[#Data]],10,FALSE),0)</f>
        <v>0</v>
      </c>
      <c r="AL725" s="322">
        <f>IFERROR(Calculations[[#This Row],[Data Quality Score]]*Calculations[[#This Row],[Total Kg]],0)</f>
        <v>0</v>
      </c>
    </row>
    <row r="726" spans="1:38" x14ac:dyDescent="0.3">
      <c r="A726" s="6">
        <f>IFERROR(MaterialsBoQ[[#This Row],[Scope Element]],0)</f>
        <v>0</v>
      </c>
      <c r="B726" t="str">
        <f>IFERROR(MaterialsBoQ[[#This Row],[Material ]],"")</f>
        <v/>
      </c>
      <c r="C726" t="str">
        <f>IFERROR(MaterialsBoQ[[#This Row],[Unit]],"")</f>
        <v/>
      </c>
      <c r="D726" s="322">
        <f>IFERROR(MaterialsBoQ[[#This Row],[Number]],0)</f>
        <v>0</v>
      </c>
      <c r="E726" s="322">
        <f>IFERROR(MaterialsBoQ[[#This Row],[Kg per unit]],0)</f>
        <v>0</v>
      </c>
      <c r="F726" s="322">
        <f>IFERROR(Calculations[[#This Row],[Number]]*Calculations[[#This Row],[Conversion factor]],0)</f>
        <v>0</v>
      </c>
      <c r="G726" s="322">
        <f>IFERROR(VLOOKUP(Calculations[[#This Row],[Material (choose from dropdown]],MaterialData[#All],7,FALSE),0)</f>
        <v>0</v>
      </c>
      <c r="H726" s="322">
        <f>Calculations[[#This Row],[Total Kg]]*Calculations[[#This Row],[Carbon Factor]]</f>
        <v>0</v>
      </c>
      <c r="I726" t="str">
        <f>IFERROR(VLOOKUP(Calculations[[#This Row],[Material (choose from dropdown]],MaterialData[#All],2,FALSE),"")</f>
        <v/>
      </c>
      <c r="J726" s="322">
        <f>IFERROR(((VLOOKUP(Calculations[[#This Row],[TransportSource]],TransportDistance[],2,FALSE)*'Stage assumptions'!$C$11)+VLOOKUP(Calculations[[#This Row],[TransportSource]],TransportDistance[],3,FALSE)*'Stage assumptions'!$C$12)*Calculations[[#This Row],[Total Kg]],0)</f>
        <v>0</v>
      </c>
      <c r="K726">
        <f>IFERROR(VLOOKUP(Calculations[[#This Row],[Material (choose from dropdown]], MaterialData[#All],3, FALSE),0)</f>
        <v>0</v>
      </c>
      <c r="L726" s="322">
        <f>IFERROR(VLOOKUP(Calculations[[#This Row],[A5type]],A5WastageRate[#All],2,FALSE)*Calculations[[#This Row],[A1-3]],0)</f>
        <v>0</v>
      </c>
      <c r="N726">
        <f>IFERROR(ROUNDUP(50/VLOOKUP(Calculations[[#This Row],[Scope Element]],B4referenceServiceLife[[Tier 2 element]:[Default Service Life]],2, FALSE)-1,0),0)</f>
        <v>0</v>
      </c>
      <c r="O726" s="322">
        <f>IFERROR((Calculations[[#This Row],[A1-3]]+Calculations[[#This Row],[A4]]+Calculations[[#This Row],[A5]]+Calculations[[#This Row],[C2 total]]+Calculations[[#This Row],[C3 total]]+Calculations[[#This Row],[C4 total]])*Calculations[[#This Row],[Replacements]],0)</f>
        <v>0</v>
      </c>
      <c r="S726" t="str">
        <f>IFERROR(VLOOKUP(Calculations[[#This Row],[Material (choose from dropdown]],MaterialData[#All],4,FALSE),"")</f>
        <v/>
      </c>
      <c r="T726" s="322" cm="1">
        <f t="array" ref="T726">IFERROR(VLOOKUP(Calculations[[#This Row],[Waste 1]],WasteScenario[#All],2,FALSE)*'Stage assumptions'!$C$225*WasteTransportMethod[Emissions Factor
kgCO2e/kg.km]*Calculations[[#This Row],[Total Kg]],0)</f>
        <v>0</v>
      </c>
      <c r="U726" s="322" cm="1">
        <f t="array" ref="U726">IFERROR(VLOOKUP(Calculations[[#This Row],[Waste 1]],WasteScenario[#All],3,FALSE)*'Stage assumptions'!$C$224*WasteTransportMethod[Emissions Factor
kgCO2e/kg.km]*Calculations[[#This Row],[Total Kg]],0)</f>
        <v>0</v>
      </c>
      <c r="V726" s="322" cm="1">
        <f t="array" ref="V726">IFERROR(VLOOKUP(Calculations[[#This Row],[Waste 1]],WasteScenario[#All],4,FALSE)*'Stage assumptions'!$C$223*WasteTransportMethod[Emissions Factor
kgCO2e/kg.km]*Calculations[[#This Row],[Total Kg]],0)</f>
        <v>0</v>
      </c>
      <c r="W726" s="322" cm="1">
        <f t="array" ref="W726">IFERROR(VLOOKUP(Calculations[[#This Row],[Waste 1]],WasteScenario[#All],5,FALSE)*'Stage assumptions'!$C$226*WasteTransportMethod[Emissions Factor
kgCO2e/kg.km]*Calculations[[#This Row],[Total Kg]],0)</f>
        <v>0</v>
      </c>
      <c r="X726" s="322">
        <f>SUM(Calculations[[#This Row],[C2 Recycle]:[C2 Reuse]])</f>
        <v>0</v>
      </c>
      <c r="Y726" t="str">
        <f>IFERROR(VLOOKUP(Calculations[[#This Row],[Material (choose from dropdown]],MaterialData[#All],5,FALSE),"")</f>
        <v/>
      </c>
      <c r="Z726" s="322">
        <f>IFERROR(((VLOOKUP(Calculations[[#This Row],[Waste type 2]],WasteDisposalEmissions[#All],2,FALSE))*Calculations[[#This Row],[Total Kg]])*VLOOKUP(Calculations[[#This Row],[Waste 1]],WasteScenario[#All],2,FALSE),0)</f>
        <v>0</v>
      </c>
      <c r="AA726" s="322">
        <f>IFERROR((VLOOKUP(Calculations[[#This Row],[Waste type 2]],WasteDisposalEmissions[#All],3,FALSE))*Calculations[[#This Row],[Total Kg]]*VLOOKUP(Calculations[[#This Row],[Waste 1]],WasteScenario[#All],3,FALSE),0)</f>
        <v>0</v>
      </c>
      <c r="AB726" s="322">
        <f>SUM(Calculations[[#This Row],[C3 recyc]:[C3 incin]])</f>
        <v>0</v>
      </c>
      <c r="AC726" s="334">
        <f>IFERROR((VLOOKUP(Calculations[[#This Row],[Waste type 2]],WasteLandfillEmissions[#All],2,FALSE))*Calculations[[#This Row],[Total Kg]]*VLOOKUP(Calculations[[#This Row],[Waste 1]],WasteScenario[#All],4,FALSE),0)</f>
        <v>0</v>
      </c>
      <c r="AD726" s="322">
        <f>IFERROR((VLOOKUP(Calculations[[#This Row],[Waste type 2]],WasteLandfillEmissions[#All],3,FALSE))*Calculations[[#This Row],[Total Kg]]*VLOOKUP(Calculations[[#This Row],[Waste 1]],WasteScenario[#All],4,FALSE),0)</f>
        <v>0</v>
      </c>
      <c r="AE726" s="322">
        <f>SUM(Calculations[[#This Row],[C4 landfill]:[C4 re-use]])</f>
        <v>0</v>
      </c>
      <c r="AF726" s="322">
        <f>IFERROR(VLOOKUP(Calculations[[#This Row],[Material (choose from dropdown]],MaterialData[#All],8,FALSE),0)</f>
        <v>0</v>
      </c>
      <c r="AG726" s="322">
        <f>IFERROR(Calculations[[#This Row],[Total Kg]]*Calculations[[#This Row],[Seq factor]],0)</f>
        <v>0</v>
      </c>
      <c r="AI726" s="322">
        <f>Calculations[[#This Row],[A1-3]]+Calculations[[#This Row],[A4]]+Calculations[[#This Row],[A5]]+Calculations[[#This Row],[B4]]+Calculations[[#This Row],[C2 total]]+Calculations[[#This Row],[C3 total]]+Calculations[[#This Row],[C4 total]]</f>
        <v>0</v>
      </c>
      <c r="AJ726" s="2">
        <f>IFERROR(VLOOKUP(Calculations[[#This Row],[Material (choose from dropdown]],MaterialData[[#Headers],[#Data]],9,FALSE),0)</f>
        <v>0</v>
      </c>
      <c r="AK726" s="4">
        <f>IFERROR(VLOOKUP(Calculations[[#This Row],[Material (choose from dropdown]],MaterialData[[#Headers],[#Data]],10,FALSE),0)</f>
        <v>0</v>
      </c>
      <c r="AL726" s="322">
        <f>IFERROR(Calculations[[#This Row],[Data Quality Score]]*Calculations[[#This Row],[Total Kg]],0)</f>
        <v>0</v>
      </c>
    </row>
    <row r="727" spans="1:38" x14ac:dyDescent="0.3">
      <c r="A727" s="6">
        <f>IFERROR(MaterialsBoQ[[#This Row],[Scope Element]],0)</f>
        <v>0</v>
      </c>
      <c r="B727" t="str">
        <f>IFERROR(MaterialsBoQ[[#This Row],[Material ]],"")</f>
        <v/>
      </c>
      <c r="C727" t="str">
        <f>IFERROR(MaterialsBoQ[[#This Row],[Unit]],"")</f>
        <v/>
      </c>
      <c r="D727" s="322">
        <f>IFERROR(MaterialsBoQ[[#This Row],[Number]],0)</f>
        <v>0</v>
      </c>
      <c r="E727" s="322">
        <f>IFERROR(MaterialsBoQ[[#This Row],[Kg per unit]],0)</f>
        <v>0</v>
      </c>
      <c r="F727" s="322">
        <f>IFERROR(Calculations[[#This Row],[Number]]*Calculations[[#This Row],[Conversion factor]],0)</f>
        <v>0</v>
      </c>
      <c r="G727" s="322">
        <f>IFERROR(VLOOKUP(Calculations[[#This Row],[Material (choose from dropdown]],MaterialData[#All],7,FALSE),0)</f>
        <v>0</v>
      </c>
      <c r="H727" s="322">
        <f>Calculations[[#This Row],[Total Kg]]*Calculations[[#This Row],[Carbon Factor]]</f>
        <v>0</v>
      </c>
      <c r="I727" t="str">
        <f>IFERROR(VLOOKUP(Calculations[[#This Row],[Material (choose from dropdown]],MaterialData[#All],2,FALSE),"")</f>
        <v/>
      </c>
      <c r="J727" s="322">
        <f>IFERROR(((VLOOKUP(Calculations[[#This Row],[TransportSource]],TransportDistance[],2,FALSE)*'Stage assumptions'!$C$11)+VLOOKUP(Calculations[[#This Row],[TransportSource]],TransportDistance[],3,FALSE)*'Stage assumptions'!$C$12)*Calculations[[#This Row],[Total Kg]],0)</f>
        <v>0</v>
      </c>
      <c r="K727">
        <f>IFERROR(VLOOKUP(Calculations[[#This Row],[Material (choose from dropdown]], MaterialData[#All],3, FALSE),0)</f>
        <v>0</v>
      </c>
      <c r="L727" s="322">
        <f>IFERROR(VLOOKUP(Calculations[[#This Row],[A5type]],A5WastageRate[#All],2,FALSE)*Calculations[[#This Row],[A1-3]],0)</f>
        <v>0</v>
      </c>
      <c r="N727">
        <f>IFERROR(ROUNDUP(50/VLOOKUP(Calculations[[#This Row],[Scope Element]],B4referenceServiceLife[[Tier 2 element]:[Default Service Life]],2, FALSE)-1,0),0)</f>
        <v>0</v>
      </c>
      <c r="O727" s="322">
        <f>IFERROR((Calculations[[#This Row],[A1-3]]+Calculations[[#This Row],[A4]]+Calculations[[#This Row],[A5]]+Calculations[[#This Row],[C2 total]]+Calculations[[#This Row],[C3 total]]+Calculations[[#This Row],[C4 total]])*Calculations[[#This Row],[Replacements]],0)</f>
        <v>0</v>
      </c>
      <c r="S727" t="str">
        <f>IFERROR(VLOOKUP(Calculations[[#This Row],[Material (choose from dropdown]],MaterialData[#All],4,FALSE),"")</f>
        <v/>
      </c>
      <c r="T727" s="322" cm="1">
        <f t="array" ref="T727">IFERROR(VLOOKUP(Calculations[[#This Row],[Waste 1]],WasteScenario[#All],2,FALSE)*'Stage assumptions'!$C$225*WasteTransportMethod[Emissions Factor
kgCO2e/kg.km]*Calculations[[#This Row],[Total Kg]],0)</f>
        <v>0</v>
      </c>
      <c r="U727" s="322" cm="1">
        <f t="array" ref="U727">IFERROR(VLOOKUP(Calculations[[#This Row],[Waste 1]],WasteScenario[#All],3,FALSE)*'Stage assumptions'!$C$224*WasteTransportMethod[Emissions Factor
kgCO2e/kg.km]*Calculations[[#This Row],[Total Kg]],0)</f>
        <v>0</v>
      </c>
      <c r="V727" s="322" cm="1">
        <f t="array" ref="V727">IFERROR(VLOOKUP(Calculations[[#This Row],[Waste 1]],WasteScenario[#All],4,FALSE)*'Stage assumptions'!$C$223*WasteTransportMethod[Emissions Factor
kgCO2e/kg.km]*Calculations[[#This Row],[Total Kg]],0)</f>
        <v>0</v>
      </c>
      <c r="W727" s="322" cm="1">
        <f t="array" ref="W727">IFERROR(VLOOKUP(Calculations[[#This Row],[Waste 1]],WasteScenario[#All],5,FALSE)*'Stage assumptions'!$C$226*WasteTransportMethod[Emissions Factor
kgCO2e/kg.km]*Calculations[[#This Row],[Total Kg]],0)</f>
        <v>0</v>
      </c>
      <c r="X727" s="322">
        <f>SUM(Calculations[[#This Row],[C2 Recycle]:[C2 Reuse]])</f>
        <v>0</v>
      </c>
      <c r="Y727" t="str">
        <f>IFERROR(VLOOKUP(Calculations[[#This Row],[Material (choose from dropdown]],MaterialData[#All],5,FALSE),"")</f>
        <v/>
      </c>
      <c r="Z727" s="322">
        <f>IFERROR(((VLOOKUP(Calculations[[#This Row],[Waste type 2]],WasteDisposalEmissions[#All],2,FALSE))*Calculations[[#This Row],[Total Kg]])*VLOOKUP(Calculations[[#This Row],[Waste 1]],WasteScenario[#All],2,FALSE),0)</f>
        <v>0</v>
      </c>
      <c r="AA727" s="322">
        <f>IFERROR((VLOOKUP(Calculations[[#This Row],[Waste type 2]],WasteDisposalEmissions[#All],3,FALSE))*Calculations[[#This Row],[Total Kg]]*VLOOKUP(Calculations[[#This Row],[Waste 1]],WasteScenario[#All],3,FALSE),0)</f>
        <v>0</v>
      </c>
      <c r="AB727" s="322">
        <f>SUM(Calculations[[#This Row],[C3 recyc]:[C3 incin]])</f>
        <v>0</v>
      </c>
      <c r="AC727" s="334">
        <f>IFERROR((VLOOKUP(Calculations[[#This Row],[Waste type 2]],WasteLandfillEmissions[#All],2,FALSE))*Calculations[[#This Row],[Total Kg]]*VLOOKUP(Calculations[[#This Row],[Waste 1]],WasteScenario[#All],4,FALSE),0)</f>
        <v>0</v>
      </c>
      <c r="AD727" s="322">
        <f>IFERROR((VLOOKUP(Calculations[[#This Row],[Waste type 2]],WasteLandfillEmissions[#All],3,FALSE))*Calculations[[#This Row],[Total Kg]]*VLOOKUP(Calculations[[#This Row],[Waste 1]],WasteScenario[#All],4,FALSE),0)</f>
        <v>0</v>
      </c>
      <c r="AE727" s="322">
        <f>SUM(Calculations[[#This Row],[C4 landfill]:[C4 re-use]])</f>
        <v>0</v>
      </c>
      <c r="AF727" s="322">
        <f>IFERROR(VLOOKUP(Calculations[[#This Row],[Material (choose from dropdown]],MaterialData[#All],8,FALSE),0)</f>
        <v>0</v>
      </c>
      <c r="AG727" s="322">
        <f>IFERROR(Calculations[[#This Row],[Total Kg]]*Calculations[[#This Row],[Seq factor]],0)</f>
        <v>0</v>
      </c>
      <c r="AI727" s="322">
        <f>Calculations[[#This Row],[A1-3]]+Calculations[[#This Row],[A4]]+Calculations[[#This Row],[A5]]+Calculations[[#This Row],[B4]]+Calculations[[#This Row],[C2 total]]+Calculations[[#This Row],[C3 total]]+Calculations[[#This Row],[C4 total]]</f>
        <v>0</v>
      </c>
      <c r="AJ727" s="2">
        <f>IFERROR(VLOOKUP(Calculations[[#This Row],[Material (choose from dropdown]],MaterialData[[#Headers],[#Data]],9,FALSE),0)</f>
        <v>0</v>
      </c>
      <c r="AK727" s="4">
        <f>IFERROR(VLOOKUP(Calculations[[#This Row],[Material (choose from dropdown]],MaterialData[[#Headers],[#Data]],10,FALSE),0)</f>
        <v>0</v>
      </c>
      <c r="AL727" s="322">
        <f>IFERROR(Calculations[[#This Row],[Data Quality Score]]*Calculations[[#This Row],[Total Kg]],0)</f>
        <v>0</v>
      </c>
    </row>
    <row r="728" spans="1:38" x14ac:dyDescent="0.3">
      <c r="A728" s="6">
        <f>IFERROR(MaterialsBoQ[[#This Row],[Scope Element]],0)</f>
        <v>0</v>
      </c>
      <c r="B728" t="str">
        <f>IFERROR(MaterialsBoQ[[#This Row],[Material ]],"")</f>
        <v/>
      </c>
      <c r="C728" t="str">
        <f>IFERROR(MaterialsBoQ[[#This Row],[Unit]],"")</f>
        <v/>
      </c>
      <c r="D728" s="322">
        <f>IFERROR(MaterialsBoQ[[#This Row],[Number]],0)</f>
        <v>0</v>
      </c>
      <c r="E728" s="322">
        <f>IFERROR(MaterialsBoQ[[#This Row],[Kg per unit]],0)</f>
        <v>0</v>
      </c>
      <c r="F728" s="322">
        <f>IFERROR(Calculations[[#This Row],[Number]]*Calculations[[#This Row],[Conversion factor]],0)</f>
        <v>0</v>
      </c>
      <c r="G728" s="322">
        <f>IFERROR(VLOOKUP(Calculations[[#This Row],[Material (choose from dropdown]],MaterialData[#All],7,FALSE),0)</f>
        <v>0</v>
      </c>
      <c r="H728" s="322">
        <f>Calculations[[#This Row],[Total Kg]]*Calculations[[#This Row],[Carbon Factor]]</f>
        <v>0</v>
      </c>
      <c r="I728" t="str">
        <f>IFERROR(VLOOKUP(Calculations[[#This Row],[Material (choose from dropdown]],MaterialData[#All],2,FALSE),"")</f>
        <v/>
      </c>
      <c r="J728" s="322">
        <f>IFERROR(((VLOOKUP(Calculations[[#This Row],[TransportSource]],TransportDistance[],2,FALSE)*'Stage assumptions'!$C$11)+VLOOKUP(Calculations[[#This Row],[TransportSource]],TransportDistance[],3,FALSE)*'Stage assumptions'!$C$12)*Calculations[[#This Row],[Total Kg]],0)</f>
        <v>0</v>
      </c>
      <c r="K728">
        <f>IFERROR(VLOOKUP(Calculations[[#This Row],[Material (choose from dropdown]], MaterialData[#All],3, FALSE),0)</f>
        <v>0</v>
      </c>
      <c r="L728" s="322">
        <f>IFERROR(VLOOKUP(Calculations[[#This Row],[A5type]],A5WastageRate[#All],2,FALSE)*Calculations[[#This Row],[A1-3]],0)</f>
        <v>0</v>
      </c>
      <c r="N728">
        <f>IFERROR(ROUNDUP(50/VLOOKUP(Calculations[[#This Row],[Scope Element]],B4referenceServiceLife[[Tier 2 element]:[Default Service Life]],2, FALSE)-1,0),0)</f>
        <v>0</v>
      </c>
      <c r="O728" s="322">
        <f>IFERROR((Calculations[[#This Row],[A1-3]]+Calculations[[#This Row],[A4]]+Calculations[[#This Row],[A5]]+Calculations[[#This Row],[C2 total]]+Calculations[[#This Row],[C3 total]]+Calculations[[#This Row],[C4 total]])*Calculations[[#This Row],[Replacements]],0)</f>
        <v>0</v>
      </c>
      <c r="S728" t="str">
        <f>IFERROR(VLOOKUP(Calculations[[#This Row],[Material (choose from dropdown]],MaterialData[#All],4,FALSE),"")</f>
        <v/>
      </c>
      <c r="T728" s="322" cm="1">
        <f t="array" ref="T728">IFERROR(VLOOKUP(Calculations[[#This Row],[Waste 1]],WasteScenario[#All],2,FALSE)*'Stage assumptions'!$C$225*WasteTransportMethod[Emissions Factor
kgCO2e/kg.km]*Calculations[[#This Row],[Total Kg]],0)</f>
        <v>0</v>
      </c>
      <c r="U728" s="322" cm="1">
        <f t="array" ref="U728">IFERROR(VLOOKUP(Calculations[[#This Row],[Waste 1]],WasteScenario[#All],3,FALSE)*'Stage assumptions'!$C$224*WasteTransportMethod[Emissions Factor
kgCO2e/kg.km]*Calculations[[#This Row],[Total Kg]],0)</f>
        <v>0</v>
      </c>
      <c r="V728" s="322" cm="1">
        <f t="array" ref="V728">IFERROR(VLOOKUP(Calculations[[#This Row],[Waste 1]],WasteScenario[#All],4,FALSE)*'Stage assumptions'!$C$223*WasteTransportMethod[Emissions Factor
kgCO2e/kg.km]*Calculations[[#This Row],[Total Kg]],0)</f>
        <v>0</v>
      </c>
      <c r="W728" s="322" cm="1">
        <f t="array" ref="W728">IFERROR(VLOOKUP(Calculations[[#This Row],[Waste 1]],WasteScenario[#All],5,FALSE)*'Stage assumptions'!$C$226*WasteTransportMethod[Emissions Factor
kgCO2e/kg.km]*Calculations[[#This Row],[Total Kg]],0)</f>
        <v>0</v>
      </c>
      <c r="X728" s="322">
        <f>SUM(Calculations[[#This Row],[C2 Recycle]:[C2 Reuse]])</f>
        <v>0</v>
      </c>
      <c r="Y728" t="str">
        <f>IFERROR(VLOOKUP(Calculations[[#This Row],[Material (choose from dropdown]],MaterialData[#All],5,FALSE),"")</f>
        <v/>
      </c>
      <c r="Z728" s="322">
        <f>IFERROR(((VLOOKUP(Calculations[[#This Row],[Waste type 2]],WasteDisposalEmissions[#All],2,FALSE))*Calculations[[#This Row],[Total Kg]])*VLOOKUP(Calculations[[#This Row],[Waste 1]],WasteScenario[#All],2,FALSE),0)</f>
        <v>0</v>
      </c>
      <c r="AA728" s="322">
        <f>IFERROR((VLOOKUP(Calculations[[#This Row],[Waste type 2]],WasteDisposalEmissions[#All],3,FALSE))*Calculations[[#This Row],[Total Kg]]*VLOOKUP(Calculations[[#This Row],[Waste 1]],WasteScenario[#All],3,FALSE),0)</f>
        <v>0</v>
      </c>
      <c r="AB728" s="322">
        <f>SUM(Calculations[[#This Row],[C3 recyc]:[C3 incin]])</f>
        <v>0</v>
      </c>
      <c r="AC728" s="334">
        <f>IFERROR((VLOOKUP(Calculations[[#This Row],[Waste type 2]],WasteLandfillEmissions[#All],2,FALSE))*Calculations[[#This Row],[Total Kg]]*VLOOKUP(Calculations[[#This Row],[Waste 1]],WasteScenario[#All],4,FALSE),0)</f>
        <v>0</v>
      </c>
      <c r="AD728" s="322">
        <f>IFERROR((VLOOKUP(Calculations[[#This Row],[Waste type 2]],WasteLandfillEmissions[#All],3,FALSE))*Calculations[[#This Row],[Total Kg]]*VLOOKUP(Calculations[[#This Row],[Waste 1]],WasteScenario[#All],4,FALSE),0)</f>
        <v>0</v>
      </c>
      <c r="AE728" s="322">
        <f>SUM(Calculations[[#This Row],[C4 landfill]:[C4 re-use]])</f>
        <v>0</v>
      </c>
      <c r="AF728" s="322">
        <f>IFERROR(VLOOKUP(Calculations[[#This Row],[Material (choose from dropdown]],MaterialData[#All],8,FALSE),0)</f>
        <v>0</v>
      </c>
      <c r="AG728" s="322">
        <f>IFERROR(Calculations[[#This Row],[Total Kg]]*Calculations[[#This Row],[Seq factor]],0)</f>
        <v>0</v>
      </c>
      <c r="AI728" s="322">
        <f>Calculations[[#This Row],[A1-3]]+Calculations[[#This Row],[A4]]+Calculations[[#This Row],[A5]]+Calculations[[#This Row],[B4]]+Calculations[[#This Row],[C2 total]]+Calculations[[#This Row],[C3 total]]+Calculations[[#This Row],[C4 total]]</f>
        <v>0</v>
      </c>
      <c r="AJ728" s="2">
        <f>IFERROR(VLOOKUP(Calculations[[#This Row],[Material (choose from dropdown]],MaterialData[[#Headers],[#Data]],9,FALSE),0)</f>
        <v>0</v>
      </c>
      <c r="AK728" s="4">
        <f>IFERROR(VLOOKUP(Calculations[[#This Row],[Material (choose from dropdown]],MaterialData[[#Headers],[#Data]],10,FALSE),0)</f>
        <v>0</v>
      </c>
      <c r="AL728" s="322">
        <f>IFERROR(Calculations[[#This Row],[Data Quality Score]]*Calculations[[#This Row],[Total Kg]],0)</f>
        <v>0</v>
      </c>
    </row>
    <row r="729" spans="1:38" x14ac:dyDescent="0.3">
      <c r="A729" s="6">
        <f>IFERROR(MaterialsBoQ[[#This Row],[Scope Element]],0)</f>
        <v>0</v>
      </c>
      <c r="B729" t="str">
        <f>IFERROR(MaterialsBoQ[[#This Row],[Material ]],"")</f>
        <v/>
      </c>
      <c r="C729" t="str">
        <f>IFERROR(MaterialsBoQ[[#This Row],[Unit]],"")</f>
        <v/>
      </c>
      <c r="D729" s="322">
        <f>IFERROR(MaterialsBoQ[[#This Row],[Number]],0)</f>
        <v>0</v>
      </c>
      <c r="E729" s="322">
        <f>IFERROR(MaterialsBoQ[[#This Row],[Kg per unit]],0)</f>
        <v>0</v>
      </c>
      <c r="F729" s="322">
        <f>IFERROR(Calculations[[#This Row],[Number]]*Calculations[[#This Row],[Conversion factor]],0)</f>
        <v>0</v>
      </c>
      <c r="G729" s="322">
        <f>IFERROR(VLOOKUP(Calculations[[#This Row],[Material (choose from dropdown]],MaterialData[#All],7,FALSE),0)</f>
        <v>0</v>
      </c>
      <c r="H729" s="322">
        <f>Calculations[[#This Row],[Total Kg]]*Calculations[[#This Row],[Carbon Factor]]</f>
        <v>0</v>
      </c>
      <c r="I729" t="str">
        <f>IFERROR(VLOOKUP(Calculations[[#This Row],[Material (choose from dropdown]],MaterialData[#All],2,FALSE),"")</f>
        <v/>
      </c>
      <c r="J729" s="322">
        <f>IFERROR(((VLOOKUP(Calculations[[#This Row],[TransportSource]],TransportDistance[],2,FALSE)*'Stage assumptions'!$C$11)+VLOOKUP(Calculations[[#This Row],[TransportSource]],TransportDistance[],3,FALSE)*'Stage assumptions'!$C$12)*Calculations[[#This Row],[Total Kg]],0)</f>
        <v>0</v>
      </c>
      <c r="K729">
        <f>IFERROR(VLOOKUP(Calculations[[#This Row],[Material (choose from dropdown]], MaterialData[#All],3, FALSE),0)</f>
        <v>0</v>
      </c>
      <c r="L729" s="322">
        <f>IFERROR(VLOOKUP(Calculations[[#This Row],[A5type]],A5WastageRate[#All],2,FALSE)*Calculations[[#This Row],[A1-3]],0)</f>
        <v>0</v>
      </c>
      <c r="N729">
        <f>IFERROR(ROUNDUP(50/VLOOKUP(Calculations[[#This Row],[Scope Element]],B4referenceServiceLife[[Tier 2 element]:[Default Service Life]],2, FALSE)-1,0),0)</f>
        <v>0</v>
      </c>
      <c r="O729" s="322">
        <f>IFERROR((Calculations[[#This Row],[A1-3]]+Calculations[[#This Row],[A4]]+Calculations[[#This Row],[A5]]+Calculations[[#This Row],[C2 total]]+Calculations[[#This Row],[C3 total]]+Calculations[[#This Row],[C4 total]])*Calculations[[#This Row],[Replacements]],0)</f>
        <v>0</v>
      </c>
      <c r="S729" t="str">
        <f>IFERROR(VLOOKUP(Calculations[[#This Row],[Material (choose from dropdown]],MaterialData[#All],4,FALSE),"")</f>
        <v/>
      </c>
      <c r="T729" s="322" cm="1">
        <f t="array" ref="T729">IFERROR(VLOOKUP(Calculations[[#This Row],[Waste 1]],WasteScenario[#All],2,FALSE)*'Stage assumptions'!$C$225*WasteTransportMethod[Emissions Factor
kgCO2e/kg.km]*Calculations[[#This Row],[Total Kg]],0)</f>
        <v>0</v>
      </c>
      <c r="U729" s="322" cm="1">
        <f t="array" ref="U729">IFERROR(VLOOKUP(Calculations[[#This Row],[Waste 1]],WasteScenario[#All],3,FALSE)*'Stage assumptions'!$C$224*WasteTransportMethod[Emissions Factor
kgCO2e/kg.km]*Calculations[[#This Row],[Total Kg]],0)</f>
        <v>0</v>
      </c>
      <c r="V729" s="322" cm="1">
        <f t="array" ref="V729">IFERROR(VLOOKUP(Calculations[[#This Row],[Waste 1]],WasteScenario[#All],4,FALSE)*'Stage assumptions'!$C$223*WasteTransportMethod[Emissions Factor
kgCO2e/kg.km]*Calculations[[#This Row],[Total Kg]],0)</f>
        <v>0</v>
      </c>
      <c r="W729" s="322" cm="1">
        <f t="array" ref="W729">IFERROR(VLOOKUP(Calculations[[#This Row],[Waste 1]],WasteScenario[#All],5,FALSE)*'Stage assumptions'!$C$226*WasteTransportMethod[Emissions Factor
kgCO2e/kg.km]*Calculations[[#This Row],[Total Kg]],0)</f>
        <v>0</v>
      </c>
      <c r="X729" s="322">
        <f>SUM(Calculations[[#This Row],[C2 Recycle]:[C2 Reuse]])</f>
        <v>0</v>
      </c>
      <c r="Y729" t="str">
        <f>IFERROR(VLOOKUP(Calculations[[#This Row],[Material (choose from dropdown]],MaterialData[#All],5,FALSE),"")</f>
        <v/>
      </c>
      <c r="Z729" s="322">
        <f>IFERROR(((VLOOKUP(Calculations[[#This Row],[Waste type 2]],WasteDisposalEmissions[#All],2,FALSE))*Calculations[[#This Row],[Total Kg]])*VLOOKUP(Calculations[[#This Row],[Waste 1]],WasteScenario[#All],2,FALSE),0)</f>
        <v>0</v>
      </c>
      <c r="AA729" s="322">
        <f>IFERROR((VLOOKUP(Calculations[[#This Row],[Waste type 2]],WasteDisposalEmissions[#All],3,FALSE))*Calculations[[#This Row],[Total Kg]]*VLOOKUP(Calculations[[#This Row],[Waste 1]],WasteScenario[#All],3,FALSE),0)</f>
        <v>0</v>
      </c>
      <c r="AB729" s="322">
        <f>SUM(Calculations[[#This Row],[C3 recyc]:[C3 incin]])</f>
        <v>0</v>
      </c>
      <c r="AC729" s="334">
        <f>IFERROR((VLOOKUP(Calculations[[#This Row],[Waste type 2]],WasteLandfillEmissions[#All],2,FALSE))*Calculations[[#This Row],[Total Kg]]*VLOOKUP(Calculations[[#This Row],[Waste 1]],WasteScenario[#All],4,FALSE),0)</f>
        <v>0</v>
      </c>
      <c r="AD729" s="322">
        <f>IFERROR((VLOOKUP(Calculations[[#This Row],[Waste type 2]],WasteLandfillEmissions[#All],3,FALSE))*Calculations[[#This Row],[Total Kg]]*VLOOKUP(Calculations[[#This Row],[Waste 1]],WasteScenario[#All],4,FALSE),0)</f>
        <v>0</v>
      </c>
      <c r="AE729" s="322">
        <f>SUM(Calculations[[#This Row],[C4 landfill]:[C4 re-use]])</f>
        <v>0</v>
      </c>
      <c r="AF729" s="322">
        <f>IFERROR(VLOOKUP(Calculations[[#This Row],[Material (choose from dropdown]],MaterialData[#All],8,FALSE),0)</f>
        <v>0</v>
      </c>
      <c r="AG729" s="322">
        <f>IFERROR(Calculations[[#This Row],[Total Kg]]*Calculations[[#This Row],[Seq factor]],0)</f>
        <v>0</v>
      </c>
      <c r="AI729" s="322">
        <f>Calculations[[#This Row],[A1-3]]+Calculations[[#This Row],[A4]]+Calculations[[#This Row],[A5]]+Calculations[[#This Row],[B4]]+Calculations[[#This Row],[C2 total]]+Calculations[[#This Row],[C3 total]]+Calculations[[#This Row],[C4 total]]</f>
        <v>0</v>
      </c>
      <c r="AJ729" s="2">
        <f>IFERROR(VLOOKUP(Calculations[[#This Row],[Material (choose from dropdown]],MaterialData[[#Headers],[#Data]],9,FALSE),0)</f>
        <v>0</v>
      </c>
      <c r="AK729" s="4">
        <f>IFERROR(VLOOKUP(Calculations[[#This Row],[Material (choose from dropdown]],MaterialData[[#Headers],[#Data]],10,FALSE),0)</f>
        <v>0</v>
      </c>
      <c r="AL729" s="322">
        <f>IFERROR(Calculations[[#This Row],[Data Quality Score]]*Calculations[[#This Row],[Total Kg]],0)</f>
        <v>0</v>
      </c>
    </row>
    <row r="730" spans="1:38" x14ac:dyDescent="0.3">
      <c r="A730" s="6">
        <f>IFERROR(MaterialsBoQ[[#This Row],[Scope Element]],0)</f>
        <v>0</v>
      </c>
      <c r="B730" t="str">
        <f>IFERROR(MaterialsBoQ[[#This Row],[Material ]],"")</f>
        <v/>
      </c>
      <c r="C730" t="str">
        <f>IFERROR(MaterialsBoQ[[#This Row],[Unit]],"")</f>
        <v/>
      </c>
      <c r="D730" s="322">
        <f>IFERROR(MaterialsBoQ[[#This Row],[Number]],0)</f>
        <v>0</v>
      </c>
      <c r="E730" s="322">
        <f>IFERROR(MaterialsBoQ[[#This Row],[Kg per unit]],0)</f>
        <v>0</v>
      </c>
      <c r="F730" s="322">
        <f>IFERROR(Calculations[[#This Row],[Number]]*Calculations[[#This Row],[Conversion factor]],0)</f>
        <v>0</v>
      </c>
      <c r="G730" s="322">
        <f>IFERROR(VLOOKUP(Calculations[[#This Row],[Material (choose from dropdown]],MaterialData[#All],7,FALSE),0)</f>
        <v>0</v>
      </c>
      <c r="H730" s="322">
        <f>Calculations[[#This Row],[Total Kg]]*Calculations[[#This Row],[Carbon Factor]]</f>
        <v>0</v>
      </c>
      <c r="I730" t="str">
        <f>IFERROR(VLOOKUP(Calculations[[#This Row],[Material (choose from dropdown]],MaterialData[#All],2,FALSE),"")</f>
        <v/>
      </c>
      <c r="J730" s="322">
        <f>IFERROR(((VLOOKUP(Calculations[[#This Row],[TransportSource]],TransportDistance[],2,FALSE)*'Stage assumptions'!$C$11)+VLOOKUP(Calculations[[#This Row],[TransportSource]],TransportDistance[],3,FALSE)*'Stage assumptions'!$C$12)*Calculations[[#This Row],[Total Kg]],0)</f>
        <v>0</v>
      </c>
      <c r="K730">
        <f>IFERROR(VLOOKUP(Calculations[[#This Row],[Material (choose from dropdown]], MaterialData[#All],3, FALSE),0)</f>
        <v>0</v>
      </c>
      <c r="L730" s="322">
        <f>IFERROR(VLOOKUP(Calculations[[#This Row],[A5type]],A5WastageRate[#All],2,FALSE)*Calculations[[#This Row],[A1-3]],0)</f>
        <v>0</v>
      </c>
      <c r="N730">
        <f>IFERROR(ROUNDUP(50/VLOOKUP(Calculations[[#This Row],[Scope Element]],B4referenceServiceLife[[Tier 2 element]:[Default Service Life]],2, FALSE)-1,0),0)</f>
        <v>0</v>
      </c>
      <c r="O730" s="322">
        <f>IFERROR((Calculations[[#This Row],[A1-3]]+Calculations[[#This Row],[A4]]+Calculations[[#This Row],[A5]]+Calculations[[#This Row],[C2 total]]+Calculations[[#This Row],[C3 total]]+Calculations[[#This Row],[C4 total]])*Calculations[[#This Row],[Replacements]],0)</f>
        <v>0</v>
      </c>
      <c r="S730" t="str">
        <f>IFERROR(VLOOKUP(Calculations[[#This Row],[Material (choose from dropdown]],MaterialData[#All],4,FALSE),"")</f>
        <v/>
      </c>
      <c r="T730" s="322" cm="1">
        <f t="array" ref="T730">IFERROR(VLOOKUP(Calculations[[#This Row],[Waste 1]],WasteScenario[#All],2,FALSE)*'Stage assumptions'!$C$225*WasteTransportMethod[Emissions Factor
kgCO2e/kg.km]*Calculations[[#This Row],[Total Kg]],0)</f>
        <v>0</v>
      </c>
      <c r="U730" s="322" cm="1">
        <f t="array" ref="U730">IFERROR(VLOOKUP(Calculations[[#This Row],[Waste 1]],WasteScenario[#All],3,FALSE)*'Stage assumptions'!$C$224*WasteTransportMethod[Emissions Factor
kgCO2e/kg.km]*Calculations[[#This Row],[Total Kg]],0)</f>
        <v>0</v>
      </c>
      <c r="V730" s="322" cm="1">
        <f t="array" ref="V730">IFERROR(VLOOKUP(Calculations[[#This Row],[Waste 1]],WasteScenario[#All],4,FALSE)*'Stage assumptions'!$C$223*WasteTransportMethod[Emissions Factor
kgCO2e/kg.km]*Calculations[[#This Row],[Total Kg]],0)</f>
        <v>0</v>
      </c>
      <c r="W730" s="322" cm="1">
        <f t="array" ref="W730">IFERROR(VLOOKUP(Calculations[[#This Row],[Waste 1]],WasteScenario[#All],5,FALSE)*'Stage assumptions'!$C$226*WasteTransportMethod[Emissions Factor
kgCO2e/kg.km]*Calculations[[#This Row],[Total Kg]],0)</f>
        <v>0</v>
      </c>
      <c r="X730" s="322">
        <f>SUM(Calculations[[#This Row],[C2 Recycle]:[C2 Reuse]])</f>
        <v>0</v>
      </c>
      <c r="Y730" t="str">
        <f>IFERROR(VLOOKUP(Calculations[[#This Row],[Material (choose from dropdown]],MaterialData[#All],5,FALSE),"")</f>
        <v/>
      </c>
      <c r="Z730" s="322">
        <f>IFERROR(((VLOOKUP(Calculations[[#This Row],[Waste type 2]],WasteDisposalEmissions[#All],2,FALSE))*Calculations[[#This Row],[Total Kg]])*VLOOKUP(Calculations[[#This Row],[Waste 1]],WasteScenario[#All],2,FALSE),0)</f>
        <v>0</v>
      </c>
      <c r="AA730" s="322">
        <f>IFERROR((VLOOKUP(Calculations[[#This Row],[Waste type 2]],WasteDisposalEmissions[#All],3,FALSE))*Calculations[[#This Row],[Total Kg]]*VLOOKUP(Calculations[[#This Row],[Waste 1]],WasteScenario[#All],3,FALSE),0)</f>
        <v>0</v>
      </c>
      <c r="AB730" s="322">
        <f>SUM(Calculations[[#This Row],[C3 recyc]:[C3 incin]])</f>
        <v>0</v>
      </c>
      <c r="AC730" s="334">
        <f>IFERROR((VLOOKUP(Calculations[[#This Row],[Waste type 2]],WasteLandfillEmissions[#All],2,FALSE))*Calculations[[#This Row],[Total Kg]]*VLOOKUP(Calculations[[#This Row],[Waste 1]],WasteScenario[#All],4,FALSE),0)</f>
        <v>0</v>
      </c>
      <c r="AD730" s="322">
        <f>IFERROR((VLOOKUP(Calculations[[#This Row],[Waste type 2]],WasteLandfillEmissions[#All],3,FALSE))*Calculations[[#This Row],[Total Kg]]*VLOOKUP(Calculations[[#This Row],[Waste 1]],WasteScenario[#All],4,FALSE),0)</f>
        <v>0</v>
      </c>
      <c r="AE730" s="322">
        <f>SUM(Calculations[[#This Row],[C4 landfill]:[C4 re-use]])</f>
        <v>0</v>
      </c>
      <c r="AF730" s="322">
        <f>IFERROR(VLOOKUP(Calculations[[#This Row],[Material (choose from dropdown]],MaterialData[#All],8,FALSE),0)</f>
        <v>0</v>
      </c>
      <c r="AG730" s="322">
        <f>IFERROR(Calculations[[#This Row],[Total Kg]]*Calculations[[#This Row],[Seq factor]],0)</f>
        <v>0</v>
      </c>
      <c r="AI730" s="322">
        <f>Calculations[[#This Row],[A1-3]]+Calculations[[#This Row],[A4]]+Calculations[[#This Row],[A5]]+Calculations[[#This Row],[B4]]+Calculations[[#This Row],[C2 total]]+Calculations[[#This Row],[C3 total]]+Calculations[[#This Row],[C4 total]]</f>
        <v>0</v>
      </c>
      <c r="AJ730" s="2">
        <f>IFERROR(VLOOKUP(Calculations[[#This Row],[Material (choose from dropdown]],MaterialData[[#Headers],[#Data]],9,FALSE),0)</f>
        <v>0</v>
      </c>
      <c r="AK730" s="4">
        <f>IFERROR(VLOOKUP(Calculations[[#This Row],[Material (choose from dropdown]],MaterialData[[#Headers],[#Data]],10,FALSE),0)</f>
        <v>0</v>
      </c>
      <c r="AL730" s="322">
        <f>IFERROR(Calculations[[#This Row],[Data Quality Score]]*Calculations[[#This Row],[Total Kg]],0)</f>
        <v>0</v>
      </c>
    </row>
    <row r="731" spans="1:38" x14ac:dyDescent="0.3">
      <c r="A731" s="6">
        <f>IFERROR(MaterialsBoQ[[#This Row],[Scope Element]],0)</f>
        <v>0</v>
      </c>
      <c r="B731" t="str">
        <f>IFERROR(MaterialsBoQ[[#This Row],[Material ]],"")</f>
        <v/>
      </c>
      <c r="C731" t="str">
        <f>IFERROR(MaterialsBoQ[[#This Row],[Unit]],"")</f>
        <v/>
      </c>
      <c r="D731" s="322">
        <f>IFERROR(MaterialsBoQ[[#This Row],[Number]],0)</f>
        <v>0</v>
      </c>
      <c r="E731" s="322">
        <f>IFERROR(MaterialsBoQ[[#This Row],[Kg per unit]],0)</f>
        <v>0</v>
      </c>
      <c r="F731" s="322">
        <f>IFERROR(Calculations[[#This Row],[Number]]*Calculations[[#This Row],[Conversion factor]],0)</f>
        <v>0</v>
      </c>
      <c r="G731" s="322">
        <f>IFERROR(VLOOKUP(Calculations[[#This Row],[Material (choose from dropdown]],MaterialData[#All],7,FALSE),0)</f>
        <v>0</v>
      </c>
      <c r="H731" s="322">
        <f>Calculations[[#This Row],[Total Kg]]*Calculations[[#This Row],[Carbon Factor]]</f>
        <v>0</v>
      </c>
      <c r="I731" t="str">
        <f>IFERROR(VLOOKUP(Calculations[[#This Row],[Material (choose from dropdown]],MaterialData[#All],2,FALSE),"")</f>
        <v/>
      </c>
      <c r="J731" s="322">
        <f>IFERROR(((VLOOKUP(Calculations[[#This Row],[TransportSource]],TransportDistance[],2,FALSE)*'Stage assumptions'!$C$11)+VLOOKUP(Calculations[[#This Row],[TransportSource]],TransportDistance[],3,FALSE)*'Stage assumptions'!$C$12)*Calculations[[#This Row],[Total Kg]],0)</f>
        <v>0</v>
      </c>
      <c r="K731">
        <f>IFERROR(VLOOKUP(Calculations[[#This Row],[Material (choose from dropdown]], MaterialData[#All],3, FALSE),0)</f>
        <v>0</v>
      </c>
      <c r="L731" s="322">
        <f>IFERROR(VLOOKUP(Calculations[[#This Row],[A5type]],A5WastageRate[#All],2,FALSE)*Calculations[[#This Row],[A1-3]],0)</f>
        <v>0</v>
      </c>
      <c r="N731">
        <f>IFERROR(ROUNDUP(50/VLOOKUP(Calculations[[#This Row],[Scope Element]],B4referenceServiceLife[[Tier 2 element]:[Default Service Life]],2, FALSE)-1,0),0)</f>
        <v>0</v>
      </c>
      <c r="O731" s="322">
        <f>IFERROR((Calculations[[#This Row],[A1-3]]+Calculations[[#This Row],[A4]]+Calculations[[#This Row],[A5]]+Calculations[[#This Row],[C2 total]]+Calculations[[#This Row],[C3 total]]+Calculations[[#This Row],[C4 total]])*Calculations[[#This Row],[Replacements]],0)</f>
        <v>0</v>
      </c>
      <c r="S731" t="str">
        <f>IFERROR(VLOOKUP(Calculations[[#This Row],[Material (choose from dropdown]],MaterialData[#All],4,FALSE),"")</f>
        <v/>
      </c>
      <c r="T731" s="322" cm="1">
        <f t="array" ref="T731">IFERROR(VLOOKUP(Calculations[[#This Row],[Waste 1]],WasteScenario[#All],2,FALSE)*'Stage assumptions'!$C$225*WasteTransportMethod[Emissions Factor
kgCO2e/kg.km]*Calculations[[#This Row],[Total Kg]],0)</f>
        <v>0</v>
      </c>
      <c r="U731" s="322" cm="1">
        <f t="array" ref="U731">IFERROR(VLOOKUP(Calculations[[#This Row],[Waste 1]],WasteScenario[#All],3,FALSE)*'Stage assumptions'!$C$224*WasteTransportMethod[Emissions Factor
kgCO2e/kg.km]*Calculations[[#This Row],[Total Kg]],0)</f>
        <v>0</v>
      </c>
      <c r="V731" s="322" cm="1">
        <f t="array" ref="V731">IFERROR(VLOOKUP(Calculations[[#This Row],[Waste 1]],WasteScenario[#All],4,FALSE)*'Stage assumptions'!$C$223*WasteTransportMethod[Emissions Factor
kgCO2e/kg.km]*Calculations[[#This Row],[Total Kg]],0)</f>
        <v>0</v>
      </c>
      <c r="W731" s="322" cm="1">
        <f t="array" ref="W731">IFERROR(VLOOKUP(Calculations[[#This Row],[Waste 1]],WasteScenario[#All],5,FALSE)*'Stage assumptions'!$C$226*WasteTransportMethod[Emissions Factor
kgCO2e/kg.km]*Calculations[[#This Row],[Total Kg]],0)</f>
        <v>0</v>
      </c>
      <c r="X731" s="322">
        <f>SUM(Calculations[[#This Row],[C2 Recycle]:[C2 Reuse]])</f>
        <v>0</v>
      </c>
      <c r="Y731" t="str">
        <f>IFERROR(VLOOKUP(Calculations[[#This Row],[Material (choose from dropdown]],MaterialData[#All],5,FALSE),"")</f>
        <v/>
      </c>
      <c r="Z731" s="322">
        <f>IFERROR(((VLOOKUP(Calculations[[#This Row],[Waste type 2]],WasteDisposalEmissions[#All],2,FALSE))*Calculations[[#This Row],[Total Kg]])*VLOOKUP(Calculations[[#This Row],[Waste 1]],WasteScenario[#All],2,FALSE),0)</f>
        <v>0</v>
      </c>
      <c r="AA731" s="322">
        <f>IFERROR((VLOOKUP(Calculations[[#This Row],[Waste type 2]],WasteDisposalEmissions[#All],3,FALSE))*Calculations[[#This Row],[Total Kg]]*VLOOKUP(Calculations[[#This Row],[Waste 1]],WasteScenario[#All],3,FALSE),0)</f>
        <v>0</v>
      </c>
      <c r="AB731" s="322">
        <f>SUM(Calculations[[#This Row],[C3 recyc]:[C3 incin]])</f>
        <v>0</v>
      </c>
      <c r="AC731" s="334">
        <f>IFERROR((VLOOKUP(Calculations[[#This Row],[Waste type 2]],WasteLandfillEmissions[#All],2,FALSE))*Calculations[[#This Row],[Total Kg]]*VLOOKUP(Calculations[[#This Row],[Waste 1]],WasteScenario[#All],4,FALSE),0)</f>
        <v>0</v>
      </c>
      <c r="AD731" s="322">
        <f>IFERROR((VLOOKUP(Calculations[[#This Row],[Waste type 2]],WasteLandfillEmissions[#All],3,FALSE))*Calculations[[#This Row],[Total Kg]]*VLOOKUP(Calculations[[#This Row],[Waste 1]],WasteScenario[#All],4,FALSE),0)</f>
        <v>0</v>
      </c>
      <c r="AE731" s="322">
        <f>SUM(Calculations[[#This Row],[C4 landfill]:[C4 re-use]])</f>
        <v>0</v>
      </c>
      <c r="AF731" s="322">
        <f>IFERROR(VLOOKUP(Calculations[[#This Row],[Material (choose from dropdown]],MaterialData[#All],8,FALSE),0)</f>
        <v>0</v>
      </c>
      <c r="AG731" s="322">
        <f>IFERROR(Calculations[[#This Row],[Total Kg]]*Calculations[[#This Row],[Seq factor]],0)</f>
        <v>0</v>
      </c>
      <c r="AI731" s="322">
        <f>Calculations[[#This Row],[A1-3]]+Calculations[[#This Row],[A4]]+Calculations[[#This Row],[A5]]+Calculations[[#This Row],[B4]]+Calculations[[#This Row],[C2 total]]+Calculations[[#This Row],[C3 total]]+Calculations[[#This Row],[C4 total]]</f>
        <v>0</v>
      </c>
      <c r="AJ731" s="2">
        <f>IFERROR(VLOOKUP(Calculations[[#This Row],[Material (choose from dropdown]],MaterialData[[#Headers],[#Data]],9,FALSE),0)</f>
        <v>0</v>
      </c>
      <c r="AK731" s="4">
        <f>IFERROR(VLOOKUP(Calculations[[#This Row],[Material (choose from dropdown]],MaterialData[[#Headers],[#Data]],10,FALSE),0)</f>
        <v>0</v>
      </c>
      <c r="AL731" s="322">
        <f>IFERROR(Calculations[[#This Row],[Data Quality Score]]*Calculations[[#This Row],[Total Kg]],0)</f>
        <v>0</v>
      </c>
    </row>
    <row r="732" spans="1:38" x14ac:dyDescent="0.3">
      <c r="A732" s="6">
        <f>IFERROR(MaterialsBoQ[[#This Row],[Scope Element]],0)</f>
        <v>0</v>
      </c>
      <c r="B732" t="str">
        <f>IFERROR(MaterialsBoQ[[#This Row],[Material ]],"")</f>
        <v/>
      </c>
      <c r="C732" t="str">
        <f>IFERROR(MaterialsBoQ[[#This Row],[Unit]],"")</f>
        <v/>
      </c>
      <c r="D732" s="322">
        <f>IFERROR(MaterialsBoQ[[#This Row],[Number]],0)</f>
        <v>0</v>
      </c>
      <c r="E732" s="322">
        <f>IFERROR(MaterialsBoQ[[#This Row],[Kg per unit]],0)</f>
        <v>0</v>
      </c>
      <c r="F732" s="322">
        <f>IFERROR(Calculations[[#This Row],[Number]]*Calculations[[#This Row],[Conversion factor]],0)</f>
        <v>0</v>
      </c>
      <c r="G732" s="322">
        <f>IFERROR(VLOOKUP(Calculations[[#This Row],[Material (choose from dropdown]],MaterialData[#All],7,FALSE),0)</f>
        <v>0</v>
      </c>
      <c r="H732" s="322">
        <f>Calculations[[#This Row],[Total Kg]]*Calculations[[#This Row],[Carbon Factor]]</f>
        <v>0</v>
      </c>
      <c r="I732" t="str">
        <f>IFERROR(VLOOKUP(Calculations[[#This Row],[Material (choose from dropdown]],MaterialData[#All],2,FALSE),"")</f>
        <v/>
      </c>
      <c r="J732" s="322">
        <f>IFERROR(((VLOOKUP(Calculations[[#This Row],[TransportSource]],TransportDistance[],2,FALSE)*'Stage assumptions'!$C$11)+VLOOKUP(Calculations[[#This Row],[TransportSource]],TransportDistance[],3,FALSE)*'Stage assumptions'!$C$12)*Calculations[[#This Row],[Total Kg]],0)</f>
        <v>0</v>
      </c>
      <c r="K732">
        <f>IFERROR(VLOOKUP(Calculations[[#This Row],[Material (choose from dropdown]], MaterialData[#All],3, FALSE),0)</f>
        <v>0</v>
      </c>
      <c r="L732" s="322">
        <f>IFERROR(VLOOKUP(Calculations[[#This Row],[A5type]],A5WastageRate[#All],2,FALSE)*Calculations[[#This Row],[A1-3]],0)</f>
        <v>0</v>
      </c>
      <c r="N732">
        <f>IFERROR(ROUNDUP(50/VLOOKUP(Calculations[[#This Row],[Scope Element]],B4referenceServiceLife[[Tier 2 element]:[Default Service Life]],2, FALSE)-1,0),0)</f>
        <v>0</v>
      </c>
      <c r="O732" s="322">
        <f>IFERROR((Calculations[[#This Row],[A1-3]]+Calculations[[#This Row],[A4]]+Calculations[[#This Row],[A5]]+Calculations[[#This Row],[C2 total]]+Calculations[[#This Row],[C3 total]]+Calculations[[#This Row],[C4 total]])*Calculations[[#This Row],[Replacements]],0)</f>
        <v>0</v>
      </c>
      <c r="S732" t="str">
        <f>IFERROR(VLOOKUP(Calculations[[#This Row],[Material (choose from dropdown]],MaterialData[#All],4,FALSE),"")</f>
        <v/>
      </c>
      <c r="T732" s="322" cm="1">
        <f t="array" ref="T732">IFERROR(VLOOKUP(Calculations[[#This Row],[Waste 1]],WasteScenario[#All],2,FALSE)*'Stage assumptions'!$C$225*WasteTransportMethod[Emissions Factor
kgCO2e/kg.km]*Calculations[[#This Row],[Total Kg]],0)</f>
        <v>0</v>
      </c>
      <c r="U732" s="322" cm="1">
        <f t="array" ref="U732">IFERROR(VLOOKUP(Calculations[[#This Row],[Waste 1]],WasteScenario[#All],3,FALSE)*'Stage assumptions'!$C$224*WasteTransportMethod[Emissions Factor
kgCO2e/kg.km]*Calculations[[#This Row],[Total Kg]],0)</f>
        <v>0</v>
      </c>
      <c r="V732" s="322" cm="1">
        <f t="array" ref="V732">IFERROR(VLOOKUP(Calculations[[#This Row],[Waste 1]],WasteScenario[#All],4,FALSE)*'Stage assumptions'!$C$223*WasteTransportMethod[Emissions Factor
kgCO2e/kg.km]*Calculations[[#This Row],[Total Kg]],0)</f>
        <v>0</v>
      </c>
      <c r="W732" s="322" cm="1">
        <f t="array" ref="W732">IFERROR(VLOOKUP(Calculations[[#This Row],[Waste 1]],WasteScenario[#All],5,FALSE)*'Stage assumptions'!$C$226*WasteTransportMethod[Emissions Factor
kgCO2e/kg.km]*Calculations[[#This Row],[Total Kg]],0)</f>
        <v>0</v>
      </c>
      <c r="X732" s="322">
        <f>SUM(Calculations[[#This Row],[C2 Recycle]:[C2 Reuse]])</f>
        <v>0</v>
      </c>
      <c r="Y732" t="str">
        <f>IFERROR(VLOOKUP(Calculations[[#This Row],[Material (choose from dropdown]],MaterialData[#All],5,FALSE),"")</f>
        <v/>
      </c>
      <c r="Z732" s="322">
        <f>IFERROR(((VLOOKUP(Calculations[[#This Row],[Waste type 2]],WasteDisposalEmissions[#All],2,FALSE))*Calculations[[#This Row],[Total Kg]])*VLOOKUP(Calculations[[#This Row],[Waste 1]],WasteScenario[#All],2,FALSE),0)</f>
        <v>0</v>
      </c>
      <c r="AA732" s="322">
        <f>IFERROR((VLOOKUP(Calculations[[#This Row],[Waste type 2]],WasteDisposalEmissions[#All],3,FALSE))*Calculations[[#This Row],[Total Kg]]*VLOOKUP(Calculations[[#This Row],[Waste 1]],WasteScenario[#All],3,FALSE),0)</f>
        <v>0</v>
      </c>
      <c r="AB732" s="322">
        <f>SUM(Calculations[[#This Row],[C3 recyc]:[C3 incin]])</f>
        <v>0</v>
      </c>
      <c r="AC732" s="334">
        <f>IFERROR((VLOOKUP(Calculations[[#This Row],[Waste type 2]],WasteLandfillEmissions[#All],2,FALSE))*Calculations[[#This Row],[Total Kg]]*VLOOKUP(Calculations[[#This Row],[Waste 1]],WasteScenario[#All],4,FALSE),0)</f>
        <v>0</v>
      </c>
      <c r="AD732" s="322">
        <f>IFERROR((VLOOKUP(Calculations[[#This Row],[Waste type 2]],WasteLandfillEmissions[#All],3,FALSE))*Calculations[[#This Row],[Total Kg]]*VLOOKUP(Calculations[[#This Row],[Waste 1]],WasteScenario[#All],4,FALSE),0)</f>
        <v>0</v>
      </c>
      <c r="AE732" s="322">
        <f>SUM(Calculations[[#This Row],[C4 landfill]:[C4 re-use]])</f>
        <v>0</v>
      </c>
      <c r="AF732" s="322">
        <f>IFERROR(VLOOKUP(Calculations[[#This Row],[Material (choose from dropdown]],MaterialData[#All],8,FALSE),0)</f>
        <v>0</v>
      </c>
      <c r="AG732" s="322">
        <f>IFERROR(Calculations[[#This Row],[Total Kg]]*Calculations[[#This Row],[Seq factor]],0)</f>
        <v>0</v>
      </c>
      <c r="AI732" s="322">
        <f>Calculations[[#This Row],[A1-3]]+Calculations[[#This Row],[A4]]+Calculations[[#This Row],[A5]]+Calculations[[#This Row],[B4]]+Calculations[[#This Row],[C2 total]]+Calculations[[#This Row],[C3 total]]+Calculations[[#This Row],[C4 total]]</f>
        <v>0</v>
      </c>
      <c r="AJ732" s="2">
        <f>IFERROR(VLOOKUP(Calculations[[#This Row],[Material (choose from dropdown]],MaterialData[[#Headers],[#Data]],9,FALSE),0)</f>
        <v>0</v>
      </c>
      <c r="AK732" s="4">
        <f>IFERROR(VLOOKUP(Calculations[[#This Row],[Material (choose from dropdown]],MaterialData[[#Headers],[#Data]],10,FALSE),0)</f>
        <v>0</v>
      </c>
      <c r="AL732" s="322">
        <f>IFERROR(Calculations[[#This Row],[Data Quality Score]]*Calculations[[#This Row],[Total Kg]],0)</f>
        <v>0</v>
      </c>
    </row>
    <row r="733" spans="1:38" x14ac:dyDescent="0.3">
      <c r="A733" s="6">
        <f>IFERROR(MaterialsBoQ[[#This Row],[Scope Element]],0)</f>
        <v>0</v>
      </c>
      <c r="B733" t="str">
        <f>IFERROR(MaterialsBoQ[[#This Row],[Material ]],"")</f>
        <v/>
      </c>
      <c r="C733" t="str">
        <f>IFERROR(MaterialsBoQ[[#This Row],[Unit]],"")</f>
        <v/>
      </c>
      <c r="D733" s="322">
        <f>IFERROR(MaterialsBoQ[[#This Row],[Number]],0)</f>
        <v>0</v>
      </c>
      <c r="E733" s="322">
        <f>IFERROR(MaterialsBoQ[[#This Row],[Kg per unit]],0)</f>
        <v>0</v>
      </c>
      <c r="F733" s="322">
        <f>IFERROR(Calculations[[#This Row],[Number]]*Calculations[[#This Row],[Conversion factor]],0)</f>
        <v>0</v>
      </c>
      <c r="G733" s="322">
        <f>IFERROR(VLOOKUP(Calculations[[#This Row],[Material (choose from dropdown]],MaterialData[#All],7,FALSE),0)</f>
        <v>0</v>
      </c>
      <c r="H733" s="322">
        <f>Calculations[[#This Row],[Total Kg]]*Calculations[[#This Row],[Carbon Factor]]</f>
        <v>0</v>
      </c>
      <c r="I733" t="str">
        <f>IFERROR(VLOOKUP(Calculations[[#This Row],[Material (choose from dropdown]],MaterialData[#All],2,FALSE),"")</f>
        <v/>
      </c>
      <c r="J733" s="322">
        <f>IFERROR(((VLOOKUP(Calculations[[#This Row],[TransportSource]],TransportDistance[],2,FALSE)*'Stage assumptions'!$C$11)+VLOOKUP(Calculations[[#This Row],[TransportSource]],TransportDistance[],3,FALSE)*'Stage assumptions'!$C$12)*Calculations[[#This Row],[Total Kg]],0)</f>
        <v>0</v>
      </c>
      <c r="K733">
        <f>IFERROR(VLOOKUP(Calculations[[#This Row],[Material (choose from dropdown]], MaterialData[#All],3, FALSE),0)</f>
        <v>0</v>
      </c>
      <c r="L733" s="322">
        <f>IFERROR(VLOOKUP(Calculations[[#This Row],[A5type]],A5WastageRate[#All],2,FALSE)*Calculations[[#This Row],[A1-3]],0)</f>
        <v>0</v>
      </c>
      <c r="N733">
        <f>IFERROR(ROUNDUP(50/VLOOKUP(Calculations[[#This Row],[Scope Element]],B4referenceServiceLife[[Tier 2 element]:[Default Service Life]],2, FALSE)-1,0),0)</f>
        <v>0</v>
      </c>
      <c r="O733" s="322">
        <f>IFERROR((Calculations[[#This Row],[A1-3]]+Calculations[[#This Row],[A4]]+Calculations[[#This Row],[A5]]+Calculations[[#This Row],[C2 total]]+Calculations[[#This Row],[C3 total]]+Calculations[[#This Row],[C4 total]])*Calculations[[#This Row],[Replacements]],0)</f>
        <v>0</v>
      </c>
      <c r="S733" t="str">
        <f>IFERROR(VLOOKUP(Calculations[[#This Row],[Material (choose from dropdown]],MaterialData[#All],4,FALSE),"")</f>
        <v/>
      </c>
      <c r="T733" s="322" cm="1">
        <f t="array" ref="T733">IFERROR(VLOOKUP(Calculations[[#This Row],[Waste 1]],WasteScenario[#All],2,FALSE)*'Stage assumptions'!$C$225*WasteTransportMethod[Emissions Factor
kgCO2e/kg.km]*Calculations[[#This Row],[Total Kg]],0)</f>
        <v>0</v>
      </c>
      <c r="U733" s="322" cm="1">
        <f t="array" ref="U733">IFERROR(VLOOKUP(Calculations[[#This Row],[Waste 1]],WasteScenario[#All],3,FALSE)*'Stage assumptions'!$C$224*WasteTransportMethod[Emissions Factor
kgCO2e/kg.km]*Calculations[[#This Row],[Total Kg]],0)</f>
        <v>0</v>
      </c>
      <c r="V733" s="322" cm="1">
        <f t="array" ref="V733">IFERROR(VLOOKUP(Calculations[[#This Row],[Waste 1]],WasteScenario[#All],4,FALSE)*'Stage assumptions'!$C$223*WasteTransportMethod[Emissions Factor
kgCO2e/kg.km]*Calculations[[#This Row],[Total Kg]],0)</f>
        <v>0</v>
      </c>
      <c r="W733" s="322" cm="1">
        <f t="array" ref="W733">IFERROR(VLOOKUP(Calculations[[#This Row],[Waste 1]],WasteScenario[#All],5,FALSE)*'Stage assumptions'!$C$226*WasteTransportMethod[Emissions Factor
kgCO2e/kg.km]*Calculations[[#This Row],[Total Kg]],0)</f>
        <v>0</v>
      </c>
      <c r="X733" s="322">
        <f>SUM(Calculations[[#This Row],[C2 Recycle]:[C2 Reuse]])</f>
        <v>0</v>
      </c>
      <c r="Y733" t="str">
        <f>IFERROR(VLOOKUP(Calculations[[#This Row],[Material (choose from dropdown]],MaterialData[#All],5,FALSE),"")</f>
        <v/>
      </c>
      <c r="Z733" s="322">
        <f>IFERROR(((VLOOKUP(Calculations[[#This Row],[Waste type 2]],WasteDisposalEmissions[#All],2,FALSE))*Calculations[[#This Row],[Total Kg]])*VLOOKUP(Calculations[[#This Row],[Waste 1]],WasteScenario[#All],2,FALSE),0)</f>
        <v>0</v>
      </c>
      <c r="AA733" s="322">
        <f>IFERROR((VLOOKUP(Calculations[[#This Row],[Waste type 2]],WasteDisposalEmissions[#All],3,FALSE))*Calculations[[#This Row],[Total Kg]]*VLOOKUP(Calculations[[#This Row],[Waste 1]],WasteScenario[#All],3,FALSE),0)</f>
        <v>0</v>
      </c>
      <c r="AB733" s="322">
        <f>SUM(Calculations[[#This Row],[C3 recyc]:[C3 incin]])</f>
        <v>0</v>
      </c>
      <c r="AC733" s="334">
        <f>IFERROR((VLOOKUP(Calculations[[#This Row],[Waste type 2]],WasteLandfillEmissions[#All],2,FALSE))*Calculations[[#This Row],[Total Kg]]*VLOOKUP(Calculations[[#This Row],[Waste 1]],WasteScenario[#All],4,FALSE),0)</f>
        <v>0</v>
      </c>
      <c r="AD733" s="322">
        <f>IFERROR((VLOOKUP(Calculations[[#This Row],[Waste type 2]],WasteLandfillEmissions[#All],3,FALSE))*Calculations[[#This Row],[Total Kg]]*VLOOKUP(Calculations[[#This Row],[Waste 1]],WasteScenario[#All],4,FALSE),0)</f>
        <v>0</v>
      </c>
      <c r="AE733" s="322">
        <f>SUM(Calculations[[#This Row],[C4 landfill]:[C4 re-use]])</f>
        <v>0</v>
      </c>
      <c r="AF733" s="322">
        <f>IFERROR(VLOOKUP(Calculations[[#This Row],[Material (choose from dropdown]],MaterialData[#All],8,FALSE),0)</f>
        <v>0</v>
      </c>
      <c r="AG733" s="322">
        <f>IFERROR(Calculations[[#This Row],[Total Kg]]*Calculations[[#This Row],[Seq factor]],0)</f>
        <v>0</v>
      </c>
      <c r="AI733" s="322">
        <f>Calculations[[#This Row],[A1-3]]+Calculations[[#This Row],[A4]]+Calculations[[#This Row],[A5]]+Calculations[[#This Row],[B4]]+Calculations[[#This Row],[C2 total]]+Calculations[[#This Row],[C3 total]]+Calculations[[#This Row],[C4 total]]</f>
        <v>0</v>
      </c>
      <c r="AJ733" s="2">
        <f>IFERROR(VLOOKUP(Calculations[[#This Row],[Material (choose from dropdown]],MaterialData[[#Headers],[#Data]],9,FALSE),0)</f>
        <v>0</v>
      </c>
      <c r="AK733" s="4">
        <f>IFERROR(VLOOKUP(Calculations[[#This Row],[Material (choose from dropdown]],MaterialData[[#Headers],[#Data]],10,FALSE),0)</f>
        <v>0</v>
      </c>
      <c r="AL733" s="322">
        <f>IFERROR(Calculations[[#This Row],[Data Quality Score]]*Calculations[[#This Row],[Total Kg]],0)</f>
        <v>0</v>
      </c>
    </row>
    <row r="734" spans="1:38" x14ac:dyDescent="0.3">
      <c r="A734" s="6">
        <f>IFERROR(MaterialsBoQ[[#This Row],[Scope Element]],0)</f>
        <v>0</v>
      </c>
      <c r="B734" t="str">
        <f>IFERROR(MaterialsBoQ[[#This Row],[Material ]],"")</f>
        <v/>
      </c>
      <c r="C734" t="str">
        <f>IFERROR(MaterialsBoQ[[#This Row],[Unit]],"")</f>
        <v/>
      </c>
      <c r="D734" s="322">
        <f>IFERROR(MaterialsBoQ[[#This Row],[Number]],0)</f>
        <v>0</v>
      </c>
      <c r="E734" s="322">
        <f>IFERROR(MaterialsBoQ[[#This Row],[Kg per unit]],0)</f>
        <v>0</v>
      </c>
      <c r="F734" s="322">
        <f>IFERROR(Calculations[[#This Row],[Number]]*Calculations[[#This Row],[Conversion factor]],0)</f>
        <v>0</v>
      </c>
      <c r="G734" s="322">
        <f>IFERROR(VLOOKUP(Calculations[[#This Row],[Material (choose from dropdown]],MaterialData[#All],7,FALSE),0)</f>
        <v>0</v>
      </c>
      <c r="H734" s="322">
        <f>Calculations[[#This Row],[Total Kg]]*Calculations[[#This Row],[Carbon Factor]]</f>
        <v>0</v>
      </c>
      <c r="I734" t="str">
        <f>IFERROR(VLOOKUP(Calculations[[#This Row],[Material (choose from dropdown]],MaterialData[#All],2,FALSE),"")</f>
        <v/>
      </c>
      <c r="J734" s="322">
        <f>IFERROR(((VLOOKUP(Calculations[[#This Row],[TransportSource]],TransportDistance[],2,FALSE)*'Stage assumptions'!$C$11)+VLOOKUP(Calculations[[#This Row],[TransportSource]],TransportDistance[],3,FALSE)*'Stage assumptions'!$C$12)*Calculations[[#This Row],[Total Kg]],0)</f>
        <v>0</v>
      </c>
      <c r="K734">
        <f>IFERROR(VLOOKUP(Calculations[[#This Row],[Material (choose from dropdown]], MaterialData[#All],3, FALSE),0)</f>
        <v>0</v>
      </c>
      <c r="L734" s="322">
        <f>IFERROR(VLOOKUP(Calculations[[#This Row],[A5type]],A5WastageRate[#All],2,FALSE)*Calculations[[#This Row],[A1-3]],0)</f>
        <v>0</v>
      </c>
      <c r="N734">
        <f>IFERROR(ROUNDUP(50/VLOOKUP(Calculations[[#This Row],[Scope Element]],B4referenceServiceLife[[Tier 2 element]:[Default Service Life]],2, FALSE)-1,0),0)</f>
        <v>0</v>
      </c>
      <c r="O734" s="322">
        <f>IFERROR((Calculations[[#This Row],[A1-3]]+Calculations[[#This Row],[A4]]+Calculations[[#This Row],[A5]]+Calculations[[#This Row],[C2 total]]+Calculations[[#This Row],[C3 total]]+Calculations[[#This Row],[C4 total]])*Calculations[[#This Row],[Replacements]],0)</f>
        <v>0</v>
      </c>
      <c r="S734" t="str">
        <f>IFERROR(VLOOKUP(Calculations[[#This Row],[Material (choose from dropdown]],MaterialData[#All],4,FALSE),"")</f>
        <v/>
      </c>
      <c r="T734" s="322" cm="1">
        <f t="array" ref="T734">IFERROR(VLOOKUP(Calculations[[#This Row],[Waste 1]],WasteScenario[#All],2,FALSE)*'Stage assumptions'!$C$225*WasteTransportMethod[Emissions Factor
kgCO2e/kg.km]*Calculations[[#This Row],[Total Kg]],0)</f>
        <v>0</v>
      </c>
      <c r="U734" s="322" cm="1">
        <f t="array" ref="U734">IFERROR(VLOOKUP(Calculations[[#This Row],[Waste 1]],WasteScenario[#All],3,FALSE)*'Stage assumptions'!$C$224*WasteTransportMethod[Emissions Factor
kgCO2e/kg.km]*Calculations[[#This Row],[Total Kg]],0)</f>
        <v>0</v>
      </c>
      <c r="V734" s="322" cm="1">
        <f t="array" ref="V734">IFERROR(VLOOKUP(Calculations[[#This Row],[Waste 1]],WasteScenario[#All],4,FALSE)*'Stage assumptions'!$C$223*WasteTransportMethod[Emissions Factor
kgCO2e/kg.km]*Calculations[[#This Row],[Total Kg]],0)</f>
        <v>0</v>
      </c>
      <c r="W734" s="322" cm="1">
        <f t="array" ref="W734">IFERROR(VLOOKUP(Calculations[[#This Row],[Waste 1]],WasteScenario[#All],5,FALSE)*'Stage assumptions'!$C$226*WasteTransportMethod[Emissions Factor
kgCO2e/kg.km]*Calculations[[#This Row],[Total Kg]],0)</f>
        <v>0</v>
      </c>
      <c r="X734" s="322">
        <f>SUM(Calculations[[#This Row],[C2 Recycle]:[C2 Reuse]])</f>
        <v>0</v>
      </c>
      <c r="Y734" t="str">
        <f>IFERROR(VLOOKUP(Calculations[[#This Row],[Material (choose from dropdown]],MaterialData[#All],5,FALSE),"")</f>
        <v/>
      </c>
      <c r="Z734" s="322">
        <f>IFERROR(((VLOOKUP(Calculations[[#This Row],[Waste type 2]],WasteDisposalEmissions[#All],2,FALSE))*Calculations[[#This Row],[Total Kg]])*VLOOKUP(Calculations[[#This Row],[Waste 1]],WasteScenario[#All],2,FALSE),0)</f>
        <v>0</v>
      </c>
      <c r="AA734" s="322">
        <f>IFERROR((VLOOKUP(Calculations[[#This Row],[Waste type 2]],WasteDisposalEmissions[#All],3,FALSE))*Calculations[[#This Row],[Total Kg]]*VLOOKUP(Calculations[[#This Row],[Waste 1]],WasteScenario[#All],3,FALSE),0)</f>
        <v>0</v>
      </c>
      <c r="AB734" s="322">
        <f>SUM(Calculations[[#This Row],[C3 recyc]:[C3 incin]])</f>
        <v>0</v>
      </c>
      <c r="AC734" s="334">
        <f>IFERROR((VLOOKUP(Calculations[[#This Row],[Waste type 2]],WasteLandfillEmissions[#All],2,FALSE))*Calculations[[#This Row],[Total Kg]]*VLOOKUP(Calculations[[#This Row],[Waste 1]],WasteScenario[#All],4,FALSE),0)</f>
        <v>0</v>
      </c>
      <c r="AD734" s="322">
        <f>IFERROR((VLOOKUP(Calculations[[#This Row],[Waste type 2]],WasteLandfillEmissions[#All],3,FALSE))*Calculations[[#This Row],[Total Kg]]*VLOOKUP(Calculations[[#This Row],[Waste 1]],WasteScenario[#All],4,FALSE),0)</f>
        <v>0</v>
      </c>
      <c r="AE734" s="322">
        <f>SUM(Calculations[[#This Row],[C4 landfill]:[C4 re-use]])</f>
        <v>0</v>
      </c>
      <c r="AF734" s="322">
        <f>IFERROR(VLOOKUP(Calculations[[#This Row],[Material (choose from dropdown]],MaterialData[#All],8,FALSE),0)</f>
        <v>0</v>
      </c>
      <c r="AG734" s="322">
        <f>IFERROR(Calculations[[#This Row],[Total Kg]]*Calculations[[#This Row],[Seq factor]],0)</f>
        <v>0</v>
      </c>
      <c r="AI734" s="322">
        <f>Calculations[[#This Row],[A1-3]]+Calculations[[#This Row],[A4]]+Calculations[[#This Row],[A5]]+Calculations[[#This Row],[B4]]+Calculations[[#This Row],[C2 total]]+Calculations[[#This Row],[C3 total]]+Calculations[[#This Row],[C4 total]]</f>
        <v>0</v>
      </c>
      <c r="AJ734" s="2">
        <f>IFERROR(VLOOKUP(Calculations[[#This Row],[Material (choose from dropdown]],MaterialData[[#Headers],[#Data]],9,FALSE),0)</f>
        <v>0</v>
      </c>
      <c r="AK734" s="4">
        <f>IFERROR(VLOOKUP(Calculations[[#This Row],[Material (choose from dropdown]],MaterialData[[#Headers],[#Data]],10,FALSE),0)</f>
        <v>0</v>
      </c>
      <c r="AL734" s="322">
        <f>IFERROR(Calculations[[#This Row],[Data Quality Score]]*Calculations[[#This Row],[Total Kg]],0)</f>
        <v>0</v>
      </c>
    </row>
    <row r="735" spans="1:38" x14ac:dyDescent="0.3">
      <c r="A735" s="6">
        <f>IFERROR(MaterialsBoQ[[#This Row],[Scope Element]],0)</f>
        <v>0</v>
      </c>
      <c r="B735" t="str">
        <f>IFERROR(MaterialsBoQ[[#This Row],[Material ]],"")</f>
        <v/>
      </c>
      <c r="C735" t="str">
        <f>IFERROR(MaterialsBoQ[[#This Row],[Unit]],"")</f>
        <v/>
      </c>
      <c r="D735" s="322">
        <f>IFERROR(MaterialsBoQ[[#This Row],[Number]],0)</f>
        <v>0</v>
      </c>
      <c r="E735" s="322">
        <f>IFERROR(MaterialsBoQ[[#This Row],[Kg per unit]],0)</f>
        <v>0</v>
      </c>
      <c r="F735" s="322">
        <f>IFERROR(Calculations[[#This Row],[Number]]*Calculations[[#This Row],[Conversion factor]],0)</f>
        <v>0</v>
      </c>
      <c r="G735" s="322">
        <f>IFERROR(VLOOKUP(Calculations[[#This Row],[Material (choose from dropdown]],MaterialData[#All],7,FALSE),0)</f>
        <v>0</v>
      </c>
      <c r="H735" s="322">
        <f>Calculations[[#This Row],[Total Kg]]*Calculations[[#This Row],[Carbon Factor]]</f>
        <v>0</v>
      </c>
      <c r="I735" t="str">
        <f>IFERROR(VLOOKUP(Calculations[[#This Row],[Material (choose from dropdown]],MaterialData[#All],2,FALSE),"")</f>
        <v/>
      </c>
      <c r="J735" s="322">
        <f>IFERROR(((VLOOKUP(Calculations[[#This Row],[TransportSource]],TransportDistance[],2,FALSE)*'Stage assumptions'!$C$11)+VLOOKUP(Calculations[[#This Row],[TransportSource]],TransportDistance[],3,FALSE)*'Stage assumptions'!$C$12)*Calculations[[#This Row],[Total Kg]],0)</f>
        <v>0</v>
      </c>
      <c r="K735">
        <f>IFERROR(VLOOKUP(Calculations[[#This Row],[Material (choose from dropdown]], MaterialData[#All],3, FALSE),0)</f>
        <v>0</v>
      </c>
      <c r="L735" s="322">
        <f>IFERROR(VLOOKUP(Calculations[[#This Row],[A5type]],A5WastageRate[#All],2,FALSE)*Calculations[[#This Row],[A1-3]],0)</f>
        <v>0</v>
      </c>
      <c r="N735">
        <f>IFERROR(ROUNDUP(50/VLOOKUP(Calculations[[#This Row],[Scope Element]],B4referenceServiceLife[[Tier 2 element]:[Default Service Life]],2, FALSE)-1,0),0)</f>
        <v>0</v>
      </c>
      <c r="O735" s="322">
        <f>IFERROR((Calculations[[#This Row],[A1-3]]+Calculations[[#This Row],[A4]]+Calculations[[#This Row],[A5]]+Calculations[[#This Row],[C2 total]]+Calculations[[#This Row],[C3 total]]+Calculations[[#This Row],[C4 total]])*Calculations[[#This Row],[Replacements]],0)</f>
        <v>0</v>
      </c>
      <c r="S735" t="str">
        <f>IFERROR(VLOOKUP(Calculations[[#This Row],[Material (choose from dropdown]],MaterialData[#All],4,FALSE),"")</f>
        <v/>
      </c>
      <c r="T735" s="322" cm="1">
        <f t="array" ref="T735">IFERROR(VLOOKUP(Calculations[[#This Row],[Waste 1]],WasteScenario[#All],2,FALSE)*'Stage assumptions'!$C$225*WasteTransportMethod[Emissions Factor
kgCO2e/kg.km]*Calculations[[#This Row],[Total Kg]],0)</f>
        <v>0</v>
      </c>
      <c r="U735" s="322" cm="1">
        <f t="array" ref="U735">IFERROR(VLOOKUP(Calculations[[#This Row],[Waste 1]],WasteScenario[#All],3,FALSE)*'Stage assumptions'!$C$224*WasteTransportMethod[Emissions Factor
kgCO2e/kg.km]*Calculations[[#This Row],[Total Kg]],0)</f>
        <v>0</v>
      </c>
      <c r="V735" s="322" cm="1">
        <f t="array" ref="V735">IFERROR(VLOOKUP(Calculations[[#This Row],[Waste 1]],WasteScenario[#All],4,FALSE)*'Stage assumptions'!$C$223*WasteTransportMethod[Emissions Factor
kgCO2e/kg.km]*Calculations[[#This Row],[Total Kg]],0)</f>
        <v>0</v>
      </c>
      <c r="W735" s="322" cm="1">
        <f t="array" ref="W735">IFERROR(VLOOKUP(Calculations[[#This Row],[Waste 1]],WasteScenario[#All],5,FALSE)*'Stage assumptions'!$C$226*WasteTransportMethod[Emissions Factor
kgCO2e/kg.km]*Calculations[[#This Row],[Total Kg]],0)</f>
        <v>0</v>
      </c>
      <c r="X735" s="322">
        <f>SUM(Calculations[[#This Row],[C2 Recycle]:[C2 Reuse]])</f>
        <v>0</v>
      </c>
      <c r="Y735" t="str">
        <f>IFERROR(VLOOKUP(Calculations[[#This Row],[Material (choose from dropdown]],MaterialData[#All],5,FALSE),"")</f>
        <v/>
      </c>
      <c r="Z735" s="322">
        <f>IFERROR(((VLOOKUP(Calculations[[#This Row],[Waste type 2]],WasteDisposalEmissions[#All],2,FALSE))*Calculations[[#This Row],[Total Kg]])*VLOOKUP(Calculations[[#This Row],[Waste 1]],WasteScenario[#All],2,FALSE),0)</f>
        <v>0</v>
      </c>
      <c r="AA735" s="322">
        <f>IFERROR((VLOOKUP(Calculations[[#This Row],[Waste type 2]],WasteDisposalEmissions[#All],3,FALSE))*Calculations[[#This Row],[Total Kg]]*VLOOKUP(Calculations[[#This Row],[Waste 1]],WasteScenario[#All],3,FALSE),0)</f>
        <v>0</v>
      </c>
      <c r="AB735" s="322">
        <f>SUM(Calculations[[#This Row],[C3 recyc]:[C3 incin]])</f>
        <v>0</v>
      </c>
      <c r="AC735" s="334">
        <f>IFERROR((VLOOKUP(Calculations[[#This Row],[Waste type 2]],WasteLandfillEmissions[#All],2,FALSE))*Calculations[[#This Row],[Total Kg]]*VLOOKUP(Calculations[[#This Row],[Waste 1]],WasteScenario[#All],4,FALSE),0)</f>
        <v>0</v>
      </c>
      <c r="AD735" s="322">
        <f>IFERROR((VLOOKUP(Calculations[[#This Row],[Waste type 2]],WasteLandfillEmissions[#All],3,FALSE))*Calculations[[#This Row],[Total Kg]]*VLOOKUP(Calculations[[#This Row],[Waste 1]],WasteScenario[#All],4,FALSE),0)</f>
        <v>0</v>
      </c>
      <c r="AE735" s="322">
        <f>SUM(Calculations[[#This Row],[C4 landfill]:[C4 re-use]])</f>
        <v>0</v>
      </c>
      <c r="AF735" s="322">
        <f>IFERROR(VLOOKUP(Calculations[[#This Row],[Material (choose from dropdown]],MaterialData[#All],8,FALSE),0)</f>
        <v>0</v>
      </c>
      <c r="AG735" s="322">
        <f>IFERROR(Calculations[[#This Row],[Total Kg]]*Calculations[[#This Row],[Seq factor]],0)</f>
        <v>0</v>
      </c>
      <c r="AI735" s="322">
        <f>Calculations[[#This Row],[A1-3]]+Calculations[[#This Row],[A4]]+Calculations[[#This Row],[A5]]+Calculations[[#This Row],[B4]]+Calculations[[#This Row],[C2 total]]+Calculations[[#This Row],[C3 total]]+Calculations[[#This Row],[C4 total]]</f>
        <v>0</v>
      </c>
      <c r="AJ735" s="2">
        <f>IFERROR(VLOOKUP(Calculations[[#This Row],[Material (choose from dropdown]],MaterialData[[#Headers],[#Data]],9,FALSE),0)</f>
        <v>0</v>
      </c>
      <c r="AK735" s="4">
        <f>IFERROR(VLOOKUP(Calculations[[#This Row],[Material (choose from dropdown]],MaterialData[[#Headers],[#Data]],10,FALSE),0)</f>
        <v>0</v>
      </c>
      <c r="AL735" s="322">
        <f>IFERROR(Calculations[[#This Row],[Data Quality Score]]*Calculations[[#This Row],[Total Kg]],0)</f>
        <v>0</v>
      </c>
    </row>
    <row r="736" spans="1:38" x14ac:dyDescent="0.3">
      <c r="A736" s="6">
        <f>IFERROR(MaterialsBoQ[[#This Row],[Scope Element]],0)</f>
        <v>0</v>
      </c>
      <c r="B736" t="str">
        <f>IFERROR(MaterialsBoQ[[#This Row],[Material ]],"")</f>
        <v/>
      </c>
      <c r="C736" t="str">
        <f>IFERROR(MaterialsBoQ[[#This Row],[Unit]],"")</f>
        <v/>
      </c>
      <c r="D736" s="322">
        <f>IFERROR(MaterialsBoQ[[#This Row],[Number]],0)</f>
        <v>0</v>
      </c>
      <c r="E736" s="322">
        <f>IFERROR(MaterialsBoQ[[#This Row],[Kg per unit]],0)</f>
        <v>0</v>
      </c>
      <c r="F736" s="322">
        <f>IFERROR(Calculations[[#This Row],[Number]]*Calculations[[#This Row],[Conversion factor]],0)</f>
        <v>0</v>
      </c>
      <c r="G736" s="322">
        <f>IFERROR(VLOOKUP(Calculations[[#This Row],[Material (choose from dropdown]],MaterialData[#All],7,FALSE),0)</f>
        <v>0</v>
      </c>
      <c r="H736" s="322">
        <f>Calculations[[#This Row],[Total Kg]]*Calculations[[#This Row],[Carbon Factor]]</f>
        <v>0</v>
      </c>
      <c r="I736" t="str">
        <f>IFERROR(VLOOKUP(Calculations[[#This Row],[Material (choose from dropdown]],MaterialData[#All],2,FALSE),"")</f>
        <v/>
      </c>
      <c r="J736" s="322">
        <f>IFERROR(((VLOOKUP(Calculations[[#This Row],[TransportSource]],TransportDistance[],2,FALSE)*'Stage assumptions'!$C$11)+VLOOKUP(Calculations[[#This Row],[TransportSource]],TransportDistance[],3,FALSE)*'Stage assumptions'!$C$12)*Calculations[[#This Row],[Total Kg]],0)</f>
        <v>0</v>
      </c>
      <c r="K736">
        <f>IFERROR(VLOOKUP(Calculations[[#This Row],[Material (choose from dropdown]], MaterialData[#All],3, FALSE),0)</f>
        <v>0</v>
      </c>
      <c r="L736" s="322">
        <f>IFERROR(VLOOKUP(Calculations[[#This Row],[A5type]],A5WastageRate[#All],2,FALSE)*Calculations[[#This Row],[A1-3]],0)</f>
        <v>0</v>
      </c>
      <c r="N736">
        <f>IFERROR(ROUNDUP(50/VLOOKUP(Calculations[[#This Row],[Scope Element]],B4referenceServiceLife[[Tier 2 element]:[Default Service Life]],2, FALSE)-1,0),0)</f>
        <v>0</v>
      </c>
      <c r="O736" s="322">
        <f>IFERROR((Calculations[[#This Row],[A1-3]]+Calculations[[#This Row],[A4]]+Calculations[[#This Row],[A5]]+Calculations[[#This Row],[C2 total]]+Calculations[[#This Row],[C3 total]]+Calculations[[#This Row],[C4 total]])*Calculations[[#This Row],[Replacements]],0)</f>
        <v>0</v>
      </c>
      <c r="S736" t="str">
        <f>IFERROR(VLOOKUP(Calculations[[#This Row],[Material (choose from dropdown]],MaterialData[#All],4,FALSE),"")</f>
        <v/>
      </c>
      <c r="T736" s="322" cm="1">
        <f t="array" ref="T736">IFERROR(VLOOKUP(Calculations[[#This Row],[Waste 1]],WasteScenario[#All],2,FALSE)*'Stage assumptions'!$C$225*WasteTransportMethod[Emissions Factor
kgCO2e/kg.km]*Calculations[[#This Row],[Total Kg]],0)</f>
        <v>0</v>
      </c>
      <c r="U736" s="322" cm="1">
        <f t="array" ref="U736">IFERROR(VLOOKUP(Calculations[[#This Row],[Waste 1]],WasteScenario[#All],3,FALSE)*'Stage assumptions'!$C$224*WasteTransportMethod[Emissions Factor
kgCO2e/kg.km]*Calculations[[#This Row],[Total Kg]],0)</f>
        <v>0</v>
      </c>
      <c r="V736" s="322" cm="1">
        <f t="array" ref="V736">IFERROR(VLOOKUP(Calculations[[#This Row],[Waste 1]],WasteScenario[#All],4,FALSE)*'Stage assumptions'!$C$223*WasteTransportMethod[Emissions Factor
kgCO2e/kg.km]*Calculations[[#This Row],[Total Kg]],0)</f>
        <v>0</v>
      </c>
      <c r="W736" s="322" cm="1">
        <f t="array" ref="W736">IFERROR(VLOOKUP(Calculations[[#This Row],[Waste 1]],WasteScenario[#All],5,FALSE)*'Stage assumptions'!$C$226*WasteTransportMethod[Emissions Factor
kgCO2e/kg.km]*Calculations[[#This Row],[Total Kg]],0)</f>
        <v>0</v>
      </c>
      <c r="X736" s="322">
        <f>SUM(Calculations[[#This Row],[C2 Recycle]:[C2 Reuse]])</f>
        <v>0</v>
      </c>
      <c r="Y736" t="str">
        <f>IFERROR(VLOOKUP(Calculations[[#This Row],[Material (choose from dropdown]],MaterialData[#All],5,FALSE),"")</f>
        <v/>
      </c>
      <c r="Z736" s="322">
        <f>IFERROR(((VLOOKUP(Calculations[[#This Row],[Waste type 2]],WasteDisposalEmissions[#All],2,FALSE))*Calculations[[#This Row],[Total Kg]])*VLOOKUP(Calculations[[#This Row],[Waste 1]],WasteScenario[#All],2,FALSE),0)</f>
        <v>0</v>
      </c>
      <c r="AA736" s="322">
        <f>IFERROR((VLOOKUP(Calculations[[#This Row],[Waste type 2]],WasteDisposalEmissions[#All],3,FALSE))*Calculations[[#This Row],[Total Kg]]*VLOOKUP(Calculations[[#This Row],[Waste 1]],WasteScenario[#All],3,FALSE),0)</f>
        <v>0</v>
      </c>
      <c r="AB736" s="322">
        <f>SUM(Calculations[[#This Row],[C3 recyc]:[C3 incin]])</f>
        <v>0</v>
      </c>
      <c r="AC736" s="334">
        <f>IFERROR((VLOOKUP(Calculations[[#This Row],[Waste type 2]],WasteLandfillEmissions[#All],2,FALSE))*Calculations[[#This Row],[Total Kg]]*VLOOKUP(Calculations[[#This Row],[Waste 1]],WasteScenario[#All],4,FALSE),0)</f>
        <v>0</v>
      </c>
      <c r="AD736" s="322">
        <f>IFERROR((VLOOKUP(Calculations[[#This Row],[Waste type 2]],WasteLandfillEmissions[#All],3,FALSE))*Calculations[[#This Row],[Total Kg]]*VLOOKUP(Calculations[[#This Row],[Waste 1]],WasteScenario[#All],4,FALSE),0)</f>
        <v>0</v>
      </c>
      <c r="AE736" s="322">
        <f>SUM(Calculations[[#This Row],[C4 landfill]:[C4 re-use]])</f>
        <v>0</v>
      </c>
      <c r="AF736" s="322">
        <f>IFERROR(VLOOKUP(Calculations[[#This Row],[Material (choose from dropdown]],MaterialData[#All],8,FALSE),0)</f>
        <v>0</v>
      </c>
      <c r="AG736" s="322">
        <f>IFERROR(Calculations[[#This Row],[Total Kg]]*Calculations[[#This Row],[Seq factor]],0)</f>
        <v>0</v>
      </c>
      <c r="AI736" s="322">
        <f>Calculations[[#This Row],[A1-3]]+Calculations[[#This Row],[A4]]+Calculations[[#This Row],[A5]]+Calculations[[#This Row],[B4]]+Calculations[[#This Row],[C2 total]]+Calculations[[#This Row],[C3 total]]+Calculations[[#This Row],[C4 total]]</f>
        <v>0</v>
      </c>
      <c r="AJ736" s="2">
        <f>IFERROR(VLOOKUP(Calculations[[#This Row],[Material (choose from dropdown]],MaterialData[[#Headers],[#Data]],9,FALSE),0)</f>
        <v>0</v>
      </c>
      <c r="AK736" s="4">
        <f>IFERROR(VLOOKUP(Calculations[[#This Row],[Material (choose from dropdown]],MaterialData[[#Headers],[#Data]],10,FALSE),0)</f>
        <v>0</v>
      </c>
      <c r="AL736" s="322">
        <f>IFERROR(Calculations[[#This Row],[Data Quality Score]]*Calculations[[#This Row],[Total Kg]],0)</f>
        <v>0</v>
      </c>
    </row>
    <row r="737" spans="1:38" x14ac:dyDescent="0.3">
      <c r="A737" s="6">
        <f>IFERROR(MaterialsBoQ[[#This Row],[Scope Element]],0)</f>
        <v>0</v>
      </c>
      <c r="B737" t="str">
        <f>IFERROR(MaterialsBoQ[[#This Row],[Material ]],"")</f>
        <v/>
      </c>
      <c r="C737" t="str">
        <f>IFERROR(MaterialsBoQ[[#This Row],[Unit]],"")</f>
        <v/>
      </c>
      <c r="D737" s="322">
        <f>IFERROR(MaterialsBoQ[[#This Row],[Number]],0)</f>
        <v>0</v>
      </c>
      <c r="E737" s="322">
        <f>IFERROR(MaterialsBoQ[[#This Row],[Kg per unit]],0)</f>
        <v>0</v>
      </c>
      <c r="F737" s="322">
        <f>IFERROR(Calculations[[#This Row],[Number]]*Calculations[[#This Row],[Conversion factor]],0)</f>
        <v>0</v>
      </c>
      <c r="G737" s="322">
        <f>IFERROR(VLOOKUP(Calculations[[#This Row],[Material (choose from dropdown]],MaterialData[#All],7,FALSE),0)</f>
        <v>0</v>
      </c>
      <c r="H737" s="322">
        <f>Calculations[[#This Row],[Total Kg]]*Calculations[[#This Row],[Carbon Factor]]</f>
        <v>0</v>
      </c>
      <c r="I737" t="str">
        <f>IFERROR(VLOOKUP(Calculations[[#This Row],[Material (choose from dropdown]],MaterialData[#All],2,FALSE),"")</f>
        <v/>
      </c>
      <c r="J737" s="322">
        <f>IFERROR(((VLOOKUP(Calculations[[#This Row],[TransportSource]],TransportDistance[],2,FALSE)*'Stage assumptions'!$C$11)+VLOOKUP(Calculations[[#This Row],[TransportSource]],TransportDistance[],3,FALSE)*'Stage assumptions'!$C$12)*Calculations[[#This Row],[Total Kg]],0)</f>
        <v>0</v>
      </c>
      <c r="K737">
        <f>IFERROR(VLOOKUP(Calculations[[#This Row],[Material (choose from dropdown]], MaterialData[#All],3, FALSE),0)</f>
        <v>0</v>
      </c>
      <c r="L737" s="322">
        <f>IFERROR(VLOOKUP(Calculations[[#This Row],[A5type]],A5WastageRate[#All],2,FALSE)*Calculations[[#This Row],[A1-3]],0)</f>
        <v>0</v>
      </c>
      <c r="N737">
        <f>IFERROR(ROUNDUP(50/VLOOKUP(Calculations[[#This Row],[Scope Element]],B4referenceServiceLife[[Tier 2 element]:[Default Service Life]],2, FALSE)-1,0),0)</f>
        <v>0</v>
      </c>
      <c r="O737" s="322">
        <f>IFERROR((Calculations[[#This Row],[A1-3]]+Calculations[[#This Row],[A4]]+Calculations[[#This Row],[A5]]+Calculations[[#This Row],[C2 total]]+Calculations[[#This Row],[C3 total]]+Calculations[[#This Row],[C4 total]])*Calculations[[#This Row],[Replacements]],0)</f>
        <v>0</v>
      </c>
      <c r="S737" t="str">
        <f>IFERROR(VLOOKUP(Calculations[[#This Row],[Material (choose from dropdown]],MaterialData[#All],4,FALSE),"")</f>
        <v/>
      </c>
      <c r="T737" s="322" cm="1">
        <f t="array" ref="T737">IFERROR(VLOOKUP(Calculations[[#This Row],[Waste 1]],WasteScenario[#All],2,FALSE)*'Stage assumptions'!$C$225*WasteTransportMethod[Emissions Factor
kgCO2e/kg.km]*Calculations[[#This Row],[Total Kg]],0)</f>
        <v>0</v>
      </c>
      <c r="U737" s="322" cm="1">
        <f t="array" ref="U737">IFERROR(VLOOKUP(Calculations[[#This Row],[Waste 1]],WasteScenario[#All],3,FALSE)*'Stage assumptions'!$C$224*WasteTransportMethod[Emissions Factor
kgCO2e/kg.km]*Calculations[[#This Row],[Total Kg]],0)</f>
        <v>0</v>
      </c>
      <c r="V737" s="322" cm="1">
        <f t="array" ref="V737">IFERROR(VLOOKUP(Calculations[[#This Row],[Waste 1]],WasteScenario[#All],4,FALSE)*'Stage assumptions'!$C$223*WasteTransportMethod[Emissions Factor
kgCO2e/kg.km]*Calculations[[#This Row],[Total Kg]],0)</f>
        <v>0</v>
      </c>
      <c r="W737" s="322" cm="1">
        <f t="array" ref="W737">IFERROR(VLOOKUP(Calculations[[#This Row],[Waste 1]],WasteScenario[#All],5,FALSE)*'Stage assumptions'!$C$226*WasteTransportMethod[Emissions Factor
kgCO2e/kg.km]*Calculations[[#This Row],[Total Kg]],0)</f>
        <v>0</v>
      </c>
      <c r="X737" s="322">
        <f>SUM(Calculations[[#This Row],[C2 Recycle]:[C2 Reuse]])</f>
        <v>0</v>
      </c>
      <c r="Y737" t="str">
        <f>IFERROR(VLOOKUP(Calculations[[#This Row],[Material (choose from dropdown]],MaterialData[#All],5,FALSE),"")</f>
        <v/>
      </c>
      <c r="Z737" s="322">
        <f>IFERROR(((VLOOKUP(Calculations[[#This Row],[Waste type 2]],WasteDisposalEmissions[#All],2,FALSE))*Calculations[[#This Row],[Total Kg]])*VLOOKUP(Calculations[[#This Row],[Waste 1]],WasteScenario[#All],2,FALSE),0)</f>
        <v>0</v>
      </c>
      <c r="AA737" s="322">
        <f>IFERROR((VLOOKUP(Calculations[[#This Row],[Waste type 2]],WasteDisposalEmissions[#All],3,FALSE))*Calculations[[#This Row],[Total Kg]]*VLOOKUP(Calculations[[#This Row],[Waste 1]],WasteScenario[#All],3,FALSE),0)</f>
        <v>0</v>
      </c>
      <c r="AB737" s="322">
        <f>SUM(Calculations[[#This Row],[C3 recyc]:[C3 incin]])</f>
        <v>0</v>
      </c>
      <c r="AC737" s="334">
        <f>IFERROR((VLOOKUP(Calculations[[#This Row],[Waste type 2]],WasteLandfillEmissions[#All],2,FALSE))*Calculations[[#This Row],[Total Kg]]*VLOOKUP(Calculations[[#This Row],[Waste 1]],WasteScenario[#All],4,FALSE),0)</f>
        <v>0</v>
      </c>
      <c r="AD737" s="322">
        <f>IFERROR((VLOOKUP(Calculations[[#This Row],[Waste type 2]],WasteLandfillEmissions[#All],3,FALSE))*Calculations[[#This Row],[Total Kg]]*VLOOKUP(Calculations[[#This Row],[Waste 1]],WasteScenario[#All],4,FALSE),0)</f>
        <v>0</v>
      </c>
      <c r="AE737" s="322">
        <f>SUM(Calculations[[#This Row],[C4 landfill]:[C4 re-use]])</f>
        <v>0</v>
      </c>
      <c r="AF737" s="322">
        <f>IFERROR(VLOOKUP(Calculations[[#This Row],[Material (choose from dropdown]],MaterialData[#All],8,FALSE),0)</f>
        <v>0</v>
      </c>
      <c r="AG737" s="322">
        <f>IFERROR(Calculations[[#This Row],[Total Kg]]*Calculations[[#This Row],[Seq factor]],0)</f>
        <v>0</v>
      </c>
      <c r="AI737" s="322">
        <f>Calculations[[#This Row],[A1-3]]+Calculations[[#This Row],[A4]]+Calculations[[#This Row],[A5]]+Calculations[[#This Row],[B4]]+Calculations[[#This Row],[C2 total]]+Calculations[[#This Row],[C3 total]]+Calculations[[#This Row],[C4 total]]</f>
        <v>0</v>
      </c>
      <c r="AJ737" s="2">
        <f>IFERROR(VLOOKUP(Calculations[[#This Row],[Material (choose from dropdown]],MaterialData[[#Headers],[#Data]],9,FALSE),0)</f>
        <v>0</v>
      </c>
      <c r="AK737" s="4">
        <f>IFERROR(VLOOKUP(Calculations[[#This Row],[Material (choose from dropdown]],MaterialData[[#Headers],[#Data]],10,FALSE),0)</f>
        <v>0</v>
      </c>
      <c r="AL737" s="322">
        <f>IFERROR(Calculations[[#This Row],[Data Quality Score]]*Calculations[[#This Row],[Total Kg]],0)</f>
        <v>0</v>
      </c>
    </row>
    <row r="738" spans="1:38" x14ac:dyDescent="0.3">
      <c r="A738" s="6">
        <f>IFERROR(MaterialsBoQ[[#This Row],[Scope Element]],0)</f>
        <v>0</v>
      </c>
      <c r="B738" t="str">
        <f>IFERROR(MaterialsBoQ[[#This Row],[Material ]],"")</f>
        <v/>
      </c>
      <c r="C738" t="str">
        <f>IFERROR(MaterialsBoQ[[#This Row],[Unit]],"")</f>
        <v/>
      </c>
      <c r="D738" s="322">
        <f>IFERROR(MaterialsBoQ[[#This Row],[Number]],0)</f>
        <v>0</v>
      </c>
      <c r="E738" s="322">
        <f>IFERROR(MaterialsBoQ[[#This Row],[Kg per unit]],0)</f>
        <v>0</v>
      </c>
      <c r="F738" s="322">
        <f>IFERROR(Calculations[[#This Row],[Number]]*Calculations[[#This Row],[Conversion factor]],0)</f>
        <v>0</v>
      </c>
      <c r="G738" s="322">
        <f>IFERROR(VLOOKUP(Calculations[[#This Row],[Material (choose from dropdown]],MaterialData[#All],7,FALSE),0)</f>
        <v>0</v>
      </c>
      <c r="H738" s="322">
        <f>Calculations[[#This Row],[Total Kg]]*Calculations[[#This Row],[Carbon Factor]]</f>
        <v>0</v>
      </c>
      <c r="I738" t="str">
        <f>IFERROR(VLOOKUP(Calculations[[#This Row],[Material (choose from dropdown]],MaterialData[#All],2,FALSE),"")</f>
        <v/>
      </c>
      <c r="J738" s="322">
        <f>IFERROR(((VLOOKUP(Calculations[[#This Row],[TransportSource]],TransportDistance[],2,FALSE)*'Stage assumptions'!$C$11)+VLOOKUP(Calculations[[#This Row],[TransportSource]],TransportDistance[],3,FALSE)*'Stage assumptions'!$C$12)*Calculations[[#This Row],[Total Kg]],0)</f>
        <v>0</v>
      </c>
      <c r="K738">
        <f>IFERROR(VLOOKUP(Calculations[[#This Row],[Material (choose from dropdown]], MaterialData[#All],3, FALSE),0)</f>
        <v>0</v>
      </c>
      <c r="L738" s="322">
        <f>IFERROR(VLOOKUP(Calculations[[#This Row],[A5type]],A5WastageRate[#All],2,FALSE)*Calculations[[#This Row],[A1-3]],0)</f>
        <v>0</v>
      </c>
      <c r="N738">
        <f>IFERROR(ROUNDUP(50/VLOOKUP(Calculations[[#This Row],[Scope Element]],B4referenceServiceLife[[Tier 2 element]:[Default Service Life]],2, FALSE)-1,0),0)</f>
        <v>0</v>
      </c>
      <c r="O738" s="322">
        <f>IFERROR((Calculations[[#This Row],[A1-3]]+Calculations[[#This Row],[A4]]+Calculations[[#This Row],[A5]]+Calculations[[#This Row],[C2 total]]+Calculations[[#This Row],[C3 total]]+Calculations[[#This Row],[C4 total]])*Calculations[[#This Row],[Replacements]],0)</f>
        <v>0</v>
      </c>
      <c r="S738" t="str">
        <f>IFERROR(VLOOKUP(Calculations[[#This Row],[Material (choose from dropdown]],MaterialData[#All],4,FALSE),"")</f>
        <v/>
      </c>
      <c r="T738" s="322" cm="1">
        <f t="array" ref="T738">IFERROR(VLOOKUP(Calculations[[#This Row],[Waste 1]],WasteScenario[#All],2,FALSE)*'Stage assumptions'!$C$225*WasteTransportMethod[Emissions Factor
kgCO2e/kg.km]*Calculations[[#This Row],[Total Kg]],0)</f>
        <v>0</v>
      </c>
      <c r="U738" s="322" cm="1">
        <f t="array" ref="U738">IFERROR(VLOOKUP(Calculations[[#This Row],[Waste 1]],WasteScenario[#All],3,FALSE)*'Stage assumptions'!$C$224*WasteTransportMethod[Emissions Factor
kgCO2e/kg.km]*Calculations[[#This Row],[Total Kg]],0)</f>
        <v>0</v>
      </c>
      <c r="V738" s="322" cm="1">
        <f t="array" ref="V738">IFERROR(VLOOKUP(Calculations[[#This Row],[Waste 1]],WasteScenario[#All],4,FALSE)*'Stage assumptions'!$C$223*WasteTransportMethod[Emissions Factor
kgCO2e/kg.km]*Calculations[[#This Row],[Total Kg]],0)</f>
        <v>0</v>
      </c>
      <c r="W738" s="322" cm="1">
        <f t="array" ref="W738">IFERROR(VLOOKUP(Calculations[[#This Row],[Waste 1]],WasteScenario[#All],5,FALSE)*'Stage assumptions'!$C$226*WasteTransportMethod[Emissions Factor
kgCO2e/kg.km]*Calculations[[#This Row],[Total Kg]],0)</f>
        <v>0</v>
      </c>
      <c r="X738" s="322">
        <f>SUM(Calculations[[#This Row],[C2 Recycle]:[C2 Reuse]])</f>
        <v>0</v>
      </c>
      <c r="Y738" t="str">
        <f>IFERROR(VLOOKUP(Calculations[[#This Row],[Material (choose from dropdown]],MaterialData[#All],5,FALSE),"")</f>
        <v/>
      </c>
      <c r="Z738" s="322">
        <f>IFERROR(((VLOOKUP(Calculations[[#This Row],[Waste type 2]],WasteDisposalEmissions[#All],2,FALSE))*Calculations[[#This Row],[Total Kg]])*VLOOKUP(Calculations[[#This Row],[Waste 1]],WasteScenario[#All],2,FALSE),0)</f>
        <v>0</v>
      </c>
      <c r="AA738" s="322">
        <f>IFERROR((VLOOKUP(Calculations[[#This Row],[Waste type 2]],WasteDisposalEmissions[#All],3,FALSE))*Calculations[[#This Row],[Total Kg]]*VLOOKUP(Calculations[[#This Row],[Waste 1]],WasteScenario[#All],3,FALSE),0)</f>
        <v>0</v>
      </c>
      <c r="AB738" s="322">
        <f>SUM(Calculations[[#This Row],[C3 recyc]:[C3 incin]])</f>
        <v>0</v>
      </c>
      <c r="AC738" s="334">
        <f>IFERROR((VLOOKUP(Calculations[[#This Row],[Waste type 2]],WasteLandfillEmissions[#All],2,FALSE))*Calculations[[#This Row],[Total Kg]]*VLOOKUP(Calculations[[#This Row],[Waste 1]],WasteScenario[#All],4,FALSE),0)</f>
        <v>0</v>
      </c>
      <c r="AD738" s="322">
        <f>IFERROR((VLOOKUP(Calculations[[#This Row],[Waste type 2]],WasteLandfillEmissions[#All],3,FALSE))*Calculations[[#This Row],[Total Kg]]*VLOOKUP(Calculations[[#This Row],[Waste 1]],WasteScenario[#All],4,FALSE),0)</f>
        <v>0</v>
      </c>
      <c r="AE738" s="322">
        <f>SUM(Calculations[[#This Row],[C4 landfill]:[C4 re-use]])</f>
        <v>0</v>
      </c>
      <c r="AF738" s="322">
        <f>IFERROR(VLOOKUP(Calculations[[#This Row],[Material (choose from dropdown]],MaterialData[#All],8,FALSE),0)</f>
        <v>0</v>
      </c>
      <c r="AG738" s="322">
        <f>IFERROR(Calculations[[#This Row],[Total Kg]]*Calculations[[#This Row],[Seq factor]],0)</f>
        <v>0</v>
      </c>
      <c r="AI738" s="322">
        <f>Calculations[[#This Row],[A1-3]]+Calculations[[#This Row],[A4]]+Calculations[[#This Row],[A5]]+Calculations[[#This Row],[B4]]+Calculations[[#This Row],[C2 total]]+Calculations[[#This Row],[C3 total]]+Calculations[[#This Row],[C4 total]]</f>
        <v>0</v>
      </c>
      <c r="AJ738" s="2">
        <f>IFERROR(VLOOKUP(Calculations[[#This Row],[Material (choose from dropdown]],MaterialData[[#Headers],[#Data]],9,FALSE),0)</f>
        <v>0</v>
      </c>
      <c r="AK738" s="4">
        <f>IFERROR(VLOOKUP(Calculations[[#This Row],[Material (choose from dropdown]],MaterialData[[#Headers],[#Data]],10,FALSE),0)</f>
        <v>0</v>
      </c>
      <c r="AL738" s="322">
        <f>IFERROR(Calculations[[#This Row],[Data Quality Score]]*Calculations[[#This Row],[Total Kg]],0)</f>
        <v>0</v>
      </c>
    </row>
    <row r="739" spans="1:38" x14ac:dyDescent="0.3">
      <c r="A739" s="6">
        <f>IFERROR(MaterialsBoQ[[#This Row],[Scope Element]],0)</f>
        <v>0</v>
      </c>
      <c r="B739" t="str">
        <f>IFERROR(MaterialsBoQ[[#This Row],[Material ]],"")</f>
        <v/>
      </c>
      <c r="C739" t="str">
        <f>IFERROR(MaterialsBoQ[[#This Row],[Unit]],"")</f>
        <v/>
      </c>
      <c r="D739" s="322">
        <f>IFERROR(MaterialsBoQ[[#This Row],[Number]],0)</f>
        <v>0</v>
      </c>
      <c r="E739" s="322">
        <f>IFERROR(MaterialsBoQ[[#This Row],[Kg per unit]],0)</f>
        <v>0</v>
      </c>
      <c r="F739" s="322">
        <f>IFERROR(Calculations[[#This Row],[Number]]*Calculations[[#This Row],[Conversion factor]],0)</f>
        <v>0</v>
      </c>
      <c r="G739" s="322">
        <f>IFERROR(VLOOKUP(Calculations[[#This Row],[Material (choose from dropdown]],MaterialData[#All],7,FALSE),0)</f>
        <v>0</v>
      </c>
      <c r="H739" s="322">
        <f>Calculations[[#This Row],[Total Kg]]*Calculations[[#This Row],[Carbon Factor]]</f>
        <v>0</v>
      </c>
      <c r="I739" t="str">
        <f>IFERROR(VLOOKUP(Calculations[[#This Row],[Material (choose from dropdown]],MaterialData[#All],2,FALSE),"")</f>
        <v/>
      </c>
      <c r="J739" s="322">
        <f>IFERROR(((VLOOKUP(Calculations[[#This Row],[TransportSource]],TransportDistance[],2,FALSE)*'Stage assumptions'!$C$11)+VLOOKUP(Calculations[[#This Row],[TransportSource]],TransportDistance[],3,FALSE)*'Stage assumptions'!$C$12)*Calculations[[#This Row],[Total Kg]],0)</f>
        <v>0</v>
      </c>
      <c r="K739">
        <f>IFERROR(VLOOKUP(Calculations[[#This Row],[Material (choose from dropdown]], MaterialData[#All],3, FALSE),0)</f>
        <v>0</v>
      </c>
      <c r="L739" s="322">
        <f>IFERROR(VLOOKUP(Calculations[[#This Row],[A5type]],A5WastageRate[#All],2,FALSE)*Calculations[[#This Row],[A1-3]],0)</f>
        <v>0</v>
      </c>
      <c r="N739">
        <f>IFERROR(ROUNDUP(50/VLOOKUP(Calculations[[#This Row],[Scope Element]],B4referenceServiceLife[[Tier 2 element]:[Default Service Life]],2, FALSE)-1,0),0)</f>
        <v>0</v>
      </c>
      <c r="O739" s="322">
        <f>IFERROR((Calculations[[#This Row],[A1-3]]+Calculations[[#This Row],[A4]]+Calculations[[#This Row],[A5]]+Calculations[[#This Row],[C2 total]]+Calculations[[#This Row],[C3 total]]+Calculations[[#This Row],[C4 total]])*Calculations[[#This Row],[Replacements]],0)</f>
        <v>0</v>
      </c>
      <c r="S739" t="str">
        <f>IFERROR(VLOOKUP(Calculations[[#This Row],[Material (choose from dropdown]],MaterialData[#All],4,FALSE),"")</f>
        <v/>
      </c>
      <c r="T739" s="322" cm="1">
        <f t="array" ref="T739">IFERROR(VLOOKUP(Calculations[[#This Row],[Waste 1]],WasteScenario[#All],2,FALSE)*'Stage assumptions'!$C$225*WasteTransportMethod[Emissions Factor
kgCO2e/kg.km]*Calculations[[#This Row],[Total Kg]],0)</f>
        <v>0</v>
      </c>
      <c r="U739" s="322" cm="1">
        <f t="array" ref="U739">IFERROR(VLOOKUP(Calculations[[#This Row],[Waste 1]],WasteScenario[#All],3,FALSE)*'Stage assumptions'!$C$224*WasteTransportMethod[Emissions Factor
kgCO2e/kg.km]*Calculations[[#This Row],[Total Kg]],0)</f>
        <v>0</v>
      </c>
      <c r="V739" s="322" cm="1">
        <f t="array" ref="V739">IFERROR(VLOOKUP(Calculations[[#This Row],[Waste 1]],WasteScenario[#All],4,FALSE)*'Stage assumptions'!$C$223*WasteTransportMethod[Emissions Factor
kgCO2e/kg.km]*Calculations[[#This Row],[Total Kg]],0)</f>
        <v>0</v>
      </c>
      <c r="W739" s="322" cm="1">
        <f t="array" ref="W739">IFERROR(VLOOKUP(Calculations[[#This Row],[Waste 1]],WasteScenario[#All],5,FALSE)*'Stage assumptions'!$C$226*WasteTransportMethod[Emissions Factor
kgCO2e/kg.km]*Calculations[[#This Row],[Total Kg]],0)</f>
        <v>0</v>
      </c>
      <c r="X739" s="322">
        <f>SUM(Calculations[[#This Row],[C2 Recycle]:[C2 Reuse]])</f>
        <v>0</v>
      </c>
      <c r="Y739" t="str">
        <f>IFERROR(VLOOKUP(Calculations[[#This Row],[Material (choose from dropdown]],MaterialData[#All],5,FALSE),"")</f>
        <v/>
      </c>
      <c r="Z739" s="322">
        <f>IFERROR(((VLOOKUP(Calculations[[#This Row],[Waste type 2]],WasteDisposalEmissions[#All],2,FALSE))*Calculations[[#This Row],[Total Kg]])*VLOOKUP(Calculations[[#This Row],[Waste 1]],WasteScenario[#All],2,FALSE),0)</f>
        <v>0</v>
      </c>
      <c r="AA739" s="322">
        <f>IFERROR((VLOOKUP(Calculations[[#This Row],[Waste type 2]],WasteDisposalEmissions[#All],3,FALSE))*Calculations[[#This Row],[Total Kg]]*VLOOKUP(Calculations[[#This Row],[Waste 1]],WasteScenario[#All],3,FALSE),0)</f>
        <v>0</v>
      </c>
      <c r="AB739" s="322">
        <f>SUM(Calculations[[#This Row],[C3 recyc]:[C3 incin]])</f>
        <v>0</v>
      </c>
      <c r="AC739" s="334">
        <f>IFERROR((VLOOKUP(Calculations[[#This Row],[Waste type 2]],WasteLandfillEmissions[#All],2,FALSE))*Calculations[[#This Row],[Total Kg]]*VLOOKUP(Calculations[[#This Row],[Waste 1]],WasteScenario[#All],4,FALSE),0)</f>
        <v>0</v>
      </c>
      <c r="AD739" s="322">
        <f>IFERROR((VLOOKUP(Calculations[[#This Row],[Waste type 2]],WasteLandfillEmissions[#All],3,FALSE))*Calculations[[#This Row],[Total Kg]]*VLOOKUP(Calculations[[#This Row],[Waste 1]],WasteScenario[#All],4,FALSE),0)</f>
        <v>0</v>
      </c>
      <c r="AE739" s="322">
        <f>SUM(Calculations[[#This Row],[C4 landfill]:[C4 re-use]])</f>
        <v>0</v>
      </c>
      <c r="AF739" s="322">
        <f>IFERROR(VLOOKUP(Calculations[[#This Row],[Material (choose from dropdown]],MaterialData[#All],8,FALSE),0)</f>
        <v>0</v>
      </c>
      <c r="AG739" s="322">
        <f>IFERROR(Calculations[[#This Row],[Total Kg]]*Calculations[[#This Row],[Seq factor]],0)</f>
        <v>0</v>
      </c>
      <c r="AI739" s="322">
        <f>Calculations[[#This Row],[A1-3]]+Calculations[[#This Row],[A4]]+Calculations[[#This Row],[A5]]+Calculations[[#This Row],[B4]]+Calculations[[#This Row],[C2 total]]+Calculations[[#This Row],[C3 total]]+Calculations[[#This Row],[C4 total]]</f>
        <v>0</v>
      </c>
      <c r="AJ739" s="2">
        <f>IFERROR(VLOOKUP(Calculations[[#This Row],[Material (choose from dropdown]],MaterialData[[#Headers],[#Data]],9,FALSE),0)</f>
        <v>0</v>
      </c>
      <c r="AK739" s="4">
        <f>IFERROR(VLOOKUP(Calculations[[#This Row],[Material (choose from dropdown]],MaterialData[[#Headers],[#Data]],10,FALSE),0)</f>
        <v>0</v>
      </c>
      <c r="AL739" s="322">
        <f>IFERROR(Calculations[[#This Row],[Data Quality Score]]*Calculations[[#This Row],[Total Kg]],0)</f>
        <v>0</v>
      </c>
    </row>
    <row r="740" spans="1:38" x14ac:dyDescent="0.3">
      <c r="A740" s="6">
        <f>IFERROR(MaterialsBoQ[[#This Row],[Scope Element]],0)</f>
        <v>0</v>
      </c>
      <c r="B740" t="str">
        <f>IFERROR(MaterialsBoQ[[#This Row],[Material ]],"")</f>
        <v/>
      </c>
      <c r="C740" t="str">
        <f>IFERROR(MaterialsBoQ[[#This Row],[Unit]],"")</f>
        <v/>
      </c>
      <c r="D740" s="322">
        <f>IFERROR(MaterialsBoQ[[#This Row],[Number]],0)</f>
        <v>0</v>
      </c>
      <c r="E740" s="322">
        <f>IFERROR(MaterialsBoQ[[#This Row],[Kg per unit]],0)</f>
        <v>0</v>
      </c>
      <c r="F740" s="322">
        <f>IFERROR(Calculations[[#This Row],[Number]]*Calculations[[#This Row],[Conversion factor]],0)</f>
        <v>0</v>
      </c>
      <c r="G740" s="322">
        <f>IFERROR(VLOOKUP(Calculations[[#This Row],[Material (choose from dropdown]],MaterialData[#All],7,FALSE),0)</f>
        <v>0</v>
      </c>
      <c r="H740" s="322">
        <f>Calculations[[#This Row],[Total Kg]]*Calculations[[#This Row],[Carbon Factor]]</f>
        <v>0</v>
      </c>
      <c r="I740" t="str">
        <f>IFERROR(VLOOKUP(Calculations[[#This Row],[Material (choose from dropdown]],MaterialData[#All],2,FALSE),"")</f>
        <v/>
      </c>
      <c r="J740" s="322">
        <f>IFERROR(((VLOOKUP(Calculations[[#This Row],[TransportSource]],TransportDistance[],2,FALSE)*'Stage assumptions'!$C$11)+VLOOKUP(Calculations[[#This Row],[TransportSource]],TransportDistance[],3,FALSE)*'Stage assumptions'!$C$12)*Calculations[[#This Row],[Total Kg]],0)</f>
        <v>0</v>
      </c>
      <c r="K740">
        <f>IFERROR(VLOOKUP(Calculations[[#This Row],[Material (choose from dropdown]], MaterialData[#All],3, FALSE),0)</f>
        <v>0</v>
      </c>
      <c r="L740" s="322">
        <f>IFERROR(VLOOKUP(Calculations[[#This Row],[A5type]],A5WastageRate[#All],2,FALSE)*Calculations[[#This Row],[A1-3]],0)</f>
        <v>0</v>
      </c>
      <c r="N740">
        <f>IFERROR(ROUNDUP(50/VLOOKUP(Calculations[[#This Row],[Scope Element]],B4referenceServiceLife[[Tier 2 element]:[Default Service Life]],2, FALSE)-1,0),0)</f>
        <v>0</v>
      </c>
      <c r="O740" s="322">
        <f>IFERROR((Calculations[[#This Row],[A1-3]]+Calculations[[#This Row],[A4]]+Calculations[[#This Row],[A5]]+Calculations[[#This Row],[C2 total]]+Calculations[[#This Row],[C3 total]]+Calculations[[#This Row],[C4 total]])*Calculations[[#This Row],[Replacements]],0)</f>
        <v>0</v>
      </c>
      <c r="S740" t="str">
        <f>IFERROR(VLOOKUP(Calculations[[#This Row],[Material (choose from dropdown]],MaterialData[#All],4,FALSE),"")</f>
        <v/>
      </c>
      <c r="T740" s="322" cm="1">
        <f t="array" ref="T740">IFERROR(VLOOKUP(Calculations[[#This Row],[Waste 1]],WasteScenario[#All],2,FALSE)*'Stage assumptions'!$C$225*WasteTransportMethod[Emissions Factor
kgCO2e/kg.km]*Calculations[[#This Row],[Total Kg]],0)</f>
        <v>0</v>
      </c>
      <c r="U740" s="322" cm="1">
        <f t="array" ref="U740">IFERROR(VLOOKUP(Calculations[[#This Row],[Waste 1]],WasteScenario[#All],3,FALSE)*'Stage assumptions'!$C$224*WasteTransportMethod[Emissions Factor
kgCO2e/kg.km]*Calculations[[#This Row],[Total Kg]],0)</f>
        <v>0</v>
      </c>
      <c r="V740" s="322" cm="1">
        <f t="array" ref="V740">IFERROR(VLOOKUP(Calculations[[#This Row],[Waste 1]],WasteScenario[#All],4,FALSE)*'Stage assumptions'!$C$223*WasteTransportMethod[Emissions Factor
kgCO2e/kg.km]*Calculations[[#This Row],[Total Kg]],0)</f>
        <v>0</v>
      </c>
      <c r="W740" s="322" cm="1">
        <f t="array" ref="W740">IFERROR(VLOOKUP(Calculations[[#This Row],[Waste 1]],WasteScenario[#All],5,FALSE)*'Stage assumptions'!$C$226*WasteTransportMethod[Emissions Factor
kgCO2e/kg.km]*Calculations[[#This Row],[Total Kg]],0)</f>
        <v>0</v>
      </c>
      <c r="X740" s="322">
        <f>SUM(Calculations[[#This Row],[C2 Recycle]:[C2 Reuse]])</f>
        <v>0</v>
      </c>
      <c r="Y740" t="str">
        <f>IFERROR(VLOOKUP(Calculations[[#This Row],[Material (choose from dropdown]],MaterialData[#All],5,FALSE),"")</f>
        <v/>
      </c>
      <c r="Z740" s="322">
        <f>IFERROR(((VLOOKUP(Calculations[[#This Row],[Waste type 2]],WasteDisposalEmissions[#All],2,FALSE))*Calculations[[#This Row],[Total Kg]])*VLOOKUP(Calculations[[#This Row],[Waste 1]],WasteScenario[#All],2,FALSE),0)</f>
        <v>0</v>
      </c>
      <c r="AA740" s="322">
        <f>IFERROR((VLOOKUP(Calculations[[#This Row],[Waste type 2]],WasteDisposalEmissions[#All],3,FALSE))*Calculations[[#This Row],[Total Kg]]*VLOOKUP(Calculations[[#This Row],[Waste 1]],WasteScenario[#All],3,FALSE),0)</f>
        <v>0</v>
      </c>
      <c r="AB740" s="322">
        <f>SUM(Calculations[[#This Row],[C3 recyc]:[C3 incin]])</f>
        <v>0</v>
      </c>
      <c r="AC740" s="334">
        <f>IFERROR((VLOOKUP(Calculations[[#This Row],[Waste type 2]],WasteLandfillEmissions[#All],2,FALSE))*Calculations[[#This Row],[Total Kg]]*VLOOKUP(Calculations[[#This Row],[Waste 1]],WasteScenario[#All],4,FALSE),0)</f>
        <v>0</v>
      </c>
      <c r="AD740" s="322">
        <f>IFERROR((VLOOKUP(Calculations[[#This Row],[Waste type 2]],WasteLandfillEmissions[#All],3,FALSE))*Calculations[[#This Row],[Total Kg]]*VLOOKUP(Calculations[[#This Row],[Waste 1]],WasteScenario[#All],4,FALSE),0)</f>
        <v>0</v>
      </c>
      <c r="AE740" s="322">
        <f>SUM(Calculations[[#This Row],[C4 landfill]:[C4 re-use]])</f>
        <v>0</v>
      </c>
      <c r="AF740" s="322">
        <f>IFERROR(VLOOKUP(Calculations[[#This Row],[Material (choose from dropdown]],MaterialData[#All],8,FALSE),0)</f>
        <v>0</v>
      </c>
      <c r="AG740" s="322">
        <f>IFERROR(Calculations[[#This Row],[Total Kg]]*Calculations[[#This Row],[Seq factor]],0)</f>
        <v>0</v>
      </c>
      <c r="AI740" s="322">
        <f>Calculations[[#This Row],[A1-3]]+Calculations[[#This Row],[A4]]+Calculations[[#This Row],[A5]]+Calculations[[#This Row],[B4]]+Calculations[[#This Row],[C2 total]]+Calculations[[#This Row],[C3 total]]+Calculations[[#This Row],[C4 total]]</f>
        <v>0</v>
      </c>
      <c r="AJ740" s="2">
        <f>IFERROR(VLOOKUP(Calculations[[#This Row],[Material (choose from dropdown]],MaterialData[[#Headers],[#Data]],9,FALSE),0)</f>
        <v>0</v>
      </c>
      <c r="AK740" s="4">
        <f>IFERROR(VLOOKUP(Calculations[[#This Row],[Material (choose from dropdown]],MaterialData[[#Headers],[#Data]],10,FALSE),0)</f>
        <v>0</v>
      </c>
      <c r="AL740" s="322">
        <f>IFERROR(Calculations[[#This Row],[Data Quality Score]]*Calculations[[#This Row],[Total Kg]],0)</f>
        <v>0</v>
      </c>
    </row>
    <row r="741" spans="1:38" x14ac:dyDescent="0.3">
      <c r="A741" s="6">
        <f>IFERROR(MaterialsBoQ[[#This Row],[Scope Element]],0)</f>
        <v>0</v>
      </c>
      <c r="B741" t="str">
        <f>IFERROR(MaterialsBoQ[[#This Row],[Material ]],"")</f>
        <v/>
      </c>
      <c r="C741" t="str">
        <f>IFERROR(MaterialsBoQ[[#This Row],[Unit]],"")</f>
        <v/>
      </c>
      <c r="D741" s="322">
        <f>IFERROR(MaterialsBoQ[[#This Row],[Number]],0)</f>
        <v>0</v>
      </c>
      <c r="E741" s="322">
        <f>IFERROR(MaterialsBoQ[[#This Row],[Kg per unit]],0)</f>
        <v>0</v>
      </c>
      <c r="F741" s="322">
        <f>IFERROR(Calculations[[#This Row],[Number]]*Calculations[[#This Row],[Conversion factor]],0)</f>
        <v>0</v>
      </c>
      <c r="G741" s="322">
        <f>IFERROR(VLOOKUP(Calculations[[#This Row],[Material (choose from dropdown]],MaterialData[#All],7,FALSE),0)</f>
        <v>0</v>
      </c>
      <c r="H741" s="322">
        <f>Calculations[[#This Row],[Total Kg]]*Calculations[[#This Row],[Carbon Factor]]</f>
        <v>0</v>
      </c>
      <c r="I741" t="str">
        <f>IFERROR(VLOOKUP(Calculations[[#This Row],[Material (choose from dropdown]],MaterialData[#All],2,FALSE),"")</f>
        <v/>
      </c>
      <c r="J741" s="322">
        <f>IFERROR(((VLOOKUP(Calculations[[#This Row],[TransportSource]],TransportDistance[],2,FALSE)*'Stage assumptions'!$C$11)+VLOOKUP(Calculations[[#This Row],[TransportSource]],TransportDistance[],3,FALSE)*'Stage assumptions'!$C$12)*Calculations[[#This Row],[Total Kg]],0)</f>
        <v>0</v>
      </c>
      <c r="K741">
        <f>IFERROR(VLOOKUP(Calculations[[#This Row],[Material (choose from dropdown]], MaterialData[#All],3, FALSE),0)</f>
        <v>0</v>
      </c>
      <c r="L741" s="322">
        <f>IFERROR(VLOOKUP(Calculations[[#This Row],[A5type]],A5WastageRate[#All],2,FALSE)*Calculations[[#This Row],[A1-3]],0)</f>
        <v>0</v>
      </c>
      <c r="N741">
        <f>IFERROR(ROUNDUP(50/VLOOKUP(Calculations[[#This Row],[Scope Element]],B4referenceServiceLife[[Tier 2 element]:[Default Service Life]],2, FALSE)-1,0),0)</f>
        <v>0</v>
      </c>
      <c r="O741" s="322">
        <f>IFERROR((Calculations[[#This Row],[A1-3]]+Calculations[[#This Row],[A4]]+Calculations[[#This Row],[A5]]+Calculations[[#This Row],[C2 total]]+Calculations[[#This Row],[C3 total]]+Calculations[[#This Row],[C4 total]])*Calculations[[#This Row],[Replacements]],0)</f>
        <v>0</v>
      </c>
      <c r="S741" t="str">
        <f>IFERROR(VLOOKUP(Calculations[[#This Row],[Material (choose from dropdown]],MaterialData[#All],4,FALSE),"")</f>
        <v/>
      </c>
      <c r="T741" s="322" cm="1">
        <f t="array" ref="T741">IFERROR(VLOOKUP(Calculations[[#This Row],[Waste 1]],WasteScenario[#All],2,FALSE)*'Stage assumptions'!$C$225*WasteTransportMethod[Emissions Factor
kgCO2e/kg.km]*Calculations[[#This Row],[Total Kg]],0)</f>
        <v>0</v>
      </c>
      <c r="U741" s="322" cm="1">
        <f t="array" ref="U741">IFERROR(VLOOKUP(Calculations[[#This Row],[Waste 1]],WasteScenario[#All],3,FALSE)*'Stage assumptions'!$C$224*WasteTransportMethod[Emissions Factor
kgCO2e/kg.km]*Calculations[[#This Row],[Total Kg]],0)</f>
        <v>0</v>
      </c>
      <c r="V741" s="322" cm="1">
        <f t="array" ref="V741">IFERROR(VLOOKUP(Calculations[[#This Row],[Waste 1]],WasteScenario[#All],4,FALSE)*'Stage assumptions'!$C$223*WasteTransportMethod[Emissions Factor
kgCO2e/kg.km]*Calculations[[#This Row],[Total Kg]],0)</f>
        <v>0</v>
      </c>
      <c r="W741" s="322" cm="1">
        <f t="array" ref="W741">IFERROR(VLOOKUP(Calculations[[#This Row],[Waste 1]],WasteScenario[#All],5,FALSE)*'Stage assumptions'!$C$226*WasteTransportMethod[Emissions Factor
kgCO2e/kg.km]*Calculations[[#This Row],[Total Kg]],0)</f>
        <v>0</v>
      </c>
      <c r="X741" s="322">
        <f>SUM(Calculations[[#This Row],[C2 Recycle]:[C2 Reuse]])</f>
        <v>0</v>
      </c>
      <c r="Y741" t="str">
        <f>IFERROR(VLOOKUP(Calculations[[#This Row],[Material (choose from dropdown]],MaterialData[#All],5,FALSE),"")</f>
        <v/>
      </c>
      <c r="Z741" s="322">
        <f>IFERROR(((VLOOKUP(Calculations[[#This Row],[Waste type 2]],WasteDisposalEmissions[#All],2,FALSE))*Calculations[[#This Row],[Total Kg]])*VLOOKUP(Calculations[[#This Row],[Waste 1]],WasteScenario[#All],2,FALSE),0)</f>
        <v>0</v>
      </c>
      <c r="AA741" s="322">
        <f>IFERROR((VLOOKUP(Calculations[[#This Row],[Waste type 2]],WasteDisposalEmissions[#All],3,FALSE))*Calculations[[#This Row],[Total Kg]]*VLOOKUP(Calculations[[#This Row],[Waste 1]],WasteScenario[#All],3,FALSE),0)</f>
        <v>0</v>
      </c>
      <c r="AB741" s="322">
        <f>SUM(Calculations[[#This Row],[C3 recyc]:[C3 incin]])</f>
        <v>0</v>
      </c>
      <c r="AC741" s="334">
        <f>IFERROR((VLOOKUP(Calculations[[#This Row],[Waste type 2]],WasteLandfillEmissions[#All],2,FALSE))*Calculations[[#This Row],[Total Kg]]*VLOOKUP(Calculations[[#This Row],[Waste 1]],WasteScenario[#All],4,FALSE),0)</f>
        <v>0</v>
      </c>
      <c r="AD741" s="322">
        <f>IFERROR((VLOOKUP(Calculations[[#This Row],[Waste type 2]],WasteLandfillEmissions[#All],3,FALSE))*Calculations[[#This Row],[Total Kg]]*VLOOKUP(Calculations[[#This Row],[Waste 1]],WasteScenario[#All],4,FALSE),0)</f>
        <v>0</v>
      </c>
      <c r="AE741" s="322">
        <f>SUM(Calculations[[#This Row],[C4 landfill]:[C4 re-use]])</f>
        <v>0</v>
      </c>
      <c r="AF741" s="322">
        <f>IFERROR(VLOOKUP(Calculations[[#This Row],[Material (choose from dropdown]],MaterialData[#All],8,FALSE),0)</f>
        <v>0</v>
      </c>
      <c r="AG741" s="322">
        <f>IFERROR(Calculations[[#This Row],[Total Kg]]*Calculations[[#This Row],[Seq factor]],0)</f>
        <v>0</v>
      </c>
      <c r="AI741" s="322">
        <f>Calculations[[#This Row],[A1-3]]+Calculations[[#This Row],[A4]]+Calculations[[#This Row],[A5]]+Calculations[[#This Row],[B4]]+Calculations[[#This Row],[C2 total]]+Calculations[[#This Row],[C3 total]]+Calculations[[#This Row],[C4 total]]</f>
        <v>0</v>
      </c>
      <c r="AJ741" s="2">
        <f>IFERROR(VLOOKUP(Calculations[[#This Row],[Material (choose from dropdown]],MaterialData[[#Headers],[#Data]],9,FALSE),0)</f>
        <v>0</v>
      </c>
      <c r="AK741" s="4">
        <f>IFERROR(VLOOKUP(Calculations[[#This Row],[Material (choose from dropdown]],MaterialData[[#Headers],[#Data]],10,FALSE),0)</f>
        <v>0</v>
      </c>
      <c r="AL741" s="322">
        <f>IFERROR(Calculations[[#This Row],[Data Quality Score]]*Calculations[[#This Row],[Total Kg]],0)</f>
        <v>0</v>
      </c>
    </row>
    <row r="742" spans="1:38" x14ac:dyDescent="0.3">
      <c r="A742" s="6">
        <f>IFERROR(MaterialsBoQ[[#This Row],[Scope Element]],0)</f>
        <v>0</v>
      </c>
      <c r="B742" t="str">
        <f>IFERROR(MaterialsBoQ[[#This Row],[Material ]],"")</f>
        <v/>
      </c>
      <c r="C742" t="str">
        <f>IFERROR(MaterialsBoQ[[#This Row],[Unit]],"")</f>
        <v/>
      </c>
      <c r="D742" s="322">
        <f>IFERROR(MaterialsBoQ[[#This Row],[Number]],0)</f>
        <v>0</v>
      </c>
      <c r="E742" s="322">
        <f>IFERROR(MaterialsBoQ[[#This Row],[Kg per unit]],0)</f>
        <v>0</v>
      </c>
      <c r="F742" s="322">
        <f>IFERROR(Calculations[[#This Row],[Number]]*Calculations[[#This Row],[Conversion factor]],0)</f>
        <v>0</v>
      </c>
      <c r="G742" s="322">
        <f>IFERROR(VLOOKUP(Calculations[[#This Row],[Material (choose from dropdown]],MaterialData[#All],7,FALSE),0)</f>
        <v>0</v>
      </c>
      <c r="H742" s="322">
        <f>Calculations[[#This Row],[Total Kg]]*Calculations[[#This Row],[Carbon Factor]]</f>
        <v>0</v>
      </c>
      <c r="I742" t="str">
        <f>IFERROR(VLOOKUP(Calculations[[#This Row],[Material (choose from dropdown]],MaterialData[#All],2,FALSE),"")</f>
        <v/>
      </c>
      <c r="J742" s="322">
        <f>IFERROR(((VLOOKUP(Calculations[[#This Row],[TransportSource]],TransportDistance[],2,FALSE)*'Stage assumptions'!$C$11)+VLOOKUP(Calculations[[#This Row],[TransportSource]],TransportDistance[],3,FALSE)*'Stage assumptions'!$C$12)*Calculations[[#This Row],[Total Kg]],0)</f>
        <v>0</v>
      </c>
      <c r="K742">
        <f>IFERROR(VLOOKUP(Calculations[[#This Row],[Material (choose from dropdown]], MaterialData[#All],3, FALSE),0)</f>
        <v>0</v>
      </c>
      <c r="L742" s="322">
        <f>IFERROR(VLOOKUP(Calculations[[#This Row],[A5type]],A5WastageRate[#All],2,FALSE)*Calculations[[#This Row],[A1-3]],0)</f>
        <v>0</v>
      </c>
      <c r="N742">
        <f>IFERROR(ROUNDUP(50/VLOOKUP(Calculations[[#This Row],[Scope Element]],B4referenceServiceLife[[Tier 2 element]:[Default Service Life]],2, FALSE)-1,0),0)</f>
        <v>0</v>
      </c>
      <c r="O742" s="322">
        <f>IFERROR((Calculations[[#This Row],[A1-3]]+Calculations[[#This Row],[A4]]+Calculations[[#This Row],[A5]]+Calculations[[#This Row],[C2 total]]+Calculations[[#This Row],[C3 total]]+Calculations[[#This Row],[C4 total]])*Calculations[[#This Row],[Replacements]],0)</f>
        <v>0</v>
      </c>
      <c r="S742" t="str">
        <f>IFERROR(VLOOKUP(Calculations[[#This Row],[Material (choose from dropdown]],MaterialData[#All],4,FALSE),"")</f>
        <v/>
      </c>
      <c r="T742" s="322" cm="1">
        <f t="array" ref="T742">IFERROR(VLOOKUP(Calculations[[#This Row],[Waste 1]],WasteScenario[#All],2,FALSE)*'Stage assumptions'!$C$225*WasteTransportMethod[Emissions Factor
kgCO2e/kg.km]*Calculations[[#This Row],[Total Kg]],0)</f>
        <v>0</v>
      </c>
      <c r="U742" s="322" cm="1">
        <f t="array" ref="U742">IFERROR(VLOOKUP(Calculations[[#This Row],[Waste 1]],WasteScenario[#All],3,FALSE)*'Stage assumptions'!$C$224*WasteTransportMethod[Emissions Factor
kgCO2e/kg.km]*Calculations[[#This Row],[Total Kg]],0)</f>
        <v>0</v>
      </c>
      <c r="V742" s="322" cm="1">
        <f t="array" ref="V742">IFERROR(VLOOKUP(Calculations[[#This Row],[Waste 1]],WasteScenario[#All],4,FALSE)*'Stage assumptions'!$C$223*WasteTransportMethod[Emissions Factor
kgCO2e/kg.km]*Calculations[[#This Row],[Total Kg]],0)</f>
        <v>0</v>
      </c>
      <c r="W742" s="322" cm="1">
        <f t="array" ref="W742">IFERROR(VLOOKUP(Calculations[[#This Row],[Waste 1]],WasteScenario[#All],5,FALSE)*'Stage assumptions'!$C$226*WasteTransportMethod[Emissions Factor
kgCO2e/kg.km]*Calculations[[#This Row],[Total Kg]],0)</f>
        <v>0</v>
      </c>
      <c r="X742" s="322">
        <f>SUM(Calculations[[#This Row],[C2 Recycle]:[C2 Reuse]])</f>
        <v>0</v>
      </c>
      <c r="Y742" t="str">
        <f>IFERROR(VLOOKUP(Calculations[[#This Row],[Material (choose from dropdown]],MaterialData[#All],5,FALSE),"")</f>
        <v/>
      </c>
      <c r="Z742" s="322">
        <f>IFERROR(((VLOOKUP(Calculations[[#This Row],[Waste type 2]],WasteDisposalEmissions[#All],2,FALSE))*Calculations[[#This Row],[Total Kg]])*VLOOKUP(Calculations[[#This Row],[Waste 1]],WasteScenario[#All],2,FALSE),0)</f>
        <v>0</v>
      </c>
      <c r="AA742" s="322">
        <f>IFERROR((VLOOKUP(Calculations[[#This Row],[Waste type 2]],WasteDisposalEmissions[#All],3,FALSE))*Calculations[[#This Row],[Total Kg]]*VLOOKUP(Calculations[[#This Row],[Waste 1]],WasteScenario[#All],3,FALSE),0)</f>
        <v>0</v>
      </c>
      <c r="AB742" s="322">
        <f>SUM(Calculations[[#This Row],[C3 recyc]:[C3 incin]])</f>
        <v>0</v>
      </c>
      <c r="AC742" s="334">
        <f>IFERROR((VLOOKUP(Calculations[[#This Row],[Waste type 2]],WasteLandfillEmissions[#All],2,FALSE))*Calculations[[#This Row],[Total Kg]]*VLOOKUP(Calculations[[#This Row],[Waste 1]],WasteScenario[#All],4,FALSE),0)</f>
        <v>0</v>
      </c>
      <c r="AD742" s="322">
        <f>IFERROR((VLOOKUP(Calculations[[#This Row],[Waste type 2]],WasteLandfillEmissions[#All],3,FALSE))*Calculations[[#This Row],[Total Kg]]*VLOOKUP(Calculations[[#This Row],[Waste 1]],WasteScenario[#All],4,FALSE),0)</f>
        <v>0</v>
      </c>
      <c r="AE742" s="322">
        <f>SUM(Calculations[[#This Row],[C4 landfill]:[C4 re-use]])</f>
        <v>0</v>
      </c>
      <c r="AF742" s="322">
        <f>IFERROR(VLOOKUP(Calculations[[#This Row],[Material (choose from dropdown]],MaterialData[#All],8,FALSE),0)</f>
        <v>0</v>
      </c>
      <c r="AG742" s="322">
        <f>IFERROR(Calculations[[#This Row],[Total Kg]]*Calculations[[#This Row],[Seq factor]],0)</f>
        <v>0</v>
      </c>
      <c r="AI742" s="322">
        <f>Calculations[[#This Row],[A1-3]]+Calculations[[#This Row],[A4]]+Calculations[[#This Row],[A5]]+Calculations[[#This Row],[B4]]+Calculations[[#This Row],[C2 total]]+Calculations[[#This Row],[C3 total]]+Calculations[[#This Row],[C4 total]]</f>
        <v>0</v>
      </c>
      <c r="AJ742" s="2">
        <f>IFERROR(VLOOKUP(Calculations[[#This Row],[Material (choose from dropdown]],MaterialData[[#Headers],[#Data]],9,FALSE),0)</f>
        <v>0</v>
      </c>
      <c r="AK742" s="4">
        <f>IFERROR(VLOOKUP(Calculations[[#This Row],[Material (choose from dropdown]],MaterialData[[#Headers],[#Data]],10,FALSE),0)</f>
        <v>0</v>
      </c>
      <c r="AL742" s="322">
        <f>IFERROR(Calculations[[#This Row],[Data Quality Score]]*Calculations[[#This Row],[Total Kg]],0)</f>
        <v>0</v>
      </c>
    </row>
    <row r="743" spans="1:38" x14ac:dyDescent="0.3">
      <c r="A743" s="6">
        <f>IFERROR(MaterialsBoQ[[#This Row],[Scope Element]],0)</f>
        <v>0</v>
      </c>
      <c r="B743" t="str">
        <f>IFERROR(MaterialsBoQ[[#This Row],[Material ]],"")</f>
        <v/>
      </c>
      <c r="C743" t="str">
        <f>IFERROR(MaterialsBoQ[[#This Row],[Unit]],"")</f>
        <v/>
      </c>
      <c r="D743" s="322">
        <f>IFERROR(MaterialsBoQ[[#This Row],[Number]],0)</f>
        <v>0</v>
      </c>
      <c r="E743" s="322">
        <f>IFERROR(MaterialsBoQ[[#This Row],[Kg per unit]],0)</f>
        <v>0</v>
      </c>
      <c r="F743" s="322">
        <f>IFERROR(Calculations[[#This Row],[Number]]*Calculations[[#This Row],[Conversion factor]],0)</f>
        <v>0</v>
      </c>
      <c r="G743" s="322">
        <f>IFERROR(VLOOKUP(Calculations[[#This Row],[Material (choose from dropdown]],MaterialData[#All],7,FALSE),0)</f>
        <v>0</v>
      </c>
      <c r="H743" s="322">
        <f>Calculations[[#This Row],[Total Kg]]*Calculations[[#This Row],[Carbon Factor]]</f>
        <v>0</v>
      </c>
      <c r="I743" t="str">
        <f>IFERROR(VLOOKUP(Calculations[[#This Row],[Material (choose from dropdown]],MaterialData[#All],2,FALSE),"")</f>
        <v/>
      </c>
      <c r="J743" s="322">
        <f>IFERROR(((VLOOKUP(Calculations[[#This Row],[TransportSource]],TransportDistance[],2,FALSE)*'Stage assumptions'!$C$11)+VLOOKUP(Calculations[[#This Row],[TransportSource]],TransportDistance[],3,FALSE)*'Stage assumptions'!$C$12)*Calculations[[#This Row],[Total Kg]],0)</f>
        <v>0</v>
      </c>
      <c r="K743">
        <f>IFERROR(VLOOKUP(Calculations[[#This Row],[Material (choose from dropdown]], MaterialData[#All],3, FALSE),0)</f>
        <v>0</v>
      </c>
      <c r="L743" s="322">
        <f>IFERROR(VLOOKUP(Calculations[[#This Row],[A5type]],A5WastageRate[#All],2,FALSE)*Calculations[[#This Row],[A1-3]],0)</f>
        <v>0</v>
      </c>
      <c r="N743">
        <f>IFERROR(ROUNDUP(50/VLOOKUP(Calculations[[#This Row],[Scope Element]],B4referenceServiceLife[[Tier 2 element]:[Default Service Life]],2, FALSE)-1,0),0)</f>
        <v>0</v>
      </c>
      <c r="O743" s="322">
        <f>IFERROR((Calculations[[#This Row],[A1-3]]+Calculations[[#This Row],[A4]]+Calculations[[#This Row],[A5]]+Calculations[[#This Row],[C2 total]]+Calculations[[#This Row],[C3 total]]+Calculations[[#This Row],[C4 total]])*Calculations[[#This Row],[Replacements]],0)</f>
        <v>0</v>
      </c>
      <c r="S743" t="str">
        <f>IFERROR(VLOOKUP(Calculations[[#This Row],[Material (choose from dropdown]],MaterialData[#All],4,FALSE),"")</f>
        <v/>
      </c>
      <c r="T743" s="322" cm="1">
        <f t="array" ref="T743">IFERROR(VLOOKUP(Calculations[[#This Row],[Waste 1]],WasteScenario[#All],2,FALSE)*'Stage assumptions'!$C$225*WasteTransportMethod[Emissions Factor
kgCO2e/kg.km]*Calculations[[#This Row],[Total Kg]],0)</f>
        <v>0</v>
      </c>
      <c r="U743" s="322" cm="1">
        <f t="array" ref="U743">IFERROR(VLOOKUP(Calculations[[#This Row],[Waste 1]],WasteScenario[#All],3,FALSE)*'Stage assumptions'!$C$224*WasteTransportMethod[Emissions Factor
kgCO2e/kg.km]*Calculations[[#This Row],[Total Kg]],0)</f>
        <v>0</v>
      </c>
      <c r="V743" s="322" cm="1">
        <f t="array" ref="V743">IFERROR(VLOOKUP(Calculations[[#This Row],[Waste 1]],WasteScenario[#All],4,FALSE)*'Stage assumptions'!$C$223*WasteTransportMethod[Emissions Factor
kgCO2e/kg.km]*Calculations[[#This Row],[Total Kg]],0)</f>
        <v>0</v>
      </c>
      <c r="W743" s="322" cm="1">
        <f t="array" ref="W743">IFERROR(VLOOKUP(Calculations[[#This Row],[Waste 1]],WasteScenario[#All],5,FALSE)*'Stage assumptions'!$C$226*WasteTransportMethod[Emissions Factor
kgCO2e/kg.km]*Calculations[[#This Row],[Total Kg]],0)</f>
        <v>0</v>
      </c>
      <c r="X743" s="322">
        <f>SUM(Calculations[[#This Row],[C2 Recycle]:[C2 Reuse]])</f>
        <v>0</v>
      </c>
      <c r="Y743" t="str">
        <f>IFERROR(VLOOKUP(Calculations[[#This Row],[Material (choose from dropdown]],MaterialData[#All],5,FALSE),"")</f>
        <v/>
      </c>
      <c r="Z743" s="322">
        <f>IFERROR(((VLOOKUP(Calculations[[#This Row],[Waste type 2]],WasteDisposalEmissions[#All],2,FALSE))*Calculations[[#This Row],[Total Kg]])*VLOOKUP(Calculations[[#This Row],[Waste 1]],WasteScenario[#All],2,FALSE),0)</f>
        <v>0</v>
      </c>
      <c r="AA743" s="322">
        <f>IFERROR((VLOOKUP(Calculations[[#This Row],[Waste type 2]],WasteDisposalEmissions[#All],3,FALSE))*Calculations[[#This Row],[Total Kg]]*VLOOKUP(Calculations[[#This Row],[Waste 1]],WasteScenario[#All],3,FALSE),0)</f>
        <v>0</v>
      </c>
      <c r="AB743" s="322">
        <f>SUM(Calculations[[#This Row],[C3 recyc]:[C3 incin]])</f>
        <v>0</v>
      </c>
      <c r="AC743" s="334">
        <f>IFERROR((VLOOKUP(Calculations[[#This Row],[Waste type 2]],WasteLandfillEmissions[#All],2,FALSE))*Calculations[[#This Row],[Total Kg]]*VLOOKUP(Calculations[[#This Row],[Waste 1]],WasteScenario[#All],4,FALSE),0)</f>
        <v>0</v>
      </c>
      <c r="AD743" s="322">
        <f>IFERROR((VLOOKUP(Calculations[[#This Row],[Waste type 2]],WasteLandfillEmissions[#All],3,FALSE))*Calculations[[#This Row],[Total Kg]]*VLOOKUP(Calculations[[#This Row],[Waste 1]],WasteScenario[#All],4,FALSE),0)</f>
        <v>0</v>
      </c>
      <c r="AE743" s="322">
        <f>SUM(Calculations[[#This Row],[C4 landfill]:[C4 re-use]])</f>
        <v>0</v>
      </c>
      <c r="AF743" s="322">
        <f>IFERROR(VLOOKUP(Calculations[[#This Row],[Material (choose from dropdown]],MaterialData[#All],8,FALSE),0)</f>
        <v>0</v>
      </c>
      <c r="AG743" s="322">
        <f>IFERROR(Calculations[[#This Row],[Total Kg]]*Calculations[[#This Row],[Seq factor]],0)</f>
        <v>0</v>
      </c>
      <c r="AI743" s="322">
        <f>Calculations[[#This Row],[A1-3]]+Calculations[[#This Row],[A4]]+Calculations[[#This Row],[A5]]+Calculations[[#This Row],[B4]]+Calculations[[#This Row],[C2 total]]+Calculations[[#This Row],[C3 total]]+Calculations[[#This Row],[C4 total]]</f>
        <v>0</v>
      </c>
      <c r="AJ743" s="2">
        <f>IFERROR(VLOOKUP(Calculations[[#This Row],[Material (choose from dropdown]],MaterialData[[#Headers],[#Data]],9,FALSE),0)</f>
        <v>0</v>
      </c>
      <c r="AK743" s="4">
        <f>IFERROR(VLOOKUP(Calculations[[#This Row],[Material (choose from dropdown]],MaterialData[[#Headers],[#Data]],10,FALSE),0)</f>
        <v>0</v>
      </c>
      <c r="AL743" s="322">
        <f>IFERROR(Calculations[[#This Row],[Data Quality Score]]*Calculations[[#This Row],[Total Kg]],0)</f>
        <v>0</v>
      </c>
    </row>
    <row r="744" spans="1:38" x14ac:dyDescent="0.3">
      <c r="A744" s="6">
        <f>IFERROR(MaterialsBoQ[[#This Row],[Scope Element]],0)</f>
        <v>0</v>
      </c>
      <c r="B744" t="str">
        <f>IFERROR(MaterialsBoQ[[#This Row],[Material ]],"")</f>
        <v/>
      </c>
      <c r="C744" t="str">
        <f>IFERROR(MaterialsBoQ[[#This Row],[Unit]],"")</f>
        <v/>
      </c>
      <c r="D744" s="322">
        <f>IFERROR(MaterialsBoQ[[#This Row],[Number]],0)</f>
        <v>0</v>
      </c>
      <c r="E744" s="322">
        <f>IFERROR(MaterialsBoQ[[#This Row],[Kg per unit]],0)</f>
        <v>0</v>
      </c>
      <c r="F744" s="322">
        <f>IFERROR(Calculations[[#This Row],[Number]]*Calculations[[#This Row],[Conversion factor]],0)</f>
        <v>0</v>
      </c>
      <c r="G744" s="322">
        <f>IFERROR(VLOOKUP(Calculations[[#This Row],[Material (choose from dropdown]],MaterialData[#All],7,FALSE),0)</f>
        <v>0</v>
      </c>
      <c r="H744" s="322">
        <f>Calculations[[#This Row],[Total Kg]]*Calculations[[#This Row],[Carbon Factor]]</f>
        <v>0</v>
      </c>
      <c r="I744" t="str">
        <f>IFERROR(VLOOKUP(Calculations[[#This Row],[Material (choose from dropdown]],MaterialData[#All],2,FALSE),"")</f>
        <v/>
      </c>
      <c r="J744" s="322">
        <f>IFERROR(((VLOOKUP(Calculations[[#This Row],[TransportSource]],TransportDistance[],2,FALSE)*'Stage assumptions'!$C$11)+VLOOKUP(Calculations[[#This Row],[TransportSource]],TransportDistance[],3,FALSE)*'Stage assumptions'!$C$12)*Calculations[[#This Row],[Total Kg]],0)</f>
        <v>0</v>
      </c>
      <c r="K744">
        <f>IFERROR(VLOOKUP(Calculations[[#This Row],[Material (choose from dropdown]], MaterialData[#All],3, FALSE),0)</f>
        <v>0</v>
      </c>
      <c r="L744" s="322">
        <f>IFERROR(VLOOKUP(Calculations[[#This Row],[A5type]],A5WastageRate[#All],2,FALSE)*Calculations[[#This Row],[A1-3]],0)</f>
        <v>0</v>
      </c>
      <c r="N744">
        <f>IFERROR(ROUNDUP(50/VLOOKUP(Calculations[[#This Row],[Scope Element]],B4referenceServiceLife[[Tier 2 element]:[Default Service Life]],2, FALSE)-1,0),0)</f>
        <v>0</v>
      </c>
      <c r="O744" s="322">
        <f>IFERROR((Calculations[[#This Row],[A1-3]]+Calculations[[#This Row],[A4]]+Calculations[[#This Row],[A5]]+Calculations[[#This Row],[C2 total]]+Calculations[[#This Row],[C3 total]]+Calculations[[#This Row],[C4 total]])*Calculations[[#This Row],[Replacements]],0)</f>
        <v>0</v>
      </c>
      <c r="S744" t="str">
        <f>IFERROR(VLOOKUP(Calculations[[#This Row],[Material (choose from dropdown]],MaterialData[#All],4,FALSE),"")</f>
        <v/>
      </c>
      <c r="T744" s="322" cm="1">
        <f t="array" ref="T744">IFERROR(VLOOKUP(Calculations[[#This Row],[Waste 1]],WasteScenario[#All],2,FALSE)*'Stage assumptions'!$C$225*WasteTransportMethod[Emissions Factor
kgCO2e/kg.km]*Calculations[[#This Row],[Total Kg]],0)</f>
        <v>0</v>
      </c>
      <c r="U744" s="322" cm="1">
        <f t="array" ref="U744">IFERROR(VLOOKUP(Calculations[[#This Row],[Waste 1]],WasteScenario[#All],3,FALSE)*'Stage assumptions'!$C$224*WasteTransportMethod[Emissions Factor
kgCO2e/kg.km]*Calculations[[#This Row],[Total Kg]],0)</f>
        <v>0</v>
      </c>
      <c r="V744" s="322" cm="1">
        <f t="array" ref="V744">IFERROR(VLOOKUP(Calculations[[#This Row],[Waste 1]],WasteScenario[#All],4,FALSE)*'Stage assumptions'!$C$223*WasteTransportMethod[Emissions Factor
kgCO2e/kg.km]*Calculations[[#This Row],[Total Kg]],0)</f>
        <v>0</v>
      </c>
      <c r="W744" s="322" cm="1">
        <f t="array" ref="W744">IFERROR(VLOOKUP(Calculations[[#This Row],[Waste 1]],WasteScenario[#All],5,FALSE)*'Stage assumptions'!$C$226*WasteTransportMethod[Emissions Factor
kgCO2e/kg.km]*Calculations[[#This Row],[Total Kg]],0)</f>
        <v>0</v>
      </c>
      <c r="X744" s="322">
        <f>SUM(Calculations[[#This Row],[C2 Recycle]:[C2 Reuse]])</f>
        <v>0</v>
      </c>
      <c r="Y744" t="str">
        <f>IFERROR(VLOOKUP(Calculations[[#This Row],[Material (choose from dropdown]],MaterialData[#All],5,FALSE),"")</f>
        <v/>
      </c>
      <c r="Z744" s="322">
        <f>IFERROR(((VLOOKUP(Calculations[[#This Row],[Waste type 2]],WasteDisposalEmissions[#All],2,FALSE))*Calculations[[#This Row],[Total Kg]])*VLOOKUP(Calculations[[#This Row],[Waste 1]],WasteScenario[#All],2,FALSE),0)</f>
        <v>0</v>
      </c>
      <c r="AA744" s="322">
        <f>IFERROR((VLOOKUP(Calculations[[#This Row],[Waste type 2]],WasteDisposalEmissions[#All],3,FALSE))*Calculations[[#This Row],[Total Kg]]*VLOOKUP(Calculations[[#This Row],[Waste 1]],WasteScenario[#All],3,FALSE),0)</f>
        <v>0</v>
      </c>
      <c r="AB744" s="322">
        <f>SUM(Calculations[[#This Row],[C3 recyc]:[C3 incin]])</f>
        <v>0</v>
      </c>
      <c r="AC744" s="334">
        <f>IFERROR((VLOOKUP(Calculations[[#This Row],[Waste type 2]],WasteLandfillEmissions[#All],2,FALSE))*Calculations[[#This Row],[Total Kg]]*VLOOKUP(Calculations[[#This Row],[Waste 1]],WasteScenario[#All],4,FALSE),0)</f>
        <v>0</v>
      </c>
      <c r="AD744" s="322">
        <f>IFERROR((VLOOKUP(Calculations[[#This Row],[Waste type 2]],WasteLandfillEmissions[#All],3,FALSE))*Calculations[[#This Row],[Total Kg]]*VLOOKUP(Calculations[[#This Row],[Waste 1]],WasteScenario[#All],4,FALSE),0)</f>
        <v>0</v>
      </c>
      <c r="AE744" s="322">
        <f>SUM(Calculations[[#This Row],[C4 landfill]:[C4 re-use]])</f>
        <v>0</v>
      </c>
      <c r="AF744" s="322">
        <f>IFERROR(VLOOKUP(Calculations[[#This Row],[Material (choose from dropdown]],MaterialData[#All],8,FALSE),0)</f>
        <v>0</v>
      </c>
      <c r="AG744" s="322">
        <f>IFERROR(Calculations[[#This Row],[Total Kg]]*Calculations[[#This Row],[Seq factor]],0)</f>
        <v>0</v>
      </c>
      <c r="AI744" s="322">
        <f>Calculations[[#This Row],[A1-3]]+Calculations[[#This Row],[A4]]+Calculations[[#This Row],[A5]]+Calculations[[#This Row],[B4]]+Calculations[[#This Row],[C2 total]]+Calculations[[#This Row],[C3 total]]+Calculations[[#This Row],[C4 total]]</f>
        <v>0</v>
      </c>
      <c r="AJ744" s="2">
        <f>IFERROR(VLOOKUP(Calculations[[#This Row],[Material (choose from dropdown]],MaterialData[[#Headers],[#Data]],9,FALSE),0)</f>
        <v>0</v>
      </c>
      <c r="AK744" s="4">
        <f>IFERROR(VLOOKUP(Calculations[[#This Row],[Material (choose from dropdown]],MaterialData[[#Headers],[#Data]],10,FALSE),0)</f>
        <v>0</v>
      </c>
      <c r="AL744" s="322">
        <f>IFERROR(Calculations[[#This Row],[Data Quality Score]]*Calculations[[#This Row],[Total Kg]],0)</f>
        <v>0</v>
      </c>
    </row>
    <row r="745" spans="1:38" x14ac:dyDescent="0.3">
      <c r="A745" s="6">
        <f>IFERROR(MaterialsBoQ[[#This Row],[Scope Element]],0)</f>
        <v>0</v>
      </c>
      <c r="B745" t="str">
        <f>IFERROR(MaterialsBoQ[[#This Row],[Material ]],"")</f>
        <v/>
      </c>
      <c r="C745" t="str">
        <f>IFERROR(MaterialsBoQ[[#This Row],[Unit]],"")</f>
        <v/>
      </c>
      <c r="D745" s="322">
        <f>IFERROR(MaterialsBoQ[[#This Row],[Number]],0)</f>
        <v>0</v>
      </c>
      <c r="E745" s="322">
        <f>IFERROR(MaterialsBoQ[[#This Row],[Kg per unit]],0)</f>
        <v>0</v>
      </c>
      <c r="F745" s="322">
        <f>IFERROR(Calculations[[#This Row],[Number]]*Calculations[[#This Row],[Conversion factor]],0)</f>
        <v>0</v>
      </c>
      <c r="G745" s="322">
        <f>IFERROR(VLOOKUP(Calculations[[#This Row],[Material (choose from dropdown]],MaterialData[#All],7,FALSE),0)</f>
        <v>0</v>
      </c>
      <c r="H745" s="322">
        <f>Calculations[[#This Row],[Total Kg]]*Calculations[[#This Row],[Carbon Factor]]</f>
        <v>0</v>
      </c>
      <c r="I745" t="str">
        <f>IFERROR(VLOOKUP(Calculations[[#This Row],[Material (choose from dropdown]],MaterialData[#All],2,FALSE),"")</f>
        <v/>
      </c>
      <c r="J745" s="322">
        <f>IFERROR(((VLOOKUP(Calculations[[#This Row],[TransportSource]],TransportDistance[],2,FALSE)*'Stage assumptions'!$C$11)+VLOOKUP(Calculations[[#This Row],[TransportSource]],TransportDistance[],3,FALSE)*'Stage assumptions'!$C$12)*Calculations[[#This Row],[Total Kg]],0)</f>
        <v>0</v>
      </c>
      <c r="K745">
        <f>IFERROR(VLOOKUP(Calculations[[#This Row],[Material (choose from dropdown]], MaterialData[#All],3, FALSE),0)</f>
        <v>0</v>
      </c>
      <c r="L745" s="322">
        <f>IFERROR(VLOOKUP(Calculations[[#This Row],[A5type]],A5WastageRate[#All],2,FALSE)*Calculations[[#This Row],[A1-3]],0)</f>
        <v>0</v>
      </c>
      <c r="N745">
        <f>IFERROR(ROUNDUP(50/VLOOKUP(Calculations[[#This Row],[Scope Element]],B4referenceServiceLife[[Tier 2 element]:[Default Service Life]],2, FALSE)-1,0),0)</f>
        <v>0</v>
      </c>
      <c r="O745" s="322">
        <f>IFERROR((Calculations[[#This Row],[A1-3]]+Calculations[[#This Row],[A4]]+Calculations[[#This Row],[A5]]+Calculations[[#This Row],[C2 total]]+Calculations[[#This Row],[C3 total]]+Calculations[[#This Row],[C4 total]])*Calculations[[#This Row],[Replacements]],0)</f>
        <v>0</v>
      </c>
      <c r="S745" t="str">
        <f>IFERROR(VLOOKUP(Calculations[[#This Row],[Material (choose from dropdown]],MaterialData[#All],4,FALSE),"")</f>
        <v/>
      </c>
      <c r="T745" s="322" cm="1">
        <f t="array" ref="T745">IFERROR(VLOOKUP(Calculations[[#This Row],[Waste 1]],WasteScenario[#All],2,FALSE)*'Stage assumptions'!$C$225*WasteTransportMethod[Emissions Factor
kgCO2e/kg.km]*Calculations[[#This Row],[Total Kg]],0)</f>
        <v>0</v>
      </c>
      <c r="U745" s="322" cm="1">
        <f t="array" ref="U745">IFERROR(VLOOKUP(Calculations[[#This Row],[Waste 1]],WasteScenario[#All],3,FALSE)*'Stage assumptions'!$C$224*WasteTransportMethod[Emissions Factor
kgCO2e/kg.km]*Calculations[[#This Row],[Total Kg]],0)</f>
        <v>0</v>
      </c>
      <c r="V745" s="322" cm="1">
        <f t="array" ref="V745">IFERROR(VLOOKUP(Calculations[[#This Row],[Waste 1]],WasteScenario[#All],4,FALSE)*'Stage assumptions'!$C$223*WasteTransportMethod[Emissions Factor
kgCO2e/kg.km]*Calculations[[#This Row],[Total Kg]],0)</f>
        <v>0</v>
      </c>
      <c r="W745" s="322" cm="1">
        <f t="array" ref="W745">IFERROR(VLOOKUP(Calculations[[#This Row],[Waste 1]],WasteScenario[#All],5,FALSE)*'Stage assumptions'!$C$226*WasteTransportMethod[Emissions Factor
kgCO2e/kg.km]*Calculations[[#This Row],[Total Kg]],0)</f>
        <v>0</v>
      </c>
      <c r="X745" s="322">
        <f>SUM(Calculations[[#This Row],[C2 Recycle]:[C2 Reuse]])</f>
        <v>0</v>
      </c>
      <c r="Y745" t="str">
        <f>IFERROR(VLOOKUP(Calculations[[#This Row],[Material (choose from dropdown]],MaterialData[#All],5,FALSE),"")</f>
        <v/>
      </c>
      <c r="Z745" s="322">
        <f>IFERROR(((VLOOKUP(Calculations[[#This Row],[Waste type 2]],WasteDisposalEmissions[#All],2,FALSE))*Calculations[[#This Row],[Total Kg]])*VLOOKUP(Calculations[[#This Row],[Waste 1]],WasteScenario[#All],2,FALSE),0)</f>
        <v>0</v>
      </c>
      <c r="AA745" s="322">
        <f>IFERROR((VLOOKUP(Calculations[[#This Row],[Waste type 2]],WasteDisposalEmissions[#All],3,FALSE))*Calculations[[#This Row],[Total Kg]]*VLOOKUP(Calculations[[#This Row],[Waste 1]],WasteScenario[#All],3,FALSE),0)</f>
        <v>0</v>
      </c>
      <c r="AB745" s="322">
        <f>SUM(Calculations[[#This Row],[C3 recyc]:[C3 incin]])</f>
        <v>0</v>
      </c>
      <c r="AC745" s="334">
        <f>IFERROR((VLOOKUP(Calculations[[#This Row],[Waste type 2]],WasteLandfillEmissions[#All],2,FALSE))*Calculations[[#This Row],[Total Kg]]*VLOOKUP(Calculations[[#This Row],[Waste 1]],WasteScenario[#All],4,FALSE),0)</f>
        <v>0</v>
      </c>
      <c r="AD745" s="322">
        <f>IFERROR((VLOOKUP(Calculations[[#This Row],[Waste type 2]],WasteLandfillEmissions[#All],3,FALSE))*Calculations[[#This Row],[Total Kg]]*VLOOKUP(Calculations[[#This Row],[Waste 1]],WasteScenario[#All],4,FALSE),0)</f>
        <v>0</v>
      </c>
      <c r="AE745" s="322">
        <f>SUM(Calculations[[#This Row],[C4 landfill]:[C4 re-use]])</f>
        <v>0</v>
      </c>
      <c r="AF745" s="322">
        <f>IFERROR(VLOOKUP(Calculations[[#This Row],[Material (choose from dropdown]],MaterialData[#All],8,FALSE),0)</f>
        <v>0</v>
      </c>
      <c r="AG745" s="322">
        <f>IFERROR(Calculations[[#This Row],[Total Kg]]*Calculations[[#This Row],[Seq factor]],0)</f>
        <v>0</v>
      </c>
      <c r="AI745" s="322">
        <f>Calculations[[#This Row],[A1-3]]+Calculations[[#This Row],[A4]]+Calculations[[#This Row],[A5]]+Calculations[[#This Row],[B4]]+Calculations[[#This Row],[C2 total]]+Calculations[[#This Row],[C3 total]]+Calculations[[#This Row],[C4 total]]</f>
        <v>0</v>
      </c>
      <c r="AJ745" s="2">
        <f>IFERROR(VLOOKUP(Calculations[[#This Row],[Material (choose from dropdown]],MaterialData[[#Headers],[#Data]],9,FALSE),0)</f>
        <v>0</v>
      </c>
      <c r="AK745" s="4">
        <f>IFERROR(VLOOKUP(Calculations[[#This Row],[Material (choose from dropdown]],MaterialData[[#Headers],[#Data]],10,FALSE),0)</f>
        <v>0</v>
      </c>
      <c r="AL745" s="322">
        <f>IFERROR(Calculations[[#This Row],[Data Quality Score]]*Calculations[[#This Row],[Total Kg]],0)</f>
        <v>0</v>
      </c>
    </row>
    <row r="746" spans="1:38" x14ac:dyDescent="0.3">
      <c r="A746" s="6">
        <f>IFERROR(MaterialsBoQ[[#This Row],[Scope Element]],0)</f>
        <v>0</v>
      </c>
      <c r="B746" t="str">
        <f>IFERROR(MaterialsBoQ[[#This Row],[Material ]],"")</f>
        <v/>
      </c>
      <c r="C746" t="str">
        <f>IFERROR(MaterialsBoQ[[#This Row],[Unit]],"")</f>
        <v/>
      </c>
      <c r="D746" s="322">
        <f>IFERROR(MaterialsBoQ[[#This Row],[Number]],0)</f>
        <v>0</v>
      </c>
      <c r="E746" s="322">
        <f>IFERROR(MaterialsBoQ[[#This Row],[Kg per unit]],0)</f>
        <v>0</v>
      </c>
      <c r="F746" s="322">
        <f>IFERROR(Calculations[[#This Row],[Number]]*Calculations[[#This Row],[Conversion factor]],0)</f>
        <v>0</v>
      </c>
      <c r="G746" s="322">
        <f>IFERROR(VLOOKUP(Calculations[[#This Row],[Material (choose from dropdown]],MaterialData[#All],7,FALSE),0)</f>
        <v>0</v>
      </c>
      <c r="H746" s="322">
        <f>Calculations[[#This Row],[Total Kg]]*Calculations[[#This Row],[Carbon Factor]]</f>
        <v>0</v>
      </c>
      <c r="I746" t="str">
        <f>IFERROR(VLOOKUP(Calculations[[#This Row],[Material (choose from dropdown]],MaterialData[#All],2,FALSE),"")</f>
        <v/>
      </c>
      <c r="J746" s="322">
        <f>IFERROR(((VLOOKUP(Calculations[[#This Row],[TransportSource]],TransportDistance[],2,FALSE)*'Stage assumptions'!$C$11)+VLOOKUP(Calculations[[#This Row],[TransportSource]],TransportDistance[],3,FALSE)*'Stage assumptions'!$C$12)*Calculations[[#This Row],[Total Kg]],0)</f>
        <v>0</v>
      </c>
      <c r="K746">
        <f>IFERROR(VLOOKUP(Calculations[[#This Row],[Material (choose from dropdown]], MaterialData[#All],3, FALSE),0)</f>
        <v>0</v>
      </c>
      <c r="L746" s="322">
        <f>IFERROR(VLOOKUP(Calculations[[#This Row],[A5type]],A5WastageRate[#All],2,FALSE)*Calculations[[#This Row],[A1-3]],0)</f>
        <v>0</v>
      </c>
      <c r="N746">
        <f>IFERROR(ROUNDUP(50/VLOOKUP(Calculations[[#This Row],[Scope Element]],B4referenceServiceLife[[Tier 2 element]:[Default Service Life]],2, FALSE)-1,0),0)</f>
        <v>0</v>
      </c>
      <c r="O746" s="322">
        <f>IFERROR((Calculations[[#This Row],[A1-3]]+Calculations[[#This Row],[A4]]+Calculations[[#This Row],[A5]]+Calculations[[#This Row],[C2 total]]+Calculations[[#This Row],[C3 total]]+Calculations[[#This Row],[C4 total]])*Calculations[[#This Row],[Replacements]],0)</f>
        <v>0</v>
      </c>
      <c r="S746" t="str">
        <f>IFERROR(VLOOKUP(Calculations[[#This Row],[Material (choose from dropdown]],MaterialData[#All],4,FALSE),"")</f>
        <v/>
      </c>
      <c r="T746" s="322" cm="1">
        <f t="array" ref="T746">IFERROR(VLOOKUP(Calculations[[#This Row],[Waste 1]],WasteScenario[#All],2,FALSE)*'Stage assumptions'!$C$225*WasteTransportMethod[Emissions Factor
kgCO2e/kg.km]*Calculations[[#This Row],[Total Kg]],0)</f>
        <v>0</v>
      </c>
      <c r="U746" s="322" cm="1">
        <f t="array" ref="U746">IFERROR(VLOOKUP(Calculations[[#This Row],[Waste 1]],WasteScenario[#All],3,FALSE)*'Stage assumptions'!$C$224*WasteTransportMethod[Emissions Factor
kgCO2e/kg.km]*Calculations[[#This Row],[Total Kg]],0)</f>
        <v>0</v>
      </c>
      <c r="V746" s="322" cm="1">
        <f t="array" ref="V746">IFERROR(VLOOKUP(Calculations[[#This Row],[Waste 1]],WasteScenario[#All],4,FALSE)*'Stage assumptions'!$C$223*WasteTransportMethod[Emissions Factor
kgCO2e/kg.km]*Calculations[[#This Row],[Total Kg]],0)</f>
        <v>0</v>
      </c>
      <c r="W746" s="322" cm="1">
        <f t="array" ref="W746">IFERROR(VLOOKUP(Calculations[[#This Row],[Waste 1]],WasteScenario[#All],5,FALSE)*'Stage assumptions'!$C$226*WasteTransportMethod[Emissions Factor
kgCO2e/kg.km]*Calculations[[#This Row],[Total Kg]],0)</f>
        <v>0</v>
      </c>
      <c r="X746" s="322">
        <f>SUM(Calculations[[#This Row],[C2 Recycle]:[C2 Reuse]])</f>
        <v>0</v>
      </c>
      <c r="Y746" t="str">
        <f>IFERROR(VLOOKUP(Calculations[[#This Row],[Material (choose from dropdown]],MaterialData[#All],5,FALSE),"")</f>
        <v/>
      </c>
      <c r="Z746" s="322">
        <f>IFERROR(((VLOOKUP(Calculations[[#This Row],[Waste type 2]],WasteDisposalEmissions[#All],2,FALSE))*Calculations[[#This Row],[Total Kg]])*VLOOKUP(Calculations[[#This Row],[Waste 1]],WasteScenario[#All],2,FALSE),0)</f>
        <v>0</v>
      </c>
      <c r="AA746" s="322">
        <f>IFERROR((VLOOKUP(Calculations[[#This Row],[Waste type 2]],WasteDisposalEmissions[#All],3,FALSE))*Calculations[[#This Row],[Total Kg]]*VLOOKUP(Calculations[[#This Row],[Waste 1]],WasteScenario[#All],3,FALSE),0)</f>
        <v>0</v>
      </c>
      <c r="AB746" s="322">
        <f>SUM(Calculations[[#This Row],[C3 recyc]:[C3 incin]])</f>
        <v>0</v>
      </c>
      <c r="AC746" s="334">
        <f>IFERROR((VLOOKUP(Calculations[[#This Row],[Waste type 2]],WasteLandfillEmissions[#All],2,FALSE))*Calculations[[#This Row],[Total Kg]]*VLOOKUP(Calculations[[#This Row],[Waste 1]],WasteScenario[#All],4,FALSE),0)</f>
        <v>0</v>
      </c>
      <c r="AD746" s="322">
        <f>IFERROR((VLOOKUP(Calculations[[#This Row],[Waste type 2]],WasteLandfillEmissions[#All],3,FALSE))*Calculations[[#This Row],[Total Kg]]*VLOOKUP(Calculations[[#This Row],[Waste 1]],WasteScenario[#All],4,FALSE),0)</f>
        <v>0</v>
      </c>
      <c r="AE746" s="322">
        <f>SUM(Calculations[[#This Row],[C4 landfill]:[C4 re-use]])</f>
        <v>0</v>
      </c>
      <c r="AF746" s="322">
        <f>IFERROR(VLOOKUP(Calculations[[#This Row],[Material (choose from dropdown]],MaterialData[#All],8,FALSE),0)</f>
        <v>0</v>
      </c>
      <c r="AG746" s="322">
        <f>IFERROR(Calculations[[#This Row],[Total Kg]]*Calculations[[#This Row],[Seq factor]],0)</f>
        <v>0</v>
      </c>
      <c r="AI746" s="322">
        <f>Calculations[[#This Row],[A1-3]]+Calculations[[#This Row],[A4]]+Calculations[[#This Row],[A5]]+Calculations[[#This Row],[B4]]+Calculations[[#This Row],[C2 total]]+Calculations[[#This Row],[C3 total]]+Calculations[[#This Row],[C4 total]]</f>
        <v>0</v>
      </c>
      <c r="AJ746" s="2">
        <f>IFERROR(VLOOKUP(Calculations[[#This Row],[Material (choose from dropdown]],MaterialData[[#Headers],[#Data]],9,FALSE),0)</f>
        <v>0</v>
      </c>
      <c r="AK746" s="4">
        <f>IFERROR(VLOOKUP(Calculations[[#This Row],[Material (choose from dropdown]],MaterialData[[#Headers],[#Data]],10,FALSE),0)</f>
        <v>0</v>
      </c>
      <c r="AL746" s="322">
        <f>IFERROR(Calculations[[#This Row],[Data Quality Score]]*Calculations[[#This Row],[Total Kg]],0)</f>
        <v>0</v>
      </c>
    </row>
    <row r="747" spans="1:38" x14ac:dyDescent="0.3">
      <c r="A747" s="6">
        <f>IFERROR(MaterialsBoQ[[#This Row],[Scope Element]],0)</f>
        <v>0</v>
      </c>
      <c r="B747" t="str">
        <f>IFERROR(MaterialsBoQ[[#This Row],[Material ]],"")</f>
        <v/>
      </c>
      <c r="C747" t="str">
        <f>IFERROR(MaterialsBoQ[[#This Row],[Unit]],"")</f>
        <v/>
      </c>
      <c r="D747" s="322">
        <f>IFERROR(MaterialsBoQ[[#This Row],[Number]],0)</f>
        <v>0</v>
      </c>
      <c r="E747" s="322">
        <f>IFERROR(MaterialsBoQ[[#This Row],[Kg per unit]],0)</f>
        <v>0</v>
      </c>
      <c r="F747" s="322">
        <f>IFERROR(Calculations[[#This Row],[Number]]*Calculations[[#This Row],[Conversion factor]],0)</f>
        <v>0</v>
      </c>
      <c r="G747" s="322">
        <f>IFERROR(VLOOKUP(Calculations[[#This Row],[Material (choose from dropdown]],MaterialData[#All],7,FALSE),0)</f>
        <v>0</v>
      </c>
      <c r="H747" s="322">
        <f>Calculations[[#This Row],[Total Kg]]*Calculations[[#This Row],[Carbon Factor]]</f>
        <v>0</v>
      </c>
      <c r="I747" t="str">
        <f>IFERROR(VLOOKUP(Calculations[[#This Row],[Material (choose from dropdown]],MaterialData[#All],2,FALSE),"")</f>
        <v/>
      </c>
      <c r="J747" s="322">
        <f>IFERROR(((VLOOKUP(Calculations[[#This Row],[TransportSource]],TransportDistance[],2,FALSE)*'Stage assumptions'!$C$11)+VLOOKUP(Calculations[[#This Row],[TransportSource]],TransportDistance[],3,FALSE)*'Stage assumptions'!$C$12)*Calculations[[#This Row],[Total Kg]],0)</f>
        <v>0</v>
      </c>
      <c r="K747">
        <f>IFERROR(VLOOKUP(Calculations[[#This Row],[Material (choose from dropdown]], MaterialData[#All],3, FALSE),0)</f>
        <v>0</v>
      </c>
      <c r="L747" s="322">
        <f>IFERROR(VLOOKUP(Calculations[[#This Row],[A5type]],A5WastageRate[#All],2,FALSE)*Calculations[[#This Row],[A1-3]],0)</f>
        <v>0</v>
      </c>
      <c r="N747">
        <f>IFERROR(ROUNDUP(50/VLOOKUP(Calculations[[#This Row],[Scope Element]],B4referenceServiceLife[[Tier 2 element]:[Default Service Life]],2, FALSE)-1,0),0)</f>
        <v>0</v>
      </c>
      <c r="O747" s="322">
        <f>IFERROR((Calculations[[#This Row],[A1-3]]+Calculations[[#This Row],[A4]]+Calculations[[#This Row],[A5]]+Calculations[[#This Row],[C2 total]]+Calculations[[#This Row],[C3 total]]+Calculations[[#This Row],[C4 total]])*Calculations[[#This Row],[Replacements]],0)</f>
        <v>0</v>
      </c>
      <c r="S747" t="str">
        <f>IFERROR(VLOOKUP(Calculations[[#This Row],[Material (choose from dropdown]],MaterialData[#All],4,FALSE),"")</f>
        <v/>
      </c>
      <c r="T747" s="322" cm="1">
        <f t="array" ref="T747">IFERROR(VLOOKUP(Calculations[[#This Row],[Waste 1]],WasteScenario[#All],2,FALSE)*'Stage assumptions'!$C$225*WasteTransportMethod[Emissions Factor
kgCO2e/kg.km]*Calculations[[#This Row],[Total Kg]],0)</f>
        <v>0</v>
      </c>
      <c r="U747" s="322" cm="1">
        <f t="array" ref="U747">IFERROR(VLOOKUP(Calculations[[#This Row],[Waste 1]],WasteScenario[#All],3,FALSE)*'Stage assumptions'!$C$224*WasteTransportMethod[Emissions Factor
kgCO2e/kg.km]*Calculations[[#This Row],[Total Kg]],0)</f>
        <v>0</v>
      </c>
      <c r="V747" s="322" cm="1">
        <f t="array" ref="V747">IFERROR(VLOOKUP(Calculations[[#This Row],[Waste 1]],WasteScenario[#All],4,FALSE)*'Stage assumptions'!$C$223*WasteTransportMethod[Emissions Factor
kgCO2e/kg.km]*Calculations[[#This Row],[Total Kg]],0)</f>
        <v>0</v>
      </c>
      <c r="W747" s="322" cm="1">
        <f t="array" ref="W747">IFERROR(VLOOKUP(Calculations[[#This Row],[Waste 1]],WasteScenario[#All],5,FALSE)*'Stage assumptions'!$C$226*WasteTransportMethod[Emissions Factor
kgCO2e/kg.km]*Calculations[[#This Row],[Total Kg]],0)</f>
        <v>0</v>
      </c>
      <c r="X747" s="322">
        <f>SUM(Calculations[[#This Row],[C2 Recycle]:[C2 Reuse]])</f>
        <v>0</v>
      </c>
      <c r="Y747" t="str">
        <f>IFERROR(VLOOKUP(Calculations[[#This Row],[Material (choose from dropdown]],MaterialData[#All],5,FALSE),"")</f>
        <v/>
      </c>
      <c r="Z747" s="322">
        <f>IFERROR(((VLOOKUP(Calculations[[#This Row],[Waste type 2]],WasteDisposalEmissions[#All],2,FALSE))*Calculations[[#This Row],[Total Kg]])*VLOOKUP(Calculations[[#This Row],[Waste 1]],WasteScenario[#All],2,FALSE),0)</f>
        <v>0</v>
      </c>
      <c r="AA747" s="322">
        <f>IFERROR((VLOOKUP(Calculations[[#This Row],[Waste type 2]],WasteDisposalEmissions[#All],3,FALSE))*Calculations[[#This Row],[Total Kg]]*VLOOKUP(Calculations[[#This Row],[Waste 1]],WasteScenario[#All],3,FALSE),0)</f>
        <v>0</v>
      </c>
      <c r="AB747" s="322">
        <f>SUM(Calculations[[#This Row],[C3 recyc]:[C3 incin]])</f>
        <v>0</v>
      </c>
      <c r="AC747" s="334">
        <f>IFERROR((VLOOKUP(Calculations[[#This Row],[Waste type 2]],WasteLandfillEmissions[#All],2,FALSE))*Calculations[[#This Row],[Total Kg]]*VLOOKUP(Calculations[[#This Row],[Waste 1]],WasteScenario[#All],4,FALSE),0)</f>
        <v>0</v>
      </c>
      <c r="AD747" s="322">
        <f>IFERROR((VLOOKUP(Calculations[[#This Row],[Waste type 2]],WasteLandfillEmissions[#All],3,FALSE))*Calculations[[#This Row],[Total Kg]]*VLOOKUP(Calculations[[#This Row],[Waste 1]],WasteScenario[#All],4,FALSE),0)</f>
        <v>0</v>
      </c>
      <c r="AE747" s="322">
        <f>SUM(Calculations[[#This Row],[C4 landfill]:[C4 re-use]])</f>
        <v>0</v>
      </c>
      <c r="AF747" s="322">
        <f>IFERROR(VLOOKUP(Calculations[[#This Row],[Material (choose from dropdown]],MaterialData[#All],8,FALSE),0)</f>
        <v>0</v>
      </c>
      <c r="AG747" s="322">
        <f>IFERROR(Calculations[[#This Row],[Total Kg]]*Calculations[[#This Row],[Seq factor]],0)</f>
        <v>0</v>
      </c>
      <c r="AI747" s="322">
        <f>Calculations[[#This Row],[A1-3]]+Calculations[[#This Row],[A4]]+Calculations[[#This Row],[A5]]+Calculations[[#This Row],[B4]]+Calculations[[#This Row],[C2 total]]+Calculations[[#This Row],[C3 total]]+Calculations[[#This Row],[C4 total]]</f>
        <v>0</v>
      </c>
      <c r="AJ747" s="2">
        <f>IFERROR(VLOOKUP(Calculations[[#This Row],[Material (choose from dropdown]],MaterialData[[#Headers],[#Data]],9,FALSE),0)</f>
        <v>0</v>
      </c>
      <c r="AK747" s="4">
        <f>IFERROR(VLOOKUP(Calculations[[#This Row],[Material (choose from dropdown]],MaterialData[[#Headers],[#Data]],10,FALSE),0)</f>
        <v>0</v>
      </c>
      <c r="AL747" s="322">
        <f>IFERROR(Calculations[[#This Row],[Data Quality Score]]*Calculations[[#This Row],[Total Kg]],0)</f>
        <v>0</v>
      </c>
    </row>
    <row r="748" spans="1:38" x14ac:dyDescent="0.3">
      <c r="A748" s="6">
        <f>IFERROR(MaterialsBoQ[[#This Row],[Scope Element]],0)</f>
        <v>0</v>
      </c>
      <c r="B748" t="str">
        <f>IFERROR(MaterialsBoQ[[#This Row],[Material ]],"")</f>
        <v/>
      </c>
      <c r="C748" t="str">
        <f>IFERROR(MaterialsBoQ[[#This Row],[Unit]],"")</f>
        <v/>
      </c>
      <c r="D748" s="322">
        <f>IFERROR(MaterialsBoQ[[#This Row],[Number]],0)</f>
        <v>0</v>
      </c>
      <c r="E748" s="322">
        <f>IFERROR(MaterialsBoQ[[#This Row],[Kg per unit]],0)</f>
        <v>0</v>
      </c>
      <c r="F748" s="322">
        <f>IFERROR(Calculations[[#This Row],[Number]]*Calculations[[#This Row],[Conversion factor]],0)</f>
        <v>0</v>
      </c>
      <c r="G748" s="322">
        <f>IFERROR(VLOOKUP(Calculations[[#This Row],[Material (choose from dropdown]],MaterialData[#All],7,FALSE),0)</f>
        <v>0</v>
      </c>
      <c r="H748" s="322">
        <f>Calculations[[#This Row],[Total Kg]]*Calculations[[#This Row],[Carbon Factor]]</f>
        <v>0</v>
      </c>
      <c r="I748" t="str">
        <f>IFERROR(VLOOKUP(Calculations[[#This Row],[Material (choose from dropdown]],MaterialData[#All],2,FALSE),"")</f>
        <v/>
      </c>
      <c r="J748" s="322">
        <f>IFERROR(((VLOOKUP(Calculations[[#This Row],[TransportSource]],TransportDistance[],2,FALSE)*'Stage assumptions'!$C$11)+VLOOKUP(Calculations[[#This Row],[TransportSource]],TransportDistance[],3,FALSE)*'Stage assumptions'!$C$12)*Calculations[[#This Row],[Total Kg]],0)</f>
        <v>0</v>
      </c>
      <c r="K748">
        <f>IFERROR(VLOOKUP(Calculations[[#This Row],[Material (choose from dropdown]], MaterialData[#All],3, FALSE),0)</f>
        <v>0</v>
      </c>
      <c r="L748" s="322">
        <f>IFERROR(VLOOKUP(Calculations[[#This Row],[A5type]],A5WastageRate[#All],2,FALSE)*Calculations[[#This Row],[A1-3]],0)</f>
        <v>0</v>
      </c>
      <c r="N748">
        <f>IFERROR(ROUNDUP(50/VLOOKUP(Calculations[[#This Row],[Scope Element]],B4referenceServiceLife[[Tier 2 element]:[Default Service Life]],2, FALSE)-1,0),0)</f>
        <v>0</v>
      </c>
      <c r="O748" s="322">
        <f>IFERROR((Calculations[[#This Row],[A1-3]]+Calculations[[#This Row],[A4]]+Calculations[[#This Row],[A5]]+Calculations[[#This Row],[C2 total]]+Calculations[[#This Row],[C3 total]]+Calculations[[#This Row],[C4 total]])*Calculations[[#This Row],[Replacements]],0)</f>
        <v>0</v>
      </c>
      <c r="S748" t="str">
        <f>IFERROR(VLOOKUP(Calculations[[#This Row],[Material (choose from dropdown]],MaterialData[#All],4,FALSE),"")</f>
        <v/>
      </c>
      <c r="T748" s="322" cm="1">
        <f t="array" ref="T748">IFERROR(VLOOKUP(Calculations[[#This Row],[Waste 1]],WasteScenario[#All],2,FALSE)*'Stage assumptions'!$C$225*WasteTransportMethod[Emissions Factor
kgCO2e/kg.km]*Calculations[[#This Row],[Total Kg]],0)</f>
        <v>0</v>
      </c>
      <c r="U748" s="322" cm="1">
        <f t="array" ref="U748">IFERROR(VLOOKUP(Calculations[[#This Row],[Waste 1]],WasteScenario[#All],3,FALSE)*'Stage assumptions'!$C$224*WasteTransportMethod[Emissions Factor
kgCO2e/kg.km]*Calculations[[#This Row],[Total Kg]],0)</f>
        <v>0</v>
      </c>
      <c r="V748" s="322" cm="1">
        <f t="array" ref="V748">IFERROR(VLOOKUP(Calculations[[#This Row],[Waste 1]],WasteScenario[#All],4,FALSE)*'Stage assumptions'!$C$223*WasteTransportMethod[Emissions Factor
kgCO2e/kg.km]*Calculations[[#This Row],[Total Kg]],0)</f>
        <v>0</v>
      </c>
      <c r="W748" s="322" cm="1">
        <f t="array" ref="W748">IFERROR(VLOOKUP(Calculations[[#This Row],[Waste 1]],WasteScenario[#All],5,FALSE)*'Stage assumptions'!$C$226*WasteTransportMethod[Emissions Factor
kgCO2e/kg.km]*Calculations[[#This Row],[Total Kg]],0)</f>
        <v>0</v>
      </c>
      <c r="X748" s="322">
        <f>SUM(Calculations[[#This Row],[C2 Recycle]:[C2 Reuse]])</f>
        <v>0</v>
      </c>
      <c r="Y748" t="str">
        <f>IFERROR(VLOOKUP(Calculations[[#This Row],[Material (choose from dropdown]],MaterialData[#All],5,FALSE),"")</f>
        <v/>
      </c>
      <c r="Z748" s="322">
        <f>IFERROR(((VLOOKUP(Calculations[[#This Row],[Waste type 2]],WasteDisposalEmissions[#All],2,FALSE))*Calculations[[#This Row],[Total Kg]])*VLOOKUP(Calculations[[#This Row],[Waste 1]],WasteScenario[#All],2,FALSE),0)</f>
        <v>0</v>
      </c>
      <c r="AA748" s="322">
        <f>IFERROR((VLOOKUP(Calculations[[#This Row],[Waste type 2]],WasteDisposalEmissions[#All],3,FALSE))*Calculations[[#This Row],[Total Kg]]*VLOOKUP(Calculations[[#This Row],[Waste 1]],WasteScenario[#All],3,FALSE),0)</f>
        <v>0</v>
      </c>
      <c r="AB748" s="322">
        <f>SUM(Calculations[[#This Row],[C3 recyc]:[C3 incin]])</f>
        <v>0</v>
      </c>
      <c r="AC748" s="334">
        <f>IFERROR((VLOOKUP(Calculations[[#This Row],[Waste type 2]],WasteLandfillEmissions[#All],2,FALSE))*Calculations[[#This Row],[Total Kg]]*VLOOKUP(Calculations[[#This Row],[Waste 1]],WasteScenario[#All],4,FALSE),0)</f>
        <v>0</v>
      </c>
      <c r="AD748" s="322">
        <f>IFERROR((VLOOKUP(Calculations[[#This Row],[Waste type 2]],WasteLandfillEmissions[#All],3,FALSE))*Calculations[[#This Row],[Total Kg]]*VLOOKUP(Calculations[[#This Row],[Waste 1]],WasteScenario[#All],4,FALSE),0)</f>
        <v>0</v>
      </c>
      <c r="AE748" s="322">
        <f>SUM(Calculations[[#This Row],[C4 landfill]:[C4 re-use]])</f>
        <v>0</v>
      </c>
      <c r="AF748" s="322">
        <f>IFERROR(VLOOKUP(Calculations[[#This Row],[Material (choose from dropdown]],MaterialData[#All],8,FALSE),0)</f>
        <v>0</v>
      </c>
      <c r="AG748" s="322">
        <f>IFERROR(Calculations[[#This Row],[Total Kg]]*Calculations[[#This Row],[Seq factor]],0)</f>
        <v>0</v>
      </c>
      <c r="AI748" s="322">
        <f>Calculations[[#This Row],[A1-3]]+Calculations[[#This Row],[A4]]+Calculations[[#This Row],[A5]]+Calculations[[#This Row],[B4]]+Calculations[[#This Row],[C2 total]]+Calculations[[#This Row],[C3 total]]+Calculations[[#This Row],[C4 total]]</f>
        <v>0</v>
      </c>
      <c r="AJ748" s="2">
        <f>IFERROR(VLOOKUP(Calculations[[#This Row],[Material (choose from dropdown]],MaterialData[[#Headers],[#Data]],9,FALSE),0)</f>
        <v>0</v>
      </c>
      <c r="AK748" s="4">
        <f>IFERROR(VLOOKUP(Calculations[[#This Row],[Material (choose from dropdown]],MaterialData[[#Headers],[#Data]],10,FALSE),0)</f>
        <v>0</v>
      </c>
      <c r="AL748" s="322">
        <f>IFERROR(Calculations[[#This Row],[Data Quality Score]]*Calculations[[#This Row],[Total Kg]],0)</f>
        <v>0</v>
      </c>
    </row>
    <row r="749" spans="1:38" x14ac:dyDescent="0.3">
      <c r="A749" s="6">
        <f>IFERROR(MaterialsBoQ[[#This Row],[Scope Element]],0)</f>
        <v>0</v>
      </c>
      <c r="B749" t="str">
        <f>IFERROR(MaterialsBoQ[[#This Row],[Material ]],"")</f>
        <v/>
      </c>
      <c r="C749" t="str">
        <f>IFERROR(MaterialsBoQ[[#This Row],[Unit]],"")</f>
        <v/>
      </c>
      <c r="D749" s="322">
        <f>IFERROR(MaterialsBoQ[[#This Row],[Number]],0)</f>
        <v>0</v>
      </c>
      <c r="E749" s="322">
        <f>IFERROR(MaterialsBoQ[[#This Row],[Kg per unit]],0)</f>
        <v>0</v>
      </c>
      <c r="F749" s="322">
        <f>IFERROR(Calculations[[#This Row],[Number]]*Calculations[[#This Row],[Conversion factor]],0)</f>
        <v>0</v>
      </c>
      <c r="G749" s="322">
        <f>IFERROR(VLOOKUP(Calculations[[#This Row],[Material (choose from dropdown]],MaterialData[#All],7,FALSE),0)</f>
        <v>0</v>
      </c>
      <c r="H749" s="322">
        <f>Calculations[[#This Row],[Total Kg]]*Calculations[[#This Row],[Carbon Factor]]</f>
        <v>0</v>
      </c>
      <c r="I749" t="str">
        <f>IFERROR(VLOOKUP(Calculations[[#This Row],[Material (choose from dropdown]],MaterialData[#All],2,FALSE),"")</f>
        <v/>
      </c>
      <c r="J749" s="322">
        <f>IFERROR(((VLOOKUP(Calculations[[#This Row],[TransportSource]],TransportDistance[],2,FALSE)*'Stage assumptions'!$C$11)+VLOOKUP(Calculations[[#This Row],[TransportSource]],TransportDistance[],3,FALSE)*'Stage assumptions'!$C$12)*Calculations[[#This Row],[Total Kg]],0)</f>
        <v>0</v>
      </c>
      <c r="K749">
        <f>IFERROR(VLOOKUP(Calculations[[#This Row],[Material (choose from dropdown]], MaterialData[#All],3, FALSE),0)</f>
        <v>0</v>
      </c>
      <c r="L749" s="322">
        <f>IFERROR(VLOOKUP(Calculations[[#This Row],[A5type]],A5WastageRate[#All],2,FALSE)*Calculations[[#This Row],[A1-3]],0)</f>
        <v>0</v>
      </c>
      <c r="N749">
        <f>IFERROR(ROUNDUP(50/VLOOKUP(Calculations[[#This Row],[Scope Element]],B4referenceServiceLife[[Tier 2 element]:[Default Service Life]],2, FALSE)-1,0),0)</f>
        <v>0</v>
      </c>
      <c r="O749" s="322">
        <f>IFERROR((Calculations[[#This Row],[A1-3]]+Calculations[[#This Row],[A4]]+Calculations[[#This Row],[A5]]+Calculations[[#This Row],[C2 total]]+Calculations[[#This Row],[C3 total]]+Calculations[[#This Row],[C4 total]])*Calculations[[#This Row],[Replacements]],0)</f>
        <v>0</v>
      </c>
      <c r="S749" t="str">
        <f>IFERROR(VLOOKUP(Calculations[[#This Row],[Material (choose from dropdown]],MaterialData[#All],4,FALSE),"")</f>
        <v/>
      </c>
      <c r="T749" s="322" cm="1">
        <f t="array" ref="T749">IFERROR(VLOOKUP(Calculations[[#This Row],[Waste 1]],WasteScenario[#All],2,FALSE)*'Stage assumptions'!$C$225*WasteTransportMethod[Emissions Factor
kgCO2e/kg.km]*Calculations[[#This Row],[Total Kg]],0)</f>
        <v>0</v>
      </c>
      <c r="U749" s="322" cm="1">
        <f t="array" ref="U749">IFERROR(VLOOKUP(Calculations[[#This Row],[Waste 1]],WasteScenario[#All],3,FALSE)*'Stage assumptions'!$C$224*WasteTransportMethod[Emissions Factor
kgCO2e/kg.km]*Calculations[[#This Row],[Total Kg]],0)</f>
        <v>0</v>
      </c>
      <c r="V749" s="322" cm="1">
        <f t="array" ref="V749">IFERROR(VLOOKUP(Calculations[[#This Row],[Waste 1]],WasteScenario[#All],4,FALSE)*'Stage assumptions'!$C$223*WasteTransportMethod[Emissions Factor
kgCO2e/kg.km]*Calculations[[#This Row],[Total Kg]],0)</f>
        <v>0</v>
      </c>
      <c r="W749" s="322" cm="1">
        <f t="array" ref="W749">IFERROR(VLOOKUP(Calculations[[#This Row],[Waste 1]],WasteScenario[#All],5,FALSE)*'Stage assumptions'!$C$226*WasteTransportMethod[Emissions Factor
kgCO2e/kg.km]*Calculations[[#This Row],[Total Kg]],0)</f>
        <v>0</v>
      </c>
      <c r="X749" s="322">
        <f>SUM(Calculations[[#This Row],[C2 Recycle]:[C2 Reuse]])</f>
        <v>0</v>
      </c>
      <c r="Y749" t="str">
        <f>IFERROR(VLOOKUP(Calculations[[#This Row],[Material (choose from dropdown]],MaterialData[#All],5,FALSE),"")</f>
        <v/>
      </c>
      <c r="Z749" s="322">
        <f>IFERROR(((VLOOKUP(Calculations[[#This Row],[Waste type 2]],WasteDisposalEmissions[#All],2,FALSE))*Calculations[[#This Row],[Total Kg]])*VLOOKUP(Calculations[[#This Row],[Waste 1]],WasteScenario[#All],2,FALSE),0)</f>
        <v>0</v>
      </c>
      <c r="AA749" s="322">
        <f>IFERROR((VLOOKUP(Calculations[[#This Row],[Waste type 2]],WasteDisposalEmissions[#All],3,FALSE))*Calculations[[#This Row],[Total Kg]]*VLOOKUP(Calculations[[#This Row],[Waste 1]],WasteScenario[#All],3,FALSE),0)</f>
        <v>0</v>
      </c>
      <c r="AB749" s="322">
        <f>SUM(Calculations[[#This Row],[C3 recyc]:[C3 incin]])</f>
        <v>0</v>
      </c>
      <c r="AC749" s="334">
        <f>IFERROR((VLOOKUP(Calculations[[#This Row],[Waste type 2]],WasteLandfillEmissions[#All],2,FALSE))*Calculations[[#This Row],[Total Kg]]*VLOOKUP(Calculations[[#This Row],[Waste 1]],WasteScenario[#All],4,FALSE),0)</f>
        <v>0</v>
      </c>
      <c r="AD749" s="322">
        <f>IFERROR((VLOOKUP(Calculations[[#This Row],[Waste type 2]],WasteLandfillEmissions[#All],3,FALSE))*Calculations[[#This Row],[Total Kg]]*VLOOKUP(Calculations[[#This Row],[Waste 1]],WasteScenario[#All],4,FALSE),0)</f>
        <v>0</v>
      </c>
      <c r="AE749" s="322">
        <f>SUM(Calculations[[#This Row],[C4 landfill]:[C4 re-use]])</f>
        <v>0</v>
      </c>
      <c r="AF749" s="322">
        <f>IFERROR(VLOOKUP(Calculations[[#This Row],[Material (choose from dropdown]],MaterialData[#All],8,FALSE),0)</f>
        <v>0</v>
      </c>
      <c r="AG749" s="322">
        <f>IFERROR(Calculations[[#This Row],[Total Kg]]*Calculations[[#This Row],[Seq factor]],0)</f>
        <v>0</v>
      </c>
      <c r="AI749" s="322">
        <f>Calculations[[#This Row],[A1-3]]+Calculations[[#This Row],[A4]]+Calculations[[#This Row],[A5]]+Calculations[[#This Row],[B4]]+Calculations[[#This Row],[C2 total]]+Calculations[[#This Row],[C3 total]]+Calculations[[#This Row],[C4 total]]</f>
        <v>0</v>
      </c>
      <c r="AJ749" s="2">
        <f>IFERROR(VLOOKUP(Calculations[[#This Row],[Material (choose from dropdown]],MaterialData[[#Headers],[#Data]],9,FALSE),0)</f>
        <v>0</v>
      </c>
      <c r="AK749" s="4">
        <f>IFERROR(VLOOKUP(Calculations[[#This Row],[Material (choose from dropdown]],MaterialData[[#Headers],[#Data]],10,FALSE),0)</f>
        <v>0</v>
      </c>
      <c r="AL749" s="322">
        <f>IFERROR(Calculations[[#This Row],[Data Quality Score]]*Calculations[[#This Row],[Total Kg]],0)</f>
        <v>0</v>
      </c>
    </row>
    <row r="750" spans="1:38" x14ac:dyDescent="0.3">
      <c r="A750" s="6">
        <f>IFERROR(MaterialsBoQ[[#This Row],[Scope Element]],0)</f>
        <v>0</v>
      </c>
      <c r="B750" t="str">
        <f>IFERROR(MaterialsBoQ[[#This Row],[Material ]],"")</f>
        <v/>
      </c>
      <c r="C750" t="str">
        <f>IFERROR(MaterialsBoQ[[#This Row],[Unit]],"")</f>
        <v/>
      </c>
      <c r="D750" s="322">
        <f>IFERROR(MaterialsBoQ[[#This Row],[Number]],0)</f>
        <v>0</v>
      </c>
      <c r="E750" s="322">
        <f>IFERROR(MaterialsBoQ[[#This Row],[Kg per unit]],0)</f>
        <v>0</v>
      </c>
      <c r="F750" s="322">
        <f>IFERROR(Calculations[[#This Row],[Number]]*Calculations[[#This Row],[Conversion factor]],0)</f>
        <v>0</v>
      </c>
      <c r="G750" s="322">
        <f>IFERROR(VLOOKUP(Calculations[[#This Row],[Material (choose from dropdown]],MaterialData[#All],7,FALSE),0)</f>
        <v>0</v>
      </c>
      <c r="H750" s="322">
        <f>Calculations[[#This Row],[Total Kg]]*Calculations[[#This Row],[Carbon Factor]]</f>
        <v>0</v>
      </c>
      <c r="I750" t="str">
        <f>IFERROR(VLOOKUP(Calculations[[#This Row],[Material (choose from dropdown]],MaterialData[#All],2,FALSE),"")</f>
        <v/>
      </c>
      <c r="J750" s="322">
        <f>IFERROR(((VLOOKUP(Calculations[[#This Row],[TransportSource]],TransportDistance[],2,FALSE)*'Stage assumptions'!$C$11)+VLOOKUP(Calculations[[#This Row],[TransportSource]],TransportDistance[],3,FALSE)*'Stage assumptions'!$C$12)*Calculations[[#This Row],[Total Kg]],0)</f>
        <v>0</v>
      </c>
      <c r="K750">
        <f>IFERROR(VLOOKUP(Calculations[[#This Row],[Material (choose from dropdown]], MaterialData[#All],3, FALSE),0)</f>
        <v>0</v>
      </c>
      <c r="L750" s="322">
        <f>IFERROR(VLOOKUP(Calculations[[#This Row],[A5type]],A5WastageRate[#All],2,FALSE)*Calculations[[#This Row],[A1-3]],0)</f>
        <v>0</v>
      </c>
      <c r="N750">
        <f>IFERROR(ROUNDUP(50/VLOOKUP(Calculations[[#This Row],[Scope Element]],B4referenceServiceLife[[Tier 2 element]:[Default Service Life]],2, FALSE)-1,0),0)</f>
        <v>0</v>
      </c>
      <c r="O750" s="322">
        <f>IFERROR((Calculations[[#This Row],[A1-3]]+Calculations[[#This Row],[A4]]+Calculations[[#This Row],[A5]]+Calculations[[#This Row],[C2 total]]+Calculations[[#This Row],[C3 total]]+Calculations[[#This Row],[C4 total]])*Calculations[[#This Row],[Replacements]],0)</f>
        <v>0</v>
      </c>
      <c r="S750" t="str">
        <f>IFERROR(VLOOKUP(Calculations[[#This Row],[Material (choose from dropdown]],MaterialData[#All],4,FALSE),"")</f>
        <v/>
      </c>
      <c r="T750" s="322" cm="1">
        <f t="array" ref="T750">IFERROR(VLOOKUP(Calculations[[#This Row],[Waste 1]],WasteScenario[#All],2,FALSE)*'Stage assumptions'!$C$225*WasteTransportMethod[Emissions Factor
kgCO2e/kg.km]*Calculations[[#This Row],[Total Kg]],0)</f>
        <v>0</v>
      </c>
      <c r="U750" s="322" cm="1">
        <f t="array" ref="U750">IFERROR(VLOOKUP(Calculations[[#This Row],[Waste 1]],WasteScenario[#All],3,FALSE)*'Stage assumptions'!$C$224*WasteTransportMethod[Emissions Factor
kgCO2e/kg.km]*Calculations[[#This Row],[Total Kg]],0)</f>
        <v>0</v>
      </c>
      <c r="V750" s="322" cm="1">
        <f t="array" ref="V750">IFERROR(VLOOKUP(Calculations[[#This Row],[Waste 1]],WasteScenario[#All],4,FALSE)*'Stage assumptions'!$C$223*WasteTransportMethod[Emissions Factor
kgCO2e/kg.km]*Calculations[[#This Row],[Total Kg]],0)</f>
        <v>0</v>
      </c>
      <c r="W750" s="322" cm="1">
        <f t="array" ref="W750">IFERROR(VLOOKUP(Calculations[[#This Row],[Waste 1]],WasteScenario[#All],5,FALSE)*'Stage assumptions'!$C$226*WasteTransportMethod[Emissions Factor
kgCO2e/kg.km]*Calculations[[#This Row],[Total Kg]],0)</f>
        <v>0</v>
      </c>
      <c r="X750" s="322">
        <f>SUM(Calculations[[#This Row],[C2 Recycle]:[C2 Reuse]])</f>
        <v>0</v>
      </c>
      <c r="Y750" t="str">
        <f>IFERROR(VLOOKUP(Calculations[[#This Row],[Material (choose from dropdown]],MaterialData[#All],5,FALSE),"")</f>
        <v/>
      </c>
      <c r="Z750" s="322">
        <f>IFERROR(((VLOOKUP(Calculations[[#This Row],[Waste type 2]],WasteDisposalEmissions[#All],2,FALSE))*Calculations[[#This Row],[Total Kg]])*VLOOKUP(Calculations[[#This Row],[Waste 1]],WasteScenario[#All],2,FALSE),0)</f>
        <v>0</v>
      </c>
      <c r="AA750" s="322">
        <f>IFERROR((VLOOKUP(Calculations[[#This Row],[Waste type 2]],WasteDisposalEmissions[#All],3,FALSE))*Calculations[[#This Row],[Total Kg]]*VLOOKUP(Calculations[[#This Row],[Waste 1]],WasteScenario[#All],3,FALSE),0)</f>
        <v>0</v>
      </c>
      <c r="AB750" s="322">
        <f>SUM(Calculations[[#This Row],[C3 recyc]:[C3 incin]])</f>
        <v>0</v>
      </c>
      <c r="AC750" s="334">
        <f>IFERROR((VLOOKUP(Calculations[[#This Row],[Waste type 2]],WasteLandfillEmissions[#All],2,FALSE))*Calculations[[#This Row],[Total Kg]]*VLOOKUP(Calculations[[#This Row],[Waste 1]],WasteScenario[#All],4,FALSE),0)</f>
        <v>0</v>
      </c>
      <c r="AD750" s="322">
        <f>IFERROR((VLOOKUP(Calculations[[#This Row],[Waste type 2]],WasteLandfillEmissions[#All],3,FALSE))*Calculations[[#This Row],[Total Kg]]*VLOOKUP(Calculations[[#This Row],[Waste 1]],WasteScenario[#All],4,FALSE),0)</f>
        <v>0</v>
      </c>
      <c r="AE750" s="322">
        <f>SUM(Calculations[[#This Row],[C4 landfill]:[C4 re-use]])</f>
        <v>0</v>
      </c>
      <c r="AF750" s="322">
        <f>IFERROR(VLOOKUP(Calculations[[#This Row],[Material (choose from dropdown]],MaterialData[#All],8,FALSE),0)</f>
        <v>0</v>
      </c>
      <c r="AG750" s="322">
        <f>IFERROR(Calculations[[#This Row],[Total Kg]]*Calculations[[#This Row],[Seq factor]],0)</f>
        <v>0</v>
      </c>
      <c r="AI750" s="322">
        <f>Calculations[[#This Row],[A1-3]]+Calculations[[#This Row],[A4]]+Calculations[[#This Row],[A5]]+Calculations[[#This Row],[B4]]+Calculations[[#This Row],[C2 total]]+Calculations[[#This Row],[C3 total]]+Calculations[[#This Row],[C4 total]]</f>
        <v>0</v>
      </c>
      <c r="AJ750" s="2">
        <f>IFERROR(VLOOKUP(Calculations[[#This Row],[Material (choose from dropdown]],MaterialData[[#Headers],[#Data]],9,FALSE),0)</f>
        <v>0</v>
      </c>
      <c r="AK750" s="4">
        <f>IFERROR(VLOOKUP(Calculations[[#This Row],[Material (choose from dropdown]],MaterialData[[#Headers],[#Data]],10,FALSE),0)</f>
        <v>0</v>
      </c>
      <c r="AL750" s="322">
        <f>IFERROR(Calculations[[#This Row],[Data Quality Score]]*Calculations[[#This Row],[Total Kg]],0)</f>
        <v>0</v>
      </c>
    </row>
    <row r="751" spans="1:38" x14ac:dyDescent="0.3">
      <c r="A751" s="6">
        <f>IFERROR(MaterialsBoQ[[#This Row],[Scope Element]],0)</f>
        <v>0</v>
      </c>
      <c r="B751" t="str">
        <f>IFERROR(MaterialsBoQ[[#This Row],[Material ]],"")</f>
        <v/>
      </c>
      <c r="C751" t="str">
        <f>IFERROR(MaterialsBoQ[[#This Row],[Unit]],"")</f>
        <v/>
      </c>
      <c r="D751" s="322">
        <f>IFERROR(MaterialsBoQ[[#This Row],[Number]],0)</f>
        <v>0</v>
      </c>
      <c r="E751" s="322">
        <f>IFERROR(MaterialsBoQ[[#This Row],[Kg per unit]],0)</f>
        <v>0</v>
      </c>
      <c r="F751" s="322">
        <f>IFERROR(Calculations[[#This Row],[Number]]*Calculations[[#This Row],[Conversion factor]],0)</f>
        <v>0</v>
      </c>
      <c r="G751" s="322">
        <f>IFERROR(VLOOKUP(Calculations[[#This Row],[Material (choose from dropdown]],MaterialData[#All],7,FALSE),0)</f>
        <v>0</v>
      </c>
      <c r="H751" s="322">
        <f>Calculations[[#This Row],[Total Kg]]*Calculations[[#This Row],[Carbon Factor]]</f>
        <v>0</v>
      </c>
      <c r="I751" t="str">
        <f>IFERROR(VLOOKUP(Calculations[[#This Row],[Material (choose from dropdown]],MaterialData[#All],2,FALSE),"")</f>
        <v/>
      </c>
      <c r="J751" s="322">
        <f>IFERROR(((VLOOKUP(Calculations[[#This Row],[TransportSource]],TransportDistance[],2,FALSE)*'Stage assumptions'!$C$11)+VLOOKUP(Calculations[[#This Row],[TransportSource]],TransportDistance[],3,FALSE)*'Stage assumptions'!$C$12)*Calculations[[#This Row],[Total Kg]],0)</f>
        <v>0</v>
      </c>
      <c r="K751">
        <f>IFERROR(VLOOKUP(Calculations[[#This Row],[Material (choose from dropdown]], MaterialData[#All],3, FALSE),0)</f>
        <v>0</v>
      </c>
      <c r="L751" s="322">
        <f>IFERROR(VLOOKUP(Calculations[[#This Row],[A5type]],A5WastageRate[#All],2,FALSE)*Calculations[[#This Row],[A1-3]],0)</f>
        <v>0</v>
      </c>
      <c r="N751">
        <f>IFERROR(ROUNDUP(50/VLOOKUP(Calculations[[#This Row],[Scope Element]],B4referenceServiceLife[[Tier 2 element]:[Default Service Life]],2, FALSE)-1,0),0)</f>
        <v>0</v>
      </c>
      <c r="O751" s="322">
        <f>IFERROR((Calculations[[#This Row],[A1-3]]+Calculations[[#This Row],[A4]]+Calculations[[#This Row],[A5]]+Calculations[[#This Row],[C2 total]]+Calculations[[#This Row],[C3 total]]+Calculations[[#This Row],[C4 total]])*Calculations[[#This Row],[Replacements]],0)</f>
        <v>0</v>
      </c>
      <c r="S751" t="str">
        <f>IFERROR(VLOOKUP(Calculations[[#This Row],[Material (choose from dropdown]],MaterialData[#All],4,FALSE),"")</f>
        <v/>
      </c>
      <c r="T751" s="322" cm="1">
        <f t="array" ref="T751">IFERROR(VLOOKUP(Calculations[[#This Row],[Waste 1]],WasteScenario[#All],2,FALSE)*'Stage assumptions'!$C$225*WasteTransportMethod[Emissions Factor
kgCO2e/kg.km]*Calculations[[#This Row],[Total Kg]],0)</f>
        <v>0</v>
      </c>
      <c r="U751" s="322" cm="1">
        <f t="array" ref="U751">IFERROR(VLOOKUP(Calculations[[#This Row],[Waste 1]],WasteScenario[#All],3,FALSE)*'Stage assumptions'!$C$224*WasteTransportMethod[Emissions Factor
kgCO2e/kg.km]*Calculations[[#This Row],[Total Kg]],0)</f>
        <v>0</v>
      </c>
      <c r="V751" s="322" cm="1">
        <f t="array" ref="V751">IFERROR(VLOOKUP(Calculations[[#This Row],[Waste 1]],WasteScenario[#All],4,FALSE)*'Stage assumptions'!$C$223*WasteTransportMethod[Emissions Factor
kgCO2e/kg.km]*Calculations[[#This Row],[Total Kg]],0)</f>
        <v>0</v>
      </c>
      <c r="W751" s="322" cm="1">
        <f t="array" ref="W751">IFERROR(VLOOKUP(Calculations[[#This Row],[Waste 1]],WasteScenario[#All],5,FALSE)*'Stage assumptions'!$C$226*WasteTransportMethod[Emissions Factor
kgCO2e/kg.km]*Calculations[[#This Row],[Total Kg]],0)</f>
        <v>0</v>
      </c>
      <c r="X751" s="322">
        <f>SUM(Calculations[[#This Row],[C2 Recycle]:[C2 Reuse]])</f>
        <v>0</v>
      </c>
      <c r="Y751" t="str">
        <f>IFERROR(VLOOKUP(Calculations[[#This Row],[Material (choose from dropdown]],MaterialData[#All],5,FALSE),"")</f>
        <v/>
      </c>
      <c r="Z751" s="322">
        <f>IFERROR(((VLOOKUP(Calculations[[#This Row],[Waste type 2]],WasteDisposalEmissions[#All],2,FALSE))*Calculations[[#This Row],[Total Kg]])*VLOOKUP(Calculations[[#This Row],[Waste 1]],WasteScenario[#All],2,FALSE),0)</f>
        <v>0</v>
      </c>
      <c r="AA751" s="322">
        <f>IFERROR((VLOOKUP(Calculations[[#This Row],[Waste type 2]],WasteDisposalEmissions[#All],3,FALSE))*Calculations[[#This Row],[Total Kg]]*VLOOKUP(Calculations[[#This Row],[Waste 1]],WasteScenario[#All],3,FALSE),0)</f>
        <v>0</v>
      </c>
      <c r="AB751" s="322">
        <f>SUM(Calculations[[#This Row],[C3 recyc]:[C3 incin]])</f>
        <v>0</v>
      </c>
      <c r="AC751" s="334">
        <f>IFERROR((VLOOKUP(Calculations[[#This Row],[Waste type 2]],WasteLandfillEmissions[#All],2,FALSE))*Calculations[[#This Row],[Total Kg]]*VLOOKUP(Calculations[[#This Row],[Waste 1]],WasteScenario[#All],4,FALSE),0)</f>
        <v>0</v>
      </c>
      <c r="AD751" s="322">
        <f>IFERROR((VLOOKUP(Calculations[[#This Row],[Waste type 2]],WasteLandfillEmissions[#All],3,FALSE))*Calculations[[#This Row],[Total Kg]]*VLOOKUP(Calculations[[#This Row],[Waste 1]],WasteScenario[#All],4,FALSE),0)</f>
        <v>0</v>
      </c>
      <c r="AE751" s="322">
        <f>SUM(Calculations[[#This Row],[C4 landfill]:[C4 re-use]])</f>
        <v>0</v>
      </c>
      <c r="AF751" s="322">
        <f>IFERROR(VLOOKUP(Calculations[[#This Row],[Material (choose from dropdown]],MaterialData[#All],8,FALSE),0)</f>
        <v>0</v>
      </c>
      <c r="AG751" s="322">
        <f>IFERROR(Calculations[[#This Row],[Total Kg]]*Calculations[[#This Row],[Seq factor]],0)</f>
        <v>0</v>
      </c>
      <c r="AI751" s="322">
        <f>Calculations[[#This Row],[A1-3]]+Calculations[[#This Row],[A4]]+Calculations[[#This Row],[A5]]+Calculations[[#This Row],[B4]]+Calculations[[#This Row],[C2 total]]+Calculations[[#This Row],[C3 total]]+Calculations[[#This Row],[C4 total]]</f>
        <v>0</v>
      </c>
      <c r="AJ751" s="2">
        <f>IFERROR(VLOOKUP(Calculations[[#This Row],[Material (choose from dropdown]],MaterialData[[#Headers],[#Data]],9,FALSE),0)</f>
        <v>0</v>
      </c>
      <c r="AK751" s="4">
        <f>IFERROR(VLOOKUP(Calculations[[#This Row],[Material (choose from dropdown]],MaterialData[[#Headers],[#Data]],10,FALSE),0)</f>
        <v>0</v>
      </c>
      <c r="AL751" s="322">
        <f>IFERROR(Calculations[[#This Row],[Data Quality Score]]*Calculations[[#This Row],[Total Kg]],0)</f>
        <v>0</v>
      </c>
    </row>
    <row r="752" spans="1:38" x14ac:dyDescent="0.3">
      <c r="A752" s="6">
        <f>IFERROR(MaterialsBoQ[[#This Row],[Scope Element]],0)</f>
        <v>0</v>
      </c>
      <c r="B752" t="str">
        <f>IFERROR(MaterialsBoQ[[#This Row],[Material ]],"")</f>
        <v/>
      </c>
      <c r="C752" t="str">
        <f>IFERROR(MaterialsBoQ[[#This Row],[Unit]],"")</f>
        <v/>
      </c>
      <c r="D752" s="322">
        <f>IFERROR(MaterialsBoQ[[#This Row],[Number]],0)</f>
        <v>0</v>
      </c>
      <c r="E752" s="322">
        <f>IFERROR(MaterialsBoQ[[#This Row],[Kg per unit]],0)</f>
        <v>0</v>
      </c>
      <c r="F752" s="322">
        <f>IFERROR(Calculations[[#This Row],[Number]]*Calculations[[#This Row],[Conversion factor]],0)</f>
        <v>0</v>
      </c>
      <c r="G752" s="322">
        <f>IFERROR(VLOOKUP(Calculations[[#This Row],[Material (choose from dropdown]],MaterialData[#All],7,FALSE),0)</f>
        <v>0</v>
      </c>
      <c r="H752" s="322">
        <f>Calculations[[#This Row],[Total Kg]]*Calculations[[#This Row],[Carbon Factor]]</f>
        <v>0</v>
      </c>
      <c r="I752" t="str">
        <f>IFERROR(VLOOKUP(Calculations[[#This Row],[Material (choose from dropdown]],MaterialData[#All],2,FALSE),"")</f>
        <v/>
      </c>
      <c r="J752" s="322">
        <f>IFERROR(((VLOOKUP(Calculations[[#This Row],[TransportSource]],TransportDistance[],2,FALSE)*'Stage assumptions'!$C$11)+VLOOKUP(Calculations[[#This Row],[TransportSource]],TransportDistance[],3,FALSE)*'Stage assumptions'!$C$12)*Calculations[[#This Row],[Total Kg]],0)</f>
        <v>0</v>
      </c>
      <c r="K752">
        <f>IFERROR(VLOOKUP(Calculations[[#This Row],[Material (choose from dropdown]], MaterialData[#All],3, FALSE),0)</f>
        <v>0</v>
      </c>
      <c r="L752" s="322">
        <f>IFERROR(VLOOKUP(Calculations[[#This Row],[A5type]],A5WastageRate[#All],2,FALSE)*Calculations[[#This Row],[A1-3]],0)</f>
        <v>0</v>
      </c>
      <c r="N752">
        <f>IFERROR(ROUNDUP(50/VLOOKUP(Calculations[[#This Row],[Scope Element]],B4referenceServiceLife[[Tier 2 element]:[Default Service Life]],2, FALSE)-1,0),0)</f>
        <v>0</v>
      </c>
      <c r="O752" s="322">
        <f>IFERROR((Calculations[[#This Row],[A1-3]]+Calculations[[#This Row],[A4]]+Calculations[[#This Row],[A5]]+Calculations[[#This Row],[C2 total]]+Calculations[[#This Row],[C3 total]]+Calculations[[#This Row],[C4 total]])*Calculations[[#This Row],[Replacements]],0)</f>
        <v>0</v>
      </c>
      <c r="S752" t="str">
        <f>IFERROR(VLOOKUP(Calculations[[#This Row],[Material (choose from dropdown]],MaterialData[#All],4,FALSE),"")</f>
        <v/>
      </c>
      <c r="T752" s="322" cm="1">
        <f t="array" ref="T752">IFERROR(VLOOKUP(Calculations[[#This Row],[Waste 1]],WasteScenario[#All],2,FALSE)*'Stage assumptions'!$C$225*WasteTransportMethod[Emissions Factor
kgCO2e/kg.km]*Calculations[[#This Row],[Total Kg]],0)</f>
        <v>0</v>
      </c>
      <c r="U752" s="322" cm="1">
        <f t="array" ref="U752">IFERROR(VLOOKUP(Calculations[[#This Row],[Waste 1]],WasteScenario[#All],3,FALSE)*'Stage assumptions'!$C$224*WasteTransportMethod[Emissions Factor
kgCO2e/kg.km]*Calculations[[#This Row],[Total Kg]],0)</f>
        <v>0</v>
      </c>
      <c r="V752" s="322" cm="1">
        <f t="array" ref="V752">IFERROR(VLOOKUP(Calculations[[#This Row],[Waste 1]],WasteScenario[#All],4,FALSE)*'Stage assumptions'!$C$223*WasteTransportMethod[Emissions Factor
kgCO2e/kg.km]*Calculations[[#This Row],[Total Kg]],0)</f>
        <v>0</v>
      </c>
      <c r="W752" s="322" cm="1">
        <f t="array" ref="W752">IFERROR(VLOOKUP(Calculations[[#This Row],[Waste 1]],WasteScenario[#All],5,FALSE)*'Stage assumptions'!$C$226*WasteTransportMethod[Emissions Factor
kgCO2e/kg.km]*Calculations[[#This Row],[Total Kg]],0)</f>
        <v>0</v>
      </c>
      <c r="X752" s="322">
        <f>SUM(Calculations[[#This Row],[C2 Recycle]:[C2 Reuse]])</f>
        <v>0</v>
      </c>
      <c r="Y752" t="str">
        <f>IFERROR(VLOOKUP(Calculations[[#This Row],[Material (choose from dropdown]],MaterialData[#All],5,FALSE),"")</f>
        <v/>
      </c>
      <c r="Z752" s="322">
        <f>IFERROR(((VLOOKUP(Calculations[[#This Row],[Waste type 2]],WasteDisposalEmissions[#All],2,FALSE))*Calculations[[#This Row],[Total Kg]])*VLOOKUP(Calculations[[#This Row],[Waste 1]],WasteScenario[#All],2,FALSE),0)</f>
        <v>0</v>
      </c>
      <c r="AA752" s="322">
        <f>IFERROR((VLOOKUP(Calculations[[#This Row],[Waste type 2]],WasteDisposalEmissions[#All],3,FALSE))*Calculations[[#This Row],[Total Kg]]*VLOOKUP(Calculations[[#This Row],[Waste 1]],WasteScenario[#All],3,FALSE),0)</f>
        <v>0</v>
      </c>
      <c r="AB752" s="322">
        <f>SUM(Calculations[[#This Row],[C3 recyc]:[C3 incin]])</f>
        <v>0</v>
      </c>
      <c r="AC752" s="334">
        <f>IFERROR((VLOOKUP(Calculations[[#This Row],[Waste type 2]],WasteLandfillEmissions[#All],2,FALSE))*Calculations[[#This Row],[Total Kg]]*VLOOKUP(Calculations[[#This Row],[Waste 1]],WasteScenario[#All],4,FALSE),0)</f>
        <v>0</v>
      </c>
      <c r="AD752" s="322">
        <f>IFERROR((VLOOKUP(Calculations[[#This Row],[Waste type 2]],WasteLandfillEmissions[#All],3,FALSE))*Calculations[[#This Row],[Total Kg]]*VLOOKUP(Calculations[[#This Row],[Waste 1]],WasteScenario[#All],4,FALSE),0)</f>
        <v>0</v>
      </c>
      <c r="AE752" s="322">
        <f>SUM(Calculations[[#This Row],[C4 landfill]:[C4 re-use]])</f>
        <v>0</v>
      </c>
      <c r="AF752" s="322">
        <f>IFERROR(VLOOKUP(Calculations[[#This Row],[Material (choose from dropdown]],MaterialData[#All],8,FALSE),0)</f>
        <v>0</v>
      </c>
      <c r="AG752" s="322">
        <f>IFERROR(Calculations[[#This Row],[Total Kg]]*Calculations[[#This Row],[Seq factor]],0)</f>
        <v>0</v>
      </c>
      <c r="AI752" s="322">
        <f>Calculations[[#This Row],[A1-3]]+Calculations[[#This Row],[A4]]+Calculations[[#This Row],[A5]]+Calculations[[#This Row],[B4]]+Calculations[[#This Row],[C2 total]]+Calculations[[#This Row],[C3 total]]+Calculations[[#This Row],[C4 total]]</f>
        <v>0</v>
      </c>
      <c r="AJ752" s="2">
        <f>IFERROR(VLOOKUP(Calculations[[#This Row],[Material (choose from dropdown]],MaterialData[[#Headers],[#Data]],9,FALSE),0)</f>
        <v>0</v>
      </c>
      <c r="AK752" s="4">
        <f>IFERROR(VLOOKUP(Calculations[[#This Row],[Material (choose from dropdown]],MaterialData[[#Headers],[#Data]],10,FALSE),0)</f>
        <v>0</v>
      </c>
      <c r="AL752" s="322">
        <f>IFERROR(Calculations[[#This Row],[Data Quality Score]]*Calculations[[#This Row],[Total Kg]],0)</f>
        <v>0</v>
      </c>
    </row>
    <row r="753" spans="1:38" x14ac:dyDescent="0.3">
      <c r="A753" s="6">
        <f>IFERROR(MaterialsBoQ[[#This Row],[Scope Element]],0)</f>
        <v>0</v>
      </c>
      <c r="B753" t="str">
        <f>IFERROR(MaterialsBoQ[[#This Row],[Material ]],"")</f>
        <v/>
      </c>
      <c r="C753" t="str">
        <f>IFERROR(MaterialsBoQ[[#This Row],[Unit]],"")</f>
        <v/>
      </c>
      <c r="D753" s="322">
        <f>IFERROR(MaterialsBoQ[[#This Row],[Number]],0)</f>
        <v>0</v>
      </c>
      <c r="E753" s="322">
        <f>IFERROR(MaterialsBoQ[[#This Row],[Kg per unit]],0)</f>
        <v>0</v>
      </c>
      <c r="F753" s="322">
        <f>IFERROR(Calculations[[#This Row],[Number]]*Calculations[[#This Row],[Conversion factor]],0)</f>
        <v>0</v>
      </c>
      <c r="G753" s="322">
        <f>IFERROR(VLOOKUP(Calculations[[#This Row],[Material (choose from dropdown]],MaterialData[#All],7,FALSE),0)</f>
        <v>0</v>
      </c>
      <c r="H753" s="322">
        <f>Calculations[[#This Row],[Total Kg]]*Calculations[[#This Row],[Carbon Factor]]</f>
        <v>0</v>
      </c>
      <c r="I753" t="str">
        <f>IFERROR(VLOOKUP(Calculations[[#This Row],[Material (choose from dropdown]],MaterialData[#All],2,FALSE),"")</f>
        <v/>
      </c>
      <c r="J753" s="322">
        <f>IFERROR(((VLOOKUP(Calculations[[#This Row],[TransportSource]],TransportDistance[],2,FALSE)*'Stage assumptions'!$C$11)+VLOOKUP(Calculations[[#This Row],[TransportSource]],TransportDistance[],3,FALSE)*'Stage assumptions'!$C$12)*Calculations[[#This Row],[Total Kg]],0)</f>
        <v>0</v>
      </c>
      <c r="K753">
        <f>IFERROR(VLOOKUP(Calculations[[#This Row],[Material (choose from dropdown]], MaterialData[#All],3, FALSE),0)</f>
        <v>0</v>
      </c>
      <c r="L753" s="322">
        <f>IFERROR(VLOOKUP(Calculations[[#This Row],[A5type]],A5WastageRate[#All],2,FALSE)*Calculations[[#This Row],[A1-3]],0)</f>
        <v>0</v>
      </c>
      <c r="N753">
        <f>IFERROR(ROUNDUP(50/VLOOKUP(Calculations[[#This Row],[Scope Element]],B4referenceServiceLife[[Tier 2 element]:[Default Service Life]],2, FALSE)-1,0),0)</f>
        <v>0</v>
      </c>
      <c r="O753" s="322">
        <f>IFERROR((Calculations[[#This Row],[A1-3]]+Calculations[[#This Row],[A4]]+Calculations[[#This Row],[A5]]+Calculations[[#This Row],[C2 total]]+Calculations[[#This Row],[C3 total]]+Calculations[[#This Row],[C4 total]])*Calculations[[#This Row],[Replacements]],0)</f>
        <v>0</v>
      </c>
      <c r="S753" t="str">
        <f>IFERROR(VLOOKUP(Calculations[[#This Row],[Material (choose from dropdown]],MaterialData[#All],4,FALSE),"")</f>
        <v/>
      </c>
      <c r="T753" s="322" cm="1">
        <f t="array" ref="T753">IFERROR(VLOOKUP(Calculations[[#This Row],[Waste 1]],WasteScenario[#All],2,FALSE)*'Stage assumptions'!$C$225*WasteTransportMethod[Emissions Factor
kgCO2e/kg.km]*Calculations[[#This Row],[Total Kg]],0)</f>
        <v>0</v>
      </c>
      <c r="U753" s="322" cm="1">
        <f t="array" ref="U753">IFERROR(VLOOKUP(Calculations[[#This Row],[Waste 1]],WasteScenario[#All],3,FALSE)*'Stage assumptions'!$C$224*WasteTransportMethod[Emissions Factor
kgCO2e/kg.km]*Calculations[[#This Row],[Total Kg]],0)</f>
        <v>0</v>
      </c>
      <c r="V753" s="322" cm="1">
        <f t="array" ref="V753">IFERROR(VLOOKUP(Calculations[[#This Row],[Waste 1]],WasteScenario[#All],4,FALSE)*'Stage assumptions'!$C$223*WasteTransportMethod[Emissions Factor
kgCO2e/kg.km]*Calculations[[#This Row],[Total Kg]],0)</f>
        <v>0</v>
      </c>
      <c r="W753" s="322" cm="1">
        <f t="array" ref="W753">IFERROR(VLOOKUP(Calculations[[#This Row],[Waste 1]],WasteScenario[#All],5,FALSE)*'Stage assumptions'!$C$226*WasteTransportMethod[Emissions Factor
kgCO2e/kg.km]*Calculations[[#This Row],[Total Kg]],0)</f>
        <v>0</v>
      </c>
      <c r="X753" s="322">
        <f>SUM(Calculations[[#This Row],[C2 Recycle]:[C2 Reuse]])</f>
        <v>0</v>
      </c>
      <c r="Y753" t="str">
        <f>IFERROR(VLOOKUP(Calculations[[#This Row],[Material (choose from dropdown]],MaterialData[#All],5,FALSE),"")</f>
        <v/>
      </c>
      <c r="Z753" s="322">
        <f>IFERROR(((VLOOKUP(Calculations[[#This Row],[Waste type 2]],WasteDisposalEmissions[#All],2,FALSE))*Calculations[[#This Row],[Total Kg]])*VLOOKUP(Calculations[[#This Row],[Waste 1]],WasteScenario[#All],2,FALSE),0)</f>
        <v>0</v>
      </c>
      <c r="AA753" s="322">
        <f>IFERROR((VLOOKUP(Calculations[[#This Row],[Waste type 2]],WasteDisposalEmissions[#All],3,FALSE))*Calculations[[#This Row],[Total Kg]]*VLOOKUP(Calculations[[#This Row],[Waste 1]],WasteScenario[#All],3,FALSE),0)</f>
        <v>0</v>
      </c>
      <c r="AB753" s="322">
        <f>SUM(Calculations[[#This Row],[C3 recyc]:[C3 incin]])</f>
        <v>0</v>
      </c>
      <c r="AC753" s="334">
        <f>IFERROR((VLOOKUP(Calculations[[#This Row],[Waste type 2]],WasteLandfillEmissions[#All],2,FALSE))*Calculations[[#This Row],[Total Kg]]*VLOOKUP(Calculations[[#This Row],[Waste 1]],WasteScenario[#All],4,FALSE),0)</f>
        <v>0</v>
      </c>
      <c r="AD753" s="322">
        <f>IFERROR((VLOOKUP(Calculations[[#This Row],[Waste type 2]],WasteLandfillEmissions[#All],3,FALSE))*Calculations[[#This Row],[Total Kg]]*VLOOKUP(Calculations[[#This Row],[Waste 1]],WasteScenario[#All],4,FALSE),0)</f>
        <v>0</v>
      </c>
      <c r="AE753" s="322">
        <f>SUM(Calculations[[#This Row],[C4 landfill]:[C4 re-use]])</f>
        <v>0</v>
      </c>
      <c r="AF753" s="322">
        <f>IFERROR(VLOOKUP(Calculations[[#This Row],[Material (choose from dropdown]],MaterialData[#All],8,FALSE),0)</f>
        <v>0</v>
      </c>
      <c r="AG753" s="322">
        <f>IFERROR(Calculations[[#This Row],[Total Kg]]*Calculations[[#This Row],[Seq factor]],0)</f>
        <v>0</v>
      </c>
      <c r="AI753" s="322">
        <f>Calculations[[#This Row],[A1-3]]+Calculations[[#This Row],[A4]]+Calculations[[#This Row],[A5]]+Calculations[[#This Row],[B4]]+Calculations[[#This Row],[C2 total]]+Calculations[[#This Row],[C3 total]]+Calculations[[#This Row],[C4 total]]</f>
        <v>0</v>
      </c>
      <c r="AJ753" s="2">
        <f>IFERROR(VLOOKUP(Calculations[[#This Row],[Material (choose from dropdown]],MaterialData[[#Headers],[#Data]],9,FALSE),0)</f>
        <v>0</v>
      </c>
      <c r="AK753" s="4">
        <f>IFERROR(VLOOKUP(Calculations[[#This Row],[Material (choose from dropdown]],MaterialData[[#Headers],[#Data]],10,FALSE),0)</f>
        <v>0</v>
      </c>
      <c r="AL753" s="322">
        <f>IFERROR(Calculations[[#This Row],[Data Quality Score]]*Calculations[[#This Row],[Total Kg]],0)</f>
        <v>0</v>
      </c>
    </row>
    <row r="754" spans="1:38" x14ac:dyDescent="0.3">
      <c r="A754" s="6">
        <f>IFERROR(MaterialsBoQ[[#This Row],[Scope Element]],0)</f>
        <v>0</v>
      </c>
      <c r="B754" t="str">
        <f>IFERROR(MaterialsBoQ[[#This Row],[Material ]],"")</f>
        <v/>
      </c>
      <c r="C754" t="str">
        <f>IFERROR(MaterialsBoQ[[#This Row],[Unit]],"")</f>
        <v/>
      </c>
      <c r="D754" s="322">
        <f>IFERROR(MaterialsBoQ[[#This Row],[Number]],0)</f>
        <v>0</v>
      </c>
      <c r="E754" s="322">
        <f>IFERROR(MaterialsBoQ[[#This Row],[Kg per unit]],0)</f>
        <v>0</v>
      </c>
      <c r="F754" s="322">
        <f>IFERROR(Calculations[[#This Row],[Number]]*Calculations[[#This Row],[Conversion factor]],0)</f>
        <v>0</v>
      </c>
      <c r="G754" s="322">
        <f>IFERROR(VLOOKUP(Calculations[[#This Row],[Material (choose from dropdown]],MaterialData[#All],7,FALSE),0)</f>
        <v>0</v>
      </c>
      <c r="H754" s="322">
        <f>Calculations[[#This Row],[Total Kg]]*Calculations[[#This Row],[Carbon Factor]]</f>
        <v>0</v>
      </c>
      <c r="I754" t="str">
        <f>IFERROR(VLOOKUP(Calculations[[#This Row],[Material (choose from dropdown]],MaterialData[#All],2,FALSE),"")</f>
        <v/>
      </c>
      <c r="J754" s="322">
        <f>IFERROR(((VLOOKUP(Calculations[[#This Row],[TransportSource]],TransportDistance[],2,FALSE)*'Stage assumptions'!$C$11)+VLOOKUP(Calculations[[#This Row],[TransportSource]],TransportDistance[],3,FALSE)*'Stage assumptions'!$C$12)*Calculations[[#This Row],[Total Kg]],0)</f>
        <v>0</v>
      </c>
      <c r="K754">
        <f>IFERROR(VLOOKUP(Calculations[[#This Row],[Material (choose from dropdown]], MaterialData[#All],3, FALSE),0)</f>
        <v>0</v>
      </c>
      <c r="L754" s="322">
        <f>IFERROR(VLOOKUP(Calculations[[#This Row],[A5type]],A5WastageRate[#All],2,FALSE)*Calculations[[#This Row],[A1-3]],0)</f>
        <v>0</v>
      </c>
      <c r="N754">
        <f>IFERROR(ROUNDUP(50/VLOOKUP(Calculations[[#This Row],[Scope Element]],B4referenceServiceLife[[Tier 2 element]:[Default Service Life]],2, FALSE)-1,0),0)</f>
        <v>0</v>
      </c>
      <c r="O754" s="322">
        <f>IFERROR((Calculations[[#This Row],[A1-3]]+Calculations[[#This Row],[A4]]+Calculations[[#This Row],[A5]]+Calculations[[#This Row],[C2 total]]+Calculations[[#This Row],[C3 total]]+Calculations[[#This Row],[C4 total]])*Calculations[[#This Row],[Replacements]],0)</f>
        <v>0</v>
      </c>
      <c r="S754" t="str">
        <f>IFERROR(VLOOKUP(Calculations[[#This Row],[Material (choose from dropdown]],MaterialData[#All],4,FALSE),"")</f>
        <v/>
      </c>
      <c r="T754" s="322" cm="1">
        <f t="array" ref="T754">IFERROR(VLOOKUP(Calculations[[#This Row],[Waste 1]],WasteScenario[#All],2,FALSE)*'Stage assumptions'!$C$225*WasteTransportMethod[Emissions Factor
kgCO2e/kg.km]*Calculations[[#This Row],[Total Kg]],0)</f>
        <v>0</v>
      </c>
      <c r="U754" s="322" cm="1">
        <f t="array" ref="U754">IFERROR(VLOOKUP(Calculations[[#This Row],[Waste 1]],WasteScenario[#All],3,FALSE)*'Stage assumptions'!$C$224*WasteTransportMethod[Emissions Factor
kgCO2e/kg.km]*Calculations[[#This Row],[Total Kg]],0)</f>
        <v>0</v>
      </c>
      <c r="V754" s="322" cm="1">
        <f t="array" ref="V754">IFERROR(VLOOKUP(Calculations[[#This Row],[Waste 1]],WasteScenario[#All],4,FALSE)*'Stage assumptions'!$C$223*WasteTransportMethod[Emissions Factor
kgCO2e/kg.km]*Calculations[[#This Row],[Total Kg]],0)</f>
        <v>0</v>
      </c>
      <c r="W754" s="322" cm="1">
        <f t="array" ref="W754">IFERROR(VLOOKUP(Calculations[[#This Row],[Waste 1]],WasteScenario[#All],5,FALSE)*'Stage assumptions'!$C$226*WasteTransportMethod[Emissions Factor
kgCO2e/kg.km]*Calculations[[#This Row],[Total Kg]],0)</f>
        <v>0</v>
      </c>
      <c r="X754" s="322">
        <f>SUM(Calculations[[#This Row],[C2 Recycle]:[C2 Reuse]])</f>
        <v>0</v>
      </c>
      <c r="Y754" t="str">
        <f>IFERROR(VLOOKUP(Calculations[[#This Row],[Material (choose from dropdown]],MaterialData[#All],5,FALSE),"")</f>
        <v/>
      </c>
      <c r="Z754" s="322">
        <f>IFERROR(((VLOOKUP(Calculations[[#This Row],[Waste type 2]],WasteDisposalEmissions[#All],2,FALSE))*Calculations[[#This Row],[Total Kg]])*VLOOKUP(Calculations[[#This Row],[Waste 1]],WasteScenario[#All],2,FALSE),0)</f>
        <v>0</v>
      </c>
      <c r="AA754" s="322">
        <f>IFERROR((VLOOKUP(Calculations[[#This Row],[Waste type 2]],WasteDisposalEmissions[#All],3,FALSE))*Calculations[[#This Row],[Total Kg]]*VLOOKUP(Calculations[[#This Row],[Waste 1]],WasteScenario[#All],3,FALSE),0)</f>
        <v>0</v>
      </c>
      <c r="AB754" s="322">
        <f>SUM(Calculations[[#This Row],[C3 recyc]:[C3 incin]])</f>
        <v>0</v>
      </c>
      <c r="AC754" s="334">
        <f>IFERROR((VLOOKUP(Calculations[[#This Row],[Waste type 2]],WasteLandfillEmissions[#All],2,FALSE))*Calculations[[#This Row],[Total Kg]]*VLOOKUP(Calculations[[#This Row],[Waste 1]],WasteScenario[#All],4,FALSE),0)</f>
        <v>0</v>
      </c>
      <c r="AD754" s="322">
        <f>IFERROR((VLOOKUP(Calculations[[#This Row],[Waste type 2]],WasteLandfillEmissions[#All],3,FALSE))*Calculations[[#This Row],[Total Kg]]*VLOOKUP(Calculations[[#This Row],[Waste 1]],WasteScenario[#All],4,FALSE),0)</f>
        <v>0</v>
      </c>
      <c r="AE754" s="322">
        <f>SUM(Calculations[[#This Row],[C4 landfill]:[C4 re-use]])</f>
        <v>0</v>
      </c>
      <c r="AF754" s="322">
        <f>IFERROR(VLOOKUP(Calculations[[#This Row],[Material (choose from dropdown]],MaterialData[#All],8,FALSE),0)</f>
        <v>0</v>
      </c>
      <c r="AG754" s="322">
        <f>IFERROR(Calculations[[#This Row],[Total Kg]]*Calculations[[#This Row],[Seq factor]],0)</f>
        <v>0</v>
      </c>
      <c r="AI754" s="322">
        <f>Calculations[[#This Row],[A1-3]]+Calculations[[#This Row],[A4]]+Calculations[[#This Row],[A5]]+Calculations[[#This Row],[B4]]+Calculations[[#This Row],[C2 total]]+Calculations[[#This Row],[C3 total]]+Calculations[[#This Row],[C4 total]]</f>
        <v>0</v>
      </c>
      <c r="AJ754" s="2">
        <f>IFERROR(VLOOKUP(Calculations[[#This Row],[Material (choose from dropdown]],MaterialData[[#Headers],[#Data]],9,FALSE),0)</f>
        <v>0</v>
      </c>
      <c r="AK754" s="4">
        <f>IFERROR(VLOOKUP(Calculations[[#This Row],[Material (choose from dropdown]],MaterialData[[#Headers],[#Data]],10,FALSE),0)</f>
        <v>0</v>
      </c>
      <c r="AL754" s="322">
        <f>IFERROR(Calculations[[#This Row],[Data Quality Score]]*Calculations[[#This Row],[Total Kg]],0)</f>
        <v>0</v>
      </c>
    </row>
    <row r="755" spans="1:38" x14ac:dyDescent="0.3">
      <c r="A755" s="6">
        <f>IFERROR(MaterialsBoQ[[#This Row],[Scope Element]],0)</f>
        <v>0</v>
      </c>
      <c r="B755" t="str">
        <f>IFERROR(MaterialsBoQ[[#This Row],[Material ]],"")</f>
        <v/>
      </c>
      <c r="C755" t="str">
        <f>IFERROR(MaterialsBoQ[[#This Row],[Unit]],"")</f>
        <v/>
      </c>
      <c r="D755" s="322">
        <f>IFERROR(MaterialsBoQ[[#This Row],[Number]],0)</f>
        <v>0</v>
      </c>
      <c r="E755" s="322">
        <f>IFERROR(MaterialsBoQ[[#This Row],[Kg per unit]],0)</f>
        <v>0</v>
      </c>
      <c r="F755" s="322">
        <f>IFERROR(Calculations[[#This Row],[Number]]*Calculations[[#This Row],[Conversion factor]],0)</f>
        <v>0</v>
      </c>
      <c r="G755" s="322">
        <f>IFERROR(VLOOKUP(Calculations[[#This Row],[Material (choose from dropdown]],MaterialData[#All],7,FALSE),0)</f>
        <v>0</v>
      </c>
      <c r="H755" s="322">
        <f>Calculations[[#This Row],[Total Kg]]*Calculations[[#This Row],[Carbon Factor]]</f>
        <v>0</v>
      </c>
      <c r="I755" t="str">
        <f>IFERROR(VLOOKUP(Calculations[[#This Row],[Material (choose from dropdown]],MaterialData[#All],2,FALSE),"")</f>
        <v/>
      </c>
      <c r="J755" s="322">
        <f>IFERROR(((VLOOKUP(Calculations[[#This Row],[TransportSource]],TransportDistance[],2,FALSE)*'Stage assumptions'!$C$11)+VLOOKUP(Calculations[[#This Row],[TransportSource]],TransportDistance[],3,FALSE)*'Stage assumptions'!$C$12)*Calculations[[#This Row],[Total Kg]],0)</f>
        <v>0</v>
      </c>
      <c r="K755">
        <f>IFERROR(VLOOKUP(Calculations[[#This Row],[Material (choose from dropdown]], MaterialData[#All],3, FALSE),0)</f>
        <v>0</v>
      </c>
      <c r="L755" s="322">
        <f>IFERROR(VLOOKUP(Calculations[[#This Row],[A5type]],A5WastageRate[#All],2,FALSE)*Calculations[[#This Row],[A1-3]],0)</f>
        <v>0</v>
      </c>
      <c r="N755">
        <f>IFERROR(ROUNDUP(50/VLOOKUP(Calculations[[#This Row],[Scope Element]],B4referenceServiceLife[[Tier 2 element]:[Default Service Life]],2, FALSE)-1,0),0)</f>
        <v>0</v>
      </c>
      <c r="O755" s="322">
        <f>IFERROR((Calculations[[#This Row],[A1-3]]+Calculations[[#This Row],[A4]]+Calculations[[#This Row],[A5]]+Calculations[[#This Row],[C2 total]]+Calculations[[#This Row],[C3 total]]+Calculations[[#This Row],[C4 total]])*Calculations[[#This Row],[Replacements]],0)</f>
        <v>0</v>
      </c>
      <c r="S755" t="str">
        <f>IFERROR(VLOOKUP(Calculations[[#This Row],[Material (choose from dropdown]],MaterialData[#All],4,FALSE),"")</f>
        <v/>
      </c>
      <c r="T755" s="322" cm="1">
        <f t="array" ref="T755">IFERROR(VLOOKUP(Calculations[[#This Row],[Waste 1]],WasteScenario[#All],2,FALSE)*'Stage assumptions'!$C$225*WasteTransportMethod[Emissions Factor
kgCO2e/kg.km]*Calculations[[#This Row],[Total Kg]],0)</f>
        <v>0</v>
      </c>
      <c r="U755" s="322" cm="1">
        <f t="array" ref="U755">IFERROR(VLOOKUP(Calculations[[#This Row],[Waste 1]],WasteScenario[#All],3,FALSE)*'Stage assumptions'!$C$224*WasteTransportMethod[Emissions Factor
kgCO2e/kg.km]*Calculations[[#This Row],[Total Kg]],0)</f>
        <v>0</v>
      </c>
      <c r="V755" s="322" cm="1">
        <f t="array" ref="V755">IFERROR(VLOOKUP(Calculations[[#This Row],[Waste 1]],WasteScenario[#All],4,FALSE)*'Stage assumptions'!$C$223*WasteTransportMethod[Emissions Factor
kgCO2e/kg.km]*Calculations[[#This Row],[Total Kg]],0)</f>
        <v>0</v>
      </c>
      <c r="W755" s="322" cm="1">
        <f t="array" ref="W755">IFERROR(VLOOKUP(Calculations[[#This Row],[Waste 1]],WasteScenario[#All],5,FALSE)*'Stage assumptions'!$C$226*WasteTransportMethod[Emissions Factor
kgCO2e/kg.km]*Calculations[[#This Row],[Total Kg]],0)</f>
        <v>0</v>
      </c>
      <c r="X755" s="322">
        <f>SUM(Calculations[[#This Row],[C2 Recycle]:[C2 Reuse]])</f>
        <v>0</v>
      </c>
      <c r="Y755" t="str">
        <f>IFERROR(VLOOKUP(Calculations[[#This Row],[Material (choose from dropdown]],MaterialData[#All],5,FALSE),"")</f>
        <v/>
      </c>
      <c r="Z755" s="322">
        <f>IFERROR(((VLOOKUP(Calculations[[#This Row],[Waste type 2]],WasteDisposalEmissions[#All],2,FALSE))*Calculations[[#This Row],[Total Kg]])*VLOOKUP(Calculations[[#This Row],[Waste 1]],WasteScenario[#All],2,FALSE),0)</f>
        <v>0</v>
      </c>
      <c r="AA755" s="322">
        <f>IFERROR((VLOOKUP(Calculations[[#This Row],[Waste type 2]],WasteDisposalEmissions[#All],3,FALSE))*Calculations[[#This Row],[Total Kg]]*VLOOKUP(Calculations[[#This Row],[Waste 1]],WasteScenario[#All],3,FALSE),0)</f>
        <v>0</v>
      </c>
      <c r="AB755" s="322">
        <f>SUM(Calculations[[#This Row],[C3 recyc]:[C3 incin]])</f>
        <v>0</v>
      </c>
      <c r="AC755" s="334">
        <f>IFERROR((VLOOKUP(Calculations[[#This Row],[Waste type 2]],WasteLandfillEmissions[#All],2,FALSE))*Calculations[[#This Row],[Total Kg]]*VLOOKUP(Calculations[[#This Row],[Waste 1]],WasteScenario[#All],4,FALSE),0)</f>
        <v>0</v>
      </c>
      <c r="AD755" s="322">
        <f>IFERROR((VLOOKUP(Calculations[[#This Row],[Waste type 2]],WasteLandfillEmissions[#All],3,FALSE))*Calculations[[#This Row],[Total Kg]]*VLOOKUP(Calculations[[#This Row],[Waste 1]],WasteScenario[#All],4,FALSE),0)</f>
        <v>0</v>
      </c>
      <c r="AE755" s="322">
        <f>SUM(Calculations[[#This Row],[C4 landfill]:[C4 re-use]])</f>
        <v>0</v>
      </c>
      <c r="AF755" s="322">
        <f>IFERROR(VLOOKUP(Calculations[[#This Row],[Material (choose from dropdown]],MaterialData[#All],8,FALSE),0)</f>
        <v>0</v>
      </c>
      <c r="AG755" s="322">
        <f>IFERROR(Calculations[[#This Row],[Total Kg]]*Calculations[[#This Row],[Seq factor]],0)</f>
        <v>0</v>
      </c>
      <c r="AI755" s="322">
        <f>Calculations[[#This Row],[A1-3]]+Calculations[[#This Row],[A4]]+Calculations[[#This Row],[A5]]+Calculations[[#This Row],[B4]]+Calculations[[#This Row],[C2 total]]+Calculations[[#This Row],[C3 total]]+Calculations[[#This Row],[C4 total]]</f>
        <v>0</v>
      </c>
      <c r="AJ755" s="2">
        <f>IFERROR(VLOOKUP(Calculations[[#This Row],[Material (choose from dropdown]],MaterialData[[#Headers],[#Data]],9,FALSE),0)</f>
        <v>0</v>
      </c>
      <c r="AK755" s="4">
        <f>IFERROR(VLOOKUP(Calculations[[#This Row],[Material (choose from dropdown]],MaterialData[[#Headers],[#Data]],10,FALSE),0)</f>
        <v>0</v>
      </c>
      <c r="AL755" s="322">
        <f>IFERROR(Calculations[[#This Row],[Data Quality Score]]*Calculations[[#This Row],[Total Kg]],0)</f>
        <v>0</v>
      </c>
    </row>
    <row r="756" spans="1:38" x14ac:dyDescent="0.3">
      <c r="A756" s="6">
        <f>IFERROR(MaterialsBoQ[[#This Row],[Scope Element]],0)</f>
        <v>0</v>
      </c>
      <c r="B756" t="str">
        <f>IFERROR(MaterialsBoQ[[#This Row],[Material ]],"")</f>
        <v/>
      </c>
      <c r="C756" t="str">
        <f>IFERROR(MaterialsBoQ[[#This Row],[Unit]],"")</f>
        <v/>
      </c>
      <c r="D756" s="322">
        <f>IFERROR(MaterialsBoQ[[#This Row],[Number]],0)</f>
        <v>0</v>
      </c>
      <c r="E756" s="322">
        <f>IFERROR(MaterialsBoQ[[#This Row],[Kg per unit]],0)</f>
        <v>0</v>
      </c>
      <c r="F756" s="322">
        <f>IFERROR(Calculations[[#This Row],[Number]]*Calculations[[#This Row],[Conversion factor]],0)</f>
        <v>0</v>
      </c>
      <c r="G756" s="322">
        <f>IFERROR(VLOOKUP(Calculations[[#This Row],[Material (choose from dropdown]],MaterialData[#All],7,FALSE),0)</f>
        <v>0</v>
      </c>
      <c r="H756" s="322">
        <f>Calculations[[#This Row],[Total Kg]]*Calculations[[#This Row],[Carbon Factor]]</f>
        <v>0</v>
      </c>
      <c r="I756" t="str">
        <f>IFERROR(VLOOKUP(Calculations[[#This Row],[Material (choose from dropdown]],MaterialData[#All],2,FALSE),"")</f>
        <v/>
      </c>
      <c r="J756" s="322">
        <f>IFERROR(((VLOOKUP(Calculations[[#This Row],[TransportSource]],TransportDistance[],2,FALSE)*'Stage assumptions'!$C$11)+VLOOKUP(Calculations[[#This Row],[TransportSource]],TransportDistance[],3,FALSE)*'Stage assumptions'!$C$12)*Calculations[[#This Row],[Total Kg]],0)</f>
        <v>0</v>
      </c>
      <c r="K756">
        <f>IFERROR(VLOOKUP(Calculations[[#This Row],[Material (choose from dropdown]], MaterialData[#All],3, FALSE),0)</f>
        <v>0</v>
      </c>
      <c r="L756" s="322">
        <f>IFERROR(VLOOKUP(Calculations[[#This Row],[A5type]],A5WastageRate[#All],2,FALSE)*Calculations[[#This Row],[A1-3]],0)</f>
        <v>0</v>
      </c>
      <c r="N756">
        <f>IFERROR(ROUNDUP(50/VLOOKUP(Calculations[[#This Row],[Scope Element]],B4referenceServiceLife[[Tier 2 element]:[Default Service Life]],2, FALSE)-1,0),0)</f>
        <v>0</v>
      </c>
      <c r="O756" s="322">
        <f>IFERROR((Calculations[[#This Row],[A1-3]]+Calculations[[#This Row],[A4]]+Calculations[[#This Row],[A5]]+Calculations[[#This Row],[C2 total]]+Calculations[[#This Row],[C3 total]]+Calculations[[#This Row],[C4 total]])*Calculations[[#This Row],[Replacements]],0)</f>
        <v>0</v>
      </c>
      <c r="S756" t="str">
        <f>IFERROR(VLOOKUP(Calculations[[#This Row],[Material (choose from dropdown]],MaterialData[#All],4,FALSE),"")</f>
        <v/>
      </c>
      <c r="T756" s="322" cm="1">
        <f t="array" ref="T756">IFERROR(VLOOKUP(Calculations[[#This Row],[Waste 1]],WasteScenario[#All],2,FALSE)*'Stage assumptions'!$C$225*WasteTransportMethod[Emissions Factor
kgCO2e/kg.km]*Calculations[[#This Row],[Total Kg]],0)</f>
        <v>0</v>
      </c>
      <c r="U756" s="322" cm="1">
        <f t="array" ref="U756">IFERROR(VLOOKUP(Calculations[[#This Row],[Waste 1]],WasteScenario[#All],3,FALSE)*'Stage assumptions'!$C$224*WasteTransportMethod[Emissions Factor
kgCO2e/kg.km]*Calculations[[#This Row],[Total Kg]],0)</f>
        <v>0</v>
      </c>
      <c r="V756" s="322" cm="1">
        <f t="array" ref="V756">IFERROR(VLOOKUP(Calculations[[#This Row],[Waste 1]],WasteScenario[#All],4,FALSE)*'Stage assumptions'!$C$223*WasteTransportMethod[Emissions Factor
kgCO2e/kg.km]*Calculations[[#This Row],[Total Kg]],0)</f>
        <v>0</v>
      </c>
      <c r="W756" s="322" cm="1">
        <f t="array" ref="W756">IFERROR(VLOOKUP(Calculations[[#This Row],[Waste 1]],WasteScenario[#All],5,FALSE)*'Stage assumptions'!$C$226*WasteTransportMethod[Emissions Factor
kgCO2e/kg.km]*Calculations[[#This Row],[Total Kg]],0)</f>
        <v>0</v>
      </c>
      <c r="X756" s="322">
        <f>SUM(Calculations[[#This Row],[C2 Recycle]:[C2 Reuse]])</f>
        <v>0</v>
      </c>
      <c r="Y756" t="str">
        <f>IFERROR(VLOOKUP(Calculations[[#This Row],[Material (choose from dropdown]],MaterialData[#All],5,FALSE),"")</f>
        <v/>
      </c>
      <c r="Z756" s="322">
        <f>IFERROR(((VLOOKUP(Calculations[[#This Row],[Waste type 2]],WasteDisposalEmissions[#All],2,FALSE))*Calculations[[#This Row],[Total Kg]])*VLOOKUP(Calculations[[#This Row],[Waste 1]],WasteScenario[#All],2,FALSE),0)</f>
        <v>0</v>
      </c>
      <c r="AA756" s="322">
        <f>IFERROR((VLOOKUP(Calculations[[#This Row],[Waste type 2]],WasteDisposalEmissions[#All],3,FALSE))*Calculations[[#This Row],[Total Kg]]*VLOOKUP(Calculations[[#This Row],[Waste 1]],WasteScenario[#All],3,FALSE),0)</f>
        <v>0</v>
      </c>
      <c r="AB756" s="322">
        <f>SUM(Calculations[[#This Row],[C3 recyc]:[C3 incin]])</f>
        <v>0</v>
      </c>
      <c r="AC756" s="334">
        <f>IFERROR((VLOOKUP(Calculations[[#This Row],[Waste type 2]],WasteLandfillEmissions[#All],2,FALSE))*Calculations[[#This Row],[Total Kg]]*VLOOKUP(Calculations[[#This Row],[Waste 1]],WasteScenario[#All],4,FALSE),0)</f>
        <v>0</v>
      </c>
      <c r="AD756" s="322">
        <f>IFERROR((VLOOKUP(Calculations[[#This Row],[Waste type 2]],WasteLandfillEmissions[#All],3,FALSE))*Calculations[[#This Row],[Total Kg]]*VLOOKUP(Calculations[[#This Row],[Waste 1]],WasteScenario[#All],4,FALSE),0)</f>
        <v>0</v>
      </c>
      <c r="AE756" s="322">
        <f>SUM(Calculations[[#This Row],[C4 landfill]:[C4 re-use]])</f>
        <v>0</v>
      </c>
      <c r="AF756" s="322">
        <f>IFERROR(VLOOKUP(Calculations[[#This Row],[Material (choose from dropdown]],MaterialData[#All],8,FALSE),0)</f>
        <v>0</v>
      </c>
      <c r="AG756" s="322">
        <f>IFERROR(Calculations[[#This Row],[Total Kg]]*Calculations[[#This Row],[Seq factor]],0)</f>
        <v>0</v>
      </c>
      <c r="AI756" s="322">
        <f>Calculations[[#This Row],[A1-3]]+Calculations[[#This Row],[A4]]+Calculations[[#This Row],[A5]]+Calculations[[#This Row],[B4]]+Calculations[[#This Row],[C2 total]]+Calculations[[#This Row],[C3 total]]+Calculations[[#This Row],[C4 total]]</f>
        <v>0</v>
      </c>
      <c r="AJ756" s="2">
        <f>IFERROR(VLOOKUP(Calculations[[#This Row],[Material (choose from dropdown]],MaterialData[[#Headers],[#Data]],9,FALSE),0)</f>
        <v>0</v>
      </c>
      <c r="AK756" s="4">
        <f>IFERROR(VLOOKUP(Calculations[[#This Row],[Material (choose from dropdown]],MaterialData[[#Headers],[#Data]],10,FALSE),0)</f>
        <v>0</v>
      </c>
      <c r="AL756" s="322">
        <f>IFERROR(Calculations[[#This Row],[Data Quality Score]]*Calculations[[#This Row],[Total Kg]],0)</f>
        <v>0</v>
      </c>
    </row>
    <row r="757" spans="1:38" x14ac:dyDescent="0.3">
      <c r="A757" s="6">
        <f>IFERROR(MaterialsBoQ[[#This Row],[Scope Element]],0)</f>
        <v>0</v>
      </c>
      <c r="B757" t="str">
        <f>IFERROR(MaterialsBoQ[[#This Row],[Material ]],"")</f>
        <v/>
      </c>
      <c r="C757" t="str">
        <f>IFERROR(MaterialsBoQ[[#This Row],[Unit]],"")</f>
        <v/>
      </c>
      <c r="D757" s="322">
        <f>IFERROR(MaterialsBoQ[[#This Row],[Number]],0)</f>
        <v>0</v>
      </c>
      <c r="E757" s="322">
        <f>IFERROR(MaterialsBoQ[[#This Row],[Kg per unit]],0)</f>
        <v>0</v>
      </c>
      <c r="F757" s="322">
        <f>IFERROR(Calculations[[#This Row],[Number]]*Calculations[[#This Row],[Conversion factor]],0)</f>
        <v>0</v>
      </c>
      <c r="G757" s="322">
        <f>IFERROR(VLOOKUP(Calculations[[#This Row],[Material (choose from dropdown]],MaterialData[#All],7,FALSE),0)</f>
        <v>0</v>
      </c>
      <c r="H757" s="322">
        <f>Calculations[[#This Row],[Total Kg]]*Calculations[[#This Row],[Carbon Factor]]</f>
        <v>0</v>
      </c>
      <c r="I757" t="str">
        <f>IFERROR(VLOOKUP(Calculations[[#This Row],[Material (choose from dropdown]],MaterialData[#All],2,FALSE),"")</f>
        <v/>
      </c>
      <c r="J757" s="322">
        <f>IFERROR(((VLOOKUP(Calculations[[#This Row],[TransportSource]],TransportDistance[],2,FALSE)*'Stage assumptions'!$C$11)+VLOOKUP(Calculations[[#This Row],[TransportSource]],TransportDistance[],3,FALSE)*'Stage assumptions'!$C$12)*Calculations[[#This Row],[Total Kg]],0)</f>
        <v>0</v>
      </c>
      <c r="K757">
        <f>IFERROR(VLOOKUP(Calculations[[#This Row],[Material (choose from dropdown]], MaterialData[#All],3, FALSE),0)</f>
        <v>0</v>
      </c>
      <c r="L757" s="322">
        <f>IFERROR(VLOOKUP(Calculations[[#This Row],[A5type]],A5WastageRate[#All],2,FALSE)*Calculations[[#This Row],[A1-3]],0)</f>
        <v>0</v>
      </c>
      <c r="N757">
        <f>IFERROR(ROUNDUP(50/VLOOKUP(Calculations[[#This Row],[Scope Element]],B4referenceServiceLife[[Tier 2 element]:[Default Service Life]],2, FALSE)-1,0),0)</f>
        <v>0</v>
      </c>
      <c r="O757" s="322">
        <f>IFERROR((Calculations[[#This Row],[A1-3]]+Calculations[[#This Row],[A4]]+Calculations[[#This Row],[A5]]+Calculations[[#This Row],[C2 total]]+Calculations[[#This Row],[C3 total]]+Calculations[[#This Row],[C4 total]])*Calculations[[#This Row],[Replacements]],0)</f>
        <v>0</v>
      </c>
      <c r="S757" t="str">
        <f>IFERROR(VLOOKUP(Calculations[[#This Row],[Material (choose from dropdown]],MaterialData[#All],4,FALSE),"")</f>
        <v/>
      </c>
      <c r="T757" s="322" cm="1">
        <f t="array" ref="T757">IFERROR(VLOOKUP(Calculations[[#This Row],[Waste 1]],WasteScenario[#All],2,FALSE)*'Stage assumptions'!$C$225*WasteTransportMethod[Emissions Factor
kgCO2e/kg.km]*Calculations[[#This Row],[Total Kg]],0)</f>
        <v>0</v>
      </c>
      <c r="U757" s="322" cm="1">
        <f t="array" ref="U757">IFERROR(VLOOKUP(Calculations[[#This Row],[Waste 1]],WasteScenario[#All],3,FALSE)*'Stage assumptions'!$C$224*WasteTransportMethod[Emissions Factor
kgCO2e/kg.km]*Calculations[[#This Row],[Total Kg]],0)</f>
        <v>0</v>
      </c>
      <c r="V757" s="322" cm="1">
        <f t="array" ref="V757">IFERROR(VLOOKUP(Calculations[[#This Row],[Waste 1]],WasteScenario[#All],4,FALSE)*'Stage assumptions'!$C$223*WasteTransportMethod[Emissions Factor
kgCO2e/kg.km]*Calculations[[#This Row],[Total Kg]],0)</f>
        <v>0</v>
      </c>
      <c r="W757" s="322" cm="1">
        <f t="array" ref="W757">IFERROR(VLOOKUP(Calculations[[#This Row],[Waste 1]],WasteScenario[#All],5,FALSE)*'Stage assumptions'!$C$226*WasteTransportMethod[Emissions Factor
kgCO2e/kg.km]*Calculations[[#This Row],[Total Kg]],0)</f>
        <v>0</v>
      </c>
      <c r="X757" s="322">
        <f>SUM(Calculations[[#This Row],[C2 Recycle]:[C2 Reuse]])</f>
        <v>0</v>
      </c>
      <c r="Y757" t="str">
        <f>IFERROR(VLOOKUP(Calculations[[#This Row],[Material (choose from dropdown]],MaterialData[#All],5,FALSE),"")</f>
        <v/>
      </c>
      <c r="Z757" s="322">
        <f>IFERROR(((VLOOKUP(Calculations[[#This Row],[Waste type 2]],WasteDisposalEmissions[#All],2,FALSE))*Calculations[[#This Row],[Total Kg]])*VLOOKUP(Calculations[[#This Row],[Waste 1]],WasteScenario[#All],2,FALSE),0)</f>
        <v>0</v>
      </c>
      <c r="AA757" s="322">
        <f>IFERROR((VLOOKUP(Calculations[[#This Row],[Waste type 2]],WasteDisposalEmissions[#All],3,FALSE))*Calculations[[#This Row],[Total Kg]]*VLOOKUP(Calculations[[#This Row],[Waste 1]],WasteScenario[#All],3,FALSE),0)</f>
        <v>0</v>
      </c>
      <c r="AB757" s="322">
        <f>SUM(Calculations[[#This Row],[C3 recyc]:[C3 incin]])</f>
        <v>0</v>
      </c>
      <c r="AC757" s="334">
        <f>IFERROR((VLOOKUP(Calculations[[#This Row],[Waste type 2]],WasteLandfillEmissions[#All],2,FALSE))*Calculations[[#This Row],[Total Kg]]*VLOOKUP(Calculations[[#This Row],[Waste 1]],WasteScenario[#All],4,FALSE),0)</f>
        <v>0</v>
      </c>
      <c r="AD757" s="322">
        <f>IFERROR((VLOOKUP(Calculations[[#This Row],[Waste type 2]],WasteLandfillEmissions[#All],3,FALSE))*Calculations[[#This Row],[Total Kg]]*VLOOKUP(Calculations[[#This Row],[Waste 1]],WasteScenario[#All],4,FALSE),0)</f>
        <v>0</v>
      </c>
      <c r="AE757" s="322">
        <f>SUM(Calculations[[#This Row],[C4 landfill]:[C4 re-use]])</f>
        <v>0</v>
      </c>
      <c r="AF757" s="322">
        <f>IFERROR(VLOOKUP(Calculations[[#This Row],[Material (choose from dropdown]],MaterialData[#All],8,FALSE),0)</f>
        <v>0</v>
      </c>
      <c r="AG757" s="322">
        <f>IFERROR(Calculations[[#This Row],[Total Kg]]*Calculations[[#This Row],[Seq factor]],0)</f>
        <v>0</v>
      </c>
      <c r="AI757" s="322">
        <f>Calculations[[#This Row],[A1-3]]+Calculations[[#This Row],[A4]]+Calculations[[#This Row],[A5]]+Calculations[[#This Row],[B4]]+Calculations[[#This Row],[C2 total]]+Calculations[[#This Row],[C3 total]]+Calculations[[#This Row],[C4 total]]</f>
        <v>0</v>
      </c>
      <c r="AJ757" s="2">
        <f>IFERROR(VLOOKUP(Calculations[[#This Row],[Material (choose from dropdown]],MaterialData[[#Headers],[#Data]],9,FALSE),0)</f>
        <v>0</v>
      </c>
      <c r="AK757" s="4">
        <f>IFERROR(VLOOKUP(Calculations[[#This Row],[Material (choose from dropdown]],MaterialData[[#Headers],[#Data]],10,FALSE),0)</f>
        <v>0</v>
      </c>
      <c r="AL757" s="322">
        <f>IFERROR(Calculations[[#This Row],[Data Quality Score]]*Calculations[[#This Row],[Total Kg]],0)</f>
        <v>0</v>
      </c>
    </row>
    <row r="758" spans="1:38" x14ac:dyDescent="0.3">
      <c r="A758" s="6">
        <f>IFERROR(MaterialsBoQ[[#This Row],[Scope Element]],0)</f>
        <v>0</v>
      </c>
      <c r="B758" t="str">
        <f>IFERROR(MaterialsBoQ[[#This Row],[Material ]],"")</f>
        <v/>
      </c>
      <c r="C758" t="str">
        <f>IFERROR(MaterialsBoQ[[#This Row],[Unit]],"")</f>
        <v/>
      </c>
      <c r="D758" s="322">
        <f>IFERROR(MaterialsBoQ[[#This Row],[Number]],0)</f>
        <v>0</v>
      </c>
      <c r="E758" s="322">
        <f>IFERROR(MaterialsBoQ[[#This Row],[Kg per unit]],0)</f>
        <v>0</v>
      </c>
      <c r="F758" s="322">
        <f>IFERROR(Calculations[[#This Row],[Number]]*Calculations[[#This Row],[Conversion factor]],0)</f>
        <v>0</v>
      </c>
      <c r="G758" s="322">
        <f>IFERROR(VLOOKUP(Calculations[[#This Row],[Material (choose from dropdown]],MaterialData[#All],7,FALSE),0)</f>
        <v>0</v>
      </c>
      <c r="H758" s="322">
        <f>Calculations[[#This Row],[Total Kg]]*Calculations[[#This Row],[Carbon Factor]]</f>
        <v>0</v>
      </c>
      <c r="I758" t="str">
        <f>IFERROR(VLOOKUP(Calculations[[#This Row],[Material (choose from dropdown]],MaterialData[#All],2,FALSE),"")</f>
        <v/>
      </c>
      <c r="J758" s="322">
        <f>IFERROR(((VLOOKUP(Calculations[[#This Row],[TransportSource]],TransportDistance[],2,FALSE)*'Stage assumptions'!$C$11)+VLOOKUP(Calculations[[#This Row],[TransportSource]],TransportDistance[],3,FALSE)*'Stage assumptions'!$C$12)*Calculations[[#This Row],[Total Kg]],0)</f>
        <v>0</v>
      </c>
      <c r="K758">
        <f>IFERROR(VLOOKUP(Calculations[[#This Row],[Material (choose from dropdown]], MaterialData[#All],3, FALSE),0)</f>
        <v>0</v>
      </c>
      <c r="L758" s="322">
        <f>IFERROR(VLOOKUP(Calculations[[#This Row],[A5type]],A5WastageRate[#All],2,FALSE)*Calculations[[#This Row],[A1-3]],0)</f>
        <v>0</v>
      </c>
      <c r="N758">
        <f>IFERROR(ROUNDUP(50/VLOOKUP(Calculations[[#This Row],[Scope Element]],B4referenceServiceLife[[Tier 2 element]:[Default Service Life]],2, FALSE)-1,0),0)</f>
        <v>0</v>
      </c>
      <c r="O758" s="322">
        <f>IFERROR((Calculations[[#This Row],[A1-3]]+Calculations[[#This Row],[A4]]+Calculations[[#This Row],[A5]]+Calculations[[#This Row],[C2 total]]+Calculations[[#This Row],[C3 total]]+Calculations[[#This Row],[C4 total]])*Calculations[[#This Row],[Replacements]],0)</f>
        <v>0</v>
      </c>
      <c r="S758" t="str">
        <f>IFERROR(VLOOKUP(Calculations[[#This Row],[Material (choose from dropdown]],MaterialData[#All],4,FALSE),"")</f>
        <v/>
      </c>
      <c r="T758" s="322" cm="1">
        <f t="array" ref="T758">IFERROR(VLOOKUP(Calculations[[#This Row],[Waste 1]],WasteScenario[#All],2,FALSE)*'Stage assumptions'!$C$225*WasteTransportMethod[Emissions Factor
kgCO2e/kg.km]*Calculations[[#This Row],[Total Kg]],0)</f>
        <v>0</v>
      </c>
      <c r="U758" s="322" cm="1">
        <f t="array" ref="U758">IFERROR(VLOOKUP(Calculations[[#This Row],[Waste 1]],WasteScenario[#All],3,FALSE)*'Stage assumptions'!$C$224*WasteTransportMethod[Emissions Factor
kgCO2e/kg.km]*Calculations[[#This Row],[Total Kg]],0)</f>
        <v>0</v>
      </c>
      <c r="V758" s="322" cm="1">
        <f t="array" ref="V758">IFERROR(VLOOKUP(Calculations[[#This Row],[Waste 1]],WasteScenario[#All],4,FALSE)*'Stage assumptions'!$C$223*WasteTransportMethod[Emissions Factor
kgCO2e/kg.km]*Calculations[[#This Row],[Total Kg]],0)</f>
        <v>0</v>
      </c>
      <c r="W758" s="322" cm="1">
        <f t="array" ref="W758">IFERROR(VLOOKUP(Calculations[[#This Row],[Waste 1]],WasteScenario[#All],5,FALSE)*'Stage assumptions'!$C$226*WasteTransportMethod[Emissions Factor
kgCO2e/kg.km]*Calculations[[#This Row],[Total Kg]],0)</f>
        <v>0</v>
      </c>
      <c r="X758" s="322">
        <f>SUM(Calculations[[#This Row],[C2 Recycle]:[C2 Reuse]])</f>
        <v>0</v>
      </c>
      <c r="Y758" t="str">
        <f>IFERROR(VLOOKUP(Calculations[[#This Row],[Material (choose from dropdown]],MaterialData[#All],5,FALSE),"")</f>
        <v/>
      </c>
      <c r="Z758" s="322">
        <f>IFERROR(((VLOOKUP(Calculations[[#This Row],[Waste type 2]],WasteDisposalEmissions[#All],2,FALSE))*Calculations[[#This Row],[Total Kg]])*VLOOKUP(Calculations[[#This Row],[Waste 1]],WasteScenario[#All],2,FALSE),0)</f>
        <v>0</v>
      </c>
      <c r="AA758" s="322">
        <f>IFERROR((VLOOKUP(Calculations[[#This Row],[Waste type 2]],WasteDisposalEmissions[#All],3,FALSE))*Calculations[[#This Row],[Total Kg]]*VLOOKUP(Calculations[[#This Row],[Waste 1]],WasteScenario[#All],3,FALSE),0)</f>
        <v>0</v>
      </c>
      <c r="AB758" s="322">
        <f>SUM(Calculations[[#This Row],[C3 recyc]:[C3 incin]])</f>
        <v>0</v>
      </c>
      <c r="AC758" s="334">
        <f>IFERROR((VLOOKUP(Calculations[[#This Row],[Waste type 2]],WasteLandfillEmissions[#All],2,FALSE))*Calculations[[#This Row],[Total Kg]]*VLOOKUP(Calculations[[#This Row],[Waste 1]],WasteScenario[#All],4,FALSE),0)</f>
        <v>0</v>
      </c>
      <c r="AD758" s="322">
        <f>IFERROR((VLOOKUP(Calculations[[#This Row],[Waste type 2]],WasteLandfillEmissions[#All],3,FALSE))*Calculations[[#This Row],[Total Kg]]*VLOOKUP(Calculations[[#This Row],[Waste 1]],WasteScenario[#All],4,FALSE),0)</f>
        <v>0</v>
      </c>
      <c r="AE758" s="322">
        <f>SUM(Calculations[[#This Row],[C4 landfill]:[C4 re-use]])</f>
        <v>0</v>
      </c>
      <c r="AF758" s="322">
        <f>IFERROR(VLOOKUP(Calculations[[#This Row],[Material (choose from dropdown]],MaterialData[#All],8,FALSE),0)</f>
        <v>0</v>
      </c>
      <c r="AG758" s="322">
        <f>IFERROR(Calculations[[#This Row],[Total Kg]]*Calculations[[#This Row],[Seq factor]],0)</f>
        <v>0</v>
      </c>
      <c r="AI758" s="322">
        <f>Calculations[[#This Row],[A1-3]]+Calculations[[#This Row],[A4]]+Calculations[[#This Row],[A5]]+Calculations[[#This Row],[B4]]+Calculations[[#This Row],[C2 total]]+Calculations[[#This Row],[C3 total]]+Calculations[[#This Row],[C4 total]]</f>
        <v>0</v>
      </c>
      <c r="AJ758" s="2">
        <f>IFERROR(VLOOKUP(Calculations[[#This Row],[Material (choose from dropdown]],MaterialData[[#Headers],[#Data]],9,FALSE),0)</f>
        <v>0</v>
      </c>
      <c r="AK758" s="4">
        <f>IFERROR(VLOOKUP(Calculations[[#This Row],[Material (choose from dropdown]],MaterialData[[#Headers],[#Data]],10,FALSE),0)</f>
        <v>0</v>
      </c>
      <c r="AL758" s="322">
        <f>IFERROR(Calculations[[#This Row],[Data Quality Score]]*Calculations[[#This Row],[Total Kg]],0)</f>
        <v>0</v>
      </c>
    </row>
    <row r="759" spans="1:38" x14ac:dyDescent="0.3">
      <c r="A759" s="6">
        <f>IFERROR(MaterialsBoQ[[#This Row],[Scope Element]],0)</f>
        <v>0</v>
      </c>
      <c r="B759" t="str">
        <f>IFERROR(MaterialsBoQ[[#This Row],[Material ]],"")</f>
        <v/>
      </c>
      <c r="C759" t="str">
        <f>IFERROR(MaterialsBoQ[[#This Row],[Unit]],"")</f>
        <v/>
      </c>
      <c r="D759" s="322">
        <f>IFERROR(MaterialsBoQ[[#This Row],[Number]],0)</f>
        <v>0</v>
      </c>
      <c r="E759" s="322">
        <f>IFERROR(MaterialsBoQ[[#This Row],[Kg per unit]],0)</f>
        <v>0</v>
      </c>
      <c r="F759" s="322">
        <f>IFERROR(Calculations[[#This Row],[Number]]*Calculations[[#This Row],[Conversion factor]],0)</f>
        <v>0</v>
      </c>
      <c r="G759" s="322">
        <f>IFERROR(VLOOKUP(Calculations[[#This Row],[Material (choose from dropdown]],MaterialData[#All],7,FALSE),0)</f>
        <v>0</v>
      </c>
      <c r="H759" s="322">
        <f>Calculations[[#This Row],[Total Kg]]*Calculations[[#This Row],[Carbon Factor]]</f>
        <v>0</v>
      </c>
      <c r="I759" t="str">
        <f>IFERROR(VLOOKUP(Calculations[[#This Row],[Material (choose from dropdown]],MaterialData[#All],2,FALSE),"")</f>
        <v/>
      </c>
      <c r="J759" s="322">
        <f>IFERROR(((VLOOKUP(Calculations[[#This Row],[TransportSource]],TransportDistance[],2,FALSE)*'Stage assumptions'!$C$11)+VLOOKUP(Calculations[[#This Row],[TransportSource]],TransportDistance[],3,FALSE)*'Stage assumptions'!$C$12)*Calculations[[#This Row],[Total Kg]],0)</f>
        <v>0</v>
      </c>
      <c r="K759">
        <f>IFERROR(VLOOKUP(Calculations[[#This Row],[Material (choose from dropdown]], MaterialData[#All],3, FALSE),0)</f>
        <v>0</v>
      </c>
      <c r="L759" s="322">
        <f>IFERROR(VLOOKUP(Calculations[[#This Row],[A5type]],A5WastageRate[#All],2,FALSE)*Calculations[[#This Row],[A1-3]],0)</f>
        <v>0</v>
      </c>
      <c r="N759">
        <f>IFERROR(ROUNDUP(50/VLOOKUP(Calculations[[#This Row],[Scope Element]],B4referenceServiceLife[[Tier 2 element]:[Default Service Life]],2, FALSE)-1,0),0)</f>
        <v>0</v>
      </c>
      <c r="O759" s="322">
        <f>IFERROR((Calculations[[#This Row],[A1-3]]+Calculations[[#This Row],[A4]]+Calculations[[#This Row],[A5]]+Calculations[[#This Row],[C2 total]]+Calculations[[#This Row],[C3 total]]+Calculations[[#This Row],[C4 total]])*Calculations[[#This Row],[Replacements]],0)</f>
        <v>0</v>
      </c>
      <c r="S759" t="str">
        <f>IFERROR(VLOOKUP(Calculations[[#This Row],[Material (choose from dropdown]],MaterialData[#All],4,FALSE),"")</f>
        <v/>
      </c>
      <c r="T759" s="322" cm="1">
        <f t="array" ref="T759">IFERROR(VLOOKUP(Calculations[[#This Row],[Waste 1]],WasteScenario[#All],2,FALSE)*'Stage assumptions'!$C$225*WasteTransportMethod[Emissions Factor
kgCO2e/kg.km]*Calculations[[#This Row],[Total Kg]],0)</f>
        <v>0</v>
      </c>
      <c r="U759" s="322" cm="1">
        <f t="array" ref="U759">IFERROR(VLOOKUP(Calculations[[#This Row],[Waste 1]],WasteScenario[#All],3,FALSE)*'Stage assumptions'!$C$224*WasteTransportMethod[Emissions Factor
kgCO2e/kg.km]*Calculations[[#This Row],[Total Kg]],0)</f>
        <v>0</v>
      </c>
      <c r="V759" s="322" cm="1">
        <f t="array" ref="V759">IFERROR(VLOOKUP(Calculations[[#This Row],[Waste 1]],WasteScenario[#All],4,FALSE)*'Stage assumptions'!$C$223*WasteTransportMethod[Emissions Factor
kgCO2e/kg.km]*Calculations[[#This Row],[Total Kg]],0)</f>
        <v>0</v>
      </c>
      <c r="W759" s="322" cm="1">
        <f t="array" ref="W759">IFERROR(VLOOKUP(Calculations[[#This Row],[Waste 1]],WasteScenario[#All],5,FALSE)*'Stage assumptions'!$C$226*WasteTransportMethod[Emissions Factor
kgCO2e/kg.km]*Calculations[[#This Row],[Total Kg]],0)</f>
        <v>0</v>
      </c>
      <c r="X759" s="322">
        <f>SUM(Calculations[[#This Row],[C2 Recycle]:[C2 Reuse]])</f>
        <v>0</v>
      </c>
      <c r="Y759" t="str">
        <f>IFERROR(VLOOKUP(Calculations[[#This Row],[Material (choose from dropdown]],MaterialData[#All],5,FALSE),"")</f>
        <v/>
      </c>
      <c r="Z759" s="322">
        <f>IFERROR(((VLOOKUP(Calculations[[#This Row],[Waste type 2]],WasteDisposalEmissions[#All],2,FALSE))*Calculations[[#This Row],[Total Kg]])*VLOOKUP(Calculations[[#This Row],[Waste 1]],WasteScenario[#All],2,FALSE),0)</f>
        <v>0</v>
      </c>
      <c r="AA759" s="322">
        <f>IFERROR((VLOOKUP(Calculations[[#This Row],[Waste type 2]],WasteDisposalEmissions[#All],3,FALSE))*Calculations[[#This Row],[Total Kg]]*VLOOKUP(Calculations[[#This Row],[Waste 1]],WasteScenario[#All],3,FALSE),0)</f>
        <v>0</v>
      </c>
      <c r="AB759" s="322">
        <f>SUM(Calculations[[#This Row],[C3 recyc]:[C3 incin]])</f>
        <v>0</v>
      </c>
      <c r="AC759" s="334">
        <f>IFERROR((VLOOKUP(Calculations[[#This Row],[Waste type 2]],WasteLandfillEmissions[#All],2,FALSE))*Calculations[[#This Row],[Total Kg]]*VLOOKUP(Calculations[[#This Row],[Waste 1]],WasteScenario[#All],4,FALSE),0)</f>
        <v>0</v>
      </c>
      <c r="AD759" s="322">
        <f>IFERROR((VLOOKUP(Calculations[[#This Row],[Waste type 2]],WasteLandfillEmissions[#All],3,FALSE))*Calculations[[#This Row],[Total Kg]]*VLOOKUP(Calculations[[#This Row],[Waste 1]],WasteScenario[#All],4,FALSE),0)</f>
        <v>0</v>
      </c>
      <c r="AE759" s="322">
        <f>SUM(Calculations[[#This Row],[C4 landfill]:[C4 re-use]])</f>
        <v>0</v>
      </c>
      <c r="AF759" s="322">
        <f>IFERROR(VLOOKUP(Calculations[[#This Row],[Material (choose from dropdown]],MaterialData[#All],8,FALSE),0)</f>
        <v>0</v>
      </c>
      <c r="AG759" s="322">
        <f>IFERROR(Calculations[[#This Row],[Total Kg]]*Calculations[[#This Row],[Seq factor]],0)</f>
        <v>0</v>
      </c>
      <c r="AI759" s="322">
        <f>Calculations[[#This Row],[A1-3]]+Calculations[[#This Row],[A4]]+Calculations[[#This Row],[A5]]+Calculations[[#This Row],[B4]]+Calculations[[#This Row],[C2 total]]+Calculations[[#This Row],[C3 total]]+Calculations[[#This Row],[C4 total]]</f>
        <v>0</v>
      </c>
      <c r="AJ759" s="2">
        <f>IFERROR(VLOOKUP(Calculations[[#This Row],[Material (choose from dropdown]],MaterialData[[#Headers],[#Data]],9,FALSE),0)</f>
        <v>0</v>
      </c>
      <c r="AK759" s="4">
        <f>IFERROR(VLOOKUP(Calculations[[#This Row],[Material (choose from dropdown]],MaterialData[[#Headers],[#Data]],10,FALSE),0)</f>
        <v>0</v>
      </c>
      <c r="AL759" s="322">
        <f>IFERROR(Calculations[[#This Row],[Data Quality Score]]*Calculations[[#This Row],[Total Kg]],0)</f>
        <v>0</v>
      </c>
    </row>
    <row r="760" spans="1:38" x14ac:dyDescent="0.3">
      <c r="A760" s="6">
        <f>IFERROR(MaterialsBoQ[[#This Row],[Scope Element]],0)</f>
        <v>0</v>
      </c>
      <c r="B760" t="str">
        <f>IFERROR(MaterialsBoQ[[#This Row],[Material ]],"")</f>
        <v/>
      </c>
      <c r="C760" t="str">
        <f>IFERROR(MaterialsBoQ[[#This Row],[Unit]],"")</f>
        <v/>
      </c>
      <c r="D760" s="322">
        <f>IFERROR(MaterialsBoQ[[#This Row],[Number]],0)</f>
        <v>0</v>
      </c>
      <c r="E760" s="322">
        <f>IFERROR(MaterialsBoQ[[#This Row],[Kg per unit]],0)</f>
        <v>0</v>
      </c>
      <c r="F760" s="322">
        <f>IFERROR(Calculations[[#This Row],[Number]]*Calculations[[#This Row],[Conversion factor]],0)</f>
        <v>0</v>
      </c>
      <c r="G760" s="322">
        <f>IFERROR(VLOOKUP(Calculations[[#This Row],[Material (choose from dropdown]],MaterialData[#All],7,FALSE),0)</f>
        <v>0</v>
      </c>
      <c r="H760" s="322">
        <f>Calculations[[#This Row],[Total Kg]]*Calculations[[#This Row],[Carbon Factor]]</f>
        <v>0</v>
      </c>
      <c r="I760" t="str">
        <f>IFERROR(VLOOKUP(Calculations[[#This Row],[Material (choose from dropdown]],MaterialData[#All],2,FALSE),"")</f>
        <v/>
      </c>
      <c r="J760" s="322">
        <f>IFERROR(((VLOOKUP(Calculations[[#This Row],[TransportSource]],TransportDistance[],2,FALSE)*'Stage assumptions'!$C$11)+VLOOKUP(Calculations[[#This Row],[TransportSource]],TransportDistance[],3,FALSE)*'Stage assumptions'!$C$12)*Calculations[[#This Row],[Total Kg]],0)</f>
        <v>0</v>
      </c>
      <c r="K760">
        <f>IFERROR(VLOOKUP(Calculations[[#This Row],[Material (choose from dropdown]], MaterialData[#All],3, FALSE),0)</f>
        <v>0</v>
      </c>
      <c r="L760" s="322">
        <f>IFERROR(VLOOKUP(Calculations[[#This Row],[A5type]],A5WastageRate[#All],2,FALSE)*Calculations[[#This Row],[A1-3]],0)</f>
        <v>0</v>
      </c>
      <c r="N760">
        <f>IFERROR(ROUNDUP(50/VLOOKUP(Calculations[[#This Row],[Scope Element]],B4referenceServiceLife[[Tier 2 element]:[Default Service Life]],2, FALSE)-1,0),0)</f>
        <v>0</v>
      </c>
      <c r="O760" s="322">
        <f>IFERROR((Calculations[[#This Row],[A1-3]]+Calculations[[#This Row],[A4]]+Calculations[[#This Row],[A5]]+Calculations[[#This Row],[C2 total]]+Calculations[[#This Row],[C3 total]]+Calculations[[#This Row],[C4 total]])*Calculations[[#This Row],[Replacements]],0)</f>
        <v>0</v>
      </c>
      <c r="S760" t="str">
        <f>IFERROR(VLOOKUP(Calculations[[#This Row],[Material (choose from dropdown]],MaterialData[#All],4,FALSE),"")</f>
        <v/>
      </c>
      <c r="T760" s="322" cm="1">
        <f t="array" ref="T760">IFERROR(VLOOKUP(Calculations[[#This Row],[Waste 1]],WasteScenario[#All],2,FALSE)*'Stage assumptions'!$C$225*WasteTransportMethod[Emissions Factor
kgCO2e/kg.km]*Calculations[[#This Row],[Total Kg]],0)</f>
        <v>0</v>
      </c>
      <c r="U760" s="322" cm="1">
        <f t="array" ref="U760">IFERROR(VLOOKUP(Calculations[[#This Row],[Waste 1]],WasteScenario[#All],3,FALSE)*'Stage assumptions'!$C$224*WasteTransportMethod[Emissions Factor
kgCO2e/kg.km]*Calculations[[#This Row],[Total Kg]],0)</f>
        <v>0</v>
      </c>
      <c r="V760" s="322" cm="1">
        <f t="array" ref="V760">IFERROR(VLOOKUP(Calculations[[#This Row],[Waste 1]],WasteScenario[#All],4,FALSE)*'Stage assumptions'!$C$223*WasteTransportMethod[Emissions Factor
kgCO2e/kg.km]*Calculations[[#This Row],[Total Kg]],0)</f>
        <v>0</v>
      </c>
      <c r="W760" s="322" cm="1">
        <f t="array" ref="W760">IFERROR(VLOOKUP(Calculations[[#This Row],[Waste 1]],WasteScenario[#All],5,FALSE)*'Stage assumptions'!$C$226*WasteTransportMethod[Emissions Factor
kgCO2e/kg.km]*Calculations[[#This Row],[Total Kg]],0)</f>
        <v>0</v>
      </c>
      <c r="X760" s="322">
        <f>SUM(Calculations[[#This Row],[C2 Recycle]:[C2 Reuse]])</f>
        <v>0</v>
      </c>
      <c r="Y760" t="str">
        <f>IFERROR(VLOOKUP(Calculations[[#This Row],[Material (choose from dropdown]],MaterialData[#All],5,FALSE),"")</f>
        <v/>
      </c>
      <c r="Z760" s="322">
        <f>IFERROR(((VLOOKUP(Calculations[[#This Row],[Waste type 2]],WasteDisposalEmissions[#All],2,FALSE))*Calculations[[#This Row],[Total Kg]])*VLOOKUP(Calculations[[#This Row],[Waste 1]],WasteScenario[#All],2,FALSE),0)</f>
        <v>0</v>
      </c>
      <c r="AA760" s="322">
        <f>IFERROR((VLOOKUP(Calculations[[#This Row],[Waste type 2]],WasteDisposalEmissions[#All],3,FALSE))*Calculations[[#This Row],[Total Kg]]*VLOOKUP(Calculations[[#This Row],[Waste 1]],WasteScenario[#All],3,FALSE),0)</f>
        <v>0</v>
      </c>
      <c r="AB760" s="322">
        <f>SUM(Calculations[[#This Row],[C3 recyc]:[C3 incin]])</f>
        <v>0</v>
      </c>
      <c r="AC760" s="334">
        <f>IFERROR((VLOOKUP(Calculations[[#This Row],[Waste type 2]],WasteLandfillEmissions[#All],2,FALSE))*Calculations[[#This Row],[Total Kg]]*VLOOKUP(Calculations[[#This Row],[Waste 1]],WasteScenario[#All],4,FALSE),0)</f>
        <v>0</v>
      </c>
      <c r="AD760" s="322">
        <f>IFERROR((VLOOKUP(Calculations[[#This Row],[Waste type 2]],WasteLandfillEmissions[#All],3,FALSE))*Calculations[[#This Row],[Total Kg]]*VLOOKUP(Calculations[[#This Row],[Waste 1]],WasteScenario[#All],4,FALSE),0)</f>
        <v>0</v>
      </c>
      <c r="AE760" s="322">
        <f>SUM(Calculations[[#This Row],[C4 landfill]:[C4 re-use]])</f>
        <v>0</v>
      </c>
      <c r="AF760" s="322">
        <f>IFERROR(VLOOKUP(Calculations[[#This Row],[Material (choose from dropdown]],MaterialData[#All],8,FALSE),0)</f>
        <v>0</v>
      </c>
      <c r="AG760" s="322">
        <f>IFERROR(Calculations[[#This Row],[Total Kg]]*Calculations[[#This Row],[Seq factor]],0)</f>
        <v>0</v>
      </c>
      <c r="AI760" s="322">
        <f>Calculations[[#This Row],[A1-3]]+Calculations[[#This Row],[A4]]+Calculations[[#This Row],[A5]]+Calculations[[#This Row],[B4]]+Calculations[[#This Row],[C2 total]]+Calculations[[#This Row],[C3 total]]+Calculations[[#This Row],[C4 total]]</f>
        <v>0</v>
      </c>
      <c r="AJ760" s="2">
        <f>IFERROR(VLOOKUP(Calculations[[#This Row],[Material (choose from dropdown]],MaterialData[[#Headers],[#Data]],9,FALSE),0)</f>
        <v>0</v>
      </c>
      <c r="AK760" s="4">
        <f>IFERROR(VLOOKUP(Calculations[[#This Row],[Material (choose from dropdown]],MaterialData[[#Headers],[#Data]],10,FALSE),0)</f>
        <v>0</v>
      </c>
      <c r="AL760" s="322">
        <f>IFERROR(Calculations[[#This Row],[Data Quality Score]]*Calculations[[#This Row],[Total Kg]],0)</f>
        <v>0</v>
      </c>
    </row>
    <row r="761" spans="1:38" x14ac:dyDescent="0.3">
      <c r="A761" s="6">
        <f>IFERROR(MaterialsBoQ[[#This Row],[Scope Element]],0)</f>
        <v>0</v>
      </c>
      <c r="B761" t="str">
        <f>IFERROR(MaterialsBoQ[[#This Row],[Material ]],"")</f>
        <v/>
      </c>
      <c r="C761" t="str">
        <f>IFERROR(MaterialsBoQ[[#This Row],[Unit]],"")</f>
        <v/>
      </c>
      <c r="D761" s="322">
        <f>IFERROR(MaterialsBoQ[[#This Row],[Number]],0)</f>
        <v>0</v>
      </c>
      <c r="E761" s="322">
        <f>IFERROR(MaterialsBoQ[[#This Row],[Kg per unit]],0)</f>
        <v>0</v>
      </c>
      <c r="F761" s="322">
        <f>IFERROR(Calculations[[#This Row],[Number]]*Calculations[[#This Row],[Conversion factor]],0)</f>
        <v>0</v>
      </c>
      <c r="G761" s="322">
        <f>IFERROR(VLOOKUP(Calculations[[#This Row],[Material (choose from dropdown]],MaterialData[#All],7,FALSE),0)</f>
        <v>0</v>
      </c>
      <c r="H761" s="322">
        <f>Calculations[[#This Row],[Total Kg]]*Calculations[[#This Row],[Carbon Factor]]</f>
        <v>0</v>
      </c>
      <c r="I761" t="str">
        <f>IFERROR(VLOOKUP(Calculations[[#This Row],[Material (choose from dropdown]],MaterialData[#All],2,FALSE),"")</f>
        <v/>
      </c>
      <c r="J761" s="322">
        <f>IFERROR(((VLOOKUP(Calculations[[#This Row],[TransportSource]],TransportDistance[],2,FALSE)*'Stage assumptions'!$C$11)+VLOOKUP(Calculations[[#This Row],[TransportSource]],TransportDistance[],3,FALSE)*'Stage assumptions'!$C$12)*Calculations[[#This Row],[Total Kg]],0)</f>
        <v>0</v>
      </c>
      <c r="K761">
        <f>IFERROR(VLOOKUP(Calculations[[#This Row],[Material (choose from dropdown]], MaterialData[#All],3, FALSE),0)</f>
        <v>0</v>
      </c>
      <c r="L761" s="322">
        <f>IFERROR(VLOOKUP(Calculations[[#This Row],[A5type]],A5WastageRate[#All],2,FALSE)*Calculations[[#This Row],[A1-3]],0)</f>
        <v>0</v>
      </c>
      <c r="N761">
        <f>IFERROR(ROUNDUP(50/VLOOKUP(Calculations[[#This Row],[Scope Element]],B4referenceServiceLife[[Tier 2 element]:[Default Service Life]],2, FALSE)-1,0),0)</f>
        <v>0</v>
      </c>
      <c r="O761" s="322">
        <f>IFERROR((Calculations[[#This Row],[A1-3]]+Calculations[[#This Row],[A4]]+Calculations[[#This Row],[A5]]+Calculations[[#This Row],[C2 total]]+Calculations[[#This Row],[C3 total]]+Calculations[[#This Row],[C4 total]])*Calculations[[#This Row],[Replacements]],0)</f>
        <v>0</v>
      </c>
      <c r="S761" t="str">
        <f>IFERROR(VLOOKUP(Calculations[[#This Row],[Material (choose from dropdown]],MaterialData[#All],4,FALSE),"")</f>
        <v/>
      </c>
      <c r="T761" s="322" cm="1">
        <f t="array" ref="T761">IFERROR(VLOOKUP(Calculations[[#This Row],[Waste 1]],WasteScenario[#All],2,FALSE)*'Stage assumptions'!$C$225*WasteTransportMethod[Emissions Factor
kgCO2e/kg.km]*Calculations[[#This Row],[Total Kg]],0)</f>
        <v>0</v>
      </c>
      <c r="U761" s="322" cm="1">
        <f t="array" ref="U761">IFERROR(VLOOKUP(Calculations[[#This Row],[Waste 1]],WasteScenario[#All],3,FALSE)*'Stage assumptions'!$C$224*WasteTransportMethod[Emissions Factor
kgCO2e/kg.km]*Calculations[[#This Row],[Total Kg]],0)</f>
        <v>0</v>
      </c>
      <c r="V761" s="322" cm="1">
        <f t="array" ref="V761">IFERROR(VLOOKUP(Calculations[[#This Row],[Waste 1]],WasteScenario[#All],4,FALSE)*'Stage assumptions'!$C$223*WasteTransportMethod[Emissions Factor
kgCO2e/kg.km]*Calculations[[#This Row],[Total Kg]],0)</f>
        <v>0</v>
      </c>
      <c r="W761" s="322" cm="1">
        <f t="array" ref="W761">IFERROR(VLOOKUP(Calculations[[#This Row],[Waste 1]],WasteScenario[#All],5,FALSE)*'Stage assumptions'!$C$226*WasteTransportMethod[Emissions Factor
kgCO2e/kg.km]*Calculations[[#This Row],[Total Kg]],0)</f>
        <v>0</v>
      </c>
      <c r="X761" s="322">
        <f>SUM(Calculations[[#This Row],[C2 Recycle]:[C2 Reuse]])</f>
        <v>0</v>
      </c>
      <c r="Y761" t="str">
        <f>IFERROR(VLOOKUP(Calculations[[#This Row],[Material (choose from dropdown]],MaterialData[#All],5,FALSE),"")</f>
        <v/>
      </c>
      <c r="Z761" s="322">
        <f>IFERROR(((VLOOKUP(Calculations[[#This Row],[Waste type 2]],WasteDisposalEmissions[#All],2,FALSE))*Calculations[[#This Row],[Total Kg]])*VLOOKUP(Calculations[[#This Row],[Waste 1]],WasteScenario[#All],2,FALSE),0)</f>
        <v>0</v>
      </c>
      <c r="AA761" s="322">
        <f>IFERROR((VLOOKUP(Calculations[[#This Row],[Waste type 2]],WasteDisposalEmissions[#All],3,FALSE))*Calculations[[#This Row],[Total Kg]]*VLOOKUP(Calculations[[#This Row],[Waste 1]],WasteScenario[#All],3,FALSE),0)</f>
        <v>0</v>
      </c>
      <c r="AB761" s="322">
        <f>SUM(Calculations[[#This Row],[C3 recyc]:[C3 incin]])</f>
        <v>0</v>
      </c>
      <c r="AC761" s="334">
        <f>IFERROR((VLOOKUP(Calculations[[#This Row],[Waste type 2]],WasteLandfillEmissions[#All],2,FALSE))*Calculations[[#This Row],[Total Kg]]*VLOOKUP(Calculations[[#This Row],[Waste 1]],WasteScenario[#All],4,FALSE),0)</f>
        <v>0</v>
      </c>
      <c r="AD761" s="322">
        <f>IFERROR((VLOOKUP(Calculations[[#This Row],[Waste type 2]],WasteLandfillEmissions[#All],3,FALSE))*Calculations[[#This Row],[Total Kg]]*VLOOKUP(Calculations[[#This Row],[Waste 1]],WasteScenario[#All],4,FALSE),0)</f>
        <v>0</v>
      </c>
      <c r="AE761" s="322">
        <f>SUM(Calculations[[#This Row],[C4 landfill]:[C4 re-use]])</f>
        <v>0</v>
      </c>
      <c r="AF761" s="322">
        <f>IFERROR(VLOOKUP(Calculations[[#This Row],[Material (choose from dropdown]],MaterialData[#All],8,FALSE),0)</f>
        <v>0</v>
      </c>
      <c r="AG761" s="322">
        <f>IFERROR(Calculations[[#This Row],[Total Kg]]*Calculations[[#This Row],[Seq factor]],0)</f>
        <v>0</v>
      </c>
      <c r="AI761" s="322">
        <f>Calculations[[#This Row],[A1-3]]+Calculations[[#This Row],[A4]]+Calculations[[#This Row],[A5]]+Calculations[[#This Row],[B4]]+Calculations[[#This Row],[C2 total]]+Calculations[[#This Row],[C3 total]]+Calculations[[#This Row],[C4 total]]</f>
        <v>0</v>
      </c>
      <c r="AJ761" s="2">
        <f>IFERROR(VLOOKUP(Calculations[[#This Row],[Material (choose from dropdown]],MaterialData[[#Headers],[#Data]],9,FALSE),0)</f>
        <v>0</v>
      </c>
      <c r="AK761" s="4">
        <f>IFERROR(VLOOKUP(Calculations[[#This Row],[Material (choose from dropdown]],MaterialData[[#Headers],[#Data]],10,FALSE),0)</f>
        <v>0</v>
      </c>
      <c r="AL761" s="322">
        <f>IFERROR(Calculations[[#This Row],[Data Quality Score]]*Calculations[[#This Row],[Total Kg]],0)</f>
        <v>0</v>
      </c>
    </row>
    <row r="762" spans="1:38" x14ac:dyDescent="0.3">
      <c r="A762" s="6">
        <f>IFERROR(MaterialsBoQ[[#This Row],[Scope Element]],0)</f>
        <v>0</v>
      </c>
      <c r="B762" t="str">
        <f>IFERROR(MaterialsBoQ[[#This Row],[Material ]],"")</f>
        <v/>
      </c>
      <c r="C762" t="str">
        <f>IFERROR(MaterialsBoQ[[#This Row],[Unit]],"")</f>
        <v/>
      </c>
      <c r="D762" s="322">
        <f>IFERROR(MaterialsBoQ[[#This Row],[Number]],0)</f>
        <v>0</v>
      </c>
      <c r="E762" s="322">
        <f>IFERROR(MaterialsBoQ[[#This Row],[Kg per unit]],0)</f>
        <v>0</v>
      </c>
      <c r="F762" s="322">
        <f>IFERROR(Calculations[[#This Row],[Number]]*Calculations[[#This Row],[Conversion factor]],0)</f>
        <v>0</v>
      </c>
      <c r="G762" s="322">
        <f>IFERROR(VLOOKUP(Calculations[[#This Row],[Material (choose from dropdown]],MaterialData[#All],7,FALSE),0)</f>
        <v>0</v>
      </c>
      <c r="H762" s="322">
        <f>Calculations[[#This Row],[Total Kg]]*Calculations[[#This Row],[Carbon Factor]]</f>
        <v>0</v>
      </c>
      <c r="I762" t="str">
        <f>IFERROR(VLOOKUP(Calculations[[#This Row],[Material (choose from dropdown]],MaterialData[#All],2,FALSE),"")</f>
        <v/>
      </c>
      <c r="J762" s="322">
        <f>IFERROR(((VLOOKUP(Calculations[[#This Row],[TransportSource]],TransportDistance[],2,FALSE)*'Stage assumptions'!$C$11)+VLOOKUP(Calculations[[#This Row],[TransportSource]],TransportDistance[],3,FALSE)*'Stage assumptions'!$C$12)*Calculations[[#This Row],[Total Kg]],0)</f>
        <v>0</v>
      </c>
      <c r="K762">
        <f>IFERROR(VLOOKUP(Calculations[[#This Row],[Material (choose from dropdown]], MaterialData[#All],3, FALSE),0)</f>
        <v>0</v>
      </c>
      <c r="L762" s="322">
        <f>IFERROR(VLOOKUP(Calculations[[#This Row],[A5type]],A5WastageRate[#All],2,FALSE)*Calculations[[#This Row],[A1-3]],0)</f>
        <v>0</v>
      </c>
      <c r="N762">
        <f>IFERROR(ROUNDUP(50/VLOOKUP(Calculations[[#This Row],[Scope Element]],B4referenceServiceLife[[Tier 2 element]:[Default Service Life]],2, FALSE)-1,0),0)</f>
        <v>0</v>
      </c>
      <c r="O762" s="322">
        <f>IFERROR((Calculations[[#This Row],[A1-3]]+Calculations[[#This Row],[A4]]+Calculations[[#This Row],[A5]]+Calculations[[#This Row],[C2 total]]+Calculations[[#This Row],[C3 total]]+Calculations[[#This Row],[C4 total]])*Calculations[[#This Row],[Replacements]],0)</f>
        <v>0</v>
      </c>
      <c r="S762" t="str">
        <f>IFERROR(VLOOKUP(Calculations[[#This Row],[Material (choose from dropdown]],MaterialData[#All],4,FALSE),"")</f>
        <v/>
      </c>
      <c r="T762" s="322" cm="1">
        <f t="array" ref="T762">IFERROR(VLOOKUP(Calculations[[#This Row],[Waste 1]],WasteScenario[#All],2,FALSE)*'Stage assumptions'!$C$225*WasteTransportMethod[Emissions Factor
kgCO2e/kg.km]*Calculations[[#This Row],[Total Kg]],0)</f>
        <v>0</v>
      </c>
      <c r="U762" s="322" cm="1">
        <f t="array" ref="U762">IFERROR(VLOOKUP(Calculations[[#This Row],[Waste 1]],WasteScenario[#All],3,FALSE)*'Stage assumptions'!$C$224*WasteTransportMethod[Emissions Factor
kgCO2e/kg.km]*Calculations[[#This Row],[Total Kg]],0)</f>
        <v>0</v>
      </c>
      <c r="V762" s="322" cm="1">
        <f t="array" ref="V762">IFERROR(VLOOKUP(Calculations[[#This Row],[Waste 1]],WasteScenario[#All],4,FALSE)*'Stage assumptions'!$C$223*WasteTransportMethod[Emissions Factor
kgCO2e/kg.km]*Calculations[[#This Row],[Total Kg]],0)</f>
        <v>0</v>
      </c>
      <c r="W762" s="322" cm="1">
        <f t="array" ref="W762">IFERROR(VLOOKUP(Calculations[[#This Row],[Waste 1]],WasteScenario[#All],5,FALSE)*'Stage assumptions'!$C$226*WasteTransportMethod[Emissions Factor
kgCO2e/kg.km]*Calculations[[#This Row],[Total Kg]],0)</f>
        <v>0</v>
      </c>
      <c r="X762" s="322">
        <f>SUM(Calculations[[#This Row],[C2 Recycle]:[C2 Reuse]])</f>
        <v>0</v>
      </c>
      <c r="Y762" t="str">
        <f>IFERROR(VLOOKUP(Calculations[[#This Row],[Material (choose from dropdown]],MaterialData[#All],5,FALSE),"")</f>
        <v/>
      </c>
      <c r="Z762" s="322">
        <f>IFERROR(((VLOOKUP(Calculations[[#This Row],[Waste type 2]],WasteDisposalEmissions[#All],2,FALSE))*Calculations[[#This Row],[Total Kg]])*VLOOKUP(Calculations[[#This Row],[Waste 1]],WasteScenario[#All],2,FALSE),0)</f>
        <v>0</v>
      </c>
      <c r="AA762" s="322">
        <f>IFERROR((VLOOKUP(Calculations[[#This Row],[Waste type 2]],WasteDisposalEmissions[#All],3,FALSE))*Calculations[[#This Row],[Total Kg]]*VLOOKUP(Calculations[[#This Row],[Waste 1]],WasteScenario[#All],3,FALSE),0)</f>
        <v>0</v>
      </c>
      <c r="AB762" s="322">
        <f>SUM(Calculations[[#This Row],[C3 recyc]:[C3 incin]])</f>
        <v>0</v>
      </c>
      <c r="AC762" s="334">
        <f>IFERROR((VLOOKUP(Calculations[[#This Row],[Waste type 2]],WasteLandfillEmissions[#All],2,FALSE))*Calculations[[#This Row],[Total Kg]]*VLOOKUP(Calculations[[#This Row],[Waste 1]],WasteScenario[#All],4,FALSE),0)</f>
        <v>0</v>
      </c>
      <c r="AD762" s="322">
        <f>IFERROR((VLOOKUP(Calculations[[#This Row],[Waste type 2]],WasteLandfillEmissions[#All],3,FALSE))*Calculations[[#This Row],[Total Kg]]*VLOOKUP(Calculations[[#This Row],[Waste 1]],WasteScenario[#All],4,FALSE),0)</f>
        <v>0</v>
      </c>
      <c r="AE762" s="322">
        <f>SUM(Calculations[[#This Row],[C4 landfill]:[C4 re-use]])</f>
        <v>0</v>
      </c>
      <c r="AF762" s="322">
        <f>IFERROR(VLOOKUP(Calculations[[#This Row],[Material (choose from dropdown]],MaterialData[#All],8,FALSE),0)</f>
        <v>0</v>
      </c>
      <c r="AG762" s="322">
        <f>IFERROR(Calculations[[#This Row],[Total Kg]]*Calculations[[#This Row],[Seq factor]],0)</f>
        <v>0</v>
      </c>
      <c r="AI762" s="322">
        <f>Calculations[[#This Row],[A1-3]]+Calculations[[#This Row],[A4]]+Calculations[[#This Row],[A5]]+Calculations[[#This Row],[B4]]+Calculations[[#This Row],[C2 total]]+Calculations[[#This Row],[C3 total]]+Calculations[[#This Row],[C4 total]]</f>
        <v>0</v>
      </c>
      <c r="AJ762" s="2">
        <f>IFERROR(VLOOKUP(Calculations[[#This Row],[Material (choose from dropdown]],MaterialData[[#Headers],[#Data]],9,FALSE),0)</f>
        <v>0</v>
      </c>
      <c r="AK762" s="4">
        <f>IFERROR(VLOOKUP(Calculations[[#This Row],[Material (choose from dropdown]],MaterialData[[#Headers],[#Data]],10,FALSE),0)</f>
        <v>0</v>
      </c>
      <c r="AL762" s="322">
        <f>IFERROR(Calculations[[#This Row],[Data Quality Score]]*Calculations[[#This Row],[Total Kg]],0)</f>
        <v>0</v>
      </c>
    </row>
    <row r="763" spans="1:38" x14ac:dyDescent="0.3">
      <c r="A763" s="6">
        <f>IFERROR(MaterialsBoQ[[#This Row],[Scope Element]],0)</f>
        <v>0</v>
      </c>
      <c r="B763" t="str">
        <f>IFERROR(MaterialsBoQ[[#This Row],[Material ]],"")</f>
        <v/>
      </c>
      <c r="C763" t="str">
        <f>IFERROR(MaterialsBoQ[[#This Row],[Unit]],"")</f>
        <v/>
      </c>
      <c r="D763" s="322">
        <f>IFERROR(MaterialsBoQ[[#This Row],[Number]],0)</f>
        <v>0</v>
      </c>
      <c r="E763" s="322">
        <f>IFERROR(MaterialsBoQ[[#This Row],[Kg per unit]],0)</f>
        <v>0</v>
      </c>
      <c r="F763" s="322">
        <f>IFERROR(Calculations[[#This Row],[Number]]*Calculations[[#This Row],[Conversion factor]],0)</f>
        <v>0</v>
      </c>
      <c r="G763" s="322">
        <f>IFERROR(VLOOKUP(Calculations[[#This Row],[Material (choose from dropdown]],MaterialData[#All],7,FALSE),0)</f>
        <v>0</v>
      </c>
      <c r="H763" s="322">
        <f>Calculations[[#This Row],[Total Kg]]*Calculations[[#This Row],[Carbon Factor]]</f>
        <v>0</v>
      </c>
      <c r="I763" t="str">
        <f>IFERROR(VLOOKUP(Calculations[[#This Row],[Material (choose from dropdown]],MaterialData[#All],2,FALSE),"")</f>
        <v/>
      </c>
      <c r="J763" s="322">
        <f>IFERROR(((VLOOKUP(Calculations[[#This Row],[TransportSource]],TransportDistance[],2,FALSE)*'Stage assumptions'!$C$11)+VLOOKUP(Calculations[[#This Row],[TransportSource]],TransportDistance[],3,FALSE)*'Stage assumptions'!$C$12)*Calculations[[#This Row],[Total Kg]],0)</f>
        <v>0</v>
      </c>
      <c r="K763">
        <f>IFERROR(VLOOKUP(Calculations[[#This Row],[Material (choose from dropdown]], MaterialData[#All],3, FALSE),0)</f>
        <v>0</v>
      </c>
      <c r="L763" s="322">
        <f>IFERROR(VLOOKUP(Calculations[[#This Row],[A5type]],A5WastageRate[#All],2,FALSE)*Calculations[[#This Row],[A1-3]],0)</f>
        <v>0</v>
      </c>
      <c r="N763">
        <f>IFERROR(ROUNDUP(50/VLOOKUP(Calculations[[#This Row],[Scope Element]],B4referenceServiceLife[[Tier 2 element]:[Default Service Life]],2, FALSE)-1,0),0)</f>
        <v>0</v>
      </c>
      <c r="O763" s="322">
        <f>IFERROR((Calculations[[#This Row],[A1-3]]+Calculations[[#This Row],[A4]]+Calculations[[#This Row],[A5]]+Calculations[[#This Row],[C2 total]]+Calculations[[#This Row],[C3 total]]+Calculations[[#This Row],[C4 total]])*Calculations[[#This Row],[Replacements]],0)</f>
        <v>0</v>
      </c>
      <c r="S763" t="str">
        <f>IFERROR(VLOOKUP(Calculations[[#This Row],[Material (choose from dropdown]],MaterialData[#All],4,FALSE),"")</f>
        <v/>
      </c>
      <c r="T763" s="322" cm="1">
        <f t="array" ref="T763">IFERROR(VLOOKUP(Calculations[[#This Row],[Waste 1]],WasteScenario[#All],2,FALSE)*'Stage assumptions'!$C$225*WasteTransportMethod[Emissions Factor
kgCO2e/kg.km]*Calculations[[#This Row],[Total Kg]],0)</f>
        <v>0</v>
      </c>
      <c r="U763" s="322" cm="1">
        <f t="array" ref="U763">IFERROR(VLOOKUP(Calculations[[#This Row],[Waste 1]],WasteScenario[#All],3,FALSE)*'Stage assumptions'!$C$224*WasteTransportMethod[Emissions Factor
kgCO2e/kg.km]*Calculations[[#This Row],[Total Kg]],0)</f>
        <v>0</v>
      </c>
      <c r="V763" s="322" cm="1">
        <f t="array" ref="V763">IFERROR(VLOOKUP(Calculations[[#This Row],[Waste 1]],WasteScenario[#All],4,FALSE)*'Stage assumptions'!$C$223*WasteTransportMethod[Emissions Factor
kgCO2e/kg.km]*Calculations[[#This Row],[Total Kg]],0)</f>
        <v>0</v>
      </c>
      <c r="W763" s="322" cm="1">
        <f t="array" ref="W763">IFERROR(VLOOKUP(Calculations[[#This Row],[Waste 1]],WasteScenario[#All],5,FALSE)*'Stage assumptions'!$C$226*WasteTransportMethod[Emissions Factor
kgCO2e/kg.km]*Calculations[[#This Row],[Total Kg]],0)</f>
        <v>0</v>
      </c>
      <c r="X763" s="322">
        <f>SUM(Calculations[[#This Row],[C2 Recycle]:[C2 Reuse]])</f>
        <v>0</v>
      </c>
      <c r="Y763" t="str">
        <f>IFERROR(VLOOKUP(Calculations[[#This Row],[Material (choose from dropdown]],MaterialData[#All],5,FALSE),"")</f>
        <v/>
      </c>
      <c r="Z763" s="322">
        <f>IFERROR(((VLOOKUP(Calculations[[#This Row],[Waste type 2]],WasteDisposalEmissions[#All],2,FALSE))*Calculations[[#This Row],[Total Kg]])*VLOOKUP(Calculations[[#This Row],[Waste 1]],WasteScenario[#All],2,FALSE),0)</f>
        <v>0</v>
      </c>
      <c r="AA763" s="322">
        <f>IFERROR((VLOOKUP(Calculations[[#This Row],[Waste type 2]],WasteDisposalEmissions[#All],3,FALSE))*Calculations[[#This Row],[Total Kg]]*VLOOKUP(Calculations[[#This Row],[Waste 1]],WasteScenario[#All],3,FALSE),0)</f>
        <v>0</v>
      </c>
      <c r="AB763" s="322">
        <f>SUM(Calculations[[#This Row],[C3 recyc]:[C3 incin]])</f>
        <v>0</v>
      </c>
      <c r="AC763" s="334">
        <f>IFERROR((VLOOKUP(Calculations[[#This Row],[Waste type 2]],WasteLandfillEmissions[#All],2,FALSE))*Calculations[[#This Row],[Total Kg]]*VLOOKUP(Calculations[[#This Row],[Waste 1]],WasteScenario[#All],4,FALSE),0)</f>
        <v>0</v>
      </c>
      <c r="AD763" s="322">
        <f>IFERROR((VLOOKUP(Calculations[[#This Row],[Waste type 2]],WasteLandfillEmissions[#All],3,FALSE))*Calculations[[#This Row],[Total Kg]]*VLOOKUP(Calculations[[#This Row],[Waste 1]],WasteScenario[#All],4,FALSE),0)</f>
        <v>0</v>
      </c>
      <c r="AE763" s="322">
        <f>SUM(Calculations[[#This Row],[C4 landfill]:[C4 re-use]])</f>
        <v>0</v>
      </c>
      <c r="AF763" s="322">
        <f>IFERROR(VLOOKUP(Calculations[[#This Row],[Material (choose from dropdown]],MaterialData[#All],8,FALSE),0)</f>
        <v>0</v>
      </c>
      <c r="AG763" s="322">
        <f>IFERROR(Calculations[[#This Row],[Total Kg]]*Calculations[[#This Row],[Seq factor]],0)</f>
        <v>0</v>
      </c>
      <c r="AI763" s="322">
        <f>Calculations[[#This Row],[A1-3]]+Calculations[[#This Row],[A4]]+Calculations[[#This Row],[A5]]+Calculations[[#This Row],[B4]]+Calculations[[#This Row],[C2 total]]+Calculations[[#This Row],[C3 total]]+Calculations[[#This Row],[C4 total]]</f>
        <v>0</v>
      </c>
      <c r="AJ763" s="2">
        <f>IFERROR(VLOOKUP(Calculations[[#This Row],[Material (choose from dropdown]],MaterialData[[#Headers],[#Data]],9,FALSE),0)</f>
        <v>0</v>
      </c>
      <c r="AK763" s="4">
        <f>IFERROR(VLOOKUP(Calculations[[#This Row],[Material (choose from dropdown]],MaterialData[[#Headers],[#Data]],10,FALSE),0)</f>
        <v>0</v>
      </c>
      <c r="AL763" s="322">
        <f>IFERROR(Calculations[[#This Row],[Data Quality Score]]*Calculations[[#This Row],[Total Kg]],0)</f>
        <v>0</v>
      </c>
    </row>
    <row r="764" spans="1:38" x14ac:dyDescent="0.3">
      <c r="A764" s="6">
        <f>IFERROR(MaterialsBoQ[[#This Row],[Scope Element]],0)</f>
        <v>0</v>
      </c>
      <c r="B764" t="str">
        <f>IFERROR(MaterialsBoQ[[#This Row],[Material ]],"")</f>
        <v/>
      </c>
      <c r="C764" t="str">
        <f>IFERROR(MaterialsBoQ[[#This Row],[Unit]],"")</f>
        <v/>
      </c>
      <c r="D764" s="322">
        <f>IFERROR(MaterialsBoQ[[#This Row],[Number]],0)</f>
        <v>0</v>
      </c>
      <c r="E764" s="322">
        <f>IFERROR(MaterialsBoQ[[#This Row],[Kg per unit]],0)</f>
        <v>0</v>
      </c>
      <c r="F764" s="322">
        <f>IFERROR(Calculations[[#This Row],[Number]]*Calculations[[#This Row],[Conversion factor]],0)</f>
        <v>0</v>
      </c>
      <c r="G764" s="322">
        <f>IFERROR(VLOOKUP(Calculations[[#This Row],[Material (choose from dropdown]],MaterialData[#All],7,FALSE),0)</f>
        <v>0</v>
      </c>
      <c r="H764" s="322">
        <f>Calculations[[#This Row],[Total Kg]]*Calculations[[#This Row],[Carbon Factor]]</f>
        <v>0</v>
      </c>
      <c r="I764" t="str">
        <f>IFERROR(VLOOKUP(Calculations[[#This Row],[Material (choose from dropdown]],MaterialData[#All],2,FALSE),"")</f>
        <v/>
      </c>
      <c r="J764" s="322">
        <f>IFERROR(((VLOOKUP(Calculations[[#This Row],[TransportSource]],TransportDistance[],2,FALSE)*'Stage assumptions'!$C$11)+VLOOKUP(Calculations[[#This Row],[TransportSource]],TransportDistance[],3,FALSE)*'Stage assumptions'!$C$12)*Calculations[[#This Row],[Total Kg]],0)</f>
        <v>0</v>
      </c>
      <c r="K764">
        <f>IFERROR(VLOOKUP(Calculations[[#This Row],[Material (choose from dropdown]], MaterialData[#All],3, FALSE),0)</f>
        <v>0</v>
      </c>
      <c r="L764" s="322">
        <f>IFERROR(VLOOKUP(Calculations[[#This Row],[A5type]],A5WastageRate[#All],2,FALSE)*Calculations[[#This Row],[A1-3]],0)</f>
        <v>0</v>
      </c>
      <c r="N764">
        <f>IFERROR(ROUNDUP(50/VLOOKUP(Calculations[[#This Row],[Scope Element]],B4referenceServiceLife[[Tier 2 element]:[Default Service Life]],2, FALSE)-1,0),0)</f>
        <v>0</v>
      </c>
      <c r="O764" s="322">
        <f>IFERROR((Calculations[[#This Row],[A1-3]]+Calculations[[#This Row],[A4]]+Calculations[[#This Row],[A5]]+Calculations[[#This Row],[C2 total]]+Calculations[[#This Row],[C3 total]]+Calculations[[#This Row],[C4 total]])*Calculations[[#This Row],[Replacements]],0)</f>
        <v>0</v>
      </c>
      <c r="S764" t="str">
        <f>IFERROR(VLOOKUP(Calculations[[#This Row],[Material (choose from dropdown]],MaterialData[#All],4,FALSE),"")</f>
        <v/>
      </c>
      <c r="T764" s="322" cm="1">
        <f t="array" ref="T764">IFERROR(VLOOKUP(Calculations[[#This Row],[Waste 1]],WasteScenario[#All],2,FALSE)*'Stage assumptions'!$C$225*WasteTransportMethod[Emissions Factor
kgCO2e/kg.km]*Calculations[[#This Row],[Total Kg]],0)</f>
        <v>0</v>
      </c>
      <c r="U764" s="322" cm="1">
        <f t="array" ref="U764">IFERROR(VLOOKUP(Calculations[[#This Row],[Waste 1]],WasteScenario[#All],3,FALSE)*'Stage assumptions'!$C$224*WasteTransportMethod[Emissions Factor
kgCO2e/kg.km]*Calculations[[#This Row],[Total Kg]],0)</f>
        <v>0</v>
      </c>
      <c r="V764" s="322" cm="1">
        <f t="array" ref="V764">IFERROR(VLOOKUP(Calculations[[#This Row],[Waste 1]],WasteScenario[#All],4,FALSE)*'Stage assumptions'!$C$223*WasteTransportMethod[Emissions Factor
kgCO2e/kg.km]*Calculations[[#This Row],[Total Kg]],0)</f>
        <v>0</v>
      </c>
      <c r="W764" s="322" cm="1">
        <f t="array" ref="W764">IFERROR(VLOOKUP(Calculations[[#This Row],[Waste 1]],WasteScenario[#All],5,FALSE)*'Stage assumptions'!$C$226*WasteTransportMethod[Emissions Factor
kgCO2e/kg.km]*Calculations[[#This Row],[Total Kg]],0)</f>
        <v>0</v>
      </c>
      <c r="X764" s="322">
        <f>SUM(Calculations[[#This Row],[C2 Recycle]:[C2 Reuse]])</f>
        <v>0</v>
      </c>
      <c r="Y764" t="str">
        <f>IFERROR(VLOOKUP(Calculations[[#This Row],[Material (choose from dropdown]],MaterialData[#All],5,FALSE),"")</f>
        <v/>
      </c>
      <c r="Z764" s="322">
        <f>IFERROR(((VLOOKUP(Calculations[[#This Row],[Waste type 2]],WasteDisposalEmissions[#All],2,FALSE))*Calculations[[#This Row],[Total Kg]])*VLOOKUP(Calculations[[#This Row],[Waste 1]],WasteScenario[#All],2,FALSE),0)</f>
        <v>0</v>
      </c>
      <c r="AA764" s="322">
        <f>IFERROR((VLOOKUP(Calculations[[#This Row],[Waste type 2]],WasteDisposalEmissions[#All],3,FALSE))*Calculations[[#This Row],[Total Kg]]*VLOOKUP(Calculations[[#This Row],[Waste 1]],WasteScenario[#All],3,FALSE),0)</f>
        <v>0</v>
      </c>
      <c r="AB764" s="322">
        <f>SUM(Calculations[[#This Row],[C3 recyc]:[C3 incin]])</f>
        <v>0</v>
      </c>
      <c r="AC764" s="334">
        <f>IFERROR((VLOOKUP(Calculations[[#This Row],[Waste type 2]],WasteLandfillEmissions[#All],2,FALSE))*Calculations[[#This Row],[Total Kg]]*VLOOKUP(Calculations[[#This Row],[Waste 1]],WasteScenario[#All],4,FALSE),0)</f>
        <v>0</v>
      </c>
      <c r="AD764" s="322">
        <f>IFERROR((VLOOKUP(Calculations[[#This Row],[Waste type 2]],WasteLandfillEmissions[#All],3,FALSE))*Calculations[[#This Row],[Total Kg]]*VLOOKUP(Calculations[[#This Row],[Waste 1]],WasteScenario[#All],4,FALSE),0)</f>
        <v>0</v>
      </c>
      <c r="AE764" s="322">
        <f>SUM(Calculations[[#This Row],[C4 landfill]:[C4 re-use]])</f>
        <v>0</v>
      </c>
      <c r="AF764" s="322">
        <f>IFERROR(VLOOKUP(Calculations[[#This Row],[Material (choose from dropdown]],MaterialData[#All],8,FALSE),0)</f>
        <v>0</v>
      </c>
      <c r="AG764" s="322">
        <f>IFERROR(Calculations[[#This Row],[Total Kg]]*Calculations[[#This Row],[Seq factor]],0)</f>
        <v>0</v>
      </c>
      <c r="AI764" s="322">
        <f>Calculations[[#This Row],[A1-3]]+Calculations[[#This Row],[A4]]+Calculations[[#This Row],[A5]]+Calculations[[#This Row],[B4]]+Calculations[[#This Row],[C2 total]]+Calculations[[#This Row],[C3 total]]+Calculations[[#This Row],[C4 total]]</f>
        <v>0</v>
      </c>
      <c r="AJ764" s="2">
        <f>IFERROR(VLOOKUP(Calculations[[#This Row],[Material (choose from dropdown]],MaterialData[[#Headers],[#Data]],9,FALSE),0)</f>
        <v>0</v>
      </c>
      <c r="AK764" s="4">
        <f>IFERROR(VLOOKUP(Calculations[[#This Row],[Material (choose from dropdown]],MaterialData[[#Headers],[#Data]],10,FALSE),0)</f>
        <v>0</v>
      </c>
      <c r="AL764" s="322">
        <f>IFERROR(Calculations[[#This Row],[Data Quality Score]]*Calculations[[#This Row],[Total Kg]],0)</f>
        <v>0</v>
      </c>
    </row>
    <row r="765" spans="1:38" x14ac:dyDescent="0.3">
      <c r="A765" s="6">
        <f>IFERROR(MaterialsBoQ[[#This Row],[Scope Element]],0)</f>
        <v>0</v>
      </c>
      <c r="B765" t="str">
        <f>IFERROR(MaterialsBoQ[[#This Row],[Material ]],"")</f>
        <v/>
      </c>
      <c r="C765" t="str">
        <f>IFERROR(MaterialsBoQ[[#This Row],[Unit]],"")</f>
        <v/>
      </c>
      <c r="D765" s="322">
        <f>IFERROR(MaterialsBoQ[[#This Row],[Number]],0)</f>
        <v>0</v>
      </c>
      <c r="E765" s="322">
        <f>IFERROR(MaterialsBoQ[[#This Row],[Kg per unit]],0)</f>
        <v>0</v>
      </c>
      <c r="F765" s="322">
        <f>IFERROR(Calculations[[#This Row],[Number]]*Calculations[[#This Row],[Conversion factor]],0)</f>
        <v>0</v>
      </c>
      <c r="G765" s="322">
        <f>IFERROR(VLOOKUP(Calculations[[#This Row],[Material (choose from dropdown]],MaterialData[#All],7,FALSE),0)</f>
        <v>0</v>
      </c>
      <c r="H765" s="322">
        <f>Calculations[[#This Row],[Total Kg]]*Calculations[[#This Row],[Carbon Factor]]</f>
        <v>0</v>
      </c>
      <c r="I765" t="str">
        <f>IFERROR(VLOOKUP(Calculations[[#This Row],[Material (choose from dropdown]],MaterialData[#All],2,FALSE),"")</f>
        <v/>
      </c>
      <c r="J765" s="322">
        <f>IFERROR(((VLOOKUP(Calculations[[#This Row],[TransportSource]],TransportDistance[],2,FALSE)*'Stage assumptions'!$C$11)+VLOOKUP(Calculations[[#This Row],[TransportSource]],TransportDistance[],3,FALSE)*'Stage assumptions'!$C$12)*Calculations[[#This Row],[Total Kg]],0)</f>
        <v>0</v>
      </c>
      <c r="K765">
        <f>IFERROR(VLOOKUP(Calculations[[#This Row],[Material (choose from dropdown]], MaterialData[#All],3, FALSE),0)</f>
        <v>0</v>
      </c>
      <c r="L765" s="322">
        <f>IFERROR(VLOOKUP(Calculations[[#This Row],[A5type]],A5WastageRate[#All],2,FALSE)*Calculations[[#This Row],[A1-3]],0)</f>
        <v>0</v>
      </c>
      <c r="N765">
        <f>IFERROR(ROUNDUP(50/VLOOKUP(Calculations[[#This Row],[Scope Element]],B4referenceServiceLife[[Tier 2 element]:[Default Service Life]],2, FALSE)-1,0),0)</f>
        <v>0</v>
      </c>
      <c r="O765" s="322">
        <f>IFERROR((Calculations[[#This Row],[A1-3]]+Calculations[[#This Row],[A4]]+Calculations[[#This Row],[A5]]+Calculations[[#This Row],[C2 total]]+Calculations[[#This Row],[C3 total]]+Calculations[[#This Row],[C4 total]])*Calculations[[#This Row],[Replacements]],0)</f>
        <v>0</v>
      </c>
      <c r="S765" t="str">
        <f>IFERROR(VLOOKUP(Calculations[[#This Row],[Material (choose from dropdown]],MaterialData[#All],4,FALSE),"")</f>
        <v/>
      </c>
      <c r="T765" s="322" cm="1">
        <f t="array" ref="T765">IFERROR(VLOOKUP(Calculations[[#This Row],[Waste 1]],WasteScenario[#All],2,FALSE)*'Stage assumptions'!$C$225*WasteTransportMethod[Emissions Factor
kgCO2e/kg.km]*Calculations[[#This Row],[Total Kg]],0)</f>
        <v>0</v>
      </c>
      <c r="U765" s="322" cm="1">
        <f t="array" ref="U765">IFERROR(VLOOKUP(Calculations[[#This Row],[Waste 1]],WasteScenario[#All],3,FALSE)*'Stage assumptions'!$C$224*WasteTransportMethod[Emissions Factor
kgCO2e/kg.km]*Calculations[[#This Row],[Total Kg]],0)</f>
        <v>0</v>
      </c>
      <c r="V765" s="322" cm="1">
        <f t="array" ref="V765">IFERROR(VLOOKUP(Calculations[[#This Row],[Waste 1]],WasteScenario[#All],4,FALSE)*'Stage assumptions'!$C$223*WasteTransportMethod[Emissions Factor
kgCO2e/kg.km]*Calculations[[#This Row],[Total Kg]],0)</f>
        <v>0</v>
      </c>
      <c r="W765" s="322" cm="1">
        <f t="array" ref="W765">IFERROR(VLOOKUP(Calculations[[#This Row],[Waste 1]],WasteScenario[#All],5,FALSE)*'Stage assumptions'!$C$226*WasteTransportMethod[Emissions Factor
kgCO2e/kg.km]*Calculations[[#This Row],[Total Kg]],0)</f>
        <v>0</v>
      </c>
      <c r="X765" s="322">
        <f>SUM(Calculations[[#This Row],[C2 Recycle]:[C2 Reuse]])</f>
        <v>0</v>
      </c>
      <c r="Y765" t="str">
        <f>IFERROR(VLOOKUP(Calculations[[#This Row],[Material (choose from dropdown]],MaterialData[#All],5,FALSE),"")</f>
        <v/>
      </c>
      <c r="Z765" s="322">
        <f>IFERROR(((VLOOKUP(Calculations[[#This Row],[Waste type 2]],WasteDisposalEmissions[#All],2,FALSE))*Calculations[[#This Row],[Total Kg]])*VLOOKUP(Calculations[[#This Row],[Waste 1]],WasteScenario[#All],2,FALSE),0)</f>
        <v>0</v>
      </c>
      <c r="AA765" s="322">
        <f>IFERROR((VLOOKUP(Calculations[[#This Row],[Waste type 2]],WasteDisposalEmissions[#All],3,FALSE))*Calculations[[#This Row],[Total Kg]]*VLOOKUP(Calculations[[#This Row],[Waste 1]],WasteScenario[#All],3,FALSE),0)</f>
        <v>0</v>
      </c>
      <c r="AB765" s="322">
        <f>SUM(Calculations[[#This Row],[C3 recyc]:[C3 incin]])</f>
        <v>0</v>
      </c>
      <c r="AC765" s="334">
        <f>IFERROR((VLOOKUP(Calculations[[#This Row],[Waste type 2]],WasteLandfillEmissions[#All],2,FALSE))*Calculations[[#This Row],[Total Kg]]*VLOOKUP(Calculations[[#This Row],[Waste 1]],WasteScenario[#All],4,FALSE),0)</f>
        <v>0</v>
      </c>
      <c r="AD765" s="322">
        <f>IFERROR((VLOOKUP(Calculations[[#This Row],[Waste type 2]],WasteLandfillEmissions[#All],3,FALSE))*Calculations[[#This Row],[Total Kg]]*VLOOKUP(Calculations[[#This Row],[Waste 1]],WasteScenario[#All],4,FALSE),0)</f>
        <v>0</v>
      </c>
      <c r="AE765" s="322">
        <f>SUM(Calculations[[#This Row],[C4 landfill]:[C4 re-use]])</f>
        <v>0</v>
      </c>
      <c r="AF765" s="322">
        <f>IFERROR(VLOOKUP(Calculations[[#This Row],[Material (choose from dropdown]],MaterialData[#All],8,FALSE),0)</f>
        <v>0</v>
      </c>
      <c r="AG765" s="322">
        <f>IFERROR(Calculations[[#This Row],[Total Kg]]*Calculations[[#This Row],[Seq factor]],0)</f>
        <v>0</v>
      </c>
      <c r="AI765" s="322">
        <f>Calculations[[#This Row],[A1-3]]+Calculations[[#This Row],[A4]]+Calculations[[#This Row],[A5]]+Calculations[[#This Row],[B4]]+Calculations[[#This Row],[C2 total]]+Calculations[[#This Row],[C3 total]]+Calculations[[#This Row],[C4 total]]</f>
        <v>0</v>
      </c>
      <c r="AJ765" s="2">
        <f>IFERROR(VLOOKUP(Calculations[[#This Row],[Material (choose from dropdown]],MaterialData[[#Headers],[#Data]],9,FALSE),0)</f>
        <v>0</v>
      </c>
      <c r="AK765" s="4">
        <f>IFERROR(VLOOKUP(Calculations[[#This Row],[Material (choose from dropdown]],MaterialData[[#Headers],[#Data]],10,FALSE),0)</f>
        <v>0</v>
      </c>
      <c r="AL765" s="322">
        <f>IFERROR(Calculations[[#This Row],[Data Quality Score]]*Calculations[[#This Row],[Total Kg]],0)</f>
        <v>0</v>
      </c>
    </row>
    <row r="766" spans="1:38" x14ac:dyDescent="0.3">
      <c r="A766" s="6">
        <f>IFERROR(MaterialsBoQ[[#This Row],[Scope Element]],0)</f>
        <v>0</v>
      </c>
      <c r="B766" t="str">
        <f>IFERROR(MaterialsBoQ[[#This Row],[Material ]],"")</f>
        <v/>
      </c>
      <c r="C766" t="str">
        <f>IFERROR(MaterialsBoQ[[#This Row],[Unit]],"")</f>
        <v/>
      </c>
      <c r="D766" s="322">
        <f>IFERROR(MaterialsBoQ[[#This Row],[Number]],0)</f>
        <v>0</v>
      </c>
      <c r="E766" s="322">
        <f>IFERROR(MaterialsBoQ[[#This Row],[Kg per unit]],0)</f>
        <v>0</v>
      </c>
      <c r="F766" s="322">
        <f>IFERROR(Calculations[[#This Row],[Number]]*Calculations[[#This Row],[Conversion factor]],0)</f>
        <v>0</v>
      </c>
      <c r="G766" s="322">
        <f>IFERROR(VLOOKUP(Calculations[[#This Row],[Material (choose from dropdown]],MaterialData[#All],7,FALSE),0)</f>
        <v>0</v>
      </c>
      <c r="H766" s="322">
        <f>Calculations[[#This Row],[Total Kg]]*Calculations[[#This Row],[Carbon Factor]]</f>
        <v>0</v>
      </c>
      <c r="I766" t="str">
        <f>IFERROR(VLOOKUP(Calculations[[#This Row],[Material (choose from dropdown]],MaterialData[#All],2,FALSE),"")</f>
        <v/>
      </c>
      <c r="J766" s="322">
        <f>IFERROR(((VLOOKUP(Calculations[[#This Row],[TransportSource]],TransportDistance[],2,FALSE)*'Stage assumptions'!$C$11)+VLOOKUP(Calculations[[#This Row],[TransportSource]],TransportDistance[],3,FALSE)*'Stage assumptions'!$C$12)*Calculations[[#This Row],[Total Kg]],0)</f>
        <v>0</v>
      </c>
      <c r="K766">
        <f>IFERROR(VLOOKUP(Calculations[[#This Row],[Material (choose from dropdown]], MaterialData[#All],3, FALSE),0)</f>
        <v>0</v>
      </c>
      <c r="L766" s="322">
        <f>IFERROR(VLOOKUP(Calculations[[#This Row],[A5type]],A5WastageRate[#All],2,FALSE)*Calculations[[#This Row],[A1-3]],0)</f>
        <v>0</v>
      </c>
      <c r="N766">
        <f>IFERROR(ROUNDUP(50/VLOOKUP(Calculations[[#This Row],[Scope Element]],B4referenceServiceLife[[Tier 2 element]:[Default Service Life]],2, FALSE)-1,0),0)</f>
        <v>0</v>
      </c>
      <c r="O766" s="322">
        <f>IFERROR((Calculations[[#This Row],[A1-3]]+Calculations[[#This Row],[A4]]+Calculations[[#This Row],[A5]]+Calculations[[#This Row],[C2 total]]+Calculations[[#This Row],[C3 total]]+Calculations[[#This Row],[C4 total]])*Calculations[[#This Row],[Replacements]],0)</f>
        <v>0</v>
      </c>
      <c r="S766" t="str">
        <f>IFERROR(VLOOKUP(Calculations[[#This Row],[Material (choose from dropdown]],MaterialData[#All],4,FALSE),"")</f>
        <v/>
      </c>
      <c r="T766" s="322" cm="1">
        <f t="array" ref="T766">IFERROR(VLOOKUP(Calculations[[#This Row],[Waste 1]],WasteScenario[#All],2,FALSE)*'Stage assumptions'!$C$225*WasteTransportMethod[Emissions Factor
kgCO2e/kg.km]*Calculations[[#This Row],[Total Kg]],0)</f>
        <v>0</v>
      </c>
      <c r="U766" s="322" cm="1">
        <f t="array" ref="U766">IFERROR(VLOOKUP(Calculations[[#This Row],[Waste 1]],WasteScenario[#All],3,FALSE)*'Stage assumptions'!$C$224*WasteTransportMethod[Emissions Factor
kgCO2e/kg.km]*Calculations[[#This Row],[Total Kg]],0)</f>
        <v>0</v>
      </c>
      <c r="V766" s="322" cm="1">
        <f t="array" ref="V766">IFERROR(VLOOKUP(Calculations[[#This Row],[Waste 1]],WasteScenario[#All],4,FALSE)*'Stage assumptions'!$C$223*WasteTransportMethod[Emissions Factor
kgCO2e/kg.km]*Calculations[[#This Row],[Total Kg]],0)</f>
        <v>0</v>
      </c>
      <c r="W766" s="322" cm="1">
        <f t="array" ref="W766">IFERROR(VLOOKUP(Calculations[[#This Row],[Waste 1]],WasteScenario[#All],5,FALSE)*'Stage assumptions'!$C$226*WasteTransportMethod[Emissions Factor
kgCO2e/kg.km]*Calculations[[#This Row],[Total Kg]],0)</f>
        <v>0</v>
      </c>
      <c r="X766" s="322">
        <f>SUM(Calculations[[#This Row],[C2 Recycle]:[C2 Reuse]])</f>
        <v>0</v>
      </c>
      <c r="Y766" t="str">
        <f>IFERROR(VLOOKUP(Calculations[[#This Row],[Material (choose from dropdown]],MaterialData[#All],5,FALSE),"")</f>
        <v/>
      </c>
      <c r="Z766" s="322">
        <f>IFERROR(((VLOOKUP(Calculations[[#This Row],[Waste type 2]],WasteDisposalEmissions[#All],2,FALSE))*Calculations[[#This Row],[Total Kg]])*VLOOKUP(Calculations[[#This Row],[Waste 1]],WasteScenario[#All],2,FALSE),0)</f>
        <v>0</v>
      </c>
      <c r="AA766" s="322">
        <f>IFERROR((VLOOKUP(Calculations[[#This Row],[Waste type 2]],WasteDisposalEmissions[#All],3,FALSE))*Calculations[[#This Row],[Total Kg]]*VLOOKUP(Calculations[[#This Row],[Waste 1]],WasteScenario[#All],3,FALSE),0)</f>
        <v>0</v>
      </c>
      <c r="AB766" s="322">
        <f>SUM(Calculations[[#This Row],[C3 recyc]:[C3 incin]])</f>
        <v>0</v>
      </c>
      <c r="AC766" s="334">
        <f>IFERROR((VLOOKUP(Calculations[[#This Row],[Waste type 2]],WasteLandfillEmissions[#All],2,FALSE))*Calculations[[#This Row],[Total Kg]]*VLOOKUP(Calculations[[#This Row],[Waste 1]],WasteScenario[#All],4,FALSE),0)</f>
        <v>0</v>
      </c>
      <c r="AD766" s="322">
        <f>IFERROR((VLOOKUP(Calculations[[#This Row],[Waste type 2]],WasteLandfillEmissions[#All],3,FALSE))*Calculations[[#This Row],[Total Kg]]*VLOOKUP(Calculations[[#This Row],[Waste 1]],WasteScenario[#All],4,FALSE),0)</f>
        <v>0</v>
      </c>
      <c r="AE766" s="322">
        <f>SUM(Calculations[[#This Row],[C4 landfill]:[C4 re-use]])</f>
        <v>0</v>
      </c>
      <c r="AF766" s="322">
        <f>IFERROR(VLOOKUP(Calculations[[#This Row],[Material (choose from dropdown]],MaterialData[#All],8,FALSE),0)</f>
        <v>0</v>
      </c>
      <c r="AG766" s="322">
        <f>IFERROR(Calculations[[#This Row],[Total Kg]]*Calculations[[#This Row],[Seq factor]],0)</f>
        <v>0</v>
      </c>
      <c r="AI766" s="322">
        <f>Calculations[[#This Row],[A1-3]]+Calculations[[#This Row],[A4]]+Calculations[[#This Row],[A5]]+Calculations[[#This Row],[B4]]+Calculations[[#This Row],[C2 total]]+Calculations[[#This Row],[C3 total]]+Calculations[[#This Row],[C4 total]]</f>
        <v>0</v>
      </c>
      <c r="AJ766" s="2">
        <f>IFERROR(VLOOKUP(Calculations[[#This Row],[Material (choose from dropdown]],MaterialData[[#Headers],[#Data]],9,FALSE),0)</f>
        <v>0</v>
      </c>
      <c r="AK766" s="4">
        <f>IFERROR(VLOOKUP(Calculations[[#This Row],[Material (choose from dropdown]],MaterialData[[#Headers],[#Data]],10,FALSE),0)</f>
        <v>0</v>
      </c>
      <c r="AL766" s="322">
        <f>IFERROR(Calculations[[#This Row],[Data Quality Score]]*Calculations[[#This Row],[Total Kg]],0)</f>
        <v>0</v>
      </c>
    </row>
    <row r="767" spans="1:38" x14ac:dyDescent="0.3">
      <c r="A767" s="6">
        <f>IFERROR(MaterialsBoQ[[#This Row],[Scope Element]],0)</f>
        <v>0</v>
      </c>
      <c r="B767" t="str">
        <f>IFERROR(MaterialsBoQ[[#This Row],[Material ]],"")</f>
        <v/>
      </c>
      <c r="C767" t="str">
        <f>IFERROR(MaterialsBoQ[[#This Row],[Unit]],"")</f>
        <v/>
      </c>
      <c r="D767" s="322">
        <f>IFERROR(MaterialsBoQ[[#This Row],[Number]],0)</f>
        <v>0</v>
      </c>
      <c r="E767" s="322">
        <f>IFERROR(MaterialsBoQ[[#This Row],[Kg per unit]],0)</f>
        <v>0</v>
      </c>
      <c r="F767" s="322">
        <f>IFERROR(Calculations[[#This Row],[Number]]*Calculations[[#This Row],[Conversion factor]],0)</f>
        <v>0</v>
      </c>
      <c r="G767" s="322">
        <f>IFERROR(VLOOKUP(Calculations[[#This Row],[Material (choose from dropdown]],MaterialData[#All],7,FALSE),0)</f>
        <v>0</v>
      </c>
      <c r="H767" s="322">
        <f>Calculations[[#This Row],[Total Kg]]*Calculations[[#This Row],[Carbon Factor]]</f>
        <v>0</v>
      </c>
      <c r="I767" t="str">
        <f>IFERROR(VLOOKUP(Calculations[[#This Row],[Material (choose from dropdown]],MaterialData[#All],2,FALSE),"")</f>
        <v/>
      </c>
      <c r="J767" s="322">
        <f>IFERROR(((VLOOKUP(Calculations[[#This Row],[TransportSource]],TransportDistance[],2,FALSE)*'Stage assumptions'!$C$11)+VLOOKUP(Calculations[[#This Row],[TransportSource]],TransportDistance[],3,FALSE)*'Stage assumptions'!$C$12)*Calculations[[#This Row],[Total Kg]],0)</f>
        <v>0</v>
      </c>
      <c r="K767">
        <f>IFERROR(VLOOKUP(Calculations[[#This Row],[Material (choose from dropdown]], MaterialData[#All],3, FALSE),0)</f>
        <v>0</v>
      </c>
      <c r="L767" s="322">
        <f>IFERROR(VLOOKUP(Calculations[[#This Row],[A5type]],A5WastageRate[#All],2,FALSE)*Calculations[[#This Row],[A1-3]],0)</f>
        <v>0</v>
      </c>
      <c r="N767">
        <f>IFERROR(ROUNDUP(50/VLOOKUP(Calculations[[#This Row],[Scope Element]],B4referenceServiceLife[[Tier 2 element]:[Default Service Life]],2, FALSE)-1,0),0)</f>
        <v>0</v>
      </c>
      <c r="O767" s="322">
        <f>IFERROR((Calculations[[#This Row],[A1-3]]+Calculations[[#This Row],[A4]]+Calculations[[#This Row],[A5]]+Calculations[[#This Row],[C2 total]]+Calculations[[#This Row],[C3 total]]+Calculations[[#This Row],[C4 total]])*Calculations[[#This Row],[Replacements]],0)</f>
        <v>0</v>
      </c>
      <c r="S767" t="str">
        <f>IFERROR(VLOOKUP(Calculations[[#This Row],[Material (choose from dropdown]],MaterialData[#All],4,FALSE),"")</f>
        <v/>
      </c>
      <c r="T767" s="322" cm="1">
        <f t="array" ref="T767">IFERROR(VLOOKUP(Calculations[[#This Row],[Waste 1]],WasteScenario[#All],2,FALSE)*'Stage assumptions'!$C$225*WasteTransportMethod[Emissions Factor
kgCO2e/kg.km]*Calculations[[#This Row],[Total Kg]],0)</f>
        <v>0</v>
      </c>
      <c r="U767" s="322" cm="1">
        <f t="array" ref="U767">IFERROR(VLOOKUP(Calculations[[#This Row],[Waste 1]],WasteScenario[#All],3,FALSE)*'Stage assumptions'!$C$224*WasteTransportMethod[Emissions Factor
kgCO2e/kg.km]*Calculations[[#This Row],[Total Kg]],0)</f>
        <v>0</v>
      </c>
      <c r="V767" s="322" cm="1">
        <f t="array" ref="V767">IFERROR(VLOOKUP(Calculations[[#This Row],[Waste 1]],WasteScenario[#All],4,FALSE)*'Stage assumptions'!$C$223*WasteTransportMethod[Emissions Factor
kgCO2e/kg.km]*Calculations[[#This Row],[Total Kg]],0)</f>
        <v>0</v>
      </c>
      <c r="W767" s="322" cm="1">
        <f t="array" ref="W767">IFERROR(VLOOKUP(Calculations[[#This Row],[Waste 1]],WasteScenario[#All],5,FALSE)*'Stage assumptions'!$C$226*WasteTransportMethod[Emissions Factor
kgCO2e/kg.km]*Calculations[[#This Row],[Total Kg]],0)</f>
        <v>0</v>
      </c>
      <c r="X767" s="322">
        <f>SUM(Calculations[[#This Row],[C2 Recycle]:[C2 Reuse]])</f>
        <v>0</v>
      </c>
      <c r="Y767" t="str">
        <f>IFERROR(VLOOKUP(Calculations[[#This Row],[Material (choose from dropdown]],MaterialData[#All],5,FALSE),"")</f>
        <v/>
      </c>
      <c r="Z767" s="322">
        <f>IFERROR(((VLOOKUP(Calculations[[#This Row],[Waste type 2]],WasteDisposalEmissions[#All],2,FALSE))*Calculations[[#This Row],[Total Kg]])*VLOOKUP(Calculations[[#This Row],[Waste 1]],WasteScenario[#All],2,FALSE),0)</f>
        <v>0</v>
      </c>
      <c r="AA767" s="322">
        <f>IFERROR((VLOOKUP(Calculations[[#This Row],[Waste type 2]],WasteDisposalEmissions[#All],3,FALSE))*Calculations[[#This Row],[Total Kg]]*VLOOKUP(Calculations[[#This Row],[Waste 1]],WasteScenario[#All],3,FALSE),0)</f>
        <v>0</v>
      </c>
      <c r="AB767" s="322">
        <f>SUM(Calculations[[#This Row],[C3 recyc]:[C3 incin]])</f>
        <v>0</v>
      </c>
      <c r="AC767" s="334">
        <f>IFERROR((VLOOKUP(Calculations[[#This Row],[Waste type 2]],WasteLandfillEmissions[#All],2,FALSE))*Calculations[[#This Row],[Total Kg]]*VLOOKUP(Calculations[[#This Row],[Waste 1]],WasteScenario[#All],4,FALSE),0)</f>
        <v>0</v>
      </c>
      <c r="AD767" s="322">
        <f>IFERROR((VLOOKUP(Calculations[[#This Row],[Waste type 2]],WasteLandfillEmissions[#All],3,FALSE))*Calculations[[#This Row],[Total Kg]]*VLOOKUP(Calculations[[#This Row],[Waste 1]],WasteScenario[#All],4,FALSE),0)</f>
        <v>0</v>
      </c>
      <c r="AE767" s="322">
        <f>SUM(Calculations[[#This Row],[C4 landfill]:[C4 re-use]])</f>
        <v>0</v>
      </c>
      <c r="AF767" s="322">
        <f>IFERROR(VLOOKUP(Calculations[[#This Row],[Material (choose from dropdown]],MaterialData[#All],8,FALSE),0)</f>
        <v>0</v>
      </c>
      <c r="AG767" s="322">
        <f>IFERROR(Calculations[[#This Row],[Total Kg]]*Calculations[[#This Row],[Seq factor]],0)</f>
        <v>0</v>
      </c>
      <c r="AI767" s="322">
        <f>Calculations[[#This Row],[A1-3]]+Calculations[[#This Row],[A4]]+Calculations[[#This Row],[A5]]+Calculations[[#This Row],[B4]]+Calculations[[#This Row],[C2 total]]+Calculations[[#This Row],[C3 total]]+Calculations[[#This Row],[C4 total]]</f>
        <v>0</v>
      </c>
      <c r="AJ767" s="2">
        <f>IFERROR(VLOOKUP(Calculations[[#This Row],[Material (choose from dropdown]],MaterialData[[#Headers],[#Data]],9,FALSE),0)</f>
        <v>0</v>
      </c>
      <c r="AK767" s="4">
        <f>IFERROR(VLOOKUP(Calculations[[#This Row],[Material (choose from dropdown]],MaterialData[[#Headers],[#Data]],10,FALSE),0)</f>
        <v>0</v>
      </c>
      <c r="AL767" s="322">
        <f>IFERROR(Calculations[[#This Row],[Data Quality Score]]*Calculations[[#This Row],[Total Kg]],0)</f>
        <v>0</v>
      </c>
    </row>
    <row r="768" spans="1:38" x14ac:dyDescent="0.3">
      <c r="A768" s="6">
        <f>IFERROR(MaterialsBoQ[[#This Row],[Scope Element]],0)</f>
        <v>0</v>
      </c>
      <c r="B768" t="str">
        <f>IFERROR(MaterialsBoQ[[#This Row],[Material ]],"")</f>
        <v/>
      </c>
      <c r="C768" t="str">
        <f>IFERROR(MaterialsBoQ[[#This Row],[Unit]],"")</f>
        <v/>
      </c>
      <c r="D768" s="322">
        <f>IFERROR(MaterialsBoQ[[#This Row],[Number]],0)</f>
        <v>0</v>
      </c>
      <c r="E768" s="322">
        <f>IFERROR(MaterialsBoQ[[#This Row],[Kg per unit]],0)</f>
        <v>0</v>
      </c>
      <c r="F768" s="322">
        <f>IFERROR(Calculations[[#This Row],[Number]]*Calculations[[#This Row],[Conversion factor]],0)</f>
        <v>0</v>
      </c>
      <c r="G768" s="322">
        <f>IFERROR(VLOOKUP(Calculations[[#This Row],[Material (choose from dropdown]],MaterialData[#All],7,FALSE),0)</f>
        <v>0</v>
      </c>
      <c r="H768" s="322">
        <f>Calculations[[#This Row],[Total Kg]]*Calculations[[#This Row],[Carbon Factor]]</f>
        <v>0</v>
      </c>
      <c r="I768" t="str">
        <f>IFERROR(VLOOKUP(Calculations[[#This Row],[Material (choose from dropdown]],MaterialData[#All],2,FALSE),"")</f>
        <v/>
      </c>
      <c r="J768" s="322">
        <f>IFERROR(((VLOOKUP(Calculations[[#This Row],[TransportSource]],TransportDistance[],2,FALSE)*'Stage assumptions'!$C$11)+VLOOKUP(Calculations[[#This Row],[TransportSource]],TransportDistance[],3,FALSE)*'Stage assumptions'!$C$12)*Calculations[[#This Row],[Total Kg]],0)</f>
        <v>0</v>
      </c>
      <c r="K768">
        <f>IFERROR(VLOOKUP(Calculations[[#This Row],[Material (choose from dropdown]], MaterialData[#All],3, FALSE),0)</f>
        <v>0</v>
      </c>
      <c r="L768" s="322">
        <f>IFERROR(VLOOKUP(Calculations[[#This Row],[A5type]],A5WastageRate[#All],2,FALSE)*Calculations[[#This Row],[A1-3]],0)</f>
        <v>0</v>
      </c>
      <c r="N768">
        <f>IFERROR(ROUNDUP(50/VLOOKUP(Calculations[[#This Row],[Scope Element]],B4referenceServiceLife[[Tier 2 element]:[Default Service Life]],2, FALSE)-1,0),0)</f>
        <v>0</v>
      </c>
      <c r="O768" s="322">
        <f>IFERROR((Calculations[[#This Row],[A1-3]]+Calculations[[#This Row],[A4]]+Calculations[[#This Row],[A5]]+Calculations[[#This Row],[C2 total]]+Calculations[[#This Row],[C3 total]]+Calculations[[#This Row],[C4 total]])*Calculations[[#This Row],[Replacements]],0)</f>
        <v>0</v>
      </c>
      <c r="S768" t="str">
        <f>IFERROR(VLOOKUP(Calculations[[#This Row],[Material (choose from dropdown]],MaterialData[#All],4,FALSE),"")</f>
        <v/>
      </c>
      <c r="T768" s="322" cm="1">
        <f t="array" ref="T768">IFERROR(VLOOKUP(Calculations[[#This Row],[Waste 1]],WasteScenario[#All],2,FALSE)*'Stage assumptions'!$C$225*WasteTransportMethod[Emissions Factor
kgCO2e/kg.km]*Calculations[[#This Row],[Total Kg]],0)</f>
        <v>0</v>
      </c>
      <c r="U768" s="322" cm="1">
        <f t="array" ref="U768">IFERROR(VLOOKUP(Calculations[[#This Row],[Waste 1]],WasteScenario[#All],3,FALSE)*'Stage assumptions'!$C$224*WasteTransportMethod[Emissions Factor
kgCO2e/kg.km]*Calculations[[#This Row],[Total Kg]],0)</f>
        <v>0</v>
      </c>
      <c r="V768" s="322" cm="1">
        <f t="array" ref="V768">IFERROR(VLOOKUP(Calculations[[#This Row],[Waste 1]],WasteScenario[#All],4,FALSE)*'Stage assumptions'!$C$223*WasteTransportMethod[Emissions Factor
kgCO2e/kg.km]*Calculations[[#This Row],[Total Kg]],0)</f>
        <v>0</v>
      </c>
      <c r="W768" s="322" cm="1">
        <f t="array" ref="W768">IFERROR(VLOOKUP(Calculations[[#This Row],[Waste 1]],WasteScenario[#All],5,FALSE)*'Stage assumptions'!$C$226*WasteTransportMethod[Emissions Factor
kgCO2e/kg.km]*Calculations[[#This Row],[Total Kg]],0)</f>
        <v>0</v>
      </c>
      <c r="X768" s="322">
        <f>SUM(Calculations[[#This Row],[C2 Recycle]:[C2 Reuse]])</f>
        <v>0</v>
      </c>
      <c r="Y768" t="str">
        <f>IFERROR(VLOOKUP(Calculations[[#This Row],[Material (choose from dropdown]],MaterialData[#All],5,FALSE),"")</f>
        <v/>
      </c>
      <c r="Z768" s="322">
        <f>IFERROR(((VLOOKUP(Calculations[[#This Row],[Waste type 2]],WasteDisposalEmissions[#All],2,FALSE))*Calculations[[#This Row],[Total Kg]])*VLOOKUP(Calculations[[#This Row],[Waste 1]],WasteScenario[#All],2,FALSE),0)</f>
        <v>0</v>
      </c>
      <c r="AA768" s="322">
        <f>IFERROR((VLOOKUP(Calculations[[#This Row],[Waste type 2]],WasteDisposalEmissions[#All],3,FALSE))*Calculations[[#This Row],[Total Kg]]*VLOOKUP(Calculations[[#This Row],[Waste 1]],WasteScenario[#All],3,FALSE),0)</f>
        <v>0</v>
      </c>
      <c r="AB768" s="322">
        <f>SUM(Calculations[[#This Row],[C3 recyc]:[C3 incin]])</f>
        <v>0</v>
      </c>
      <c r="AC768" s="334">
        <f>IFERROR((VLOOKUP(Calculations[[#This Row],[Waste type 2]],WasteLandfillEmissions[#All],2,FALSE))*Calculations[[#This Row],[Total Kg]]*VLOOKUP(Calculations[[#This Row],[Waste 1]],WasteScenario[#All],4,FALSE),0)</f>
        <v>0</v>
      </c>
      <c r="AD768" s="322">
        <f>IFERROR((VLOOKUP(Calculations[[#This Row],[Waste type 2]],WasteLandfillEmissions[#All],3,FALSE))*Calculations[[#This Row],[Total Kg]]*VLOOKUP(Calculations[[#This Row],[Waste 1]],WasteScenario[#All],4,FALSE),0)</f>
        <v>0</v>
      </c>
      <c r="AE768" s="322">
        <f>SUM(Calculations[[#This Row],[C4 landfill]:[C4 re-use]])</f>
        <v>0</v>
      </c>
      <c r="AF768" s="322">
        <f>IFERROR(VLOOKUP(Calculations[[#This Row],[Material (choose from dropdown]],MaterialData[#All],8,FALSE),0)</f>
        <v>0</v>
      </c>
      <c r="AG768" s="322">
        <f>IFERROR(Calculations[[#This Row],[Total Kg]]*Calculations[[#This Row],[Seq factor]],0)</f>
        <v>0</v>
      </c>
      <c r="AI768" s="322">
        <f>Calculations[[#This Row],[A1-3]]+Calculations[[#This Row],[A4]]+Calculations[[#This Row],[A5]]+Calculations[[#This Row],[B4]]+Calculations[[#This Row],[C2 total]]+Calculations[[#This Row],[C3 total]]+Calculations[[#This Row],[C4 total]]</f>
        <v>0</v>
      </c>
      <c r="AJ768" s="2">
        <f>IFERROR(VLOOKUP(Calculations[[#This Row],[Material (choose from dropdown]],MaterialData[[#Headers],[#Data]],9,FALSE),0)</f>
        <v>0</v>
      </c>
      <c r="AK768" s="4">
        <f>IFERROR(VLOOKUP(Calculations[[#This Row],[Material (choose from dropdown]],MaterialData[[#Headers],[#Data]],10,FALSE),0)</f>
        <v>0</v>
      </c>
      <c r="AL768" s="322">
        <f>IFERROR(Calculations[[#This Row],[Data Quality Score]]*Calculations[[#This Row],[Total Kg]],0)</f>
        <v>0</v>
      </c>
    </row>
    <row r="769" spans="1:38" x14ac:dyDescent="0.3">
      <c r="A769" s="6">
        <f>IFERROR(MaterialsBoQ[[#This Row],[Scope Element]],0)</f>
        <v>0</v>
      </c>
      <c r="B769" t="str">
        <f>IFERROR(MaterialsBoQ[[#This Row],[Material ]],"")</f>
        <v/>
      </c>
      <c r="C769" t="str">
        <f>IFERROR(MaterialsBoQ[[#This Row],[Unit]],"")</f>
        <v/>
      </c>
      <c r="D769" s="322">
        <f>IFERROR(MaterialsBoQ[[#This Row],[Number]],0)</f>
        <v>0</v>
      </c>
      <c r="E769" s="322">
        <f>IFERROR(MaterialsBoQ[[#This Row],[Kg per unit]],0)</f>
        <v>0</v>
      </c>
      <c r="F769" s="322">
        <f>IFERROR(Calculations[[#This Row],[Number]]*Calculations[[#This Row],[Conversion factor]],0)</f>
        <v>0</v>
      </c>
      <c r="G769" s="322">
        <f>IFERROR(VLOOKUP(Calculations[[#This Row],[Material (choose from dropdown]],MaterialData[#All],7,FALSE),0)</f>
        <v>0</v>
      </c>
      <c r="H769" s="322">
        <f>Calculations[[#This Row],[Total Kg]]*Calculations[[#This Row],[Carbon Factor]]</f>
        <v>0</v>
      </c>
      <c r="I769" t="str">
        <f>IFERROR(VLOOKUP(Calculations[[#This Row],[Material (choose from dropdown]],MaterialData[#All],2,FALSE),"")</f>
        <v/>
      </c>
      <c r="J769" s="322">
        <f>IFERROR(((VLOOKUP(Calculations[[#This Row],[TransportSource]],TransportDistance[],2,FALSE)*'Stage assumptions'!$C$11)+VLOOKUP(Calculations[[#This Row],[TransportSource]],TransportDistance[],3,FALSE)*'Stage assumptions'!$C$12)*Calculations[[#This Row],[Total Kg]],0)</f>
        <v>0</v>
      </c>
      <c r="K769">
        <f>IFERROR(VLOOKUP(Calculations[[#This Row],[Material (choose from dropdown]], MaterialData[#All],3, FALSE),0)</f>
        <v>0</v>
      </c>
      <c r="L769" s="322">
        <f>IFERROR(VLOOKUP(Calculations[[#This Row],[A5type]],A5WastageRate[#All],2,FALSE)*Calculations[[#This Row],[A1-3]],0)</f>
        <v>0</v>
      </c>
      <c r="N769">
        <f>IFERROR(ROUNDUP(50/VLOOKUP(Calculations[[#This Row],[Scope Element]],B4referenceServiceLife[[Tier 2 element]:[Default Service Life]],2, FALSE)-1,0),0)</f>
        <v>0</v>
      </c>
      <c r="O769" s="322">
        <f>IFERROR((Calculations[[#This Row],[A1-3]]+Calculations[[#This Row],[A4]]+Calculations[[#This Row],[A5]]+Calculations[[#This Row],[C2 total]]+Calculations[[#This Row],[C3 total]]+Calculations[[#This Row],[C4 total]])*Calculations[[#This Row],[Replacements]],0)</f>
        <v>0</v>
      </c>
      <c r="S769" t="str">
        <f>IFERROR(VLOOKUP(Calculations[[#This Row],[Material (choose from dropdown]],MaterialData[#All],4,FALSE),"")</f>
        <v/>
      </c>
      <c r="T769" s="322" cm="1">
        <f t="array" ref="T769">IFERROR(VLOOKUP(Calculations[[#This Row],[Waste 1]],WasteScenario[#All],2,FALSE)*'Stage assumptions'!$C$225*WasteTransportMethod[Emissions Factor
kgCO2e/kg.km]*Calculations[[#This Row],[Total Kg]],0)</f>
        <v>0</v>
      </c>
      <c r="U769" s="322" cm="1">
        <f t="array" ref="U769">IFERROR(VLOOKUP(Calculations[[#This Row],[Waste 1]],WasteScenario[#All],3,FALSE)*'Stage assumptions'!$C$224*WasteTransportMethod[Emissions Factor
kgCO2e/kg.km]*Calculations[[#This Row],[Total Kg]],0)</f>
        <v>0</v>
      </c>
      <c r="V769" s="322" cm="1">
        <f t="array" ref="V769">IFERROR(VLOOKUP(Calculations[[#This Row],[Waste 1]],WasteScenario[#All],4,FALSE)*'Stage assumptions'!$C$223*WasteTransportMethod[Emissions Factor
kgCO2e/kg.km]*Calculations[[#This Row],[Total Kg]],0)</f>
        <v>0</v>
      </c>
      <c r="W769" s="322" cm="1">
        <f t="array" ref="W769">IFERROR(VLOOKUP(Calculations[[#This Row],[Waste 1]],WasteScenario[#All],5,FALSE)*'Stage assumptions'!$C$226*WasteTransportMethod[Emissions Factor
kgCO2e/kg.km]*Calculations[[#This Row],[Total Kg]],0)</f>
        <v>0</v>
      </c>
      <c r="X769" s="322">
        <f>SUM(Calculations[[#This Row],[C2 Recycle]:[C2 Reuse]])</f>
        <v>0</v>
      </c>
      <c r="Y769" t="str">
        <f>IFERROR(VLOOKUP(Calculations[[#This Row],[Material (choose from dropdown]],MaterialData[#All],5,FALSE),"")</f>
        <v/>
      </c>
      <c r="Z769" s="322">
        <f>IFERROR(((VLOOKUP(Calculations[[#This Row],[Waste type 2]],WasteDisposalEmissions[#All],2,FALSE))*Calculations[[#This Row],[Total Kg]])*VLOOKUP(Calculations[[#This Row],[Waste 1]],WasteScenario[#All],2,FALSE),0)</f>
        <v>0</v>
      </c>
      <c r="AA769" s="322">
        <f>IFERROR((VLOOKUP(Calculations[[#This Row],[Waste type 2]],WasteDisposalEmissions[#All],3,FALSE))*Calculations[[#This Row],[Total Kg]]*VLOOKUP(Calculations[[#This Row],[Waste 1]],WasteScenario[#All],3,FALSE),0)</f>
        <v>0</v>
      </c>
      <c r="AB769" s="322">
        <f>SUM(Calculations[[#This Row],[C3 recyc]:[C3 incin]])</f>
        <v>0</v>
      </c>
      <c r="AC769" s="334">
        <f>IFERROR((VLOOKUP(Calculations[[#This Row],[Waste type 2]],WasteLandfillEmissions[#All],2,FALSE))*Calculations[[#This Row],[Total Kg]]*VLOOKUP(Calculations[[#This Row],[Waste 1]],WasteScenario[#All],4,FALSE),0)</f>
        <v>0</v>
      </c>
      <c r="AD769" s="322">
        <f>IFERROR((VLOOKUP(Calculations[[#This Row],[Waste type 2]],WasteLandfillEmissions[#All],3,FALSE))*Calculations[[#This Row],[Total Kg]]*VLOOKUP(Calculations[[#This Row],[Waste 1]],WasteScenario[#All],4,FALSE),0)</f>
        <v>0</v>
      </c>
      <c r="AE769" s="322">
        <f>SUM(Calculations[[#This Row],[C4 landfill]:[C4 re-use]])</f>
        <v>0</v>
      </c>
      <c r="AF769" s="322">
        <f>IFERROR(VLOOKUP(Calculations[[#This Row],[Material (choose from dropdown]],MaterialData[#All],8,FALSE),0)</f>
        <v>0</v>
      </c>
      <c r="AG769" s="322">
        <f>IFERROR(Calculations[[#This Row],[Total Kg]]*Calculations[[#This Row],[Seq factor]],0)</f>
        <v>0</v>
      </c>
      <c r="AI769" s="322">
        <f>Calculations[[#This Row],[A1-3]]+Calculations[[#This Row],[A4]]+Calculations[[#This Row],[A5]]+Calculations[[#This Row],[B4]]+Calculations[[#This Row],[C2 total]]+Calculations[[#This Row],[C3 total]]+Calculations[[#This Row],[C4 total]]</f>
        <v>0</v>
      </c>
      <c r="AJ769" s="2">
        <f>IFERROR(VLOOKUP(Calculations[[#This Row],[Material (choose from dropdown]],MaterialData[[#Headers],[#Data]],9,FALSE),0)</f>
        <v>0</v>
      </c>
      <c r="AK769" s="4">
        <f>IFERROR(VLOOKUP(Calculations[[#This Row],[Material (choose from dropdown]],MaterialData[[#Headers],[#Data]],10,FALSE),0)</f>
        <v>0</v>
      </c>
      <c r="AL769" s="322">
        <f>IFERROR(Calculations[[#This Row],[Data Quality Score]]*Calculations[[#This Row],[Total Kg]],0)</f>
        <v>0</v>
      </c>
    </row>
    <row r="770" spans="1:38" x14ac:dyDescent="0.3">
      <c r="A770" s="6">
        <f>IFERROR(MaterialsBoQ[[#This Row],[Scope Element]],0)</f>
        <v>0</v>
      </c>
      <c r="B770" t="str">
        <f>IFERROR(MaterialsBoQ[[#This Row],[Material ]],"")</f>
        <v/>
      </c>
      <c r="C770" t="str">
        <f>IFERROR(MaterialsBoQ[[#This Row],[Unit]],"")</f>
        <v/>
      </c>
      <c r="D770" s="322">
        <f>IFERROR(MaterialsBoQ[[#This Row],[Number]],0)</f>
        <v>0</v>
      </c>
      <c r="E770" s="322">
        <f>IFERROR(MaterialsBoQ[[#This Row],[Kg per unit]],0)</f>
        <v>0</v>
      </c>
      <c r="F770" s="322">
        <f>IFERROR(Calculations[[#This Row],[Number]]*Calculations[[#This Row],[Conversion factor]],0)</f>
        <v>0</v>
      </c>
      <c r="G770" s="322">
        <f>IFERROR(VLOOKUP(Calculations[[#This Row],[Material (choose from dropdown]],MaterialData[#All],7,FALSE),0)</f>
        <v>0</v>
      </c>
      <c r="H770" s="322">
        <f>Calculations[[#This Row],[Total Kg]]*Calculations[[#This Row],[Carbon Factor]]</f>
        <v>0</v>
      </c>
      <c r="I770" t="str">
        <f>IFERROR(VLOOKUP(Calculations[[#This Row],[Material (choose from dropdown]],MaterialData[#All],2,FALSE),"")</f>
        <v/>
      </c>
      <c r="J770" s="322">
        <f>IFERROR(((VLOOKUP(Calculations[[#This Row],[TransportSource]],TransportDistance[],2,FALSE)*'Stage assumptions'!$C$11)+VLOOKUP(Calculations[[#This Row],[TransportSource]],TransportDistance[],3,FALSE)*'Stage assumptions'!$C$12)*Calculations[[#This Row],[Total Kg]],0)</f>
        <v>0</v>
      </c>
      <c r="K770">
        <f>IFERROR(VLOOKUP(Calculations[[#This Row],[Material (choose from dropdown]], MaterialData[#All],3, FALSE),0)</f>
        <v>0</v>
      </c>
      <c r="L770" s="322">
        <f>IFERROR(VLOOKUP(Calculations[[#This Row],[A5type]],A5WastageRate[#All],2,FALSE)*Calculations[[#This Row],[A1-3]],0)</f>
        <v>0</v>
      </c>
      <c r="N770">
        <f>IFERROR(ROUNDUP(50/VLOOKUP(Calculations[[#This Row],[Scope Element]],B4referenceServiceLife[[Tier 2 element]:[Default Service Life]],2, FALSE)-1,0),0)</f>
        <v>0</v>
      </c>
      <c r="O770" s="322">
        <f>IFERROR((Calculations[[#This Row],[A1-3]]+Calculations[[#This Row],[A4]]+Calculations[[#This Row],[A5]]+Calculations[[#This Row],[C2 total]]+Calculations[[#This Row],[C3 total]]+Calculations[[#This Row],[C4 total]])*Calculations[[#This Row],[Replacements]],0)</f>
        <v>0</v>
      </c>
      <c r="S770" t="str">
        <f>IFERROR(VLOOKUP(Calculations[[#This Row],[Material (choose from dropdown]],MaterialData[#All],4,FALSE),"")</f>
        <v/>
      </c>
      <c r="T770" s="322" cm="1">
        <f t="array" ref="T770">IFERROR(VLOOKUP(Calculations[[#This Row],[Waste 1]],WasteScenario[#All],2,FALSE)*'Stage assumptions'!$C$225*WasteTransportMethod[Emissions Factor
kgCO2e/kg.km]*Calculations[[#This Row],[Total Kg]],0)</f>
        <v>0</v>
      </c>
      <c r="U770" s="322" cm="1">
        <f t="array" ref="U770">IFERROR(VLOOKUP(Calculations[[#This Row],[Waste 1]],WasteScenario[#All],3,FALSE)*'Stage assumptions'!$C$224*WasteTransportMethod[Emissions Factor
kgCO2e/kg.km]*Calculations[[#This Row],[Total Kg]],0)</f>
        <v>0</v>
      </c>
      <c r="V770" s="322" cm="1">
        <f t="array" ref="V770">IFERROR(VLOOKUP(Calculations[[#This Row],[Waste 1]],WasteScenario[#All],4,FALSE)*'Stage assumptions'!$C$223*WasteTransportMethod[Emissions Factor
kgCO2e/kg.km]*Calculations[[#This Row],[Total Kg]],0)</f>
        <v>0</v>
      </c>
      <c r="W770" s="322" cm="1">
        <f t="array" ref="W770">IFERROR(VLOOKUP(Calculations[[#This Row],[Waste 1]],WasteScenario[#All],5,FALSE)*'Stage assumptions'!$C$226*WasteTransportMethod[Emissions Factor
kgCO2e/kg.km]*Calculations[[#This Row],[Total Kg]],0)</f>
        <v>0</v>
      </c>
      <c r="X770" s="322">
        <f>SUM(Calculations[[#This Row],[C2 Recycle]:[C2 Reuse]])</f>
        <v>0</v>
      </c>
      <c r="Y770" t="str">
        <f>IFERROR(VLOOKUP(Calculations[[#This Row],[Material (choose from dropdown]],MaterialData[#All],5,FALSE),"")</f>
        <v/>
      </c>
      <c r="Z770" s="322">
        <f>IFERROR(((VLOOKUP(Calculations[[#This Row],[Waste type 2]],WasteDisposalEmissions[#All],2,FALSE))*Calculations[[#This Row],[Total Kg]])*VLOOKUP(Calculations[[#This Row],[Waste 1]],WasteScenario[#All],2,FALSE),0)</f>
        <v>0</v>
      </c>
      <c r="AA770" s="322">
        <f>IFERROR((VLOOKUP(Calculations[[#This Row],[Waste type 2]],WasteDisposalEmissions[#All],3,FALSE))*Calculations[[#This Row],[Total Kg]]*VLOOKUP(Calculations[[#This Row],[Waste 1]],WasteScenario[#All],3,FALSE),0)</f>
        <v>0</v>
      </c>
      <c r="AB770" s="322">
        <f>SUM(Calculations[[#This Row],[C3 recyc]:[C3 incin]])</f>
        <v>0</v>
      </c>
      <c r="AC770" s="334">
        <f>IFERROR((VLOOKUP(Calculations[[#This Row],[Waste type 2]],WasteLandfillEmissions[#All],2,FALSE))*Calculations[[#This Row],[Total Kg]]*VLOOKUP(Calculations[[#This Row],[Waste 1]],WasteScenario[#All],4,FALSE),0)</f>
        <v>0</v>
      </c>
      <c r="AD770" s="322">
        <f>IFERROR((VLOOKUP(Calculations[[#This Row],[Waste type 2]],WasteLandfillEmissions[#All],3,FALSE))*Calculations[[#This Row],[Total Kg]]*VLOOKUP(Calculations[[#This Row],[Waste 1]],WasteScenario[#All],4,FALSE),0)</f>
        <v>0</v>
      </c>
      <c r="AE770" s="322">
        <f>SUM(Calculations[[#This Row],[C4 landfill]:[C4 re-use]])</f>
        <v>0</v>
      </c>
      <c r="AF770" s="322">
        <f>IFERROR(VLOOKUP(Calculations[[#This Row],[Material (choose from dropdown]],MaterialData[#All],8,FALSE),0)</f>
        <v>0</v>
      </c>
      <c r="AG770" s="322">
        <f>IFERROR(Calculations[[#This Row],[Total Kg]]*Calculations[[#This Row],[Seq factor]],0)</f>
        <v>0</v>
      </c>
      <c r="AI770" s="322">
        <f>Calculations[[#This Row],[A1-3]]+Calculations[[#This Row],[A4]]+Calculations[[#This Row],[A5]]+Calculations[[#This Row],[B4]]+Calculations[[#This Row],[C2 total]]+Calculations[[#This Row],[C3 total]]+Calculations[[#This Row],[C4 total]]</f>
        <v>0</v>
      </c>
      <c r="AJ770" s="2">
        <f>IFERROR(VLOOKUP(Calculations[[#This Row],[Material (choose from dropdown]],MaterialData[[#Headers],[#Data]],9,FALSE),0)</f>
        <v>0</v>
      </c>
      <c r="AK770" s="4">
        <f>IFERROR(VLOOKUP(Calculations[[#This Row],[Material (choose from dropdown]],MaterialData[[#Headers],[#Data]],10,FALSE),0)</f>
        <v>0</v>
      </c>
      <c r="AL770" s="322">
        <f>IFERROR(Calculations[[#This Row],[Data Quality Score]]*Calculations[[#This Row],[Total Kg]],0)</f>
        <v>0</v>
      </c>
    </row>
    <row r="771" spans="1:38" x14ac:dyDescent="0.3">
      <c r="A771" s="6">
        <f>IFERROR(MaterialsBoQ[[#This Row],[Scope Element]],0)</f>
        <v>0</v>
      </c>
      <c r="B771" t="str">
        <f>IFERROR(MaterialsBoQ[[#This Row],[Material ]],"")</f>
        <v/>
      </c>
      <c r="C771" t="str">
        <f>IFERROR(MaterialsBoQ[[#This Row],[Unit]],"")</f>
        <v/>
      </c>
      <c r="D771" s="322">
        <f>IFERROR(MaterialsBoQ[[#This Row],[Number]],0)</f>
        <v>0</v>
      </c>
      <c r="E771" s="322">
        <f>IFERROR(MaterialsBoQ[[#This Row],[Kg per unit]],0)</f>
        <v>0</v>
      </c>
      <c r="F771" s="322">
        <f>IFERROR(Calculations[[#This Row],[Number]]*Calculations[[#This Row],[Conversion factor]],0)</f>
        <v>0</v>
      </c>
      <c r="G771" s="322">
        <f>IFERROR(VLOOKUP(Calculations[[#This Row],[Material (choose from dropdown]],MaterialData[#All],7,FALSE),0)</f>
        <v>0</v>
      </c>
      <c r="H771" s="322">
        <f>Calculations[[#This Row],[Total Kg]]*Calculations[[#This Row],[Carbon Factor]]</f>
        <v>0</v>
      </c>
      <c r="I771" t="str">
        <f>IFERROR(VLOOKUP(Calculations[[#This Row],[Material (choose from dropdown]],MaterialData[#All],2,FALSE),"")</f>
        <v/>
      </c>
      <c r="J771" s="322">
        <f>IFERROR(((VLOOKUP(Calculations[[#This Row],[TransportSource]],TransportDistance[],2,FALSE)*'Stage assumptions'!$C$11)+VLOOKUP(Calculations[[#This Row],[TransportSource]],TransportDistance[],3,FALSE)*'Stage assumptions'!$C$12)*Calculations[[#This Row],[Total Kg]],0)</f>
        <v>0</v>
      </c>
      <c r="K771">
        <f>IFERROR(VLOOKUP(Calculations[[#This Row],[Material (choose from dropdown]], MaterialData[#All],3, FALSE),0)</f>
        <v>0</v>
      </c>
      <c r="L771" s="322">
        <f>IFERROR(VLOOKUP(Calculations[[#This Row],[A5type]],A5WastageRate[#All],2,FALSE)*Calculations[[#This Row],[A1-3]],0)</f>
        <v>0</v>
      </c>
      <c r="N771">
        <f>IFERROR(ROUNDUP(50/VLOOKUP(Calculations[[#This Row],[Scope Element]],B4referenceServiceLife[[Tier 2 element]:[Default Service Life]],2, FALSE)-1,0),0)</f>
        <v>0</v>
      </c>
      <c r="O771" s="322">
        <f>IFERROR((Calculations[[#This Row],[A1-3]]+Calculations[[#This Row],[A4]]+Calculations[[#This Row],[A5]]+Calculations[[#This Row],[C2 total]]+Calculations[[#This Row],[C3 total]]+Calculations[[#This Row],[C4 total]])*Calculations[[#This Row],[Replacements]],0)</f>
        <v>0</v>
      </c>
      <c r="S771" t="str">
        <f>IFERROR(VLOOKUP(Calculations[[#This Row],[Material (choose from dropdown]],MaterialData[#All],4,FALSE),"")</f>
        <v/>
      </c>
      <c r="T771" s="322" cm="1">
        <f t="array" ref="T771">IFERROR(VLOOKUP(Calculations[[#This Row],[Waste 1]],WasteScenario[#All],2,FALSE)*'Stage assumptions'!$C$225*WasteTransportMethod[Emissions Factor
kgCO2e/kg.km]*Calculations[[#This Row],[Total Kg]],0)</f>
        <v>0</v>
      </c>
      <c r="U771" s="322" cm="1">
        <f t="array" ref="U771">IFERROR(VLOOKUP(Calculations[[#This Row],[Waste 1]],WasteScenario[#All],3,FALSE)*'Stage assumptions'!$C$224*WasteTransportMethod[Emissions Factor
kgCO2e/kg.km]*Calculations[[#This Row],[Total Kg]],0)</f>
        <v>0</v>
      </c>
      <c r="V771" s="322" cm="1">
        <f t="array" ref="V771">IFERROR(VLOOKUP(Calculations[[#This Row],[Waste 1]],WasteScenario[#All],4,FALSE)*'Stage assumptions'!$C$223*WasteTransportMethod[Emissions Factor
kgCO2e/kg.km]*Calculations[[#This Row],[Total Kg]],0)</f>
        <v>0</v>
      </c>
      <c r="W771" s="322" cm="1">
        <f t="array" ref="W771">IFERROR(VLOOKUP(Calculations[[#This Row],[Waste 1]],WasteScenario[#All],5,FALSE)*'Stage assumptions'!$C$226*WasteTransportMethod[Emissions Factor
kgCO2e/kg.km]*Calculations[[#This Row],[Total Kg]],0)</f>
        <v>0</v>
      </c>
      <c r="X771" s="322">
        <f>SUM(Calculations[[#This Row],[C2 Recycle]:[C2 Reuse]])</f>
        <v>0</v>
      </c>
      <c r="Y771" t="str">
        <f>IFERROR(VLOOKUP(Calculations[[#This Row],[Material (choose from dropdown]],MaterialData[#All],5,FALSE),"")</f>
        <v/>
      </c>
      <c r="Z771" s="322">
        <f>IFERROR(((VLOOKUP(Calculations[[#This Row],[Waste type 2]],WasteDisposalEmissions[#All],2,FALSE))*Calculations[[#This Row],[Total Kg]])*VLOOKUP(Calculations[[#This Row],[Waste 1]],WasteScenario[#All],2,FALSE),0)</f>
        <v>0</v>
      </c>
      <c r="AA771" s="322">
        <f>IFERROR((VLOOKUP(Calculations[[#This Row],[Waste type 2]],WasteDisposalEmissions[#All],3,FALSE))*Calculations[[#This Row],[Total Kg]]*VLOOKUP(Calculations[[#This Row],[Waste 1]],WasteScenario[#All],3,FALSE),0)</f>
        <v>0</v>
      </c>
      <c r="AB771" s="322">
        <f>SUM(Calculations[[#This Row],[C3 recyc]:[C3 incin]])</f>
        <v>0</v>
      </c>
      <c r="AC771" s="334">
        <f>IFERROR((VLOOKUP(Calculations[[#This Row],[Waste type 2]],WasteLandfillEmissions[#All],2,FALSE))*Calculations[[#This Row],[Total Kg]]*VLOOKUP(Calculations[[#This Row],[Waste 1]],WasteScenario[#All],4,FALSE),0)</f>
        <v>0</v>
      </c>
      <c r="AD771" s="322">
        <f>IFERROR((VLOOKUP(Calculations[[#This Row],[Waste type 2]],WasteLandfillEmissions[#All],3,FALSE))*Calculations[[#This Row],[Total Kg]]*VLOOKUP(Calculations[[#This Row],[Waste 1]],WasteScenario[#All],4,FALSE),0)</f>
        <v>0</v>
      </c>
      <c r="AE771" s="322">
        <f>SUM(Calculations[[#This Row],[C4 landfill]:[C4 re-use]])</f>
        <v>0</v>
      </c>
      <c r="AF771" s="322">
        <f>IFERROR(VLOOKUP(Calculations[[#This Row],[Material (choose from dropdown]],MaterialData[#All],8,FALSE),0)</f>
        <v>0</v>
      </c>
      <c r="AG771" s="322">
        <f>IFERROR(Calculations[[#This Row],[Total Kg]]*Calculations[[#This Row],[Seq factor]],0)</f>
        <v>0</v>
      </c>
      <c r="AI771" s="322">
        <f>Calculations[[#This Row],[A1-3]]+Calculations[[#This Row],[A4]]+Calculations[[#This Row],[A5]]+Calculations[[#This Row],[B4]]+Calculations[[#This Row],[C2 total]]+Calculations[[#This Row],[C3 total]]+Calculations[[#This Row],[C4 total]]</f>
        <v>0</v>
      </c>
      <c r="AJ771" s="2">
        <f>IFERROR(VLOOKUP(Calculations[[#This Row],[Material (choose from dropdown]],MaterialData[[#Headers],[#Data]],9,FALSE),0)</f>
        <v>0</v>
      </c>
      <c r="AK771" s="4">
        <f>IFERROR(VLOOKUP(Calculations[[#This Row],[Material (choose from dropdown]],MaterialData[[#Headers],[#Data]],10,FALSE),0)</f>
        <v>0</v>
      </c>
      <c r="AL771" s="322">
        <f>IFERROR(Calculations[[#This Row],[Data Quality Score]]*Calculations[[#This Row],[Total Kg]],0)</f>
        <v>0</v>
      </c>
    </row>
    <row r="772" spans="1:38" x14ac:dyDescent="0.3">
      <c r="A772" s="6">
        <f>IFERROR(MaterialsBoQ[[#This Row],[Scope Element]],0)</f>
        <v>0</v>
      </c>
      <c r="B772" t="str">
        <f>IFERROR(MaterialsBoQ[[#This Row],[Material ]],"")</f>
        <v/>
      </c>
      <c r="C772" t="str">
        <f>IFERROR(MaterialsBoQ[[#This Row],[Unit]],"")</f>
        <v/>
      </c>
      <c r="D772" s="322">
        <f>IFERROR(MaterialsBoQ[[#This Row],[Number]],0)</f>
        <v>0</v>
      </c>
      <c r="E772" s="322">
        <f>IFERROR(MaterialsBoQ[[#This Row],[Kg per unit]],0)</f>
        <v>0</v>
      </c>
      <c r="F772" s="322">
        <f>IFERROR(Calculations[[#This Row],[Number]]*Calculations[[#This Row],[Conversion factor]],0)</f>
        <v>0</v>
      </c>
      <c r="G772" s="322">
        <f>IFERROR(VLOOKUP(Calculations[[#This Row],[Material (choose from dropdown]],MaterialData[#All],7,FALSE),0)</f>
        <v>0</v>
      </c>
      <c r="H772" s="322">
        <f>Calculations[[#This Row],[Total Kg]]*Calculations[[#This Row],[Carbon Factor]]</f>
        <v>0</v>
      </c>
      <c r="I772" t="str">
        <f>IFERROR(VLOOKUP(Calculations[[#This Row],[Material (choose from dropdown]],MaterialData[#All],2,FALSE),"")</f>
        <v/>
      </c>
      <c r="J772" s="322">
        <f>IFERROR(((VLOOKUP(Calculations[[#This Row],[TransportSource]],TransportDistance[],2,FALSE)*'Stage assumptions'!$C$11)+VLOOKUP(Calculations[[#This Row],[TransportSource]],TransportDistance[],3,FALSE)*'Stage assumptions'!$C$12)*Calculations[[#This Row],[Total Kg]],0)</f>
        <v>0</v>
      </c>
      <c r="K772">
        <f>IFERROR(VLOOKUP(Calculations[[#This Row],[Material (choose from dropdown]], MaterialData[#All],3, FALSE),0)</f>
        <v>0</v>
      </c>
      <c r="L772" s="322">
        <f>IFERROR(VLOOKUP(Calculations[[#This Row],[A5type]],A5WastageRate[#All],2,FALSE)*Calculations[[#This Row],[A1-3]],0)</f>
        <v>0</v>
      </c>
      <c r="N772">
        <f>IFERROR(ROUNDUP(50/VLOOKUP(Calculations[[#This Row],[Scope Element]],B4referenceServiceLife[[Tier 2 element]:[Default Service Life]],2, FALSE)-1,0),0)</f>
        <v>0</v>
      </c>
      <c r="O772" s="322">
        <f>IFERROR((Calculations[[#This Row],[A1-3]]+Calculations[[#This Row],[A4]]+Calculations[[#This Row],[A5]]+Calculations[[#This Row],[C2 total]]+Calculations[[#This Row],[C3 total]]+Calculations[[#This Row],[C4 total]])*Calculations[[#This Row],[Replacements]],0)</f>
        <v>0</v>
      </c>
      <c r="S772" t="str">
        <f>IFERROR(VLOOKUP(Calculations[[#This Row],[Material (choose from dropdown]],MaterialData[#All],4,FALSE),"")</f>
        <v/>
      </c>
      <c r="T772" s="322" cm="1">
        <f t="array" ref="T772">IFERROR(VLOOKUP(Calculations[[#This Row],[Waste 1]],WasteScenario[#All],2,FALSE)*'Stage assumptions'!$C$225*WasteTransportMethod[Emissions Factor
kgCO2e/kg.km]*Calculations[[#This Row],[Total Kg]],0)</f>
        <v>0</v>
      </c>
      <c r="U772" s="322" cm="1">
        <f t="array" ref="U772">IFERROR(VLOOKUP(Calculations[[#This Row],[Waste 1]],WasteScenario[#All],3,FALSE)*'Stage assumptions'!$C$224*WasteTransportMethod[Emissions Factor
kgCO2e/kg.km]*Calculations[[#This Row],[Total Kg]],0)</f>
        <v>0</v>
      </c>
      <c r="V772" s="322" cm="1">
        <f t="array" ref="V772">IFERROR(VLOOKUP(Calculations[[#This Row],[Waste 1]],WasteScenario[#All],4,FALSE)*'Stage assumptions'!$C$223*WasteTransportMethod[Emissions Factor
kgCO2e/kg.km]*Calculations[[#This Row],[Total Kg]],0)</f>
        <v>0</v>
      </c>
      <c r="W772" s="322" cm="1">
        <f t="array" ref="W772">IFERROR(VLOOKUP(Calculations[[#This Row],[Waste 1]],WasteScenario[#All],5,FALSE)*'Stage assumptions'!$C$226*WasteTransportMethod[Emissions Factor
kgCO2e/kg.km]*Calculations[[#This Row],[Total Kg]],0)</f>
        <v>0</v>
      </c>
      <c r="X772" s="322">
        <f>SUM(Calculations[[#This Row],[C2 Recycle]:[C2 Reuse]])</f>
        <v>0</v>
      </c>
      <c r="Y772" t="str">
        <f>IFERROR(VLOOKUP(Calculations[[#This Row],[Material (choose from dropdown]],MaterialData[#All],5,FALSE),"")</f>
        <v/>
      </c>
      <c r="Z772" s="322">
        <f>IFERROR(((VLOOKUP(Calculations[[#This Row],[Waste type 2]],WasteDisposalEmissions[#All],2,FALSE))*Calculations[[#This Row],[Total Kg]])*VLOOKUP(Calculations[[#This Row],[Waste 1]],WasteScenario[#All],2,FALSE),0)</f>
        <v>0</v>
      </c>
      <c r="AA772" s="322">
        <f>IFERROR((VLOOKUP(Calculations[[#This Row],[Waste type 2]],WasteDisposalEmissions[#All],3,FALSE))*Calculations[[#This Row],[Total Kg]]*VLOOKUP(Calculations[[#This Row],[Waste 1]],WasteScenario[#All],3,FALSE),0)</f>
        <v>0</v>
      </c>
      <c r="AB772" s="322">
        <f>SUM(Calculations[[#This Row],[C3 recyc]:[C3 incin]])</f>
        <v>0</v>
      </c>
      <c r="AC772" s="334">
        <f>IFERROR((VLOOKUP(Calculations[[#This Row],[Waste type 2]],WasteLandfillEmissions[#All],2,FALSE))*Calculations[[#This Row],[Total Kg]]*VLOOKUP(Calculations[[#This Row],[Waste 1]],WasteScenario[#All],4,FALSE),0)</f>
        <v>0</v>
      </c>
      <c r="AD772" s="322">
        <f>IFERROR((VLOOKUP(Calculations[[#This Row],[Waste type 2]],WasteLandfillEmissions[#All],3,FALSE))*Calculations[[#This Row],[Total Kg]]*VLOOKUP(Calculations[[#This Row],[Waste 1]],WasteScenario[#All],4,FALSE),0)</f>
        <v>0</v>
      </c>
      <c r="AE772" s="322">
        <f>SUM(Calculations[[#This Row],[C4 landfill]:[C4 re-use]])</f>
        <v>0</v>
      </c>
      <c r="AF772" s="322">
        <f>IFERROR(VLOOKUP(Calculations[[#This Row],[Material (choose from dropdown]],MaterialData[#All],8,FALSE),0)</f>
        <v>0</v>
      </c>
      <c r="AG772" s="322">
        <f>IFERROR(Calculations[[#This Row],[Total Kg]]*Calculations[[#This Row],[Seq factor]],0)</f>
        <v>0</v>
      </c>
      <c r="AI772" s="322">
        <f>Calculations[[#This Row],[A1-3]]+Calculations[[#This Row],[A4]]+Calculations[[#This Row],[A5]]+Calculations[[#This Row],[B4]]+Calculations[[#This Row],[C2 total]]+Calculations[[#This Row],[C3 total]]+Calculations[[#This Row],[C4 total]]</f>
        <v>0</v>
      </c>
      <c r="AJ772" s="2">
        <f>IFERROR(VLOOKUP(Calculations[[#This Row],[Material (choose from dropdown]],MaterialData[[#Headers],[#Data]],9,FALSE),0)</f>
        <v>0</v>
      </c>
      <c r="AK772" s="4">
        <f>IFERROR(VLOOKUP(Calculations[[#This Row],[Material (choose from dropdown]],MaterialData[[#Headers],[#Data]],10,FALSE),0)</f>
        <v>0</v>
      </c>
      <c r="AL772" s="322">
        <f>IFERROR(Calculations[[#This Row],[Data Quality Score]]*Calculations[[#This Row],[Total Kg]],0)</f>
        <v>0</v>
      </c>
    </row>
    <row r="773" spans="1:38" x14ac:dyDescent="0.3">
      <c r="A773" s="6">
        <f>IFERROR(MaterialsBoQ[[#This Row],[Scope Element]],0)</f>
        <v>0</v>
      </c>
      <c r="B773" t="str">
        <f>IFERROR(MaterialsBoQ[[#This Row],[Material ]],"")</f>
        <v/>
      </c>
      <c r="C773" t="str">
        <f>IFERROR(MaterialsBoQ[[#This Row],[Unit]],"")</f>
        <v/>
      </c>
      <c r="D773" s="322">
        <f>IFERROR(MaterialsBoQ[[#This Row],[Number]],0)</f>
        <v>0</v>
      </c>
      <c r="E773" s="322">
        <f>IFERROR(MaterialsBoQ[[#This Row],[Kg per unit]],0)</f>
        <v>0</v>
      </c>
      <c r="F773" s="322">
        <f>IFERROR(Calculations[[#This Row],[Number]]*Calculations[[#This Row],[Conversion factor]],0)</f>
        <v>0</v>
      </c>
      <c r="G773" s="322">
        <f>IFERROR(VLOOKUP(Calculations[[#This Row],[Material (choose from dropdown]],MaterialData[#All],7,FALSE),0)</f>
        <v>0</v>
      </c>
      <c r="H773" s="322">
        <f>Calculations[[#This Row],[Total Kg]]*Calculations[[#This Row],[Carbon Factor]]</f>
        <v>0</v>
      </c>
      <c r="I773" t="str">
        <f>IFERROR(VLOOKUP(Calculations[[#This Row],[Material (choose from dropdown]],MaterialData[#All],2,FALSE),"")</f>
        <v/>
      </c>
      <c r="J773" s="322">
        <f>IFERROR(((VLOOKUP(Calculations[[#This Row],[TransportSource]],TransportDistance[],2,FALSE)*'Stage assumptions'!$C$11)+VLOOKUP(Calculations[[#This Row],[TransportSource]],TransportDistance[],3,FALSE)*'Stage assumptions'!$C$12)*Calculations[[#This Row],[Total Kg]],0)</f>
        <v>0</v>
      </c>
      <c r="K773">
        <f>IFERROR(VLOOKUP(Calculations[[#This Row],[Material (choose from dropdown]], MaterialData[#All],3, FALSE),0)</f>
        <v>0</v>
      </c>
      <c r="L773" s="322">
        <f>IFERROR(VLOOKUP(Calculations[[#This Row],[A5type]],A5WastageRate[#All],2,FALSE)*Calculations[[#This Row],[A1-3]],0)</f>
        <v>0</v>
      </c>
      <c r="N773">
        <f>IFERROR(ROUNDUP(50/VLOOKUP(Calculations[[#This Row],[Scope Element]],B4referenceServiceLife[[Tier 2 element]:[Default Service Life]],2, FALSE)-1,0),0)</f>
        <v>0</v>
      </c>
      <c r="O773" s="322">
        <f>IFERROR((Calculations[[#This Row],[A1-3]]+Calculations[[#This Row],[A4]]+Calculations[[#This Row],[A5]]+Calculations[[#This Row],[C2 total]]+Calculations[[#This Row],[C3 total]]+Calculations[[#This Row],[C4 total]])*Calculations[[#This Row],[Replacements]],0)</f>
        <v>0</v>
      </c>
      <c r="S773" t="str">
        <f>IFERROR(VLOOKUP(Calculations[[#This Row],[Material (choose from dropdown]],MaterialData[#All],4,FALSE),"")</f>
        <v/>
      </c>
      <c r="T773" s="322" cm="1">
        <f t="array" ref="T773">IFERROR(VLOOKUP(Calculations[[#This Row],[Waste 1]],WasteScenario[#All],2,FALSE)*'Stage assumptions'!$C$225*WasteTransportMethod[Emissions Factor
kgCO2e/kg.km]*Calculations[[#This Row],[Total Kg]],0)</f>
        <v>0</v>
      </c>
      <c r="U773" s="322" cm="1">
        <f t="array" ref="U773">IFERROR(VLOOKUP(Calculations[[#This Row],[Waste 1]],WasteScenario[#All],3,FALSE)*'Stage assumptions'!$C$224*WasteTransportMethod[Emissions Factor
kgCO2e/kg.km]*Calculations[[#This Row],[Total Kg]],0)</f>
        <v>0</v>
      </c>
      <c r="V773" s="322" cm="1">
        <f t="array" ref="V773">IFERROR(VLOOKUP(Calculations[[#This Row],[Waste 1]],WasteScenario[#All],4,FALSE)*'Stage assumptions'!$C$223*WasteTransportMethod[Emissions Factor
kgCO2e/kg.km]*Calculations[[#This Row],[Total Kg]],0)</f>
        <v>0</v>
      </c>
      <c r="W773" s="322" cm="1">
        <f t="array" ref="W773">IFERROR(VLOOKUP(Calculations[[#This Row],[Waste 1]],WasteScenario[#All],5,FALSE)*'Stage assumptions'!$C$226*WasteTransportMethod[Emissions Factor
kgCO2e/kg.km]*Calculations[[#This Row],[Total Kg]],0)</f>
        <v>0</v>
      </c>
      <c r="X773" s="322">
        <f>SUM(Calculations[[#This Row],[C2 Recycle]:[C2 Reuse]])</f>
        <v>0</v>
      </c>
      <c r="Y773" t="str">
        <f>IFERROR(VLOOKUP(Calculations[[#This Row],[Material (choose from dropdown]],MaterialData[#All],5,FALSE),"")</f>
        <v/>
      </c>
      <c r="Z773" s="322">
        <f>IFERROR(((VLOOKUP(Calculations[[#This Row],[Waste type 2]],WasteDisposalEmissions[#All],2,FALSE))*Calculations[[#This Row],[Total Kg]])*VLOOKUP(Calculations[[#This Row],[Waste 1]],WasteScenario[#All],2,FALSE),0)</f>
        <v>0</v>
      </c>
      <c r="AA773" s="322">
        <f>IFERROR((VLOOKUP(Calculations[[#This Row],[Waste type 2]],WasteDisposalEmissions[#All],3,FALSE))*Calculations[[#This Row],[Total Kg]]*VLOOKUP(Calculations[[#This Row],[Waste 1]],WasteScenario[#All],3,FALSE),0)</f>
        <v>0</v>
      </c>
      <c r="AB773" s="322">
        <f>SUM(Calculations[[#This Row],[C3 recyc]:[C3 incin]])</f>
        <v>0</v>
      </c>
      <c r="AC773" s="334">
        <f>IFERROR((VLOOKUP(Calculations[[#This Row],[Waste type 2]],WasteLandfillEmissions[#All],2,FALSE))*Calculations[[#This Row],[Total Kg]]*VLOOKUP(Calculations[[#This Row],[Waste 1]],WasteScenario[#All],4,FALSE),0)</f>
        <v>0</v>
      </c>
      <c r="AD773" s="322">
        <f>IFERROR((VLOOKUP(Calculations[[#This Row],[Waste type 2]],WasteLandfillEmissions[#All],3,FALSE))*Calculations[[#This Row],[Total Kg]]*VLOOKUP(Calculations[[#This Row],[Waste 1]],WasteScenario[#All],4,FALSE),0)</f>
        <v>0</v>
      </c>
      <c r="AE773" s="322">
        <f>SUM(Calculations[[#This Row],[C4 landfill]:[C4 re-use]])</f>
        <v>0</v>
      </c>
      <c r="AF773" s="322">
        <f>IFERROR(VLOOKUP(Calculations[[#This Row],[Material (choose from dropdown]],MaterialData[#All],8,FALSE),0)</f>
        <v>0</v>
      </c>
      <c r="AG773" s="322">
        <f>IFERROR(Calculations[[#This Row],[Total Kg]]*Calculations[[#This Row],[Seq factor]],0)</f>
        <v>0</v>
      </c>
      <c r="AI773" s="322">
        <f>Calculations[[#This Row],[A1-3]]+Calculations[[#This Row],[A4]]+Calculations[[#This Row],[A5]]+Calculations[[#This Row],[B4]]+Calculations[[#This Row],[C2 total]]+Calculations[[#This Row],[C3 total]]+Calculations[[#This Row],[C4 total]]</f>
        <v>0</v>
      </c>
      <c r="AJ773" s="2">
        <f>IFERROR(VLOOKUP(Calculations[[#This Row],[Material (choose from dropdown]],MaterialData[[#Headers],[#Data]],9,FALSE),0)</f>
        <v>0</v>
      </c>
      <c r="AK773" s="4">
        <f>IFERROR(VLOOKUP(Calculations[[#This Row],[Material (choose from dropdown]],MaterialData[[#Headers],[#Data]],10,FALSE),0)</f>
        <v>0</v>
      </c>
      <c r="AL773" s="322">
        <f>IFERROR(Calculations[[#This Row],[Data Quality Score]]*Calculations[[#This Row],[Total Kg]],0)</f>
        <v>0</v>
      </c>
    </row>
    <row r="774" spans="1:38" x14ac:dyDescent="0.3">
      <c r="A774" s="6">
        <f>IFERROR(MaterialsBoQ[[#This Row],[Scope Element]],0)</f>
        <v>0</v>
      </c>
      <c r="B774" t="str">
        <f>IFERROR(MaterialsBoQ[[#This Row],[Material ]],"")</f>
        <v/>
      </c>
      <c r="C774" t="str">
        <f>IFERROR(MaterialsBoQ[[#This Row],[Unit]],"")</f>
        <v/>
      </c>
      <c r="D774" s="322">
        <f>IFERROR(MaterialsBoQ[[#This Row],[Number]],0)</f>
        <v>0</v>
      </c>
      <c r="E774" s="322">
        <f>IFERROR(MaterialsBoQ[[#This Row],[Kg per unit]],0)</f>
        <v>0</v>
      </c>
      <c r="F774" s="322">
        <f>IFERROR(Calculations[[#This Row],[Number]]*Calculations[[#This Row],[Conversion factor]],0)</f>
        <v>0</v>
      </c>
      <c r="G774" s="322">
        <f>IFERROR(VLOOKUP(Calculations[[#This Row],[Material (choose from dropdown]],MaterialData[#All],7,FALSE),0)</f>
        <v>0</v>
      </c>
      <c r="H774" s="322">
        <f>Calculations[[#This Row],[Total Kg]]*Calculations[[#This Row],[Carbon Factor]]</f>
        <v>0</v>
      </c>
      <c r="I774" t="str">
        <f>IFERROR(VLOOKUP(Calculations[[#This Row],[Material (choose from dropdown]],MaterialData[#All],2,FALSE),"")</f>
        <v/>
      </c>
      <c r="J774" s="322">
        <f>IFERROR(((VLOOKUP(Calculations[[#This Row],[TransportSource]],TransportDistance[],2,FALSE)*'Stage assumptions'!$C$11)+VLOOKUP(Calculations[[#This Row],[TransportSource]],TransportDistance[],3,FALSE)*'Stage assumptions'!$C$12)*Calculations[[#This Row],[Total Kg]],0)</f>
        <v>0</v>
      </c>
      <c r="K774">
        <f>IFERROR(VLOOKUP(Calculations[[#This Row],[Material (choose from dropdown]], MaterialData[#All],3, FALSE),0)</f>
        <v>0</v>
      </c>
      <c r="L774" s="322">
        <f>IFERROR(VLOOKUP(Calculations[[#This Row],[A5type]],A5WastageRate[#All],2,FALSE)*Calculations[[#This Row],[A1-3]],0)</f>
        <v>0</v>
      </c>
      <c r="N774">
        <f>IFERROR(ROUNDUP(50/VLOOKUP(Calculations[[#This Row],[Scope Element]],B4referenceServiceLife[[Tier 2 element]:[Default Service Life]],2, FALSE)-1,0),0)</f>
        <v>0</v>
      </c>
      <c r="O774" s="322">
        <f>IFERROR((Calculations[[#This Row],[A1-3]]+Calculations[[#This Row],[A4]]+Calculations[[#This Row],[A5]]+Calculations[[#This Row],[C2 total]]+Calculations[[#This Row],[C3 total]]+Calculations[[#This Row],[C4 total]])*Calculations[[#This Row],[Replacements]],0)</f>
        <v>0</v>
      </c>
      <c r="S774" t="str">
        <f>IFERROR(VLOOKUP(Calculations[[#This Row],[Material (choose from dropdown]],MaterialData[#All],4,FALSE),"")</f>
        <v/>
      </c>
      <c r="T774" s="322" cm="1">
        <f t="array" ref="T774">IFERROR(VLOOKUP(Calculations[[#This Row],[Waste 1]],WasteScenario[#All],2,FALSE)*'Stage assumptions'!$C$225*WasteTransportMethod[Emissions Factor
kgCO2e/kg.km]*Calculations[[#This Row],[Total Kg]],0)</f>
        <v>0</v>
      </c>
      <c r="U774" s="322" cm="1">
        <f t="array" ref="U774">IFERROR(VLOOKUP(Calculations[[#This Row],[Waste 1]],WasteScenario[#All],3,FALSE)*'Stage assumptions'!$C$224*WasteTransportMethod[Emissions Factor
kgCO2e/kg.km]*Calculations[[#This Row],[Total Kg]],0)</f>
        <v>0</v>
      </c>
      <c r="V774" s="322" cm="1">
        <f t="array" ref="V774">IFERROR(VLOOKUP(Calculations[[#This Row],[Waste 1]],WasteScenario[#All],4,FALSE)*'Stage assumptions'!$C$223*WasteTransportMethod[Emissions Factor
kgCO2e/kg.km]*Calculations[[#This Row],[Total Kg]],0)</f>
        <v>0</v>
      </c>
      <c r="W774" s="322" cm="1">
        <f t="array" ref="W774">IFERROR(VLOOKUP(Calculations[[#This Row],[Waste 1]],WasteScenario[#All],5,FALSE)*'Stage assumptions'!$C$226*WasteTransportMethod[Emissions Factor
kgCO2e/kg.km]*Calculations[[#This Row],[Total Kg]],0)</f>
        <v>0</v>
      </c>
      <c r="X774" s="322">
        <f>SUM(Calculations[[#This Row],[C2 Recycle]:[C2 Reuse]])</f>
        <v>0</v>
      </c>
      <c r="Y774" t="str">
        <f>IFERROR(VLOOKUP(Calculations[[#This Row],[Material (choose from dropdown]],MaterialData[#All],5,FALSE),"")</f>
        <v/>
      </c>
      <c r="Z774" s="322">
        <f>IFERROR(((VLOOKUP(Calculations[[#This Row],[Waste type 2]],WasteDisposalEmissions[#All],2,FALSE))*Calculations[[#This Row],[Total Kg]])*VLOOKUP(Calculations[[#This Row],[Waste 1]],WasteScenario[#All],2,FALSE),0)</f>
        <v>0</v>
      </c>
      <c r="AA774" s="322">
        <f>IFERROR((VLOOKUP(Calculations[[#This Row],[Waste type 2]],WasteDisposalEmissions[#All],3,FALSE))*Calculations[[#This Row],[Total Kg]]*VLOOKUP(Calculations[[#This Row],[Waste 1]],WasteScenario[#All],3,FALSE),0)</f>
        <v>0</v>
      </c>
      <c r="AB774" s="322">
        <f>SUM(Calculations[[#This Row],[C3 recyc]:[C3 incin]])</f>
        <v>0</v>
      </c>
      <c r="AC774" s="334">
        <f>IFERROR((VLOOKUP(Calculations[[#This Row],[Waste type 2]],WasteLandfillEmissions[#All],2,FALSE))*Calculations[[#This Row],[Total Kg]]*VLOOKUP(Calculations[[#This Row],[Waste 1]],WasteScenario[#All],4,FALSE),0)</f>
        <v>0</v>
      </c>
      <c r="AD774" s="322">
        <f>IFERROR((VLOOKUP(Calculations[[#This Row],[Waste type 2]],WasteLandfillEmissions[#All],3,FALSE))*Calculations[[#This Row],[Total Kg]]*VLOOKUP(Calculations[[#This Row],[Waste 1]],WasteScenario[#All],4,FALSE),0)</f>
        <v>0</v>
      </c>
      <c r="AE774" s="322">
        <f>SUM(Calculations[[#This Row],[C4 landfill]:[C4 re-use]])</f>
        <v>0</v>
      </c>
      <c r="AF774" s="322">
        <f>IFERROR(VLOOKUP(Calculations[[#This Row],[Material (choose from dropdown]],MaterialData[#All],8,FALSE),0)</f>
        <v>0</v>
      </c>
      <c r="AG774" s="322">
        <f>IFERROR(Calculations[[#This Row],[Total Kg]]*Calculations[[#This Row],[Seq factor]],0)</f>
        <v>0</v>
      </c>
      <c r="AI774" s="322">
        <f>Calculations[[#This Row],[A1-3]]+Calculations[[#This Row],[A4]]+Calculations[[#This Row],[A5]]+Calculations[[#This Row],[B4]]+Calculations[[#This Row],[C2 total]]+Calculations[[#This Row],[C3 total]]+Calculations[[#This Row],[C4 total]]</f>
        <v>0</v>
      </c>
      <c r="AJ774" s="2">
        <f>IFERROR(VLOOKUP(Calculations[[#This Row],[Material (choose from dropdown]],MaterialData[[#Headers],[#Data]],9,FALSE),0)</f>
        <v>0</v>
      </c>
      <c r="AK774" s="4">
        <f>IFERROR(VLOOKUP(Calculations[[#This Row],[Material (choose from dropdown]],MaterialData[[#Headers],[#Data]],10,FALSE),0)</f>
        <v>0</v>
      </c>
      <c r="AL774" s="322">
        <f>IFERROR(Calculations[[#This Row],[Data Quality Score]]*Calculations[[#This Row],[Total Kg]],0)</f>
        <v>0</v>
      </c>
    </row>
    <row r="775" spans="1:38" x14ac:dyDescent="0.3">
      <c r="A775" s="6">
        <f>IFERROR(MaterialsBoQ[[#This Row],[Scope Element]],0)</f>
        <v>0</v>
      </c>
      <c r="B775" t="str">
        <f>IFERROR(MaterialsBoQ[[#This Row],[Material ]],"")</f>
        <v/>
      </c>
      <c r="C775" t="str">
        <f>IFERROR(MaterialsBoQ[[#This Row],[Unit]],"")</f>
        <v/>
      </c>
      <c r="D775" s="322">
        <f>IFERROR(MaterialsBoQ[[#This Row],[Number]],0)</f>
        <v>0</v>
      </c>
      <c r="E775" s="322">
        <f>IFERROR(MaterialsBoQ[[#This Row],[Kg per unit]],0)</f>
        <v>0</v>
      </c>
      <c r="F775" s="322">
        <f>IFERROR(Calculations[[#This Row],[Number]]*Calculations[[#This Row],[Conversion factor]],0)</f>
        <v>0</v>
      </c>
      <c r="G775" s="322">
        <f>IFERROR(VLOOKUP(Calculations[[#This Row],[Material (choose from dropdown]],MaterialData[#All],7,FALSE),0)</f>
        <v>0</v>
      </c>
      <c r="H775" s="322">
        <f>Calculations[[#This Row],[Total Kg]]*Calculations[[#This Row],[Carbon Factor]]</f>
        <v>0</v>
      </c>
      <c r="I775" t="str">
        <f>IFERROR(VLOOKUP(Calculations[[#This Row],[Material (choose from dropdown]],MaterialData[#All],2,FALSE),"")</f>
        <v/>
      </c>
      <c r="J775" s="322">
        <f>IFERROR(((VLOOKUP(Calculations[[#This Row],[TransportSource]],TransportDistance[],2,FALSE)*'Stage assumptions'!$C$11)+VLOOKUP(Calculations[[#This Row],[TransportSource]],TransportDistance[],3,FALSE)*'Stage assumptions'!$C$12)*Calculations[[#This Row],[Total Kg]],0)</f>
        <v>0</v>
      </c>
      <c r="K775">
        <f>IFERROR(VLOOKUP(Calculations[[#This Row],[Material (choose from dropdown]], MaterialData[#All],3, FALSE),0)</f>
        <v>0</v>
      </c>
      <c r="L775" s="322">
        <f>IFERROR(VLOOKUP(Calculations[[#This Row],[A5type]],A5WastageRate[#All],2,FALSE)*Calculations[[#This Row],[A1-3]],0)</f>
        <v>0</v>
      </c>
      <c r="N775">
        <f>IFERROR(ROUNDUP(50/VLOOKUP(Calculations[[#This Row],[Scope Element]],B4referenceServiceLife[[Tier 2 element]:[Default Service Life]],2, FALSE)-1,0),0)</f>
        <v>0</v>
      </c>
      <c r="O775" s="322">
        <f>IFERROR((Calculations[[#This Row],[A1-3]]+Calculations[[#This Row],[A4]]+Calculations[[#This Row],[A5]]+Calculations[[#This Row],[C2 total]]+Calculations[[#This Row],[C3 total]]+Calculations[[#This Row],[C4 total]])*Calculations[[#This Row],[Replacements]],0)</f>
        <v>0</v>
      </c>
      <c r="S775" t="str">
        <f>IFERROR(VLOOKUP(Calculations[[#This Row],[Material (choose from dropdown]],MaterialData[#All],4,FALSE),"")</f>
        <v/>
      </c>
      <c r="T775" s="322" cm="1">
        <f t="array" ref="T775">IFERROR(VLOOKUP(Calculations[[#This Row],[Waste 1]],WasteScenario[#All],2,FALSE)*'Stage assumptions'!$C$225*WasteTransportMethod[Emissions Factor
kgCO2e/kg.km]*Calculations[[#This Row],[Total Kg]],0)</f>
        <v>0</v>
      </c>
      <c r="U775" s="322" cm="1">
        <f t="array" ref="U775">IFERROR(VLOOKUP(Calculations[[#This Row],[Waste 1]],WasteScenario[#All],3,FALSE)*'Stage assumptions'!$C$224*WasteTransportMethod[Emissions Factor
kgCO2e/kg.km]*Calculations[[#This Row],[Total Kg]],0)</f>
        <v>0</v>
      </c>
      <c r="V775" s="322" cm="1">
        <f t="array" ref="V775">IFERROR(VLOOKUP(Calculations[[#This Row],[Waste 1]],WasteScenario[#All],4,FALSE)*'Stage assumptions'!$C$223*WasteTransportMethod[Emissions Factor
kgCO2e/kg.km]*Calculations[[#This Row],[Total Kg]],0)</f>
        <v>0</v>
      </c>
      <c r="W775" s="322" cm="1">
        <f t="array" ref="W775">IFERROR(VLOOKUP(Calculations[[#This Row],[Waste 1]],WasteScenario[#All],5,FALSE)*'Stage assumptions'!$C$226*WasteTransportMethod[Emissions Factor
kgCO2e/kg.km]*Calculations[[#This Row],[Total Kg]],0)</f>
        <v>0</v>
      </c>
      <c r="X775" s="322">
        <f>SUM(Calculations[[#This Row],[C2 Recycle]:[C2 Reuse]])</f>
        <v>0</v>
      </c>
      <c r="Y775" t="str">
        <f>IFERROR(VLOOKUP(Calculations[[#This Row],[Material (choose from dropdown]],MaterialData[#All],5,FALSE),"")</f>
        <v/>
      </c>
      <c r="Z775" s="322">
        <f>IFERROR(((VLOOKUP(Calculations[[#This Row],[Waste type 2]],WasteDisposalEmissions[#All],2,FALSE))*Calculations[[#This Row],[Total Kg]])*VLOOKUP(Calculations[[#This Row],[Waste 1]],WasteScenario[#All],2,FALSE),0)</f>
        <v>0</v>
      </c>
      <c r="AA775" s="322">
        <f>IFERROR((VLOOKUP(Calculations[[#This Row],[Waste type 2]],WasteDisposalEmissions[#All],3,FALSE))*Calculations[[#This Row],[Total Kg]]*VLOOKUP(Calculations[[#This Row],[Waste 1]],WasteScenario[#All],3,FALSE),0)</f>
        <v>0</v>
      </c>
      <c r="AB775" s="322">
        <f>SUM(Calculations[[#This Row],[C3 recyc]:[C3 incin]])</f>
        <v>0</v>
      </c>
      <c r="AC775" s="334">
        <f>IFERROR((VLOOKUP(Calculations[[#This Row],[Waste type 2]],WasteLandfillEmissions[#All],2,FALSE))*Calculations[[#This Row],[Total Kg]]*VLOOKUP(Calculations[[#This Row],[Waste 1]],WasteScenario[#All],4,FALSE),0)</f>
        <v>0</v>
      </c>
      <c r="AD775" s="322">
        <f>IFERROR((VLOOKUP(Calculations[[#This Row],[Waste type 2]],WasteLandfillEmissions[#All],3,FALSE))*Calculations[[#This Row],[Total Kg]]*VLOOKUP(Calculations[[#This Row],[Waste 1]],WasteScenario[#All],4,FALSE),0)</f>
        <v>0</v>
      </c>
      <c r="AE775" s="322">
        <f>SUM(Calculations[[#This Row],[C4 landfill]:[C4 re-use]])</f>
        <v>0</v>
      </c>
      <c r="AF775" s="322">
        <f>IFERROR(VLOOKUP(Calculations[[#This Row],[Material (choose from dropdown]],MaterialData[#All],8,FALSE),0)</f>
        <v>0</v>
      </c>
      <c r="AG775" s="322">
        <f>IFERROR(Calculations[[#This Row],[Total Kg]]*Calculations[[#This Row],[Seq factor]],0)</f>
        <v>0</v>
      </c>
      <c r="AI775" s="322">
        <f>Calculations[[#This Row],[A1-3]]+Calculations[[#This Row],[A4]]+Calculations[[#This Row],[A5]]+Calculations[[#This Row],[B4]]+Calculations[[#This Row],[C2 total]]+Calculations[[#This Row],[C3 total]]+Calculations[[#This Row],[C4 total]]</f>
        <v>0</v>
      </c>
      <c r="AJ775" s="2">
        <f>IFERROR(VLOOKUP(Calculations[[#This Row],[Material (choose from dropdown]],MaterialData[[#Headers],[#Data]],9,FALSE),0)</f>
        <v>0</v>
      </c>
      <c r="AK775" s="4">
        <f>IFERROR(VLOOKUP(Calculations[[#This Row],[Material (choose from dropdown]],MaterialData[[#Headers],[#Data]],10,FALSE),0)</f>
        <v>0</v>
      </c>
      <c r="AL775" s="322">
        <f>IFERROR(Calculations[[#This Row],[Data Quality Score]]*Calculations[[#This Row],[Total Kg]],0)</f>
        <v>0</v>
      </c>
    </row>
    <row r="776" spans="1:38" x14ac:dyDescent="0.3">
      <c r="A776" s="6">
        <f>IFERROR(MaterialsBoQ[[#This Row],[Scope Element]],0)</f>
        <v>0</v>
      </c>
      <c r="B776" t="str">
        <f>IFERROR(MaterialsBoQ[[#This Row],[Material ]],"")</f>
        <v/>
      </c>
      <c r="C776" t="str">
        <f>IFERROR(MaterialsBoQ[[#This Row],[Unit]],"")</f>
        <v/>
      </c>
      <c r="D776" s="322">
        <f>IFERROR(MaterialsBoQ[[#This Row],[Number]],0)</f>
        <v>0</v>
      </c>
      <c r="E776" s="322">
        <f>IFERROR(MaterialsBoQ[[#This Row],[Kg per unit]],0)</f>
        <v>0</v>
      </c>
      <c r="F776" s="322">
        <f>IFERROR(Calculations[[#This Row],[Number]]*Calculations[[#This Row],[Conversion factor]],0)</f>
        <v>0</v>
      </c>
      <c r="G776" s="322">
        <f>IFERROR(VLOOKUP(Calculations[[#This Row],[Material (choose from dropdown]],MaterialData[#All],7,FALSE),0)</f>
        <v>0</v>
      </c>
      <c r="H776" s="322">
        <f>Calculations[[#This Row],[Total Kg]]*Calculations[[#This Row],[Carbon Factor]]</f>
        <v>0</v>
      </c>
      <c r="I776" t="str">
        <f>IFERROR(VLOOKUP(Calculations[[#This Row],[Material (choose from dropdown]],MaterialData[#All],2,FALSE),"")</f>
        <v/>
      </c>
      <c r="J776" s="322">
        <f>IFERROR(((VLOOKUP(Calculations[[#This Row],[TransportSource]],TransportDistance[],2,FALSE)*'Stage assumptions'!$C$11)+VLOOKUP(Calculations[[#This Row],[TransportSource]],TransportDistance[],3,FALSE)*'Stage assumptions'!$C$12)*Calculations[[#This Row],[Total Kg]],0)</f>
        <v>0</v>
      </c>
      <c r="K776">
        <f>IFERROR(VLOOKUP(Calculations[[#This Row],[Material (choose from dropdown]], MaterialData[#All],3, FALSE),0)</f>
        <v>0</v>
      </c>
      <c r="L776" s="322">
        <f>IFERROR(VLOOKUP(Calculations[[#This Row],[A5type]],A5WastageRate[#All],2,FALSE)*Calculations[[#This Row],[A1-3]],0)</f>
        <v>0</v>
      </c>
      <c r="N776">
        <f>IFERROR(ROUNDUP(50/VLOOKUP(Calculations[[#This Row],[Scope Element]],B4referenceServiceLife[[Tier 2 element]:[Default Service Life]],2, FALSE)-1,0),0)</f>
        <v>0</v>
      </c>
      <c r="O776" s="322">
        <f>IFERROR((Calculations[[#This Row],[A1-3]]+Calculations[[#This Row],[A4]]+Calculations[[#This Row],[A5]]+Calculations[[#This Row],[C2 total]]+Calculations[[#This Row],[C3 total]]+Calculations[[#This Row],[C4 total]])*Calculations[[#This Row],[Replacements]],0)</f>
        <v>0</v>
      </c>
      <c r="S776" t="str">
        <f>IFERROR(VLOOKUP(Calculations[[#This Row],[Material (choose from dropdown]],MaterialData[#All],4,FALSE),"")</f>
        <v/>
      </c>
      <c r="T776" s="322" cm="1">
        <f t="array" ref="T776">IFERROR(VLOOKUP(Calculations[[#This Row],[Waste 1]],WasteScenario[#All],2,FALSE)*'Stage assumptions'!$C$225*WasteTransportMethod[Emissions Factor
kgCO2e/kg.km]*Calculations[[#This Row],[Total Kg]],0)</f>
        <v>0</v>
      </c>
      <c r="U776" s="322" cm="1">
        <f t="array" ref="U776">IFERROR(VLOOKUP(Calculations[[#This Row],[Waste 1]],WasteScenario[#All],3,FALSE)*'Stage assumptions'!$C$224*WasteTransportMethod[Emissions Factor
kgCO2e/kg.km]*Calculations[[#This Row],[Total Kg]],0)</f>
        <v>0</v>
      </c>
      <c r="V776" s="322" cm="1">
        <f t="array" ref="V776">IFERROR(VLOOKUP(Calculations[[#This Row],[Waste 1]],WasteScenario[#All],4,FALSE)*'Stage assumptions'!$C$223*WasteTransportMethod[Emissions Factor
kgCO2e/kg.km]*Calculations[[#This Row],[Total Kg]],0)</f>
        <v>0</v>
      </c>
      <c r="W776" s="322" cm="1">
        <f t="array" ref="W776">IFERROR(VLOOKUP(Calculations[[#This Row],[Waste 1]],WasteScenario[#All],5,FALSE)*'Stage assumptions'!$C$226*WasteTransportMethod[Emissions Factor
kgCO2e/kg.km]*Calculations[[#This Row],[Total Kg]],0)</f>
        <v>0</v>
      </c>
      <c r="X776" s="322">
        <f>SUM(Calculations[[#This Row],[C2 Recycle]:[C2 Reuse]])</f>
        <v>0</v>
      </c>
      <c r="Y776" t="str">
        <f>IFERROR(VLOOKUP(Calculations[[#This Row],[Material (choose from dropdown]],MaterialData[#All],5,FALSE),"")</f>
        <v/>
      </c>
      <c r="Z776" s="322">
        <f>IFERROR(((VLOOKUP(Calculations[[#This Row],[Waste type 2]],WasteDisposalEmissions[#All],2,FALSE))*Calculations[[#This Row],[Total Kg]])*VLOOKUP(Calculations[[#This Row],[Waste 1]],WasteScenario[#All],2,FALSE),0)</f>
        <v>0</v>
      </c>
      <c r="AA776" s="322">
        <f>IFERROR((VLOOKUP(Calculations[[#This Row],[Waste type 2]],WasteDisposalEmissions[#All],3,FALSE))*Calculations[[#This Row],[Total Kg]]*VLOOKUP(Calculations[[#This Row],[Waste 1]],WasteScenario[#All],3,FALSE),0)</f>
        <v>0</v>
      </c>
      <c r="AB776" s="322">
        <f>SUM(Calculations[[#This Row],[C3 recyc]:[C3 incin]])</f>
        <v>0</v>
      </c>
      <c r="AC776" s="334">
        <f>IFERROR((VLOOKUP(Calculations[[#This Row],[Waste type 2]],WasteLandfillEmissions[#All],2,FALSE))*Calculations[[#This Row],[Total Kg]]*VLOOKUP(Calculations[[#This Row],[Waste 1]],WasteScenario[#All],4,FALSE),0)</f>
        <v>0</v>
      </c>
      <c r="AD776" s="322">
        <f>IFERROR((VLOOKUP(Calculations[[#This Row],[Waste type 2]],WasteLandfillEmissions[#All],3,FALSE))*Calculations[[#This Row],[Total Kg]]*VLOOKUP(Calculations[[#This Row],[Waste 1]],WasteScenario[#All],4,FALSE),0)</f>
        <v>0</v>
      </c>
      <c r="AE776" s="322">
        <f>SUM(Calculations[[#This Row],[C4 landfill]:[C4 re-use]])</f>
        <v>0</v>
      </c>
      <c r="AF776" s="322">
        <f>IFERROR(VLOOKUP(Calculations[[#This Row],[Material (choose from dropdown]],MaterialData[#All],8,FALSE),0)</f>
        <v>0</v>
      </c>
      <c r="AG776" s="322">
        <f>IFERROR(Calculations[[#This Row],[Total Kg]]*Calculations[[#This Row],[Seq factor]],0)</f>
        <v>0</v>
      </c>
      <c r="AI776" s="322">
        <f>Calculations[[#This Row],[A1-3]]+Calculations[[#This Row],[A4]]+Calculations[[#This Row],[A5]]+Calculations[[#This Row],[B4]]+Calculations[[#This Row],[C2 total]]+Calculations[[#This Row],[C3 total]]+Calculations[[#This Row],[C4 total]]</f>
        <v>0</v>
      </c>
      <c r="AJ776" s="2">
        <f>IFERROR(VLOOKUP(Calculations[[#This Row],[Material (choose from dropdown]],MaterialData[[#Headers],[#Data]],9,FALSE),0)</f>
        <v>0</v>
      </c>
      <c r="AK776" s="4">
        <f>IFERROR(VLOOKUP(Calculations[[#This Row],[Material (choose from dropdown]],MaterialData[[#Headers],[#Data]],10,FALSE),0)</f>
        <v>0</v>
      </c>
      <c r="AL776" s="322">
        <f>IFERROR(Calculations[[#This Row],[Data Quality Score]]*Calculations[[#This Row],[Total Kg]],0)</f>
        <v>0</v>
      </c>
    </row>
    <row r="777" spans="1:38" x14ac:dyDescent="0.3">
      <c r="A777" s="6">
        <f>IFERROR(MaterialsBoQ[[#This Row],[Scope Element]],0)</f>
        <v>0</v>
      </c>
      <c r="B777" t="str">
        <f>IFERROR(MaterialsBoQ[[#This Row],[Material ]],"")</f>
        <v/>
      </c>
      <c r="C777" t="str">
        <f>IFERROR(MaterialsBoQ[[#This Row],[Unit]],"")</f>
        <v/>
      </c>
      <c r="D777" s="322">
        <f>IFERROR(MaterialsBoQ[[#This Row],[Number]],0)</f>
        <v>0</v>
      </c>
      <c r="E777" s="322">
        <f>IFERROR(MaterialsBoQ[[#This Row],[Kg per unit]],0)</f>
        <v>0</v>
      </c>
      <c r="F777" s="322">
        <f>IFERROR(Calculations[[#This Row],[Number]]*Calculations[[#This Row],[Conversion factor]],0)</f>
        <v>0</v>
      </c>
      <c r="G777" s="322">
        <f>IFERROR(VLOOKUP(Calculations[[#This Row],[Material (choose from dropdown]],MaterialData[#All],7,FALSE),0)</f>
        <v>0</v>
      </c>
      <c r="H777" s="322">
        <f>Calculations[[#This Row],[Total Kg]]*Calculations[[#This Row],[Carbon Factor]]</f>
        <v>0</v>
      </c>
      <c r="I777" t="str">
        <f>IFERROR(VLOOKUP(Calculations[[#This Row],[Material (choose from dropdown]],MaterialData[#All],2,FALSE),"")</f>
        <v/>
      </c>
      <c r="J777" s="322">
        <f>IFERROR(((VLOOKUP(Calculations[[#This Row],[TransportSource]],TransportDistance[],2,FALSE)*'Stage assumptions'!$C$11)+VLOOKUP(Calculations[[#This Row],[TransportSource]],TransportDistance[],3,FALSE)*'Stage assumptions'!$C$12)*Calculations[[#This Row],[Total Kg]],0)</f>
        <v>0</v>
      </c>
      <c r="K777">
        <f>IFERROR(VLOOKUP(Calculations[[#This Row],[Material (choose from dropdown]], MaterialData[#All],3, FALSE),0)</f>
        <v>0</v>
      </c>
      <c r="L777" s="322">
        <f>IFERROR(VLOOKUP(Calculations[[#This Row],[A5type]],A5WastageRate[#All],2,FALSE)*Calculations[[#This Row],[A1-3]],0)</f>
        <v>0</v>
      </c>
      <c r="N777">
        <f>IFERROR(ROUNDUP(50/VLOOKUP(Calculations[[#This Row],[Scope Element]],B4referenceServiceLife[[Tier 2 element]:[Default Service Life]],2, FALSE)-1,0),0)</f>
        <v>0</v>
      </c>
      <c r="O777" s="322">
        <f>IFERROR((Calculations[[#This Row],[A1-3]]+Calculations[[#This Row],[A4]]+Calculations[[#This Row],[A5]]+Calculations[[#This Row],[C2 total]]+Calculations[[#This Row],[C3 total]]+Calculations[[#This Row],[C4 total]])*Calculations[[#This Row],[Replacements]],0)</f>
        <v>0</v>
      </c>
      <c r="S777" t="str">
        <f>IFERROR(VLOOKUP(Calculations[[#This Row],[Material (choose from dropdown]],MaterialData[#All],4,FALSE),"")</f>
        <v/>
      </c>
      <c r="T777" s="322" cm="1">
        <f t="array" ref="T777">IFERROR(VLOOKUP(Calculations[[#This Row],[Waste 1]],WasteScenario[#All],2,FALSE)*'Stage assumptions'!$C$225*WasteTransportMethod[Emissions Factor
kgCO2e/kg.km]*Calculations[[#This Row],[Total Kg]],0)</f>
        <v>0</v>
      </c>
      <c r="U777" s="322" cm="1">
        <f t="array" ref="U777">IFERROR(VLOOKUP(Calculations[[#This Row],[Waste 1]],WasteScenario[#All],3,FALSE)*'Stage assumptions'!$C$224*WasteTransportMethod[Emissions Factor
kgCO2e/kg.km]*Calculations[[#This Row],[Total Kg]],0)</f>
        <v>0</v>
      </c>
      <c r="V777" s="322" cm="1">
        <f t="array" ref="V777">IFERROR(VLOOKUP(Calculations[[#This Row],[Waste 1]],WasteScenario[#All],4,FALSE)*'Stage assumptions'!$C$223*WasteTransportMethod[Emissions Factor
kgCO2e/kg.km]*Calculations[[#This Row],[Total Kg]],0)</f>
        <v>0</v>
      </c>
      <c r="W777" s="322" cm="1">
        <f t="array" ref="W777">IFERROR(VLOOKUP(Calculations[[#This Row],[Waste 1]],WasteScenario[#All],5,FALSE)*'Stage assumptions'!$C$226*WasteTransportMethod[Emissions Factor
kgCO2e/kg.km]*Calculations[[#This Row],[Total Kg]],0)</f>
        <v>0</v>
      </c>
      <c r="X777" s="322">
        <f>SUM(Calculations[[#This Row],[C2 Recycle]:[C2 Reuse]])</f>
        <v>0</v>
      </c>
      <c r="Y777" t="str">
        <f>IFERROR(VLOOKUP(Calculations[[#This Row],[Material (choose from dropdown]],MaterialData[#All],5,FALSE),"")</f>
        <v/>
      </c>
      <c r="Z777" s="322">
        <f>IFERROR(((VLOOKUP(Calculations[[#This Row],[Waste type 2]],WasteDisposalEmissions[#All],2,FALSE))*Calculations[[#This Row],[Total Kg]])*VLOOKUP(Calculations[[#This Row],[Waste 1]],WasteScenario[#All],2,FALSE),0)</f>
        <v>0</v>
      </c>
      <c r="AA777" s="322">
        <f>IFERROR((VLOOKUP(Calculations[[#This Row],[Waste type 2]],WasteDisposalEmissions[#All],3,FALSE))*Calculations[[#This Row],[Total Kg]]*VLOOKUP(Calculations[[#This Row],[Waste 1]],WasteScenario[#All],3,FALSE),0)</f>
        <v>0</v>
      </c>
      <c r="AB777" s="322">
        <f>SUM(Calculations[[#This Row],[C3 recyc]:[C3 incin]])</f>
        <v>0</v>
      </c>
      <c r="AC777" s="334">
        <f>IFERROR((VLOOKUP(Calculations[[#This Row],[Waste type 2]],WasteLandfillEmissions[#All],2,FALSE))*Calculations[[#This Row],[Total Kg]]*VLOOKUP(Calculations[[#This Row],[Waste 1]],WasteScenario[#All],4,FALSE),0)</f>
        <v>0</v>
      </c>
      <c r="AD777" s="322">
        <f>IFERROR((VLOOKUP(Calculations[[#This Row],[Waste type 2]],WasteLandfillEmissions[#All],3,FALSE))*Calculations[[#This Row],[Total Kg]]*VLOOKUP(Calculations[[#This Row],[Waste 1]],WasteScenario[#All],4,FALSE),0)</f>
        <v>0</v>
      </c>
      <c r="AE777" s="322">
        <f>SUM(Calculations[[#This Row],[C4 landfill]:[C4 re-use]])</f>
        <v>0</v>
      </c>
      <c r="AF777" s="322">
        <f>IFERROR(VLOOKUP(Calculations[[#This Row],[Material (choose from dropdown]],MaterialData[#All],8,FALSE),0)</f>
        <v>0</v>
      </c>
      <c r="AG777" s="322">
        <f>IFERROR(Calculations[[#This Row],[Total Kg]]*Calculations[[#This Row],[Seq factor]],0)</f>
        <v>0</v>
      </c>
      <c r="AI777" s="322">
        <f>Calculations[[#This Row],[A1-3]]+Calculations[[#This Row],[A4]]+Calculations[[#This Row],[A5]]+Calculations[[#This Row],[B4]]+Calculations[[#This Row],[C2 total]]+Calculations[[#This Row],[C3 total]]+Calculations[[#This Row],[C4 total]]</f>
        <v>0</v>
      </c>
      <c r="AJ777" s="2">
        <f>IFERROR(VLOOKUP(Calculations[[#This Row],[Material (choose from dropdown]],MaterialData[[#Headers],[#Data]],9,FALSE),0)</f>
        <v>0</v>
      </c>
      <c r="AK777" s="4">
        <f>IFERROR(VLOOKUP(Calculations[[#This Row],[Material (choose from dropdown]],MaterialData[[#Headers],[#Data]],10,FALSE),0)</f>
        <v>0</v>
      </c>
      <c r="AL777" s="322">
        <f>IFERROR(Calculations[[#This Row],[Data Quality Score]]*Calculations[[#This Row],[Total Kg]],0)</f>
        <v>0</v>
      </c>
    </row>
    <row r="778" spans="1:38" x14ac:dyDescent="0.3">
      <c r="A778" s="6">
        <f>IFERROR(MaterialsBoQ[[#This Row],[Scope Element]],0)</f>
        <v>0</v>
      </c>
      <c r="B778" t="str">
        <f>IFERROR(MaterialsBoQ[[#This Row],[Material ]],"")</f>
        <v/>
      </c>
      <c r="C778" t="str">
        <f>IFERROR(MaterialsBoQ[[#This Row],[Unit]],"")</f>
        <v/>
      </c>
      <c r="D778" s="322">
        <f>IFERROR(MaterialsBoQ[[#This Row],[Number]],0)</f>
        <v>0</v>
      </c>
      <c r="E778" s="322">
        <f>IFERROR(MaterialsBoQ[[#This Row],[Kg per unit]],0)</f>
        <v>0</v>
      </c>
      <c r="F778" s="322">
        <f>IFERROR(Calculations[[#This Row],[Number]]*Calculations[[#This Row],[Conversion factor]],0)</f>
        <v>0</v>
      </c>
      <c r="G778" s="322">
        <f>IFERROR(VLOOKUP(Calculations[[#This Row],[Material (choose from dropdown]],MaterialData[#All],7,FALSE),0)</f>
        <v>0</v>
      </c>
      <c r="H778" s="322">
        <f>Calculations[[#This Row],[Total Kg]]*Calculations[[#This Row],[Carbon Factor]]</f>
        <v>0</v>
      </c>
      <c r="I778" t="str">
        <f>IFERROR(VLOOKUP(Calculations[[#This Row],[Material (choose from dropdown]],MaterialData[#All],2,FALSE),"")</f>
        <v/>
      </c>
      <c r="J778" s="322">
        <f>IFERROR(((VLOOKUP(Calculations[[#This Row],[TransportSource]],TransportDistance[],2,FALSE)*'Stage assumptions'!$C$11)+VLOOKUP(Calculations[[#This Row],[TransportSource]],TransportDistance[],3,FALSE)*'Stage assumptions'!$C$12)*Calculations[[#This Row],[Total Kg]],0)</f>
        <v>0</v>
      </c>
      <c r="K778">
        <f>IFERROR(VLOOKUP(Calculations[[#This Row],[Material (choose from dropdown]], MaterialData[#All],3, FALSE),0)</f>
        <v>0</v>
      </c>
      <c r="L778" s="322">
        <f>IFERROR(VLOOKUP(Calculations[[#This Row],[A5type]],A5WastageRate[#All],2,FALSE)*Calculations[[#This Row],[A1-3]],0)</f>
        <v>0</v>
      </c>
      <c r="N778">
        <f>IFERROR(ROUNDUP(50/VLOOKUP(Calculations[[#This Row],[Scope Element]],B4referenceServiceLife[[Tier 2 element]:[Default Service Life]],2, FALSE)-1,0),0)</f>
        <v>0</v>
      </c>
      <c r="O778" s="322">
        <f>IFERROR((Calculations[[#This Row],[A1-3]]+Calculations[[#This Row],[A4]]+Calculations[[#This Row],[A5]]+Calculations[[#This Row],[C2 total]]+Calculations[[#This Row],[C3 total]]+Calculations[[#This Row],[C4 total]])*Calculations[[#This Row],[Replacements]],0)</f>
        <v>0</v>
      </c>
      <c r="S778" t="str">
        <f>IFERROR(VLOOKUP(Calculations[[#This Row],[Material (choose from dropdown]],MaterialData[#All],4,FALSE),"")</f>
        <v/>
      </c>
      <c r="T778" s="322" cm="1">
        <f t="array" ref="T778">IFERROR(VLOOKUP(Calculations[[#This Row],[Waste 1]],WasteScenario[#All],2,FALSE)*'Stage assumptions'!$C$225*WasteTransportMethod[Emissions Factor
kgCO2e/kg.km]*Calculations[[#This Row],[Total Kg]],0)</f>
        <v>0</v>
      </c>
      <c r="U778" s="322" cm="1">
        <f t="array" ref="U778">IFERROR(VLOOKUP(Calculations[[#This Row],[Waste 1]],WasteScenario[#All],3,FALSE)*'Stage assumptions'!$C$224*WasteTransportMethod[Emissions Factor
kgCO2e/kg.km]*Calculations[[#This Row],[Total Kg]],0)</f>
        <v>0</v>
      </c>
      <c r="V778" s="322" cm="1">
        <f t="array" ref="V778">IFERROR(VLOOKUP(Calculations[[#This Row],[Waste 1]],WasteScenario[#All],4,FALSE)*'Stage assumptions'!$C$223*WasteTransportMethod[Emissions Factor
kgCO2e/kg.km]*Calculations[[#This Row],[Total Kg]],0)</f>
        <v>0</v>
      </c>
      <c r="W778" s="322" cm="1">
        <f t="array" ref="W778">IFERROR(VLOOKUP(Calculations[[#This Row],[Waste 1]],WasteScenario[#All],5,FALSE)*'Stage assumptions'!$C$226*WasteTransportMethod[Emissions Factor
kgCO2e/kg.km]*Calculations[[#This Row],[Total Kg]],0)</f>
        <v>0</v>
      </c>
      <c r="X778" s="322">
        <f>SUM(Calculations[[#This Row],[C2 Recycle]:[C2 Reuse]])</f>
        <v>0</v>
      </c>
      <c r="Y778" t="str">
        <f>IFERROR(VLOOKUP(Calculations[[#This Row],[Material (choose from dropdown]],MaterialData[#All],5,FALSE),"")</f>
        <v/>
      </c>
      <c r="Z778" s="322">
        <f>IFERROR(((VLOOKUP(Calculations[[#This Row],[Waste type 2]],WasteDisposalEmissions[#All],2,FALSE))*Calculations[[#This Row],[Total Kg]])*VLOOKUP(Calculations[[#This Row],[Waste 1]],WasteScenario[#All],2,FALSE),0)</f>
        <v>0</v>
      </c>
      <c r="AA778" s="322">
        <f>IFERROR((VLOOKUP(Calculations[[#This Row],[Waste type 2]],WasteDisposalEmissions[#All],3,FALSE))*Calculations[[#This Row],[Total Kg]]*VLOOKUP(Calculations[[#This Row],[Waste 1]],WasteScenario[#All],3,FALSE),0)</f>
        <v>0</v>
      </c>
      <c r="AB778" s="322">
        <f>SUM(Calculations[[#This Row],[C3 recyc]:[C3 incin]])</f>
        <v>0</v>
      </c>
      <c r="AC778" s="334">
        <f>IFERROR((VLOOKUP(Calculations[[#This Row],[Waste type 2]],WasteLandfillEmissions[#All],2,FALSE))*Calculations[[#This Row],[Total Kg]]*VLOOKUP(Calculations[[#This Row],[Waste 1]],WasteScenario[#All],4,FALSE),0)</f>
        <v>0</v>
      </c>
      <c r="AD778" s="322">
        <f>IFERROR((VLOOKUP(Calculations[[#This Row],[Waste type 2]],WasteLandfillEmissions[#All],3,FALSE))*Calculations[[#This Row],[Total Kg]]*VLOOKUP(Calculations[[#This Row],[Waste 1]],WasteScenario[#All],4,FALSE),0)</f>
        <v>0</v>
      </c>
      <c r="AE778" s="322">
        <f>SUM(Calculations[[#This Row],[C4 landfill]:[C4 re-use]])</f>
        <v>0</v>
      </c>
      <c r="AF778" s="322">
        <f>IFERROR(VLOOKUP(Calculations[[#This Row],[Material (choose from dropdown]],MaterialData[#All],8,FALSE),0)</f>
        <v>0</v>
      </c>
      <c r="AG778" s="322">
        <f>IFERROR(Calculations[[#This Row],[Total Kg]]*Calculations[[#This Row],[Seq factor]],0)</f>
        <v>0</v>
      </c>
      <c r="AI778" s="322">
        <f>Calculations[[#This Row],[A1-3]]+Calculations[[#This Row],[A4]]+Calculations[[#This Row],[A5]]+Calculations[[#This Row],[B4]]+Calculations[[#This Row],[C2 total]]+Calculations[[#This Row],[C3 total]]+Calculations[[#This Row],[C4 total]]</f>
        <v>0</v>
      </c>
      <c r="AJ778" s="2">
        <f>IFERROR(VLOOKUP(Calculations[[#This Row],[Material (choose from dropdown]],MaterialData[[#Headers],[#Data]],9,FALSE),0)</f>
        <v>0</v>
      </c>
      <c r="AK778" s="4">
        <f>IFERROR(VLOOKUP(Calculations[[#This Row],[Material (choose from dropdown]],MaterialData[[#Headers],[#Data]],10,FALSE),0)</f>
        <v>0</v>
      </c>
      <c r="AL778" s="322">
        <f>IFERROR(Calculations[[#This Row],[Data Quality Score]]*Calculations[[#This Row],[Total Kg]],0)</f>
        <v>0</v>
      </c>
    </row>
    <row r="779" spans="1:38" x14ac:dyDescent="0.3">
      <c r="A779" s="6">
        <f>IFERROR(MaterialsBoQ[[#This Row],[Scope Element]],0)</f>
        <v>0</v>
      </c>
      <c r="B779" t="str">
        <f>IFERROR(MaterialsBoQ[[#This Row],[Material ]],"")</f>
        <v/>
      </c>
      <c r="C779" t="str">
        <f>IFERROR(MaterialsBoQ[[#This Row],[Unit]],"")</f>
        <v/>
      </c>
      <c r="D779" s="322">
        <f>IFERROR(MaterialsBoQ[[#This Row],[Number]],0)</f>
        <v>0</v>
      </c>
      <c r="E779" s="322">
        <f>IFERROR(MaterialsBoQ[[#This Row],[Kg per unit]],0)</f>
        <v>0</v>
      </c>
      <c r="F779" s="322">
        <f>IFERROR(Calculations[[#This Row],[Number]]*Calculations[[#This Row],[Conversion factor]],0)</f>
        <v>0</v>
      </c>
      <c r="G779" s="322">
        <f>IFERROR(VLOOKUP(Calculations[[#This Row],[Material (choose from dropdown]],MaterialData[#All],7,FALSE),0)</f>
        <v>0</v>
      </c>
      <c r="H779" s="322">
        <f>Calculations[[#This Row],[Total Kg]]*Calculations[[#This Row],[Carbon Factor]]</f>
        <v>0</v>
      </c>
      <c r="I779" t="str">
        <f>IFERROR(VLOOKUP(Calculations[[#This Row],[Material (choose from dropdown]],MaterialData[#All],2,FALSE),"")</f>
        <v/>
      </c>
      <c r="J779" s="322">
        <f>IFERROR(((VLOOKUP(Calculations[[#This Row],[TransportSource]],TransportDistance[],2,FALSE)*'Stage assumptions'!$C$11)+VLOOKUP(Calculations[[#This Row],[TransportSource]],TransportDistance[],3,FALSE)*'Stage assumptions'!$C$12)*Calculations[[#This Row],[Total Kg]],0)</f>
        <v>0</v>
      </c>
      <c r="K779">
        <f>IFERROR(VLOOKUP(Calculations[[#This Row],[Material (choose from dropdown]], MaterialData[#All],3, FALSE),0)</f>
        <v>0</v>
      </c>
      <c r="L779" s="322">
        <f>IFERROR(VLOOKUP(Calculations[[#This Row],[A5type]],A5WastageRate[#All],2,FALSE)*Calculations[[#This Row],[A1-3]],0)</f>
        <v>0</v>
      </c>
      <c r="N779">
        <f>IFERROR(ROUNDUP(50/VLOOKUP(Calculations[[#This Row],[Scope Element]],B4referenceServiceLife[[Tier 2 element]:[Default Service Life]],2, FALSE)-1,0),0)</f>
        <v>0</v>
      </c>
      <c r="O779" s="322">
        <f>IFERROR((Calculations[[#This Row],[A1-3]]+Calculations[[#This Row],[A4]]+Calculations[[#This Row],[A5]]+Calculations[[#This Row],[C2 total]]+Calculations[[#This Row],[C3 total]]+Calculations[[#This Row],[C4 total]])*Calculations[[#This Row],[Replacements]],0)</f>
        <v>0</v>
      </c>
      <c r="S779" t="str">
        <f>IFERROR(VLOOKUP(Calculations[[#This Row],[Material (choose from dropdown]],MaterialData[#All],4,FALSE),"")</f>
        <v/>
      </c>
      <c r="T779" s="322" cm="1">
        <f t="array" ref="T779">IFERROR(VLOOKUP(Calculations[[#This Row],[Waste 1]],WasteScenario[#All],2,FALSE)*'Stage assumptions'!$C$225*WasteTransportMethod[Emissions Factor
kgCO2e/kg.km]*Calculations[[#This Row],[Total Kg]],0)</f>
        <v>0</v>
      </c>
      <c r="U779" s="322" cm="1">
        <f t="array" ref="U779">IFERROR(VLOOKUP(Calculations[[#This Row],[Waste 1]],WasteScenario[#All],3,FALSE)*'Stage assumptions'!$C$224*WasteTransportMethod[Emissions Factor
kgCO2e/kg.km]*Calculations[[#This Row],[Total Kg]],0)</f>
        <v>0</v>
      </c>
      <c r="V779" s="322" cm="1">
        <f t="array" ref="V779">IFERROR(VLOOKUP(Calculations[[#This Row],[Waste 1]],WasteScenario[#All],4,FALSE)*'Stage assumptions'!$C$223*WasteTransportMethod[Emissions Factor
kgCO2e/kg.km]*Calculations[[#This Row],[Total Kg]],0)</f>
        <v>0</v>
      </c>
      <c r="W779" s="322" cm="1">
        <f t="array" ref="W779">IFERROR(VLOOKUP(Calculations[[#This Row],[Waste 1]],WasteScenario[#All],5,FALSE)*'Stage assumptions'!$C$226*WasteTransportMethod[Emissions Factor
kgCO2e/kg.km]*Calculations[[#This Row],[Total Kg]],0)</f>
        <v>0</v>
      </c>
      <c r="X779" s="322">
        <f>SUM(Calculations[[#This Row],[C2 Recycle]:[C2 Reuse]])</f>
        <v>0</v>
      </c>
      <c r="Y779" t="str">
        <f>IFERROR(VLOOKUP(Calculations[[#This Row],[Material (choose from dropdown]],MaterialData[#All],5,FALSE),"")</f>
        <v/>
      </c>
      <c r="Z779" s="322">
        <f>IFERROR(((VLOOKUP(Calculations[[#This Row],[Waste type 2]],WasteDisposalEmissions[#All],2,FALSE))*Calculations[[#This Row],[Total Kg]])*VLOOKUP(Calculations[[#This Row],[Waste 1]],WasteScenario[#All],2,FALSE),0)</f>
        <v>0</v>
      </c>
      <c r="AA779" s="322">
        <f>IFERROR((VLOOKUP(Calculations[[#This Row],[Waste type 2]],WasteDisposalEmissions[#All],3,FALSE))*Calculations[[#This Row],[Total Kg]]*VLOOKUP(Calculations[[#This Row],[Waste 1]],WasteScenario[#All],3,FALSE),0)</f>
        <v>0</v>
      </c>
      <c r="AB779" s="322">
        <f>SUM(Calculations[[#This Row],[C3 recyc]:[C3 incin]])</f>
        <v>0</v>
      </c>
      <c r="AC779" s="334">
        <f>IFERROR((VLOOKUP(Calculations[[#This Row],[Waste type 2]],WasteLandfillEmissions[#All],2,FALSE))*Calculations[[#This Row],[Total Kg]]*VLOOKUP(Calculations[[#This Row],[Waste 1]],WasteScenario[#All],4,FALSE),0)</f>
        <v>0</v>
      </c>
      <c r="AD779" s="322">
        <f>IFERROR((VLOOKUP(Calculations[[#This Row],[Waste type 2]],WasteLandfillEmissions[#All],3,FALSE))*Calculations[[#This Row],[Total Kg]]*VLOOKUP(Calculations[[#This Row],[Waste 1]],WasteScenario[#All],4,FALSE),0)</f>
        <v>0</v>
      </c>
      <c r="AE779" s="322">
        <f>SUM(Calculations[[#This Row],[C4 landfill]:[C4 re-use]])</f>
        <v>0</v>
      </c>
      <c r="AF779" s="322">
        <f>IFERROR(VLOOKUP(Calculations[[#This Row],[Material (choose from dropdown]],MaterialData[#All],8,FALSE),0)</f>
        <v>0</v>
      </c>
      <c r="AG779" s="322">
        <f>IFERROR(Calculations[[#This Row],[Total Kg]]*Calculations[[#This Row],[Seq factor]],0)</f>
        <v>0</v>
      </c>
      <c r="AI779" s="322">
        <f>Calculations[[#This Row],[A1-3]]+Calculations[[#This Row],[A4]]+Calculations[[#This Row],[A5]]+Calculations[[#This Row],[B4]]+Calculations[[#This Row],[C2 total]]+Calculations[[#This Row],[C3 total]]+Calculations[[#This Row],[C4 total]]</f>
        <v>0</v>
      </c>
      <c r="AJ779" s="2">
        <f>IFERROR(VLOOKUP(Calculations[[#This Row],[Material (choose from dropdown]],MaterialData[[#Headers],[#Data]],9,FALSE),0)</f>
        <v>0</v>
      </c>
      <c r="AK779" s="4">
        <f>IFERROR(VLOOKUP(Calculations[[#This Row],[Material (choose from dropdown]],MaterialData[[#Headers],[#Data]],10,FALSE),0)</f>
        <v>0</v>
      </c>
      <c r="AL779" s="322">
        <f>IFERROR(Calculations[[#This Row],[Data Quality Score]]*Calculations[[#This Row],[Total Kg]],0)</f>
        <v>0</v>
      </c>
    </row>
    <row r="780" spans="1:38" x14ac:dyDescent="0.3">
      <c r="A780" s="6">
        <f>IFERROR(MaterialsBoQ[[#This Row],[Scope Element]],0)</f>
        <v>0</v>
      </c>
      <c r="B780" t="str">
        <f>IFERROR(MaterialsBoQ[[#This Row],[Material ]],"")</f>
        <v/>
      </c>
      <c r="C780" t="str">
        <f>IFERROR(MaterialsBoQ[[#This Row],[Unit]],"")</f>
        <v/>
      </c>
      <c r="D780" s="322">
        <f>IFERROR(MaterialsBoQ[[#This Row],[Number]],0)</f>
        <v>0</v>
      </c>
      <c r="E780" s="322">
        <f>IFERROR(MaterialsBoQ[[#This Row],[Kg per unit]],0)</f>
        <v>0</v>
      </c>
      <c r="F780" s="322">
        <f>IFERROR(Calculations[[#This Row],[Number]]*Calculations[[#This Row],[Conversion factor]],0)</f>
        <v>0</v>
      </c>
      <c r="G780" s="322">
        <f>IFERROR(VLOOKUP(Calculations[[#This Row],[Material (choose from dropdown]],MaterialData[#All],7,FALSE),0)</f>
        <v>0</v>
      </c>
      <c r="H780" s="322">
        <f>Calculations[[#This Row],[Total Kg]]*Calculations[[#This Row],[Carbon Factor]]</f>
        <v>0</v>
      </c>
      <c r="I780" t="str">
        <f>IFERROR(VLOOKUP(Calculations[[#This Row],[Material (choose from dropdown]],MaterialData[#All],2,FALSE),"")</f>
        <v/>
      </c>
      <c r="J780" s="322">
        <f>IFERROR(((VLOOKUP(Calculations[[#This Row],[TransportSource]],TransportDistance[],2,FALSE)*'Stage assumptions'!$C$11)+VLOOKUP(Calculations[[#This Row],[TransportSource]],TransportDistance[],3,FALSE)*'Stage assumptions'!$C$12)*Calculations[[#This Row],[Total Kg]],0)</f>
        <v>0</v>
      </c>
      <c r="K780">
        <f>IFERROR(VLOOKUP(Calculations[[#This Row],[Material (choose from dropdown]], MaterialData[#All],3, FALSE),0)</f>
        <v>0</v>
      </c>
      <c r="L780" s="322">
        <f>IFERROR(VLOOKUP(Calculations[[#This Row],[A5type]],A5WastageRate[#All],2,FALSE)*Calculations[[#This Row],[A1-3]],0)</f>
        <v>0</v>
      </c>
      <c r="N780">
        <f>IFERROR(ROUNDUP(50/VLOOKUP(Calculations[[#This Row],[Scope Element]],B4referenceServiceLife[[Tier 2 element]:[Default Service Life]],2, FALSE)-1,0),0)</f>
        <v>0</v>
      </c>
      <c r="O780" s="322">
        <f>IFERROR((Calculations[[#This Row],[A1-3]]+Calculations[[#This Row],[A4]]+Calculations[[#This Row],[A5]]+Calculations[[#This Row],[C2 total]]+Calculations[[#This Row],[C3 total]]+Calculations[[#This Row],[C4 total]])*Calculations[[#This Row],[Replacements]],0)</f>
        <v>0</v>
      </c>
      <c r="S780" t="str">
        <f>IFERROR(VLOOKUP(Calculations[[#This Row],[Material (choose from dropdown]],MaterialData[#All],4,FALSE),"")</f>
        <v/>
      </c>
      <c r="T780" s="322" cm="1">
        <f t="array" ref="T780">IFERROR(VLOOKUP(Calculations[[#This Row],[Waste 1]],WasteScenario[#All],2,FALSE)*'Stage assumptions'!$C$225*WasteTransportMethod[Emissions Factor
kgCO2e/kg.km]*Calculations[[#This Row],[Total Kg]],0)</f>
        <v>0</v>
      </c>
      <c r="U780" s="322" cm="1">
        <f t="array" ref="U780">IFERROR(VLOOKUP(Calculations[[#This Row],[Waste 1]],WasteScenario[#All],3,FALSE)*'Stage assumptions'!$C$224*WasteTransportMethod[Emissions Factor
kgCO2e/kg.km]*Calculations[[#This Row],[Total Kg]],0)</f>
        <v>0</v>
      </c>
      <c r="V780" s="322" cm="1">
        <f t="array" ref="V780">IFERROR(VLOOKUP(Calculations[[#This Row],[Waste 1]],WasteScenario[#All],4,FALSE)*'Stage assumptions'!$C$223*WasteTransportMethod[Emissions Factor
kgCO2e/kg.km]*Calculations[[#This Row],[Total Kg]],0)</f>
        <v>0</v>
      </c>
      <c r="W780" s="322" cm="1">
        <f t="array" ref="W780">IFERROR(VLOOKUP(Calculations[[#This Row],[Waste 1]],WasteScenario[#All],5,FALSE)*'Stage assumptions'!$C$226*WasteTransportMethod[Emissions Factor
kgCO2e/kg.km]*Calculations[[#This Row],[Total Kg]],0)</f>
        <v>0</v>
      </c>
      <c r="X780" s="322">
        <f>SUM(Calculations[[#This Row],[C2 Recycle]:[C2 Reuse]])</f>
        <v>0</v>
      </c>
      <c r="Y780" t="str">
        <f>IFERROR(VLOOKUP(Calculations[[#This Row],[Material (choose from dropdown]],MaterialData[#All],5,FALSE),"")</f>
        <v/>
      </c>
      <c r="Z780" s="322">
        <f>IFERROR(((VLOOKUP(Calculations[[#This Row],[Waste type 2]],WasteDisposalEmissions[#All],2,FALSE))*Calculations[[#This Row],[Total Kg]])*VLOOKUP(Calculations[[#This Row],[Waste 1]],WasteScenario[#All],2,FALSE),0)</f>
        <v>0</v>
      </c>
      <c r="AA780" s="322">
        <f>IFERROR((VLOOKUP(Calculations[[#This Row],[Waste type 2]],WasteDisposalEmissions[#All],3,FALSE))*Calculations[[#This Row],[Total Kg]]*VLOOKUP(Calculations[[#This Row],[Waste 1]],WasteScenario[#All],3,FALSE),0)</f>
        <v>0</v>
      </c>
      <c r="AB780" s="322">
        <f>SUM(Calculations[[#This Row],[C3 recyc]:[C3 incin]])</f>
        <v>0</v>
      </c>
      <c r="AC780" s="334">
        <f>IFERROR((VLOOKUP(Calculations[[#This Row],[Waste type 2]],WasteLandfillEmissions[#All],2,FALSE))*Calculations[[#This Row],[Total Kg]]*VLOOKUP(Calculations[[#This Row],[Waste 1]],WasteScenario[#All],4,FALSE),0)</f>
        <v>0</v>
      </c>
      <c r="AD780" s="322">
        <f>IFERROR((VLOOKUP(Calculations[[#This Row],[Waste type 2]],WasteLandfillEmissions[#All],3,FALSE))*Calculations[[#This Row],[Total Kg]]*VLOOKUP(Calculations[[#This Row],[Waste 1]],WasteScenario[#All],4,FALSE),0)</f>
        <v>0</v>
      </c>
      <c r="AE780" s="322">
        <f>SUM(Calculations[[#This Row],[C4 landfill]:[C4 re-use]])</f>
        <v>0</v>
      </c>
      <c r="AF780" s="322">
        <f>IFERROR(VLOOKUP(Calculations[[#This Row],[Material (choose from dropdown]],MaterialData[#All],8,FALSE),0)</f>
        <v>0</v>
      </c>
      <c r="AG780" s="322">
        <f>IFERROR(Calculations[[#This Row],[Total Kg]]*Calculations[[#This Row],[Seq factor]],0)</f>
        <v>0</v>
      </c>
      <c r="AI780" s="322">
        <f>Calculations[[#This Row],[A1-3]]+Calculations[[#This Row],[A4]]+Calculations[[#This Row],[A5]]+Calculations[[#This Row],[B4]]+Calculations[[#This Row],[C2 total]]+Calculations[[#This Row],[C3 total]]+Calculations[[#This Row],[C4 total]]</f>
        <v>0</v>
      </c>
      <c r="AJ780" s="2">
        <f>IFERROR(VLOOKUP(Calculations[[#This Row],[Material (choose from dropdown]],MaterialData[[#Headers],[#Data]],9,FALSE),0)</f>
        <v>0</v>
      </c>
      <c r="AK780" s="4">
        <f>IFERROR(VLOOKUP(Calculations[[#This Row],[Material (choose from dropdown]],MaterialData[[#Headers],[#Data]],10,FALSE),0)</f>
        <v>0</v>
      </c>
      <c r="AL780" s="322">
        <f>IFERROR(Calculations[[#This Row],[Data Quality Score]]*Calculations[[#This Row],[Total Kg]],0)</f>
        <v>0</v>
      </c>
    </row>
    <row r="781" spans="1:38" x14ac:dyDescent="0.3">
      <c r="A781" s="6">
        <f>IFERROR(MaterialsBoQ[[#This Row],[Scope Element]],0)</f>
        <v>0</v>
      </c>
      <c r="B781" t="str">
        <f>IFERROR(MaterialsBoQ[[#This Row],[Material ]],"")</f>
        <v/>
      </c>
      <c r="C781" t="str">
        <f>IFERROR(MaterialsBoQ[[#This Row],[Unit]],"")</f>
        <v/>
      </c>
      <c r="D781" s="322">
        <f>IFERROR(MaterialsBoQ[[#This Row],[Number]],0)</f>
        <v>0</v>
      </c>
      <c r="E781" s="322">
        <f>IFERROR(MaterialsBoQ[[#This Row],[Kg per unit]],0)</f>
        <v>0</v>
      </c>
      <c r="F781" s="322">
        <f>IFERROR(Calculations[[#This Row],[Number]]*Calculations[[#This Row],[Conversion factor]],0)</f>
        <v>0</v>
      </c>
      <c r="G781" s="322">
        <f>IFERROR(VLOOKUP(Calculations[[#This Row],[Material (choose from dropdown]],MaterialData[#All],7,FALSE),0)</f>
        <v>0</v>
      </c>
      <c r="H781" s="322">
        <f>Calculations[[#This Row],[Total Kg]]*Calculations[[#This Row],[Carbon Factor]]</f>
        <v>0</v>
      </c>
      <c r="I781" t="str">
        <f>IFERROR(VLOOKUP(Calculations[[#This Row],[Material (choose from dropdown]],MaterialData[#All],2,FALSE),"")</f>
        <v/>
      </c>
      <c r="J781" s="322">
        <f>IFERROR(((VLOOKUP(Calculations[[#This Row],[TransportSource]],TransportDistance[],2,FALSE)*'Stage assumptions'!$C$11)+VLOOKUP(Calculations[[#This Row],[TransportSource]],TransportDistance[],3,FALSE)*'Stage assumptions'!$C$12)*Calculations[[#This Row],[Total Kg]],0)</f>
        <v>0</v>
      </c>
      <c r="K781">
        <f>IFERROR(VLOOKUP(Calculations[[#This Row],[Material (choose from dropdown]], MaterialData[#All],3, FALSE),0)</f>
        <v>0</v>
      </c>
      <c r="L781" s="322">
        <f>IFERROR(VLOOKUP(Calculations[[#This Row],[A5type]],A5WastageRate[#All],2,FALSE)*Calculations[[#This Row],[A1-3]],0)</f>
        <v>0</v>
      </c>
      <c r="N781">
        <f>IFERROR(ROUNDUP(50/VLOOKUP(Calculations[[#This Row],[Scope Element]],B4referenceServiceLife[[Tier 2 element]:[Default Service Life]],2, FALSE)-1,0),0)</f>
        <v>0</v>
      </c>
      <c r="O781" s="322">
        <f>IFERROR((Calculations[[#This Row],[A1-3]]+Calculations[[#This Row],[A4]]+Calculations[[#This Row],[A5]]+Calculations[[#This Row],[C2 total]]+Calculations[[#This Row],[C3 total]]+Calculations[[#This Row],[C4 total]])*Calculations[[#This Row],[Replacements]],0)</f>
        <v>0</v>
      </c>
      <c r="S781" t="str">
        <f>IFERROR(VLOOKUP(Calculations[[#This Row],[Material (choose from dropdown]],MaterialData[#All],4,FALSE),"")</f>
        <v/>
      </c>
      <c r="T781" s="322" cm="1">
        <f t="array" ref="T781">IFERROR(VLOOKUP(Calculations[[#This Row],[Waste 1]],WasteScenario[#All],2,FALSE)*'Stage assumptions'!$C$225*WasteTransportMethod[Emissions Factor
kgCO2e/kg.km]*Calculations[[#This Row],[Total Kg]],0)</f>
        <v>0</v>
      </c>
      <c r="U781" s="322" cm="1">
        <f t="array" ref="U781">IFERROR(VLOOKUP(Calculations[[#This Row],[Waste 1]],WasteScenario[#All],3,FALSE)*'Stage assumptions'!$C$224*WasteTransportMethod[Emissions Factor
kgCO2e/kg.km]*Calculations[[#This Row],[Total Kg]],0)</f>
        <v>0</v>
      </c>
      <c r="V781" s="322" cm="1">
        <f t="array" ref="V781">IFERROR(VLOOKUP(Calculations[[#This Row],[Waste 1]],WasteScenario[#All],4,FALSE)*'Stage assumptions'!$C$223*WasteTransportMethod[Emissions Factor
kgCO2e/kg.km]*Calculations[[#This Row],[Total Kg]],0)</f>
        <v>0</v>
      </c>
      <c r="W781" s="322" cm="1">
        <f t="array" ref="W781">IFERROR(VLOOKUP(Calculations[[#This Row],[Waste 1]],WasteScenario[#All],5,FALSE)*'Stage assumptions'!$C$226*WasteTransportMethod[Emissions Factor
kgCO2e/kg.km]*Calculations[[#This Row],[Total Kg]],0)</f>
        <v>0</v>
      </c>
      <c r="X781" s="322">
        <f>SUM(Calculations[[#This Row],[C2 Recycle]:[C2 Reuse]])</f>
        <v>0</v>
      </c>
      <c r="Y781" t="str">
        <f>IFERROR(VLOOKUP(Calculations[[#This Row],[Material (choose from dropdown]],MaterialData[#All],5,FALSE),"")</f>
        <v/>
      </c>
      <c r="Z781" s="322">
        <f>IFERROR(((VLOOKUP(Calculations[[#This Row],[Waste type 2]],WasteDisposalEmissions[#All],2,FALSE))*Calculations[[#This Row],[Total Kg]])*VLOOKUP(Calculations[[#This Row],[Waste 1]],WasteScenario[#All],2,FALSE),0)</f>
        <v>0</v>
      </c>
      <c r="AA781" s="322">
        <f>IFERROR((VLOOKUP(Calculations[[#This Row],[Waste type 2]],WasteDisposalEmissions[#All],3,FALSE))*Calculations[[#This Row],[Total Kg]]*VLOOKUP(Calculations[[#This Row],[Waste 1]],WasteScenario[#All],3,FALSE),0)</f>
        <v>0</v>
      </c>
      <c r="AB781" s="322">
        <f>SUM(Calculations[[#This Row],[C3 recyc]:[C3 incin]])</f>
        <v>0</v>
      </c>
      <c r="AC781" s="334">
        <f>IFERROR((VLOOKUP(Calculations[[#This Row],[Waste type 2]],WasteLandfillEmissions[#All],2,FALSE))*Calculations[[#This Row],[Total Kg]]*VLOOKUP(Calculations[[#This Row],[Waste 1]],WasteScenario[#All],4,FALSE),0)</f>
        <v>0</v>
      </c>
      <c r="AD781" s="322">
        <f>IFERROR((VLOOKUP(Calculations[[#This Row],[Waste type 2]],WasteLandfillEmissions[#All],3,FALSE))*Calculations[[#This Row],[Total Kg]]*VLOOKUP(Calculations[[#This Row],[Waste 1]],WasteScenario[#All],4,FALSE),0)</f>
        <v>0</v>
      </c>
      <c r="AE781" s="322">
        <f>SUM(Calculations[[#This Row],[C4 landfill]:[C4 re-use]])</f>
        <v>0</v>
      </c>
      <c r="AF781" s="322">
        <f>IFERROR(VLOOKUP(Calculations[[#This Row],[Material (choose from dropdown]],MaterialData[#All],8,FALSE),0)</f>
        <v>0</v>
      </c>
      <c r="AG781" s="322">
        <f>IFERROR(Calculations[[#This Row],[Total Kg]]*Calculations[[#This Row],[Seq factor]],0)</f>
        <v>0</v>
      </c>
      <c r="AI781" s="322">
        <f>Calculations[[#This Row],[A1-3]]+Calculations[[#This Row],[A4]]+Calculations[[#This Row],[A5]]+Calculations[[#This Row],[B4]]+Calculations[[#This Row],[C2 total]]+Calculations[[#This Row],[C3 total]]+Calculations[[#This Row],[C4 total]]</f>
        <v>0</v>
      </c>
      <c r="AJ781" s="2">
        <f>IFERROR(VLOOKUP(Calculations[[#This Row],[Material (choose from dropdown]],MaterialData[[#Headers],[#Data]],9,FALSE),0)</f>
        <v>0</v>
      </c>
      <c r="AK781" s="4">
        <f>IFERROR(VLOOKUP(Calculations[[#This Row],[Material (choose from dropdown]],MaterialData[[#Headers],[#Data]],10,FALSE),0)</f>
        <v>0</v>
      </c>
      <c r="AL781" s="322">
        <f>IFERROR(Calculations[[#This Row],[Data Quality Score]]*Calculations[[#This Row],[Total Kg]],0)</f>
        <v>0</v>
      </c>
    </row>
    <row r="782" spans="1:38" x14ac:dyDescent="0.3">
      <c r="A782" s="6">
        <f>IFERROR(MaterialsBoQ[[#This Row],[Scope Element]],0)</f>
        <v>0</v>
      </c>
      <c r="B782" t="str">
        <f>IFERROR(MaterialsBoQ[[#This Row],[Material ]],"")</f>
        <v/>
      </c>
      <c r="C782" t="str">
        <f>IFERROR(MaterialsBoQ[[#This Row],[Unit]],"")</f>
        <v/>
      </c>
      <c r="D782" s="322">
        <f>IFERROR(MaterialsBoQ[[#This Row],[Number]],0)</f>
        <v>0</v>
      </c>
      <c r="E782" s="322">
        <f>IFERROR(MaterialsBoQ[[#This Row],[Kg per unit]],0)</f>
        <v>0</v>
      </c>
      <c r="F782" s="322">
        <f>IFERROR(Calculations[[#This Row],[Number]]*Calculations[[#This Row],[Conversion factor]],0)</f>
        <v>0</v>
      </c>
      <c r="G782" s="322">
        <f>IFERROR(VLOOKUP(Calculations[[#This Row],[Material (choose from dropdown]],MaterialData[#All],7,FALSE),0)</f>
        <v>0</v>
      </c>
      <c r="H782" s="322">
        <f>Calculations[[#This Row],[Total Kg]]*Calculations[[#This Row],[Carbon Factor]]</f>
        <v>0</v>
      </c>
      <c r="I782" t="str">
        <f>IFERROR(VLOOKUP(Calculations[[#This Row],[Material (choose from dropdown]],MaterialData[#All],2,FALSE),"")</f>
        <v/>
      </c>
      <c r="J782" s="322">
        <f>IFERROR(((VLOOKUP(Calculations[[#This Row],[TransportSource]],TransportDistance[],2,FALSE)*'Stage assumptions'!$C$11)+VLOOKUP(Calculations[[#This Row],[TransportSource]],TransportDistance[],3,FALSE)*'Stage assumptions'!$C$12)*Calculations[[#This Row],[Total Kg]],0)</f>
        <v>0</v>
      </c>
      <c r="K782">
        <f>IFERROR(VLOOKUP(Calculations[[#This Row],[Material (choose from dropdown]], MaterialData[#All],3, FALSE),0)</f>
        <v>0</v>
      </c>
      <c r="L782" s="322">
        <f>IFERROR(VLOOKUP(Calculations[[#This Row],[A5type]],A5WastageRate[#All],2,FALSE)*Calculations[[#This Row],[A1-3]],0)</f>
        <v>0</v>
      </c>
      <c r="N782">
        <f>IFERROR(ROUNDUP(50/VLOOKUP(Calculations[[#This Row],[Scope Element]],B4referenceServiceLife[[Tier 2 element]:[Default Service Life]],2, FALSE)-1,0),0)</f>
        <v>0</v>
      </c>
      <c r="O782" s="322">
        <f>IFERROR((Calculations[[#This Row],[A1-3]]+Calculations[[#This Row],[A4]]+Calculations[[#This Row],[A5]]+Calculations[[#This Row],[C2 total]]+Calculations[[#This Row],[C3 total]]+Calculations[[#This Row],[C4 total]])*Calculations[[#This Row],[Replacements]],0)</f>
        <v>0</v>
      </c>
      <c r="S782" t="str">
        <f>IFERROR(VLOOKUP(Calculations[[#This Row],[Material (choose from dropdown]],MaterialData[#All],4,FALSE),"")</f>
        <v/>
      </c>
      <c r="T782" s="322" cm="1">
        <f t="array" ref="T782">IFERROR(VLOOKUP(Calculations[[#This Row],[Waste 1]],WasteScenario[#All],2,FALSE)*'Stage assumptions'!$C$225*WasteTransportMethod[Emissions Factor
kgCO2e/kg.km]*Calculations[[#This Row],[Total Kg]],0)</f>
        <v>0</v>
      </c>
      <c r="U782" s="322" cm="1">
        <f t="array" ref="U782">IFERROR(VLOOKUP(Calculations[[#This Row],[Waste 1]],WasteScenario[#All],3,FALSE)*'Stage assumptions'!$C$224*WasteTransportMethod[Emissions Factor
kgCO2e/kg.km]*Calculations[[#This Row],[Total Kg]],0)</f>
        <v>0</v>
      </c>
      <c r="V782" s="322" cm="1">
        <f t="array" ref="V782">IFERROR(VLOOKUP(Calculations[[#This Row],[Waste 1]],WasteScenario[#All],4,FALSE)*'Stage assumptions'!$C$223*WasteTransportMethod[Emissions Factor
kgCO2e/kg.km]*Calculations[[#This Row],[Total Kg]],0)</f>
        <v>0</v>
      </c>
      <c r="W782" s="322" cm="1">
        <f t="array" ref="W782">IFERROR(VLOOKUP(Calculations[[#This Row],[Waste 1]],WasteScenario[#All],5,FALSE)*'Stage assumptions'!$C$226*WasteTransportMethod[Emissions Factor
kgCO2e/kg.km]*Calculations[[#This Row],[Total Kg]],0)</f>
        <v>0</v>
      </c>
      <c r="X782" s="322">
        <f>SUM(Calculations[[#This Row],[C2 Recycle]:[C2 Reuse]])</f>
        <v>0</v>
      </c>
      <c r="Y782" t="str">
        <f>IFERROR(VLOOKUP(Calculations[[#This Row],[Material (choose from dropdown]],MaterialData[#All],5,FALSE),"")</f>
        <v/>
      </c>
      <c r="Z782" s="322">
        <f>IFERROR(((VLOOKUP(Calculations[[#This Row],[Waste type 2]],WasteDisposalEmissions[#All],2,FALSE))*Calculations[[#This Row],[Total Kg]])*VLOOKUP(Calculations[[#This Row],[Waste 1]],WasteScenario[#All],2,FALSE),0)</f>
        <v>0</v>
      </c>
      <c r="AA782" s="322">
        <f>IFERROR((VLOOKUP(Calculations[[#This Row],[Waste type 2]],WasteDisposalEmissions[#All],3,FALSE))*Calculations[[#This Row],[Total Kg]]*VLOOKUP(Calculations[[#This Row],[Waste 1]],WasteScenario[#All],3,FALSE),0)</f>
        <v>0</v>
      </c>
      <c r="AB782" s="322">
        <f>SUM(Calculations[[#This Row],[C3 recyc]:[C3 incin]])</f>
        <v>0</v>
      </c>
      <c r="AC782" s="334">
        <f>IFERROR((VLOOKUP(Calculations[[#This Row],[Waste type 2]],WasteLandfillEmissions[#All],2,FALSE))*Calculations[[#This Row],[Total Kg]]*VLOOKUP(Calculations[[#This Row],[Waste 1]],WasteScenario[#All],4,FALSE),0)</f>
        <v>0</v>
      </c>
      <c r="AD782" s="322">
        <f>IFERROR((VLOOKUP(Calculations[[#This Row],[Waste type 2]],WasteLandfillEmissions[#All],3,FALSE))*Calculations[[#This Row],[Total Kg]]*VLOOKUP(Calculations[[#This Row],[Waste 1]],WasteScenario[#All],4,FALSE),0)</f>
        <v>0</v>
      </c>
      <c r="AE782" s="322">
        <f>SUM(Calculations[[#This Row],[C4 landfill]:[C4 re-use]])</f>
        <v>0</v>
      </c>
      <c r="AF782" s="322">
        <f>IFERROR(VLOOKUP(Calculations[[#This Row],[Material (choose from dropdown]],MaterialData[#All],8,FALSE),0)</f>
        <v>0</v>
      </c>
      <c r="AG782" s="322">
        <f>IFERROR(Calculations[[#This Row],[Total Kg]]*Calculations[[#This Row],[Seq factor]],0)</f>
        <v>0</v>
      </c>
      <c r="AI782" s="322">
        <f>Calculations[[#This Row],[A1-3]]+Calculations[[#This Row],[A4]]+Calculations[[#This Row],[A5]]+Calculations[[#This Row],[B4]]+Calculations[[#This Row],[C2 total]]+Calculations[[#This Row],[C3 total]]+Calculations[[#This Row],[C4 total]]</f>
        <v>0</v>
      </c>
      <c r="AJ782" s="2">
        <f>IFERROR(VLOOKUP(Calculations[[#This Row],[Material (choose from dropdown]],MaterialData[[#Headers],[#Data]],9,FALSE),0)</f>
        <v>0</v>
      </c>
      <c r="AK782" s="4">
        <f>IFERROR(VLOOKUP(Calculations[[#This Row],[Material (choose from dropdown]],MaterialData[[#Headers],[#Data]],10,FALSE),0)</f>
        <v>0</v>
      </c>
      <c r="AL782" s="322">
        <f>IFERROR(Calculations[[#This Row],[Data Quality Score]]*Calculations[[#This Row],[Total Kg]],0)</f>
        <v>0</v>
      </c>
    </row>
    <row r="783" spans="1:38" x14ac:dyDescent="0.3">
      <c r="A783" s="6">
        <f>IFERROR(MaterialsBoQ[[#This Row],[Scope Element]],0)</f>
        <v>0</v>
      </c>
      <c r="B783" t="str">
        <f>IFERROR(MaterialsBoQ[[#This Row],[Material ]],"")</f>
        <v/>
      </c>
      <c r="C783" t="str">
        <f>IFERROR(MaterialsBoQ[[#This Row],[Unit]],"")</f>
        <v/>
      </c>
      <c r="D783" s="322">
        <f>IFERROR(MaterialsBoQ[[#This Row],[Number]],0)</f>
        <v>0</v>
      </c>
      <c r="E783" s="322">
        <f>IFERROR(MaterialsBoQ[[#This Row],[Kg per unit]],0)</f>
        <v>0</v>
      </c>
      <c r="F783" s="322">
        <f>IFERROR(Calculations[[#This Row],[Number]]*Calculations[[#This Row],[Conversion factor]],0)</f>
        <v>0</v>
      </c>
      <c r="G783" s="322">
        <f>IFERROR(VLOOKUP(Calculations[[#This Row],[Material (choose from dropdown]],MaterialData[#All],7,FALSE),0)</f>
        <v>0</v>
      </c>
      <c r="H783" s="322">
        <f>Calculations[[#This Row],[Total Kg]]*Calculations[[#This Row],[Carbon Factor]]</f>
        <v>0</v>
      </c>
      <c r="I783" t="str">
        <f>IFERROR(VLOOKUP(Calculations[[#This Row],[Material (choose from dropdown]],MaterialData[#All],2,FALSE),"")</f>
        <v/>
      </c>
      <c r="J783" s="322">
        <f>IFERROR(((VLOOKUP(Calculations[[#This Row],[TransportSource]],TransportDistance[],2,FALSE)*'Stage assumptions'!$C$11)+VLOOKUP(Calculations[[#This Row],[TransportSource]],TransportDistance[],3,FALSE)*'Stage assumptions'!$C$12)*Calculations[[#This Row],[Total Kg]],0)</f>
        <v>0</v>
      </c>
      <c r="K783">
        <f>IFERROR(VLOOKUP(Calculations[[#This Row],[Material (choose from dropdown]], MaterialData[#All],3, FALSE),0)</f>
        <v>0</v>
      </c>
      <c r="L783" s="322">
        <f>IFERROR(VLOOKUP(Calculations[[#This Row],[A5type]],A5WastageRate[#All],2,FALSE)*Calculations[[#This Row],[A1-3]],0)</f>
        <v>0</v>
      </c>
      <c r="N783">
        <f>IFERROR(ROUNDUP(50/VLOOKUP(Calculations[[#This Row],[Scope Element]],B4referenceServiceLife[[Tier 2 element]:[Default Service Life]],2, FALSE)-1,0),0)</f>
        <v>0</v>
      </c>
      <c r="O783" s="322">
        <f>IFERROR((Calculations[[#This Row],[A1-3]]+Calculations[[#This Row],[A4]]+Calculations[[#This Row],[A5]]+Calculations[[#This Row],[C2 total]]+Calculations[[#This Row],[C3 total]]+Calculations[[#This Row],[C4 total]])*Calculations[[#This Row],[Replacements]],0)</f>
        <v>0</v>
      </c>
      <c r="S783" t="str">
        <f>IFERROR(VLOOKUP(Calculations[[#This Row],[Material (choose from dropdown]],MaterialData[#All],4,FALSE),"")</f>
        <v/>
      </c>
      <c r="T783" s="322" cm="1">
        <f t="array" ref="T783">IFERROR(VLOOKUP(Calculations[[#This Row],[Waste 1]],WasteScenario[#All],2,FALSE)*'Stage assumptions'!$C$225*WasteTransportMethod[Emissions Factor
kgCO2e/kg.km]*Calculations[[#This Row],[Total Kg]],0)</f>
        <v>0</v>
      </c>
      <c r="U783" s="322" cm="1">
        <f t="array" ref="U783">IFERROR(VLOOKUP(Calculations[[#This Row],[Waste 1]],WasteScenario[#All],3,FALSE)*'Stage assumptions'!$C$224*WasteTransportMethod[Emissions Factor
kgCO2e/kg.km]*Calculations[[#This Row],[Total Kg]],0)</f>
        <v>0</v>
      </c>
      <c r="V783" s="322" cm="1">
        <f t="array" ref="V783">IFERROR(VLOOKUP(Calculations[[#This Row],[Waste 1]],WasteScenario[#All],4,FALSE)*'Stage assumptions'!$C$223*WasteTransportMethod[Emissions Factor
kgCO2e/kg.km]*Calculations[[#This Row],[Total Kg]],0)</f>
        <v>0</v>
      </c>
      <c r="W783" s="322" cm="1">
        <f t="array" ref="W783">IFERROR(VLOOKUP(Calculations[[#This Row],[Waste 1]],WasteScenario[#All],5,FALSE)*'Stage assumptions'!$C$226*WasteTransportMethod[Emissions Factor
kgCO2e/kg.km]*Calculations[[#This Row],[Total Kg]],0)</f>
        <v>0</v>
      </c>
      <c r="X783" s="322">
        <f>SUM(Calculations[[#This Row],[C2 Recycle]:[C2 Reuse]])</f>
        <v>0</v>
      </c>
      <c r="Y783" t="str">
        <f>IFERROR(VLOOKUP(Calculations[[#This Row],[Material (choose from dropdown]],MaterialData[#All],5,FALSE),"")</f>
        <v/>
      </c>
      <c r="Z783" s="322">
        <f>IFERROR(((VLOOKUP(Calculations[[#This Row],[Waste type 2]],WasteDisposalEmissions[#All],2,FALSE))*Calculations[[#This Row],[Total Kg]])*VLOOKUP(Calculations[[#This Row],[Waste 1]],WasteScenario[#All],2,FALSE),0)</f>
        <v>0</v>
      </c>
      <c r="AA783" s="322">
        <f>IFERROR((VLOOKUP(Calculations[[#This Row],[Waste type 2]],WasteDisposalEmissions[#All],3,FALSE))*Calculations[[#This Row],[Total Kg]]*VLOOKUP(Calculations[[#This Row],[Waste 1]],WasteScenario[#All],3,FALSE),0)</f>
        <v>0</v>
      </c>
      <c r="AB783" s="322">
        <f>SUM(Calculations[[#This Row],[C3 recyc]:[C3 incin]])</f>
        <v>0</v>
      </c>
      <c r="AC783" s="334">
        <f>IFERROR((VLOOKUP(Calculations[[#This Row],[Waste type 2]],WasteLandfillEmissions[#All],2,FALSE))*Calculations[[#This Row],[Total Kg]]*VLOOKUP(Calculations[[#This Row],[Waste 1]],WasteScenario[#All],4,FALSE),0)</f>
        <v>0</v>
      </c>
      <c r="AD783" s="322">
        <f>IFERROR((VLOOKUP(Calculations[[#This Row],[Waste type 2]],WasteLandfillEmissions[#All],3,FALSE))*Calculations[[#This Row],[Total Kg]]*VLOOKUP(Calculations[[#This Row],[Waste 1]],WasteScenario[#All],4,FALSE),0)</f>
        <v>0</v>
      </c>
      <c r="AE783" s="322">
        <f>SUM(Calculations[[#This Row],[C4 landfill]:[C4 re-use]])</f>
        <v>0</v>
      </c>
      <c r="AF783" s="322">
        <f>IFERROR(VLOOKUP(Calculations[[#This Row],[Material (choose from dropdown]],MaterialData[#All],8,FALSE),0)</f>
        <v>0</v>
      </c>
      <c r="AG783" s="322">
        <f>IFERROR(Calculations[[#This Row],[Total Kg]]*Calculations[[#This Row],[Seq factor]],0)</f>
        <v>0</v>
      </c>
      <c r="AI783" s="322">
        <f>Calculations[[#This Row],[A1-3]]+Calculations[[#This Row],[A4]]+Calculations[[#This Row],[A5]]+Calculations[[#This Row],[B4]]+Calculations[[#This Row],[C2 total]]+Calculations[[#This Row],[C3 total]]+Calculations[[#This Row],[C4 total]]</f>
        <v>0</v>
      </c>
      <c r="AJ783" s="2">
        <f>IFERROR(VLOOKUP(Calculations[[#This Row],[Material (choose from dropdown]],MaterialData[[#Headers],[#Data]],9,FALSE),0)</f>
        <v>0</v>
      </c>
      <c r="AK783" s="4">
        <f>IFERROR(VLOOKUP(Calculations[[#This Row],[Material (choose from dropdown]],MaterialData[[#Headers],[#Data]],10,FALSE),0)</f>
        <v>0</v>
      </c>
      <c r="AL783" s="322">
        <f>IFERROR(Calculations[[#This Row],[Data Quality Score]]*Calculations[[#This Row],[Total Kg]],0)</f>
        <v>0</v>
      </c>
    </row>
    <row r="784" spans="1:38" x14ac:dyDescent="0.3">
      <c r="A784" s="6">
        <f>IFERROR(MaterialsBoQ[[#This Row],[Scope Element]],0)</f>
        <v>0</v>
      </c>
      <c r="B784" t="str">
        <f>IFERROR(MaterialsBoQ[[#This Row],[Material ]],"")</f>
        <v/>
      </c>
      <c r="C784" t="str">
        <f>IFERROR(MaterialsBoQ[[#This Row],[Unit]],"")</f>
        <v/>
      </c>
      <c r="D784" s="322">
        <f>IFERROR(MaterialsBoQ[[#This Row],[Number]],0)</f>
        <v>0</v>
      </c>
      <c r="E784" s="322">
        <f>IFERROR(MaterialsBoQ[[#This Row],[Kg per unit]],0)</f>
        <v>0</v>
      </c>
      <c r="F784" s="322">
        <f>IFERROR(Calculations[[#This Row],[Number]]*Calculations[[#This Row],[Conversion factor]],0)</f>
        <v>0</v>
      </c>
      <c r="G784" s="322">
        <f>IFERROR(VLOOKUP(Calculations[[#This Row],[Material (choose from dropdown]],MaterialData[#All],7,FALSE),0)</f>
        <v>0</v>
      </c>
      <c r="H784" s="322">
        <f>Calculations[[#This Row],[Total Kg]]*Calculations[[#This Row],[Carbon Factor]]</f>
        <v>0</v>
      </c>
      <c r="I784" t="str">
        <f>IFERROR(VLOOKUP(Calculations[[#This Row],[Material (choose from dropdown]],MaterialData[#All],2,FALSE),"")</f>
        <v/>
      </c>
      <c r="J784" s="322">
        <f>IFERROR(((VLOOKUP(Calculations[[#This Row],[TransportSource]],TransportDistance[],2,FALSE)*'Stage assumptions'!$C$11)+VLOOKUP(Calculations[[#This Row],[TransportSource]],TransportDistance[],3,FALSE)*'Stage assumptions'!$C$12)*Calculations[[#This Row],[Total Kg]],0)</f>
        <v>0</v>
      </c>
      <c r="K784">
        <f>IFERROR(VLOOKUP(Calculations[[#This Row],[Material (choose from dropdown]], MaterialData[#All],3, FALSE),0)</f>
        <v>0</v>
      </c>
      <c r="L784" s="322">
        <f>IFERROR(VLOOKUP(Calculations[[#This Row],[A5type]],A5WastageRate[#All],2,FALSE)*Calculations[[#This Row],[A1-3]],0)</f>
        <v>0</v>
      </c>
      <c r="N784">
        <f>IFERROR(ROUNDUP(50/VLOOKUP(Calculations[[#This Row],[Scope Element]],B4referenceServiceLife[[Tier 2 element]:[Default Service Life]],2, FALSE)-1,0),0)</f>
        <v>0</v>
      </c>
      <c r="O784" s="322">
        <f>IFERROR((Calculations[[#This Row],[A1-3]]+Calculations[[#This Row],[A4]]+Calculations[[#This Row],[A5]]+Calculations[[#This Row],[C2 total]]+Calculations[[#This Row],[C3 total]]+Calculations[[#This Row],[C4 total]])*Calculations[[#This Row],[Replacements]],0)</f>
        <v>0</v>
      </c>
      <c r="S784" t="str">
        <f>IFERROR(VLOOKUP(Calculations[[#This Row],[Material (choose from dropdown]],MaterialData[#All],4,FALSE),"")</f>
        <v/>
      </c>
      <c r="T784" s="322" cm="1">
        <f t="array" ref="T784">IFERROR(VLOOKUP(Calculations[[#This Row],[Waste 1]],WasteScenario[#All],2,FALSE)*'Stage assumptions'!$C$225*WasteTransportMethod[Emissions Factor
kgCO2e/kg.km]*Calculations[[#This Row],[Total Kg]],0)</f>
        <v>0</v>
      </c>
      <c r="U784" s="322" cm="1">
        <f t="array" ref="U784">IFERROR(VLOOKUP(Calculations[[#This Row],[Waste 1]],WasteScenario[#All],3,FALSE)*'Stage assumptions'!$C$224*WasteTransportMethod[Emissions Factor
kgCO2e/kg.km]*Calculations[[#This Row],[Total Kg]],0)</f>
        <v>0</v>
      </c>
      <c r="V784" s="322" cm="1">
        <f t="array" ref="V784">IFERROR(VLOOKUP(Calculations[[#This Row],[Waste 1]],WasteScenario[#All],4,FALSE)*'Stage assumptions'!$C$223*WasteTransportMethod[Emissions Factor
kgCO2e/kg.km]*Calculations[[#This Row],[Total Kg]],0)</f>
        <v>0</v>
      </c>
      <c r="W784" s="322" cm="1">
        <f t="array" ref="W784">IFERROR(VLOOKUP(Calculations[[#This Row],[Waste 1]],WasteScenario[#All],5,FALSE)*'Stage assumptions'!$C$226*WasteTransportMethod[Emissions Factor
kgCO2e/kg.km]*Calculations[[#This Row],[Total Kg]],0)</f>
        <v>0</v>
      </c>
      <c r="X784" s="322">
        <f>SUM(Calculations[[#This Row],[C2 Recycle]:[C2 Reuse]])</f>
        <v>0</v>
      </c>
      <c r="Y784" t="str">
        <f>IFERROR(VLOOKUP(Calculations[[#This Row],[Material (choose from dropdown]],MaterialData[#All],5,FALSE),"")</f>
        <v/>
      </c>
      <c r="Z784" s="322">
        <f>IFERROR(((VLOOKUP(Calculations[[#This Row],[Waste type 2]],WasteDisposalEmissions[#All],2,FALSE))*Calculations[[#This Row],[Total Kg]])*VLOOKUP(Calculations[[#This Row],[Waste 1]],WasteScenario[#All],2,FALSE),0)</f>
        <v>0</v>
      </c>
      <c r="AA784" s="322">
        <f>IFERROR((VLOOKUP(Calculations[[#This Row],[Waste type 2]],WasteDisposalEmissions[#All],3,FALSE))*Calculations[[#This Row],[Total Kg]]*VLOOKUP(Calculations[[#This Row],[Waste 1]],WasteScenario[#All],3,FALSE),0)</f>
        <v>0</v>
      </c>
      <c r="AB784" s="322">
        <f>SUM(Calculations[[#This Row],[C3 recyc]:[C3 incin]])</f>
        <v>0</v>
      </c>
      <c r="AC784" s="334">
        <f>IFERROR((VLOOKUP(Calculations[[#This Row],[Waste type 2]],WasteLandfillEmissions[#All],2,FALSE))*Calculations[[#This Row],[Total Kg]]*VLOOKUP(Calculations[[#This Row],[Waste 1]],WasteScenario[#All],4,FALSE),0)</f>
        <v>0</v>
      </c>
      <c r="AD784" s="322">
        <f>IFERROR((VLOOKUP(Calculations[[#This Row],[Waste type 2]],WasteLandfillEmissions[#All],3,FALSE))*Calculations[[#This Row],[Total Kg]]*VLOOKUP(Calculations[[#This Row],[Waste 1]],WasteScenario[#All],4,FALSE),0)</f>
        <v>0</v>
      </c>
      <c r="AE784" s="322">
        <f>SUM(Calculations[[#This Row],[C4 landfill]:[C4 re-use]])</f>
        <v>0</v>
      </c>
      <c r="AF784" s="322">
        <f>IFERROR(VLOOKUP(Calculations[[#This Row],[Material (choose from dropdown]],MaterialData[#All],8,FALSE),0)</f>
        <v>0</v>
      </c>
      <c r="AG784" s="322">
        <f>IFERROR(Calculations[[#This Row],[Total Kg]]*Calculations[[#This Row],[Seq factor]],0)</f>
        <v>0</v>
      </c>
      <c r="AI784" s="322">
        <f>Calculations[[#This Row],[A1-3]]+Calculations[[#This Row],[A4]]+Calculations[[#This Row],[A5]]+Calculations[[#This Row],[B4]]+Calculations[[#This Row],[C2 total]]+Calculations[[#This Row],[C3 total]]+Calculations[[#This Row],[C4 total]]</f>
        <v>0</v>
      </c>
      <c r="AJ784" s="2">
        <f>IFERROR(VLOOKUP(Calculations[[#This Row],[Material (choose from dropdown]],MaterialData[[#Headers],[#Data]],9,FALSE),0)</f>
        <v>0</v>
      </c>
      <c r="AK784" s="4">
        <f>IFERROR(VLOOKUP(Calculations[[#This Row],[Material (choose from dropdown]],MaterialData[[#Headers],[#Data]],10,FALSE),0)</f>
        <v>0</v>
      </c>
      <c r="AL784" s="322">
        <f>IFERROR(Calculations[[#This Row],[Data Quality Score]]*Calculations[[#This Row],[Total Kg]],0)</f>
        <v>0</v>
      </c>
    </row>
    <row r="785" spans="1:38" x14ac:dyDescent="0.3">
      <c r="A785" s="6">
        <f>IFERROR(MaterialsBoQ[[#This Row],[Scope Element]],0)</f>
        <v>0</v>
      </c>
      <c r="B785" t="str">
        <f>IFERROR(MaterialsBoQ[[#This Row],[Material ]],"")</f>
        <v/>
      </c>
      <c r="C785" t="str">
        <f>IFERROR(MaterialsBoQ[[#This Row],[Unit]],"")</f>
        <v/>
      </c>
      <c r="D785" s="322">
        <f>IFERROR(MaterialsBoQ[[#This Row],[Number]],0)</f>
        <v>0</v>
      </c>
      <c r="E785" s="322">
        <f>IFERROR(MaterialsBoQ[[#This Row],[Kg per unit]],0)</f>
        <v>0</v>
      </c>
      <c r="F785" s="322">
        <f>IFERROR(Calculations[[#This Row],[Number]]*Calculations[[#This Row],[Conversion factor]],0)</f>
        <v>0</v>
      </c>
      <c r="G785" s="322">
        <f>IFERROR(VLOOKUP(Calculations[[#This Row],[Material (choose from dropdown]],MaterialData[#All],7,FALSE),0)</f>
        <v>0</v>
      </c>
      <c r="H785" s="322">
        <f>Calculations[[#This Row],[Total Kg]]*Calculations[[#This Row],[Carbon Factor]]</f>
        <v>0</v>
      </c>
      <c r="I785" t="str">
        <f>IFERROR(VLOOKUP(Calculations[[#This Row],[Material (choose from dropdown]],MaterialData[#All],2,FALSE),"")</f>
        <v/>
      </c>
      <c r="J785" s="322">
        <f>IFERROR(((VLOOKUP(Calculations[[#This Row],[TransportSource]],TransportDistance[],2,FALSE)*'Stage assumptions'!$C$11)+VLOOKUP(Calculations[[#This Row],[TransportSource]],TransportDistance[],3,FALSE)*'Stage assumptions'!$C$12)*Calculations[[#This Row],[Total Kg]],0)</f>
        <v>0</v>
      </c>
      <c r="K785">
        <f>IFERROR(VLOOKUP(Calculations[[#This Row],[Material (choose from dropdown]], MaterialData[#All],3, FALSE),0)</f>
        <v>0</v>
      </c>
      <c r="L785" s="322">
        <f>IFERROR(VLOOKUP(Calculations[[#This Row],[A5type]],A5WastageRate[#All],2,FALSE)*Calculations[[#This Row],[A1-3]],0)</f>
        <v>0</v>
      </c>
      <c r="N785">
        <f>IFERROR(ROUNDUP(50/VLOOKUP(Calculations[[#This Row],[Scope Element]],B4referenceServiceLife[[Tier 2 element]:[Default Service Life]],2, FALSE)-1,0),0)</f>
        <v>0</v>
      </c>
      <c r="O785" s="322">
        <f>IFERROR((Calculations[[#This Row],[A1-3]]+Calculations[[#This Row],[A4]]+Calculations[[#This Row],[A5]]+Calculations[[#This Row],[C2 total]]+Calculations[[#This Row],[C3 total]]+Calculations[[#This Row],[C4 total]])*Calculations[[#This Row],[Replacements]],0)</f>
        <v>0</v>
      </c>
      <c r="S785" t="str">
        <f>IFERROR(VLOOKUP(Calculations[[#This Row],[Material (choose from dropdown]],MaterialData[#All],4,FALSE),"")</f>
        <v/>
      </c>
      <c r="T785" s="322" cm="1">
        <f t="array" ref="T785">IFERROR(VLOOKUP(Calculations[[#This Row],[Waste 1]],WasteScenario[#All],2,FALSE)*'Stage assumptions'!$C$225*WasteTransportMethod[Emissions Factor
kgCO2e/kg.km]*Calculations[[#This Row],[Total Kg]],0)</f>
        <v>0</v>
      </c>
      <c r="U785" s="322" cm="1">
        <f t="array" ref="U785">IFERROR(VLOOKUP(Calculations[[#This Row],[Waste 1]],WasteScenario[#All],3,FALSE)*'Stage assumptions'!$C$224*WasteTransportMethod[Emissions Factor
kgCO2e/kg.km]*Calculations[[#This Row],[Total Kg]],0)</f>
        <v>0</v>
      </c>
      <c r="V785" s="322" cm="1">
        <f t="array" ref="V785">IFERROR(VLOOKUP(Calculations[[#This Row],[Waste 1]],WasteScenario[#All],4,FALSE)*'Stage assumptions'!$C$223*WasteTransportMethod[Emissions Factor
kgCO2e/kg.km]*Calculations[[#This Row],[Total Kg]],0)</f>
        <v>0</v>
      </c>
      <c r="W785" s="322" cm="1">
        <f t="array" ref="W785">IFERROR(VLOOKUP(Calculations[[#This Row],[Waste 1]],WasteScenario[#All],5,FALSE)*'Stage assumptions'!$C$226*WasteTransportMethod[Emissions Factor
kgCO2e/kg.km]*Calculations[[#This Row],[Total Kg]],0)</f>
        <v>0</v>
      </c>
      <c r="X785" s="322">
        <f>SUM(Calculations[[#This Row],[C2 Recycle]:[C2 Reuse]])</f>
        <v>0</v>
      </c>
      <c r="Y785" t="str">
        <f>IFERROR(VLOOKUP(Calculations[[#This Row],[Material (choose from dropdown]],MaterialData[#All],5,FALSE),"")</f>
        <v/>
      </c>
      <c r="Z785" s="322">
        <f>IFERROR(((VLOOKUP(Calculations[[#This Row],[Waste type 2]],WasteDisposalEmissions[#All],2,FALSE))*Calculations[[#This Row],[Total Kg]])*VLOOKUP(Calculations[[#This Row],[Waste 1]],WasteScenario[#All],2,FALSE),0)</f>
        <v>0</v>
      </c>
      <c r="AA785" s="322">
        <f>IFERROR((VLOOKUP(Calculations[[#This Row],[Waste type 2]],WasteDisposalEmissions[#All],3,FALSE))*Calculations[[#This Row],[Total Kg]]*VLOOKUP(Calculations[[#This Row],[Waste 1]],WasteScenario[#All],3,FALSE),0)</f>
        <v>0</v>
      </c>
      <c r="AB785" s="322">
        <f>SUM(Calculations[[#This Row],[C3 recyc]:[C3 incin]])</f>
        <v>0</v>
      </c>
      <c r="AC785" s="334">
        <f>IFERROR((VLOOKUP(Calculations[[#This Row],[Waste type 2]],WasteLandfillEmissions[#All],2,FALSE))*Calculations[[#This Row],[Total Kg]]*VLOOKUP(Calculations[[#This Row],[Waste 1]],WasteScenario[#All],4,FALSE),0)</f>
        <v>0</v>
      </c>
      <c r="AD785" s="322">
        <f>IFERROR((VLOOKUP(Calculations[[#This Row],[Waste type 2]],WasteLandfillEmissions[#All],3,FALSE))*Calculations[[#This Row],[Total Kg]]*VLOOKUP(Calculations[[#This Row],[Waste 1]],WasteScenario[#All],4,FALSE),0)</f>
        <v>0</v>
      </c>
      <c r="AE785" s="322">
        <f>SUM(Calculations[[#This Row],[C4 landfill]:[C4 re-use]])</f>
        <v>0</v>
      </c>
      <c r="AF785" s="322">
        <f>IFERROR(VLOOKUP(Calculations[[#This Row],[Material (choose from dropdown]],MaterialData[#All],8,FALSE),0)</f>
        <v>0</v>
      </c>
      <c r="AG785" s="322">
        <f>IFERROR(Calculations[[#This Row],[Total Kg]]*Calculations[[#This Row],[Seq factor]],0)</f>
        <v>0</v>
      </c>
      <c r="AI785" s="322">
        <f>Calculations[[#This Row],[A1-3]]+Calculations[[#This Row],[A4]]+Calculations[[#This Row],[A5]]+Calculations[[#This Row],[B4]]+Calculations[[#This Row],[C2 total]]+Calculations[[#This Row],[C3 total]]+Calculations[[#This Row],[C4 total]]</f>
        <v>0</v>
      </c>
      <c r="AJ785" s="2">
        <f>IFERROR(VLOOKUP(Calculations[[#This Row],[Material (choose from dropdown]],MaterialData[[#Headers],[#Data]],9,FALSE),0)</f>
        <v>0</v>
      </c>
      <c r="AK785" s="4">
        <f>IFERROR(VLOOKUP(Calculations[[#This Row],[Material (choose from dropdown]],MaterialData[[#Headers],[#Data]],10,FALSE),0)</f>
        <v>0</v>
      </c>
      <c r="AL785" s="322">
        <f>IFERROR(Calculations[[#This Row],[Data Quality Score]]*Calculations[[#This Row],[Total Kg]],0)</f>
        <v>0</v>
      </c>
    </row>
    <row r="786" spans="1:38" x14ac:dyDescent="0.3">
      <c r="A786" s="6">
        <f>IFERROR(MaterialsBoQ[[#This Row],[Scope Element]],0)</f>
        <v>0</v>
      </c>
      <c r="B786" t="str">
        <f>IFERROR(MaterialsBoQ[[#This Row],[Material ]],"")</f>
        <v/>
      </c>
      <c r="C786" t="str">
        <f>IFERROR(MaterialsBoQ[[#This Row],[Unit]],"")</f>
        <v/>
      </c>
      <c r="D786" s="322">
        <f>IFERROR(MaterialsBoQ[[#This Row],[Number]],0)</f>
        <v>0</v>
      </c>
      <c r="E786" s="322">
        <f>IFERROR(MaterialsBoQ[[#This Row],[Kg per unit]],0)</f>
        <v>0</v>
      </c>
      <c r="F786" s="322">
        <f>IFERROR(Calculations[[#This Row],[Number]]*Calculations[[#This Row],[Conversion factor]],0)</f>
        <v>0</v>
      </c>
      <c r="G786" s="322">
        <f>IFERROR(VLOOKUP(Calculations[[#This Row],[Material (choose from dropdown]],MaterialData[#All],7,FALSE),0)</f>
        <v>0</v>
      </c>
      <c r="H786" s="322">
        <f>Calculations[[#This Row],[Total Kg]]*Calculations[[#This Row],[Carbon Factor]]</f>
        <v>0</v>
      </c>
      <c r="I786" t="str">
        <f>IFERROR(VLOOKUP(Calculations[[#This Row],[Material (choose from dropdown]],MaterialData[#All],2,FALSE),"")</f>
        <v/>
      </c>
      <c r="J786" s="322">
        <f>IFERROR(((VLOOKUP(Calculations[[#This Row],[TransportSource]],TransportDistance[],2,FALSE)*'Stage assumptions'!$C$11)+VLOOKUP(Calculations[[#This Row],[TransportSource]],TransportDistance[],3,FALSE)*'Stage assumptions'!$C$12)*Calculations[[#This Row],[Total Kg]],0)</f>
        <v>0</v>
      </c>
      <c r="K786">
        <f>IFERROR(VLOOKUP(Calculations[[#This Row],[Material (choose from dropdown]], MaterialData[#All],3, FALSE),0)</f>
        <v>0</v>
      </c>
      <c r="L786" s="322">
        <f>IFERROR(VLOOKUP(Calculations[[#This Row],[A5type]],A5WastageRate[#All],2,FALSE)*Calculations[[#This Row],[A1-3]],0)</f>
        <v>0</v>
      </c>
      <c r="N786">
        <f>IFERROR(ROUNDUP(50/VLOOKUP(Calculations[[#This Row],[Scope Element]],B4referenceServiceLife[[Tier 2 element]:[Default Service Life]],2, FALSE)-1,0),0)</f>
        <v>0</v>
      </c>
      <c r="O786" s="322">
        <f>IFERROR((Calculations[[#This Row],[A1-3]]+Calculations[[#This Row],[A4]]+Calculations[[#This Row],[A5]]+Calculations[[#This Row],[C2 total]]+Calculations[[#This Row],[C3 total]]+Calculations[[#This Row],[C4 total]])*Calculations[[#This Row],[Replacements]],0)</f>
        <v>0</v>
      </c>
      <c r="S786" t="str">
        <f>IFERROR(VLOOKUP(Calculations[[#This Row],[Material (choose from dropdown]],MaterialData[#All],4,FALSE),"")</f>
        <v/>
      </c>
      <c r="T786" s="322" cm="1">
        <f t="array" ref="T786">IFERROR(VLOOKUP(Calculations[[#This Row],[Waste 1]],WasteScenario[#All],2,FALSE)*'Stage assumptions'!$C$225*WasteTransportMethod[Emissions Factor
kgCO2e/kg.km]*Calculations[[#This Row],[Total Kg]],0)</f>
        <v>0</v>
      </c>
      <c r="U786" s="322" cm="1">
        <f t="array" ref="U786">IFERROR(VLOOKUP(Calculations[[#This Row],[Waste 1]],WasteScenario[#All],3,FALSE)*'Stage assumptions'!$C$224*WasteTransportMethod[Emissions Factor
kgCO2e/kg.km]*Calculations[[#This Row],[Total Kg]],0)</f>
        <v>0</v>
      </c>
      <c r="V786" s="322" cm="1">
        <f t="array" ref="V786">IFERROR(VLOOKUP(Calculations[[#This Row],[Waste 1]],WasteScenario[#All],4,FALSE)*'Stage assumptions'!$C$223*WasteTransportMethod[Emissions Factor
kgCO2e/kg.km]*Calculations[[#This Row],[Total Kg]],0)</f>
        <v>0</v>
      </c>
      <c r="W786" s="322" cm="1">
        <f t="array" ref="W786">IFERROR(VLOOKUP(Calculations[[#This Row],[Waste 1]],WasteScenario[#All],5,FALSE)*'Stage assumptions'!$C$226*WasteTransportMethod[Emissions Factor
kgCO2e/kg.km]*Calculations[[#This Row],[Total Kg]],0)</f>
        <v>0</v>
      </c>
      <c r="X786" s="322">
        <f>SUM(Calculations[[#This Row],[C2 Recycle]:[C2 Reuse]])</f>
        <v>0</v>
      </c>
      <c r="Y786" t="str">
        <f>IFERROR(VLOOKUP(Calculations[[#This Row],[Material (choose from dropdown]],MaterialData[#All],5,FALSE),"")</f>
        <v/>
      </c>
      <c r="Z786" s="322">
        <f>IFERROR(((VLOOKUP(Calculations[[#This Row],[Waste type 2]],WasteDisposalEmissions[#All],2,FALSE))*Calculations[[#This Row],[Total Kg]])*VLOOKUP(Calculations[[#This Row],[Waste 1]],WasteScenario[#All],2,FALSE),0)</f>
        <v>0</v>
      </c>
      <c r="AA786" s="322">
        <f>IFERROR((VLOOKUP(Calculations[[#This Row],[Waste type 2]],WasteDisposalEmissions[#All],3,FALSE))*Calculations[[#This Row],[Total Kg]]*VLOOKUP(Calculations[[#This Row],[Waste 1]],WasteScenario[#All],3,FALSE),0)</f>
        <v>0</v>
      </c>
      <c r="AB786" s="322">
        <f>SUM(Calculations[[#This Row],[C3 recyc]:[C3 incin]])</f>
        <v>0</v>
      </c>
      <c r="AC786" s="334">
        <f>IFERROR((VLOOKUP(Calculations[[#This Row],[Waste type 2]],WasteLandfillEmissions[#All],2,FALSE))*Calculations[[#This Row],[Total Kg]]*VLOOKUP(Calculations[[#This Row],[Waste 1]],WasteScenario[#All],4,FALSE),0)</f>
        <v>0</v>
      </c>
      <c r="AD786" s="322">
        <f>IFERROR((VLOOKUP(Calculations[[#This Row],[Waste type 2]],WasteLandfillEmissions[#All],3,FALSE))*Calculations[[#This Row],[Total Kg]]*VLOOKUP(Calculations[[#This Row],[Waste 1]],WasteScenario[#All],4,FALSE),0)</f>
        <v>0</v>
      </c>
      <c r="AE786" s="322">
        <f>SUM(Calculations[[#This Row],[C4 landfill]:[C4 re-use]])</f>
        <v>0</v>
      </c>
      <c r="AF786" s="322">
        <f>IFERROR(VLOOKUP(Calculations[[#This Row],[Material (choose from dropdown]],MaterialData[#All],8,FALSE),0)</f>
        <v>0</v>
      </c>
      <c r="AG786" s="322">
        <f>IFERROR(Calculations[[#This Row],[Total Kg]]*Calculations[[#This Row],[Seq factor]],0)</f>
        <v>0</v>
      </c>
      <c r="AI786" s="322">
        <f>Calculations[[#This Row],[A1-3]]+Calculations[[#This Row],[A4]]+Calculations[[#This Row],[A5]]+Calculations[[#This Row],[B4]]+Calculations[[#This Row],[C2 total]]+Calculations[[#This Row],[C3 total]]+Calculations[[#This Row],[C4 total]]</f>
        <v>0</v>
      </c>
      <c r="AJ786" s="2">
        <f>IFERROR(VLOOKUP(Calculations[[#This Row],[Material (choose from dropdown]],MaterialData[[#Headers],[#Data]],9,FALSE),0)</f>
        <v>0</v>
      </c>
      <c r="AK786" s="4">
        <f>IFERROR(VLOOKUP(Calculations[[#This Row],[Material (choose from dropdown]],MaterialData[[#Headers],[#Data]],10,FALSE),0)</f>
        <v>0</v>
      </c>
      <c r="AL786" s="322">
        <f>IFERROR(Calculations[[#This Row],[Data Quality Score]]*Calculations[[#This Row],[Total Kg]],0)</f>
        <v>0</v>
      </c>
    </row>
    <row r="787" spans="1:38" x14ac:dyDescent="0.3">
      <c r="A787" s="6">
        <f>IFERROR(MaterialsBoQ[[#This Row],[Scope Element]],0)</f>
        <v>0</v>
      </c>
      <c r="B787" t="str">
        <f>IFERROR(MaterialsBoQ[[#This Row],[Material ]],"")</f>
        <v/>
      </c>
      <c r="C787" t="str">
        <f>IFERROR(MaterialsBoQ[[#This Row],[Unit]],"")</f>
        <v/>
      </c>
      <c r="D787" s="322">
        <f>IFERROR(MaterialsBoQ[[#This Row],[Number]],0)</f>
        <v>0</v>
      </c>
      <c r="E787" s="322">
        <f>IFERROR(MaterialsBoQ[[#This Row],[Kg per unit]],0)</f>
        <v>0</v>
      </c>
      <c r="F787" s="322">
        <f>IFERROR(Calculations[[#This Row],[Number]]*Calculations[[#This Row],[Conversion factor]],0)</f>
        <v>0</v>
      </c>
      <c r="G787" s="322">
        <f>IFERROR(VLOOKUP(Calculations[[#This Row],[Material (choose from dropdown]],MaterialData[#All],7,FALSE),0)</f>
        <v>0</v>
      </c>
      <c r="H787" s="322">
        <f>Calculations[[#This Row],[Total Kg]]*Calculations[[#This Row],[Carbon Factor]]</f>
        <v>0</v>
      </c>
      <c r="I787" t="str">
        <f>IFERROR(VLOOKUP(Calculations[[#This Row],[Material (choose from dropdown]],MaterialData[#All],2,FALSE),"")</f>
        <v/>
      </c>
      <c r="J787" s="322">
        <f>IFERROR(((VLOOKUP(Calculations[[#This Row],[TransportSource]],TransportDistance[],2,FALSE)*'Stage assumptions'!$C$11)+VLOOKUP(Calculations[[#This Row],[TransportSource]],TransportDistance[],3,FALSE)*'Stage assumptions'!$C$12)*Calculations[[#This Row],[Total Kg]],0)</f>
        <v>0</v>
      </c>
      <c r="K787">
        <f>IFERROR(VLOOKUP(Calculations[[#This Row],[Material (choose from dropdown]], MaterialData[#All],3, FALSE),0)</f>
        <v>0</v>
      </c>
      <c r="L787" s="322">
        <f>IFERROR(VLOOKUP(Calculations[[#This Row],[A5type]],A5WastageRate[#All],2,FALSE)*Calculations[[#This Row],[A1-3]],0)</f>
        <v>0</v>
      </c>
      <c r="N787">
        <f>IFERROR(ROUNDUP(50/VLOOKUP(Calculations[[#This Row],[Scope Element]],B4referenceServiceLife[[Tier 2 element]:[Default Service Life]],2, FALSE)-1,0),0)</f>
        <v>0</v>
      </c>
      <c r="O787" s="322">
        <f>IFERROR((Calculations[[#This Row],[A1-3]]+Calculations[[#This Row],[A4]]+Calculations[[#This Row],[A5]]+Calculations[[#This Row],[C2 total]]+Calculations[[#This Row],[C3 total]]+Calculations[[#This Row],[C4 total]])*Calculations[[#This Row],[Replacements]],0)</f>
        <v>0</v>
      </c>
      <c r="S787" t="str">
        <f>IFERROR(VLOOKUP(Calculations[[#This Row],[Material (choose from dropdown]],MaterialData[#All],4,FALSE),"")</f>
        <v/>
      </c>
      <c r="T787" s="322" cm="1">
        <f t="array" ref="T787">IFERROR(VLOOKUP(Calculations[[#This Row],[Waste 1]],WasteScenario[#All],2,FALSE)*'Stage assumptions'!$C$225*WasteTransportMethod[Emissions Factor
kgCO2e/kg.km]*Calculations[[#This Row],[Total Kg]],0)</f>
        <v>0</v>
      </c>
      <c r="U787" s="322" cm="1">
        <f t="array" ref="U787">IFERROR(VLOOKUP(Calculations[[#This Row],[Waste 1]],WasteScenario[#All],3,FALSE)*'Stage assumptions'!$C$224*WasteTransportMethod[Emissions Factor
kgCO2e/kg.km]*Calculations[[#This Row],[Total Kg]],0)</f>
        <v>0</v>
      </c>
      <c r="V787" s="322" cm="1">
        <f t="array" ref="V787">IFERROR(VLOOKUP(Calculations[[#This Row],[Waste 1]],WasteScenario[#All],4,FALSE)*'Stage assumptions'!$C$223*WasteTransportMethod[Emissions Factor
kgCO2e/kg.km]*Calculations[[#This Row],[Total Kg]],0)</f>
        <v>0</v>
      </c>
      <c r="W787" s="322" cm="1">
        <f t="array" ref="W787">IFERROR(VLOOKUP(Calculations[[#This Row],[Waste 1]],WasteScenario[#All],5,FALSE)*'Stage assumptions'!$C$226*WasteTransportMethod[Emissions Factor
kgCO2e/kg.km]*Calculations[[#This Row],[Total Kg]],0)</f>
        <v>0</v>
      </c>
      <c r="X787" s="322">
        <f>SUM(Calculations[[#This Row],[C2 Recycle]:[C2 Reuse]])</f>
        <v>0</v>
      </c>
      <c r="Y787" t="str">
        <f>IFERROR(VLOOKUP(Calculations[[#This Row],[Material (choose from dropdown]],MaterialData[#All],5,FALSE),"")</f>
        <v/>
      </c>
      <c r="Z787" s="322">
        <f>IFERROR(((VLOOKUP(Calculations[[#This Row],[Waste type 2]],WasteDisposalEmissions[#All],2,FALSE))*Calculations[[#This Row],[Total Kg]])*VLOOKUP(Calculations[[#This Row],[Waste 1]],WasteScenario[#All],2,FALSE),0)</f>
        <v>0</v>
      </c>
      <c r="AA787" s="322">
        <f>IFERROR((VLOOKUP(Calculations[[#This Row],[Waste type 2]],WasteDisposalEmissions[#All],3,FALSE))*Calculations[[#This Row],[Total Kg]]*VLOOKUP(Calculations[[#This Row],[Waste 1]],WasteScenario[#All],3,FALSE),0)</f>
        <v>0</v>
      </c>
      <c r="AB787" s="322">
        <f>SUM(Calculations[[#This Row],[C3 recyc]:[C3 incin]])</f>
        <v>0</v>
      </c>
      <c r="AC787" s="334">
        <f>IFERROR((VLOOKUP(Calculations[[#This Row],[Waste type 2]],WasteLandfillEmissions[#All],2,FALSE))*Calculations[[#This Row],[Total Kg]]*VLOOKUP(Calculations[[#This Row],[Waste 1]],WasteScenario[#All],4,FALSE),0)</f>
        <v>0</v>
      </c>
      <c r="AD787" s="322">
        <f>IFERROR((VLOOKUP(Calculations[[#This Row],[Waste type 2]],WasteLandfillEmissions[#All],3,FALSE))*Calculations[[#This Row],[Total Kg]]*VLOOKUP(Calculations[[#This Row],[Waste 1]],WasteScenario[#All],4,FALSE),0)</f>
        <v>0</v>
      </c>
      <c r="AE787" s="322">
        <f>SUM(Calculations[[#This Row],[C4 landfill]:[C4 re-use]])</f>
        <v>0</v>
      </c>
      <c r="AF787" s="322">
        <f>IFERROR(VLOOKUP(Calculations[[#This Row],[Material (choose from dropdown]],MaterialData[#All],8,FALSE),0)</f>
        <v>0</v>
      </c>
      <c r="AG787" s="322">
        <f>IFERROR(Calculations[[#This Row],[Total Kg]]*Calculations[[#This Row],[Seq factor]],0)</f>
        <v>0</v>
      </c>
      <c r="AI787" s="322">
        <f>Calculations[[#This Row],[A1-3]]+Calculations[[#This Row],[A4]]+Calculations[[#This Row],[A5]]+Calculations[[#This Row],[B4]]+Calculations[[#This Row],[C2 total]]+Calculations[[#This Row],[C3 total]]+Calculations[[#This Row],[C4 total]]</f>
        <v>0</v>
      </c>
      <c r="AJ787" s="2">
        <f>IFERROR(VLOOKUP(Calculations[[#This Row],[Material (choose from dropdown]],MaterialData[[#Headers],[#Data]],9,FALSE),0)</f>
        <v>0</v>
      </c>
      <c r="AK787" s="4">
        <f>IFERROR(VLOOKUP(Calculations[[#This Row],[Material (choose from dropdown]],MaterialData[[#Headers],[#Data]],10,FALSE),0)</f>
        <v>0</v>
      </c>
      <c r="AL787" s="322">
        <f>IFERROR(Calculations[[#This Row],[Data Quality Score]]*Calculations[[#This Row],[Total Kg]],0)</f>
        <v>0</v>
      </c>
    </row>
    <row r="788" spans="1:38" x14ac:dyDescent="0.3">
      <c r="A788" s="6">
        <f>IFERROR(MaterialsBoQ[[#This Row],[Scope Element]],0)</f>
        <v>0</v>
      </c>
      <c r="B788" t="str">
        <f>IFERROR(MaterialsBoQ[[#This Row],[Material ]],"")</f>
        <v/>
      </c>
      <c r="C788" t="str">
        <f>IFERROR(MaterialsBoQ[[#This Row],[Unit]],"")</f>
        <v/>
      </c>
      <c r="D788" s="322">
        <f>IFERROR(MaterialsBoQ[[#This Row],[Number]],0)</f>
        <v>0</v>
      </c>
      <c r="E788" s="322">
        <f>IFERROR(MaterialsBoQ[[#This Row],[Kg per unit]],0)</f>
        <v>0</v>
      </c>
      <c r="F788" s="322">
        <f>IFERROR(Calculations[[#This Row],[Number]]*Calculations[[#This Row],[Conversion factor]],0)</f>
        <v>0</v>
      </c>
      <c r="G788" s="322">
        <f>IFERROR(VLOOKUP(Calculations[[#This Row],[Material (choose from dropdown]],MaterialData[#All],7,FALSE),0)</f>
        <v>0</v>
      </c>
      <c r="H788" s="322">
        <f>Calculations[[#This Row],[Total Kg]]*Calculations[[#This Row],[Carbon Factor]]</f>
        <v>0</v>
      </c>
      <c r="I788" t="str">
        <f>IFERROR(VLOOKUP(Calculations[[#This Row],[Material (choose from dropdown]],MaterialData[#All],2,FALSE),"")</f>
        <v/>
      </c>
      <c r="J788" s="322">
        <f>IFERROR(((VLOOKUP(Calculations[[#This Row],[TransportSource]],TransportDistance[],2,FALSE)*'Stage assumptions'!$C$11)+VLOOKUP(Calculations[[#This Row],[TransportSource]],TransportDistance[],3,FALSE)*'Stage assumptions'!$C$12)*Calculations[[#This Row],[Total Kg]],0)</f>
        <v>0</v>
      </c>
      <c r="K788">
        <f>IFERROR(VLOOKUP(Calculations[[#This Row],[Material (choose from dropdown]], MaterialData[#All],3, FALSE),0)</f>
        <v>0</v>
      </c>
      <c r="L788" s="322">
        <f>IFERROR(VLOOKUP(Calculations[[#This Row],[A5type]],A5WastageRate[#All],2,FALSE)*Calculations[[#This Row],[A1-3]],0)</f>
        <v>0</v>
      </c>
      <c r="N788">
        <f>IFERROR(ROUNDUP(50/VLOOKUP(Calculations[[#This Row],[Scope Element]],B4referenceServiceLife[[Tier 2 element]:[Default Service Life]],2, FALSE)-1,0),0)</f>
        <v>0</v>
      </c>
      <c r="O788" s="322">
        <f>IFERROR((Calculations[[#This Row],[A1-3]]+Calculations[[#This Row],[A4]]+Calculations[[#This Row],[A5]]+Calculations[[#This Row],[C2 total]]+Calculations[[#This Row],[C3 total]]+Calculations[[#This Row],[C4 total]])*Calculations[[#This Row],[Replacements]],0)</f>
        <v>0</v>
      </c>
      <c r="S788" t="str">
        <f>IFERROR(VLOOKUP(Calculations[[#This Row],[Material (choose from dropdown]],MaterialData[#All],4,FALSE),"")</f>
        <v/>
      </c>
      <c r="T788" s="322" cm="1">
        <f t="array" ref="T788">IFERROR(VLOOKUP(Calculations[[#This Row],[Waste 1]],WasteScenario[#All],2,FALSE)*'Stage assumptions'!$C$225*WasteTransportMethod[Emissions Factor
kgCO2e/kg.km]*Calculations[[#This Row],[Total Kg]],0)</f>
        <v>0</v>
      </c>
      <c r="U788" s="322" cm="1">
        <f t="array" ref="U788">IFERROR(VLOOKUP(Calculations[[#This Row],[Waste 1]],WasteScenario[#All],3,FALSE)*'Stage assumptions'!$C$224*WasteTransportMethod[Emissions Factor
kgCO2e/kg.km]*Calculations[[#This Row],[Total Kg]],0)</f>
        <v>0</v>
      </c>
      <c r="V788" s="322" cm="1">
        <f t="array" ref="V788">IFERROR(VLOOKUP(Calculations[[#This Row],[Waste 1]],WasteScenario[#All],4,FALSE)*'Stage assumptions'!$C$223*WasteTransportMethod[Emissions Factor
kgCO2e/kg.km]*Calculations[[#This Row],[Total Kg]],0)</f>
        <v>0</v>
      </c>
      <c r="W788" s="322" cm="1">
        <f t="array" ref="W788">IFERROR(VLOOKUP(Calculations[[#This Row],[Waste 1]],WasteScenario[#All],5,FALSE)*'Stage assumptions'!$C$226*WasteTransportMethod[Emissions Factor
kgCO2e/kg.km]*Calculations[[#This Row],[Total Kg]],0)</f>
        <v>0</v>
      </c>
      <c r="X788" s="322">
        <f>SUM(Calculations[[#This Row],[C2 Recycle]:[C2 Reuse]])</f>
        <v>0</v>
      </c>
      <c r="Y788" t="str">
        <f>IFERROR(VLOOKUP(Calculations[[#This Row],[Material (choose from dropdown]],MaterialData[#All],5,FALSE),"")</f>
        <v/>
      </c>
      <c r="Z788" s="322">
        <f>IFERROR(((VLOOKUP(Calculations[[#This Row],[Waste type 2]],WasteDisposalEmissions[#All],2,FALSE))*Calculations[[#This Row],[Total Kg]])*VLOOKUP(Calculations[[#This Row],[Waste 1]],WasteScenario[#All],2,FALSE),0)</f>
        <v>0</v>
      </c>
      <c r="AA788" s="322">
        <f>IFERROR((VLOOKUP(Calculations[[#This Row],[Waste type 2]],WasteDisposalEmissions[#All],3,FALSE))*Calculations[[#This Row],[Total Kg]]*VLOOKUP(Calculations[[#This Row],[Waste 1]],WasteScenario[#All],3,FALSE),0)</f>
        <v>0</v>
      </c>
      <c r="AB788" s="322">
        <f>SUM(Calculations[[#This Row],[C3 recyc]:[C3 incin]])</f>
        <v>0</v>
      </c>
      <c r="AC788" s="334">
        <f>IFERROR((VLOOKUP(Calculations[[#This Row],[Waste type 2]],WasteLandfillEmissions[#All],2,FALSE))*Calculations[[#This Row],[Total Kg]]*VLOOKUP(Calculations[[#This Row],[Waste 1]],WasteScenario[#All],4,FALSE),0)</f>
        <v>0</v>
      </c>
      <c r="AD788" s="322">
        <f>IFERROR((VLOOKUP(Calculations[[#This Row],[Waste type 2]],WasteLandfillEmissions[#All],3,FALSE))*Calculations[[#This Row],[Total Kg]]*VLOOKUP(Calculations[[#This Row],[Waste 1]],WasteScenario[#All],4,FALSE),0)</f>
        <v>0</v>
      </c>
      <c r="AE788" s="322">
        <f>SUM(Calculations[[#This Row],[C4 landfill]:[C4 re-use]])</f>
        <v>0</v>
      </c>
      <c r="AF788" s="322">
        <f>IFERROR(VLOOKUP(Calculations[[#This Row],[Material (choose from dropdown]],MaterialData[#All],8,FALSE),0)</f>
        <v>0</v>
      </c>
      <c r="AG788" s="322">
        <f>IFERROR(Calculations[[#This Row],[Total Kg]]*Calculations[[#This Row],[Seq factor]],0)</f>
        <v>0</v>
      </c>
      <c r="AI788" s="322">
        <f>Calculations[[#This Row],[A1-3]]+Calculations[[#This Row],[A4]]+Calculations[[#This Row],[A5]]+Calculations[[#This Row],[B4]]+Calculations[[#This Row],[C2 total]]+Calculations[[#This Row],[C3 total]]+Calculations[[#This Row],[C4 total]]</f>
        <v>0</v>
      </c>
      <c r="AJ788" s="2">
        <f>IFERROR(VLOOKUP(Calculations[[#This Row],[Material (choose from dropdown]],MaterialData[[#Headers],[#Data]],9,FALSE),0)</f>
        <v>0</v>
      </c>
      <c r="AK788" s="4">
        <f>IFERROR(VLOOKUP(Calculations[[#This Row],[Material (choose from dropdown]],MaterialData[[#Headers],[#Data]],10,FALSE),0)</f>
        <v>0</v>
      </c>
      <c r="AL788" s="322">
        <f>IFERROR(Calculations[[#This Row],[Data Quality Score]]*Calculations[[#This Row],[Total Kg]],0)</f>
        <v>0</v>
      </c>
    </row>
    <row r="789" spans="1:38" x14ac:dyDescent="0.3">
      <c r="A789" s="6">
        <f>IFERROR(MaterialsBoQ[[#This Row],[Scope Element]],0)</f>
        <v>0</v>
      </c>
      <c r="B789" t="str">
        <f>IFERROR(MaterialsBoQ[[#This Row],[Material ]],"")</f>
        <v/>
      </c>
      <c r="C789" t="str">
        <f>IFERROR(MaterialsBoQ[[#This Row],[Unit]],"")</f>
        <v/>
      </c>
      <c r="D789" s="322">
        <f>IFERROR(MaterialsBoQ[[#This Row],[Number]],0)</f>
        <v>0</v>
      </c>
      <c r="E789" s="322">
        <f>IFERROR(MaterialsBoQ[[#This Row],[Kg per unit]],0)</f>
        <v>0</v>
      </c>
      <c r="F789" s="322">
        <f>IFERROR(Calculations[[#This Row],[Number]]*Calculations[[#This Row],[Conversion factor]],0)</f>
        <v>0</v>
      </c>
      <c r="G789" s="322">
        <f>IFERROR(VLOOKUP(Calculations[[#This Row],[Material (choose from dropdown]],MaterialData[#All],7,FALSE),0)</f>
        <v>0</v>
      </c>
      <c r="H789" s="322">
        <f>Calculations[[#This Row],[Total Kg]]*Calculations[[#This Row],[Carbon Factor]]</f>
        <v>0</v>
      </c>
      <c r="I789" t="str">
        <f>IFERROR(VLOOKUP(Calculations[[#This Row],[Material (choose from dropdown]],MaterialData[#All],2,FALSE),"")</f>
        <v/>
      </c>
      <c r="J789" s="322">
        <f>IFERROR(((VLOOKUP(Calculations[[#This Row],[TransportSource]],TransportDistance[],2,FALSE)*'Stage assumptions'!$C$11)+VLOOKUP(Calculations[[#This Row],[TransportSource]],TransportDistance[],3,FALSE)*'Stage assumptions'!$C$12)*Calculations[[#This Row],[Total Kg]],0)</f>
        <v>0</v>
      </c>
      <c r="K789">
        <f>IFERROR(VLOOKUP(Calculations[[#This Row],[Material (choose from dropdown]], MaterialData[#All],3, FALSE),0)</f>
        <v>0</v>
      </c>
      <c r="L789" s="322">
        <f>IFERROR(VLOOKUP(Calculations[[#This Row],[A5type]],A5WastageRate[#All],2,FALSE)*Calculations[[#This Row],[A1-3]],0)</f>
        <v>0</v>
      </c>
      <c r="N789">
        <f>IFERROR(ROUNDUP(50/VLOOKUP(Calculations[[#This Row],[Scope Element]],B4referenceServiceLife[[Tier 2 element]:[Default Service Life]],2, FALSE)-1,0),0)</f>
        <v>0</v>
      </c>
      <c r="O789" s="322">
        <f>IFERROR((Calculations[[#This Row],[A1-3]]+Calculations[[#This Row],[A4]]+Calculations[[#This Row],[A5]]+Calculations[[#This Row],[C2 total]]+Calculations[[#This Row],[C3 total]]+Calculations[[#This Row],[C4 total]])*Calculations[[#This Row],[Replacements]],0)</f>
        <v>0</v>
      </c>
      <c r="S789" t="str">
        <f>IFERROR(VLOOKUP(Calculations[[#This Row],[Material (choose from dropdown]],MaterialData[#All],4,FALSE),"")</f>
        <v/>
      </c>
      <c r="T789" s="322" cm="1">
        <f t="array" ref="T789">IFERROR(VLOOKUP(Calculations[[#This Row],[Waste 1]],WasteScenario[#All],2,FALSE)*'Stage assumptions'!$C$225*WasteTransportMethod[Emissions Factor
kgCO2e/kg.km]*Calculations[[#This Row],[Total Kg]],0)</f>
        <v>0</v>
      </c>
      <c r="U789" s="322" cm="1">
        <f t="array" ref="U789">IFERROR(VLOOKUP(Calculations[[#This Row],[Waste 1]],WasteScenario[#All],3,FALSE)*'Stage assumptions'!$C$224*WasteTransportMethod[Emissions Factor
kgCO2e/kg.km]*Calculations[[#This Row],[Total Kg]],0)</f>
        <v>0</v>
      </c>
      <c r="V789" s="322" cm="1">
        <f t="array" ref="V789">IFERROR(VLOOKUP(Calculations[[#This Row],[Waste 1]],WasteScenario[#All],4,FALSE)*'Stage assumptions'!$C$223*WasteTransportMethod[Emissions Factor
kgCO2e/kg.km]*Calculations[[#This Row],[Total Kg]],0)</f>
        <v>0</v>
      </c>
      <c r="W789" s="322" cm="1">
        <f t="array" ref="W789">IFERROR(VLOOKUP(Calculations[[#This Row],[Waste 1]],WasteScenario[#All],5,FALSE)*'Stage assumptions'!$C$226*WasteTransportMethod[Emissions Factor
kgCO2e/kg.km]*Calculations[[#This Row],[Total Kg]],0)</f>
        <v>0</v>
      </c>
      <c r="X789" s="322">
        <f>SUM(Calculations[[#This Row],[C2 Recycle]:[C2 Reuse]])</f>
        <v>0</v>
      </c>
      <c r="Y789" t="str">
        <f>IFERROR(VLOOKUP(Calculations[[#This Row],[Material (choose from dropdown]],MaterialData[#All],5,FALSE),"")</f>
        <v/>
      </c>
      <c r="Z789" s="322">
        <f>IFERROR(((VLOOKUP(Calculations[[#This Row],[Waste type 2]],WasteDisposalEmissions[#All],2,FALSE))*Calculations[[#This Row],[Total Kg]])*VLOOKUP(Calculations[[#This Row],[Waste 1]],WasteScenario[#All],2,FALSE),0)</f>
        <v>0</v>
      </c>
      <c r="AA789" s="322">
        <f>IFERROR((VLOOKUP(Calculations[[#This Row],[Waste type 2]],WasteDisposalEmissions[#All],3,FALSE))*Calculations[[#This Row],[Total Kg]]*VLOOKUP(Calculations[[#This Row],[Waste 1]],WasteScenario[#All],3,FALSE),0)</f>
        <v>0</v>
      </c>
      <c r="AB789" s="322">
        <f>SUM(Calculations[[#This Row],[C3 recyc]:[C3 incin]])</f>
        <v>0</v>
      </c>
      <c r="AC789" s="334">
        <f>IFERROR((VLOOKUP(Calculations[[#This Row],[Waste type 2]],WasteLandfillEmissions[#All],2,FALSE))*Calculations[[#This Row],[Total Kg]]*VLOOKUP(Calculations[[#This Row],[Waste 1]],WasteScenario[#All],4,FALSE),0)</f>
        <v>0</v>
      </c>
      <c r="AD789" s="322">
        <f>IFERROR((VLOOKUP(Calculations[[#This Row],[Waste type 2]],WasteLandfillEmissions[#All],3,FALSE))*Calculations[[#This Row],[Total Kg]]*VLOOKUP(Calculations[[#This Row],[Waste 1]],WasteScenario[#All],4,FALSE),0)</f>
        <v>0</v>
      </c>
      <c r="AE789" s="322">
        <f>SUM(Calculations[[#This Row],[C4 landfill]:[C4 re-use]])</f>
        <v>0</v>
      </c>
      <c r="AF789" s="322">
        <f>IFERROR(VLOOKUP(Calculations[[#This Row],[Material (choose from dropdown]],MaterialData[#All],8,FALSE),0)</f>
        <v>0</v>
      </c>
      <c r="AG789" s="322">
        <f>IFERROR(Calculations[[#This Row],[Total Kg]]*Calculations[[#This Row],[Seq factor]],0)</f>
        <v>0</v>
      </c>
      <c r="AI789" s="322">
        <f>Calculations[[#This Row],[A1-3]]+Calculations[[#This Row],[A4]]+Calculations[[#This Row],[A5]]+Calculations[[#This Row],[B4]]+Calculations[[#This Row],[C2 total]]+Calculations[[#This Row],[C3 total]]+Calculations[[#This Row],[C4 total]]</f>
        <v>0</v>
      </c>
      <c r="AJ789" s="2">
        <f>IFERROR(VLOOKUP(Calculations[[#This Row],[Material (choose from dropdown]],MaterialData[[#Headers],[#Data]],9,FALSE),0)</f>
        <v>0</v>
      </c>
      <c r="AK789" s="4">
        <f>IFERROR(VLOOKUP(Calculations[[#This Row],[Material (choose from dropdown]],MaterialData[[#Headers],[#Data]],10,FALSE),0)</f>
        <v>0</v>
      </c>
      <c r="AL789" s="322">
        <f>IFERROR(Calculations[[#This Row],[Data Quality Score]]*Calculations[[#This Row],[Total Kg]],0)</f>
        <v>0</v>
      </c>
    </row>
    <row r="790" spans="1:38" x14ac:dyDescent="0.3">
      <c r="A790" s="6">
        <f>IFERROR(MaterialsBoQ[[#This Row],[Scope Element]],0)</f>
        <v>0</v>
      </c>
      <c r="B790" t="str">
        <f>IFERROR(MaterialsBoQ[[#This Row],[Material ]],"")</f>
        <v/>
      </c>
      <c r="C790" t="str">
        <f>IFERROR(MaterialsBoQ[[#This Row],[Unit]],"")</f>
        <v/>
      </c>
      <c r="D790" s="322">
        <f>IFERROR(MaterialsBoQ[[#This Row],[Number]],0)</f>
        <v>0</v>
      </c>
      <c r="E790" s="322">
        <f>IFERROR(MaterialsBoQ[[#This Row],[Kg per unit]],0)</f>
        <v>0</v>
      </c>
      <c r="F790" s="322">
        <f>IFERROR(Calculations[[#This Row],[Number]]*Calculations[[#This Row],[Conversion factor]],0)</f>
        <v>0</v>
      </c>
      <c r="G790" s="322">
        <f>IFERROR(VLOOKUP(Calculations[[#This Row],[Material (choose from dropdown]],MaterialData[#All],7,FALSE),0)</f>
        <v>0</v>
      </c>
      <c r="H790" s="322">
        <f>Calculations[[#This Row],[Total Kg]]*Calculations[[#This Row],[Carbon Factor]]</f>
        <v>0</v>
      </c>
      <c r="I790" t="str">
        <f>IFERROR(VLOOKUP(Calculations[[#This Row],[Material (choose from dropdown]],MaterialData[#All],2,FALSE),"")</f>
        <v/>
      </c>
      <c r="J790" s="322">
        <f>IFERROR(((VLOOKUP(Calculations[[#This Row],[TransportSource]],TransportDistance[],2,FALSE)*'Stage assumptions'!$C$11)+VLOOKUP(Calculations[[#This Row],[TransportSource]],TransportDistance[],3,FALSE)*'Stage assumptions'!$C$12)*Calculations[[#This Row],[Total Kg]],0)</f>
        <v>0</v>
      </c>
      <c r="K790">
        <f>IFERROR(VLOOKUP(Calculations[[#This Row],[Material (choose from dropdown]], MaterialData[#All],3, FALSE),0)</f>
        <v>0</v>
      </c>
      <c r="L790" s="322">
        <f>IFERROR(VLOOKUP(Calculations[[#This Row],[A5type]],A5WastageRate[#All],2,FALSE)*Calculations[[#This Row],[A1-3]],0)</f>
        <v>0</v>
      </c>
      <c r="N790">
        <f>IFERROR(ROUNDUP(50/VLOOKUP(Calculations[[#This Row],[Scope Element]],B4referenceServiceLife[[Tier 2 element]:[Default Service Life]],2, FALSE)-1,0),0)</f>
        <v>0</v>
      </c>
      <c r="O790" s="322">
        <f>IFERROR((Calculations[[#This Row],[A1-3]]+Calculations[[#This Row],[A4]]+Calculations[[#This Row],[A5]]+Calculations[[#This Row],[C2 total]]+Calculations[[#This Row],[C3 total]]+Calculations[[#This Row],[C4 total]])*Calculations[[#This Row],[Replacements]],0)</f>
        <v>0</v>
      </c>
      <c r="S790" t="str">
        <f>IFERROR(VLOOKUP(Calculations[[#This Row],[Material (choose from dropdown]],MaterialData[#All],4,FALSE),"")</f>
        <v/>
      </c>
      <c r="T790" s="322" cm="1">
        <f t="array" ref="T790">IFERROR(VLOOKUP(Calculations[[#This Row],[Waste 1]],WasteScenario[#All],2,FALSE)*'Stage assumptions'!$C$225*WasteTransportMethod[Emissions Factor
kgCO2e/kg.km]*Calculations[[#This Row],[Total Kg]],0)</f>
        <v>0</v>
      </c>
      <c r="U790" s="322" cm="1">
        <f t="array" ref="U790">IFERROR(VLOOKUP(Calculations[[#This Row],[Waste 1]],WasteScenario[#All],3,FALSE)*'Stage assumptions'!$C$224*WasteTransportMethod[Emissions Factor
kgCO2e/kg.km]*Calculations[[#This Row],[Total Kg]],0)</f>
        <v>0</v>
      </c>
      <c r="V790" s="322" cm="1">
        <f t="array" ref="V790">IFERROR(VLOOKUP(Calculations[[#This Row],[Waste 1]],WasteScenario[#All],4,FALSE)*'Stage assumptions'!$C$223*WasteTransportMethod[Emissions Factor
kgCO2e/kg.km]*Calculations[[#This Row],[Total Kg]],0)</f>
        <v>0</v>
      </c>
      <c r="W790" s="322" cm="1">
        <f t="array" ref="W790">IFERROR(VLOOKUP(Calculations[[#This Row],[Waste 1]],WasteScenario[#All],5,FALSE)*'Stage assumptions'!$C$226*WasteTransportMethod[Emissions Factor
kgCO2e/kg.km]*Calculations[[#This Row],[Total Kg]],0)</f>
        <v>0</v>
      </c>
      <c r="X790" s="322">
        <f>SUM(Calculations[[#This Row],[C2 Recycle]:[C2 Reuse]])</f>
        <v>0</v>
      </c>
      <c r="Y790" t="str">
        <f>IFERROR(VLOOKUP(Calculations[[#This Row],[Material (choose from dropdown]],MaterialData[#All],5,FALSE),"")</f>
        <v/>
      </c>
      <c r="Z790" s="322">
        <f>IFERROR(((VLOOKUP(Calculations[[#This Row],[Waste type 2]],WasteDisposalEmissions[#All],2,FALSE))*Calculations[[#This Row],[Total Kg]])*VLOOKUP(Calculations[[#This Row],[Waste 1]],WasteScenario[#All],2,FALSE),0)</f>
        <v>0</v>
      </c>
      <c r="AA790" s="322">
        <f>IFERROR((VLOOKUP(Calculations[[#This Row],[Waste type 2]],WasteDisposalEmissions[#All],3,FALSE))*Calculations[[#This Row],[Total Kg]]*VLOOKUP(Calculations[[#This Row],[Waste 1]],WasteScenario[#All],3,FALSE),0)</f>
        <v>0</v>
      </c>
      <c r="AB790" s="322">
        <f>SUM(Calculations[[#This Row],[C3 recyc]:[C3 incin]])</f>
        <v>0</v>
      </c>
      <c r="AC790" s="334">
        <f>IFERROR((VLOOKUP(Calculations[[#This Row],[Waste type 2]],WasteLandfillEmissions[#All],2,FALSE))*Calculations[[#This Row],[Total Kg]]*VLOOKUP(Calculations[[#This Row],[Waste 1]],WasteScenario[#All],4,FALSE),0)</f>
        <v>0</v>
      </c>
      <c r="AD790" s="322">
        <f>IFERROR((VLOOKUP(Calculations[[#This Row],[Waste type 2]],WasteLandfillEmissions[#All],3,FALSE))*Calculations[[#This Row],[Total Kg]]*VLOOKUP(Calculations[[#This Row],[Waste 1]],WasteScenario[#All],4,FALSE),0)</f>
        <v>0</v>
      </c>
      <c r="AE790" s="322">
        <f>SUM(Calculations[[#This Row],[C4 landfill]:[C4 re-use]])</f>
        <v>0</v>
      </c>
      <c r="AF790" s="322">
        <f>IFERROR(VLOOKUP(Calculations[[#This Row],[Material (choose from dropdown]],MaterialData[#All],8,FALSE),0)</f>
        <v>0</v>
      </c>
      <c r="AG790" s="322">
        <f>IFERROR(Calculations[[#This Row],[Total Kg]]*Calculations[[#This Row],[Seq factor]],0)</f>
        <v>0</v>
      </c>
      <c r="AI790" s="322">
        <f>Calculations[[#This Row],[A1-3]]+Calculations[[#This Row],[A4]]+Calculations[[#This Row],[A5]]+Calculations[[#This Row],[B4]]+Calculations[[#This Row],[C2 total]]+Calculations[[#This Row],[C3 total]]+Calculations[[#This Row],[C4 total]]</f>
        <v>0</v>
      </c>
      <c r="AJ790" s="2">
        <f>IFERROR(VLOOKUP(Calculations[[#This Row],[Material (choose from dropdown]],MaterialData[[#Headers],[#Data]],9,FALSE),0)</f>
        <v>0</v>
      </c>
      <c r="AK790" s="4">
        <f>IFERROR(VLOOKUP(Calculations[[#This Row],[Material (choose from dropdown]],MaterialData[[#Headers],[#Data]],10,FALSE),0)</f>
        <v>0</v>
      </c>
      <c r="AL790" s="322">
        <f>IFERROR(Calculations[[#This Row],[Data Quality Score]]*Calculations[[#This Row],[Total Kg]],0)</f>
        <v>0</v>
      </c>
    </row>
    <row r="791" spans="1:38" x14ac:dyDescent="0.3">
      <c r="A791" s="6">
        <f>IFERROR(MaterialsBoQ[[#This Row],[Scope Element]],0)</f>
        <v>0</v>
      </c>
      <c r="B791" t="str">
        <f>IFERROR(MaterialsBoQ[[#This Row],[Material ]],"")</f>
        <v/>
      </c>
      <c r="C791" t="str">
        <f>IFERROR(MaterialsBoQ[[#This Row],[Unit]],"")</f>
        <v/>
      </c>
      <c r="D791" s="322">
        <f>IFERROR(MaterialsBoQ[[#This Row],[Number]],0)</f>
        <v>0</v>
      </c>
      <c r="E791" s="322">
        <f>IFERROR(MaterialsBoQ[[#This Row],[Kg per unit]],0)</f>
        <v>0</v>
      </c>
      <c r="F791" s="322">
        <f>IFERROR(Calculations[[#This Row],[Number]]*Calculations[[#This Row],[Conversion factor]],0)</f>
        <v>0</v>
      </c>
      <c r="G791" s="322">
        <f>IFERROR(VLOOKUP(Calculations[[#This Row],[Material (choose from dropdown]],MaterialData[#All],7,FALSE),0)</f>
        <v>0</v>
      </c>
      <c r="H791" s="322">
        <f>Calculations[[#This Row],[Total Kg]]*Calculations[[#This Row],[Carbon Factor]]</f>
        <v>0</v>
      </c>
      <c r="I791" t="str">
        <f>IFERROR(VLOOKUP(Calculations[[#This Row],[Material (choose from dropdown]],MaterialData[#All],2,FALSE),"")</f>
        <v/>
      </c>
      <c r="J791" s="322">
        <f>IFERROR(((VLOOKUP(Calculations[[#This Row],[TransportSource]],TransportDistance[],2,FALSE)*'Stage assumptions'!$C$11)+VLOOKUP(Calculations[[#This Row],[TransportSource]],TransportDistance[],3,FALSE)*'Stage assumptions'!$C$12)*Calculations[[#This Row],[Total Kg]],0)</f>
        <v>0</v>
      </c>
      <c r="K791">
        <f>IFERROR(VLOOKUP(Calculations[[#This Row],[Material (choose from dropdown]], MaterialData[#All],3, FALSE),0)</f>
        <v>0</v>
      </c>
      <c r="L791" s="322">
        <f>IFERROR(VLOOKUP(Calculations[[#This Row],[A5type]],A5WastageRate[#All],2,FALSE)*Calculations[[#This Row],[A1-3]],0)</f>
        <v>0</v>
      </c>
      <c r="N791">
        <f>IFERROR(ROUNDUP(50/VLOOKUP(Calculations[[#This Row],[Scope Element]],B4referenceServiceLife[[Tier 2 element]:[Default Service Life]],2, FALSE)-1,0),0)</f>
        <v>0</v>
      </c>
      <c r="O791" s="322">
        <f>IFERROR((Calculations[[#This Row],[A1-3]]+Calculations[[#This Row],[A4]]+Calculations[[#This Row],[A5]]+Calculations[[#This Row],[C2 total]]+Calculations[[#This Row],[C3 total]]+Calculations[[#This Row],[C4 total]])*Calculations[[#This Row],[Replacements]],0)</f>
        <v>0</v>
      </c>
      <c r="S791" t="str">
        <f>IFERROR(VLOOKUP(Calculations[[#This Row],[Material (choose from dropdown]],MaterialData[#All],4,FALSE),"")</f>
        <v/>
      </c>
      <c r="T791" s="322" cm="1">
        <f t="array" ref="T791">IFERROR(VLOOKUP(Calculations[[#This Row],[Waste 1]],WasteScenario[#All],2,FALSE)*'Stage assumptions'!$C$225*WasteTransportMethod[Emissions Factor
kgCO2e/kg.km]*Calculations[[#This Row],[Total Kg]],0)</f>
        <v>0</v>
      </c>
      <c r="U791" s="322" cm="1">
        <f t="array" ref="U791">IFERROR(VLOOKUP(Calculations[[#This Row],[Waste 1]],WasteScenario[#All],3,FALSE)*'Stage assumptions'!$C$224*WasteTransportMethod[Emissions Factor
kgCO2e/kg.km]*Calculations[[#This Row],[Total Kg]],0)</f>
        <v>0</v>
      </c>
      <c r="V791" s="322" cm="1">
        <f t="array" ref="V791">IFERROR(VLOOKUP(Calculations[[#This Row],[Waste 1]],WasteScenario[#All],4,FALSE)*'Stage assumptions'!$C$223*WasteTransportMethod[Emissions Factor
kgCO2e/kg.km]*Calculations[[#This Row],[Total Kg]],0)</f>
        <v>0</v>
      </c>
      <c r="W791" s="322" cm="1">
        <f t="array" ref="W791">IFERROR(VLOOKUP(Calculations[[#This Row],[Waste 1]],WasteScenario[#All],5,FALSE)*'Stage assumptions'!$C$226*WasteTransportMethod[Emissions Factor
kgCO2e/kg.km]*Calculations[[#This Row],[Total Kg]],0)</f>
        <v>0</v>
      </c>
      <c r="X791" s="322">
        <f>SUM(Calculations[[#This Row],[C2 Recycle]:[C2 Reuse]])</f>
        <v>0</v>
      </c>
      <c r="Y791" t="str">
        <f>IFERROR(VLOOKUP(Calculations[[#This Row],[Material (choose from dropdown]],MaterialData[#All],5,FALSE),"")</f>
        <v/>
      </c>
      <c r="Z791" s="322">
        <f>IFERROR(((VLOOKUP(Calculations[[#This Row],[Waste type 2]],WasteDisposalEmissions[#All],2,FALSE))*Calculations[[#This Row],[Total Kg]])*VLOOKUP(Calculations[[#This Row],[Waste 1]],WasteScenario[#All],2,FALSE),0)</f>
        <v>0</v>
      </c>
      <c r="AA791" s="322">
        <f>IFERROR((VLOOKUP(Calculations[[#This Row],[Waste type 2]],WasteDisposalEmissions[#All],3,FALSE))*Calculations[[#This Row],[Total Kg]]*VLOOKUP(Calculations[[#This Row],[Waste 1]],WasteScenario[#All],3,FALSE),0)</f>
        <v>0</v>
      </c>
      <c r="AB791" s="322">
        <f>SUM(Calculations[[#This Row],[C3 recyc]:[C3 incin]])</f>
        <v>0</v>
      </c>
      <c r="AC791" s="334">
        <f>IFERROR((VLOOKUP(Calculations[[#This Row],[Waste type 2]],WasteLandfillEmissions[#All],2,FALSE))*Calculations[[#This Row],[Total Kg]]*VLOOKUP(Calculations[[#This Row],[Waste 1]],WasteScenario[#All],4,FALSE),0)</f>
        <v>0</v>
      </c>
      <c r="AD791" s="322">
        <f>IFERROR((VLOOKUP(Calculations[[#This Row],[Waste type 2]],WasteLandfillEmissions[#All],3,FALSE))*Calculations[[#This Row],[Total Kg]]*VLOOKUP(Calculations[[#This Row],[Waste 1]],WasteScenario[#All],4,FALSE),0)</f>
        <v>0</v>
      </c>
      <c r="AE791" s="322">
        <f>SUM(Calculations[[#This Row],[C4 landfill]:[C4 re-use]])</f>
        <v>0</v>
      </c>
      <c r="AF791" s="322">
        <f>IFERROR(VLOOKUP(Calculations[[#This Row],[Material (choose from dropdown]],MaterialData[#All],8,FALSE),0)</f>
        <v>0</v>
      </c>
      <c r="AG791" s="322">
        <f>IFERROR(Calculations[[#This Row],[Total Kg]]*Calculations[[#This Row],[Seq factor]],0)</f>
        <v>0</v>
      </c>
      <c r="AI791" s="322">
        <f>Calculations[[#This Row],[A1-3]]+Calculations[[#This Row],[A4]]+Calculations[[#This Row],[A5]]+Calculations[[#This Row],[B4]]+Calculations[[#This Row],[C2 total]]+Calculations[[#This Row],[C3 total]]+Calculations[[#This Row],[C4 total]]</f>
        <v>0</v>
      </c>
      <c r="AJ791" s="2">
        <f>IFERROR(VLOOKUP(Calculations[[#This Row],[Material (choose from dropdown]],MaterialData[[#Headers],[#Data]],9,FALSE),0)</f>
        <v>0</v>
      </c>
      <c r="AK791" s="4">
        <f>IFERROR(VLOOKUP(Calculations[[#This Row],[Material (choose from dropdown]],MaterialData[[#Headers],[#Data]],10,FALSE),0)</f>
        <v>0</v>
      </c>
      <c r="AL791" s="322">
        <f>IFERROR(Calculations[[#This Row],[Data Quality Score]]*Calculations[[#This Row],[Total Kg]],0)</f>
        <v>0</v>
      </c>
    </row>
    <row r="792" spans="1:38" x14ac:dyDescent="0.3">
      <c r="A792" s="6">
        <f>IFERROR(MaterialsBoQ[[#This Row],[Scope Element]],0)</f>
        <v>0</v>
      </c>
      <c r="B792" t="str">
        <f>IFERROR(MaterialsBoQ[[#This Row],[Material ]],"")</f>
        <v/>
      </c>
      <c r="C792" t="str">
        <f>IFERROR(MaterialsBoQ[[#This Row],[Unit]],"")</f>
        <v/>
      </c>
      <c r="D792" s="322">
        <f>IFERROR(MaterialsBoQ[[#This Row],[Number]],0)</f>
        <v>0</v>
      </c>
      <c r="E792" s="322">
        <f>IFERROR(MaterialsBoQ[[#This Row],[Kg per unit]],0)</f>
        <v>0</v>
      </c>
      <c r="F792" s="322">
        <f>IFERROR(Calculations[[#This Row],[Number]]*Calculations[[#This Row],[Conversion factor]],0)</f>
        <v>0</v>
      </c>
      <c r="G792" s="322">
        <f>IFERROR(VLOOKUP(Calculations[[#This Row],[Material (choose from dropdown]],MaterialData[#All],7,FALSE),0)</f>
        <v>0</v>
      </c>
      <c r="H792" s="322">
        <f>Calculations[[#This Row],[Total Kg]]*Calculations[[#This Row],[Carbon Factor]]</f>
        <v>0</v>
      </c>
      <c r="I792" t="str">
        <f>IFERROR(VLOOKUP(Calculations[[#This Row],[Material (choose from dropdown]],MaterialData[#All],2,FALSE),"")</f>
        <v/>
      </c>
      <c r="J792" s="322">
        <f>IFERROR(((VLOOKUP(Calculations[[#This Row],[TransportSource]],TransportDistance[],2,FALSE)*'Stage assumptions'!$C$11)+VLOOKUP(Calculations[[#This Row],[TransportSource]],TransportDistance[],3,FALSE)*'Stage assumptions'!$C$12)*Calculations[[#This Row],[Total Kg]],0)</f>
        <v>0</v>
      </c>
      <c r="K792">
        <f>IFERROR(VLOOKUP(Calculations[[#This Row],[Material (choose from dropdown]], MaterialData[#All],3, FALSE),0)</f>
        <v>0</v>
      </c>
      <c r="L792" s="322">
        <f>IFERROR(VLOOKUP(Calculations[[#This Row],[A5type]],A5WastageRate[#All],2,FALSE)*Calculations[[#This Row],[A1-3]],0)</f>
        <v>0</v>
      </c>
      <c r="N792">
        <f>IFERROR(ROUNDUP(50/VLOOKUP(Calculations[[#This Row],[Scope Element]],B4referenceServiceLife[[Tier 2 element]:[Default Service Life]],2, FALSE)-1,0),0)</f>
        <v>0</v>
      </c>
      <c r="O792" s="322">
        <f>IFERROR((Calculations[[#This Row],[A1-3]]+Calculations[[#This Row],[A4]]+Calculations[[#This Row],[A5]]+Calculations[[#This Row],[C2 total]]+Calculations[[#This Row],[C3 total]]+Calculations[[#This Row],[C4 total]])*Calculations[[#This Row],[Replacements]],0)</f>
        <v>0</v>
      </c>
      <c r="S792" t="str">
        <f>IFERROR(VLOOKUP(Calculations[[#This Row],[Material (choose from dropdown]],MaterialData[#All],4,FALSE),"")</f>
        <v/>
      </c>
      <c r="T792" s="322" cm="1">
        <f t="array" ref="T792">IFERROR(VLOOKUP(Calculations[[#This Row],[Waste 1]],WasteScenario[#All],2,FALSE)*'Stage assumptions'!$C$225*WasteTransportMethod[Emissions Factor
kgCO2e/kg.km]*Calculations[[#This Row],[Total Kg]],0)</f>
        <v>0</v>
      </c>
      <c r="U792" s="322" cm="1">
        <f t="array" ref="U792">IFERROR(VLOOKUP(Calculations[[#This Row],[Waste 1]],WasteScenario[#All],3,FALSE)*'Stage assumptions'!$C$224*WasteTransportMethod[Emissions Factor
kgCO2e/kg.km]*Calculations[[#This Row],[Total Kg]],0)</f>
        <v>0</v>
      </c>
      <c r="V792" s="322" cm="1">
        <f t="array" ref="V792">IFERROR(VLOOKUP(Calculations[[#This Row],[Waste 1]],WasteScenario[#All],4,FALSE)*'Stage assumptions'!$C$223*WasteTransportMethod[Emissions Factor
kgCO2e/kg.km]*Calculations[[#This Row],[Total Kg]],0)</f>
        <v>0</v>
      </c>
      <c r="W792" s="322" cm="1">
        <f t="array" ref="W792">IFERROR(VLOOKUP(Calculations[[#This Row],[Waste 1]],WasteScenario[#All],5,FALSE)*'Stage assumptions'!$C$226*WasteTransportMethod[Emissions Factor
kgCO2e/kg.km]*Calculations[[#This Row],[Total Kg]],0)</f>
        <v>0</v>
      </c>
      <c r="X792" s="322">
        <f>SUM(Calculations[[#This Row],[C2 Recycle]:[C2 Reuse]])</f>
        <v>0</v>
      </c>
      <c r="Y792" t="str">
        <f>IFERROR(VLOOKUP(Calculations[[#This Row],[Material (choose from dropdown]],MaterialData[#All],5,FALSE),"")</f>
        <v/>
      </c>
      <c r="Z792" s="322">
        <f>IFERROR(((VLOOKUP(Calculations[[#This Row],[Waste type 2]],WasteDisposalEmissions[#All],2,FALSE))*Calculations[[#This Row],[Total Kg]])*VLOOKUP(Calculations[[#This Row],[Waste 1]],WasteScenario[#All],2,FALSE),0)</f>
        <v>0</v>
      </c>
      <c r="AA792" s="322">
        <f>IFERROR((VLOOKUP(Calculations[[#This Row],[Waste type 2]],WasteDisposalEmissions[#All],3,FALSE))*Calculations[[#This Row],[Total Kg]]*VLOOKUP(Calculations[[#This Row],[Waste 1]],WasteScenario[#All],3,FALSE),0)</f>
        <v>0</v>
      </c>
      <c r="AB792" s="322">
        <f>SUM(Calculations[[#This Row],[C3 recyc]:[C3 incin]])</f>
        <v>0</v>
      </c>
      <c r="AC792" s="334">
        <f>IFERROR((VLOOKUP(Calculations[[#This Row],[Waste type 2]],WasteLandfillEmissions[#All],2,FALSE))*Calculations[[#This Row],[Total Kg]]*VLOOKUP(Calculations[[#This Row],[Waste 1]],WasteScenario[#All],4,FALSE),0)</f>
        <v>0</v>
      </c>
      <c r="AD792" s="322">
        <f>IFERROR((VLOOKUP(Calculations[[#This Row],[Waste type 2]],WasteLandfillEmissions[#All],3,FALSE))*Calculations[[#This Row],[Total Kg]]*VLOOKUP(Calculations[[#This Row],[Waste 1]],WasteScenario[#All],4,FALSE),0)</f>
        <v>0</v>
      </c>
      <c r="AE792" s="322">
        <f>SUM(Calculations[[#This Row],[C4 landfill]:[C4 re-use]])</f>
        <v>0</v>
      </c>
      <c r="AF792" s="322">
        <f>IFERROR(VLOOKUP(Calculations[[#This Row],[Material (choose from dropdown]],MaterialData[#All],8,FALSE),0)</f>
        <v>0</v>
      </c>
      <c r="AG792" s="322">
        <f>IFERROR(Calculations[[#This Row],[Total Kg]]*Calculations[[#This Row],[Seq factor]],0)</f>
        <v>0</v>
      </c>
      <c r="AI792" s="322">
        <f>Calculations[[#This Row],[A1-3]]+Calculations[[#This Row],[A4]]+Calculations[[#This Row],[A5]]+Calculations[[#This Row],[B4]]+Calculations[[#This Row],[C2 total]]+Calculations[[#This Row],[C3 total]]+Calculations[[#This Row],[C4 total]]</f>
        <v>0</v>
      </c>
      <c r="AJ792" s="2">
        <f>IFERROR(VLOOKUP(Calculations[[#This Row],[Material (choose from dropdown]],MaterialData[[#Headers],[#Data]],9,FALSE),0)</f>
        <v>0</v>
      </c>
      <c r="AK792" s="4">
        <f>IFERROR(VLOOKUP(Calculations[[#This Row],[Material (choose from dropdown]],MaterialData[[#Headers],[#Data]],10,FALSE),0)</f>
        <v>0</v>
      </c>
      <c r="AL792" s="322">
        <f>IFERROR(Calculations[[#This Row],[Data Quality Score]]*Calculations[[#This Row],[Total Kg]],0)</f>
        <v>0</v>
      </c>
    </row>
    <row r="793" spans="1:38" x14ac:dyDescent="0.3">
      <c r="A793" s="6">
        <f>IFERROR(MaterialsBoQ[[#This Row],[Scope Element]],0)</f>
        <v>0</v>
      </c>
      <c r="B793" t="str">
        <f>IFERROR(MaterialsBoQ[[#This Row],[Material ]],"")</f>
        <v/>
      </c>
      <c r="C793" t="str">
        <f>IFERROR(MaterialsBoQ[[#This Row],[Unit]],"")</f>
        <v/>
      </c>
      <c r="D793" s="322">
        <f>IFERROR(MaterialsBoQ[[#This Row],[Number]],0)</f>
        <v>0</v>
      </c>
      <c r="E793" s="322">
        <f>IFERROR(MaterialsBoQ[[#This Row],[Kg per unit]],0)</f>
        <v>0</v>
      </c>
      <c r="F793" s="322">
        <f>IFERROR(Calculations[[#This Row],[Number]]*Calculations[[#This Row],[Conversion factor]],0)</f>
        <v>0</v>
      </c>
      <c r="G793" s="322">
        <f>IFERROR(VLOOKUP(Calculations[[#This Row],[Material (choose from dropdown]],MaterialData[#All],7,FALSE),0)</f>
        <v>0</v>
      </c>
      <c r="H793" s="322">
        <f>Calculations[[#This Row],[Total Kg]]*Calculations[[#This Row],[Carbon Factor]]</f>
        <v>0</v>
      </c>
      <c r="I793" t="str">
        <f>IFERROR(VLOOKUP(Calculations[[#This Row],[Material (choose from dropdown]],MaterialData[#All],2,FALSE),"")</f>
        <v/>
      </c>
      <c r="J793" s="322">
        <f>IFERROR(((VLOOKUP(Calculations[[#This Row],[TransportSource]],TransportDistance[],2,FALSE)*'Stage assumptions'!$C$11)+VLOOKUP(Calculations[[#This Row],[TransportSource]],TransportDistance[],3,FALSE)*'Stage assumptions'!$C$12)*Calculations[[#This Row],[Total Kg]],0)</f>
        <v>0</v>
      </c>
      <c r="K793">
        <f>IFERROR(VLOOKUP(Calculations[[#This Row],[Material (choose from dropdown]], MaterialData[#All],3, FALSE),0)</f>
        <v>0</v>
      </c>
      <c r="L793" s="322">
        <f>IFERROR(VLOOKUP(Calculations[[#This Row],[A5type]],A5WastageRate[#All],2,FALSE)*Calculations[[#This Row],[A1-3]],0)</f>
        <v>0</v>
      </c>
      <c r="N793">
        <f>IFERROR(ROUNDUP(50/VLOOKUP(Calculations[[#This Row],[Scope Element]],B4referenceServiceLife[[Tier 2 element]:[Default Service Life]],2, FALSE)-1,0),0)</f>
        <v>0</v>
      </c>
      <c r="O793" s="322">
        <f>IFERROR((Calculations[[#This Row],[A1-3]]+Calculations[[#This Row],[A4]]+Calculations[[#This Row],[A5]]+Calculations[[#This Row],[C2 total]]+Calculations[[#This Row],[C3 total]]+Calculations[[#This Row],[C4 total]])*Calculations[[#This Row],[Replacements]],0)</f>
        <v>0</v>
      </c>
      <c r="S793" t="str">
        <f>IFERROR(VLOOKUP(Calculations[[#This Row],[Material (choose from dropdown]],MaterialData[#All],4,FALSE),"")</f>
        <v/>
      </c>
      <c r="T793" s="322" cm="1">
        <f t="array" ref="T793">IFERROR(VLOOKUP(Calculations[[#This Row],[Waste 1]],WasteScenario[#All],2,FALSE)*'Stage assumptions'!$C$225*WasteTransportMethod[Emissions Factor
kgCO2e/kg.km]*Calculations[[#This Row],[Total Kg]],0)</f>
        <v>0</v>
      </c>
      <c r="U793" s="322" cm="1">
        <f t="array" ref="U793">IFERROR(VLOOKUP(Calculations[[#This Row],[Waste 1]],WasteScenario[#All],3,FALSE)*'Stage assumptions'!$C$224*WasteTransportMethod[Emissions Factor
kgCO2e/kg.km]*Calculations[[#This Row],[Total Kg]],0)</f>
        <v>0</v>
      </c>
      <c r="V793" s="322" cm="1">
        <f t="array" ref="V793">IFERROR(VLOOKUP(Calculations[[#This Row],[Waste 1]],WasteScenario[#All],4,FALSE)*'Stage assumptions'!$C$223*WasteTransportMethod[Emissions Factor
kgCO2e/kg.km]*Calculations[[#This Row],[Total Kg]],0)</f>
        <v>0</v>
      </c>
      <c r="W793" s="322" cm="1">
        <f t="array" ref="W793">IFERROR(VLOOKUP(Calculations[[#This Row],[Waste 1]],WasteScenario[#All],5,FALSE)*'Stage assumptions'!$C$226*WasteTransportMethod[Emissions Factor
kgCO2e/kg.km]*Calculations[[#This Row],[Total Kg]],0)</f>
        <v>0</v>
      </c>
      <c r="X793" s="322">
        <f>SUM(Calculations[[#This Row],[C2 Recycle]:[C2 Reuse]])</f>
        <v>0</v>
      </c>
      <c r="Y793" t="str">
        <f>IFERROR(VLOOKUP(Calculations[[#This Row],[Material (choose from dropdown]],MaterialData[#All],5,FALSE),"")</f>
        <v/>
      </c>
      <c r="Z793" s="322">
        <f>IFERROR(((VLOOKUP(Calculations[[#This Row],[Waste type 2]],WasteDisposalEmissions[#All],2,FALSE))*Calculations[[#This Row],[Total Kg]])*VLOOKUP(Calculations[[#This Row],[Waste 1]],WasteScenario[#All],2,FALSE),0)</f>
        <v>0</v>
      </c>
      <c r="AA793" s="322">
        <f>IFERROR((VLOOKUP(Calculations[[#This Row],[Waste type 2]],WasteDisposalEmissions[#All],3,FALSE))*Calculations[[#This Row],[Total Kg]]*VLOOKUP(Calculations[[#This Row],[Waste 1]],WasteScenario[#All],3,FALSE),0)</f>
        <v>0</v>
      </c>
      <c r="AB793" s="322">
        <f>SUM(Calculations[[#This Row],[C3 recyc]:[C3 incin]])</f>
        <v>0</v>
      </c>
      <c r="AC793" s="334">
        <f>IFERROR((VLOOKUP(Calculations[[#This Row],[Waste type 2]],WasteLandfillEmissions[#All],2,FALSE))*Calculations[[#This Row],[Total Kg]]*VLOOKUP(Calculations[[#This Row],[Waste 1]],WasteScenario[#All],4,FALSE),0)</f>
        <v>0</v>
      </c>
      <c r="AD793" s="322">
        <f>IFERROR((VLOOKUP(Calculations[[#This Row],[Waste type 2]],WasteLandfillEmissions[#All],3,FALSE))*Calculations[[#This Row],[Total Kg]]*VLOOKUP(Calculations[[#This Row],[Waste 1]],WasteScenario[#All],4,FALSE),0)</f>
        <v>0</v>
      </c>
      <c r="AE793" s="322">
        <f>SUM(Calculations[[#This Row],[C4 landfill]:[C4 re-use]])</f>
        <v>0</v>
      </c>
      <c r="AF793" s="322">
        <f>IFERROR(VLOOKUP(Calculations[[#This Row],[Material (choose from dropdown]],MaterialData[#All],8,FALSE),0)</f>
        <v>0</v>
      </c>
      <c r="AG793" s="322">
        <f>IFERROR(Calculations[[#This Row],[Total Kg]]*Calculations[[#This Row],[Seq factor]],0)</f>
        <v>0</v>
      </c>
      <c r="AI793" s="322">
        <f>Calculations[[#This Row],[A1-3]]+Calculations[[#This Row],[A4]]+Calculations[[#This Row],[A5]]+Calculations[[#This Row],[B4]]+Calculations[[#This Row],[C2 total]]+Calculations[[#This Row],[C3 total]]+Calculations[[#This Row],[C4 total]]</f>
        <v>0</v>
      </c>
      <c r="AJ793" s="2">
        <f>IFERROR(VLOOKUP(Calculations[[#This Row],[Material (choose from dropdown]],MaterialData[[#Headers],[#Data]],9,FALSE),0)</f>
        <v>0</v>
      </c>
      <c r="AK793" s="4">
        <f>IFERROR(VLOOKUP(Calculations[[#This Row],[Material (choose from dropdown]],MaterialData[[#Headers],[#Data]],10,FALSE),0)</f>
        <v>0</v>
      </c>
      <c r="AL793" s="322">
        <f>IFERROR(Calculations[[#This Row],[Data Quality Score]]*Calculations[[#This Row],[Total Kg]],0)</f>
        <v>0</v>
      </c>
    </row>
    <row r="794" spans="1:38" x14ac:dyDescent="0.3">
      <c r="A794" s="6">
        <f>IFERROR(MaterialsBoQ[[#This Row],[Scope Element]],0)</f>
        <v>0</v>
      </c>
      <c r="B794" t="str">
        <f>IFERROR(MaterialsBoQ[[#This Row],[Material ]],"")</f>
        <v/>
      </c>
      <c r="C794" t="str">
        <f>IFERROR(MaterialsBoQ[[#This Row],[Unit]],"")</f>
        <v/>
      </c>
      <c r="D794" s="322">
        <f>IFERROR(MaterialsBoQ[[#This Row],[Number]],0)</f>
        <v>0</v>
      </c>
      <c r="E794" s="322">
        <f>IFERROR(MaterialsBoQ[[#This Row],[Kg per unit]],0)</f>
        <v>0</v>
      </c>
      <c r="F794" s="322">
        <f>IFERROR(Calculations[[#This Row],[Number]]*Calculations[[#This Row],[Conversion factor]],0)</f>
        <v>0</v>
      </c>
      <c r="G794" s="322">
        <f>IFERROR(VLOOKUP(Calculations[[#This Row],[Material (choose from dropdown]],MaterialData[#All],7,FALSE),0)</f>
        <v>0</v>
      </c>
      <c r="H794" s="322">
        <f>Calculations[[#This Row],[Total Kg]]*Calculations[[#This Row],[Carbon Factor]]</f>
        <v>0</v>
      </c>
      <c r="I794" t="str">
        <f>IFERROR(VLOOKUP(Calculations[[#This Row],[Material (choose from dropdown]],MaterialData[#All],2,FALSE),"")</f>
        <v/>
      </c>
      <c r="J794" s="322">
        <f>IFERROR(((VLOOKUP(Calculations[[#This Row],[TransportSource]],TransportDistance[],2,FALSE)*'Stage assumptions'!$C$11)+VLOOKUP(Calculations[[#This Row],[TransportSource]],TransportDistance[],3,FALSE)*'Stage assumptions'!$C$12)*Calculations[[#This Row],[Total Kg]],0)</f>
        <v>0</v>
      </c>
      <c r="K794">
        <f>IFERROR(VLOOKUP(Calculations[[#This Row],[Material (choose from dropdown]], MaterialData[#All],3, FALSE),0)</f>
        <v>0</v>
      </c>
      <c r="L794" s="322">
        <f>IFERROR(VLOOKUP(Calculations[[#This Row],[A5type]],A5WastageRate[#All],2,FALSE)*Calculations[[#This Row],[A1-3]],0)</f>
        <v>0</v>
      </c>
      <c r="N794">
        <f>IFERROR(ROUNDUP(50/VLOOKUP(Calculations[[#This Row],[Scope Element]],B4referenceServiceLife[[Tier 2 element]:[Default Service Life]],2, FALSE)-1,0),0)</f>
        <v>0</v>
      </c>
      <c r="O794" s="322">
        <f>IFERROR((Calculations[[#This Row],[A1-3]]+Calculations[[#This Row],[A4]]+Calculations[[#This Row],[A5]]+Calculations[[#This Row],[C2 total]]+Calculations[[#This Row],[C3 total]]+Calculations[[#This Row],[C4 total]])*Calculations[[#This Row],[Replacements]],0)</f>
        <v>0</v>
      </c>
      <c r="S794" t="str">
        <f>IFERROR(VLOOKUP(Calculations[[#This Row],[Material (choose from dropdown]],MaterialData[#All],4,FALSE),"")</f>
        <v/>
      </c>
      <c r="T794" s="322" cm="1">
        <f t="array" ref="T794">IFERROR(VLOOKUP(Calculations[[#This Row],[Waste 1]],WasteScenario[#All],2,FALSE)*'Stage assumptions'!$C$225*WasteTransportMethod[Emissions Factor
kgCO2e/kg.km]*Calculations[[#This Row],[Total Kg]],0)</f>
        <v>0</v>
      </c>
      <c r="U794" s="322" cm="1">
        <f t="array" ref="U794">IFERROR(VLOOKUP(Calculations[[#This Row],[Waste 1]],WasteScenario[#All],3,FALSE)*'Stage assumptions'!$C$224*WasteTransportMethod[Emissions Factor
kgCO2e/kg.km]*Calculations[[#This Row],[Total Kg]],0)</f>
        <v>0</v>
      </c>
      <c r="V794" s="322" cm="1">
        <f t="array" ref="V794">IFERROR(VLOOKUP(Calculations[[#This Row],[Waste 1]],WasteScenario[#All],4,FALSE)*'Stage assumptions'!$C$223*WasteTransportMethod[Emissions Factor
kgCO2e/kg.km]*Calculations[[#This Row],[Total Kg]],0)</f>
        <v>0</v>
      </c>
      <c r="W794" s="322" cm="1">
        <f t="array" ref="W794">IFERROR(VLOOKUP(Calculations[[#This Row],[Waste 1]],WasteScenario[#All],5,FALSE)*'Stage assumptions'!$C$226*WasteTransportMethod[Emissions Factor
kgCO2e/kg.km]*Calculations[[#This Row],[Total Kg]],0)</f>
        <v>0</v>
      </c>
      <c r="X794" s="322">
        <f>SUM(Calculations[[#This Row],[C2 Recycle]:[C2 Reuse]])</f>
        <v>0</v>
      </c>
      <c r="Y794" t="str">
        <f>IFERROR(VLOOKUP(Calculations[[#This Row],[Material (choose from dropdown]],MaterialData[#All],5,FALSE),"")</f>
        <v/>
      </c>
      <c r="Z794" s="322">
        <f>IFERROR(((VLOOKUP(Calculations[[#This Row],[Waste type 2]],WasteDisposalEmissions[#All],2,FALSE))*Calculations[[#This Row],[Total Kg]])*VLOOKUP(Calculations[[#This Row],[Waste 1]],WasteScenario[#All],2,FALSE),0)</f>
        <v>0</v>
      </c>
      <c r="AA794" s="322">
        <f>IFERROR((VLOOKUP(Calculations[[#This Row],[Waste type 2]],WasteDisposalEmissions[#All],3,FALSE))*Calculations[[#This Row],[Total Kg]]*VLOOKUP(Calculations[[#This Row],[Waste 1]],WasteScenario[#All],3,FALSE),0)</f>
        <v>0</v>
      </c>
      <c r="AB794" s="322">
        <f>SUM(Calculations[[#This Row],[C3 recyc]:[C3 incin]])</f>
        <v>0</v>
      </c>
      <c r="AC794" s="334">
        <f>IFERROR((VLOOKUP(Calculations[[#This Row],[Waste type 2]],WasteLandfillEmissions[#All],2,FALSE))*Calculations[[#This Row],[Total Kg]]*VLOOKUP(Calculations[[#This Row],[Waste 1]],WasteScenario[#All],4,FALSE),0)</f>
        <v>0</v>
      </c>
      <c r="AD794" s="322">
        <f>IFERROR((VLOOKUP(Calculations[[#This Row],[Waste type 2]],WasteLandfillEmissions[#All],3,FALSE))*Calculations[[#This Row],[Total Kg]]*VLOOKUP(Calculations[[#This Row],[Waste 1]],WasteScenario[#All],4,FALSE),0)</f>
        <v>0</v>
      </c>
      <c r="AE794" s="322">
        <f>SUM(Calculations[[#This Row],[C4 landfill]:[C4 re-use]])</f>
        <v>0</v>
      </c>
      <c r="AF794" s="322">
        <f>IFERROR(VLOOKUP(Calculations[[#This Row],[Material (choose from dropdown]],MaterialData[#All],8,FALSE),0)</f>
        <v>0</v>
      </c>
      <c r="AG794" s="322">
        <f>IFERROR(Calculations[[#This Row],[Total Kg]]*Calculations[[#This Row],[Seq factor]],0)</f>
        <v>0</v>
      </c>
      <c r="AI794" s="322">
        <f>Calculations[[#This Row],[A1-3]]+Calculations[[#This Row],[A4]]+Calculations[[#This Row],[A5]]+Calculations[[#This Row],[B4]]+Calculations[[#This Row],[C2 total]]+Calculations[[#This Row],[C3 total]]+Calculations[[#This Row],[C4 total]]</f>
        <v>0</v>
      </c>
      <c r="AJ794" s="2">
        <f>IFERROR(VLOOKUP(Calculations[[#This Row],[Material (choose from dropdown]],MaterialData[[#Headers],[#Data]],9,FALSE),0)</f>
        <v>0</v>
      </c>
      <c r="AK794" s="4">
        <f>IFERROR(VLOOKUP(Calculations[[#This Row],[Material (choose from dropdown]],MaterialData[[#Headers],[#Data]],10,FALSE),0)</f>
        <v>0</v>
      </c>
      <c r="AL794" s="322">
        <f>IFERROR(Calculations[[#This Row],[Data Quality Score]]*Calculations[[#This Row],[Total Kg]],0)</f>
        <v>0</v>
      </c>
    </row>
    <row r="795" spans="1:38" x14ac:dyDescent="0.3">
      <c r="A795" s="6">
        <f>IFERROR(MaterialsBoQ[[#This Row],[Scope Element]],0)</f>
        <v>0</v>
      </c>
      <c r="B795" t="str">
        <f>IFERROR(MaterialsBoQ[[#This Row],[Material ]],"")</f>
        <v/>
      </c>
      <c r="C795" t="str">
        <f>IFERROR(MaterialsBoQ[[#This Row],[Unit]],"")</f>
        <v/>
      </c>
      <c r="D795" s="322">
        <f>IFERROR(MaterialsBoQ[[#This Row],[Number]],0)</f>
        <v>0</v>
      </c>
      <c r="E795" s="322">
        <f>IFERROR(MaterialsBoQ[[#This Row],[Kg per unit]],0)</f>
        <v>0</v>
      </c>
      <c r="F795" s="322">
        <f>IFERROR(Calculations[[#This Row],[Number]]*Calculations[[#This Row],[Conversion factor]],0)</f>
        <v>0</v>
      </c>
      <c r="G795" s="322">
        <f>IFERROR(VLOOKUP(Calculations[[#This Row],[Material (choose from dropdown]],MaterialData[#All],7,FALSE),0)</f>
        <v>0</v>
      </c>
      <c r="H795" s="322">
        <f>Calculations[[#This Row],[Total Kg]]*Calculations[[#This Row],[Carbon Factor]]</f>
        <v>0</v>
      </c>
      <c r="I795" t="str">
        <f>IFERROR(VLOOKUP(Calculations[[#This Row],[Material (choose from dropdown]],MaterialData[#All],2,FALSE),"")</f>
        <v/>
      </c>
      <c r="J795" s="322">
        <f>IFERROR(((VLOOKUP(Calculations[[#This Row],[TransportSource]],TransportDistance[],2,FALSE)*'Stage assumptions'!$C$11)+VLOOKUP(Calculations[[#This Row],[TransportSource]],TransportDistance[],3,FALSE)*'Stage assumptions'!$C$12)*Calculations[[#This Row],[Total Kg]],0)</f>
        <v>0</v>
      </c>
      <c r="K795">
        <f>IFERROR(VLOOKUP(Calculations[[#This Row],[Material (choose from dropdown]], MaterialData[#All],3, FALSE),0)</f>
        <v>0</v>
      </c>
      <c r="L795" s="322">
        <f>IFERROR(VLOOKUP(Calculations[[#This Row],[A5type]],A5WastageRate[#All],2,FALSE)*Calculations[[#This Row],[A1-3]],0)</f>
        <v>0</v>
      </c>
      <c r="N795">
        <f>IFERROR(ROUNDUP(50/VLOOKUP(Calculations[[#This Row],[Scope Element]],B4referenceServiceLife[[Tier 2 element]:[Default Service Life]],2, FALSE)-1,0),0)</f>
        <v>0</v>
      </c>
      <c r="O795" s="322">
        <f>IFERROR((Calculations[[#This Row],[A1-3]]+Calculations[[#This Row],[A4]]+Calculations[[#This Row],[A5]]+Calculations[[#This Row],[C2 total]]+Calculations[[#This Row],[C3 total]]+Calculations[[#This Row],[C4 total]])*Calculations[[#This Row],[Replacements]],0)</f>
        <v>0</v>
      </c>
      <c r="S795" t="str">
        <f>IFERROR(VLOOKUP(Calculations[[#This Row],[Material (choose from dropdown]],MaterialData[#All],4,FALSE),"")</f>
        <v/>
      </c>
      <c r="T795" s="322" cm="1">
        <f t="array" ref="T795">IFERROR(VLOOKUP(Calculations[[#This Row],[Waste 1]],WasteScenario[#All],2,FALSE)*'Stage assumptions'!$C$225*WasteTransportMethod[Emissions Factor
kgCO2e/kg.km]*Calculations[[#This Row],[Total Kg]],0)</f>
        <v>0</v>
      </c>
      <c r="U795" s="322" cm="1">
        <f t="array" ref="U795">IFERROR(VLOOKUP(Calculations[[#This Row],[Waste 1]],WasteScenario[#All],3,FALSE)*'Stage assumptions'!$C$224*WasteTransportMethod[Emissions Factor
kgCO2e/kg.km]*Calculations[[#This Row],[Total Kg]],0)</f>
        <v>0</v>
      </c>
      <c r="V795" s="322" cm="1">
        <f t="array" ref="V795">IFERROR(VLOOKUP(Calculations[[#This Row],[Waste 1]],WasteScenario[#All],4,FALSE)*'Stage assumptions'!$C$223*WasteTransportMethod[Emissions Factor
kgCO2e/kg.km]*Calculations[[#This Row],[Total Kg]],0)</f>
        <v>0</v>
      </c>
      <c r="W795" s="322" cm="1">
        <f t="array" ref="W795">IFERROR(VLOOKUP(Calculations[[#This Row],[Waste 1]],WasteScenario[#All],5,FALSE)*'Stage assumptions'!$C$226*WasteTransportMethod[Emissions Factor
kgCO2e/kg.km]*Calculations[[#This Row],[Total Kg]],0)</f>
        <v>0</v>
      </c>
      <c r="X795" s="322">
        <f>SUM(Calculations[[#This Row],[C2 Recycle]:[C2 Reuse]])</f>
        <v>0</v>
      </c>
      <c r="Y795" t="str">
        <f>IFERROR(VLOOKUP(Calculations[[#This Row],[Material (choose from dropdown]],MaterialData[#All],5,FALSE),"")</f>
        <v/>
      </c>
      <c r="Z795" s="322">
        <f>IFERROR(((VLOOKUP(Calculations[[#This Row],[Waste type 2]],WasteDisposalEmissions[#All],2,FALSE))*Calculations[[#This Row],[Total Kg]])*VLOOKUP(Calculations[[#This Row],[Waste 1]],WasteScenario[#All],2,FALSE),0)</f>
        <v>0</v>
      </c>
      <c r="AA795" s="322">
        <f>IFERROR((VLOOKUP(Calculations[[#This Row],[Waste type 2]],WasteDisposalEmissions[#All],3,FALSE))*Calculations[[#This Row],[Total Kg]]*VLOOKUP(Calculations[[#This Row],[Waste 1]],WasteScenario[#All],3,FALSE),0)</f>
        <v>0</v>
      </c>
      <c r="AB795" s="322">
        <f>SUM(Calculations[[#This Row],[C3 recyc]:[C3 incin]])</f>
        <v>0</v>
      </c>
      <c r="AC795" s="334">
        <f>IFERROR((VLOOKUP(Calculations[[#This Row],[Waste type 2]],WasteLandfillEmissions[#All],2,FALSE))*Calculations[[#This Row],[Total Kg]]*VLOOKUP(Calculations[[#This Row],[Waste 1]],WasteScenario[#All],4,FALSE),0)</f>
        <v>0</v>
      </c>
      <c r="AD795" s="322">
        <f>IFERROR((VLOOKUP(Calculations[[#This Row],[Waste type 2]],WasteLandfillEmissions[#All],3,FALSE))*Calculations[[#This Row],[Total Kg]]*VLOOKUP(Calculations[[#This Row],[Waste 1]],WasteScenario[#All],4,FALSE),0)</f>
        <v>0</v>
      </c>
      <c r="AE795" s="322">
        <f>SUM(Calculations[[#This Row],[C4 landfill]:[C4 re-use]])</f>
        <v>0</v>
      </c>
      <c r="AF795" s="322">
        <f>IFERROR(VLOOKUP(Calculations[[#This Row],[Material (choose from dropdown]],MaterialData[#All],8,FALSE),0)</f>
        <v>0</v>
      </c>
      <c r="AG795" s="322">
        <f>IFERROR(Calculations[[#This Row],[Total Kg]]*Calculations[[#This Row],[Seq factor]],0)</f>
        <v>0</v>
      </c>
      <c r="AI795" s="322">
        <f>Calculations[[#This Row],[A1-3]]+Calculations[[#This Row],[A4]]+Calculations[[#This Row],[A5]]+Calculations[[#This Row],[B4]]+Calculations[[#This Row],[C2 total]]+Calculations[[#This Row],[C3 total]]+Calculations[[#This Row],[C4 total]]</f>
        <v>0</v>
      </c>
      <c r="AJ795" s="2">
        <f>IFERROR(VLOOKUP(Calculations[[#This Row],[Material (choose from dropdown]],MaterialData[[#Headers],[#Data]],9,FALSE),0)</f>
        <v>0</v>
      </c>
      <c r="AK795" s="4">
        <f>IFERROR(VLOOKUP(Calculations[[#This Row],[Material (choose from dropdown]],MaterialData[[#Headers],[#Data]],10,FALSE),0)</f>
        <v>0</v>
      </c>
      <c r="AL795" s="322">
        <f>IFERROR(Calculations[[#This Row],[Data Quality Score]]*Calculations[[#This Row],[Total Kg]],0)</f>
        <v>0</v>
      </c>
    </row>
    <row r="796" spans="1:38" x14ac:dyDescent="0.3">
      <c r="A796" s="6">
        <f>IFERROR(MaterialsBoQ[[#This Row],[Scope Element]],0)</f>
        <v>0</v>
      </c>
      <c r="B796" t="str">
        <f>IFERROR(MaterialsBoQ[[#This Row],[Material ]],"")</f>
        <v/>
      </c>
      <c r="C796" t="str">
        <f>IFERROR(MaterialsBoQ[[#This Row],[Unit]],"")</f>
        <v/>
      </c>
      <c r="D796" s="322">
        <f>IFERROR(MaterialsBoQ[[#This Row],[Number]],0)</f>
        <v>0</v>
      </c>
      <c r="E796" s="322">
        <f>IFERROR(MaterialsBoQ[[#This Row],[Kg per unit]],0)</f>
        <v>0</v>
      </c>
      <c r="F796" s="322">
        <f>IFERROR(Calculations[[#This Row],[Number]]*Calculations[[#This Row],[Conversion factor]],0)</f>
        <v>0</v>
      </c>
      <c r="G796" s="322">
        <f>IFERROR(VLOOKUP(Calculations[[#This Row],[Material (choose from dropdown]],MaterialData[#All],7,FALSE),0)</f>
        <v>0</v>
      </c>
      <c r="H796" s="322">
        <f>Calculations[[#This Row],[Total Kg]]*Calculations[[#This Row],[Carbon Factor]]</f>
        <v>0</v>
      </c>
      <c r="I796" t="str">
        <f>IFERROR(VLOOKUP(Calculations[[#This Row],[Material (choose from dropdown]],MaterialData[#All],2,FALSE),"")</f>
        <v/>
      </c>
      <c r="J796" s="322">
        <f>IFERROR(((VLOOKUP(Calculations[[#This Row],[TransportSource]],TransportDistance[],2,FALSE)*'Stage assumptions'!$C$11)+VLOOKUP(Calculations[[#This Row],[TransportSource]],TransportDistance[],3,FALSE)*'Stage assumptions'!$C$12)*Calculations[[#This Row],[Total Kg]],0)</f>
        <v>0</v>
      </c>
      <c r="K796">
        <f>IFERROR(VLOOKUP(Calculations[[#This Row],[Material (choose from dropdown]], MaterialData[#All],3, FALSE),0)</f>
        <v>0</v>
      </c>
      <c r="L796" s="322">
        <f>IFERROR(VLOOKUP(Calculations[[#This Row],[A5type]],A5WastageRate[#All],2,FALSE)*Calculations[[#This Row],[A1-3]],0)</f>
        <v>0</v>
      </c>
      <c r="N796">
        <f>IFERROR(ROUNDUP(50/VLOOKUP(Calculations[[#This Row],[Scope Element]],B4referenceServiceLife[[Tier 2 element]:[Default Service Life]],2, FALSE)-1,0),0)</f>
        <v>0</v>
      </c>
      <c r="O796" s="322">
        <f>IFERROR((Calculations[[#This Row],[A1-3]]+Calculations[[#This Row],[A4]]+Calculations[[#This Row],[A5]]+Calculations[[#This Row],[C2 total]]+Calculations[[#This Row],[C3 total]]+Calculations[[#This Row],[C4 total]])*Calculations[[#This Row],[Replacements]],0)</f>
        <v>0</v>
      </c>
      <c r="S796" t="str">
        <f>IFERROR(VLOOKUP(Calculations[[#This Row],[Material (choose from dropdown]],MaterialData[#All],4,FALSE),"")</f>
        <v/>
      </c>
      <c r="T796" s="322" cm="1">
        <f t="array" ref="T796">IFERROR(VLOOKUP(Calculations[[#This Row],[Waste 1]],WasteScenario[#All],2,FALSE)*'Stage assumptions'!$C$225*WasteTransportMethod[Emissions Factor
kgCO2e/kg.km]*Calculations[[#This Row],[Total Kg]],0)</f>
        <v>0</v>
      </c>
      <c r="U796" s="322" cm="1">
        <f t="array" ref="U796">IFERROR(VLOOKUP(Calculations[[#This Row],[Waste 1]],WasteScenario[#All],3,FALSE)*'Stage assumptions'!$C$224*WasteTransportMethod[Emissions Factor
kgCO2e/kg.km]*Calculations[[#This Row],[Total Kg]],0)</f>
        <v>0</v>
      </c>
      <c r="V796" s="322" cm="1">
        <f t="array" ref="V796">IFERROR(VLOOKUP(Calculations[[#This Row],[Waste 1]],WasteScenario[#All],4,FALSE)*'Stage assumptions'!$C$223*WasteTransportMethod[Emissions Factor
kgCO2e/kg.km]*Calculations[[#This Row],[Total Kg]],0)</f>
        <v>0</v>
      </c>
      <c r="W796" s="322" cm="1">
        <f t="array" ref="W796">IFERROR(VLOOKUP(Calculations[[#This Row],[Waste 1]],WasteScenario[#All],5,FALSE)*'Stage assumptions'!$C$226*WasteTransportMethod[Emissions Factor
kgCO2e/kg.km]*Calculations[[#This Row],[Total Kg]],0)</f>
        <v>0</v>
      </c>
      <c r="X796" s="322">
        <f>SUM(Calculations[[#This Row],[C2 Recycle]:[C2 Reuse]])</f>
        <v>0</v>
      </c>
      <c r="Y796" t="str">
        <f>IFERROR(VLOOKUP(Calculations[[#This Row],[Material (choose from dropdown]],MaterialData[#All],5,FALSE),"")</f>
        <v/>
      </c>
      <c r="Z796" s="322">
        <f>IFERROR(((VLOOKUP(Calculations[[#This Row],[Waste type 2]],WasteDisposalEmissions[#All],2,FALSE))*Calculations[[#This Row],[Total Kg]])*VLOOKUP(Calculations[[#This Row],[Waste 1]],WasteScenario[#All],2,FALSE),0)</f>
        <v>0</v>
      </c>
      <c r="AA796" s="322">
        <f>IFERROR((VLOOKUP(Calculations[[#This Row],[Waste type 2]],WasteDisposalEmissions[#All],3,FALSE))*Calculations[[#This Row],[Total Kg]]*VLOOKUP(Calculations[[#This Row],[Waste 1]],WasteScenario[#All],3,FALSE),0)</f>
        <v>0</v>
      </c>
      <c r="AB796" s="322">
        <f>SUM(Calculations[[#This Row],[C3 recyc]:[C3 incin]])</f>
        <v>0</v>
      </c>
      <c r="AC796" s="334">
        <f>IFERROR((VLOOKUP(Calculations[[#This Row],[Waste type 2]],WasteLandfillEmissions[#All],2,FALSE))*Calculations[[#This Row],[Total Kg]]*VLOOKUP(Calculations[[#This Row],[Waste 1]],WasteScenario[#All],4,FALSE),0)</f>
        <v>0</v>
      </c>
      <c r="AD796" s="322">
        <f>IFERROR((VLOOKUP(Calculations[[#This Row],[Waste type 2]],WasteLandfillEmissions[#All],3,FALSE))*Calculations[[#This Row],[Total Kg]]*VLOOKUP(Calculations[[#This Row],[Waste 1]],WasteScenario[#All],4,FALSE),0)</f>
        <v>0</v>
      </c>
      <c r="AE796" s="322">
        <f>SUM(Calculations[[#This Row],[C4 landfill]:[C4 re-use]])</f>
        <v>0</v>
      </c>
      <c r="AF796" s="322">
        <f>IFERROR(VLOOKUP(Calculations[[#This Row],[Material (choose from dropdown]],MaterialData[#All],8,FALSE),0)</f>
        <v>0</v>
      </c>
      <c r="AG796" s="322">
        <f>IFERROR(Calculations[[#This Row],[Total Kg]]*Calculations[[#This Row],[Seq factor]],0)</f>
        <v>0</v>
      </c>
      <c r="AI796" s="322">
        <f>Calculations[[#This Row],[A1-3]]+Calculations[[#This Row],[A4]]+Calculations[[#This Row],[A5]]+Calculations[[#This Row],[B4]]+Calculations[[#This Row],[C2 total]]+Calculations[[#This Row],[C3 total]]+Calculations[[#This Row],[C4 total]]</f>
        <v>0</v>
      </c>
      <c r="AJ796" s="2">
        <f>IFERROR(VLOOKUP(Calculations[[#This Row],[Material (choose from dropdown]],MaterialData[[#Headers],[#Data]],9,FALSE),0)</f>
        <v>0</v>
      </c>
      <c r="AK796" s="4">
        <f>IFERROR(VLOOKUP(Calculations[[#This Row],[Material (choose from dropdown]],MaterialData[[#Headers],[#Data]],10,FALSE),0)</f>
        <v>0</v>
      </c>
      <c r="AL796" s="322">
        <f>IFERROR(Calculations[[#This Row],[Data Quality Score]]*Calculations[[#This Row],[Total Kg]],0)</f>
        <v>0</v>
      </c>
    </row>
    <row r="797" spans="1:38" x14ac:dyDescent="0.3">
      <c r="A797" s="6">
        <f>IFERROR(MaterialsBoQ[[#This Row],[Scope Element]],0)</f>
        <v>0</v>
      </c>
      <c r="B797" t="str">
        <f>IFERROR(MaterialsBoQ[[#This Row],[Material ]],"")</f>
        <v/>
      </c>
      <c r="C797" t="str">
        <f>IFERROR(MaterialsBoQ[[#This Row],[Unit]],"")</f>
        <v/>
      </c>
      <c r="D797" s="322">
        <f>IFERROR(MaterialsBoQ[[#This Row],[Number]],0)</f>
        <v>0</v>
      </c>
      <c r="E797" s="322">
        <f>IFERROR(MaterialsBoQ[[#This Row],[Kg per unit]],0)</f>
        <v>0</v>
      </c>
      <c r="F797" s="322">
        <f>IFERROR(Calculations[[#This Row],[Number]]*Calculations[[#This Row],[Conversion factor]],0)</f>
        <v>0</v>
      </c>
      <c r="G797" s="322">
        <f>IFERROR(VLOOKUP(Calculations[[#This Row],[Material (choose from dropdown]],MaterialData[#All],7,FALSE),0)</f>
        <v>0</v>
      </c>
      <c r="H797" s="322">
        <f>Calculations[[#This Row],[Total Kg]]*Calculations[[#This Row],[Carbon Factor]]</f>
        <v>0</v>
      </c>
      <c r="I797" t="str">
        <f>IFERROR(VLOOKUP(Calculations[[#This Row],[Material (choose from dropdown]],MaterialData[#All],2,FALSE),"")</f>
        <v/>
      </c>
      <c r="J797" s="322">
        <f>IFERROR(((VLOOKUP(Calculations[[#This Row],[TransportSource]],TransportDistance[],2,FALSE)*'Stage assumptions'!$C$11)+VLOOKUP(Calculations[[#This Row],[TransportSource]],TransportDistance[],3,FALSE)*'Stage assumptions'!$C$12)*Calculations[[#This Row],[Total Kg]],0)</f>
        <v>0</v>
      </c>
      <c r="K797">
        <f>IFERROR(VLOOKUP(Calculations[[#This Row],[Material (choose from dropdown]], MaterialData[#All],3, FALSE),0)</f>
        <v>0</v>
      </c>
      <c r="L797" s="322">
        <f>IFERROR(VLOOKUP(Calculations[[#This Row],[A5type]],A5WastageRate[#All],2,FALSE)*Calculations[[#This Row],[A1-3]],0)</f>
        <v>0</v>
      </c>
      <c r="N797">
        <f>IFERROR(ROUNDUP(50/VLOOKUP(Calculations[[#This Row],[Scope Element]],B4referenceServiceLife[[Tier 2 element]:[Default Service Life]],2, FALSE)-1,0),0)</f>
        <v>0</v>
      </c>
      <c r="O797" s="322">
        <f>IFERROR((Calculations[[#This Row],[A1-3]]+Calculations[[#This Row],[A4]]+Calculations[[#This Row],[A5]]+Calculations[[#This Row],[C2 total]]+Calculations[[#This Row],[C3 total]]+Calculations[[#This Row],[C4 total]])*Calculations[[#This Row],[Replacements]],0)</f>
        <v>0</v>
      </c>
      <c r="S797" t="str">
        <f>IFERROR(VLOOKUP(Calculations[[#This Row],[Material (choose from dropdown]],MaterialData[#All],4,FALSE),"")</f>
        <v/>
      </c>
      <c r="T797" s="322" cm="1">
        <f t="array" ref="T797">IFERROR(VLOOKUP(Calculations[[#This Row],[Waste 1]],WasteScenario[#All],2,FALSE)*'Stage assumptions'!$C$225*WasteTransportMethod[Emissions Factor
kgCO2e/kg.km]*Calculations[[#This Row],[Total Kg]],0)</f>
        <v>0</v>
      </c>
      <c r="U797" s="322" cm="1">
        <f t="array" ref="U797">IFERROR(VLOOKUP(Calculations[[#This Row],[Waste 1]],WasteScenario[#All],3,FALSE)*'Stage assumptions'!$C$224*WasteTransportMethod[Emissions Factor
kgCO2e/kg.km]*Calculations[[#This Row],[Total Kg]],0)</f>
        <v>0</v>
      </c>
      <c r="V797" s="322" cm="1">
        <f t="array" ref="V797">IFERROR(VLOOKUP(Calculations[[#This Row],[Waste 1]],WasteScenario[#All],4,FALSE)*'Stage assumptions'!$C$223*WasteTransportMethod[Emissions Factor
kgCO2e/kg.km]*Calculations[[#This Row],[Total Kg]],0)</f>
        <v>0</v>
      </c>
      <c r="W797" s="322" cm="1">
        <f t="array" ref="W797">IFERROR(VLOOKUP(Calculations[[#This Row],[Waste 1]],WasteScenario[#All],5,FALSE)*'Stage assumptions'!$C$226*WasteTransportMethod[Emissions Factor
kgCO2e/kg.km]*Calculations[[#This Row],[Total Kg]],0)</f>
        <v>0</v>
      </c>
      <c r="X797" s="322">
        <f>SUM(Calculations[[#This Row],[C2 Recycle]:[C2 Reuse]])</f>
        <v>0</v>
      </c>
      <c r="Y797" t="str">
        <f>IFERROR(VLOOKUP(Calculations[[#This Row],[Material (choose from dropdown]],MaterialData[#All],5,FALSE),"")</f>
        <v/>
      </c>
      <c r="Z797" s="322">
        <f>IFERROR(((VLOOKUP(Calculations[[#This Row],[Waste type 2]],WasteDisposalEmissions[#All],2,FALSE))*Calculations[[#This Row],[Total Kg]])*VLOOKUP(Calculations[[#This Row],[Waste 1]],WasteScenario[#All],2,FALSE),0)</f>
        <v>0</v>
      </c>
      <c r="AA797" s="322">
        <f>IFERROR((VLOOKUP(Calculations[[#This Row],[Waste type 2]],WasteDisposalEmissions[#All],3,FALSE))*Calculations[[#This Row],[Total Kg]]*VLOOKUP(Calculations[[#This Row],[Waste 1]],WasteScenario[#All],3,FALSE),0)</f>
        <v>0</v>
      </c>
      <c r="AB797" s="322">
        <f>SUM(Calculations[[#This Row],[C3 recyc]:[C3 incin]])</f>
        <v>0</v>
      </c>
      <c r="AC797" s="334">
        <f>IFERROR((VLOOKUP(Calculations[[#This Row],[Waste type 2]],WasteLandfillEmissions[#All],2,FALSE))*Calculations[[#This Row],[Total Kg]]*VLOOKUP(Calculations[[#This Row],[Waste 1]],WasteScenario[#All],4,FALSE),0)</f>
        <v>0</v>
      </c>
      <c r="AD797" s="322">
        <f>IFERROR((VLOOKUP(Calculations[[#This Row],[Waste type 2]],WasteLandfillEmissions[#All],3,FALSE))*Calculations[[#This Row],[Total Kg]]*VLOOKUP(Calculations[[#This Row],[Waste 1]],WasteScenario[#All],4,FALSE),0)</f>
        <v>0</v>
      </c>
      <c r="AE797" s="322">
        <f>SUM(Calculations[[#This Row],[C4 landfill]:[C4 re-use]])</f>
        <v>0</v>
      </c>
      <c r="AF797" s="322">
        <f>IFERROR(VLOOKUP(Calculations[[#This Row],[Material (choose from dropdown]],MaterialData[#All],8,FALSE),0)</f>
        <v>0</v>
      </c>
      <c r="AG797" s="322">
        <f>IFERROR(Calculations[[#This Row],[Total Kg]]*Calculations[[#This Row],[Seq factor]],0)</f>
        <v>0</v>
      </c>
      <c r="AI797" s="322">
        <f>Calculations[[#This Row],[A1-3]]+Calculations[[#This Row],[A4]]+Calculations[[#This Row],[A5]]+Calculations[[#This Row],[B4]]+Calculations[[#This Row],[C2 total]]+Calculations[[#This Row],[C3 total]]+Calculations[[#This Row],[C4 total]]</f>
        <v>0</v>
      </c>
      <c r="AJ797" s="2">
        <f>IFERROR(VLOOKUP(Calculations[[#This Row],[Material (choose from dropdown]],MaterialData[[#Headers],[#Data]],9,FALSE),0)</f>
        <v>0</v>
      </c>
      <c r="AK797" s="4">
        <f>IFERROR(VLOOKUP(Calculations[[#This Row],[Material (choose from dropdown]],MaterialData[[#Headers],[#Data]],10,FALSE),0)</f>
        <v>0</v>
      </c>
      <c r="AL797" s="322">
        <f>IFERROR(Calculations[[#This Row],[Data Quality Score]]*Calculations[[#This Row],[Total Kg]],0)</f>
        <v>0</v>
      </c>
    </row>
    <row r="798" spans="1:38" x14ac:dyDescent="0.3">
      <c r="A798" s="6">
        <f>IFERROR(MaterialsBoQ[[#This Row],[Scope Element]],0)</f>
        <v>0</v>
      </c>
      <c r="B798" t="str">
        <f>IFERROR(MaterialsBoQ[[#This Row],[Material ]],"")</f>
        <v/>
      </c>
      <c r="C798" t="str">
        <f>IFERROR(MaterialsBoQ[[#This Row],[Unit]],"")</f>
        <v/>
      </c>
      <c r="D798" s="322">
        <f>IFERROR(MaterialsBoQ[[#This Row],[Number]],0)</f>
        <v>0</v>
      </c>
      <c r="E798" s="322">
        <f>IFERROR(MaterialsBoQ[[#This Row],[Kg per unit]],0)</f>
        <v>0</v>
      </c>
      <c r="F798" s="322">
        <f>IFERROR(Calculations[[#This Row],[Number]]*Calculations[[#This Row],[Conversion factor]],0)</f>
        <v>0</v>
      </c>
      <c r="G798" s="322">
        <f>IFERROR(VLOOKUP(Calculations[[#This Row],[Material (choose from dropdown]],MaterialData[#All],7,FALSE),0)</f>
        <v>0</v>
      </c>
      <c r="H798" s="322">
        <f>Calculations[[#This Row],[Total Kg]]*Calculations[[#This Row],[Carbon Factor]]</f>
        <v>0</v>
      </c>
      <c r="I798" t="str">
        <f>IFERROR(VLOOKUP(Calculations[[#This Row],[Material (choose from dropdown]],MaterialData[#All],2,FALSE),"")</f>
        <v/>
      </c>
      <c r="J798" s="322">
        <f>IFERROR(((VLOOKUP(Calculations[[#This Row],[TransportSource]],TransportDistance[],2,FALSE)*'Stage assumptions'!$C$11)+VLOOKUP(Calculations[[#This Row],[TransportSource]],TransportDistance[],3,FALSE)*'Stage assumptions'!$C$12)*Calculations[[#This Row],[Total Kg]],0)</f>
        <v>0</v>
      </c>
      <c r="K798">
        <f>IFERROR(VLOOKUP(Calculations[[#This Row],[Material (choose from dropdown]], MaterialData[#All],3, FALSE),0)</f>
        <v>0</v>
      </c>
      <c r="L798" s="322">
        <f>IFERROR(VLOOKUP(Calculations[[#This Row],[A5type]],A5WastageRate[#All],2,FALSE)*Calculations[[#This Row],[A1-3]],0)</f>
        <v>0</v>
      </c>
      <c r="N798">
        <f>IFERROR(ROUNDUP(50/VLOOKUP(Calculations[[#This Row],[Scope Element]],B4referenceServiceLife[[Tier 2 element]:[Default Service Life]],2, FALSE)-1,0),0)</f>
        <v>0</v>
      </c>
      <c r="O798" s="322">
        <f>IFERROR((Calculations[[#This Row],[A1-3]]+Calculations[[#This Row],[A4]]+Calculations[[#This Row],[A5]]+Calculations[[#This Row],[C2 total]]+Calculations[[#This Row],[C3 total]]+Calculations[[#This Row],[C4 total]])*Calculations[[#This Row],[Replacements]],0)</f>
        <v>0</v>
      </c>
      <c r="S798" t="str">
        <f>IFERROR(VLOOKUP(Calculations[[#This Row],[Material (choose from dropdown]],MaterialData[#All],4,FALSE),"")</f>
        <v/>
      </c>
      <c r="T798" s="322" cm="1">
        <f t="array" ref="T798">IFERROR(VLOOKUP(Calculations[[#This Row],[Waste 1]],WasteScenario[#All],2,FALSE)*'Stage assumptions'!$C$225*WasteTransportMethod[Emissions Factor
kgCO2e/kg.km]*Calculations[[#This Row],[Total Kg]],0)</f>
        <v>0</v>
      </c>
      <c r="U798" s="322" cm="1">
        <f t="array" ref="U798">IFERROR(VLOOKUP(Calculations[[#This Row],[Waste 1]],WasteScenario[#All],3,FALSE)*'Stage assumptions'!$C$224*WasteTransportMethod[Emissions Factor
kgCO2e/kg.km]*Calculations[[#This Row],[Total Kg]],0)</f>
        <v>0</v>
      </c>
      <c r="V798" s="322" cm="1">
        <f t="array" ref="V798">IFERROR(VLOOKUP(Calculations[[#This Row],[Waste 1]],WasteScenario[#All],4,FALSE)*'Stage assumptions'!$C$223*WasteTransportMethod[Emissions Factor
kgCO2e/kg.km]*Calculations[[#This Row],[Total Kg]],0)</f>
        <v>0</v>
      </c>
      <c r="W798" s="322" cm="1">
        <f t="array" ref="W798">IFERROR(VLOOKUP(Calculations[[#This Row],[Waste 1]],WasteScenario[#All],5,FALSE)*'Stage assumptions'!$C$226*WasteTransportMethod[Emissions Factor
kgCO2e/kg.km]*Calculations[[#This Row],[Total Kg]],0)</f>
        <v>0</v>
      </c>
      <c r="X798" s="322">
        <f>SUM(Calculations[[#This Row],[C2 Recycle]:[C2 Reuse]])</f>
        <v>0</v>
      </c>
      <c r="Y798" t="str">
        <f>IFERROR(VLOOKUP(Calculations[[#This Row],[Material (choose from dropdown]],MaterialData[#All],5,FALSE),"")</f>
        <v/>
      </c>
      <c r="Z798" s="322">
        <f>IFERROR(((VLOOKUP(Calculations[[#This Row],[Waste type 2]],WasteDisposalEmissions[#All],2,FALSE))*Calculations[[#This Row],[Total Kg]])*VLOOKUP(Calculations[[#This Row],[Waste 1]],WasteScenario[#All],2,FALSE),0)</f>
        <v>0</v>
      </c>
      <c r="AA798" s="322">
        <f>IFERROR((VLOOKUP(Calculations[[#This Row],[Waste type 2]],WasteDisposalEmissions[#All],3,FALSE))*Calculations[[#This Row],[Total Kg]]*VLOOKUP(Calculations[[#This Row],[Waste 1]],WasteScenario[#All],3,FALSE),0)</f>
        <v>0</v>
      </c>
      <c r="AB798" s="322">
        <f>SUM(Calculations[[#This Row],[C3 recyc]:[C3 incin]])</f>
        <v>0</v>
      </c>
      <c r="AC798" s="334">
        <f>IFERROR((VLOOKUP(Calculations[[#This Row],[Waste type 2]],WasteLandfillEmissions[#All],2,FALSE))*Calculations[[#This Row],[Total Kg]]*VLOOKUP(Calculations[[#This Row],[Waste 1]],WasteScenario[#All],4,FALSE),0)</f>
        <v>0</v>
      </c>
      <c r="AD798" s="322">
        <f>IFERROR((VLOOKUP(Calculations[[#This Row],[Waste type 2]],WasteLandfillEmissions[#All],3,FALSE))*Calculations[[#This Row],[Total Kg]]*VLOOKUP(Calculations[[#This Row],[Waste 1]],WasteScenario[#All],4,FALSE),0)</f>
        <v>0</v>
      </c>
      <c r="AE798" s="322">
        <f>SUM(Calculations[[#This Row],[C4 landfill]:[C4 re-use]])</f>
        <v>0</v>
      </c>
      <c r="AF798" s="322">
        <f>IFERROR(VLOOKUP(Calculations[[#This Row],[Material (choose from dropdown]],MaterialData[#All],8,FALSE),0)</f>
        <v>0</v>
      </c>
      <c r="AG798" s="322">
        <f>IFERROR(Calculations[[#This Row],[Total Kg]]*Calculations[[#This Row],[Seq factor]],0)</f>
        <v>0</v>
      </c>
      <c r="AI798" s="322">
        <f>Calculations[[#This Row],[A1-3]]+Calculations[[#This Row],[A4]]+Calculations[[#This Row],[A5]]+Calculations[[#This Row],[B4]]+Calculations[[#This Row],[C2 total]]+Calculations[[#This Row],[C3 total]]+Calculations[[#This Row],[C4 total]]</f>
        <v>0</v>
      </c>
      <c r="AJ798" s="2">
        <f>IFERROR(VLOOKUP(Calculations[[#This Row],[Material (choose from dropdown]],MaterialData[[#Headers],[#Data]],9,FALSE),0)</f>
        <v>0</v>
      </c>
      <c r="AK798" s="4">
        <f>IFERROR(VLOOKUP(Calculations[[#This Row],[Material (choose from dropdown]],MaterialData[[#Headers],[#Data]],10,FALSE),0)</f>
        <v>0</v>
      </c>
      <c r="AL798" s="322">
        <f>IFERROR(Calculations[[#This Row],[Data Quality Score]]*Calculations[[#This Row],[Total Kg]],0)</f>
        <v>0</v>
      </c>
    </row>
    <row r="799" spans="1:38" x14ac:dyDescent="0.3">
      <c r="A799" s="6">
        <f>IFERROR(MaterialsBoQ[[#This Row],[Scope Element]],0)</f>
        <v>0</v>
      </c>
      <c r="B799" t="str">
        <f>IFERROR(MaterialsBoQ[[#This Row],[Material ]],"")</f>
        <v/>
      </c>
      <c r="C799" t="str">
        <f>IFERROR(MaterialsBoQ[[#This Row],[Unit]],"")</f>
        <v/>
      </c>
      <c r="D799" s="322">
        <f>IFERROR(MaterialsBoQ[[#This Row],[Number]],0)</f>
        <v>0</v>
      </c>
      <c r="E799" s="322">
        <f>IFERROR(MaterialsBoQ[[#This Row],[Kg per unit]],0)</f>
        <v>0</v>
      </c>
      <c r="F799" s="322">
        <f>IFERROR(Calculations[[#This Row],[Number]]*Calculations[[#This Row],[Conversion factor]],0)</f>
        <v>0</v>
      </c>
      <c r="G799" s="322">
        <f>IFERROR(VLOOKUP(Calculations[[#This Row],[Material (choose from dropdown]],MaterialData[#All],7,FALSE),0)</f>
        <v>0</v>
      </c>
      <c r="H799" s="322">
        <f>Calculations[[#This Row],[Total Kg]]*Calculations[[#This Row],[Carbon Factor]]</f>
        <v>0</v>
      </c>
      <c r="I799" t="str">
        <f>IFERROR(VLOOKUP(Calculations[[#This Row],[Material (choose from dropdown]],MaterialData[#All],2,FALSE),"")</f>
        <v/>
      </c>
      <c r="J799" s="322">
        <f>IFERROR(((VLOOKUP(Calculations[[#This Row],[TransportSource]],TransportDistance[],2,FALSE)*'Stage assumptions'!$C$11)+VLOOKUP(Calculations[[#This Row],[TransportSource]],TransportDistance[],3,FALSE)*'Stage assumptions'!$C$12)*Calculations[[#This Row],[Total Kg]],0)</f>
        <v>0</v>
      </c>
      <c r="K799">
        <f>IFERROR(VLOOKUP(Calculations[[#This Row],[Material (choose from dropdown]], MaterialData[#All],3, FALSE),0)</f>
        <v>0</v>
      </c>
      <c r="L799" s="322">
        <f>IFERROR(VLOOKUP(Calculations[[#This Row],[A5type]],A5WastageRate[#All],2,FALSE)*Calculations[[#This Row],[A1-3]],0)</f>
        <v>0</v>
      </c>
      <c r="N799">
        <f>IFERROR(ROUNDUP(50/VLOOKUP(Calculations[[#This Row],[Scope Element]],B4referenceServiceLife[[Tier 2 element]:[Default Service Life]],2, FALSE)-1,0),0)</f>
        <v>0</v>
      </c>
      <c r="O799" s="322">
        <f>IFERROR((Calculations[[#This Row],[A1-3]]+Calculations[[#This Row],[A4]]+Calculations[[#This Row],[A5]]+Calculations[[#This Row],[C2 total]]+Calculations[[#This Row],[C3 total]]+Calculations[[#This Row],[C4 total]])*Calculations[[#This Row],[Replacements]],0)</f>
        <v>0</v>
      </c>
      <c r="S799" t="str">
        <f>IFERROR(VLOOKUP(Calculations[[#This Row],[Material (choose from dropdown]],MaterialData[#All],4,FALSE),"")</f>
        <v/>
      </c>
      <c r="T799" s="322" cm="1">
        <f t="array" ref="T799">IFERROR(VLOOKUP(Calculations[[#This Row],[Waste 1]],WasteScenario[#All],2,FALSE)*'Stage assumptions'!$C$225*WasteTransportMethod[Emissions Factor
kgCO2e/kg.km]*Calculations[[#This Row],[Total Kg]],0)</f>
        <v>0</v>
      </c>
      <c r="U799" s="322" cm="1">
        <f t="array" ref="U799">IFERROR(VLOOKUP(Calculations[[#This Row],[Waste 1]],WasteScenario[#All],3,FALSE)*'Stage assumptions'!$C$224*WasteTransportMethod[Emissions Factor
kgCO2e/kg.km]*Calculations[[#This Row],[Total Kg]],0)</f>
        <v>0</v>
      </c>
      <c r="V799" s="322" cm="1">
        <f t="array" ref="V799">IFERROR(VLOOKUP(Calculations[[#This Row],[Waste 1]],WasteScenario[#All],4,FALSE)*'Stage assumptions'!$C$223*WasteTransportMethod[Emissions Factor
kgCO2e/kg.km]*Calculations[[#This Row],[Total Kg]],0)</f>
        <v>0</v>
      </c>
      <c r="W799" s="322" cm="1">
        <f t="array" ref="W799">IFERROR(VLOOKUP(Calculations[[#This Row],[Waste 1]],WasteScenario[#All],5,FALSE)*'Stage assumptions'!$C$226*WasteTransportMethod[Emissions Factor
kgCO2e/kg.km]*Calculations[[#This Row],[Total Kg]],0)</f>
        <v>0</v>
      </c>
      <c r="X799" s="322">
        <f>SUM(Calculations[[#This Row],[C2 Recycle]:[C2 Reuse]])</f>
        <v>0</v>
      </c>
      <c r="Y799" t="str">
        <f>IFERROR(VLOOKUP(Calculations[[#This Row],[Material (choose from dropdown]],MaterialData[#All],5,FALSE),"")</f>
        <v/>
      </c>
      <c r="Z799" s="322">
        <f>IFERROR(((VLOOKUP(Calculations[[#This Row],[Waste type 2]],WasteDisposalEmissions[#All],2,FALSE))*Calculations[[#This Row],[Total Kg]])*VLOOKUP(Calculations[[#This Row],[Waste 1]],WasteScenario[#All],2,FALSE),0)</f>
        <v>0</v>
      </c>
      <c r="AA799" s="322">
        <f>IFERROR((VLOOKUP(Calculations[[#This Row],[Waste type 2]],WasteDisposalEmissions[#All],3,FALSE))*Calculations[[#This Row],[Total Kg]]*VLOOKUP(Calculations[[#This Row],[Waste 1]],WasteScenario[#All],3,FALSE),0)</f>
        <v>0</v>
      </c>
      <c r="AB799" s="322">
        <f>SUM(Calculations[[#This Row],[C3 recyc]:[C3 incin]])</f>
        <v>0</v>
      </c>
      <c r="AC799" s="334">
        <f>IFERROR((VLOOKUP(Calculations[[#This Row],[Waste type 2]],WasteLandfillEmissions[#All],2,FALSE))*Calculations[[#This Row],[Total Kg]]*VLOOKUP(Calculations[[#This Row],[Waste 1]],WasteScenario[#All],4,FALSE),0)</f>
        <v>0</v>
      </c>
      <c r="AD799" s="322">
        <f>IFERROR((VLOOKUP(Calculations[[#This Row],[Waste type 2]],WasteLandfillEmissions[#All],3,FALSE))*Calculations[[#This Row],[Total Kg]]*VLOOKUP(Calculations[[#This Row],[Waste 1]],WasteScenario[#All],4,FALSE),0)</f>
        <v>0</v>
      </c>
      <c r="AE799" s="322">
        <f>SUM(Calculations[[#This Row],[C4 landfill]:[C4 re-use]])</f>
        <v>0</v>
      </c>
      <c r="AF799" s="322">
        <f>IFERROR(VLOOKUP(Calculations[[#This Row],[Material (choose from dropdown]],MaterialData[#All],8,FALSE),0)</f>
        <v>0</v>
      </c>
      <c r="AG799" s="322">
        <f>IFERROR(Calculations[[#This Row],[Total Kg]]*Calculations[[#This Row],[Seq factor]],0)</f>
        <v>0</v>
      </c>
      <c r="AI799" s="322">
        <f>Calculations[[#This Row],[A1-3]]+Calculations[[#This Row],[A4]]+Calculations[[#This Row],[A5]]+Calculations[[#This Row],[B4]]+Calculations[[#This Row],[C2 total]]+Calculations[[#This Row],[C3 total]]+Calculations[[#This Row],[C4 total]]</f>
        <v>0</v>
      </c>
      <c r="AJ799" s="2">
        <f>IFERROR(VLOOKUP(Calculations[[#This Row],[Material (choose from dropdown]],MaterialData[[#Headers],[#Data]],9,FALSE),0)</f>
        <v>0</v>
      </c>
      <c r="AK799" s="4">
        <f>IFERROR(VLOOKUP(Calculations[[#This Row],[Material (choose from dropdown]],MaterialData[[#Headers],[#Data]],10,FALSE),0)</f>
        <v>0</v>
      </c>
      <c r="AL799" s="322">
        <f>IFERROR(Calculations[[#This Row],[Data Quality Score]]*Calculations[[#This Row],[Total Kg]],0)</f>
        <v>0</v>
      </c>
    </row>
    <row r="800" spans="1:38" x14ac:dyDescent="0.3">
      <c r="A800" s="6">
        <f>IFERROR(MaterialsBoQ[[#This Row],[Scope Element]],0)</f>
        <v>0</v>
      </c>
      <c r="B800" t="str">
        <f>IFERROR(MaterialsBoQ[[#This Row],[Material ]],"")</f>
        <v/>
      </c>
      <c r="C800" t="str">
        <f>IFERROR(MaterialsBoQ[[#This Row],[Unit]],"")</f>
        <v/>
      </c>
      <c r="D800" s="322">
        <f>IFERROR(MaterialsBoQ[[#This Row],[Number]],0)</f>
        <v>0</v>
      </c>
      <c r="E800" s="322">
        <f>IFERROR(MaterialsBoQ[[#This Row],[Kg per unit]],0)</f>
        <v>0</v>
      </c>
      <c r="F800" s="322">
        <f>IFERROR(Calculations[[#This Row],[Number]]*Calculations[[#This Row],[Conversion factor]],0)</f>
        <v>0</v>
      </c>
      <c r="G800" s="322">
        <f>IFERROR(VLOOKUP(Calculations[[#This Row],[Material (choose from dropdown]],MaterialData[#All],7,FALSE),0)</f>
        <v>0</v>
      </c>
      <c r="H800" s="322">
        <f>Calculations[[#This Row],[Total Kg]]*Calculations[[#This Row],[Carbon Factor]]</f>
        <v>0</v>
      </c>
      <c r="I800" t="str">
        <f>IFERROR(VLOOKUP(Calculations[[#This Row],[Material (choose from dropdown]],MaterialData[#All],2,FALSE),"")</f>
        <v/>
      </c>
      <c r="J800" s="322">
        <f>IFERROR(((VLOOKUP(Calculations[[#This Row],[TransportSource]],TransportDistance[],2,FALSE)*'Stage assumptions'!$C$11)+VLOOKUP(Calculations[[#This Row],[TransportSource]],TransportDistance[],3,FALSE)*'Stage assumptions'!$C$12)*Calculations[[#This Row],[Total Kg]],0)</f>
        <v>0</v>
      </c>
      <c r="K800">
        <f>IFERROR(VLOOKUP(Calculations[[#This Row],[Material (choose from dropdown]], MaterialData[#All],3, FALSE),0)</f>
        <v>0</v>
      </c>
      <c r="L800" s="322">
        <f>IFERROR(VLOOKUP(Calculations[[#This Row],[A5type]],A5WastageRate[#All],2,FALSE)*Calculations[[#This Row],[A1-3]],0)</f>
        <v>0</v>
      </c>
      <c r="N800">
        <f>IFERROR(ROUNDUP(50/VLOOKUP(Calculations[[#This Row],[Scope Element]],B4referenceServiceLife[[Tier 2 element]:[Default Service Life]],2, FALSE)-1,0),0)</f>
        <v>0</v>
      </c>
      <c r="O800" s="322">
        <f>IFERROR((Calculations[[#This Row],[A1-3]]+Calculations[[#This Row],[A4]]+Calculations[[#This Row],[A5]]+Calculations[[#This Row],[C2 total]]+Calculations[[#This Row],[C3 total]]+Calculations[[#This Row],[C4 total]])*Calculations[[#This Row],[Replacements]],0)</f>
        <v>0</v>
      </c>
      <c r="S800" t="str">
        <f>IFERROR(VLOOKUP(Calculations[[#This Row],[Material (choose from dropdown]],MaterialData[#All],4,FALSE),"")</f>
        <v/>
      </c>
      <c r="T800" s="322" cm="1">
        <f t="array" ref="T800">IFERROR(VLOOKUP(Calculations[[#This Row],[Waste 1]],WasteScenario[#All],2,FALSE)*'Stage assumptions'!$C$225*WasteTransportMethod[Emissions Factor
kgCO2e/kg.km]*Calculations[[#This Row],[Total Kg]],0)</f>
        <v>0</v>
      </c>
      <c r="U800" s="322" cm="1">
        <f t="array" ref="U800">IFERROR(VLOOKUP(Calculations[[#This Row],[Waste 1]],WasteScenario[#All],3,FALSE)*'Stage assumptions'!$C$224*WasteTransportMethod[Emissions Factor
kgCO2e/kg.km]*Calculations[[#This Row],[Total Kg]],0)</f>
        <v>0</v>
      </c>
      <c r="V800" s="322" cm="1">
        <f t="array" ref="V800">IFERROR(VLOOKUP(Calculations[[#This Row],[Waste 1]],WasteScenario[#All],4,FALSE)*'Stage assumptions'!$C$223*WasteTransportMethod[Emissions Factor
kgCO2e/kg.km]*Calculations[[#This Row],[Total Kg]],0)</f>
        <v>0</v>
      </c>
      <c r="W800" s="322" cm="1">
        <f t="array" ref="W800">IFERROR(VLOOKUP(Calculations[[#This Row],[Waste 1]],WasteScenario[#All],5,FALSE)*'Stage assumptions'!$C$226*WasteTransportMethod[Emissions Factor
kgCO2e/kg.km]*Calculations[[#This Row],[Total Kg]],0)</f>
        <v>0</v>
      </c>
      <c r="X800" s="322">
        <f>SUM(Calculations[[#This Row],[C2 Recycle]:[C2 Reuse]])</f>
        <v>0</v>
      </c>
      <c r="Y800" t="str">
        <f>IFERROR(VLOOKUP(Calculations[[#This Row],[Material (choose from dropdown]],MaterialData[#All],5,FALSE),"")</f>
        <v/>
      </c>
      <c r="Z800" s="322">
        <f>IFERROR(((VLOOKUP(Calculations[[#This Row],[Waste type 2]],WasteDisposalEmissions[#All],2,FALSE))*Calculations[[#This Row],[Total Kg]])*VLOOKUP(Calculations[[#This Row],[Waste 1]],WasteScenario[#All],2,FALSE),0)</f>
        <v>0</v>
      </c>
      <c r="AA800" s="322">
        <f>IFERROR((VLOOKUP(Calculations[[#This Row],[Waste type 2]],WasteDisposalEmissions[#All],3,FALSE))*Calculations[[#This Row],[Total Kg]]*VLOOKUP(Calculations[[#This Row],[Waste 1]],WasteScenario[#All],3,FALSE),0)</f>
        <v>0</v>
      </c>
      <c r="AB800" s="322">
        <f>SUM(Calculations[[#This Row],[C3 recyc]:[C3 incin]])</f>
        <v>0</v>
      </c>
      <c r="AC800" s="334">
        <f>IFERROR((VLOOKUP(Calculations[[#This Row],[Waste type 2]],WasteLandfillEmissions[#All],2,FALSE))*Calculations[[#This Row],[Total Kg]]*VLOOKUP(Calculations[[#This Row],[Waste 1]],WasteScenario[#All],4,FALSE),0)</f>
        <v>0</v>
      </c>
      <c r="AD800" s="322">
        <f>IFERROR((VLOOKUP(Calculations[[#This Row],[Waste type 2]],WasteLandfillEmissions[#All],3,FALSE))*Calculations[[#This Row],[Total Kg]]*VLOOKUP(Calculations[[#This Row],[Waste 1]],WasteScenario[#All],4,FALSE),0)</f>
        <v>0</v>
      </c>
      <c r="AE800" s="322">
        <f>SUM(Calculations[[#This Row],[C4 landfill]:[C4 re-use]])</f>
        <v>0</v>
      </c>
      <c r="AF800" s="322">
        <f>IFERROR(VLOOKUP(Calculations[[#This Row],[Material (choose from dropdown]],MaterialData[#All],8,FALSE),0)</f>
        <v>0</v>
      </c>
      <c r="AG800" s="322">
        <f>IFERROR(Calculations[[#This Row],[Total Kg]]*Calculations[[#This Row],[Seq factor]],0)</f>
        <v>0</v>
      </c>
      <c r="AI800" s="322">
        <f>Calculations[[#This Row],[A1-3]]+Calculations[[#This Row],[A4]]+Calculations[[#This Row],[A5]]+Calculations[[#This Row],[B4]]+Calculations[[#This Row],[C2 total]]+Calculations[[#This Row],[C3 total]]+Calculations[[#This Row],[C4 total]]</f>
        <v>0</v>
      </c>
      <c r="AJ800" s="2">
        <f>IFERROR(VLOOKUP(Calculations[[#This Row],[Material (choose from dropdown]],MaterialData[[#Headers],[#Data]],9,FALSE),0)</f>
        <v>0</v>
      </c>
      <c r="AK800" s="4">
        <f>IFERROR(VLOOKUP(Calculations[[#This Row],[Material (choose from dropdown]],MaterialData[[#Headers],[#Data]],10,FALSE),0)</f>
        <v>0</v>
      </c>
      <c r="AL800" s="322">
        <f>IFERROR(Calculations[[#This Row],[Data Quality Score]]*Calculations[[#This Row],[Total Kg]],0)</f>
        <v>0</v>
      </c>
    </row>
    <row r="801" spans="1:38" x14ac:dyDescent="0.3">
      <c r="A801" s="6">
        <f>IFERROR(MaterialsBoQ[[#This Row],[Scope Element]],0)</f>
        <v>0</v>
      </c>
      <c r="B801" t="str">
        <f>IFERROR(MaterialsBoQ[[#This Row],[Material ]],"")</f>
        <v/>
      </c>
      <c r="C801" t="str">
        <f>IFERROR(MaterialsBoQ[[#This Row],[Unit]],"")</f>
        <v/>
      </c>
      <c r="D801" s="322">
        <f>IFERROR(MaterialsBoQ[[#This Row],[Number]],0)</f>
        <v>0</v>
      </c>
      <c r="E801" s="322">
        <f>IFERROR(MaterialsBoQ[[#This Row],[Kg per unit]],0)</f>
        <v>0</v>
      </c>
      <c r="F801" s="322">
        <f>IFERROR(Calculations[[#This Row],[Number]]*Calculations[[#This Row],[Conversion factor]],0)</f>
        <v>0</v>
      </c>
      <c r="G801" s="322">
        <f>IFERROR(VLOOKUP(Calculations[[#This Row],[Material (choose from dropdown]],MaterialData[#All],7,FALSE),0)</f>
        <v>0</v>
      </c>
      <c r="H801" s="322">
        <f>Calculations[[#This Row],[Total Kg]]*Calculations[[#This Row],[Carbon Factor]]</f>
        <v>0</v>
      </c>
      <c r="I801" t="str">
        <f>IFERROR(VLOOKUP(Calculations[[#This Row],[Material (choose from dropdown]],MaterialData[#All],2,FALSE),"")</f>
        <v/>
      </c>
      <c r="J801" s="322">
        <f>IFERROR(((VLOOKUP(Calculations[[#This Row],[TransportSource]],TransportDistance[],2,FALSE)*'Stage assumptions'!$C$11)+VLOOKUP(Calculations[[#This Row],[TransportSource]],TransportDistance[],3,FALSE)*'Stage assumptions'!$C$12)*Calculations[[#This Row],[Total Kg]],0)</f>
        <v>0</v>
      </c>
      <c r="K801">
        <f>IFERROR(VLOOKUP(Calculations[[#This Row],[Material (choose from dropdown]], MaterialData[#All],3, FALSE),0)</f>
        <v>0</v>
      </c>
      <c r="L801" s="322">
        <f>IFERROR(VLOOKUP(Calculations[[#This Row],[A5type]],A5WastageRate[#All],2,FALSE)*Calculations[[#This Row],[A1-3]],0)</f>
        <v>0</v>
      </c>
      <c r="N801">
        <f>IFERROR(ROUNDUP(50/VLOOKUP(Calculations[[#This Row],[Scope Element]],B4referenceServiceLife[[Tier 2 element]:[Default Service Life]],2, FALSE)-1,0),0)</f>
        <v>0</v>
      </c>
      <c r="O801" s="322">
        <f>IFERROR((Calculations[[#This Row],[A1-3]]+Calculations[[#This Row],[A4]]+Calculations[[#This Row],[A5]]+Calculations[[#This Row],[C2 total]]+Calculations[[#This Row],[C3 total]]+Calculations[[#This Row],[C4 total]])*Calculations[[#This Row],[Replacements]],0)</f>
        <v>0</v>
      </c>
      <c r="S801" t="str">
        <f>IFERROR(VLOOKUP(Calculations[[#This Row],[Material (choose from dropdown]],MaterialData[#All],4,FALSE),"")</f>
        <v/>
      </c>
      <c r="T801" s="322" cm="1">
        <f t="array" ref="T801">IFERROR(VLOOKUP(Calculations[[#This Row],[Waste 1]],WasteScenario[#All],2,FALSE)*'Stage assumptions'!$C$225*WasteTransportMethod[Emissions Factor
kgCO2e/kg.km]*Calculations[[#This Row],[Total Kg]],0)</f>
        <v>0</v>
      </c>
      <c r="U801" s="322" cm="1">
        <f t="array" ref="U801">IFERROR(VLOOKUP(Calculations[[#This Row],[Waste 1]],WasteScenario[#All],3,FALSE)*'Stage assumptions'!$C$224*WasteTransportMethod[Emissions Factor
kgCO2e/kg.km]*Calculations[[#This Row],[Total Kg]],0)</f>
        <v>0</v>
      </c>
      <c r="V801" s="322" cm="1">
        <f t="array" ref="V801">IFERROR(VLOOKUP(Calculations[[#This Row],[Waste 1]],WasteScenario[#All],4,FALSE)*'Stage assumptions'!$C$223*WasteTransportMethod[Emissions Factor
kgCO2e/kg.km]*Calculations[[#This Row],[Total Kg]],0)</f>
        <v>0</v>
      </c>
      <c r="W801" s="322" cm="1">
        <f t="array" ref="W801">IFERROR(VLOOKUP(Calculations[[#This Row],[Waste 1]],WasteScenario[#All],5,FALSE)*'Stage assumptions'!$C$226*WasteTransportMethod[Emissions Factor
kgCO2e/kg.km]*Calculations[[#This Row],[Total Kg]],0)</f>
        <v>0</v>
      </c>
      <c r="X801" s="322">
        <f>SUM(Calculations[[#This Row],[C2 Recycle]:[C2 Reuse]])</f>
        <v>0</v>
      </c>
      <c r="Y801" t="str">
        <f>IFERROR(VLOOKUP(Calculations[[#This Row],[Material (choose from dropdown]],MaterialData[#All],5,FALSE),"")</f>
        <v/>
      </c>
      <c r="Z801" s="322">
        <f>IFERROR(((VLOOKUP(Calculations[[#This Row],[Waste type 2]],WasteDisposalEmissions[#All],2,FALSE))*Calculations[[#This Row],[Total Kg]])*VLOOKUP(Calculations[[#This Row],[Waste 1]],WasteScenario[#All],2,FALSE),0)</f>
        <v>0</v>
      </c>
      <c r="AA801" s="322">
        <f>IFERROR((VLOOKUP(Calculations[[#This Row],[Waste type 2]],WasteDisposalEmissions[#All],3,FALSE))*Calculations[[#This Row],[Total Kg]]*VLOOKUP(Calculations[[#This Row],[Waste 1]],WasteScenario[#All],3,FALSE),0)</f>
        <v>0</v>
      </c>
      <c r="AB801" s="322">
        <f>SUM(Calculations[[#This Row],[C3 recyc]:[C3 incin]])</f>
        <v>0</v>
      </c>
      <c r="AC801" s="334">
        <f>IFERROR((VLOOKUP(Calculations[[#This Row],[Waste type 2]],WasteLandfillEmissions[#All],2,FALSE))*Calculations[[#This Row],[Total Kg]]*VLOOKUP(Calculations[[#This Row],[Waste 1]],WasteScenario[#All],4,FALSE),0)</f>
        <v>0</v>
      </c>
      <c r="AD801" s="322">
        <f>IFERROR((VLOOKUP(Calculations[[#This Row],[Waste type 2]],WasteLandfillEmissions[#All],3,FALSE))*Calculations[[#This Row],[Total Kg]]*VLOOKUP(Calculations[[#This Row],[Waste 1]],WasteScenario[#All],4,FALSE),0)</f>
        <v>0</v>
      </c>
      <c r="AE801" s="322">
        <f>SUM(Calculations[[#This Row],[C4 landfill]:[C4 re-use]])</f>
        <v>0</v>
      </c>
      <c r="AF801" s="322">
        <f>IFERROR(VLOOKUP(Calculations[[#This Row],[Material (choose from dropdown]],MaterialData[#All],8,FALSE),0)</f>
        <v>0</v>
      </c>
      <c r="AG801" s="322">
        <f>IFERROR(Calculations[[#This Row],[Total Kg]]*Calculations[[#This Row],[Seq factor]],0)</f>
        <v>0</v>
      </c>
      <c r="AI801" s="322">
        <f>Calculations[[#This Row],[A1-3]]+Calculations[[#This Row],[A4]]+Calculations[[#This Row],[A5]]+Calculations[[#This Row],[B4]]+Calculations[[#This Row],[C2 total]]+Calculations[[#This Row],[C3 total]]+Calculations[[#This Row],[C4 total]]</f>
        <v>0</v>
      </c>
      <c r="AJ801" s="2">
        <f>IFERROR(VLOOKUP(Calculations[[#This Row],[Material (choose from dropdown]],MaterialData[[#Headers],[#Data]],9,FALSE),0)</f>
        <v>0</v>
      </c>
      <c r="AK801" s="4">
        <f>IFERROR(VLOOKUP(Calculations[[#This Row],[Material (choose from dropdown]],MaterialData[[#Headers],[#Data]],10,FALSE),0)</f>
        <v>0</v>
      </c>
      <c r="AL801" s="322">
        <f>IFERROR(Calculations[[#This Row],[Data Quality Score]]*Calculations[[#This Row],[Total Kg]],0)</f>
        <v>0</v>
      </c>
    </row>
    <row r="802" spans="1:38" x14ac:dyDescent="0.3">
      <c r="A802" s="6">
        <f>IFERROR(MaterialsBoQ[[#This Row],[Scope Element]],0)</f>
        <v>0</v>
      </c>
      <c r="B802" t="str">
        <f>IFERROR(MaterialsBoQ[[#This Row],[Material ]],"")</f>
        <v/>
      </c>
      <c r="C802" t="str">
        <f>IFERROR(MaterialsBoQ[[#This Row],[Unit]],"")</f>
        <v/>
      </c>
      <c r="D802" s="322">
        <f>IFERROR(MaterialsBoQ[[#This Row],[Number]],0)</f>
        <v>0</v>
      </c>
      <c r="E802" s="322">
        <f>IFERROR(MaterialsBoQ[[#This Row],[Kg per unit]],0)</f>
        <v>0</v>
      </c>
      <c r="F802" s="322">
        <f>IFERROR(Calculations[[#This Row],[Number]]*Calculations[[#This Row],[Conversion factor]],0)</f>
        <v>0</v>
      </c>
      <c r="G802" s="322">
        <f>IFERROR(VLOOKUP(Calculations[[#This Row],[Material (choose from dropdown]],MaterialData[#All],7,FALSE),0)</f>
        <v>0</v>
      </c>
      <c r="H802" s="322">
        <f>Calculations[[#This Row],[Total Kg]]*Calculations[[#This Row],[Carbon Factor]]</f>
        <v>0</v>
      </c>
      <c r="I802" t="str">
        <f>IFERROR(VLOOKUP(Calculations[[#This Row],[Material (choose from dropdown]],MaterialData[#All],2,FALSE),"")</f>
        <v/>
      </c>
      <c r="J802" s="322">
        <f>IFERROR(((VLOOKUP(Calculations[[#This Row],[TransportSource]],TransportDistance[],2,FALSE)*'Stage assumptions'!$C$11)+VLOOKUP(Calculations[[#This Row],[TransportSource]],TransportDistance[],3,FALSE)*'Stage assumptions'!$C$12)*Calculations[[#This Row],[Total Kg]],0)</f>
        <v>0</v>
      </c>
      <c r="K802">
        <f>IFERROR(VLOOKUP(Calculations[[#This Row],[Material (choose from dropdown]], MaterialData[#All],3, FALSE),0)</f>
        <v>0</v>
      </c>
      <c r="L802" s="322">
        <f>IFERROR(VLOOKUP(Calculations[[#This Row],[A5type]],A5WastageRate[#All],2,FALSE)*Calculations[[#This Row],[A1-3]],0)</f>
        <v>0</v>
      </c>
      <c r="N802">
        <f>IFERROR(ROUNDUP(50/VLOOKUP(Calculations[[#This Row],[Scope Element]],B4referenceServiceLife[[Tier 2 element]:[Default Service Life]],2, FALSE)-1,0),0)</f>
        <v>0</v>
      </c>
      <c r="O802" s="322">
        <f>IFERROR((Calculations[[#This Row],[A1-3]]+Calculations[[#This Row],[A4]]+Calculations[[#This Row],[A5]]+Calculations[[#This Row],[C2 total]]+Calculations[[#This Row],[C3 total]]+Calculations[[#This Row],[C4 total]])*Calculations[[#This Row],[Replacements]],0)</f>
        <v>0</v>
      </c>
      <c r="S802" t="str">
        <f>IFERROR(VLOOKUP(Calculations[[#This Row],[Material (choose from dropdown]],MaterialData[#All],4,FALSE),"")</f>
        <v/>
      </c>
      <c r="T802" s="322" cm="1">
        <f t="array" ref="T802">IFERROR(VLOOKUP(Calculations[[#This Row],[Waste 1]],WasteScenario[#All],2,FALSE)*'Stage assumptions'!$C$225*WasteTransportMethod[Emissions Factor
kgCO2e/kg.km]*Calculations[[#This Row],[Total Kg]],0)</f>
        <v>0</v>
      </c>
      <c r="U802" s="322" cm="1">
        <f t="array" ref="U802">IFERROR(VLOOKUP(Calculations[[#This Row],[Waste 1]],WasteScenario[#All],3,FALSE)*'Stage assumptions'!$C$224*WasteTransportMethod[Emissions Factor
kgCO2e/kg.km]*Calculations[[#This Row],[Total Kg]],0)</f>
        <v>0</v>
      </c>
      <c r="V802" s="322" cm="1">
        <f t="array" ref="V802">IFERROR(VLOOKUP(Calculations[[#This Row],[Waste 1]],WasteScenario[#All],4,FALSE)*'Stage assumptions'!$C$223*WasteTransportMethod[Emissions Factor
kgCO2e/kg.km]*Calculations[[#This Row],[Total Kg]],0)</f>
        <v>0</v>
      </c>
      <c r="W802" s="322" cm="1">
        <f t="array" ref="W802">IFERROR(VLOOKUP(Calculations[[#This Row],[Waste 1]],WasteScenario[#All],5,FALSE)*'Stage assumptions'!$C$226*WasteTransportMethod[Emissions Factor
kgCO2e/kg.km]*Calculations[[#This Row],[Total Kg]],0)</f>
        <v>0</v>
      </c>
      <c r="X802" s="322">
        <f>SUM(Calculations[[#This Row],[C2 Recycle]:[C2 Reuse]])</f>
        <v>0</v>
      </c>
      <c r="Y802" t="str">
        <f>IFERROR(VLOOKUP(Calculations[[#This Row],[Material (choose from dropdown]],MaterialData[#All],5,FALSE),"")</f>
        <v/>
      </c>
      <c r="Z802" s="322">
        <f>IFERROR(((VLOOKUP(Calculations[[#This Row],[Waste type 2]],WasteDisposalEmissions[#All],2,FALSE))*Calculations[[#This Row],[Total Kg]])*VLOOKUP(Calculations[[#This Row],[Waste 1]],WasteScenario[#All],2,FALSE),0)</f>
        <v>0</v>
      </c>
      <c r="AA802" s="322">
        <f>IFERROR((VLOOKUP(Calculations[[#This Row],[Waste type 2]],WasteDisposalEmissions[#All],3,FALSE))*Calculations[[#This Row],[Total Kg]]*VLOOKUP(Calculations[[#This Row],[Waste 1]],WasteScenario[#All],3,FALSE),0)</f>
        <v>0</v>
      </c>
      <c r="AB802" s="322">
        <f>SUM(Calculations[[#This Row],[C3 recyc]:[C3 incin]])</f>
        <v>0</v>
      </c>
      <c r="AC802" s="334">
        <f>IFERROR((VLOOKUP(Calculations[[#This Row],[Waste type 2]],WasteLandfillEmissions[#All],2,FALSE))*Calculations[[#This Row],[Total Kg]]*VLOOKUP(Calculations[[#This Row],[Waste 1]],WasteScenario[#All],4,FALSE),0)</f>
        <v>0</v>
      </c>
      <c r="AD802" s="322">
        <f>IFERROR((VLOOKUP(Calculations[[#This Row],[Waste type 2]],WasteLandfillEmissions[#All],3,FALSE))*Calculations[[#This Row],[Total Kg]]*VLOOKUP(Calculations[[#This Row],[Waste 1]],WasteScenario[#All],4,FALSE),0)</f>
        <v>0</v>
      </c>
      <c r="AE802" s="322">
        <f>SUM(Calculations[[#This Row],[C4 landfill]:[C4 re-use]])</f>
        <v>0</v>
      </c>
      <c r="AF802" s="322">
        <f>IFERROR(VLOOKUP(Calculations[[#This Row],[Material (choose from dropdown]],MaterialData[#All],8,FALSE),0)</f>
        <v>0</v>
      </c>
      <c r="AG802" s="322">
        <f>IFERROR(Calculations[[#This Row],[Total Kg]]*Calculations[[#This Row],[Seq factor]],0)</f>
        <v>0</v>
      </c>
      <c r="AI802" s="322">
        <f>Calculations[[#This Row],[A1-3]]+Calculations[[#This Row],[A4]]+Calculations[[#This Row],[A5]]+Calculations[[#This Row],[B4]]+Calculations[[#This Row],[C2 total]]+Calculations[[#This Row],[C3 total]]+Calculations[[#This Row],[C4 total]]</f>
        <v>0</v>
      </c>
      <c r="AJ802" s="2">
        <f>IFERROR(VLOOKUP(Calculations[[#This Row],[Material (choose from dropdown]],MaterialData[[#Headers],[#Data]],9,FALSE),0)</f>
        <v>0</v>
      </c>
      <c r="AK802" s="4">
        <f>IFERROR(VLOOKUP(Calculations[[#This Row],[Material (choose from dropdown]],MaterialData[[#Headers],[#Data]],10,FALSE),0)</f>
        <v>0</v>
      </c>
      <c r="AL802" s="322">
        <f>IFERROR(Calculations[[#This Row],[Data Quality Score]]*Calculations[[#This Row],[Total Kg]],0)</f>
        <v>0</v>
      </c>
    </row>
    <row r="803" spans="1:38" x14ac:dyDescent="0.3">
      <c r="A803" s="6">
        <f>IFERROR(MaterialsBoQ[[#This Row],[Scope Element]],0)</f>
        <v>0</v>
      </c>
      <c r="B803" t="str">
        <f>IFERROR(MaterialsBoQ[[#This Row],[Material ]],"")</f>
        <v/>
      </c>
      <c r="C803" t="str">
        <f>IFERROR(MaterialsBoQ[[#This Row],[Unit]],"")</f>
        <v/>
      </c>
      <c r="D803" s="322">
        <f>IFERROR(MaterialsBoQ[[#This Row],[Number]],0)</f>
        <v>0</v>
      </c>
      <c r="E803" s="322">
        <f>IFERROR(MaterialsBoQ[[#This Row],[Kg per unit]],0)</f>
        <v>0</v>
      </c>
      <c r="F803" s="322">
        <f>IFERROR(Calculations[[#This Row],[Number]]*Calculations[[#This Row],[Conversion factor]],0)</f>
        <v>0</v>
      </c>
      <c r="G803" s="322">
        <f>IFERROR(VLOOKUP(Calculations[[#This Row],[Material (choose from dropdown]],MaterialData[#All],7,FALSE),0)</f>
        <v>0</v>
      </c>
      <c r="H803" s="322">
        <f>Calculations[[#This Row],[Total Kg]]*Calculations[[#This Row],[Carbon Factor]]</f>
        <v>0</v>
      </c>
      <c r="I803" t="str">
        <f>IFERROR(VLOOKUP(Calculations[[#This Row],[Material (choose from dropdown]],MaterialData[#All],2,FALSE),"")</f>
        <v/>
      </c>
      <c r="J803" s="322">
        <f>IFERROR(((VLOOKUP(Calculations[[#This Row],[TransportSource]],TransportDistance[],2,FALSE)*'Stage assumptions'!$C$11)+VLOOKUP(Calculations[[#This Row],[TransportSource]],TransportDistance[],3,FALSE)*'Stage assumptions'!$C$12)*Calculations[[#This Row],[Total Kg]],0)</f>
        <v>0</v>
      </c>
      <c r="K803">
        <f>IFERROR(VLOOKUP(Calculations[[#This Row],[Material (choose from dropdown]], MaterialData[#All],3, FALSE),0)</f>
        <v>0</v>
      </c>
      <c r="L803" s="322">
        <f>IFERROR(VLOOKUP(Calculations[[#This Row],[A5type]],A5WastageRate[#All],2,FALSE)*Calculations[[#This Row],[A1-3]],0)</f>
        <v>0</v>
      </c>
      <c r="N803">
        <f>IFERROR(ROUNDUP(50/VLOOKUP(Calculations[[#This Row],[Scope Element]],B4referenceServiceLife[[Tier 2 element]:[Default Service Life]],2, FALSE)-1,0),0)</f>
        <v>0</v>
      </c>
      <c r="O803" s="322">
        <f>IFERROR((Calculations[[#This Row],[A1-3]]+Calculations[[#This Row],[A4]]+Calculations[[#This Row],[A5]]+Calculations[[#This Row],[C2 total]]+Calculations[[#This Row],[C3 total]]+Calculations[[#This Row],[C4 total]])*Calculations[[#This Row],[Replacements]],0)</f>
        <v>0</v>
      </c>
      <c r="S803" t="str">
        <f>IFERROR(VLOOKUP(Calculations[[#This Row],[Material (choose from dropdown]],MaterialData[#All],4,FALSE),"")</f>
        <v/>
      </c>
      <c r="T803" s="322" cm="1">
        <f t="array" ref="T803">IFERROR(VLOOKUP(Calculations[[#This Row],[Waste 1]],WasteScenario[#All],2,FALSE)*'Stage assumptions'!$C$225*WasteTransportMethod[Emissions Factor
kgCO2e/kg.km]*Calculations[[#This Row],[Total Kg]],0)</f>
        <v>0</v>
      </c>
      <c r="U803" s="322" cm="1">
        <f t="array" ref="U803">IFERROR(VLOOKUP(Calculations[[#This Row],[Waste 1]],WasteScenario[#All],3,FALSE)*'Stage assumptions'!$C$224*WasteTransportMethod[Emissions Factor
kgCO2e/kg.km]*Calculations[[#This Row],[Total Kg]],0)</f>
        <v>0</v>
      </c>
      <c r="V803" s="322" cm="1">
        <f t="array" ref="V803">IFERROR(VLOOKUP(Calculations[[#This Row],[Waste 1]],WasteScenario[#All],4,FALSE)*'Stage assumptions'!$C$223*WasteTransportMethod[Emissions Factor
kgCO2e/kg.km]*Calculations[[#This Row],[Total Kg]],0)</f>
        <v>0</v>
      </c>
      <c r="W803" s="322" cm="1">
        <f t="array" ref="W803">IFERROR(VLOOKUP(Calculations[[#This Row],[Waste 1]],WasteScenario[#All],5,FALSE)*'Stage assumptions'!$C$226*WasteTransportMethod[Emissions Factor
kgCO2e/kg.km]*Calculations[[#This Row],[Total Kg]],0)</f>
        <v>0</v>
      </c>
      <c r="X803" s="322">
        <f>SUM(Calculations[[#This Row],[C2 Recycle]:[C2 Reuse]])</f>
        <v>0</v>
      </c>
      <c r="Y803" t="str">
        <f>IFERROR(VLOOKUP(Calculations[[#This Row],[Material (choose from dropdown]],MaterialData[#All],5,FALSE),"")</f>
        <v/>
      </c>
      <c r="Z803" s="322">
        <f>IFERROR(((VLOOKUP(Calculations[[#This Row],[Waste type 2]],WasteDisposalEmissions[#All],2,FALSE))*Calculations[[#This Row],[Total Kg]])*VLOOKUP(Calculations[[#This Row],[Waste 1]],WasteScenario[#All],2,FALSE),0)</f>
        <v>0</v>
      </c>
      <c r="AA803" s="322">
        <f>IFERROR((VLOOKUP(Calculations[[#This Row],[Waste type 2]],WasteDisposalEmissions[#All],3,FALSE))*Calculations[[#This Row],[Total Kg]]*VLOOKUP(Calculations[[#This Row],[Waste 1]],WasteScenario[#All],3,FALSE),0)</f>
        <v>0</v>
      </c>
      <c r="AB803" s="322">
        <f>SUM(Calculations[[#This Row],[C3 recyc]:[C3 incin]])</f>
        <v>0</v>
      </c>
      <c r="AC803" s="334">
        <f>IFERROR((VLOOKUP(Calculations[[#This Row],[Waste type 2]],WasteLandfillEmissions[#All],2,FALSE))*Calculations[[#This Row],[Total Kg]]*VLOOKUP(Calculations[[#This Row],[Waste 1]],WasteScenario[#All],4,FALSE),0)</f>
        <v>0</v>
      </c>
      <c r="AD803" s="322">
        <f>IFERROR((VLOOKUP(Calculations[[#This Row],[Waste type 2]],WasteLandfillEmissions[#All],3,FALSE))*Calculations[[#This Row],[Total Kg]]*VLOOKUP(Calculations[[#This Row],[Waste 1]],WasteScenario[#All],4,FALSE),0)</f>
        <v>0</v>
      </c>
      <c r="AE803" s="322">
        <f>SUM(Calculations[[#This Row],[C4 landfill]:[C4 re-use]])</f>
        <v>0</v>
      </c>
      <c r="AF803" s="322">
        <f>IFERROR(VLOOKUP(Calculations[[#This Row],[Material (choose from dropdown]],MaterialData[#All],8,FALSE),0)</f>
        <v>0</v>
      </c>
      <c r="AG803" s="322">
        <f>IFERROR(Calculations[[#This Row],[Total Kg]]*Calculations[[#This Row],[Seq factor]],0)</f>
        <v>0</v>
      </c>
      <c r="AI803" s="322">
        <f>Calculations[[#This Row],[A1-3]]+Calculations[[#This Row],[A4]]+Calculations[[#This Row],[A5]]+Calculations[[#This Row],[B4]]+Calculations[[#This Row],[C2 total]]+Calculations[[#This Row],[C3 total]]+Calculations[[#This Row],[C4 total]]</f>
        <v>0</v>
      </c>
      <c r="AJ803" s="2">
        <f>IFERROR(VLOOKUP(Calculations[[#This Row],[Material (choose from dropdown]],MaterialData[[#Headers],[#Data]],9,FALSE),0)</f>
        <v>0</v>
      </c>
      <c r="AK803" s="4">
        <f>IFERROR(VLOOKUP(Calculations[[#This Row],[Material (choose from dropdown]],MaterialData[[#Headers],[#Data]],10,FALSE),0)</f>
        <v>0</v>
      </c>
      <c r="AL803" s="322">
        <f>IFERROR(Calculations[[#This Row],[Data Quality Score]]*Calculations[[#This Row],[Total Kg]],0)</f>
        <v>0</v>
      </c>
    </row>
    <row r="804" spans="1:38" x14ac:dyDescent="0.3">
      <c r="A804" s="6">
        <f>IFERROR(MaterialsBoQ[[#This Row],[Scope Element]],0)</f>
        <v>0</v>
      </c>
      <c r="B804" t="str">
        <f>IFERROR(MaterialsBoQ[[#This Row],[Material ]],"")</f>
        <v/>
      </c>
      <c r="C804" t="str">
        <f>IFERROR(MaterialsBoQ[[#This Row],[Unit]],"")</f>
        <v/>
      </c>
      <c r="D804" s="322">
        <f>IFERROR(MaterialsBoQ[[#This Row],[Number]],0)</f>
        <v>0</v>
      </c>
      <c r="E804" s="322">
        <f>IFERROR(MaterialsBoQ[[#This Row],[Kg per unit]],0)</f>
        <v>0</v>
      </c>
      <c r="F804" s="322">
        <f>IFERROR(Calculations[[#This Row],[Number]]*Calculations[[#This Row],[Conversion factor]],0)</f>
        <v>0</v>
      </c>
      <c r="G804" s="322">
        <f>IFERROR(VLOOKUP(Calculations[[#This Row],[Material (choose from dropdown]],MaterialData[#All],7,FALSE),0)</f>
        <v>0</v>
      </c>
      <c r="H804" s="322">
        <f>Calculations[[#This Row],[Total Kg]]*Calculations[[#This Row],[Carbon Factor]]</f>
        <v>0</v>
      </c>
      <c r="I804" t="str">
        <f>IFERROR(VLOOKUP(Calculations[[#This Row],[Material (choose from dropdown]],MaterialData[#All],2,FALSE),"")</f>
        <v/>
      </c>
      <c r="J804" s="322">
        <f>IFERROR(((VLOOKUP(Calculations[[#This Row],[TransportSource]],TransportDistance[],2,FALSE)*'Stage assumptions'!$C$11)+VLOOKUP(Calculations[[#This Row],[TransportSource]],TransportDistance[],3,FALSE)*'Stage assumptions'!$C$12)*Calculations[[#This Row],[Total Kg]],0)</f>
        <v>0</v>
      </c>
      <c r="K804">
        <f>IFERROR(VLOOKUP(Calculations[[#This Row],[Material (choose from dropdown]], MaterialData[#All],3, FALSE),0)</f>
        <v>0</v>
      </c>
      <c r="L804" s="322">
        <f>IFERROR(VLOOKUP(Calculations[[#This Row],[A5type]],A5WastageRate[#All],2,FALSE)*Calculations[[#This Row],[A1-3]],0)</f>
        <v>0</v>
      </c>
      <c r="N804">
        <f>IFERROR(ROUNDUP(50/VLOOKUP(Calculations[[#This Row],[Scope Element]],B4referenceServiceLife[[Tier 2 element]:[Default Service Life]],2, FALSE)-1,0),0)</f>
        <v>0</v>
      </c>
      <c r="O804" s="322">
        <f>IFERROR((Calculations[[#This Row],[A1-3]]+Calculations[[#This Row],[A4]]+Calculations[[#This Row],[A5]]+Calculations[[#This Row],[C2 total]]+Calculations[[#This Row],[C3 total]]+Calculations[[#This Row],[C4 total]])*Calculations[[#This Row],[Replacements]],0)</f>
        <v>0</v>
      </c>
      <c r="S804" t="str">
        <f>IFERROR(VLOOKUP(Calculations[[#This Row],[Material (choose from dropdown]],MaterialData[#All],4,FALSE),"")</f>
        <v/>
      </c>
      <c r="T804" s="322" cm="1">
        <f t="array" ref="T804">IFERROR(VLOOKUP(Calculations[[#This Row],[Waste 1]],WasteScenario[#All],2,FALSE)*'Stage assumptions'!$C$225*WasteTransportMethod[Emissions Factor
kgCO2e/kg.km]*Calculations[[#This Row],[Total Kg]],0)</f>
        <v>0</v>
      </c>
      <c r="U804" s="322" cm="1">
        <f t="array" ref="U804">IFERROR(VLOOKUP(Calculations[[#This Row],[Waste 1]],WasteScenario[#All],3,FALSE)*'Stage assumptions'!$C$224*WasteTransportMethod[Emissions Factor
kgCO2e/kg.km]*Calculations[[#This Row],[Total Kg]],0)</f>
        <v>0</v>
      </c>
      <c r="V804" s="322" cm="1">
        <f t="array" ref="V804">IFERROR(VLOOKUP(Calculations[[#This Row],[Waste 1]],WasteScenario[#All],4,FALSE)*'Stage assumptions'!$C$223*WasteTransportMethod[Emissions Factor
kgCO2e/kg.km]*Calculations[[#This Row],[Total Kg]],0)</f>
        <v>0</v>
      </c>
      <c r="W804" s="322" cm="1">
        <f t="array" ref="W804">IFERROR(VLOOKUP(Calculations[[#This Row],[Waste 1]],WasteScenario[#All],5,FALSE)*'Stage assumptions'!$C$226*WasteTransportMethod[Emissions Factor
kgCO2e/kg.km]*Calculations[[#This Row],[Total Kg]],0)</f>
        <v>0</v>
      </c>
      <c r="X804" s="322">
        <f>SUM(Calculations[[#This Row],[C2 Recycle]:[C2 Reuse]])</f>
        <v>0</v>
      </c>
      <c r="Y804" t="str">
        <f>IFERROR(VLOOKUP(Calculations[[#This Row],[Material (choose from dropdown]],MaterialData[#All],5,FALSE),"")</f>
        <v/>
      </c>
      <c r="Z804" s="322">
        <f>IFERROR(((VLOOKUP(Calculations[[#This Row],[Waste type 2]],WasteDisposalEmissions[#All],2,FALSE))*Calculations[[#This Row],[Total Kg]])*VLOOKUP(Calculations[[#This Row],[Waste 1]],WasteScenario[#All],2,FALSE),0)</f>
        <v>0</v>
      </c>
      <c r="AA804" s="322">
        <f>IFERROR((VLOOKUP(Calculations[[#This Row],[Waste type 2]],WasteDisposalEmissions[#All],3,FALSE))*Calculations[[#This Row],[Total Kg]]*VLOOKUP(Calculations[[#This Row],[Waste 1]],WasteScenario[#All],3,FALSE),0)</f>
        <v>0</v>
      </c>
      <c r="AB804" s="322">
        <f>SUM(Calculations[[#This Row],[C3 recyc]:[C3 incin]])</f>
        <v>0</v>
      </c>
      <c r="AC804" s="334">
        <f>IFERROR((VLOOKUP(Calculations[[#This Row],[Waste type 2]],WasteLandfillEmissions[#All],2,FALSE))*Calculations[[#This Row],[Total Kg]]*VLOOKUP(Calculations[[#This Row],[Waste 1]],WasteScenario[#All],4,FALSE),0)</f>
        <v>0</v>
      </c>
      <c r="AD804" s="322">
        <f>IFERROR((VLOOKUP(Calculations[[#This Row],[Waste type 2]],WasteLandfillEmissions[#All],3,FALSE))*Calculations[[#This Row],[Total Kg]]*VLOOKUP(Calculations[[#This Row],[Waste 1]],WasteScenario[#All],4,FALSE),0)</f>
        <v>0</v>
      </c>
      <c r="AE804" s="322">
        <f>SUM(Calculations[[#This Row],[C4 landfill]:[C4 re-use]])</f>
        <v>0</v>
      </c>
      <c r="AF804" s="322">
        <f>IFERROR(VLOOKUP(Calculations[[#This Row],[Material (choose from dropdown]],MaterialData[#All],8,FALSE),0)</f>
        <v>0</v>
      </c>
      <c r="AG804" s="322">
        <f>IFERROR(Calculations[[#This Row],[Total Kg]]*Calculations[[#This Row],[Seq factor]],0)</f>
        <v>0</v>
      </c>
      <c r="AI804" s="322">
        <f>Calculations[[#This Row],[A1-3]]+Calculations[[#This Row],[A4]]+Calculations[[#This Row],[A5]]+Calculations[[#This Row],[B4]]+Calculations[[#This Row],[C2 total]]+Calculations[[#This Row],[C3 total]]+Calculations[[#This Row],[C4 total]]</f>
        <v>0</v>
      </c>
      <c r="AJ804" s="2">
        <f>IFERROR(VLOOKUP(Calculations[[#This Row],[Material (choose from dropdown]],MaterialData[[#Headers],[#Data]],9,FALSE),0)</f>
        <v>0</v>
      </c>
      <c r="AK804" s="4">
        <f>IFERROR(VLOOKUP(Calculations[[#This Row],[Material (choose from dropdown]],MaterialData[[#Headers],[#Data]],10,FALSE),0)</f>
        <v>0</v>
      </c>
      <c r="AL804" s="322">
        <f>IFERROR(Calculations[[#This Row],[Data Quality Score]]*Calculations[[#This Row],[Total Kg]],0)</f>
        <v>0</v>
      </c>
    </row>
    <row r="805" spans="1:38" x14ac:dyDescent="0.3">
      <c r="A805" s="6">
        <f>IFERROR(MaterialsBoQ[[#This Row],[Scope Element]],0)</f>
        <v>0</v>
      </c>
      <c r="B805" t="str">
        <f>IFERROR(MaterialsBoQ[[#This Row],[Material ]],"")</f>
        <v/>
      </c>
      <c r="C805" t="str">
        <f>IFERROR(MaterialsBoQ[[#This Row],[Unit]],"")</f>
        <v/>
      </c>
      <c r="D805" s="322">
        <f>IFERROR(MaterialsBoQ[[#This Row],[Number]],0)</f>
        <v>0</v>
      </c>
      <c r="E805" s="322">
        <f>IFERROR(MaterialsBoQ[[#This Row],[Kg per unit]],0)</f>
        <v>0</v>
      </c>
      <c r="F805" s="322">
        <f>IFERROR(Calculations[[#This Row],[Number]]*Calculations[[#This Row],[Conversion factor]],0)</f>
        <v>0</v>
      </c>
      <c r="G805" s="322">
        <f>IFERROR(VLOOKUP(Calculations[[#This Row],[Material (choose from dropdown]],MaterialData[#All],7,FALSE),0)</f>
        <v>0</v>
      </c>
      <c r="H805" s="322">
        <f>Calculations[[#This Row],[Total Kg]]*Calculations[[#This Row],[Carbon Factor]]</f>
        <v>0</v>
      </c>
      <c r="I805" t="str">
        <f>IFERROR(VLOOKUP(Calculations[[#This Row],[Material (choose from dropdown]],MaterialData[#All],2,FALSE),"")</f>
        <v/>
      </c>
      <c r="J805" s="322">
        <f>IFERROR(((VLOOKUP(Calculations[[#This Row],[TransportSource]],TransportDistance[],2,FALSE)*'Stage assumptions'!$C$11)+VLOOKUP(Calculations[[#This Row],[TransportSource]],TransportDistance[],3,FALSE)*'Stage assumptions'!$C$12)*Calculations[[#This Row],[Total Kg]],0)</f>
        <v>0</v>
      </c>
      <c r="K805">
        <f>IFERROR(VLOOKUP(Calculations[[#This Row],[Material (choose from dropdown]], MaterialData[#All],3, FALSE),0)</f>
        <v>0</v>
      </c>
      <c r="L805" s="322">
        <f>IFERROR(VLOOKUP(Calculations[[#This Row],[A5type]],A5WastageRate[#All],2,FALSE)*Calculations[[#This Row],[A1-3]],0)</f>
        <v>0</v>
      </c>
      <c r="N805">
        <f>IFERROR(ROUNDUP(50/VLOOKUP(Calculations[[#This Row],[Scope Element]],B4referenceServiceLife[[Tier 2 element]:[Default Service Life]],2, FALSE)-1,0),0)</f>
        <v>0</v>
      </c>
      <c r="O805" s="322">
        <f>IFERROR((Calculations[[#This Row],[A1-3]]+Calculations[[#This Row],[A4]]+Calculations[[#This Row],[A5]]+Calculations[[#This Row],[C2 total]]+Calculations[[#This Row],[C3 total]]+Calculations[[#This Row],[C4 total]])*Calculations[[#This Row],[Replacements]],0)</f>
        <v>0</v>
      </c>
      <c r="S805" t="str">
        <f>IFERROR(VLOOKUP(Calculations[[#This Row],[Material (choose from dropdown]],MaterialData[#All],4,FALSE),"")</f>
        <v/>
      </c>
      <c r="T805" s="322" cm="1">
        <f t="array" ref="T805">IFERROR(VLOOKUP(Calculations[[#This Row],[Waste 1]],WasteScenario[#All],2,FALSE)*'Stage assumptions'!$C$225*WasteTransportMethod[Emissions Factor
kgCO2e/kg.km]*Calculations[[#This Row],[Total Kg]],0)</f>
        <v>0</v>
      </c>
      <c r="U805" s="322" cm="1">
        <f t="array" ref="U805">IFERROR(VLOOKUP(Calculations[[#This Row],[Waste 1]],WasteScenario[#All],3,FALSE)*'Stage assumptions'!$C$224*WasteTransportMethod[Emissions Factor
kgCO2e/kg.km]*Calculations[[#This Row],[Total Kg]],0)</f>
        <v>0</v>
      </c>
      <c r="V805" s="322" cm="1">
        <f t="array" ref="V805">IFERROR(VLOOKUP(Calculations[[#This Row],[Waste 1]],WasteScenario[#All],4,FALSE)*'Stage assumptions'!$C$223*WasteTransportMethod[Emissions Factor
kgCO2e/kg.km]*Calculations[[#This Row],[Total Kg]],0)</f>
        <v>0</v>
      </c>
      <c r="W805" s="322" cm="1">
        <f t="array" ref="W805">IFERROR(VLOOKUP(Calculations[[#This Row],[Waste 1]],WasteScenario[#All],5,FALSE)*'Stage assumptions'!$C$226*WasteTransportMethod[Emissions Factor
kgCO2e/kg.km]*Calculations[[#This Row],[Total Kg]],0)</f>
        <v>0</v>
      </c>
      <c r="X805" s="322">
        <f>SUM(Calculations[[#This Row],[C2 Recycle]:[C2 Reuse]])</f>
        <v>0</v>
      </c>
      <c r="Y805" t="str">
        <f>IFERROR(VLOOKUP(Calculations[[#This Row],[Material (choose from dropdown]],MaterialData[#All],5,FALSE),"")</f>
        <v/>
      </c>
      <c r="Z805" s="322">
        <f>IFERROR(((VLOOKUP(Calculations[[#This Row],[Waste type 2]],WasteDisposalEmissions[#All],2,FALSE))*Calculations[[#This Row],[Total Kg]])*VLOOKUP(Calculations[[#This Row],[Waste 1]],WasteScenario[#All],2,FALSE),0)</f>
        <v>0</v>
      </c>
      <c r="AA805" s="322">
        <f>IFERROR((VLOOKUP(Calculations[[#This Row],[Waste type 2]],WasteDisposalEmissions[#All],3,FALSE))*Calculations[[#This Row],[Total Kg]]*VLOOKUP(Calculations[[#This Row],[Waste 1]],WasteScenario[#All],3,FALSE),0)</f>
        <v>0</v>
      </c>
      <c r="AB805" s="322">
        <f>SUM(Calculations[[#This Row],[C3 recyc]:[C3 incin]])</f>
        <v>0</v>
      </c>
      <c r="AC805" s="334">
        <f>IFERROR((VLOOKUP(Calculations[[#This Row],[Waste type 2]],WasteLandfillEmissions[#All],2,FALSE))*Calculations[[#This Row],[Total Kg]]*VLOOKUP(Calculations[[#This Row],[Waste 1]],WasteScenario[#All],4,FALSE),0)</f>
        <v>0</v>
      </c>
      <c r="AD805" s="322">
        <f>IFERROR((VLOOKUP(Calculations[[#This Row],[Waste type 2]],WasteLandfillEmissions[#All],3,FALSE))*Calculations[[#This Row],[Total Kg]]*VLOOKUP(Calculations[[#This Row],[Waste 1]],WasteScenario[#All],4,FALSE),0)</f>
        <v>0</v>
      </c>
      <c r="AE805" s="322">
        <f>SUM(Calculations[[#This Row],[C4 landfill]:[C4 re-use]])</f>
        <v>0</v>
      </c>
      <c r="AF805" s="322">
        <f>IFERROR(VLOOKUP(Calculations[[#This Row],[Material (choose from dropdown]],MaterialData[#All],8,FALSE),0)</f>
        <v>0</v>
      </c>
      <c r="AG805" s="322">
        <f>IFERROR(Calculations[[#This Row],[Total Kg]]*Calculations[[#This Row],[Seq factor]],0)</f>
        <v>0</v>
      </c>
      <c r="AI805" s="322">
        <f>Calculations[[#This Row],[A1-3]]+Calculations[[#This Row],[A4]]+Calculations[[#This Row],[A5]]+Calculations[[#This Row],[B4]]+Calculations[[#This Row],[C2 total]]+Calculations[[#This Row],[C3 total]]+Calculations[[#This Row],[C4 total]]</f>
        <v>0</v>
      </c>
      <c r="AJ805" s="2">
        <f>IFERROR(VLOOKUP(Calculations[[#This Row],[Material (choose from dropdown]],MaterialData[[#Headers],[#Data]],9,FALSE),0)</f>
        <v>0</v>
      </c>
      <c r="AK805" s="4">
        <f>IFERROR(VLOOKUP(Calculations[[#This Row],[Material (choose from dropdown]],MaterialData[[#Headers],[#Data]],10,FALSE),0)</f>
        <v>0</v>
      </c>
      <c r="AL805" s="322">
        <f>IFERROR(Calculations[[#This Row],[Data Quality Score]]*Calculations[[#This Row],[Total Kg]],0)</f>
        <v>0</v>
      </c>
    </row>
    <row r="806" spans="1:38" x14ac:dyDescent="0.3">
      <c r="A806" s="6">
        <f>IFERROR(MaterialsBoQ[[#This Row],[Scope Element]],0)</f>
        <v>0</v>
      </c>
      <c r="B806" t="str">
        <f>IFERROR(MaterialsBoQ[[#This Row],[Material ]],"")</f>
        <v/>
      </c>
      <c r="C806" t="str">
        <f>IFERROR(MaterialsBoQ[[#This Row],[Unit]],"")</f>
        <v/>
      </c>
      <c r="D806" s="322">
        <f>IFERROR(MaterialsBoQ[[#This Row],[Number]],0)</f>
        <v>0</v>
      </c>
      <c r="E806" s="322">
        <f>IFERROR(MaterialsBoQ[[#This Row],[Kg per unit]],0)</f>
        <v>0</v>
      </c>
      <c r="F806" s="322">
        <f>IFERROR(Calculations[[#This Row],[Number]]*Calculations[[#This Row],[Conversion factor]],0)</f>
        <v>0</v>
      </c>
      <c r="G806" s="322">
        <f>IFERROR(VLOOKUP(Calculations[[#This Row],[Material (choose from dropdown]],MaterialData[#All],7,FALSE),0)</f>
        <v>0</v>
      </c>
      <c r="H806" s="322">
        <f>Calculations[[#This Row],[Total Kg]]*Calculations[[#This Row],[Carbon Factor]]</f>
        <v>0</v>
      </c>
      <c r="I806" t="str">
        <f>IFERROR(VLOOKUP(Calculations[[#This Row],[Material (choose from dropdown]],MaterialData[#All],2,FALSE),"")</f>
        <v/>
      </c>
      <c r="J806" s="322">
        <f>IFERROR(((VLOOKUP(Calculations[[#This Row],[TransportSource]],TransportDistance[],2,FALSE)*'Stage assumptions'!$C$11)+VLOOKUP(Calculations[[#This Row],[TransportSource]],TransportDistance[],3,FALSE)*'Stage assumptions'!$C$12)*Calculations[[#This Row],[Total Kg]],0)</f>
        <v>0</v>
      </c>
      <c r="K806">
        <f>IFERROR(VLOOKUP(Calculations[[#This Row],[Material (choose from dropdown]], MaterialData[#All],3, FALSE),0)</f>
        <v>0</v>
      </c>
      <c r="L806" s="322">
        <f>IFERROR(VLOOKUP(Calculations[[#This Row],[A5type]],A5WastageRate[#All],2,FALSE)*Calculations[[#This Row],[A1-3]],0)</f>
        <v>0</v>
      </c>
      <c r="N806">
        <f>IFERROR(ROUNDUP(50/VLOOKUP(Calculations[[#This Row],[Scope Element]],B4referenceServiceLife[[Tier 2 element]:[Default Service Life]],2, FALSE)-1,0),0)</f>
        <v>0</v>
      </c>
      <c r="O806" s="322">
        <f>IFERROR((Calculations[[#This Row],[A1-3]]+Calculations[[#This Row],[A4]]+Calculations[[#This Row],[A5]]+Calculations[[#This Row],[C2 total]]+Calculations[[#This Row],[C3 total]]+Calculations[[#This Row],[C4 total]])*Calculations[[#This Row],[Replacements]],0)</f>
        <v>0</v>
      </c>
      <c r="S806" t="str">
        <f>IFERROR(VLOOKUP(Calculations[[#This Row],[Material (choose from dropdown]],MaterialData[#All],4,FALSE),"")</f>
        <v/>
      </c>
      <c r="T806" s="322" cm="1">
        <f t="array" ref="T806">IFERROR(VLOOKUP(Calculations[[#This Row],[Waste 1]],WasteScenario[#All],2,FALSE)*'Stage assumptions'!$C$225*WasteTransportMethod[Emissions Factor
kgCO2e/kg.km]*Calculations[[#This Row],[Total Kg]],0)</f>
        <v>0</v>
      </c>
      <c r="U806" s="322" cm="1">
        <f t="array" ref="U806">IFERROR(VLOOKUP(Calculations[[#This Row],[Waste 1]],WasteScenario[#All],3,FALSE)*'Stage assumptions'!$C$224*WasteTransportMethod[Emissions Factor
kgCO2e/kg.km]*Calculations[[#This Row],[Total Kg]],0)</f>
        <v>0</v>
      </c>
      <c r="V806" s="322" cm="1">
        <f t="array" ref="V806">IFERROR(VLOOKUP(Calculations[[#This Row],[Waste 1]],WasteScenario[#All],4,FALSE)*'Stage assumptions'!$C$223*WasteTransportMethod[Emissions Factor
kgCO2e/kg.km]*Calculations[[#This Row],[Total Kg]],0)</f>
        <v>0</v>
      </c>
      <c r="W806" s="322" cm="1">
        <f t="array" ref="W806">IFERROR(VLOOKUP(Calculations[[#This Row],[Waste 1]],WasteScenario[#All],5,FALSE)*'Stage assumptions'!$C$226*WasteTransportMethod[Emissions Factor
kgCO2e/kg.km]*Calculations[[#This Row],[Total Kg]],0)</f>
        <v>0</v>
      </c>
      <c r="X806" s="322">
        <f>SUM(Calculations[[#This Row],[C2 Recycle]:[C2 Reuse]])</f>
        <v>0</v>
      </c>
      <c r="Y806" t="str">
        <f>IFERROR(VLOOKUP(Calculations[[#This Row],[Material (choose from dropdown]],MaterialData[#All],5,FALSE),"")</f>
        <v/>
      </c>
      <c r="Z806" s="322">
        <f>IFERROR(((VLOOKUP(Calculations[[#This Row],[Waste type 2]],WasteDisposalEmissions[#All],2,FALSE))*Calculations[[#This Row],[Total Kg]])*VLOOKUP(Calculations[[#This Row],[Waste 1]],WasteScenario[#All],2,FALSE),0)</f>
        <v>0</v>
      </c>
      <c r="AA806" s="322">
        <f>IFERROR((VLOOKUP(Calculations[[#This Row],[Waste type 2]],WasteDisposalEmissions[#All],3,FALSE))*Calculations[[#This Row],[Total Kg]]*VLOOKUP(Calculations[[#This Row],[Waste 1]],WasteScenario[#All],3,FALSE),0)</f>
        <v>0</v>
      </c>
      <c r="AB806" s="322">
        <f>SUM(Calculations[[#This Row],[C3 recyc]:[C3 incin]])</f>
        <v>0</v>
      </c>
      <c r="AC806" s="334">
        <f>IFERROR((VLOOKUP(Calculations[[#This Row],[Waste type 2]],WasteLandfillEmissions[#All],2,FALSE))*Calculations[[#This Row],[Total Kg]]*VLOOKUP(Calculations[[#This Row],[Waste 1]],WasteScenario[#All],4,FALSE),0)</f>
        <v>0</v>
      </c>
      <c r="AD806" s="322">
        <f>IFERROR((VLOOKUP(Calculations[[#This Row],[Waste type 2]],WasteLandfillEmissions[#All],3,FALSE))*Calculations[[#This Row],[Total Kg]]*VLOOKUP(Calculations[[#This Row],[Waste 1]],WasteScenario[#All],4,FALSE),0)</f>
        <v>0</v>
      </c>
      <c r="AE806" s="322">
        <f>SUM(Calculations[[#This Row],[C4 landfill]:[C4 re-use]])</f>
        <v>0</v>
      </c>
      <c r="AF806" s="322">
        <f>IFERROR(VLOOKUP(Calculations[[#This Row],[Material (choose from dropdown]],MaterialData[#All],8,FALSE),0)</f>
        <v>0</v>
      </c>
      <c r="AG806" s="322">
        <f>IFERROR(Calculations[[#This Row],[Total Kg]]*Calculations[[#This Row],[Seq factor]],0)</f>
        <v>0</v>
      </c>
      <c r="AI806" s="322">
        <f>Calculations[[#This Row],[A1-3]]+Calculations[[#This Row],[A4]]+Calculations[[#This Row],[A5]]+Calculations[[#This Row],[B4]]+Calculations[[#This Row],[C2 total]]+Calculations[[#This Row],[C3 total]]+Calculations[[#This Row],[C4 total]]</f>
        <v>0</v>
      </c>
      <c r="AJ806" s="2">
        <f>IFERROR(VLOOKUP(Calculations[[#This Row],[Material (choose from dropdown]],MaterialData[[#Headers],[#Data]],9,FALSE),0)</f>
        <v>0</v>
      </c>
      <c r="AK806" s="4">
        <f>IFERROR(VLOOKUP(Calculations[[#This Row],[Material (choose from dropdown]],MaterialData[[#Headers],[#Data]],10,FALSE),0)</f>
        <v>0</v>
      </c>
      <c r="AL806" s="322">
        <f>IFERROR(Calculations[[#This Row],[Data Quality Score]]*Calculations[[#This Row],[Total Kg]],0)</f>
        <v>0</v>
      </c>
    </row>
    <row r="807" spans="1:38" x14ac:dyDescent="0.3">
      <c r="A807" s="6">
        <f>IFERROR(MaterialsBoQ[[#This Row],[Scope Element]],0)</f>
        <v>0</v>
      </c>
      <c r="B807" t="str">
        <f>IFERROR(MaterialsBoQ[[#This Row],[Material ]],"")</f>
        <v/>
      </c>
      <c r="C807" t="str">
        <f>IFERROR(MaterialsBoQ[[#This Row],[Unit]],"")</f>
        <v/>
      </c>
      <c r="D807" s="322">
        <f>IFERROR(MaterialsBoQ[[#This Row],[Number]],0)</f>
        <v>0</v>
      </c>
      <c r="E807" s="322">
        <f>IFERROR(MaterialsBoQ[[#This Row],[Kg per unit]],0)</f>
        <v>0</v>
      </c>
      <c r="F807" s="322">
        <f>IFERROR(Calculations[[#This Row],[Number]]*Calculations[[#This Row],[Conversion factor]],0)</f>
        <v>0</v>
      </c>
      <c r="G807" s="322">
        <f>IFERROR(VLOOKUP(Calculations[[#This Row],[Material (choose from dropdown]],MaterialData[#All],7,FALSE),0)</f>
        <v>0</v>
      </c>
      <c r="H807" s="322">
        <f>Calculations[[#This Row],[Total Kg]]*Calculations[[#This Row],[Carbon Factor]]</f>
        <v>0</v>
      </c>
      <c r="I807" t="str">
        <f>IFERROR(VLOOKUP(Calculations[[#This Row],[Material (choose from dropdown]],MaterialData[#All],2,FALSE),"")</f>
        <v/>
      </c>
      <c r="J807" s="322">
        <f>IFERROR(((VLOOKUP(Calculations[[#This Row],[TransportSource]],TransportDistance[],2,FALSE)*'Stage assumptions'!$C$11)+VLOOKUP(Calculations[[#This Row],[TransportSource]],TransportDistance[],3,FALSE)*'Stage assumptions'!$C$12)*Calculations[[#This Row],[Total Kg]],0)</f>
        <v>0</v>
      </c>
      <c r="K807">
        <f>IFERROR(VLOOKUP(Calculations[[#This Row],[Material (choose from dropdown]], MaterialData[#All],3, FALSE),0)</f>
        <v>0</v>
      </c>
      <c r="L807" s="322">
        <f>IFERROR(VLOOKUP(Calculations[[#This Row],[A5type]],A5WastageRate[#All],2,FALSE)*Calculations[[#This Row],[A1-3]],0)</f>
        <v>0</v>
      </c>
      <c r="N807">
        <f>IFERROR(ROUNDUP(50/VLOOKUP(Calculations[[#This Row],[Scope Element]],B4referenceServiceLife[[Tier 2 element]:[Default Service Life]],2, FALSE)-1,0),0)</f>
        <v>0</v>
      </c>
      <c r="O807" s="322">
        <f>IFERROR((Calculations[[#This Row],[A1-3]]+Calculations[[#This Row],[A4]]+Calculations[[#This Row],[A5]]+Calculations[[#This Row],[C2 total]]+Calculations[[#This Row],[C3 total]]+Calculations[[#This Row],[C4 total]])*Calculations[[#This Row],[Replacements]],0)</f>
        <v>0</v>
      </c>
      <c r="S807" t="str">
        <f>IFERROR(VLOOKUP(Calculations[[#This Row],[Material (choose from dropdown]],MaterialData[#All],4,FALSE),"")</f>
        <v/>
      </c>
      <c r="T807" s="322" cm="1">
        <f t="array" ref="T807">IFERROR(VLOOKUP(Calculations[[#This Row],[Waste 1]],WasteScenario[#All],2,FALSE)*'Stage assumptions'!$C$225*WasteTransportMethod[Emissions Factor
kgCO2e/kg.km]*Calculations[[#This Row],[Total Kg]],0)</f>
        <v>0</v>
      </c>
      <c r="U807" s="322" cm="1">
        <f t="array" ref="U807">IFERROR(VLOOKUP(Calculations[[#This Row],[Waste 1]],WasteScenario[#All],3,FALSE)*'Stage assumptions'!$C$224*WasteTransportMethod[Emissions Factor
kgCO2e/kg.km]*Calculations[[#This Row],[Total Kg]],0)</f>
        <v>0</v>
      </c>
      <c r="V807" s="322" cm="1">
        <f t="array" ref="V807">IFERROR(VLOOKUP(Calculations[[#This Row],[Waste 1]],WasteScenario[#All],4,FALSE)*'Stage assumptions'!$C$223*WasteTransportMethod[Emissions Factor
kgCO2e/kg.km]*Calculations[[#This Row],[Total Kg]],0)</f>
        <v>0</v>
      </c>
      <c r="W807" s="322" cm="1">
        <f t="array" ref="W807">IFERROR(VLOOKUP(Calculations[[#This Row],[Waste 1]],WasteScenario[#All],5,FALSE)*'Stage assumptions'!$C$226*WasteTransportMethod[Emissions Factor
kgCO2e/kg.km]*Calculations[[#This Row],[Total Kg]],0)</f>
        <v>0</v>
      </c>
      <c r="X807" s="322">
        <f>SUM(Calculations[[#This Row],[C2 Recycle]:[C2 Reuse]])</f>
        <v>0</v>
      </c>
      <c r="Y807" t="str">
        <f>IFERROR(VLOOKUP(Calculations[[#This Row],[Material (choose from dropdown]],MaterialData[#All],5,FALSE),"")</f>
        <v/>
      </c>
      <c r="Z807" s="322">
        <f>IFERROR(((VLOOKUP(Calculations[[#This Row],[Waste type 2]],WasteDisposalEmissions[#All],2,FALSE))*Calculations[[#This Row],[Total Kg]])*VLOOKUP(Calculations[[#This Row],[Waste 1]],WasteScenario[#All],2,FALSE),0)</f>
        <v>0</v>
      </c>
      <c r="AA807" s="322">
        <f>IFERROR((VLOOKUP(Calculations[[#This Row],[Waste type 2]],WasteDisposalEmissions[#All],3,FALSE))*Calculations[[#This Row],[Total Kg]]*VLOOKUP(Calculations[[#This Row],[Waste 1]],WasteScenario[#All],3,FALSE),0)</f>
        <v>0</v>
      </c>
      <c r="AB807" s="322">
        <f>SUM(Calculations[[#This Row],[C3 recyc]:[C3 incin]])</f>
        <v>0</v>
      </c>
      <c r="AC807" s="334">
        <f>IFERROR((VLOOKUP(Calculations[[#This Row],[Waste type 2]],WasteLandfillEmissions[#All],2,FALSE))*Calculations[[#This Row],[Total Kg]]*VLOOKUP(Calculations[[#This Row],[Waste 1]],WasteScenario[#All],4,FALSE),0)</f>
        <v>0</v>
      </c>
      <c r="AD807" s="322">
        <f>IFERROR((VLOOKUP(Calculations[[#This Row],[Waste type 2]],WasteLandfillEmissions[#All],3,FALSE))*Calculations[[#This Row],[Total Kg]]*VLOOKUP(Calculations[[#This Row],[Waste 1]],WasteScenario[#All],4,FALSE),0)</f>
        <v>0</v>
      </c>
      <c r="AE807" s="322">
        <f>SUM(Calculations[[#This Row],[C4 landfill]:[C4 re-use]])</f>
        <v>0</v>
      </c>
      <c r="AF807" s="322">
        <f>IFERROR(VLOOKUP(Calculations[[#This Row],[Material (choose from dropdown]],MaterialData[#All],8,FALSE),0)</f>
        <v>0</v>
      </c>
      <c r="AG807" s="322">
        <f>IFERROR(Calculations[[#This Row],[Total Kg]]*Calculations[[#This Row],[Seq factor]],0)</f>
        <v>0</v>
      </c>
      <c r="AI807" s="322">
        <f>Calculations[[#This Row],[A1-3]]+Calculations[[#This Row],[A4]]+Calculations[[#This Row],[A5]]+Calculations[[#This Row],[B4]]+Calculations[[#This Row],[C2 total]]+Calculations[[#This Row],[C3 total]]+Calculations[[#This Row],[C4 total]]</f>
        <v>0</v>
      </c>
      <c r="AJ807" s="2">
        <f>IFERROR(VLOOKUP(Calculations[[#This Row],[Material (choose from dropdown]],MaterialData[[#Headers],[#Data]],9,FALSE),0)</f>
        <v>0</v>
      </c>
      <c r="AK807" s="4">
        <f>IFERROR(VLOOKUP(Calculations[[#This Row],[Material (choose from dropdown]],MaterialData[[#Headers],[#Data]],10,FALSE),0)</f>
        <v>0</v>
      </c>
      <c r="AL807" s="322">
        <f>IFERROR(Calculations[[#This Row],[Data Quality Score]]*Calculations[[#This Row],[Total Kg]],0)</f>
        <v>0</v>
      </c>
    </row>
    <row r="808" spans="1:38" x14ac:dyDescent="0.3">
      <c r="A808" s="6">
        <f>IFERROR(MaterialsBoQ[[#This Row],[Scope Element]],0)</f>
        <v>0</v>
      </c>
      <c r="B808" t="str">
        <f>IFERROR(MaterialsBoQ[[#This Row],[Material ]],"")</f>
        <v/>
      </c>
      <c r="C808" t="str">
        <f>IFERROR(MaterialsBoQ[[#This Row],[Unit]],"")</f>
        <v/>
      </c>
      <c r="D808" s="322">
        <f>IFERROR(MaterialsBoQ[[#This Row],[Number]],0)</f>
        <v>0</v>
      </c>
      <c r="E808" s="322">
        <f>IFERROR(MaterialsBoQ[[#This Row],[Kg per unit]],0)</f>
        <v>0</v>
      </c>
      <c r="F808" s="322">
        <f>IFERROR(Calculations[[#This Row],[Number]]*Calculations[[#This Row],[Conversion factor]],0)</f>
        <v>0</v>
      </c>
      <c r="G808" s="322">
        <f>IFERROR(VLOOKUP(Calculations[[#This Row],[Material (choose from dropdown]],MaterialData[#All],7,FALSE),0)</f>
        <v>0</v>
      </c>
      <c r="H808" s="322">
        <f>Calculations[[#This Row],[Total Kg]]*Calculations[[#This Row],[Carbon Factor]]</f>
        <v>0</v>
      </c>
      <c r="I808" t="str">
        <f>IFERROR(VLOOKUP(Calculations[[#This Row],[Material (choose from dropdown]],MaterialData[#All],2,FALSE),"")</f>
        <v/>
      </c>
      <c r="J808" s="322">
        <f>IFERROR(((VLOOKUP(Calculations[[#This Row],[TransportSource]],TransportDistance[],2,FALSE)*'Stage assumptions'!$C$11)+VLOOKUP(Calculations[[#This Row],[TransportSource]],TransportDistance[],3,FALSE)*'Stage assumptions'!$C$12)*Calculations[[#This Row],[Total Kg]],0)</f>
        <v>0</v>
      </c>
      <c r="K808">
        <f>IFERROR(VLOOKUP(Calculations[[#This Row],[Material (choose from dropdown]], MaterialData[#All],3, FALSE),0)</f>
        <v>0</v>
      </c>
      <c r="L808" s="322">
        <f>IFERROR(VLOOKUP(Calculations[[#This Row],[A5type]],A5WastageRate[#All],2,FALSE)*Calculations[[#This Row],[A1-3]],0)</f>
        <v>0</v>
      </c>
      <c r="N808">
        <f>IFERROR(ROUNDUP(50/VLOOKUP(Calculations[[#This Row],[Scope Element]],B4referenceServiceLife[[Tier 2 element]:[Default Service Life]],2, FALSE)-1,0),0)</f>
        <v>0</v>
      </c>
      <c r="O808" s="322">
        <f>IFERROR((Calculations[[#This Row],[A1-3]]+Calculations[[#This Row],[A4]]+Calculations[[#This Row],[A5]]+Calculations[[#This Row],[C2 total]]+Calculations[[#This Row],[C3 total]]+Calculations[[#This Row],[C4 total]])*Calculations[[#This Row],[Replacements]],0)</f>
        <v>0</v>
      </c>
      <c r="S808" t="str">
        <f>IFERROR(VLOOKUP(Calculations[[#This Row],[Material (choose from dropdown]],MaterialData[#All],4,FALSE),"")</f>
        <v/>
      </c>
      <c r="T808" s="322" cm="1">
        <f t="array" ref="T808">IFERROR(VLOOKUP(Calculations[[#This Row],[Waste 1]],WasteScenario[#All],2,FALSE)*'Stage assumptions'!$C$225*WasteTransportMethod[Emissions Factor
kgCO2e/kg.km]*Calculations[[#This Row],[Total Kg]],0)</f>
        <v>0</v>
      </c>
      <c r="U808" s="322" cm="1">
        <f t="array" ref="U808">IFERROR(VLOOKUP(Calculations[[#This Row],[Waste 1]],WasteScenario[#All],3,FALSE)*'Stage assumptions'!$C$224*WasteTransportMethod[Emissions Factor
kgCO2e/kg.km]*Calculations[[#This Row],[Total Kg]],0)</f>
        <v>0</v>
      </c>
      <c r="V808" s="322" cm="1">
        <f t="array" ref="V808">IFERROR(VLOOKUP(Calculations[[#This Row],[Waste 1]],WasteScenario[#All],4,FALSE)*'Stage assumptions'!$C$223*WasteTransportMethod[Emissions Factor
kgCO2e/kg.km]*Calculations[[#This Row],[Total Kg]],0)</f>
        <v>0</v>
      </c>
      <c r="W808" s="322" cm="1">
        <f t="array" ref="W808">IFERROR(VLOOKUP(Calculations[[#This Row],[Waste 1]],WasteScenario[#All],5,FALSE)*'Stage assumptions'!$C$226*WasteTransportMethod[Emissions Factor
kgCO2e/kg.km]*Calculations[[#This Row],[Total Kg]],0)</f>
        <v>0</v>
      </c>
      <c r="X808" s="322">
        <f>SUM(Calculations[[#This Row],[C2 Recycle]:[C2 Reuse]])</f>
        <v>0</v>
      </c>
      <c r="Y808" t="str">
        <f>IFERROR(VLOOKUP(Calculations[[#This Row],[Material (choose from dropdown]],MaterialData[#All],5,FALSE),"")</f>
        <v/>
      </c>
      <c r="Z808" s="322">
        <f>IFERROR(((VLOOKUP(Calculations[[#This Row],[Waste type 2]],WasteDisposalEmissions[#All],2,FALSE))*Calculations[[#This Row],[Total Kg]])*VLOOKUP(Calculations[[#This Row],[Waste 1]],WasteScenario[#All],2,FALSE),0)</f>
        <v>0</v>
      </c>
      <c r="AA808" s="322">
        <f>IFERROR((VLOOKUP(Calculations[[#This Row],[Waste type 2]],WasteDisposalEmissions[#All],3,FALSE))*Calculations[[#This Row],[Total Kg]]*VLOOKUP(Calculations[[#This Row],[Waste 1]],WasteScenario[#All],3,FALSE),0)</f>
        <v>0</v>
      </c>
      <c r="AB808" s="322">
        <f>SUM(Calculations[[#This Row],[C3 recyc]:[C3 incin]])</f>
        <v>0</v>
      </c>
      <c r="AC808" s="334">
        <f>IFERROR((VLOOKUP(Calculations[[#This Row],[Waste type 2]],WasteLandfillEmissions[#All],2,FALSE))*Calculations[[#This Row],[Total Kg]]*VLOOKUP(Calculations[[#This Row],[Waste 1]],WasteScenario[#All],4,FALSE),0)</f>
        <v>0</v>
      </c>
      <c r="AD808" s="322">
        <f>IFERROR((VLOOKUP(Calculations[[#This Row],[Waste type 2]],WasteLandfillEmissions[#All],3,FALSE))*Calculations[[#This Row],[Total Kg]]*VLOOKUP(Calculations[[#This Row],[Waste 1]],WasteScenario[#All],4,FALSE),0)</f>
        <v>0</v>
      </c>
      <c r="AE808" s="322">
        <f>SUM(Calculations[[#This Row],[C4 landfill]:[C4 re-use]])</f>
        <v>0</v>
      </c>
      <c r="AF808" s="322">
        <f>IFERROR(VLOOKUP(Calculations[[#This Row],[Material (choose from dropdown]],MaterialData[#All],8,FALSE),0)</f>
        <v>0</v>
      </c>
      <c r="AG808" s="322">
        <f>IFERROR(Calculations[[#This Row],[Total Kg]]*Calculations[[#This Row],[Seq factor]],0)</f>
        <v>0</v>
      </c>
      <c r="AI808" s="322">
        <f>Calculations[[#This Row],[A1-3]]+Calculations[[#This Row],[A4]]+Calculations[[#This Row],[A5]]+Calculations[[#This Row],[B4]]+Calculations[[#This Row],[C2 total]]+Calculations[[#This Row],[C3 total]]+Calculations[[#This Row],[C4 total]]</f>
        <v>0</v>
      </c>
      <c r="AJ808" s="2">
        <f>IFERROR(VLOOKUP(Calculations[[#This Row],[Material (choose from dropdown]],MaterialData[[#Headers],[#Data]],9,FALSE),0)</f>
        <v>0</v>
      </c>
      <c r="AK808" s="4">
        <f>IFERROR(VLOOKUP(Calculations[[#This Row],[Material (choose from dropdown]],MaterialData[[#Headers],[#Data]],10,FALSE),0)</f>
        <v>0</v>
      </c>
      <c r="AL808" s="322">
        <f>IFERROR(Calculations[[#This Row],[Data Quality Score]]*Calculations[[#This Row],[Total Kg]],0)</f>
        <v>0</v>
      </c>
    </row>
    <row r="809" spans="1:38" x14ac:dyDescent="0.3">
      <c r="A809" s="6">
        <f>IFERROR(MaterialsBoQ[[#This Row],[Scope Element]],0)</f>
        <v>0</v>
      </c>
      <c r="B809" t="str">
        <f>IFERROR(MaterialsBoQ[[#This Row],[Material ]],"")</f>
        <v/>
      </c>
      <c r="C809" t="str">
        <f>IFERROR(MaterialsBoQ[[#This Row],[Unit]],"")</f>
        <v/>
      </c>
      <c r="D809" s="322">
        <f>IFERROR(MaterialsBoQ[[#This Row],[Number]],0)</f>
        <v>0</v>
      </c>
      <c r="E809" s="322">
        <f>IFERROR(MaterialsBoQ[[#This Row],[Kg per unit]],0)</f>
        <v>0</v>
      </c>
      <c r="F809" s="322">
        <f>IFERROR(Calculations[[#This Row],[Number]]*Calculations[[#This Row],[Conversion factor]],0)</f>
        <v>0</v>
      </c>
      <c r="G809" s="322">
        <f>IFERROR(VLOOKUP(Calculations[[#This Row],[Material (choose from dropdown]],MaterialData[#All],7,FALSE),0)</f>
        <v>0</v>
      </c>
      <c r="H809" s="322">
        <f>Calculations[[#This Row],[Total Kg]]*Calculations[[#This Row],[Carbon Factor]]</f>
        <v>0</v>
      </c>
      <c r="I809" t="str">
        <f>IFERROR(VLOOKUP(Calculations[[#This Row],[Material (choose from dropdown]],MaterialData[#All],2,FALSE),"")</f>
        <v/>
      </c>
      <c r="J809" s="322">
        <f>IFERROR(((VLOOKUP(Calculations[[#This Row],[TransportSource]],TransportDistance[],2,FALSE)*'Stage assumptions'!$C$11)+VLOOKUP(Calculations[[#This Row],[TransportSource]],TransportDistance[],3,FALSE)*'Stage assumptions'!$C$12)*Calculations[[#This Row],[Total Kg]],0)</f>
        <v>0</v>
      </c>
      <c r="K809">
        <f>IFERROR(VLOOKUP(Calculations[[#This Row],[Material (choose from dropdown]], MaterialData[#All],3, FALSE),0)</f>
        <v>0</v>
      </c>
      <c r="L809" s="322">
        <f>IFERROR(VLOOKUP(Calculations[[#This Row],[A5type]],A5WastageRate[#All],2,FALSE)*Calculations[[#This Row],[A1-3]],0)</f>
        <v>0</v>
      </c>
      <c r="N809">
        <f>IFERROR(ROUNDUP(50/VLOOKUP(Calculations[[#This Row],[Scope Element]],B4referenceServiceLife[[Tier 2 element]:[Default Service Life]],2, FALSE)-1,0),0)</f>
        <v>0</v>
      </c>
      <c r="O809" s="322">
        <f>IFERROR((Calculations[[#This Row],[A1-3]]+Calculations[[#This Row],[A4]]+Calculations[[#This Row],[A5]]+Calculations[[#This Row],[C2 total]]+Calculations[[#This Row],[C3 total]]+Calculations[[#This Row],[C4 total]])*Calculations[[#This Row],[Replacements]],0)</f>
        <v>0</v>
      </c>
      <c r="S809" t="str">
        <f>IFERROR(VLOOKUP(Calculations[[#This Row],[Material (choose from dropdown]],MaterialData[#All],4,FALSE),"")</f>
        <v/>
      </c>
      <c r="T809" s="322" cm="1">
        <f t="array" ref="T809">IFERROR(VLOOKUP(Calculations[[#This Row],[Waste 1]],WasteScenario[#All],2,FALSE)*'Stage assumptions'!$C$225*WasteTransportMethod[Emissions Factor
kgCO2e/kg.km]*Calculations[[#This Row],[Total Kg]],0)</f>
        <v>0</v>
      </c>
      <c r="U809" s="322" cm="1">
        <f t="array" ref="U809">IFERROR(VLOOKUP(Calculations[[#This Row],[Waste 1]],WasteScenario[#All],3,FALSE)*'Stage assumptions'!$C$224*WasteTransportMethod[Emissions Factor
kgCO2e/kg.km]*Calculations[[#This Row],[Total Kg]],0)</f>
        <v>0</v>
      </c>
      <c r="V809" s="322" cm="1">
        <f t="array" ref="V809">IFERROR(VLOOKUP(Calculations[[#This Row],[Waste 1]],WasteScenario[#All],4,FALSE)*'Stage assumptions'!$C$223*WasteTransportMethod[Emissions Factor
kgCO2e/kg.km]*Calculations[[#This Row],[Total Kg]],0)</f>
        <v>0</v>
      </c>
      <c r="W809" s="322" cm="1">
        <f t="array" ref="W809">IFERROR(VLOOKUP(Calculations[[#This Row],[Waste 1]],WasteScenario[#All],5,FALSE)*'Stage assumptions'!$C$226*WasteTransportMethod[Emissions Factor
kgCO2e/kg.km]*Calculations[[#This Row],[Total Kg]],0)</f>
        <v>0</v>
      </c>
      <c r="X809" s="322">
        <f>SUM(Calculations[[#This Row],[C2 Recycle]:[C2 Reuse]])</f>
        <v>0</v>
      </c>
      <c r="Y809" t="str">
        <f>IFERROR(VLOOKUP(Calculations[[#This Row],[Material (choose from dropdown]],MaterialData[#All],5,FALSE),"")</f>
        <v/>
      </c>
      <c r="Z809" s="322">
        <f>IFERROR(((VLOOKUP(Calculations[[#This Row],[Waste type 2]],WasteDisposalEmissions[#All],2,FALSE))*Calculations[[#This Row],[Total Kg]])*VLOOKUP(Calculations[[#This Row],[Waste 1]],WasteScenario[#All],2,FALSE),0)</f>
        <v>0</v>
      </c>
      <c r="AA809" s="322">
        <f>IFERROR((VLOOKUP(Calculations[[#This Row],[Waste type 2]],WasteDisposalEmissions[#All],3,FALSE))*Calculations[[#This Row],[Total Kg]]*VLOOKUP(Calculations[[#This Row],[Waste 1]],WasteScenario[#All],3,FALSE),0)</f>
        <v>0</v>
      </c>
      <c r="AB809" s="322">
        <f>SUM(Calculations[[#This Row],[C3 recyc]:[C3 incin]])</f>
        <v>0</v>
      </c>
      <c r="AC809" s="334">
        <f>IFERROR((VLOOKUP(Calculations[[#This Row],[Waste type 2]],WasteLandfillEmissions[#All],2,FALSE))*Calculations[[#This Row],[Total Kg]]*VLOOKUP(Calculations[[#This Row],[Waste 1]],WasteScenario[#All],4,FALSE),0)</f>
        <v>0</v>
      </c>
      <c r="AD809" s="322">
        <f>IFERROR((VLOOKUP(Calculations[[#This Row],[Waste type 2]],WasteLandfillEmissions[#All],3,FALSE))*Calculations[[#This Row],[Total Kg]]*VLOOKUP(Calculations[[#This Row],[Waste 1]],WasteScenario[#All],4,FALSE),0)</f>
        <v>0</v>
      </c>
      <c r="AE809" s="322">
        <f>SUM(Calculations[[#This Row],[C4 landfill]:[C4 re-use]])</f>
        <v>0</v>
      </c>
      <c r="AF809" s="322">
        <f>IFERROR(VLOOKUP(Calculations[[#This Row],[Material (choose from dropdown]],MaterialData[#All],8,FALSE),0)</f>
        <v>0</v>
      </c>
      <c r="AG809" s="322">
        <f>IFERROR(Calculations[[#This Row],[Total Kg]]*Calculations[[#This Row],[Seq factor]],0)</f>
        <v>0</v>
      </c>
      <c r="AI809" s="322">
        <f>Calculations[[#This Row],[A1-3]]+Calculations[[#This Row],[A4]]+Calculations[[#This Row],[A5]]+Calculations[[#This Row],[B4]]+Calculations[[#This Row],[C2 total]]+Calculations[[#This Row],[C3 total]]+Calculations[[#This Row],[C4 total]]</f>
        <v>0</v>
      </c>
      <c r="AJ809" s="2">
        <f>IFERROR(VLOOKUP(Calculations[[#This Row],[Material (choose from dropdown]],MaterialData[[#Headers],[#Data]],9,FALSE),0)</f>
        <v>0</v>
      </c>
      <c r="AK809" s="4">
        <f>IFERROR(VLOOKUP(Calculations[[#This Row],[Material (choose from dropdown]],MaterialData[[#Headers],[#Data]],10,FALSE),0)</f>
        <v>0</v>
      </c>
      <c r="AL809" s="322">
        <f>IFERROR(Calculations[[#This Row],[Data Quality Score]]*Calculations[[#This Row],[Total Kg]],0)</f>
        <v>0</v>
      </c>
    </row>
    <row r="810" spans="1:38" x14ac:dyDescent="0.3">
      <c r="A810" s="6">
        <f>IFERROR(MaterialsBoQ[[#This Row],[Scope Element]],0)</f>
        <v>0</v>
      </c>
      <c r="B810" t="str">
        <f>IFERROR(MaterialsBoQ[[#This Row],[Material ]],"")</f>
        <v/>
      </c>
      <c r="C810" t="str">
        <f>IFERROR(MaterialsBoQ[[#This Row],[Unit]],"")</f>
        <v/>
      </c>
      <c r="D810" s="322">
        <f>IFERROR(MaterialsBoQ[[#This Row],[Number]],0)</f>
        <v>0</v>
      </c>
      <c r="E810" s="322">
        <f>IFERROR(MaterialsBoQ[[#This Row],[Kg per unit]],0)</f>
        <v>0</v>
      </c>
      <c r="F810" s="322">
        <f>IFERROR(Calculations[[#This Row],[Number]]*Calculations[[#This Row],[Conversion factor]],0)</f>
        <v>0</v>
      </c>
      <c r="G810" s="322">
        <f>IFERROR(VLOOKUP(Calculations[[#This Row],[Material (choose from dropdown]],MaterialData[#All],7,FALSE),0)</f>
        <v>0</v>
      </c>
      <c r="H810" s="322">
        <f>Calculations[[#This Row],[Total Kg]]*Calculations[[#This Row],[Carbon Factor]]</f>
        <v>0</v>
      </c>
      <c r="I810" t="str">
        <f>IFERROR(VLOOKUP(Calculations[[#This Row],[Material (choose from dropdown]],MaterialData[#All],2,FALSE),"")</f>
        <v/>
      </c>
      <c r="J810" s="322">
        <f>IFERROR(((VLOOKUP(Calculations[[#This Row],[TransportSource]],TransportDistance[],2,FALSE)*'Stage assumptions'!$C$11)+VLOOKUP(Calculations[[#This Row],[TransportSource]],TransportDistance[],3,FALSE)*'Stage assumptions'!$C$12)*Calculations[[#This Row],[Total Kg]],0)</f>
        <v>0</v>
      </c>
      <c r="K810">
        <f>IFERROR(VLOOKUP(Calculations[[#This Row],[Material (choose from dropdown]], MaterialData[#All],3, FALSE),0)</f>
        <v>0</v>
      </c>
      <c r="L810" s="322">
        <f>IFERROR(VLOOKUP(Calculations[[#This Row],[A5type]],A5WastageRate[#All],2,FALSE)*Calculations[[#This Row],[A1-3]],0)</f>
        <v>0</v>
      </c>
      <c r="N810">
        <f>IFERROR(ROUNDUP(50/VLOOKUP(Calculations[[#This Row],[Scope Element]],B4referenceServiceLife[[Tier 2 element]:[Default Service Life]],2, FALSE)-1,0),0)</f>
        <v>0</v>
      </c>
      <c r="O810" s="322">
        <f>IFERROR((Calculations[[#This Row],[A1-3]]+Calculations[[#This Row],[A4]]+Calculations[[#This Row],[A5]]+Calculations[[#This Row],[C2 total]]+Calculations[[#This Row],[C3 total]]+Calculations[[#This Row],[C4 total]])*Calculations[[#This Row],[Replacements]],0)</f>
        <v>0</v>
      </c>
      <c r="S810" t="str">
        <f>IFERROR(VLOOKUP(Calculations[[#This Row],[Material (choose from dropdown]],MaterialData[#All],4,FALSE),"")</f>
        <v/>
      </c>
      <c r="T810" s="322" cm="1">
        <f t="array" ref="T810">IFERROR(VLOOKUP(Calculations[[#This Row],[Waste 1]],WasteScenario[#All],2,FALSE)*'Stage assumptions'!$C$225*WasteTransportMethod[Emissions Factor
kgCO2e/kg.km]*Calculations[[#This Row],[Total Kg]],0)</f>
        <v>0</v>
      </c>
      <c r="U810" s="322" cm="1">
        <f t="array" ref="U810">IFERROR(VLOOKUP(Calculations[[#This Row],[Waste 1]],WasteScenario[#All],3,FALSE)*'Stage assumptions'!$C$224*WasteTransportMethod[Emissions Factor
kgCO2e/kg.km]*Calculations[[#This Row],[Total Kg]],0)</f>
        <v>0</v>
      </c>
      <c r="V810" s="322" cm="1">
        <f t="array" ref="V810">IFERROR(VLOOKUP(Calculations[[#This Row],[Waste 1]],WasteScenario[#All],4,FALSE)*'Stage assumptions'!$C$223*WasteTransportMethod[Emissions Factor
kgCO2e/kg.km]*Calculations[[#This Row],[Total Kg]],0)</f>
        <v>0</v>
      </c>
      <c r="W810" s="322" cm="1">
        <f t="array" ref="W810">IFERROR(VLOOKUP(Calculations[[#This Row],[Waste 1]],WasteScenario[#All],5,FALSE)*'Stage assumptions'!$C$226*WasteTransportMethod[Emissions Factor
kgCO2e/kg.km]*Calculations[[#This Row],[Total Kg]],0)</f>
        <v>0</v>
      </c>
      <c r="X810" s="322">
        <f>SUM(Calculations[[#This Row],[C2 Recycle]:[C2 Reuse]])</f>
        <v>0</v>
      </c>
      <c r="Y810" t="str">
        <f>IFERROR(VLOOKUP(Calculations[[#This Row],[Material (choose from dropdown]],MaterialData[#All],5,FALSE),"")</f>
        <v/>
      </c>
      <c r="Z810" s="322">
        <f>IFERROR(((VLOOKUP(Calculations[[#This Row],[Waste type 2]],WasteDisposalEmissions[#All],2,FALSE))*Calculations[[#This Row],[Total Kg]])*VLOOKUP(Calculations[[#This Row],[Waste 1]],WasteScenario[#All],2,FALSE),0)</f>
        <v>0</v>
      </c>
      <c r="AA810" s="322">
        <f>IFERROR((VLOOKUP(Calculations[[#This Row],[Waste type 2]],WasteDisposalEmissions[#All],3,FALSE))*Calculations[[#This Row],[Total Kg]]*VLOOKUP(Calculations[[#This Row],[Waste 1]],WasteScenario[#All],3,FALSE),0)</f>
        <v>0</v>
      </c>
      <c r="AB810" s="322">
        <f>SUM(Calculations[[#This Row],[C3 recyc]:[C3 incin]])</f>
        <v>0</v>
      </c>
      <c r="AC810" s="334">
        <f>IFERROR((VLOOKUP(Calculations[[#This Row],[Waste type 2]],WasteLandfillEmissions[#All],2,FALSE))*Calculations[[#This Row],[Total Kg]]*VLOOKUP(Calculations[[#This Row],[Waste 1]],WasteScenario[#All],4,FALSE),0)</f>
        <v>0</v>
      </c>
      <c r="AD810" s="322">
        <f>IFERROR((VLOOKUP(Calculations[[#This Row],[Waste type 2]],WasteLandfillEmissions[#All],3,FALSE))*Calculations[[#This Row],[Total Kg]]*VLOOKUP(Calculations[[#This Row],[Waste 1]],WasteScenario[#All],4,FALSE),0)</f>
        <v>0</v>
      </c>
      <c r="AE810" s="322">
        <f>SUM(Calculations[[#This Row],[C4 landfill]:[C4 re-use]])</f>
        <v>0</v>
      </c>
      <c r="AF810" s="322">
        <f>IFERROR(VLOOKUP(Calculations[[#This Row],[Material (choose from dropdown]],MaterialData[#All],8,FALSE),0)</f>
        <v>0</v>
      </c>
      <c r="AG810" s="322">
        <f>IFERROR(Calculations[[#This Row],[Total Kg]]*Calculations[[#This Row],[Seq factor]],0)</f>
        <v>0</v>
      </c>
      <c r="AI810" s="322">
        <f>Calculations[[#This Row],[A1-3]]+Calculations[[#This Row],[A4]]+Calculations[[#This Row],[A5]]+Calculations[[#This Row],[B4]]+Calculations[[#This Row],[C2 total]]+Calculations[[#This Row],[C3 total]]+Calculations[[#This Row],[C4 total]]</f>
        <v>0</v>
      </c>
      <c r="AJ810" s="2">
        <f>IFERROR(VLOOKUP(Calculations[[#This Row],[Material (choose from dropdown]],MaterialData[[#Headers],[#Data]],9,FALSE),0)</f>
        <v>0</v>
      </c>
      <c r="AK810" s="4">
        <f>IFERROR(VLOOKUP(Calculations[[#This Row],[Material (choose from dropdown]],MaterialData[[#Headers],[#Data]],10,FALSE),0)</f>
        <v>0</v>
      </c>
      <c r="AL810" s="322">
        <f>IFERROR(Calculations[[#This Row],[Data Quality Score]]*Calculations[[#This Row],[Total Kg]],0)</f>
        <v>0</v>
      </c>
    </row>
    <row r="811" spans="1:38" x14ac:dyDescent="0.3">
      <c r="A811" s="6">
        <f>IFERROR(MaterialsBoQ[[#This Row],[Scope Element]],0)</f>
        <v>0</v>
      </c>
      <c r="B811" t="str">
        <f>IFERROR(MaterialsBoQ[[#This Row],[Material ]],"")</f>
        <v/>
      </c>
      <c r="C811" t="str">
        <f>IFERROR(MaterialsBoQ[[#This Row],[Unit]],"")</f>
        <v/>
      </c>
      <c r="D811" s="322">
        <f>IFERROR(MaterialsBoQ[[#This Row],[Number]],0)</f>
        <v>0</v>
      </c>
      <c r="E811" s="322">
        <f>IFERROR(MaterialsBoQ[[#This Row],[Kg per unit]],0)</f>
        <v>0</v>
      </c>
      <c r="F811" s="322">
        <f>IFERROR(Calculations[[#This Row],[Number]]*Calculations[[#This Row],[Conversion factor]],0)</f>
        <v>0</v>
      </c>
      <c r="G811" s="322">
        <f>IFERROR(VLOOKUP(Calculations[[#This Row],[Material (choose from dropdown]],MaterialData[#All],7,FALSE),0)</f>
        <v>0</v>
      </c>
      <c r="H811" s="322">
        <f>Calculations[[#This Row],[Total Kg]]*Calculations[[#This Row],[Carbon Factor]]</f>
        <v>0</v>
      </c>
      <c r="I811" t="str">
        <f>IFERROR(VLOOKUP(Calculations[[#This Row],[Material (choose from dropdown]],MaterialData[#All],2,FALSE),"")</f>
        <v/>
      </c>
      <c r="J811" s="322">
        <f>IFERROR(((VLOOKUP(Calculations[[#This Row],[TransportSource]],TransportDistance[],2,FALSE)*'Stage assumptions'!$C$11)+VLOOKUP(Calculations[[#This Row],[TransportSource]],TransportDistance[],3,FALSE)*'Stage assumptions'!$C$12)*Calculations[[#This Row],[Total Kg]],0)</f>
        <v>0</v>
      </c>
      <c r="K811">
        <f>IFERROR(VLOOKUP(Calculations[[#This Row],[Material (choose from dropdown]], MaterialData[#All],3, FALSE),0)</f>
        <v>0</v>
      </c>
      <c r="L811" s="322">
        <f>IFERROR(VLOOKUP(Calculations[[#This Row],[A5type]],A5WastageRate[#All],2,FALSE)*Calculations[[#This Row],[A1-3]],0)</f>
        <v>0</v>
      </c>
      <c r="N811">
        <f>IFERROR(ROUNDUP(50/VLOOKUP(Calculations[[#This Row],[Scope Element]],B4referenceServiceLife[[Tier 2 element]:[Default Service Life]],2, FALSE)-1,0),0)</f>
        <v>0</v>
      </c>
      <c r="O811" s="322">
        <f>IFERROR((Calculations[[#This Row],[A1-3]]+Calculations[[#This Row],[A4]]+Calculations[[#This Row],[A5]]+Calculations[[#This Row],[C2 total]]+Calculations[[#This Row],[C3 total]]+Calculations[[#This Row],[C4 total]])*Calculations[[#This Row],[Replacements]],0)</f>
        <v>0</v>
      </c>
      <c r="S811" t="str">
        <f>IFERROR(VLOOKUP(Calculations[[#This Row],[Material (choose from dropdown]],MaterialData[#All],4,FALSE),"")</f>
        <v/>
      </c>
      <c r="T811" s="322" cm="1">
        <f t="array" ref="T811">IFERROR(VLOOKUP(Calculations[[#This Row],[Waste 1]],WasteScenario[#All],2,FALSE)*'Stage assumptions'!$C$225*WasteTransportMethod[Emissions Factor
kgCO2e/kg.km]*Calculations[[#This Row],[Total Kg]],0)</f>
        <v>0</v>
      </c>
      <c r="U811" s="322" cm="1">
        <f t="array" ref="U811">IFERROR(VLOOKUP(Calculations[[#This Row],[Waste 1]],WasteScenario[#All],3,FALSE)*'Stage assumptions'!$C$224*WasteTransportMethod[Emissions Factor
kgCO2e/kg.km]*Calculations[[#This Row],[Total Kg]],0)</f>
        <v>0</v>
      </c>
      <c r="V811" s="322" cm="1">
        <f t="array" ref="V811">IFERROR(VLOOKUP(Calculations[[#This Row],[Waste 1]],WasteScenario[#All],4,FALSE)*'Stage assumptions'!$C$223*WasteTransportMethod[Emissions Factor
kgCO2e/kg.km]*Calculations[[#This Row],[Total Kg]],0)</f>
        <v>0</v>
      </c>
      <c r="W811" s="322" cm="1">
        <f t="array" ref="W811">IFERROR(VLOOKUP(Calculations[[#This Row],[Waste 1]],WasteScenario[#All],5,FALSE)*'Stage assumptions'!$C$226*WasteTransportMethod[Emissions Factor
kgCO2e/kg.km]*Calculations[[#This Row],[Total Kg]],0)</f>
        <v>0</v>
      </c>
      <c r="X811" s="322">
        <f>SUM(Calculations[[#This Row],[C2 Recycle]:[C2 Reuse]])</f>
        <v>0</v>
      </c>
      <c r="Y811" t="str">
        <f>IFERROR(VLOOKUP(Calculations[[#This Row],[Material (choose from dropdown]],MaterialData[#All],5,FALSE),"")</f>
        <v/>
      </c>
      <c r="Z811" s="322">
        <f>IFERROR(((VLOOKUP(Calculations[[#This Row],[Waste type 2]],WasteDisposalEmissions[#All],2,FALSE))*Calculations[[#This Row],[Total Kg]])*VLOOKUP(Calculations[[#This Row],[Waste 1]],WasteScenario[#All],2,FALSE),0)</f>
        <v>0</v>
      </c>
      <c r="AA811" s="322">
        <f>IFERROR((VLOOKUP(Calculations[[#This Row],[Waste type 2]],WasteDisposalEmissions[#All],3,FALSE))*Calculations[[#This Row],[Total Kg]]*VLOOKUP(Calculations[[#This Row],[Waste 1]],WasteScenario[#All],3,FALSE),0)</f>
        <v>0</v>
      </c>
      <c r="AB811" s="322">
        <f>SUM(Calculations[[#This Row],[C3 recyc]:[C3 incin]])</f>
        <v>0</v>
      </c>
      <c r="AC811" s="334">
        <f>IFERROR((VLOOKUP(Calculations[[#This Row],[Waste type 2]],WasteLandfillEmissions[#All],2,FALSE))*Calculations[[#This Row],[Total Kg]]*VLOOKUP(Calculations[[#This Row],[Waste 1]],WasteScenario[#All],4,FALSE),0)</f>
        <v>0</v>
      </c>
      <c r="AD811" s="322">
        <f>IFERROR((VLOOKUP(Calculations[[#This Row],[Waste type 2]],WasteLandfillEmissions[#All],3,FALSE))*Calculations[[#This Row],[Total Kg]]*VLOOKUP(Calculations[[#This Row],[Waste 1]],WasteScenario[#All],4,FALSE),0)</f>
        <v>0</v>
      </c>
      <c r="AE811" s="322">
        <f>SUM(Calculations[[#This Row],[C4 landfill]:[C4 re-use]])</f>
        <v>0</v>
      </c>
      <c r="AF811" s="322">
        <f>IFERROR(VLOOKUP(Calculations[[#This Row],[Material (choose from dropdown]],MaterialData[#All],8,FALSE),0)</f>
        <v>0</v>
      </c>
      <c r="AG811" s="322">
        <f>IFERROR(Calculations[[#This Row],[Total Kg]]*Calculations[[#This Row],[Seq factor]],0)</f>
        <v>0</v>
      </c>
      <c r="AI811" s="322">
        <f>Calculations[[#This Row],[A1-3]]+Calculations[[#This Row],[A4]]+Calculations[[#This Row],[A5]]+Calculations[[#This Row],[B4]]+Calculations[[#This Row],[C2 total]]+Calculations[[#This Row],[C3 total]]+Calculations[[#This Row],[C4 total]]</f>
        <v>0</v>
      </c>
      <c r="AJ811" s="2">
        <f>IFERROR(VLOOKUP(Calculations[[#This Row],[Material (choose from dropdown]],MaterialData[[#Headers],[#Data]],9,FALSE),0)</f>
        <v>0</v>
      </c>
      <c r="AK811" s="4">
        <f>IFERROR(VLOOKUP(Calculations[[#This Row],[Material (choose from dropdown]],MaterialData[[#Headers],[#Data]],10,FALSE),0)</f>
        <v>0</v>
      </c>
      <c r="AL811" s="322">
        <f>IFERROR(Calculations[[#This Row],[Data Quality Score]]*Calculations[[#This Row],[Total Kg]],0)</f>
        <v>0</v>
      </c>
    </row>
    <row r="812" spans="1:38" x14ac:dyDescent="0.3">
      <c r="A812" s="6">
        <f>IFERROR(MaterialsBoQ[[#This Row],[Scope Element]],0)</f>
        <v>0</v>
      </c>
      <c r="B812" t="str">
        <f>IFERROR(MaterialsBoQ[[#This Row],[Material ]],"")</f>
        <v/>
      </c>
      <c r="C812" t="str">
        <f>IFERROR(MaterialsBoQ[[#This Row],[Unit]],"")</f>
        <v/>
      </c>
      <c r="D812" s="322">
        <f>IFERROR(MaterialsBoQ[[#This Row],[Number]],0)</f>
        <v>0</v>
      </c>
      <c r="E812" s="322">
        <f>IFERROR(MaterialsBoQ[[#This Row],[Kg per unit]],0)</f>
        <v>0</v>
      </c>
      <c r="F812" s="322">
        <f>IFERROR(Calculations[[#This Row],[Number]]*Calculations[[#This Row],[Conversion factor]],0)</f>
        <v>0</v>
      </c>
      <c r="G812" s="322">
        <f>IFERROR(VLOOKUP(Calculations[[#This Row],[Material (choose from dropdown]],MaterialData[#All],7,FALSE),0)</f>
        <v>0</v>
      </c>
      <c r="H812" s="322">
        <f>Calculations[[#This Row],[Total Kg]]*Calculations[[#This Row],[Carbon Factor]]</f>
        <v>0</v>
      </c>
      <c r="I812" t="str">
        <f>IFERROR(VLOOKUP(Calculations[[#This Row],[Material (choose from dropdown]],MaterialData[#All],2,FALSE),"")</f>
        <v/>
      </c>
      <c r="J812" s="322">
        <f>IFERROR(((VLOOKUP(Calculations[[#This Row],[TransportSource]],TransportDistance[],2,FALSE)*'Stage assumptions'!$C$11)+VLOOKUP(Calculations[[#This Row],[TransportSource]],TransportDistance[],3,FALSE)*'Stage assumptions'!$C$12)*Calculations[[#This Row],[Total Kg]],0)</f>
        <v>0</v>
      </c>
      <c r="K812">
        <f>IFERROR(VLOOKUP(Calculations[[#This Row],[Material (choose from dropdown]], MaterialData[#All],3, FALSE),0)</f>
        <v>0</v>
      </c>
      <c r="L812" s="322">
        <f>IFERROR(VLOOKUP(Calculations[[#This Row],[A5type]],A5WastageRate[#All],2,FALSE)*Calculations[[#This Row],[A1-3]],0)</f>
        <v>0</v>
      </c>
      <c r="N812">
        <f>IFERROR(ROUNDUP(50/VLOOKUP(Calculations[[#This Row],[Scope Element]],B4referenceServiceLife[[Tier 2 element]:[Default Service Life]],2, FALSE)-1,0),0)</f>
        <v>0</v>
      </c>
      <c r="O812" s="322">
        <f>IFERROR((Calculations[[#This Row],[A1-3]]+Calculations[[#This Row],[A4]]+Calculations[[#This Row],[A5]]+Calculations[[#This Row],[C2 total]]+Calculations[[#This Row],[C3 total]]+Calculations[[#This Row],[C4 total]])*Calculations[[#This Row],[Replacements]],0)</f>
        <v>0</v>
      </c>
      <c r="S812" t="str">
        <f>IFERROR(VLOOKUP(Calculations[[#This Row],[Material (choose from dropdown]],MaterialData[#All],4,FALSE),"")</f>
        <v/>
      </c>
      <c r="T812" s="322" cm="1">
        <f t="array" ref="T812">IFERROR(VLOOKUP(Calculations[[#This Row],[Waste 1]],WasteScenario[#All],2,FALSE)*'Stage assumptions'!$C$225*WasteTransportMethod[Emissions Factor
kgCO2e/kg.km]*Calculations[[#This Row],[Total Kg]],0)</f>
        <v>0</v>
      </c>
      <c r="U812" s="322" cm="1">
        <f t="array" ref="U812">IFERROR(VLOOKUP(Calculations[[#This Row],[Waste 1]],WasteScenario[#All],3,FALSE)*'Stage assumptions'!$C$224*WasteTransportMethod[Emissions Factor
kgCO2e/kg.km]*Calculations[[#This Row],[Total Kg]],0)</f>
        <v>0</v>
      </c>
      <c r="V812" s="322" cm="1">
        <f t="array" ref="V812">IFERROR(VLOOKUP(Calculations[[#This Row],[Waste 1]],WasteScenario[#All],4,FALSE)*'Stage assumptions'!$C$223*WasteTransportMethod[Emissions Factor
kgCO2e/kg.km]*Calculations[[#This Row],[Total Kg]],0)</f>
        <v>0</v>
      </c>
      <c r="W812" s="322" cm="1">
        <f t="array" ref="W812">IFERROR(VLOOKUP(Calculations[[#This Row],[Waste 1]],WasteScenario[#All],5,FALSE)*'Stage assumptions'!$C$226*WasteTransportMethod[Emissions Factor
kgCO2e/kg.km]*Calculations[[#This Row],[Total Kg]],0)</f>
        <v>0</v>
      </c>
      <c r="X812" s="322">
        <f>SUM(Calculations[[#This Row],[C2 Recycle]:[C2 Reuse]])</f>
        <v>0</v>
      </c>
      <c r="Y812" t="str">
        <f>IFERROR(VLOOKUP(Calculations[[#This Row],[Material (choose from dropdown]],MaterialData[#All],5,FALSE),"")</f>
        <v/>
      </c>
      <c r="Z812" s="322">
        <f>IFERROR(((VLOOKUP(Calculations[[#This Row],[Waste type 2]],WasteDisposalEmissions[#All],2,FALSE))*Calculations[[#This Row],[Total Kg]])*VLOOKUP(Calculations[[#This Row],[Waste 1]],WasteScenario[#All],2,FALSE),0)</f>
        <v>0</v>
      </c>
      <c r="AA812" s="322">
        <f>IFERROR((VLOOKUP(Calculations[[#This Row],[Waste type 2]],WasteDisposalEmissions[#All],3,FALSE))*Calculations[[#This Row],[Total Kg]]*VLOOKUP(Calculations[[#This Row],[Waste 1]],WasteScenario[#All],3,FALSE),0)</f>
        <v>0</v>
      </c>
      <c r="AB812" s="322">
        <f>SUM(Calculations[[#This Row],[C3 recyc]:[C3 incin]])</f>
        <v>0</v>
      </c>
      <c r="AC812" s="334">
        <f>IFERROR((VLOOKUP(Calculations[[#This Row],[Waste type 2]],WasteLandfillEmissions[#All],2,FALSE))*Calculations[[#This Row],[Total Kg]]*VLOOKUP(Calculations[[#This Row],[Waste 1]],WasteScenario[#All],4,FALSE),0)</f>
        <v>0</v>
      </c>
      <c r="AD812" s="322">
        <f>IFERROR((VLOOKUP(Calculations[[#This Row],[Waste type 2]],WasteLandfillEmissions[#All],3,FALSE))*Calculations[[#This Row],[Total Kg]]*VLOOKUP(Calculations[[#This Row],[Waste 1]],WasteScenario[#All],4,FALSE),0)</f>
        <v>0</v>
      </c>
      <c r="AE812" s="322">
        <f>SUM(Calculations[[#This Row],[C4 landfill]:[C4 re-use]])</f>
        <v>0</v>
      </c>
      <c r="AF812" s="322">
        <f>IFERROR(VLOOKUP(Calculations[[#This Row],[Material (choose from dropdown]],MaterialData[#All],8,FALSE),0)</f>
        <v>0</v>
      </c>
      <c r="AG812" s="322">
        <f>IFERROR(Calculations[[#This Row],[Total Kg]]*Calculations[[#This Row],[Seq factor]],0)</f>
        <v>0</v>
      </c>
      <c r="AI812" s="322">
        <f>Calculations[[#This Row],[A1-3]]+Calculations[[#This Row],[A4]]+Calculations[[#This Row],[A5]]+Calculations[[#This Row],[B4]]+Calculations[[#This Row],[C2 total]]+Calculations[[#This Row],[C3 total]]+Calculations[[#This Row],[C4 total]]</f>
        <v>0</v>
      </c>
      <c r="AJ812" s="2">
        <f>IFERROR(VLOOKUP(Calculations[[#This Row],[Material (choose from dropdown]],MaterialData[[#Headers],[#Data]],9,FALSE),0)</f>
        <v>0</v>
      </c>
      <c r="AK812" s="4">
        <f>IFERROR(VLOOKUP(Calculations[[#This Row],[Material (choose from dropdown]],MaterialData[[#Headers],[#Data]],10,FALSE),0)</f>
        <v>0</v>
      </c>
      <c r="AL812" s="322">
        <f>IFERROR(Calculations[[#This Row],[Data Quality Score]]*Calculations[[#This Row],[Total Kg]],0)</f>
        <v>0</v>
      </c>
    </row>
    <row r="813" spans="1:38" x14ac:dyDescent="0.3">
      <c r="A813" s="6">
        <f>IFERROR(MaterialsBoQ[[#This Row],[Scope Element]],0)</f>
        <v>0</v>
      </c>
      <c r="B813" t="str">
        <f>IFERROR(MaterialsBoQ[[#This Row],[Material ]],"")</f>
        <v/>
      </c>
      <c r="C813" t="str">
        <f>IFERROR(MaterialsBoQ[[#This Row],[Unit]],"")</f>
        <v/>
      </c>
      <c r="D813" s="322">
        <f>IFERROR(MaterialsBoQ[[#This Row],[Number]],0)</f>
        <v>0</v>
      </c>
      <c r="E813" s="322">
        <f>IFERROR(MaterialsBoQ[[#This Row],[Kg per unit]],0)</f>
        <v>0</v>
      </c>
      <c r="F813" s="322">
        <f>IFERROR(Calculations[[#This Row],[Number]]*Calculations[[#This Row],[Conversion factor]],0)</f>
        <v>0</v>
      </c>
      <c r="G813" s="322">
        <f>IFERROR(VLOOKUP(Calculations[[#This Row],[Material (choose from dropdown]],MaterialData[#All],7,FALSE),0)</f>
        <v>0</v>
      </c>
      <c r="H813" s="322">
        <f>Calculations[[#This Row],[Total Kg]]*Calculations[[#This Row],[Carbon Factor]]</f>
        <v>0</v>
      </c>
      <c r="I813" t="str">
        <f>IFERROR(VLOOKUP(Calculations[[#This Row],[Material (choose from dropdown]],MaterialData[#All],2,FALSE),"")</f>
        <v/>
      </c>
      <c r="J813" s="322">
        <f>IFERROR(((VLOOKUP(Calculations[[#This Row],[TransportSource]],TransportDistance[],2,FALSE)*'Stage assumptions'!$C$11)+VLOOKUP(Calculations[[#This Row],[TransportSource]],TransportDistance[],3,FALSE)*'Stage assumptions'!$C$12)*Calculations[[#This Row],[Total Kg]],0)</f>
        <v>0</v>
      </c>
      <c r="K813">
        <f>IFERROR(VLOOKUP(Calculations[[#This Row],[Material (choose from dropdown]], MaterialData[#All],3, FALSE),0)</f>
        <v>0</v>
      </c>
      <c r="L813" s="322">
        <f>IFERROR(VLOOKUP(Calculations[[#This Row],[A5type]],A5WastageRate[#All],2,FALSE)*Calculations[[#This Row],[A1-3]],0)</f>
        <v>0</v>
      </c>
      <c r="N813">
        <f>IFERROR(ROUNDUP(50/VLOOKUP(Calculations[[#This Row],[Scope Element]],B4referenceServiceLife[[Tier 2 element]:[Default Service Life]],2, FALSE)-1,0),0)</f>
        <v>0</v>
      </c>
      <c r="O813" s="322">
        <f>IFERROR((Calculations[[#This Row],[A1-3]]+Calculations[[#This Row],[A4]]+Calculations[[#This Row],[A5]]+Calculations[[#This Row],[C2 total]]+Calculations[[#This Row],[C3 total]]+Calculations[[#This Row],[C4 total]])*Calculations[[#This Row],[Replacements]],0)</f>
        <v>0</v>
      </c>
      <c r="S813" t="str">
        <f>IFERROR(VLOOKUP(Calculations[[#This Row],[Material (choose from dropdown]],MaterialData[#All],4,FALSE),"")</f>
        <v/>
      </c>
      <c r="T813" s="322" cm="1">
        <f t="array" ref="T813">IFERROR(VLOOKUP(Calculations[[#This Row],[Waste 1]],WasteScenario[#All],2,FALSE)*'Stage assumptions'!$C$225*WasteTransportMethod[Emissions Factor
kgCO2e/kg.km]*Calculations[[#This Row],[Total Kg]],0)</f>
        <v>0</v>
      </c>
      <c r="U813" s="322" cm="1">
        <f t="array" ref="U813">IFERROR(VLOOKUP(Calculations[[#This Row],[Waste 1]],WasteScenario[#All],3,FALSE)*'Stage assumptions'!$C$224*WasteTransportMethod[Emissions Factor
kgCO2e/kg.km]*Calculations[[#This Row],[Total Kg]],0)</f>
        <v>0</v>
      </c>
      <c r="V813" s="322" cm="1">
        <f t="array" ref="V813">IFERROR(VLOOKUP(Calculations[[#This Row],[Waste 1]],WasteScenario[#All],4,FALSE)*'Stage assumptions'!$C$223*WasteTransportMethod[Emissions Factor
kgCO2e/kg.km]*Calculations[[#This Row],[Total Kg]],0)</f>
        <v>0</v>
      </c>
      <c r="W813" s="322" cm="1">
        <f t="array" ref="W813">IFERROR(VLOOKUP(Calculations[[#This Row],[Waste 1]],WasteScenario[#All],5,FALSE)*'Stage assumptions'!$C$226*WasteTransportMethod[Emissions Factor
kgCO2e/kg.km]*Calculations[[#This Row],[Total Kg]],0)</f>
        <v>0</v>
      </c>
      <c r="X813" s="322">
        <f>SUM(Calculations[[#This Row],[C2 Recycle]:[C2 Reuse]])</f>
        <v>0</v>
      </c>
      <c r="Y813" t="str">
        <f>IFERROR(VLOOKUP(Calculations[[#This Row],[Material (choose from dropdown]],MaterialData[#All],5,FALSE),"")</f>
        <v/>
      </c>
      <c r="Z813" s="322">
        <f>IFERROR(((VLOOKUP(Calculations[[#This Row],[Waste type 2]],WasteDisposalEmissions[#All],2,FALSE))*Calculations[[#This Row],[Total Kg]])*VLOOKUP(Calculations[[#This Row],[Waste 1]],WasteScenario[#All],2,FALSE),0)</f>
        <v>0</v>
      </c>
      <c r="AA813" s="322">
        <f>IFERROR((VLOOKUP(Calculations[[#This Row],[Waste type 2]],WasteDisposalEmissions[#All],3,FALSE))*Calculations[[#This Row],[Total Kg]]*VLOOKUP(Calculations[[#This Row],[Waste 1]],WasteScenario[#All],3,FALSE),0)</f>
        <v>0</v>
      </c>
      <c r="AB813" s="322">
        <f>SUM(Calculations[[#This Row],[C3 recyc]:[C3 incin]])</f>
        <v>0</v>
      </c>
      <c r="AC813" s="334">
        <f>IFERROR((VLOOKUP(Calculations[[#This Row],[Waste type 2]],WasteLandfillEmissions[#All],2,FALSE))*Calculations[[#This Row],[Total Kg]]*VLOOKUP(Calculations[[#This Row],[Waste 1]],WasteScenario[#All],4,FALSE),0)</f>
        <v>0</v>
      </c>
      <c r="AD813" s="322">
        <f>IFERROR((VLOOKUP(Calculations[[#This Row],[Waste type 2]],WasteLandfillEmissions[#All],3,FALSE))*Calculations[[#This Row],[Total Kg]]*VLOOKUP(Calculations[[#This Row],[Waste 1]],WasteScenario[#All],4,FALSE),0)</f>
        <v>0</v>
      </c>
      <c r="AE813" s="322">
        <f>SUM(Calculations[[#This Row],[C4 landfill]:[C4 re-use]])</f>
        <v>0</v>
      </c>
      <c r="AF813" s="322">
        <f>IFERROR(VLOOKUP(Calculations[[#This Row],[Material (choose from dropdown]],MaterialData[#All],8,FALSE),0)</f>
        <v>0</v>
      </c>
      <c r="AG813" s="322">
        <f>IFERROR(Calculations[[#This Row],[Total Kg]]*Calculations[[#This Row],[Seq factor]],0)</f>
        <v>0</v>
      </c>
      <c r="AI813" s="322">
        <f>Calculations[[#This Row],[A1-3]]+Calculations[[#This Row],[A4]]+Calculations[[#This Row],[A5]]+Calculations[[#This Row],[B4]]+Calculations[[#This Row],[C2 total]]+Calculations[[#This Row],[C3 total]]+Calculations[[#This Row],[C4 total]]</f>
        <v>0</v>
      </c>
      <c r="AJ813" s="2">
        <f>IFERROR(VLOOKUP(Calculations[[#This Row],[Material (choose from dropdown]],MaterialData[[#Headers],[#Data]],9,FALSE),0)</f>
        <v>0</v>
      </c>
      <c r="AK813" s="4">
        <f>IFERROR(VLOOKUP(Calculations[[#This Row],[Material (choose from dropdown]],MaterialData[[#Headers],[#Data]],10,FALSE),0)</f>
        <v>0</v>
      </c>
      <c r="AL813" s="322">
        <f>IFERROR(Calculations[[#This Row],[Data Quality Score]]*Calculations[[#This Row],[Total Kg]],0)</f>
        <v>0</v>
      </c>
    </row>
    <row r="814" spans="1:38" x14ac:dyDescent="0.3">
      <c r="A814" s="6">
        <f>IFERROR(MaterialsBoQ[[#This Row],[Scope Element]],0)</f>
        <v>0</v>
      </c>
      <c r="B814" t="str">
        <f>IFERROR(MaterialsBoQ[[#This Row],[Material ]],"")</f>
        <v/>
      </c>
      <c r="C814" t="str">
        <f>IFERROR(MaterialsBoQ[[#This Row],[Unit]],"")</f>
        <v/>
      </c>
      <c r="D814" s="322">
        <f>IFERROR(MaterialsBoQ[[#This Row],[Number]],0)</f>
        <v>0</v>
      </c>
      <c r="E814" s="322">
        <f>IFERROR(MaterialsBoQ[[#This Row],[Kg per unit]],0)</f>
        <v>0</v>
      </c>
      <c r="F814" s="322">
        <f>IFERROR(Calculations[[#This Row],[Number]]*Calculations[[#This Row],[Conversion factor]],0)</f>
        <v>0</v>
      </c>
      <c r="G814" s="322">
        <f>IFERROR(VLOOKUP(Calculations[[#This Row],[Material (choose from dropdown]],MaterialData[#All],7,FALSE),0)</f>
        <v>0</v>
      </c>
      <c r="H814" s="322">
        <f>Calculations[[#This Row],[Total Kg]]*Calculations[[#This Row],[Carbon Factor]]</f>
        <v>0</v>
      </c>
      <c r="I814" t="str">
        <f>IFERROR(VLOOKUP(Calculations[[#This Row],[Material (choose from dropdown]],MaterialData[#All],2,FALSE),"")</f>
        <v/>
      </c>
      <c r="J814" s="322">
        <f>IFERROR(((VLOOKUP(Calculations[[#This Row],[TransportSource]],TransportDistance[],2,FALSE)*'Stage assumptions'!$C$11)+VLOOKUP(Calculations[[#This Row],[TransportSource]],TransportDistance[],3,FALSE)*'Stage assumptions'!$C$12)*Calculations[[#This Row],[Total Kg]],0)</f>
        <v>0</v>
      </c>
      <c r="K814">
        <f>IFERROR(VLOOKUP(Calculations[[#This Row],[Material (choose from dropdown]], MaterialData[#All],3, FALSE),0)</f>
        <v>0</v>
      </c>
      <c r="L814" s="322">
        <f>IFERROR(VLOOKUP(Calculations[[#This Row],[A5type]],A5WastageRate[#All],2,FALSE)*Calculations[[#This Row],[A1-3]],0)</f>
        <v>0</v>
      </c>
      <c r="N814">
        <f>IFERROR(ROUNDUP(50/VLOOKUP(Calculations[[#This Row],[Scope Element]],B4referenceServiceLife[[Tier 2 element]:[Default Service Life]],2, FALSE)-1,0),0)</f>
        <v>0</v>
      </c>
      <c r="O814" s="322">
        <f>IFERROR((Calculations[[#This Row],[A1-3]]+Calculations[[#This Row],[A4]]+Calculations[[#This Row],[A5]]+Calculations[[#This Row],[C2 total]]+Calculations[[#This Row],[C3 total]]+Calculations[[#This Row],[C4 total]])*Calculations[[#This Row],[Replacements]],0)</f>
        <v>0</v>
      </c>
      <c r="S814" t="str">
        <f>IFERROR(VLOOKUP(Calculations[[#This Row],[Material (choose from dropdown]],MaterialData[#All],4,FALSE),"")</f>
        <v/>
      </c>
      <c r="T814" s="322" cm="1">
        <f t="array" ref="T814">IFERROR(VLOOKUP(Calculations[[#This Row],[Waste 1]],WasteScenario[#All],2,FALSE)*'Stage assumptions'!$C$225*WasteTransportMethod[Emissions Factor
kgCO2e/kg.km]*Calculations[[#This Row],[Total Kg]],0)</f>
        <v>0</v>
      </c>
      <c r="U814" s="322" cm="1">
        <f t="array" ref="U814">IFERROR(VLOOKUP(Calculations[[#This Row],[Waste 1]],WasteScenario[#All],3,FALSE)*'Stage assumptions'!$C$224*WasteTransportMethod[Emissions Factor
kgCO2e/kg.km]*Calculations[[#This Row],[Total Kg]],0)</f>
        <v>0</v>
      </c>
      <c r="V814" s="322" cm="1">
        <f t="array" ref="V814">IFERROR(VLOOKUP(Calculations[[#This Row],[Waste 1]],WasteScenario[#All],4,FALSE)*'Stage assumptions'!$C$223*WasteTransportMethod[Emissions Factor
kgCO2e/kg.km]*Calculations[[#This Row],[Total Kg]],0)</f>
        <v>0</v>
      </c>
      <c r="W814" s="322" cm="1">
        <f t="array" ref="W814">IFERROR(VLOOKUP(Calculations[[#This Row],[Waste 1]],WasteScenario[#All],5,FALSE)*'Stage assumptions'!$C$226*WasteTransportMethod[Emissions Factor
kgCO2e/kg.km]*Calculations[[#This Row],[Total Kg]],0)</f>
        <v>0</v>
      </c>
      <c r="X814" s="322">
        <f>SUM(Calculations[[#This Row],[C2 Recycle]:[C2 Reuse]])</f>
        <v>0</v>
      </c>
      <c r="Y814" t="str">
        <f>IFERROR(VLOOKUP(Calculations[[#This Row],[Material (choose from dropdown]],MaterialData[#All],5,FALSE),"")</f>
        <v/>
      </c>
      <c r="Z814" s="322">
        <f>IFERROR(((VLOOKUP(Calculations[[#This Row],[Waste type 2]],WasteDisposalEmissions[#All],2,FALSE))*Calculations[[#This Row],[Total Kg]])*VLOOKUP(Calculations[[#This Row],[Waste 1]],WasteScenario[#All],2,FALSE),0)</f>
        <v>0</v>
      </c>
      <c r="AA814" s="322">
        <f>IFERROR((VLOOKUP(Calculations[[#This Row],[Waste type 2]],WasteDisposalEmissions[#All],3,FALSE))*Calculations[[#This Row],[Total Kg]]*VLOOKUP(Calculations[[#This Row],[Waste 1]],WasteScenario[#All],3,FALSE),0)</f>
        <v>0</v>
      </c>
      <c r="AB814" s="322">
        <f>SUM(Calculations[[#This Row],[C3 recyc]:[C3 incin]])</f>
        <v>0</v>
      </c>
      <c r="AC814" s="334">
        <f>IFERROR((VLOOKUP(Calculations[[#This Row],[Waste type 2]],WasteLandfillEmissions[#All],2,FALSE))*Calculations[[#This Row],[Total Kg]]*VLOOKUP(Calculations[[#This Row],[Waste 1]],WasteScenario[#All],4,FALSE),0)</f>
        <v>0</v>
      </c>
      <c r="AD814" s="322">
        <f>IFERROR((VLOOKUP(Calculations[[#This Row],[Waste type 2]],WasteLandfillEmissions[#All],3,FALSE))*Calculations[[#This Row],[Total Kg]]*VLOOKUP(Calculations[[#This Row],[Waste 1]],WasteScenario[#All],4,FALSE),0)</f>
        <v>0</v>
      </c>
      <c r="AE814" s="322">
        <f>SUM(Calculations[[#This Row],[C4 landfill]:[C4 re-use]])</f>
        <v>0</v>
      </c>
      <c r="AF814" s="322">
        <f>IFERROR(VLOOKUP(Calculations[[#This Row],[Material (choose from dropdown]],MaterialData[#All],8,FALSE),0)</f>
        <v>0</v>
      </c>
      <c r="AG814" s="322">
        <f>IFERROR(Calculations[[#This Row],[Total Kg]]*Calculations[[#This Row],[Seq factor]],0)</f>
        <v>0</v>
      </c>
      <c r="AI814" s="322">
        <f>Calculations[[#This Row],[A1-3]]+Calculations[[#This Row],[A4]]+Calculations[[#This Row],[A5]]+Calculations[[#This Row],[B4]]+Calculations[[#This Row],[C2 total]]+Calculations[[#This Row],[C3 total]]+Calculations[[#This Row],[C4 total]]</f>
        <v>0</v>
      </c>
      <c r="AJ814" s="2">
        <f>IFERROR(VLOOKUP(Calculations[[#This Row],[Material (choose from dropdown]],MaterialData[[#Headers],[#Data]],9,FALSE),0)</f>
        <v>0</v>
      </c>
      <c r="AK814" s="4">
        <f>IFERROR(VLOOKUP(Calculations[[#This Row],[Material (choose from dropdown]],MaterialData[[#Headers],[#Data]],10,FALSE),0)</f>
        <v>0</v>
      </c>
      <c r="AL814" s="322">
        <f>IFERROR(Calculations[[#This Row],[Data Quality Score]]*Calculations[[#This Row],[Total Kg]],0)</f>
        <v>0</v>
      </c>
    </row>
    <row r="815" spans="1:38" x14ac:dyDescent="0.3">
      <c r="A815" s="6">
        <f>IFERROR(MaterialsBoQ[[#This Row],[Scope Element]],0)</f>
        <v>0</v>
      </c>
      <c r="B815" t="str">
        <f>IFERROR(MaterialsBoQ[[#This Row],[Material ]],"")</f>
        <v/>
      </c>
      <c r="C815" t="str">
        <f>IFERROR(MaterialsBoQ[[#This Row],[Unit]],"")</f>
        <v/>
      </c>
      <c r="D815" s="322">
        <f>IFERROR(MaterialsBoQ[[#This Row],[Number]],0)</f>
        <v>0</v>
      </c>
      <c r="E815" s="322">
        <f>IFERROR(MaterialsBoQ[[#This Row],[Kg per unit]],0)</f>
        <v>0</v>
      </c>
      <c r="F815" s="322">
        <f>IFERROR(Calculations[[#This Row],[Number]]*Calculations[[#This Row],[Conversion factor]],0)</f>
        <v>0</v>
      </c>
      <c r="G815" s="322">
        <f>IFERROR(VLOOKUP(Calculations[[#This Row],[Material (choose from dropdown]],MaterialData[#All],7,FALSE),0)</f>
        <v>0</v>
      </c>
      <c r="H815" s="322">
        <f>Calculations[[#This Row],[Total Kg]]*Calculations[[#This Row],[Carbon Factor]]</f>
        <v>0</v>
      </c>
      <c r="I815" t="str">
        <f>IFERROR(VLOOKUP(Calculations[[#This Row],[Material (choose from dropdown]],MaterialData[#All],2,FALSE),"")</f>
        <v/>
      </c>
      <c r="J815" s="322">
        <f>IFERROR(((VLOOKUP(Calculations[[#This Row],[TransportSource]],TransportDistance[],2,FALSE)*'Stage assumptions'!$C$11)+VLOOKUP(Calculations[[#This Row],[TransportSource]],TransportDistance[],3,FALSE)*'Stage assumptions'!$C$12)*Calculations[[#This Row],[Total Kg]],0)</f>
        <v>0</v>
      </c>
      <c r="K815">
        <f>IFERROR(VLOOKUP(Calculations[[#This Row],[Material (choose from dropdown]], MaterialData[#All],3, FALSE),0)</f>
        <v>0</v>
      </c>
      <c r="L815" s="322">
        <f>IFERROR(VLOOKUP(Calculations[[#This Row],[A5type]],A5WastageRate[#All],2,FALSE)*Calculations[[#This Row],[A1-3]],0)</f>
        <v>0</v>
      </c>
      <c r="N815">
        <f>IFERROR(ROUNDUP(50/VLOOKUP(Calculations[[#This Row],[Scope Element]],B4referenceServiceLife[[Tier 2 element]:[Default Service Life]],2, FALSE)-1,0),0)</f>
        <v>0</v>
      </c>
      <c r="O815" s="322">
        <f>IFERROR((Calculations[[#This Row],[A1-3]]+Calculations[[#This Row],[A4]]+Calculations[[#This Row],[A5]]+Calculations[[#This Row],[C2 total]]+Calculations[[#This Row],[C3 total]]+Calculations[[#This Row],[C4 total]])*Calculations[[#This Row],[Replacements]],0)</f>
        <v>0</v>
      </c>
      <c r="S815" t="str">
        <f>IFERROR(VLOOKUP(Calculations[[#This Row],[Material (choose from dropdown]],MaterialData[#All],4,FALSE),"")</f>
        <v/>
      </c>
      <c r="T815" s="322" cm="1">
        <f t="array" ref="T815">IFERROR(VLOOKUP(Calculations[[#This Row],[Waste 1]],WasteScenario[#All],2,FALSE)*'Stage assumptions'!$C$225*WasteTransportMethod[Emissions Factor
kgCO2e/kg.km]*Calculations[[#This Row],[Total Kg]],0)</f>
        <v>0</v>
      </c>
      <c r="U815" s="322" cm="1">
        <f t="array" ref="U815">IFERROR(VLOOKUP(Calculations[[#This Row],[Waste 1]],WasteScenario[#All],3,FALSE)*'Stage assumptions'!$C$224*WasteTransportMethod[Emissions Factor
kgCO2e/kg.km]*Calculations[[#This Row],[Total Kg]],0)</f>
        <v>0</v>
      </c>
      <c r="V815" s="322" cm="1">
        <f t="array" ref="V815">IFERROR(VLOOKUP(Calculations[[#This Row],[Waste 1]],WasteScenario[#All],4,FALSE)*'Stage assumptions'!$C$223*WasteTransportMethod[Emissions Factor
kgCO2e/kg.km]*Calculations[[#This Row],[Total Kg]],0)</f>
        <v>0</v>
      </c>
      <c r="W815" s="322" cm="1">
        <f t="array" ref="W815">IFERROR(VLOOKUP(Calculations[[#This Row],[Waste 1]],WasteScenario[#All],5,FALSE)*'Stage assumptions'!$C$226*WasteTransportMethod[Emissions Factor
kgCO2e/kg.km]*Calculations[[#This Row],[Total Kg]],0)</f>
        <v>0</v>
      </c>
      <c r="X815" s="322">
        <f>SUM(Calculations[[#This Row],[C2 Recycle]:[C2 Reuse]])</f>
        <v>0</v>
      </c>
      <c r="Y815" t="str">
        <f>IFERROR(VLOOKUP(Calculations[[#This Row],[Material (choose from dropdown]],MaterialData[#All],5,FALSE),"")</f>
        <v/>
      </c>
      <c r="Z815" s="322">
        <f>IFERROR(((VLOOKUP(Calculations[[#This Row],[Waste type 2]],WasteDisposalEmissions[#All],2,FALSE))*Calculations[[#This Row],[Total Kg]])*VLOOKUP(Calculations[[#This Row],[Waste 1]],WasteScenario[#All],2,FALSE),0)</f>
        <v>0</v>
      </c>
      <c r="AA815" s="322">
        <f>IFERROR((VLOOKUP(Calculations[[#This Row],[Waste type 2]],WasteDisposalEmissions[#All],3,FALSE))*Calculations[[#This Row],[Total Kg]]*VLOOKUP(Calculations[[#This Row],[Waste 1]],WasteScenario[#All],3,FALSE),0)</f>
        <v>0</v>
      </c>
      <c r="AB815" s="322">
        <f>SUM(Calculations[[#This Row],[C3 recyc]:[C3 incin]])</f>
        <v>0</v>
      </c>
      <c r="AC815" s="334">
        <f>IFERROR((VLOOKUP(Calculations[[#This Row],[Waste type 2]],WasteLandfillEmissions[#All],2,FALSE))*Calculations[[#This Row],[Total Kg]]*VLOOKUP(Calculations[[#This Row],[Waste 1]],WasteScenario[#All],4,FALSE),0)</f>
        <v>0</v>
      </c>
      <c r="AD815" s="322">
        <f>IFERROR((VLOOKUP(Calculations[[#This Row],[Waste type 2]],WasteLandfillEmissions[#All],3,FALSE))*Calculations[[#This Row],[Total Kg]]*VLOOKUP(Calculations[[#This Row],[Waste 1]],WasteScenario[#All],4,FALSE),0)</f>
        <v>0</v>
      </c>
      <c r="AE815" s="322">
        <f>SUM(Calculations[[#This Row],[C4 landfill]:[C4 re-use]])</f>
        <v>0</v>
      </c>
      <c r="AF815" s="322">
        <f>IFERROR(VLOOKUP(Calculations[[#This Row],[Material (choose from dropdown]],MaterialData[#All],8,FALSE),0)</f>
        <v>0</v>
      </c>
      <c r="AG815" s="322">
        <f>IFERROR(Calculations[[#This Row],[Total Kg]]*Calculations[[#This Row],[Seq factor]],0)</f>
        <v>0</v>
      </c>
      <c r="AI815" s="322">
        <f>Calculations[[#This Row],[A1-3]]+Calculations[[#This Row],[A4]]+Calculations[[#This Row],[A5]]+Calculations[[#This Row],[B4]]+Calculations[[#This Row],[C2 total]]+Calculations[[#This Row],[C3 total]]+Calculations[[#This Row],[C4 total]]</f>
        <v>0</v>
      </c>
      <c r="AJ815" s="2">
        <f>IFERROR(VLOOKUP(Calculations[[#This Row],[Material (choose from dropdown]],MaterialData[[#Headers],[#Data]],9,FALSE),0)</f>
        <v>0</v>
      </c>
      <c r="AK815" s="4">
        <f>IFERROR(VLOOKUP(Calculations[[#This Row],[Material (choose from dropdown]],MaterialData[[#Headers],[#Data]],10,FALSE),0)</f>
        <v>0</v>
      </c>
      <c r="AL815" s="322">
        <f>IFERROR(Calculations[[#This Row],[Data Quality Score]]*Calculations[[#This Row],[Total Kg]],0)</f>
        <v>0</v>
      </c>
    </row>
    <row r="816" spans="1:38" x14ac:dyDescent="0.3">
      <c r="A816" s="6">
        <f>IFERROR(MaterialsBoQ[[#This Row],[Scope Element]],0)</f>
        <v>0</v>
      </c>
      <c r="B816" t="str">
        <f>IFERROR(MaterialsBoQ[[#This Row],[Material ]],"")</f>
        <v/>
      </c>
      <c r="C816" t="str">
        <f>IFERROR(MaterialsBoQ[[#This Row],[Unit]],"")</f>
        <v/>
      </c>
      <c r="D816" s="322">
        <f>IFERROR(MaterialsBoQ[[#This Row],[Number]],0)</f>
        <v>0</v>
      </c>
      <c r="E816" s="322">
        <f>IFERROR(MaterialsBoQ[[#This Row],[Kg per unit]],0)</f>
        <v>0</v>
      </c>
      <c r="F816" s="322">
        <f>IFERROR(Calculations[[#This Row],[Number]]*Calculations[[#This Row],[Conversion factor]],0)</f>
        <v>0</v>
      </c>
      <c r="G816" s="322">
        <f>IFERROR(VLOOKUP(Calculations[[#This Row],[Material (choose from dropdown]],MaterialData[#All],7,FALSE),0)</f>
        <v>0</v>
      </c>
      <c r="H816" s="322">
        <f>Calculations[[#This Row],[Total Kg]]*Calculations[[#This Row],[Carbon Factor]]</f>
        <v>0</v>
      </c>
      <c r="I816" t="str">
        <f>IFERROR(VLOOKUP(Calculations[[#This Row],[Material (choose from dropdown]],MaterialData[#All],2,FALSE),"")</f>
        <v/>
      </c>
      <c r="J816" s="322">
        <f>IFERROR(((VLOOKUP(Calculations[[#This Row],[TransportSource]],TransportDistance[],2,FALSE)*'Stage assumptions'!$C$11)+VLOOKUP(Calculations[[#This Row],[TransportSource]],TransportDistance[],3,FALSE)*'Stage assumptions'!$C$12)*Calculations[[#This Row],[Total Kg]],0)</f>
        <v>0</v>
      </c>
      <c r="K816">
        <f>IFERROR(VLOOKUP(Calculations[[#This Row],[Material (choose from dropdown]], MaterialData[#All],3, FALSE),0)</f>
        <v>0</v>
      </c>
      <c r="L816" s="322">
        <f>IFERROR(VLOOKUP(Calculations[[#This Row],[A5type]],A5WastageRate[#All],2,FALSE)*Calculations[[#This Row],[A1-3]],0)</f>
        <v>0</v>
      </c>
      <c r="N816">
        <f>IFERROR(ROUNDUP(50/VLOOKUP(Calculations[[#This Row],[Scope Element]],B4referenceServiceLife[[Tier 2 element]:[Default Service Life]],2, FALSE)-1,0),0)</f>
        <v>0</v>
      </c>
      <c r="O816" s="322">
        <f>IFERROR((Calculations[[#This Row],[A1-3]]+Calculations[[#This Row],[A4]]+Calculations[[#This Row],[A5]]+Calculations[[#This Row],[C2 total]]+Calculations[[#This Row],[C3 total]]+Calculations[[#This Row],[C4 total]])*Calculations[[#This Row],[Replacements]],0)</f>
        <v>0</v>
      </c>
      <c r="S816" t="str">
        <f>IFERROR(VLOOKUP(Calculations[[#This Row],[Material (choose from dropdown]],MaterialData[#All],4,FALSE),"")</f>
        <v/>
      </c>
      <c r="T816" s="322" cm="1">
        <f t="array" ref="T816">IFERROR(VLOOKUP(Calculations[[#This Row],[Waste 1]],WasteScenario[#All],2,FALSE)*'Stage assumptions'!$C$225*WasteTransportMethod[Emissions Factor
kgCO2e/kg.km]*Calculations[[#This Row],[Total Kg]],0)</f>
        <v>0</v>
      </c>
      <c r="U816" s="322" cm="1">
        <f t="array" ref="U816">IFERROR(VLOOKUP(Calculations[[#This Row],[Waste 1]],WasteScenario[#All],3,FALSE)*'Stage assumptions'!$C$224*WasteTransportMethod[Emissions Factor
kgCO2e/kg.km]*Calculations[[#This Row],[Total Kg]],0)</f>
        <v>0</v>
      </c>
      <c r="V816" s="322" cm="1">
        <f t="array" ref="V816">IFERROR(VLOOKUP(Calculations[[#This Row],[Waste 1]],WasteScenario[#All],4,FALSE)*'Stage assumptions'!$C$223*WasteTransportMethod[Emissions Factor
kgCO2e/kg.km]*Calculations[[#This Row],[Total Kg]],0)</f>
        <v>0</v>
      </c>
      <c r="W816" s="322" cm="1">
        <f t="array" ref="W816">IFERROR(VLOOKUP(Calculations[[#This Row],[Waste 1]],WasteScenario[#All],5,FALSE)*'Stage assumptions'!$C$226*WasteTransportMethod[Emissions Factor
kgCO2e/kg.km]*Calculations[[#This Row],[Total Kg]],0)</f>
        <v>0</v>
      </c>
      <c r="X816" s="322">
        <f>SUM(Calculations[[#This Row],[C2 Recycle]:[C2 Reuse]])</f>
        <v>0</v>
      </c>
      <c r="Y816" t="str">
        <f>IFERROR(VLOOKUP(Calculations[[#This Row],[Material (choose from dropdown]],MaterialData[#All],5,FALSE),"")</f>
        <v/>
      </c>
      <c r="Z816" s="322">
        <f>IFERROR(((VLOOKUP(Calculations[[#This Row],[Waste type 2]],WasteDisposalEmissions[#All],2,FALSE))*Calculations[[#This Row],[Total Kg]])*VLOOKUP(Calculations[[#This Row],[Waste 1]],WasteScenario[#All],2,FALSE),0)</f>
        <v>0</v>
      </c>
      <c r="AA816" s="322">
        <f>IFERROR((VLOOKUP(Calculations[[#This Row],[Waste type 2]],WasteDisposalEmissions[#All],3,FALSE))*Calculations[[#This Row],[Total Kg]]*VLOOKUP(Calculations[[#This Row],[Waste 1]],WasteScenario[#All],3,FALSE),0)</f>
        <v>0</v>
      </c>
      <c r="AB816" s="322">
        <f>SUM(Calculations[[#This Row],[C3 recyc]:[C3 incin]])</f>
        <v>0</v>
      </c>
      <c r="AC816" s="334">
        <f>IFERROR((VLOOKUP(Calculations[[#This Row],[Waste type 2]],WasteLandfillEmissions[#All],2,FALSE))*Calculations[[#This Row],[Total Kg]]*VLOOKUP(Calculations[[#This Row],[Waste 1]],WasteScenario[#All],4,FALSE),0)</f>
        <v>0</v>
      </c>
      <c r="AD816" s="322">
        <f>IFERROR((VLOOKUP(Calculations[[#This Row],[Waste type 2]],WasteLandfillEmissions[#All],3,FALSE))*Calculations[[#This Row],[Total Kg]]*VLOOKUP(Calculations[[#This Row],[Waste 1]],WasteScenario[#All],4,FALSE),0)</f>
        <v>0</v>
      </c>
      <c r="AE816" s="322">
        <f>SUM(Calculations[[#This Row],[C4 landfill]:[C4 re-use]])</f>
        <v>0</v>
      </c>
      <c r="AF816" s="322">
        <f>IFERROR(VLOOKUP(Calculations[[#This Row],[Material (choose from dropdown]],MaterialData[#All],8,FALSE),0)</f>
        <v>0</v>
      </c>
      <c r="AG816" s="322">
        <f>IFERROR(Calculations[[#This Row],[Total Kg]]*Calculations[[#This Row],[Seq factor]],0)</f>
        <v>0</v>
      </c>
      <c r="AI816" s="322">
        <f>Calculations[[#This Row],[A1-3]]+Calculations[[#This Row],[A4]]+Calculations[[#This Row],[A5]]+Calculations[[#This Row],[B4]]+Calculations[[#This Row],[C2 total]]+Calculations[[#This Row],[C3 total]]+Calculations[[#This Row],[C4 total]]</f>
        <v>0</v>
      </c>
      <c r="AJ816" s="2">
        <f>IFERROR(VLOOKUP(Calculations[[#This Row],[Material (choose from dropdown]],MaterialData[[#Headers],[#Data]],9,FALSE),0)</f>
        <v>0</v>
      </c>
      <c r="AK816" s="4">
        <f>IFERROR(VLOOKUP(Calculations[[#This Row],[Material (choose from dropdown]],MaterialData[[#Headers],[#Data]],10,FALSE),0)</f>
        <v>0</v>
      </c>
      <c r="AL816" s="322">
        <f>IFERROR(Calculations[[#This Row],[Data Quality Score]]*Calculations[[#This Row],[Total Kg]],0)</f>
        <v>0</v>
      </c>
    </row>
    <row r="817" spans="1:38" x14ac:dyDescent="0.3">
      <c r="A817" s="6">
        <f>IFERROR(MaterialsBoQ[[#This Row],[Scope Element]],0)</f>
        <v>0</v>
      </c>
      <c r="B817" t="str">
        <f>IFERROR(MaterialsBoQ[[#This Row],[Material ]],"")</f>
        <v/>
      </c>
      <c r="C817" t="str">
        <f>IFERROR(MaterialsBoQ[[#This Row],[Unit]],"")</f>
        <v/>
      </c>
      <c r="D817" s="322">
        <f>IFERROR(MaterialsBoQ[[#This Row],[Number]],0)</f>
        <v>0</v>
      </c>
      <c r="E817" s="322">
        <f>IFERROR(MaterialsBoQ[[#This Row],[Kg per unit]],0)</f>
        <v>0</v>
      </c>
      <c r="F817" s="322">
        <f>IFERROR(Calculations[[#This Row],[Number]]*Calculations[[#This Row],[Conversion factor]],0)</f>
        <v>0</v>
      </c>
      <c r="G817" s="322">
        <f>IFERROR(VLOOKUP(Calculations[[#This Row],[Material (choose from dropdown]],MaterialData[#All],7,FALSE),0)</f>
        <v>0</v>
      </c>
      <c r="H817" s="322">
        <f>Calculations[[#This Row],[Total Kg]]*Calculations[[#This Row],[Carbon Factor]]</f>
        <v>0</v>
      </c>
      <c r="I817" t="str">
        <f>IFERROR(VLOOKUP(Calculations[[#This Row],[Material (choose from dropdown]],MaterialData[#All],2,FALSE),"")</f>
        <v/>
      </c>
      <c r="J817" s="322">
        <f>IFERROR(((VLOOKUP(Calculations[[#This Row],[TransportSource]],TransportDistance[],2,FALSE)*'Stage assumptions'!$C$11)+VLOOKUP(Calculations[[#This Row],[TransportSource]],TransportDistance[],3,FALSE)*'Stage assumptions'!$C$12)*Calculations[[#This Row],[Total Kg]],0)</f>
        <v>0</v>
      </c>
      <c r="K817">
        <f>IFERROR(VLOOKUP(Calculations[[#This Row],[Material (choose from dropdown]], MaterialData[#All],3, FALSE),0)</f>
        <v>0</v>
      </c>
      <c r="L817" s="322">
        <f>IFERROR(VLOOKUP(Calculations[[#This Row],[A5type]],A5WastageRate[#All],2,FALSE)*Calculations[[#This Row],[A1-3]],0)</f>
        <v>0</v>
      </c>
      <c r="N817">
        <f>IFERROR(ROUNDUP(50/VLOOKUP(Calculations[[#This Row],[Scope Element]],B4referenceServiceLife[[Tier 2 element]:[Default Service Life]],2, FALSE)-1,0),0)</f>
        <v>0</v>
      </c>
      <c r="O817" s="322">
        <f>IFERROR((Calculations[[#This Row],[A1-3]]+Calculations[[#This Row],[A4]]+Calculations[[#This Row],[A5]]+Calculations[[#This Row],[C2 total]]+Calculations[[#This Row],[C3 total]]+Calculations[[#This Row],[C4 total]])*Calculations[[#This Row],[Replacements]],0)</f>
        <v>0</v>
      </c>
      <c r="S817" t="str">
        <f>IFERROR(VLOOKUP(Calculations[[#This Row],[Material (choose from dropdown]],MaterialData[#All],4,FALSE),"")</f>
        <v/>
      </c>
      <c r="T817" s="322" cm="1">
        <f t="array" ref="T817">IFERROR(VLOOKUP(Calculations[[#This Row],[Waste 1]],WasteScenario[#All],2,FALSE)*'Stage assumptions'!$C$225*WasteTransportMethod[Emissions Factor
kgCO2e/kg.km]*Calculations[[#This Row],[Total Kg]],0)</f>
        <v>0</v>
      </c>
      <c r="U817" s="322" cm="1">
        <f t="array" ref="U817">IFERROR(VLOOKUP(Calculations[[#This Row],[Waste 1]],WasteScenario[#All],3,FALSE)*'Stage assumptions'!$C$224*WasteTransportMethod[Emissions Factor
kgCO2e/kg.km]*Calculations[[#This Row],[Total Kg]],0)</f>
        <v>0</v>
      </c>
      <c r="V817" s="322" cm="1">
        <f t="array" ref="V817">IFERROR(VLOOKUP(Calculations[[#This Row],[Waste 1]],WasteScenario[#All],4,FALSE)*'Stage assumptions'!$C$223*WasteTransportMethod[Emissions Factor
kgCO2e/kg.km]*Calculations[[#This Row],[Total Kg]],0)</f>
        <v>0</v>
      </c>
      <c r="W817" s="322" cm="1">
        <f t="array" ref="W817">IFERROR(VLOOKUP(Calculations[[#This Row],[Waste 1]],WasteScenario[#All],5,FALSE)*'Stage assumptions'!$C$226*WasteTransportMethod[Emissions Factor
kgCO2e/kg.km]*Calculations[[#This Row],[Total Kg]],0)</f>
        <v>0</v>
      </c>
      <c r="X817" s="322">
        <f>SUM(Calculations[[#This Row],[C2 Recycle]:[C2 Reuse]])</f>
        <v>0</v>
      </c>
      <c r="Y817" t="str">
        <f>IFERROR(VLOOKUP(Calculations[[#This Row],[Material (choose from dropdown]],MaterialData[#All],5,FALSE),"")</f>
        <v/>
      </c>
      <c r="Z817" s="322">
        <f>IFERROR(((VLOOKUP(Calculations[[#This Row],[Waste type 2]],WasteDisposalEmissions[#All],2,FALSE))*Calculations[[#This Row],[Total Kg]])*VLOOKUP(Calculations[[#This Row],[Waste 1]],WasteScenario[#All],2,FALSE),0)</f>
        <v>0</v>
      </c>
      <c r="AA817" s="322">
        <f>IFERROR((VLOOKUP(Calculations[[#This Row],[Waste type 2]],WasteDisposalEmissions[#All],3,FALSE))*Calculations[[#This Row],[Total Kg]]*VLOOKUP(Calculations[[#This Row],[Waste 1]],WasteScenario[#All],3,FALSE),0)</f>
        <v>0</v>
      </c>
      <c r="AB817" s="322">
        <f>SUM(Calculations[[#This Row],[C3 recyc]:[C3 incin]])</f>
        <v>0</v>
      </c>
      <c r="AC817" s="334">
        <f>IFERROR((VLOOKUP(Calculations[[#This Row],[Waste type 2]],WasteLandfillEmissions[#All],2,FALSE))*Calculations[[#This Row],[Total Kg]]*VLOOKUP(Calculations[[#This Row],[Waste 1]],WasteScenario[#All],4,FALSE),0)</f>
        <v>0</v>
      </c>
      <c r="AD817" s="322">
        <f>IFERROR((VLOOKUP(Calculations[[#This Row],[Waste type 2]],WasteLandfillEmissions[#All],3,FALSE))*Calculations[[#This Row],[Total Kg]]*VLOOKUP(Calculations[[#This Row],[Waste 1]],WasteScenario[#All],4,FALSE),0)</f>
        <v>0</v>
      </c>
      <c r="AE817" s="322">
        <f>SUM(Calculations[[#This Row],[C4 landfill]:[C4 re-use]])</f>
        <v>0</v>
      </c>
      <c r="AF817" s="322">
        <f>IFERROR(VLOOKUP(Calculations[[#This Row],[Material (choose from dropdown]],MaterialData[#All],8,FALSE),0)</f>
        <v>0</v>
      </c>
      <c r="AG817" s="322">
        <f>IFERROR(Calculations[[#This Row],[Total Kg]]*Calculations[[#This Row],[Seq factor]],0)</f>
        <v>0</v>
      </c>
      <c r="AI817" s="322">
        <f>Calculations[[#This Row],[A1-3]]+Calculations[[#This Row],[A4]]+Calculations[[#This Row],[A5]]+Calculations[[#This Row],[B4]]+Calculations[[#This Row],[C2 total]]+Calculations[[#This Row],[C3 total]]+Calculations[[#This Row],[C4 total]]</f>
        <v>0</v>
      </c>
      <c r="AJ817" s="2">
        <f>IFERROR(VLOOKUP(Calculations[[#This Row],[Material (choose from dropdown]],MaterialData[[#Headers],[#Data]],9,FALSE),0)</f>
        <v>0</v>
      </c>
      <c r="AK817" s="4">
        <f>IFERROR(VLOOKUP(Calculations[[#This Row],[Material (choose from dropdown]],MaterialData[[#Headers],[#Data]],10,FALSE),0)</f>
        <v>0</v>
      </c>
      <c r="AL817" s="322">
        <f>IFERROR(Calculations[[#This Row],[Data Quality Score]]*Calculations[[#This Row],[Total Kg]],0)</f>
        <v>0</v>
      </c>
    </row>
    <row r="818" spans="1:38" x14ac:dyDescent="0.3">
      <c r="A818" s="6">
        <f>IFERROR(MaterialsBoQ[[#This Row],[Scope Element]],0)</f>
        <v>0</v>
      </c>
      <c r="B818" t="str">
        <f>IFERROR(MaterialsBoQ[[#This Row],[Material ]],"")</f>
        <v/>
      </c>
      <c r="C818" t="str">
        <f>IFERROR(MaterialsBoQ[[#This Row],[Unit]],"")</f>
        <v/>
      </c>
      <c r="D818" s="322">
        <f>IFERROR(MaterialsBoQ[[#This Row],[Number]],0)</f>
        <v>0</v>
      </c>
      <c r="E818" s="322">
        <f>IFERROR(MaterialsBoQ[[#This Row],[Kg per unit]],0)</f>
        <v>0</v>
      </c>
      <c r="F818" s="322">
        <f>IFERROR(Calculations[[#This Row],[Number]]*Calculations[[#This Row],[Conversion factor]],0)</f>
        <v>0</v>
      </c>
      <c r="G818" s="322">
        <f>IFERROR(VLOOKUP(Calculations[[#This Row],[Material (choose from dropdown]],MaterialData[#All],7,FALSE),0)</f>
        <v>0</v>
      </c>
      <c r="H818" s="322">
        <f>Calculations[[#This Row],[Total Kg]]*Calculations[[#This Row],[Carbon Factor]]</f>
        <v>0</v>
      </c>
      <c r="I818" t="str">
        <f>IFERROR(VLOOKUP(Calculations[[#This Row],[Material (choose from dropdown]],MaterialData[#All],2,FALSE),"")</f>
        <v/>
      </c>
      <c r="J818" s="322">
        <f>IFERROR(((VLOOKUP(Calculations[[#This Row],[TransportSource]],TransportDistance[],2,FALSE)*'Stage assumptions'!$C$11)+VLOOKUP(Calculations[[#This Row],[TransportSource]],TransportDistance[],3,FALSE)*'Stage assumptions'!$C$12)*Calculations[[#This Row],[Total Kg]],0)</f>
        <v>0</v>
      </c>
      <c r="K818">
        <f>IFERROR(VLOOKUP(Calculations[[#This Row],[Material (choose from dropdown]], MaterialData[#All],3, FALSE),0)</f>
        <v>0</v>
      </c>
      <c r="L818" s="322">
        <f>IFERROR(VLOOKUP(Calculations[[#This Row],[A5type]],A5WastageRate[#All],2,FALSE)*Calculations[[#This Row],[A1-3]],0)</f>
        <v>0</v>
      </c>
      <c r="N818">
        <f>IFERROR(ROUNDUP(50/VLOOKUP(Calculations[[#This Row],[Scope Element]],B4referenceServiceLife[[Tier 2 element]:[Default Service Life]],2, FALSE)-1,0),0)</f>
        <v>0</v>
      </c>
      <c r="O818" s="322">
        <f>IFERROR((Calculations[[#This Row],[A1-3]]+Calculations[[#This Row],[A4]]+Calculations[[#This Row],[A5]]+Calculations[[#This Row],[C2 total]]+Calculations[[#This Row],[C3 total]]+Calculations[[#This Row],[C4 total]])*Calculations[[#This Row],[Replacements]],0)</f>
        <v>0</v>
      </c>
      <c r="S818" t="str">
        <f>IFERROR(VLOOKUP(Calculations[[#This Row],[Material (choose from dropdown]],MaterialData[#All],4,FALSE),"")</f>
        <v/>
      </c>
      <c r="T818" s="322" cm="1">
        <f t="array" ref="T818">IFERROR(VLOOKUP(Calculations[[#This Row],[Waste 1]],WasteScenario[#All],2,FALSE)*'Stage assumptions'!$C$225*WasteTransportMethod[Emissions Factor
kgCO2e/kg.km]*Calculations[[#This Row],[Total Kg]],0)</f>
        <v>0</v>
      </c>
      <c r="U818" s="322" cm="1">
        <f t="array" ref="U818">IFERROR(VLOOKUP(Calculations[[#This Row],[Waste 1]],WasteScenario[#All],3,FALSE)*'Stage assumptions'!$C$224*WasteTransportMethod[Emissions Factor
kgCO2e/kg.km]*Calculations[[#This Row],[Total Kg]],0)</f>
        <v>0</v>
      </c>
      <c r="V818" s="322" cm="1">
        <f t="array" ref="V818">IFERROR(VLOOKUP(Calculations[[#This Row],[Waste 1]],WasteScenario[#All],4,FALSE)*'Stage assumptions'!$C$223*WasteTransportMethod[Emissions Factor
kgCO2e/kg.km]*Calculations[[#This Row],[Total Kg]],0)</f>
        <v>0</v>
      </c>
      <c r="W818" s="322" cm="1">
        <f t="array" ref="W818">IFERROR(VLOOKUP(Calculations[[#This Row],[Waste 1]],WasteScenario[#All],5,FALSE)*'Stage assumptions'!$C$226*WasteTransportMethod[Emissions Factor
kgCO2e/kg.km]*Calculations[[#This Row],[Total Kg]],0)</f>
        <v>0</v>
      </c>
      <c r="X818" s="322">
        <f>SUM(Calculations[[#This Row],[C2 Recycle]:[C2 Reuse]])</f>
        <v>0</v>
      </c>
      <c r="Y818" t="str">
        <f>IFERROR(VLOOKUP(Calculations[[#This Row],[Material (choose from dropdown]],MaterialData[#All],5,FALSE),"")</f>
        <v/>
      </c>
      <c r="Z818" s="322">
        <f>IFERROR(((VLOOKUP(Calculations[[#This Row],[Waste type 2]],WasteDisposalEmissions[#All],2,FALSE))*Calculations[[#This Row],[Total Kg]])*VLOOKUP(Calculations[[#This Row],[Waste 1]],WasteScenario[#All],2,FALSE),0)</f>
        <v>0</v>
      </c>
      <c r="AA818" s="322">
        <f>IFERROR((VLOOKUP(Calculations[[#This Row],[Waste type 2]],WasteDisposalEmissions[#All],3,FALSE))*Calculations[[#This Row],[Total Kg]]*VLOOKUP(Calculations[[#This Row],[Waste 1]],WasteScenario[#All],3,FALSE),0)</f>
        <v>0</v>
      </c>
      <c r="AB818" s="322">
        <f>SUM(Calculations[[#This Row],[C3 recyc]:[C3 incin]])</f>
        <v>0</v>
      </c>
      <c r="AC818" s="334">
        <f>IFERROR((VLOOKUP(Calculations[[#This Row],[Waste type 2]],WasteLandfillEmissions[#All],2,FALSE))*Calculations[[#This Row],[Total Kg]]*VLOOKUP(Calculations[[#This Row],[Waste 1]],WasteScenario[#All],4,FALSE),0)</f>
        <v>0</v>
      </c>
      <c r="AD818" s="322">
        <f>IFERROR((VLOOKUP(Calculations[[#This Row],[Waste type 2]],WasteLandfillEmissions[#All],3,FALSE))*Calculations[[#This Row],[Total Kg]]*VLOOKUP(Calculations[[#This Row],[Waste 1]],WasteScenario[#All],4,FALSE),0)</f>
        <v>0</v>
      </c>
      <c r="AE818" s="322">
        <f>SUM(Calculations[[#This Row],[C4 landfill]:[C4 re-use]])</f>
        <v>0</v>
      </c>
      <c r="AF818" s="322">
        <f>IFERROR(VLOOKUP(Calculations[[#This Row],[Material (choose from dropdown]],MaterialData[#All],8,FALSE),0)</f>
        <v>0</v>
      </c>
      <c r="AG818" s="322">
        <f>IFERROR(Calculations[[#This Row],[Total Kg]]*Calculations[[#This Row],[Seq factor]],0)</f>
        <v>0</v>
      </c>
      <c r="AI818" s="322">
        <f>Calculations[[#This Row],[A1-3]]+Calculations[[#This Row],[A4]]+Calculations[[#This Row],[A5]]+Calculations[[#This Row],[B4]]+Calculations[[#This Row],[C2 total]]+Calculations[[#This Row],[C3 total]]+Calculations[[#This Row],[C4 total]]</f>
        <v>0</v>
      </c>
      <c r="AJ818" s="2">
        <f>IFERROR(VLOOKUP(Calculations[[#This Row],[Material (choose from dropdown]],MaterialData[[#Headers],[#Data]],9,FALSE),0)</f>
        <v>0</v>
      </c>
      <c r="AK818" s="4">
        <f>IFERROR(VLOOKUP(Calculations[[#This Row],[Material (choose from dropdown]],MaterialData[[#Headers],[#Data]],10,FALSE),0)</f>
        <v>0</v>
      </c>
      <c r="AL818" s="322">
        <f>IFERROR(Calculations[[#This Row],[Data Quality Score]]*Calculations[[#This Row],[Total Kg]],0)</f>
        <v>0</v>
      </c>
    </row>
    <row r="819" spans="1:38" x14ac:dyDescent="0.3">
      <c r="A819" s="6">
        <f>IFERROR(MaterialsBoQ[[#This Row],[Scope Element]],0)</f>
        <v>0</v>
      </c>
      <c r="B819" t="str">
        <f>IFERROR(MaterialsBoQ[[#This Row],[Material ]],"")</f>
        <v/>
      </c>
      <c r="C819" t="str">
        <f>IFERROR(MaterialsBoQ[[#This Row],[Unit]],"")</f>
        <v/>
      </c>
      <c r="D819" s="322">
        <f>IFERROR(MaterialsBoQ[[#This Row],[Number]],0)</f>
        <v>0</v>
      </c>
      <c r="E819" s="322">
        <f>IFERROR(MaterialsBoQ[[#This Row],[Kg per unit]],0)</f>
        <v>0</v>
      </c>
      <c r="F819" s="322">
        <f>IFERROR(Calculations[[#This Row],[Number]]*Calculations[[#This Row],[Conversion factor]],0)</f>
        <v>0</v>
      </c>
      <c r="G819" s="322">
        <f>IFERROR(VLOOKUP(Calculations[[#This Row],[Material (choose from dropdown]],MaterialData[#All],7,FALSE),0)</f>
        <v>0</v>
      </c>
      <c r="H819" s="322">
        <f>Calculations[[#This Row],[Total Kg]]*Calculations[[#This Row],[Carbon Factor]]</f>
        <v>0</v>
      </c>
      <c r="I819" t="str">
        <f>IFERROR(VLOOKUP(Calculations[[#This Row],[Material (choose from dropdown]],MaterialData[#All],2,FALSE),"")</f>
        <v/>
      </c>
      <c r="J819" s="322">
        <f>IFERROR(((VLOOKUP(Calculations[[#This Row],[TransportSource]],TransportDistance[],2,FALSE)*'Stage assumptions'!$C$11)+VLOOKUP(Calculations[[#This Row],[TransportSource]],TransportDistance[],3,FALSE)*'Stage assumptions'!$C$12)*Calculations[[#This Row],[Total Kg]],0)</f>
        <v>0</v>
      </c>
      <c r="K819">
        <f>IFERROR(VLOOKUP(Calculations[[#This Row],[Material (choose from dropdown]], MaterialData[#All],3, FALSE),0)</f>
        <v>0</v>
      </c>
      <c r="L819" s="322">
        <f>IFERROR(VLOOKUP(Calculations[[#This Row],[A5type]],A5WastageRate[#All],2,FALSE)*Calculations[[#This Row],[A1-3]],0)</f>
        <v>0</v>
      </c>
      <c r="N819">
        <f>IFERROR(ROUNDUP(50/VLOOKUP(Calculations[[#This Row],[Scope Element]],B4referenceServiceLife[[Tier 2 element]:[Default Service Life]],2, FALSE)-1,0),0)</f>
        <v>0</v>
      </c>
      <c r="O819" s="322">
        <f>IFERROR((Calculations[[#This Row],[A1-3]]+Calculations[[#This Row],[A4]]+Calculations[[#This Row],[A5]]+Calculations[[#This Row],[C2 total]]+Calculations[[#This Row],[C3 total]]+Calculations[[#This Row],[C4 total]])*Calculations[[#This Row],[Replacements]],0)</f>
        <v>0</v>
      </c>
      <c r="S819" t="str">
        <f>IFERROR(VLOOKUP(Calculations[[#This Row],[Material (choose from dropdown]],MaterialData[#All],4,FALSE),"")</f>
        <v/>
      </c>
      <c r="T819" s="322" cm="1">
        <f t="array" ref="T819">IFERROR(VLOOKUP(Calculations[[#This Row],[Waste 1]],WasteScenario[#All],2,FALSE)*'Stage assumptions'!$C$225*WasteTransportMethod[Emissions Factor
kgCO2e/kg.km]*Calculations[[#This Row],[Total Kg]],0)</f>
        <v>0</v>
      </c>
      <c r="U819" s="322" cm="1">
        <f t="array" ref="U819">IFERROR(VLOOKUP(Calculations[[#This Row],[Waste 1]],WasteScenario[#All],3,FALSE)*'Stage assumptions'!$C$224*WasteTransportMethod[Emissions Factor
kgCO2e/kg.km]*Calculations[[#This Row],[Total Kg]],0)</f>
        <v>0</v>
      </c>
      <c r="V819" s="322" cm="1">
        <f t="array" ref="V819">IFERROR(VLOOKUP(Calculations[[#This Row],[Waste 1]],WasteScenario[#All],4,FALSE)*'Stage assumptions'!$C$223*WasteTransportMethod[Emissions Factor
kgCO2e/kg.km]*Calculations[[#This Row],[Total Kg]],0)</f>
        <v>0</v>
      </c>
      <c r="W819" s="322" cm="1">
        <f t="array" ref="W819">IFERROR(VLOOKUP(Calculations[[#This Row],[Waste 1]],WasteScenario[#All],5,FALSE)*'Stage assumptions'!$C$226*WasteTransportMethod[Emissions Factor
kgCO2e/kg.km]*Calculations[[#This Row],[Total Kg]],0)</f>
        <v>0</v>
      </c>
      <c r="X819" s="322">
        <f>SUM(Calculations[[#This Row],[C2 Recycle]:[C2 Reuse]])</f>
        <v>0</v>
      </c>
      <c r="Y819" t="str">
        <f>IFERROR(VLOOKUP(Calculations[[#This Row],[Material (choose from dropdown]],MaterialData[#All],5,FALSE),"")</f>
        <v/>
      </c>
      <c r="Z819" s="322">
        <f>IFERROR(((VLOOKUP(Calculations[[#This Row],[Waste type 2]],WasteDisposalEmissions[#All],2,FALSE))*Calculations[[#This Row],[Total Kg]])*VLOOKUP(Calculations[[#This Row],[Waste 1]],WasteScenario[#All],2,FALSE),0)</f>
        <v>0</v>
      </c>
      <c r="AA819" s="322">
        <f>IFERROR((VLOOKUP(Calculations[[#This Row],[Waste type 2]],WasteDisposalEmissions[#All],3,FALSE))*Calculations[[#This Row],[Total Kg]]*VLOOKUP(Calculations[[#This Row],[Waste 1]],WasteScenario[#All],3,FALSE),0)</f>
        <v>0</v>
      </c>
      <c r="AB819" s="322">
        <f>SUM(Calculations[[#This Row],[C3 recyc]:[C3 incin]])</f>
        <v>0</v>
      </c>
      <c r="AC819" s="334">
        <f>IFERROR((VLOOKUP(Calculations[[#This Row],[Waste type 2]],WasteLandfillEmissions[#All],2,FALSE))*Calculations[[#This Row],[Total Kg]]*VLOOKUP(Calculations[[#This Row],[Waste 1]],WasteScenario[#All],4,FALSE),0)</f>
        <v>0</v>
      </c>
      <c r="AD819" s="322">
        <f>IFERROR((VLOOKUP(Calculations[[#This Row],[Waste type 2]],WasteLandfillEmissions[#All],3,FALSE))*Calculations[[#This Row],[Total Kg]]*VLOOKUP(Calculations[[#This Row],[Waste 1]],WasteScenario[#All],4,FALSE),0)</f>
        <v>0</v>
      </c>
      <c r="AE819" s="322">
        <f>SUM(Calculations[[#This Row],[C4 landfill]:[C4 re-use]])</f>
        <v>0</v>
      </c>
      <c r="AF819" s="322">
        <f>IFERROR(VLOOKUP(Calculations[[#This Row],[Material (choose from dropdown]],MaterialData[#All],8,FALSE),0)</f>
        <v>0</v>
      </c>
      <c r="AG819" s="322">
        <f>IFERROR(Calculations[[#This Row],[Total Kg]]*Calculations[[#This Row],[Seq factor]],0)</f>
        <v>0</v>
      </c>
      <c r="AI819" s="322">
        <f>Calculations[[#This Row],[A1-3]]+Calculations[[#This Row],[A4]]+Calculations[[#This Row],[A5]]+Calculations[[#This Row],[B4]]+Calculations[[#This Row],[C2 total]]+Calculations[[#This Row],[C3 total]]+Calculations[[#This Row],[C4 total]]</f>
        <v>0</v>
      </c>
      <c r="AJ819" s="2">
        <f>IFERROR(VLOOKUP(Calculations[[#This Row],[Material (choose from dropdown]],MaterialData[[#Headers],[#Data]],9,FALSE),0)</f>
        <v>0</v>
      </c>
      <c r="AK819" s="4">
        <f>IFERROR(VLOOKUP(Calculations[[#This Row],[Material (choose from dropdown]],MaterialData[[#Headers],[#Data]],10,FALSE),0)</f>
        <v>0</v>
      </c>
      <c r="AL819" s="322">
        <f>IFERROR(Calculations[[#This Row],[Data Quality Score]]*Calculations[[#This Row],[Total Kg]],0)</f>
        <v>0</v>
      </c>
    </row>
    <row r="820" spans="1:38" x14ac:dyDescent="0.3">
      <c r="A820" s="6">
        <f>IFERROR(MaterialsBoQ[[#This Row],[Scope Element]],0)</f>
        <v>0</v>
      </c>
      <c r="B820" t="str">
        <f>IFERROR(MaterialsBoQ[[#This Row],[Material ]],"")</f>
        <v/>
      </c>
      <c r="C820" t="str">
        <f>IFERROR(MaterialsBoQ[[#This Row],[Unit]],"")</f>
        <v/>
      </c>
      <c r="D820" s="322">
        <f>IFERROR(MaterialsBoQ[[#This Row],[Number]],0)</f>
        <v>0</v>
      </c>
      <c r="E820" s="322">
        <f>IFERROR(MaterialsBoQ[[#This Row],[Kg per unit]],0)</f>
        <v>0</v>
      </c>
      <c r="F820" s="322">
        <f>IFERROR(Calculations[[#This Row],[Number]]*Calculations[[#This Row],[Conversion factor]],0)</f>
        <v>0</v>
      </c>
      <c r="G820" s="322">
        <f>IFERROR(VLOOKUP(Calculations[[#This Row],[Material (choose from dropdown]],MaterialData[#All],7,FALSE),0)</f>
        <v>0</v>
      </c>
      <c r="H820" s="322">
        <f>Calculations[[#This Row],[Total Kg]]*Calculations[[#This Row],[Carbon Factor]]</f>
        <v>0</v>
      </c>
      <c r="I820" t="str">
        <f>IFERROR(VLOOKUP(Calculations[[#This Row],[Material (choose from dropdown]],MaterialData[#All],2,FALSE),"")</f>
        <v/>
      </c>
      <c r="J820" s="322">
        <f>IFERROR(((VLOOKUP(Calculations[[#This Row],[TransportSource]],TransportDistance[],2,FALSE)*'Stage assumptions'!$C$11)+VLOOKUP(Calculations[[#This Row],[TransportSource]],TransportDistance[],3,FALSE)*'Stage assumptions'!$C$12)*Calculations[[#This Row],[Total Kg]],0)</f>
        <v>0</v>
      </c>
      <c r="K820">
        <f>IFERROR(VLOOKUP(Calculations[[#This Row],[Material (choose from dropdown]], MaterialData[#All],3, FALSE),0)</f>
        <v>0</v>
      </c>
      <c r="L820" s="322">
        <f>IFERROR(VLOOKUP(Calculations[[#This Row],[A5type]],A5WastageRate[#All],2,FALSE)*Calculations[[#This Row],[A1-3]],0)</f>
        <v>0</v>
      </c>
      <c r="N820">
        <f>IFERROR(ROUNDUP(50/VLOOKUP(Calculations[[#This Row],[Scope Element]],B4referenceServiceLife[[Tier 2 element]:[Default Service Life]],2, FALSE)-1,0),0)</f>
        <v>0</v>
      </c>
      <c r="O820" s="322">
        <f>IFERROR((Calculations[[#This Row],[A1-3]]+Calculations[[#This Row],[A4]]+Calculations[[#This Row],[A5]]+Calculations[[#This Row],[C2 total]]+Calculations[[#This Row],[C3 total]]+Calculations[[#This Row],[C4 total]])*Calculations[[#This Row],[Replacements]],0)</f>
        <v>0</v>
      </c>
      <c r="S820" t="str">
        <f>IFERROR(VLOOKUP(Calculations[[#This Row],[Material (choose from dropdown]],MaterialData[#All],4,FALSE),"")</f>
        <v/>
      </c>
      <c r="T820" s="322" cm="1">
        <f t="array" ref="T820">IFERROR(VLOOKUP(Calculations[[#This Row],[Waste 1]],WasteScenario[#All],2,FALSE)*'Stage assumptions'!$C$225*WasteTransportMethod[Emissions Factor
kgCO2e/kg.km]*Calculations[[#This Row],[Total Kg]],0)</f>
        <v>0</v>
      </c>
      <c r="U820" s="322" cm="1">
        <f t="array" ref="U820">IFERROR(VLOOKUP(Calculations[[#This Row],[Waste 1]],WasteScenario[#All],3,FALSE)*'Stage assumptions'!$C$224*WasteTransportMethod[Emissions Factor
kgCO2e/kg.km]*Calculations[[#This Row],[Total Kg]],0)</f>
        <v>0</v>
      </c>
      <c r="V820" s="322" cm="1">
        <f t="array" ref="V820">IFERROR(VLOOKUP(Calculations[[#This Row],[Waste 1]],WasteScenario[#All],4,FALSE)*'Stage assumptions'!$C$223*WasteTransportMethod[Emissions Factor
kgCO2e/kg.km]*Calculations[[#This Row],[Total Kg]],0)</f>
        <v>0</v>
      </c>
      <c r="W820" s="322" cm="1">
        <f t="array" ref="W820">IFERROR(VLOOKUP(Calculations[[#This Row],[Waste 1]],WasteScenario[#All],5,FALSE)*'Stage assumptions'!$C$226*WasteTransportMethod[Emissions Factor
kgCO2e/kg.km]*Calculations[[#This Row],[Total Kg]],0)</f>
        <v>0</v>
      </c>
      <c r="X820" s="322">
        <f>SUM(Calculations[[#This Row],[C2 Recycle]:[C2 Reuse]])</f>
        <v>0</v>
      </c>
      <c r="Y820" t="str">
        <f>IFERROR(VLOOKUP(Calculations[[#This Row],[Material (choose from dropdown]],MaterialData[#All],5,FALSE),"")</f>
        <v/>
      </c>
      <c r="Z820" s="322">
        <f>IFERROR(((VLOOKUP(Calculations[[#This Row],[Waste type 2]],WasteDisposalEmissions[#All],2,FALSE))*Calculations[[#This Row],[Total Kg]])*VLOOKUP(Calculations[[#This Row],[Waste 1]],WasteScenario[#All],2,FALSE),0)</f>
        <v>0</v>
      </c>
      <c r="AA820" s="322">
        <f>IFERROR((VLOOKUP(Calculations[[#This Row],[Waste type 2]],WasteDisposalEmissions[#All],3,FALSE))*Calculations[[#This Row],[Total Kg]]*VLOOKUP(Calculations[[#This Row],[Waste 1]],WasteScenario[#All],3,FALSE),0)</f>
        <v>0</v>
      </c>
      <c r="AB820" s="322">
        <f>SUM(Calculations[[#This Row],[C3 recyc]:[C3 incin]])</f>
        <v>0</v>
      </c>
      <c r="AC820" s="334">
        <f>IFERROR((VLOOKUP(Calculations[[#This Row],[Waste type 2]],WasteLandfillEmissions[#All],2,FALSE))*Calculations[[#This Row],[Total Kg]]*VLOOKUP(Calculations[[#This Row],[Waste 1]],WasteScenario[#All],4,FALSE),0)</f>
        <v>0</v>
      </c>
      <c r="AD820" s="322">
        <f>IFERROR((VLOOKUP(Calculations[[#This Row],[Waste type 2]],WasteLandfillEmissions[#All],3,FALSE))*Calculations[[#This Row],[Total Kg]]*VLOOKUP(Calculations[[#This Row],[Waste 1]],WasteScenario[#All],4,FALSE),0)</f>
        <v>0</v>
      </c>
      <c r="AE820" s="322">
        <f>SUM(Calculations[[#This Row],[C4 landfill]:[C4 re-use]])</f>
        <v>0</v>
      </c>
      <c r="AF820" s="322">
        <f>IFERROR(VLOOKUP(Calculations[[#This Row],[Material (choose from dropdown]],MaterialData[#All],8,FALSE),0)</f>
        <v>0</v>
      </c>
      <c r="AG820" s="322">
        <f>IFERROR(Calculations[[#This Row],[Total Kg]]*Calculations[[#This Row],[Seq factor]],0)</f>
        <v>0</v>
      </c>
      <c r="AI820" s="322">
        <f>Calculations[[#This Row],[A1-3]]+Calculations[[#This Row],[A4]]+Calculations[[#This Row],[A5]]+Calculations[[#This Row],[B4]]+Calculations[[#This Row],[C2 total]]+Calculations[[#This Row],[C3 total]]+Calculations[[#This Row],[C4 total]]</f>
        <v>0</v>
      </c>
      <c r="AJ820" s="2">
        <f>IFERROR(VLOOKUP(Calculations[[#This Row],[Material (choose from dropdown]],MaterialData[[#Headers],[#Data]],9,FALSE),0)</f>
        <v>0</v>
      </c>
      <c r="AK820" s="4">
        <f>IFERROR(VLOOKUP(Calculations[[#This Row],[Material (choose from dropdown]],MaterialData[[#Headers],[#Data]],10,FALSE),0)</f>
        <v>0</v>
      </c>
      <c r="AL820" s="322">
        <f>IFERROR(Calculations[[#This Row],[Data Quality Score]]*Calculations[[#This Row],[Total Kg]],0)</f>
        <v>0</v>
      </c>
    </row>
    <row r="821" spans="1:38" x14ac:dyDescent="0.3">
      <c r="A821" s="6">
        <f>IFERROR(MaterialsBoQ[[#This Row],[Scope Element]],0)</f>
        <v>0</v>
      </c>
      <c r="B821" t="str">
        <f>IFERROR(MaterialsBoQ[[#This Row],[Material ]],"")</f>
        <v/>
      </c>
      <c r="C821" t="str">
        <f>IFERROR(MaterialsBoQ[[#This Row],[Unit]],"")</f>
        <v/>
      </c>
      <c r="D821" s="322">
        <f>IFERROR(MaterialsBoQ[[#This Row],[Number]],0)</f>
        <v>0</v>
      </c>
      <c r="E821" s="322">
        <f>IFERROR(MaterialsBoQ[[#This Row],[Kg per unit]],0)</f>
        <v>0</v>
      </c>
      <c r="F821" s="322">
        <f>IFERROR(Calculations[[#This Row],[Number]]*Calculations[[#This Row],[Conversion factor]],0)</f>
        <v>0</v>
      </c>
      <c r="G821" s="322">
        <f>IFERROR(VLOOKUP(Calculations[[#This Row],[Material (choose from dropdown]],MaterialData[#All],7,FALSE),0)</f>
        <v>0</v>
      </c>
      <c r="H821" s="322">
        <f>Calculations[[#This Row],[Total Kg]]*Calculations[[#This Row],[Carbon Factor]]</f>
        <v>0</v>
      </c>
      <c r="I821" t="str">
        <f>IFERROR(VLOOKUP(Calculations[[#This Row],[Material (choose from dropdown]],MaterialData[#All],2,FALSE),"")</f>
        <v/>
      </c>
      <c r="J821" s="322">
        <f>IFERROR(((VLOOKUP(Calculations[[#This Row],[TransportSource]],TransportDistance[],2,FALSE)*'Stage assumptions'!$C$11)+VLOOKUP(Calculations[[#This Row],[TransportSource]],TransportDistance[],3,FALSE)*'Stage assumptions'!$C$12)*Calculations[[#This Row],[Total Kg]],0)</f>
        <v>0</v>
      </c>
      <c r="K821">
        <f>IFERROR(VLOOKUP(Calculations[[#This Row],[Material (choose from dropdown]], MaterialData[#All],3, FALSE),0)</f>
        <v>0</v>
      </c>
      <c r="L821" s="322">
        <f>IFERROR(VLOOKUP(Calculations[[#This Row],[A5type]],A5WastageRate[#All],2,FALSE)*Calculations[[#This Row],[A1-3]],0)</f>
        <v>0</v>
      </c>
      <c r="N821">
        <f>IFERROR(ROUNDUP(50/VLOOKUP(Calculations[[#This Row],[Scope Element]],B4referenceServiceLife[[Tier 2 element]:[Default Service Life]],2, FALSE)-1,0),0)</f>
        <v>0</v>
      </c>
      <c r="O821" s="322">
        <f>IFERROR((Calculations[[#This Row],[A1-3]]+Calculations[[#This Row],[A4]]+Calculations[[#This Row],[A5]]+Calculations[[#This Row],[C2 total]]+Calculations[[#This Row],[C3 total]]+Calculations[[#This Row],[C4 total]])*Calculations[[#This Row],[Replacements]],0)</f>
        <v>0</v>
      </c>
      <c r="S821" t="str">
        <f>IFERROR(VLOOKUP(Calculations[[#This Row],[Material (choose from dropdown]],MaterialData[#All],4,FALSE),"")</f>
        <v/>
      </c>
      <c r="T821" s="322" cm="1">
        <f t="array" ref="T821">IFERROR(VLOOKUP(Calculations[[#This Row],[Waste 1]],WasteScenario[#All],2,FALSE)*'Stage assumptions'!$C$225*WasteTransportMethod[Emissions Factor
kgCO2e/kg.km]*Calculations[[#This Row],[Total Kg]],0)</f>
        <v>0</v>
      </c>
      <c r="U821" s="322" cm="1">
        <f t="array" ref="U821">IFERROR(VLOOKUP(Calculations[[#This Row],[Waste 1]],WasteScenario[#All],3,FALSE)*'Stage assumptions'!$C$224*WasteTransportMethod[Emissions Factor
kgCO2e/kg.km]*Calculations[[#This Row],[Total Kg]],0)</f>
        <v>0</v>
      </c>
      <c r="V821" s="322" cm="1">
        <f t="array" ref="V821">IFERROR(VLOOKUP(Calculations[[#This Row],[Waste 1]],WasteScenario[#All],4,FALSE)*'Stage assumptions'!$C$223*WasteTransportMethod[Emissions Factor
kgCO2e/kg.km]*Calculations[[#This Row],[Total Kg]],0)</f>
        <v>0</v>
      </c>
      <c r="W821" s="322" cm="1">
        <f t="array" ref="W821">IFERROR(VLOOKUP(Calculations[[#This Row],[Waste 1]],WasteScenario[#All],5,FALSE)*'Stage assumptions'!$C$226*WasteTransportMethod[Emissions Factor
kgCO2e/kg.km]*Calculations[[#This Row],[Total Kg]],0)</f>
        <v>0</v>
      </c>
      <c r="X821" s="322">
        <f>SUM(Calculations[[#This Row],[C2 Recycle]:[C2 Reuse]])</f>
        <v>0</v>
      </c>
      <c r="Y821" t="str">
        <f>IFERROR(VLOOKUP(Calculations[[#This Row],[Material (choose from dropdown]],MaterialData[#All],5,FALSE),"")</f>
        <v/>
      </c>
      <c r="Z821" s="322">
        <f>IFERROR(((VLOOKUP(Calculations[[#This Row],[Waste type 2]],WasteDisposalEmissions[#All],2,FALSE))*Calculations[[#This Row],[Total Kg]])*VLOOKUP(Calculations[[#This Row],[Waste 1]],WasteScenario[#All],2,FALSE),0)</f>
        <v>0</v>
      </c>
      <c r="AA821" s="322">
        <f>IFERROR((VLOOKUP(Calculations[[#This Row],[Waste type 2]],WasteDisposalEmissions[#All],3,FALSE))*Calculations[[#This Row],[Total Kg]]*VLOOKUP(Calculations[[#This Row],[Waste 1]],WasteScenario[#All],3,FALSE),0)</f>
        <v>0</v>
      </c>
      <c r="AB821" s="322">
        <f>SUM(Calculations[[#This Row],[C3 recyc]:[C3 incin]])</f>
        <v>0</v>
      </c>
      <c r="AC821" s="334">
        <f>IFERROR((VLOOKUP(Calculations[[#This Row],[Waste type 2]],WasteLandfillEmissions[#All],2,FALSE))*Calculations[[#This Row],[Total Kg]]*VLOOKUP(Calculations[[#This Row],[Waste 1]],WasteScenario[#All],4,FALSE),0)</f>
        <v>0</v>
      </c>
      <c r="AD821" s="322">
        <f>IFERROR((VLOOKUP(Calculations[[#This Row],[Waste type 2]],WasteLandfillEmissions[#All],3,FALSE))*Calculations[[#This Row],[Total Kg]]*VLOOKUP(Calculations[[#This Row],[Waste 1]],WasteScenario[#All],4,FALSE),0)</f>
        <v>0</v>
      </c>
      <c r="AE821" s="322">
        <f>SUM(Calculations[[#This Row],[C4 landfill]:[C4 re-use]])</f>
        <v>0</v>
      </c>
      <c r="AF821" s="322">
        <f>IFERROR(VLOOKUP(Calculations[[#This Row],[Material (choose from dropdown]],MaterialData[#All],8,FALSE),0)</f>
        <v>0</v>
      </c>
      <c r="AG821" s="322">
        <f>IFERROR(Calculations[[#This Row],[Total Kg]]*Calculations[[#This Row],[Seq factor]],0)</f>
        <v>0</v>
      </c>
      <c r="AI821" s="322">
        <f>Calculations[[#This Row],[A1-3]]+Calculations[[#This Row],[A4]]+Calculations[[#This Row],[A5]]+Calculations[[#This Row],[B4]]+Calculations[[#This Row],[C2 total]]+Calculations[[#This Row],[C3 total]]+Calculations[[#This Row],[C4 total]]</f>
        <v>0</v>
      </c>
      <c r="AJ821" s="2">
        <f>IFERROR(VLOOKUP(Calculations[[#This Row],[Material (choose from dropdown]],MaterialData[[#Headers],[#Data]],9,FALSE),0)</f>
        <v>0</v>
      </c>
      <c r="AK821" s="4">
        <f>IFERROR(VLOOKUP(Calculations[[#This Row],[Material (choose from dropdown]],MaterialData[[#Headers],[#Data]],10,FALSE),0)</f>
        <v>0</v>
      </c>
      <c r="AL821" s="322">
        <f>IFERROR(Calculations[[#This Row],[Data Quality Score]]*Calculations[[#This Row],[Total Kg]],0)</f>
        <v>0</v>
      </c>
    </row>
    <row r="822" spans="1:38" x14ac:dyDescent="0.3">
      <c r="A822" s="6">
        <f>IFERROR(MaterialsBoQ[[#This Row],[Scope Element]],0)</f>
        <v>0</v>
      </c>
      <c r="B822" t="str">
        <f>IFERROR(MaterialsBoQ[[#This Row],[Material ]],"")</f>
        <v/>
      </c>
      <c r="C822" t="str">
        <f>IFERROR(MaterialsBoQ[[#This Row],[Unit]],"")</f>
        <v/>
      </c>
      <c r="D822" s="322">
        <f>IFERROR(MaterialsBoQ[[#This Row],[Number]],0)</f>
        <v>0</v>
      </c>
      <c r="E822" s="322">
        <f>IFERROR(MaterialsBoQ[[#This Row],[Kg per unit]],0)</f>
        <v>0</v>
      </c>
      <c r="F822" s="322">
        <f>IFERROR(Calculations[[#This Row],[Number]]*Calculations[[#This Row],[Conversion factor]],0)</f>
        <v>0</v>
      </c>
      <c r="G822" s="322">
        <f>IFERROR(VLOOKUP(Calculations[[#This Row],[Material (choose from dropdown]],MaterialData[#All],7,FALSE),0)</f>
        <v>0</v>
      </c>
      <c r="H822" s="322">
        <f>Calculations[[#This Row],[Total Kg]]*Calculations[[#This Row],[Carbon Factor]]</f>
        <v>0</v>
      </c>
      <c r="I822" t="str">
        <f>IFERROR(VLOOKUP(Calculations[[#This Row],[Material (choose from dropdown]],MaterialData[#All],2,FALSE),"")</f>
        <v/>
      </c>
      <c r="J822" s="322">
        <f>IFERROR(((VLOOKUP(Calculations[[#This Row],[TransportSource]],TransportDistance[],2,FALSE)*'Stage assumptions'!$C$11)+VLOOKUP(Calculations[[#This Row],[TransportSource]],TransportDistance[],3,FALSE)*'Stage assumptions'!$C$12)*Calculations[[#This Row],[Total Kg]],0)</f>
        <v>0</v>
      </c>
      <c r="K822">
        <f>IFERROR(VLOOKUP(Calculations[[#This Row],[Material (choose from dropdown]], MaterialData[#All],3, FALSE),0)</f>
        <v>0</v>
      </c>
      <c r="L822" s="322">
        <f>IFERROR(VLOOKUP(Calculations[[#This Row],[A5type]],A5WastageRate[#All],2,FALSE)*Calculations[[#This Row],[A1-3]],0)</f>
        <v>0</v>
      </c>
      <c r="N822">
        <f>IFERROR(ROUNDUP(50/VLOOKUP(Calculations[[#This Row],[Scope Element]],B4referenceServiceLife[[Tier 2 element]:[Default Service Life]],2, FALSE)-1,0),0)</f>
        <v>0</v>
      </c>
      <c r="O822" s="322">
        <f>IFERROR((Calculations[[#This Row],[A1-3]]+Calculations[[#This Row],[A4]]+Calculations[[#This Row],[A5]]+Calculations[[#This Row],[C2 total]]+Calculations[[#This Row],[C3 total]]+Calculations[[#This Row],[C4 total]])*Calculations[[#This Row],[Replacements]],0)</f>
        <v>0</v>
      </c>
      <c r="S822" t="str">
        <f>IFERROR(VLOOKUP(Calculations[[#This Row],[Material (choose from dropdown]],MaterialData[#All],4,FALSE),"")</f>
        <v/>
      </c>
      <c r="T822" s="322" cm="1">
        <f t="array" ref="T822">IFERROR(VLOOKUP(Calculations[[#This Row],[Waste 1]],WasteScenario[#All],2,FALSE)*'Stage assumptions'!$C$225*WasteTransportMethod[Emissions Factor
kgCO2e/kg.km]*Calculations[[#This Row],[Total Kg]],0)</f>
        <v>0</v>
      </c>
      <c r="U822" s="322" cm="1">
        <f t="array" ref="U822">IFERROR(VLOOKUP(Calculations[[#This Row],[Waste 1]],WasteScenario[#All],3,FALSE)*'Stage assumptions'!$C$224*WasteTransportMethod[Emissions Factor
kgCO2e/kg.km]*Calculations[[#This Row],[Total Kg]],0)</f>
        <v>0</v>
      </c>
      <c r="V822" s="322" cm="1">
        <f t="array" ref="V822">IFERROR(VLOOKUP(Calculations[[#This Row],[Waste 1]],WasteScenario[#All],4,FALSE)*'Stage assumptions'!$C$223*WasteTransportMethod[Emissions Factor
kgCO2e/kg.km]*Calculations[[#This Row],[Total Kg]],0)</f>
        <v>0</v>
      </c>
      <c r="W822" s="322" cm="1">
        <f t="array" ref="W822">IFERROR(VLOOKUP(Calculations[[#This Row],[Waste 1]],WasteScenario[#All],5,FALSE)*'Stage assumptions'!$C$226*WasteTransportMethod[Emissions Factor
kgCO2e/kg.km]*Calculations[[#This Row],[Total Kg]],0)</f>
        <v>0</v>
      </c>
      <c r="X822" s="322">
        <f>SUM(Calculations[[#This Row],[C2 Recycle]:[C2 Reuse]])</f>
        <v>0</v>
      </c>
      <c r="Y822" t="str">
        <f>IFERROR(VLOOKUP(Calculations[[#This Row],[Material (choose from dropdown]],MaterialData[#All],5,FALSE),"")</f>
        <v/>
      </c>
      <c r="Z822" s="322">
        <f>IFERROR(((VLOOKUP(Calculations[[#This Row],[Waste type 2]],WasteDisposalEmissions[#All],2,FALSE))*Calculations[[#This Row],[Total Kg]])*VLOOKUP(Calculations[[#This Row],[Waste 1]],WasteScenario[#All],2,FALSE),0)</f>
        <v>0</v>
      </c>
      <c r="AA822" s="322">
        <f>IFERROR((VLOOKUP(Calculations[[#This Row],[Waste type 2]],WasteDisposalEmissions[#All],3,FALSE))*Calculations[[#This Row],[Total Kg]]*VLOOKUP(Calculations[[#This Row],[Waste 1]],WasteScenario[#All],3,FALSE),0)</f>
        <v>0</v>
      </c>
      <c r="AB822" s="322">
        <f>SUM(Calculations[[#This Row],[C3 recyc]:[C3 incin]])</f>
        <v>0</v>
      </c>
      <c r="AC822" s="334">
        <f>IFERROR((VLOOKUP(Calculations[[#This Row],[Waste type 2]],WasteLandfillEmissions[#All],2,FALSE))*Calculations[[#This Row],[Total Kg]]*VLOOKUP(Calculations[[#This Row],[Waste 1]],WasteScenario[#All],4,FALSE),0)</f>
        <v>0</v>
      </c>
      <c r="AD822" s="322">
        <f>IFERROR((VLOOKUP(Calculations[[#This Row],[Waste type 2]],WasteLandfillEmissions[#All],3,FALSE))*Calculations[[#This Row],[Total Kg]]*VLOOKUP(Calculations[[#This Row],[Waste 1]],WasteScenario[#All],4,FALSE),0)</f>
        <v>0</v>
      </c>
      <c r="AE822" s="322">
        <f>SUM(Calculations[[#This Row],[C4 landfill]:[C4 re-use]])</f>
        <v>0</v>
      </c>
      <c r="AF822" s="322">
        <f>IFERROR(VLOOKUP(Calculations[[#This Row],[Material (choose from dropdown]],MaterialData[#All],8,FALSE),0)</f>
        <v>0</v>
      </c>
      <c r="AG822" s="322">
        <f>IFERROR(Calculations[[#This Row],[Total Kg]]*Calculations[[#This Row],[Seq factor]],0)</f>
        <v>0</v>
      </c>
      <c r="AI822" s="322">
        <f>Calculations[[#This Row],[A1-3]]+Calculations[[#This Row],[A4]]+Calculations[[#This Row],[A5]]+Calculations[[#This Row],[B4]]+Calculations[[#This Row],[C2 total]]+Calculations[[#This Row],[C3 total]]+Calculations[[#This Row],[C4 total]]</f>
        <v>0</v>
      </c>
      <c r="AJ822" s="2">
        <f>IFERROR(VLOOKUP(Calculations[[#This Row],[Material (choose from dropdown]],MaterialData[[#Headers],[#Data]],9,FALSE),0)</f>
        <v>0</v>
      </c>
      <c r="AK822" s="4">
        <f>IFERROR(VLOOKUP(Calculations[[#This Row],[Material (choose from dropdown]],MaterialData[[#Headers],[#Data]],10,FALSE),0)</f>
        <v>0</v>
      </c>
      <c r="AL822" s="322">
        <f>IFERROR(Calculations[[#This Row],[Data Quality Score]]*Calculations[[#This Row],[Total Kg]],0)</f>
        <v>0</v>
      </c>
    </row>
    <row r="823" spans="1:38" x14ac:dyDescent="0.3">
      <c r="A823" s="6">
        <f>IFERROR(MaterialsBoQ[[#This Row],[Scope Element]],0)</f>
        <v>0</v>
      </c>
      <c r="B823" t="str">
        <f>IFERROR(MaterialsBoQ[[#This Row],[Material ]],"")</f>
        <v/>
      </c>
      <c r="C823" t="str">
        <f>IFERROR(MaterialsBoQ[[#This Row],[Unit]],"")</f>
        <v/>
      </c>
      <c r="D823" s="322">
        <f>IFERROR(MaterialsBoQ[[#This Row],[Number]],0)</f>
        <v>0</v>
      </c>
      <c r="E823" s="322">
        <f>IFERROR(MaterialsBoQ[[#This Row],[Kg per unit]],0)</f>
        <v>0</v>
      </c>
      <c r="F823" s="322">
        <f>IFERROR(Calculations[[#This Row],[Number]]*Calculations[[#This Row],[Conversion factor]],0)</f>
        <v>0</v>
      </c>
      <c r="G823" s="322">
        <f>IFERROR(VLOOKUP(Calculations[[#This Row],[Material (choose from dropdown]],MaterialData[#All],7,FALSE),0)</f>
        <v>0</v>
      </c>
      <c r="H823" s="322">
        <f>Calculations[[#This Row],[Total Kg]]*Calculations[[#This Row],[Carbon Factor]]</f>
        <v>0</v>
      </c>
      <c r="I823" t="str">
        <f>IFERROR(VLOOKUP(Calculations[[#This Row],[Material (choose from dropdown]],MaterialData[#All],2,FALSE),"")</f>
        <v/>
      </c>
      <c r="J823" s="322">
        <f>IFERROR(((VLOOKUP(Calculations[[#This Row],[TransportSource]],TransportDistance[],2,FALSE)*'Stage assumptions'!$C$11)+VLOOKUP(Calculations[[#This Row],[TransportSource]],TransportDistance[],3,FALSE)*'Stage assumptions'!$C$12)*Calculations[[#This Row],[Total Kg]],0)</f>
        <v>0</v>
      </c>
      <c r="K823">
        <f>IFERROR(VLOOKUP(Calculations[[#This Row],[Material (choose from dropdown]], MaterialData[#All],3, FALSE),0)</f>
        <v>0</v>
      </c>
      <c r="L823" s="322">
        <f>IFERROR(VLOOKUP(Calculations[[#This Row],[A5type]],A5WastageRate[#All],2,FALSE)*Calculations[[#This Row],[A1-3]],0)</f>
        <v>0</v>
      </c>
      <c r="N823">
        <f>IFERROR(ROUNDUP(50/VLOOKUP(Calculations[[#This Row],[Scope Element]],B4referenceServiceLife[[Tier 2 element]:[Default Service Life]],2, FALSE)-1,0),0)</f>
        <v>0</v>
      </c>
      <c r="O823" s="322">
        <f>IFERROR((Calculations[[#This Row],[A1-3]]+Calculations[[#This Row],[A4]]+Calculations[[#This Row],[A5]]+Calculations[[#This Row],[C2 total]]+Calculations[[#This Row],[C3 total]]+Calculations[[#This Row],[C4 total]])*Calculations[[#This Row],[Replacements]],0)</f>
        <v>0</v>
      </c>
      <c r="S823" t="str">
        <f>IFERROR(VLOOKUP(Calculations[[#This Row],[Material (choose from dropdown]],MaterialData[#All],4,FALSE),"")</f>
        <v/>
      </c>
      <c r="T823" s="322" cm="1">
        <f t="array" ref="T823">IFERROR(VLOOKUP(Calculations[[#This Row],[Waste 1]],WasteScenario[#All],2,FALSE)*'Stage assumptions'!$C$225*WasteTransportMethod[Emissions Factor
kgCO2e/kg.km]*Calculations[[#This Row],[Total Kg]],0)</f>
        <v>0</v>
      </c>
      <c r="U823" s="322" cm="1">
        <f t="array" ref="U823">IFERROR(VLOOKUP(Calculations[[#This Row],[Waste 1]],WasteScenario[#All],3,FALSE)*'Stage assumptions'!$C$224*WasteTransportMethod[Emissions Factor
kgCO2e/kg.km]*Calculations[[#This Row],[Total Kg]],0)</f>
        <v>0</v>
      </c>
      <c r="V823" s="322" cm="1">
        <f t="array" ref="V823">IFERROR(VLOOKUP(Calculations[[#This Row],[Waste 1]],WasteScenario[#All],4,FALSE)*'Stage assumptions'!$C$223*WasteTransportMethod[Emissions Factor
kgCO2e/kg.km]*Calculations[[#This Row],[Total Kg]],0)</f>
        <v>0</v>
      </c>
      <c r="W823" s="322" cm="1">
        <f t="array" ref="W823">IFERROR(VLOOKUP(Calculations[[#This Row],[Waste 1]],WasteScenario[#All],5,FALSE)*'Stage assumptions'!$C$226*WasteTransportMethod[Emissions Factor
kgCO2e/kg.km]*Calculations[[#This Row],[Total Kg]],0)</f>
        <v>0</v>
      </c>
      <c r="X823" s="322">
        <f>SUM(Calculations[[#This Row],[C2 Recycle]:[C2 Reuse]])</f>
        <v>0</v>
      </c>
      <c r="Y823" t="str">
        <f>IFERROR(VLOOKUP(Calculations[[#This Row],[Material (choose from dropdown]],MaterialData[#All],5,FALSE),"")</f>
        <v/>
      </c>
      <c r="Z823" s="322">
        <f>IFERROR(((VLOOKUP(Calculations[[#This Row],[Waste type 2]],WasteDisposalEmissions[#All],2,FALSE))*Calculations[[#This Row],[Total Kg]])*VLOOKUP(Calculations[[#This Row],[Waste 1]],WasteScenario[#All],2,FALSE),0)</f>
        <v>0</v>
      </c>
      <c r="AA823" s="322">
        <f>IFERROR((VLOOKUP(Calculations[[#This Row],[Waste type 2]],WasteDisposalEmissions[#All],3,FALSE))*Calculations[[#This Row],[Total Kg]]*VLOOKUP(Calculations[[#This Row],[Waste 1]],WasteScenario[#All],3,FALSE),0)</f>
        <v>0</v>
      </c>
      <c r="AB823" s="322">
        <f>SUM(Calculations[[#This Row],[C3 recyc]:[C3 incin]])</f>
        <v>0</v>
      </c>
      <c r="AC823" s="334">
        <f>IFERROR((VLOOKUP(Calculations[[#This Row],[Waste type 2]],WasteLandfillEmissions[#All],2,FALSE))*Calculations[[#This Row],[Total Kg]]*VLOOKUP(Calculations[[#This Row],[Waste 1]],WasteScenario[#All],4,FALSE),0)</f>
        <v>0</v>
      </c>
      <c r="AD823" s="322">
        <f>IFERROR((VLOOKUP(Calculations[[#This Row],[Waste type 2]],WasteLandfillEmissions[#All],3,FALSE))*Calculations[[#This Row],[Total Kg]]*VLOOKUP(Calculations[[#This Row],[Waste 1]],WasteScenario[#All],4,FALSE),0)</f>
        <v>0</v>
      </c>
      <c r="AE823" s="322">
        <f>SUM(Calculations[[#This Row],[C4 landfill]:[C4 re-use]])</f>
        <v>0</v>
      </c>
      <c r="AF823" s="322">
        <f>IFERROR(VLOOKUP(Calculations[[#This Row],[Material (choose from dropdown]],MaterialData[#All],8,FALSE),0)</f>
        <v>0</v>
      </c>
      <c r="AG823" s="322">
        <f>IFERROR(Calculations[[#This Row],[Total Kg]]*Calculations[[#This Row],[Seq factor]],0)</f>
        <v>0</v>
      </c>
      <c r="AI823" s="322">
        <f>Calculations[[#This Row],[A1-3]]+Calculations[[#This Row],[A4]]+Calculations[[#This Row],[A5]]+Calculations[[#This Row],[B4]]+Calculations[[#This Row],[C2 total]]+Calculations[[#This Row],[C3 total]]+Calculations[[#This Row],[C4 total]]</f>
        <v>0</v>
      </c>
      <c r="AJ823" s="2">
        <f>IFERROR(VLOOKUP(Calculations[[#This Row],[Material (choose from dropdown]],MaterialData[[#Headers],[#Data]],9,FALSE),0)</f>
        <v>0</v>
      </c>
      <c r="AK823" s="4">
        <f>IFERROR(VLOOKUP(Calculations[[#This Row],[Material (choose from dropdown]],MaterialData[[#Headers],[#Data]],10,FALSE),0)</f>
        <v>0</v>
      </c>
      <c r="AL823" s="322">
        <f>IFERROR(Calculations[[#This Row],[Data Quality Score]]*Calculations[[#This Row],[Total Kg]],0)</f>
        <v>0</v>
      </c>
    </row>
    <row r="824" spans="1:38" x14ac:dyDescent="0.3">
      <c r="A824" s="6">
        <f>IFERROR(MaterialsBoQ[[#This Row],[Scope Element]],0)</f>
        <v>0</v>
      </c>
      <c r="B824" t="str">
        <f>IFERROR(MaterialsBoQ[[#This Row],[Material ]],"")</f>
        <v/>
      </c>
      <c r="C824" t="str">
        <f>IFERROR(MaterialsBoQ[[#This Row],[Unit]],"")</f>
        <v/>
      </c>
      <c r="D824" s="322">
        <f>IFERROR(MaterialsBoQ[[#This Row],[Number]],0)</f>
        <v>0</v>
      </c>
      <c r="E824" s="322">
        <f>IFERROR(MaterialsBoQ[[#This Row],[Kg per unit]],0)</f>
        <v>0</v>
      </c>
      <c r="F824" s="322">
        <f>IFERROR(Calculations[[#This Row],[Number]]*Calculations[[#This Row],[Conversion factor]],0)</f>
        <v>0</v>
      </c>
      <c r="G824" s="322">
        <f>IFERROR(VLOOKUP(Calculations[[#This Row],[Material (choose from dropdown]],MaterialData[#All],7,FALSE),0)</f>
        <v>0</v>
      </c>
      <c r="H824" s="322">
        <f>Calculations[[#This Row],[Total Kg]]*Calculations[[#This Row],[Carbon Factor]]</f>
        <v>0</v>
      </c>
      <c r="I824" t="str">
        <f>IFERROR(VLOOKUP(Calculations[[#This Row],[Material (choose from dropdown]],MaterialData[#All],2,FALSE),"")</f>
        <v/>
      </c>
      <c r="J824" s="322">
        <f>IFERROR(((VLOOKUP(Calculations[[#This Row],[TransportSource]],TransportDistance[],2,FALSE)*'Stage assumptions'!$C$11)+VLOOKUP(Calculations[[#This Row],[TransportSource]],TransportDistance[],3,FALSE)*'Stage assumptions'!$C$12)*Calculations[[#This Row],[Total Kg]],0)</f>
        <v>0</v>
      </c>
      <c r="K824">
        <f>IFERROR(VLOOKUP(Calculations[[#This Row],[Material (choose from dropdown]], MaterialData[#All],3, FALSE),0)</f>
        <v>0</v>
      </c>
      <c r="L824" s="322">
        <f>IFERROR(VLOOKUP(Calculations[[#This Row],[A5type]],A5WastageRate[#All],2,FALSE)*Calculations[[#This Row],[A1-3]],0)</f>
        <v>0</v>
      </c>
      <c r="N824">
        <f>IFERROR(ROUNDUP(50/VLOOKUP(Calculations[[#This Row],[Scope Element]],B4referenceServiceLife[[Tier 2 element]:[Default Service Life]],2, FALSE)-1,0),0)</f>
        <v>0</v>
      </c>
      <c r="O824" s="322">
        <f>IFERROR((Calculations[[#This Row],[A1-3]]+Calculations[[#This Row],[A4]]+Calculations[[#This Row],[A5]]+Calculations[[#This Row],[C2 total]]+Calculations[[#This Row],[C3 total]]+Calculations[[#This Row],[C4 total]])*Calculations[[#This Row],[Replacements]],0)</f>
        <v>0</v>
      </c>
      <c r="S824" t="str">
        <f>IFERROR(VLOOKUP(Calculations[[#This Row],[Material (choose from dropdown]],MaterialData[#All],4,FALSE),"")</f>
        <v/>
      </c>
      <c r="T824" s="322" cm="1">
        <f t="array" ref="T824">IFERROR(VLOOKUP(Calculations[[#This Row],[Waste 1]],WasteScenario[#All],2,FALSE)*'Stage assumptions'!$C$225*WasteTransportMethod[Emissions Factor
kgCO2e/kg.km]*Calculations[[#This Row],[Total Kg]],0)</f>
        <v>0</v>
      </c>
      <c r="U824" s="322" cm="1">
        <f t="array" ref="U824">IFERROR(VLOOKUP(Calculations[[#This Row],[Waste 1]],WasteScenario[#All],3,FALSE)*'Stage assumptions'!$C$224*WasteTransportMethod[Emissions Factor
kgCO2e/kg.km]*Calculations[[#This Row],[Total Kg]],0)</f>
        <v>0</v>
      </c>
      <c r="V824" s="322" cm="1">
        <f t="array" ref="V824">IFERROR(VLOOKUP(Calculations[[#This Row],[Waste 1]],WasteScenario[#All],4,FALSE)*'Stage assumptions'!$C$223*WasteTransportMethod[Emissions Factor
kgCO2e/kg.km]*Calculations[[#This Row],[Total Kg]],0)</f>
        <v>0</v>
      </c>
      <c r="W824" s="322" cm="1">
        <f t="array" ref="W824">IFERROR(VLOOKUP(Calculations[[#This Row],[Waste 1]],WasteScenario[#All],5,FALSE)*'Stage assumptions'!$C$226*WasteTransportMethod[Emissions Factor
kgCO2e/kg.km]*Calculations[[#This Row],[Total Kg]],0)</f>
        <v>0</v>
      </c>
      <c r="X824" s="322">
        <f>SUM(Calculations[[#This Row],[C2 Recycle]:[C2 Reuse]])</f>
        <v>0</v>
      </c>
      <c r="Y824" t="str">
        <f>IFERROR(VLOOKUP(Calculations[[#This Row],[Material (choose from dropdown]],MaterialData[#All],5,FALSE),"")</f>
        <v/>
      </c>
      <c r="Z824" s="322">
        <f>IFERROR(((VLOOKUP(Calculations[[#This Row],[Waste type 2]],WasteDisposalEmissions[#All],2,FALSE))*Calculations[[#This Row],[Total Kg]])*VLOOKUP(Calculations[[#This Row],[Waste 1]],WasteScenario[#All],2,FALSE),0)</f>
        <v>0</v>
      </c>
      <c r="AA824" s="322">
        <f>IFERROR((VLOOKUP(Calculations[[#This Row],[Waste type 2]],WasteDisposalEmissions[#All],3,FALSE))*Calculations[[#This Row],[Total Kg]]*VLOOKUP(Calculations[[#This Row],[Waste 1]],WasteScenario[#All],3,FALSE),0)</f>
        <v>0</v>
      </c>
      <c r="AB824" s="322">
        <f>SUM(Calculations[[#This Row],[C3 recyc]:[C3 incin]])</f>
        <v>0</v>
      </c>
      <c r="AC824" s="334">
        <f>IFERROR((VLOOKUP(Calculations[[#This Row],[Waste type 2]],WasteLandfillEmissions[#All],2,FALSE))*Calculations[[#This Row],[Total Kg]]*VLOOKUP(Calculations[[#This Row],[Waste 1]],WasteScenario[#All],4,FALSE),0)</f>
        <v>0</v>
      </c>
      <c r="AD824" s="322">
        <f>IFERROR((VLOOKUP(Calculations[[#This Row],[Waste type 2]],WasteLandfillEmissions[#All],3,FALSE))*Calculations[[#This Row],[Total Kg]]*VLOOKUP(Calculations[[#This Row],[Waste 1]],WasteScenario[#All],4,FALSE),0)</f>
        <v>0</v>
      </c>
      <c r="AE824" s="322">
        <f>SUM(Calculations[[#This Row],[C4 landfill]:[C4 re-use]])</f>
        <v>0</v>
      </c>
      <c r="AF824" s="322">
        <f>IFERROR(VLOOKUP(Calculations[[#This Row],[Material (choose from dropdown]],MaterialData[#All],8,FALSE),0)</f>
        <v>0</v>
      </c>
      <c r="AG824" s="322">
        <f>IFERROR(Calculations[[#This Row],[Total Kg]]*Calculations[[#This Row],[Seq factor]],0)</f>
        <v>0</v>
      </c>
      <c r="AI824" s="322">
        <f>Calculations[[#This Row],[A1-3]]+Calculations[[#This Row],[A4]]+Calculations[[#This Row],[A5]]+Calculations[[#This Row],[B4]]+Calculations[[#This Row],[C2 total]]+Calculations[[#This Row],[C3 total]]+Calculations[[#This Row],[C4 total]]</f>
        <v>0</v>
      </c>
      <c r="AJ824" s="2">
        <f>IFERROR(VLOOKUP(Calculations[[#This Row],[Material (choose from dropdown]],MaterialData[[#Headers],[#Data]],9,FALSE),0)</f>
        <v>0</v>
      </c>
      <c r="AK824" s="4">
        <f>IFERROR(VLOOKUP(Calculations[[#This Row],[Material (choose from dropdown]],MaterialData[[#Headers],[#Data]],10,FALSE),0)</f>
        <v>0</v>
      </c>
      <c r="AL824" s="322">
        <f>IFERROR(Calculations[[#This Row],[Data Quality Score]]*Calculations[[#This Row],[Total Kg]],0)</f>
        <v>0</v>
      </c>
    </row>
    <row r="825" spans="1:38" x14ac:dyDescent="0.3">
      <c r="A825" s="6">
        <f>IFERROR(MaterialsBoQ[[#This Row],[Scope Element]],0)</f>
        <v>0</v>
      </c>
      <c r="B825" t="str">
        <f>IFERROR(MaterialsBoQ[[#This Row],[Material ]],"")</f>
        <v/>
      </c>
      <c r="C825" t="str">
        <f>IFERROR(MaterialsBoQ[[#This Row],[Unit]],"")</f>
        <v/>
      </c>
      <c r="D825" s="322">
        <f>IFERROR(MaterialsBoQ[[#This Row],[Number]],0)</f>
        <v>0</v>
      </c>
      <c r="E825" s="322">
        <f>IFERROR(MaterialsBoQ[[#This Row],[Kg per unit]],0)</f>
        <v>0</v>
      </c>
      <c r="F825" s="322">
        <f>IFERROR(Calculations[[#This Row],[Number]]*Calculations[[#This Row],[Conversion factor]],0)</f>
        <v>0</v>
      </c>
      <c r="G825" s="322">
        <f>IFERROR(VLOOKUP(Calculations[[#This Row],[Material (choose from dropdown]],MaterialData[#All],7,FALSE),0)</f>
        <v>0</v>
      </c>
      <c r="H825" s="322">
        <f>Calculations[[#This Row],[Total Kg]]*Calculations[[#This Row],[Carbon Factor]]</f>
        <v>0</v>
      </c>
      <c r="I825" t="str">
        <f>IFERROR(VLOOKUP(Calculations[[#This Row],[Material (choose from dropdown]],MaterialData[#All],2,FALSE),"")</f>
        <v/>
      </c>
      <c r="J825" s="322">
        <f>IFERROR(((VLOOKUP(Calculations[[#This Row],[TransportSource]],TransportDistance[],2,FALSE)*'Stage assumptions'!$C$11)+VLOOKUP(Calculations[[#This Row],[TransportSource]],TransportDistance[],3,FALSE)*'Stage assumptions'!$C$12)*Calculations[[#This Row],[Total Kg]],0)</f>
        <v>0</v>
      </c>
      <c r="K825">
        <f>IFERROR(VLOOKUP(Calculations[[#This Row],[Material (choose from dropdown]], MaterialData[#All],3, FALSE),0)</f>
        <v>0</v>
      </c>
      <c r="L825" s="322">
        <f>IFERROR(VLOOKUP(Calculations[[#This Row],[A5type]],A5WastageRate[#All],2,FALSE)*Calculations[[#This Row],[A1-3]],0)</f>
        <v>0</v>
      </c>
      <c r="N825">
        <f>IFERROR(ROUNDUP(50/VLOOKUP(Calculations[[#This Row],[Scope Element]],B4referenceServiceLife[[Tier 2 element]:[Default Service Life]],2, FALSE)-1,0),0)</f>
        <v>0</v>
      </c>
      <c r="O825" s="322">
        <f>IFERROR((Calculations[[#This Row],[A1-3]]+Calculations[[#This Row],[A4]]+Calculations[[#This Row],[A5]]+Calculations[[#This Row],[C2 total]]+Calculations[[#This Row],[C3 total]]+Calculations[[#This Row],[C4 total]])*Calculations[[#This Row],[Replacements]],0)</f>
        <v>0</v>
      </c>
      <c r="S825" t="str">
        <f>IFERROR(VLOOKUP(Calculations[[#This Row],[Material (choose from dropdown]],MaterialData[#All],4,FALSE),"")</f>
        <v/>
      </c>
      <c r="T825" s="322" cm="1">
        <f t="array" ref="T825">IFERROR(VLOOKUP(Calculations[[#This Row],[Waste 1]],WasteScenario[#All],2,FALSE)*'Stage assumptions'!$C$225*WasteTransportMethod[Emissions Factor
kgCO2e/kg.km]*Calculations[[#This Row],[Total Kg]],0)</f>
        <v>0</v>
      </c>
      <c r="U825" s="322" cm="1">
        <f t="array" ref="U825">IFERROR(VLOOKUP(Calculations[[#This Row],[Waste 1]],WasteScenario[#All],3,FALSE)*'Stage assumptions'!$C$224*WasteTransportMethod[Emissions Factor
kgCO2e/kg.km]*Calculations[[#This Row],[Total Kg]],0)</f>
        <v>0</v>
      </c>
      <c r="V825" s="322" cm="1">
        <f t="array" ref="V825">IFERROR(VLOOKUP(Calculations[[#This Row],[Waste 1]],WasteScenario[#All],4,FALSE)*'Stage assumptions'!$C$223*WasteTransportMethod[Emissions Factor
kgCO2e/kg.km]*Calculations[[#This Row],[Total Kg]],0)</f>
        <v>0</v>
      </c>
      <c r="W825" s="322" cm="1">
        <f t="array" ref="W825">IFERROR(VLOOKUP(Calculations[[#This Row],[Waste 1]],WasteScenario[#All],5,FALSE)*'Stage assumptions'!$C$226*WasteTransportMethod[Emissions Factor
kgCO2e/kg.km]*Calculations[[#This Row],[Total Kg]],0)</f>
        <v>0</v>
      </c>
      <c r="X825" s="322">
        <f>SUM(Calculations[[#This Row],[C2 Recycle]:[C2 Reuse]])</f>
        <v>0</v>
      </c>
      <c r="Y825" t="str">
        <f>IFERROR(VLOOKUP(Calculations[[#This Row],[Material (choose from dropdown]],MaterialData[#All],5,FALSE),"")</f>
        <v/>
      </c>
      <c r="Z825" s="322">
        <f>IFERROR(((VLOOKUP(Calculations[[#This Row],[Waste type 2]],WasteDisposalEmissions[#All],2,FALSE))*Calculations[[#This Row],[Total Kg]])*VLOOKUP(Calculations[[#This Row],[Waste 1]],WasteScenario[#All],2,FALSE),0)</f>
        <v>0</v>
      </c>
      <c r="AA825" s="322">
        <f>IFERROR((VLOOKUP(Calculations[[#This Row],[Waste type 2]],WasteDisposalEmissions[#All],3,FALSE))*Calculations[[#This Row],[Total Kg]]*VLOOKUP(Calculations[[#This Row],[Waste 1]],WasteScenario[#All],3,FALSE),0)</f>
        <v>0</v>
      </c>
      <c r="AB825" s="322">
        <f>SUM(Calculations[[#This Row],[C3 recyc]:[C3 incin]])</f>
        <v>0</v>
      </c>
      <c r="AC825" s="334">
        <f>IFERROR((VLOOKUP(Calculations[[#This Row],[Waste type 2]],WasteLandfillEmissions[#All],2,FALSE))*Calculations[[#This Row],[Total Kg]]*VLOOKUP(Calculations[[#This Row],[Waste 1]],WasteScenario[#All],4,FALSE),0)</f>
        <v>0</v>
      </c>
      <c r="AD825" s="322">
        <f>IFERROR((VLOOKUP(Calculations[[#This Row],[Waste type 2]],WasteLandfillEmissions[#All],3,FALSE))*Calculations[[#This Row],[Total Kg]]*VLOOKUP(Calculations[[#This Row],[Waste 1]],WasteScenario[#All],4,FALSE),0)</f>
        <v>0</v>
      </c>
      <c r="AE825" s="322">
        <f>SUM(Calculations[[#This Row],[C4 landfill]:[C4 re-use]])</f>
        <v>0</v>
      </c>
      <c r="AF825" s="322">
        <f>IFERROR(VLOOKUP(Calculations[[#This Row],[Material (choose from dropdown]],MaterialData[#All],8,FALSE),0)</f>
        <v>0</v>
      </c>
      <c r="AG825" s="322">
        <f>IFERROR(Calculations[[#This Row],[Total Kg]]*Calculations[[#This Row],[Seq factor]],0)</f>
        <v>0</v>
      </c>
      <c r="AI825" s="322">
        <f>Calculations[[#This Row],[A1-3]]+Calculations[[#This Row],[A4]]+Calculations[[#This Row],[A5]]+Calculations[[#This Row],[B4]]+Calculations[[#This Row],[C2 total]]+Calculations[[#This Row],[C3 total]]+Calculations[[#This Row],[C4 total]]</f>
        <v>0</v>
      </c>
      <c r="AJ825" s="2">
        <f>IFERROR(VLOOKUP(Calculations[[#This Row],[Material (choose from dropdown]],MaterialData[[#Headers],[#Data]],9,FALSE),0)</f>
        <v>0</v>
      </c>
      <c r="AK825" s="4">
        <f>IFERROR(VLOOKUP(Calculations[[#This Row],[Material (choose from dropdown]],MaterialData[[#Headers],[#Data]],10,FALSE),0)</f>
        <v>0</v>
      </c>
      <c r="AL825" s="322">
        <f>IFERROR(Calculations[[#This Row],[Data Quality Score]]*Calculations[[#This Row],[Total Kg]],0)</f>
        <v>0</v>
      </c>
    </row>
    <row r="826" spans="1:38" x14ac:dyDescent="0.3">
      <c r="A826" s="6">
        <f>IFERROR(MaterialsBoQ[[#This Row],[Scope Element]],0)</f>
        <v>0</v>
      </c>
      <c r="B826" t="str">
        <f>IFERROR(MaterialsBoQ[[#This Row],[Material ]],"")</f>
        <v/>
      </c>
      <c r="C826" t="str">
        <f>IFERROR(MaterialsBoQ[[#This Row],[Unit]],"")</f>
        <v/>
      </c>
      <c r="D826" s="322">
        <f>IFERROR(MaterialsBoQ[[#This Row],[Number]],0)</f>
        <v>0</v>
      </c>
      <c r="E826" s="322">
        <f>IFERROR(MaterialsBoQ[[#This Row],[Kg per unit]],0)</f>
        <v>0</v>
      </c>
      <c r="F826" s="322">
        <f>IFERROR(Calculations[[#This Row],[Number]]*Calculations[[#This Row],[Conversion factor]],0)</f>
        <v>0</v>
      </c>
      <c r="G826" s="322">
        <f>IFERROR(VLOOKUP(Calculations[[#This Row],[Material (choose from dropdown]],MaterialData[#All],7,FALSE),0)</f>
        <v>0</v>
      </c>
      <c r="H826" s="322">
        <f>Calculations[[#This Row],[Total Kg]]*Calculations[[#This Row],[Carbon Factor]]</f>
        <v>0</v>
      </c>
      <c r="I826" t="str">
        <f>IFERROR(VLOOKUP(Calculations[[#This Row],[Material (choose from dropdown]],MaterialData[#All],2,FALSE),"")</f>
        <v/>
      </c>
      <c r="J826" s="322">
        <f>IFERROR(((VLOOKUP(Calculations[[#This Row],[TransportSource]],TransportDistance[],2,FALSE)*'Stage assumptions'!$C$11)+VLOOKUP(Calculations[[#This Row],[TransportSource]],TransportDistance[],3,FALSE)*'Stage assumptions'!$C$12)*Calculations[[#This Row],[Total Kg]],0)</f>
        <v>0</v>
      </c>
      <c r="K826">
        <f>IFERROR(VLOOKUP(Calculations[[#This Row],[Material (choose from dropdown]], MaterialData[#All],3, FALSE),0)</f>
        <v>0</v>
      </c>
      <c r="L826" s="322">
        <f>IFERROR(VLOOKUP(Calculations[[#This Row],[A5type]],A5WastageRate[#All],2,FALSE)*Calculations[[#This Row],[A1-3]],0)</f>
        <v>0</v>
      </c>
      <c r="N826">
        <f>IFERROR(ROUNDUP(50/VLOOKUP(Calculations[[#This Row],[Scope Element]],B4referenceServiceLife[[Tier 2 element]:[Default Service Life]],2, FALSE)-1,0),0)</f>
        <v>0</v>
      </c>
      <c r="O826" s="322">
        <f>IFERROR((Calculations[[#This Row],[A1-3]]+Calculations[[#This Row],[A4]]+Calculations[[#This Row],[A5]]+Calculations[[#This Row],[C2 total]]+Calculations[[#This Row],[C3 total]]+Calculations[[#This Row],[C4 total]])*Calculations[[#This Row],[Replacements]],0)</f>
        <v>0</v>
      </c>
      <c r="S826" t="str">
        <f>IFERROR(VLOOKUP(Calculations[[#This Row],[Material (choose from dropdown]],MaterialData[#All],4,FALSE),"")</f>
        <v/>
      </c>
      <c r="T826" s="322" cm="1">
        <f t="array" ref="T826">IFERROR(VLOOKUP(Calculations[[#This Row],[Waste 1]],WasteScenario[#All],2,FALSE)*'Stage assumptions'!$C$225*WasteTransportMethod[Emissions Factor
kgCO2e/kg.km]*Calculations[[#This Row],[Total Kg]],0)</f>
        <v>0</v>
      </c>
      <c r="U826" s="322" cm="1">
        <f t="array" ref="U826">IFERROR(VLOOKUP(Calculations[[#This Row],[Waste 1]],WasteScenario[#All],3,FALSE)*'Stage assumptions'!$C$224*WasteTransportMethod[Emissions Factor
kgCO2e/kg.km]*Calculations[[#This Row],[Total Kg]],0)</f>
        <v>0</v>
      </c>
      <c r="V826" s="322" cm="1">
        <f t="array" ref="V826">IFERROR(VLOOKUP(Calculations[[#This Row],[Waste 1]],WasteScenario[#All],4,FALSE)*'Stage assumptions'!$C$223*WasteTransportMethod[Emissions Factor
kgCO2e/kg.km]*Calculations[[#This Row],[Total Kg]],0)</f>
        <v>0</v>
      </c>
      <c r="W826" s="322" cm="1">
        <f t="array" ref="W826">IFERROR(VLOOKUP(Calculations[[#This Row],[Waste 1]],WasteScenario[#All],5,FALSE)*'Stage assumptions'!$C$226*WasteTransportMethod[Emissions Factor
kgCO2e/kg.km]*Calculations[[#This Row],[Total Kg]],0)</f>
        <v>0</v>
      </c>
      <c r="X826" s="322">
        <f>SUM(Calculations[[#This Row],[C2 Recycle]:[C2 Reuse]])</f>
        <v>0</v>
      </c>
      <c r="Y826" t="str">
        <f>IFERROR(VLOOKUP(Calculations[[#This Row],[Material (choose from dropdown]],MaterialData[#All],5,FALSE),"")</f>
        <v/>
      </c>
      <c r="Z826" s="322">
        <f>IFERROR(((VLOOKUP(Calculations[[#This Row],[Waste type 2]],WasteDisposalEmissions[#All],2,FALSE))*Calculations[[#This Row],[Total Kg]])*VLOOKUP(Calculations[[#This Row],[Waste 1]],WasteScenario[#All],2,FALSE),0)</f>
        <v>0</v>
      </c>
      <c r="AA826" s="322">
        <f>IFERROR((VLOOKUP(Calculations[[#This Row],[Waste type 2]],WasteDisposalEmissions[#All],3,FALSE))*Calculations[[#This Row],[Total Kg]]*VLOOKUP(Calculations[[#This Row],[Waste 1]],WasteScenario[#All],3,FALSE),0)</f>
        <v>0</v>
      </c>
      <c r="AB826" s="322">
        <f>SUM(Calculations[[#This Row],[C3 recyc]:[C3 incin]])</f>
        <v>0</v>
      </c>
      <c r="AC826" s="334">
        <f>IFERROR((VLOOKUP(Calculations[[#This Row],[Waste type 2]],WasteLandfillEmissions[#All],2,FALSE))*Calculations[[#This Row],[Total Kg]]*VLOOKUP(Calculations[[#This Row],[Waste 1]],WasteScenario[#All],4,FALSE),0)</f>
        <v>0</v>
      </c>
      <c r="AD826" s="322">
        <f>IFERROR((VLOOKUP(Calculations[[#This Row],[Waste type 2]],WasteLandfillEmissions[#All],3,FALSE))*Calculations[[#This Row],[Total Kg]]*VLOOKUP(Calculations[[#This Row],[Waste 1]],WasteScenario[#All],4,FALSE),0)</f>
        <v>0</v>
      </c>
      <c r="AE826" s="322">
        <f>SUM(Calculations[[#This Row],[C4 landfill]:[C4 re-use]])</f>
        <v>0</v>
      </c>
      <c r="AF826" s="322">
        <f>IFERROR(VLOOKUP(Calculations[[#This Row],[Material (choose from dropdown]],MaterialData[#All],8,FALSE),0)</f>
        <v>0</v>
      </c>
      <c r="AG826" s="322">
        <f>IFERROR(Calculations[[#This Row],[Total Kg]]*Calculations[[#This Row],[Seq factor]],0)</f>
        <v>0</v>
      </c>
      <c r="AI826" s="322">
        <f>Calculations[[#This Row],[A1-3]]+Calculations[[#This Row],[A4]]+Calculations[[#This Row],[A5]]+Calculations[[#This Row],[B4]]+Calculations[[#This Row],[C2 total]]+Calculations[[#This Row],[C3 total]]+Calculations[[#This Row],[C4 total]]</f>
        <v>0</v>
      </c>
      <c r="AJ826" s="2">
        <f>IFERROR(VLOOKUP(Calculations[[#This Row],[Material (choose from dropdown]],MaterialData[[#Headers],[#Data]],9,FALSE),0)</f>
        <v>0</v>
      </c>
      <c r="AK826" s="4">
        <f>IFERROR(VLOOKUP(Calculations[[#This Row],[Material (choose from dropdown]],MaterialData[[#Headers],[#Data]],10,FALSE),0)</f>
        <v>0</v>
      </c>
      <c r="AL826" s="322">
        <f>IFERROR(Calculations[[#This Row],[Data Quality Score]]*Calculations[[#This Row],[Total Kg]],0)</f>
        <v>0</v>
      </c>
    </row>
    <row r="827" spans="1:38" x14ac:dyDescent="0.3">
      <c r="A827" s="6">
        <f>IFERROR(MaterialsBoQ[[#This Row],[Scope Element]],0)</f>
        <v>0</v>
      </c>
      <c r="B827" t="str">
        <f>IFERROR(MaterialsBoQ[[#This Row],[Material ]],"")</f>
        <v/>
      </c>
      <c r="C827" t="str">
        <f>IFERROR(MaterialsBoQ[[#This Row],[Unit]],"")</f>
        <v/>
      </c>
      <c r="D827" s="322">
        <f>IFERROR(MaterialsBoQ[[#This Row],[Number]],0)</f>
        <v>0</v>
      </c>
      <c r="E827" s="322">
        <f>IFERROR(MaterialsBoQ[[#This Row],[Kg per unit]],0)</f>
        <v>0</v>
      </c>
      <c r="F827" s="322">
        <f>IFERROR(Calculations[[#This Row],[Number]]*Calculations[[#This Row],[Conversion factor]],0)</f>
        <v>0</v>
      </c>
      <c r="G827" s="322">
        <f>IFERROR(VLOOKUP(Calculations[[#This Row],[Material (choose from dropdown]],MaterialData[#All],7,FALSE),0)</f>
        <v>0</v>
      </c>
      <c r="H827" s="322">
        <f>Calculations[[#This Row],[Total Kg]]*Calculations[[#This Row],[Carbon Factor]]</f>
        <v>0</v>
      </c>
      <c r="I827" t="str">
        <f>IFERROR(VLOOKUP(Calculations[[#This Row],[Material (choose from dropdown]],MaterialData[#All],2,FALSE),"")</f>
        <v/>
      </c>
      <c r="J827" s="322">
        <f>IFERROR(((VLOOKUP(Calculations[[#This Row],[TransportSource]],TransportDistance[],2,FALSE)*'Stage assumptions'!$C$11)+VLOOKUP(Calculations[[#This Row],[TransportSource]],TransportDistance[],3,FALSE)*'Stage assumptions'!$C$12)*Calculations[[#This Row],[Total Kg]],0)</f>
        <v>0</v>
      </c>
      <c r="K827">
        <f>IFERROR(VLOOKUP(Calculations[[#This Row],[Material (choose from dropdown]], MaterialData[#All],3, FALSE),0)</f>
        <v>0</v>
      </c>
      <c r="L827" s="322">
        <f>IFERROR(VLOOKUP(Calculations[[#This Row],[A5type]],A5WastageRate[#All],2,FALSE)*Calculations[[#This Row],[A1-3]],0)</f>
        <v>0</v>
      </c>
      <c r="N827">
        <f>IFERROR(ROUNDUP(50/VLOOKUP(Calculations[[#This Row],[Scope Element]],B4referenceServiceLife[[Tier 2 element]:[Default Service Life]],2, FALSE)-1,0),0)</f>
        <v>0</v>
      </c>
      <c r="O827" s="322">
        <f>IFERROR((Calculations[[#This Row],[A1-3]]+Calculations[[#This Row],[A4]]+Calculations[[#This Row],[A5]]+Calculations[[#This Row],[C2 total]]+Calculations[[#This Row],[C3 total]]+Calculations[[#This Row],[C4 total]])*Calculations[[#This Row],[Replacements]],0)</f>
        <v>0</v>
      </c>
      <c r="S827" t="str">
        <f>IFERROR(VLOOKUP(Calculations[[#This Row],[Material (choose from dropdown]],MaterialData[#All],4,FALSE),"")</f>
        <v/>
      </c>
      <c r="T827" s="322" cm="1">
        <f t="array" ref="T827">IFERROR(VLOOKUP(Calculations[[#This Row],[Waste 1]],WasteScenario[#All],2,FALSE)*'Stage assumptions'!$C$225*WasteTransportMethod[Emissions Factor
kgCO2e/kg.km]*Calculations[[#This Row],[Total Kg]],0)</f>
        <v>0</v>
      </c>
      <c r="U827" s="322" cm="1">
        <f t="array" ref="U827">IFERROR(VLOOKUP(Calculations[[#This Row],[Waste 1]],WasteScenario[#All],3,FALSE)*'Stage assumptions'!$C$224*WasteTransportMethod[Emissions Factor
kgCO2e/kg.km]*Calculations[[#This Row],[Total Kg]],0)</f>
        <v>0</v>
      </c>
      <c r="V827" s="322" cm="1">
        <f t="array" ref="V827">IFERROR(VLOOKUP(Calculations[[#This Row],[Waste 1]],WasteScenario[#All],4,FALSE)*'Stage assumptions'!$C$223*WasteTransportMethod[Emissions Factor
kgCO2e/kg.km]*Calculations[[#This Row],[Total Kg]],0)</f>
        <v>0</v>
      </c>
      <c r="W827" s="322" cm="1">
        <f t="array" ref="W827">IFERROR(VLOOKUP(Calculations[[#This Row],[Waste 1]],WasteScenario[#All],5,FALSE)*'Stage assumptions'!$C$226*WasteTransportMethod[Emissions Factor
kgCO2e/kg.km]*Calculations[[#This Row],[Total Kg]],0)</f>
        <v>0</v>
      </c>
      <c r="X827" s="322">
        <f>SUM(Calculations[[#This Row],[C2 Recycle]:[C2 Reuse]])</f>
        <v>0</v>
      </c>
      <c r="Y827" t="str">
        <f>IFERROR(VLOOKUP(Calculations[[#This Row],[Material (choose from dropdown]],MaterialData[#All],5,FALSE),"")</f>
        <v/>
      </c>
      <c r="Z827" s="322">
        <f>IFERROR(((VLOOKUP(Calculations[[#This Row],[Waste type 2]],WasteDisposalEmissions[#All],2,FALSE))*Calculations[[#This Row],[Total Kg]])*VLOOKUP(Calculations[[#This Row],[Waste 1]],WasteScenario[#All],2,FALSE),0)</f>
        <v>0</v>
      </c>
      <c r="AA827" s="322">
        <f>IFERROR((VLOOKUP(Calculations[[#This Row],[Waste type 2]],WasteDisposalEmissions[#All],3,FALSE))*Calculations[[#This Row],[Total Kg]]*VLOOKUP(Calculations[[#This Row],[Waste 1]],WasteScenario[#All],3,FALSE),0)</f>
        <v>0</v>
      </c>
      <c r="AB827" s="322">
        <f>SUM(Calculations[[#This Row],[C3 recyc]:[C3 incin]])</f>
        <v>0</v>
      </c>
      <c r="AC827" s="334">
        <f>IFERROR((VLOOKUP(Calculations[[#This Row],[Waste type 2]],WasteLandfillEmissions[#All],2,FALSE))*Calculations[[#This Row],[Total Kg]]*VLOOKUP(Calculations[[#This Row],[Waste 1]],WasteScenario[#All],4,FALSE),0)</f>
        <v>0</v>
      </c>
      <c r="AD827" s="322">
        <f>IFERROR((VLOOKUP(Calculations[[#This Row],[Waste type 2]],WasteLandfillEmissions[#All],3,FALSE))*Calculations[[#This Row],[Total Kg]]*VLOOKUP(Calculations[[#This Row],[Waste 1]],WasteScenario[#All],4,FALSE),0)</f>
        <v>0</v>
      </c>
      <c r="AE827" s="322">
        <f>SUM(Calculations[[#This Row],[C4 landfill]:[C4 re-use]])</f>
        <v>0</v>
      </c>
      <c r="AF827" s="322">
        <f>IFERROR(VLOOKUP(Calculations[[#This Row],[Material (choose from dropdown]],MaterialData[#All],8,FALSE),0)</f>
        <v>0</v>
      </c>
      <c r="AG827" s="322">
        <f>IFERROR(Calculations[[#This Row],[Total Kg]]*Calculations[[#This Row],[Seq factor]],0)</f>
        <v>0</v>
      </c>
      <c r="AI827" s="322">
        <f>Calculations[[#This Row],[A1-3]]+Calculations[[#This Row],[A4]]+Calculations[[#This Row],[A5]]+Calculations[[#This Row],[B4]]+Calculations[[#This Row],[C2 total]]+Calculations[[#This Row],[C3 total]]+Calculations[[#This Row],[C4 total]]</f>
        <v>0</v>
      </c>
      <c r="AJ827" s="2">
        <f>IFERROR(VLOOKUP(Calculations[[#This Row],[Material (choose from dropdown]],MaterialData[[#Headers],[#Data]],9,FALSE),0)</f>
        <v>0</v>
      </c>
      <c r="AK827" s="4">
        <f>IFERROR(VLOOKUP(Calculations[[#This Row],[Material (choose from dropdown]],MaterialData[[#Headers],[#Data]],10,FALSE),0)</f>
        <v>0</v>
      </c>
      <c r="AL827" s="322">
        <f>IFERROR(Calculations[[#This Row],[Data Quality Score]]*Calculations[[#This Row],[Total Kg]],0)</f>
        <v>0</v>
      </c>
    </row>
    <row r="828" spans="1:38" x14ac:dyDescent="0.3">
      <c r="A828" s="6">
        <f>IFERROR(MaterialsBoQ[[#This Row],[Scope Element]],0)</f>
        <v>0</v>
      </c>
      <c r="B828" t="str">
        <f>IFERROR(MaterialsBoQ[[#This Row],[Material ]],"")</f>
        <v/>
      </c>
      <c r="C828" t="str">
        <f>IFERROR(MaterialsBoQ[[#This Row],[Unit]],"")</f>
        <v/>
      </c>
      <c r="D828" s="322">
        <f>IFERROR(MaterialsBoQ[[#This Row],[Number]],0)</f>
        <v>0</v>
      </c>
      <c r="E828" s="322">
        <f>IFERROR(MaterialsBoQ[[#This Row],[Kg per unit]],0)</f>
        <v>0</v>
      </c>
      <c r="F828" s="322">
        <f>IFERROR(Calculations[[#This Row],[Number]]*Calculations[[#This Row],[Conversion factor]],0)</f>
        <v>0</v>
      </c>
      <c r="G828" s="322">
        <f>IFERROR(VLOOKUP(Calculations[[#This Row],[Material (choose from dropdown]],MaterialData[#All],7,FALSE),0)</f>
        <v>0</v>
      </c>
      <c r="H828" s="322">
        <f>Calculations[[#This Row],[Total Kg]]*Calculations[[#This Row],[Carbon Factor]]</f>
        <v>0</v>
      </c>
      <c r="I828" t="str">
        <f>IFERROR(VLOOKUP(Calculations[[#This Row],[Material (choose from dropdown]],MaterialData[#All],2,FALSE),"")</f>
        <v/>
      </c>
      <c r="J828" s="322">
        <f>IFERROR(((VLOOKUP(Calculations[[#This Row],[TransportSource]],TransportDistance[],2,FALSE)*'Stage assumptions'!$C$11)+VLOOKUP(Calculations[[#This Row],[TransportSource]],TransportDistance[],3,FALSE)*'Stage assumptions'!$C$12)*Calculations[[#This Row],[Total Kg]],0)</f>
        <v>0</v>
      </c>
      <c r="K828">
        <f>IFERROR(VLOOKUP(Calculations[[#This Row],[Material (choose from dropdown]], MaterialData[#All],3, FALSE),0)</f>
        <v>0</v>
      </c>
      <c r="L828" s="322">
        <f>IFERROR(VLOOKUP(Calculations[[#This Row],[A5type]],A5WastageRate[#All],2,FALSE)*Calculations[[#This Row],[A1-3]],0)</f>
        <v>0</v>
      </c>
      <c r="N828">
        <f>IFERROR(ROUNDUP(50/VLOOKUP(Calculations[[#This Row],[Scope Element]],B4referenceServiceLife[[Tier 2 element]:[Default Service Life]],2, FALSE)-1,0),0)</f>
        <v>0</v>
      </c>
      <c r="O828" s="322">
        <f>IFERROR((Calculations[[#This Row],[A1-3]]+Calculations[[#This Row],[A4]]+Calculations[[#This Row],[A5]]+Calculations[[#This Row],[C2 total]]+Calculations[[#This Row],[C3 total]]+Calculations[[#This Row],[C4 total]])*Calculations[[#This Row],[Replacements]],0)</f>
        <v>0</v>
      </c>
      <c r="S828" t="str">
        <f>IFERROR(VLOOKUP(Calculations[[#This Row],[Material (choose from dropdown]],MaterialData[#All],4,FALSE),"")</f>
        <v/>
      </c>
      <c r="T828" s="322" cm="1">
        <f t="array" ref="T828">IFERROR(VLOOKUP(Calculations[[#This Row],[Waste 1]],WasteScenario[#All],2,FALSE)*'Stage assumptions'!$C$225*WasteTransportMethod[Emissions Factor
kgCO2e/kg.km]*Calculations[[#This Row],[Total Kg]],0)</f>
        <v>0</v>
      </c>
      <c r="U828" s="322" cm="1">
        <f t="array" ref="U828">IFERROR(VLOOKUP(Calculations[[#This Row],[Waste 1]],WasteScenario[#All],3,FALSE)*'Stage assumptions'!$C$224*WasteTransportMethod[Emissions Factor
kgCO2e/kg.km]*Calculations[[#This Row],[Total Kg]],0)</f>
        <v>0</v>
      </c>
      <c r="V828" s="322" cm="1">
        <f t="array" ref="V828">IFERROR(VLOOKUP(Calculations[[#This Row],[Waste 1]],WasteScenario[#All],4,FALSE)*'Stage assumptions'!$C$223*WasteTransportMethod[Emissions Factor
kgCO2e/kg.km]*Calculations[[#This Row],[Total Kg]],0)</f>
        <v>0</v>
      </c>
      <c r="W828" s="322" cm="1">
        <f t="array" ref="W828">IFERROR(VLOOKUP(Calculations[[#This Row],[Waste 1]],WasteScenario[#All],5,FALSE)*'Stage assumptions'!$C$226*WasteTransportMethod[Emissions Factor
kgCO2e/kg.km]*Calculations[[#This Row],[Total Kg]],0)</f>
        <v>0</v>
      </c>
      <c r="X828" s="322">
        <f>SUM(Calculations[[#This Row],[C2 Recycle]:[C2 Reuse]])</f>
        <v>0</v>
      </c>
      <c r="Y828" t="str">
        <f>IFERROR(VLOOKUP(Calculations[[#This Row],[Material (choose from dropdown]],MaterialData[#All],5,FALSE),"")</f>
        <v/>
      </c>
      <c r="Z828" s="322">
        <f>IFERROR(((VLOOKUP(Calculations[[#This Row],[Waste type 2]],WasteDisposalEmissions[#All],2,FALSE))*Calculations[[#This Row],[Total Kg]])*VLOOKUP(Calculations[[#This Row],[Waste 1]],WasteScenario[#All],2,FALSE),0)</f>
        <v>0</v>
      </c>
      <c r="AA828" s="322">
        <f>IFERROR((VLOOKUP(Calculations[[#This Row],[Waste type 2]],WasteDisposalEmissions[#All],3,FALSE))*Calculations[[#This Row],[Total Kg]]*VLOOKUP(Calculations[[#This Row],[Waste 1]],WasteScenario[#All],3,FALSE),0)</f>
        <v>0</v>
      </c>
      <c r="AB828" s="322">
        <f>SUM(Calculations[[#This Row],[C3 recyc]:[C3 incin]])</f>
        <v>0</v>
      </c>
      <c r="AC828" s="334">
        <f>IFERROR((VLOOKUP(Calculations[[#This Row],[Waste type 2]],WasteLandfillEmissions[#All],2,FALSE))*Calculations[[#This Row],[Total Kg]]*VLOOKUP(Calculations[[#This Row],[Waste 1]],WasteScenario[#All],4,FALSE),0)</f>
        <v>0</v>
      </c>
      <c r="AD828" s="322">
        <f>IFERROR((VLOOKUP(Calculations[[#This Row],[Waste type 2]],WasteLandfillEmissions[#All],3,FALSE))*Calculations[[#This Row],[Total Kg]]*VLOOKUP(Calculations[[#This Row],[Waste 1]],WasteScenario[#All],4,FALSE),0)</f>
        <v>0</v>
      </c>
      <c r="AE828" s="322">
        <f>SUM(Calculations[[#This Row],[C4 landfill]:[C4 re-use]])</f>
        <v>0</v>
      </c>
      <c r="AF828" s="322">
        <f>IFERROR(VLOOKUP(Calculations[[#This Row],[Material (choose from dropdown]],MaterialData[#All],8,FALSE),0)</f>
        <v>0</v>
      </c>
      <c r="AG828" s="322">
        <f>IFERROR(Calculations[[#This Row],[Total Kg]]*Calculations[[#This Row],[Seq factor]],0)</f>
        <v>0</v>
      </c>
      <c r="AI828" s="322">
        <f>Calculations[[#This Row],[A1-3]]+Calculations[[#This Row],[A4]]+Calculations[[#This Row],[A5]]+Calculations[[#This Row],[B4]]+Calculations[[#This Row],[C2 total]]+Calculations[[#This Row],[C3 total]]+Calculations[[#This Row],[C4 total]]</f>
        <v>0</v>
      </c>
      <c r="AJ828" s="2">
        <f>IFERROR(VLOOKUP(Calculations[[#This Row],[Material (choose from dropdown]],MaterialData[[#Headers],[#Data]],9,FALSE),0)</f>
        <v>0</v>
      </c>
      <c r="AK828" s="4">
        <f>IFERROR(VLOOKUP(Calculations[[#This Row],[Material (choose from dropdown]],MaterialData[[#Headers],[#Data]],10,FALSE),0)</f>
        <v>0</v>
      </c>
      <c r="AL828" s="322">
        <f>IFERROR(Calculations[[#This Row],[Data Quality Score]]*Calculations[[#This Row],[Total Kg]],0)</f>
        <v>0</v>
      </c>
    </row>
    <row r="829" spans="1:38" x14ac:dyDescent="0.3">
      <c r="A829" s="6">
        <f>IFERROR(MaterialsBoQ[[#This Row],[Scope Element]],0)</f>
        <v>0</v>
      </c>
      <c r="B829" t="str">
        <f>IFERROR(MaterialsBoQ[[#This Row],[Material ]],"")</f>
        <v/>
      </c>
      <c r="C829" t="str">
        <f>IFERROR(MaterialsBoQ[[#This Row],[Unit]],"")</f>
        <v/>
      </c>
      <c r="D829" s="322">
        <f>IFERROR(MaterialsBoQ[[#This Row],[Number]],0)</f>
        <v>0</v>
      </c>
      <c r="E829" s="322">
        <f>IFERROR(MaterialsBoQ[[#This Row],[Kg per unit]],0)</f>
        <v>0</v>
      </c>
      <c r="F829" s="322">
        <f>IFERROR(Calculations[[#This Row],[Number]]*Calculations[[#This Row],[Conversion factor]],0)</f>
        <v>0</v>
      </c>
      <c r="G829" s="322">
        <f>IFERROR(VLOOKUP(Calculations[[#This Row],[Material (choose from dropdown]],MaterialData[#All],7,FALSE),0)</f>
        <v>0</v>
      </c>
      <c r="H829" s="322">
        <f>Calculations[[#This Row],[Total Kg]]*Calculations[[#This Row],[Carbon Factor]]</f>
        <v>0</v>
      </c>
      <c r="I829" t="str">
        <f>IFERROR(VLOOKUP(Calculations[[#This Row],[Material (choose from dropdown]],MaterialData[#All],2,FALSE),"")</f>
        <v/>
      </c>
      <c r="J829" s="322">
        <f>IFERROR(((VLOOKUP(Calculations[[#This Row],[TransportSource]],TransportDistance[],2,FALSE)*'Stage assumptions'!$C$11)+VLOOKUP(Calculations[[#This Row],[TransportSource]],TransportDistance[],3,FALSE)*'Stage assumptions'!$C$12)*Calculations[[#This Row],[Total Kg]],0)</f>
        <v>0</v>
      </c>
      <c r="K829">
        <f>IFERROR(VLOOKUP(Calculations[[#This Row],[Material (choose from dropdown]], MaterialData[#All],3, FALSE),0)</f>
        <v>0</v>
      </c>
      <c r="L829" s="322">
        <f>IFERROR(VLOOKUP(Calculations[[#This Row],[A5type]],A5WastageRate[#All],2,FALSE)*Calculations[[#This Row],[A1-3]],0)</f>
        <v>0</v>
      </c>
      <c r="N829">
        <f>IFERROR(ROUNDUP(50/VLOOKUP(Calculations[[#This Row],[Scope Element]],B4referenceServiceLife[[Tier 2 element]:[Default Service Life]],2, FALSE)-1,0),0)</f>
        <v>0</v>
      </c>
      <c r="O829" s="322">
        <f>IFERROR((Calculations[[#This Row],[A1-3]]+Calculations[[#This Row],[A4]]+Calculations[[#This Row],[A5]]+Calculations[[#This Row],[C2 total]]+Calculations[[#This Row],[C3 total]]+Calculations[[#This Row],[C4 total]])*Calculations[[#This Row],[Replacements]],0)</f>
        <v>0</v>
      </c>
      <c r="S829" t="str">
        <f>IFERROR(VLOOKUP(Calculations[[#This Row],[Material (choose from dropdown]],MaterialData[#All],4,FALSE),"")</f>
        <v/>
      </c>
      <c r="T829" s="322" cm="1">
        <f t="array" ref="T829">IFERROR(VLOOKUP(Calculations[[#This Row],[Waste 1]],WasteScenario[#All],2,FALSE)*'Stage assumptions'!$C$225*WasteTransportMethod[Emissions Factor
kgCO2e/kg.km]*Calculations[[#This Row],[Total Kg]],0)</f>
        <v>0</v>
      </c>
      <c r="U829" s="322" cm="1">
        <f t="array" ref="U829">IFERROR(VLOOKUP(Calculations[[#This Row],[Waste 1]],WasteScenario[#All],3,FALSE)*'Stage assumptions'!$C$224*WasteTransportMethod[Emissions Factor
kgCO2e/kg.km]*Calculations[[#This Row],[Total Kg]],0)</f>
        <v>0</v>
      </c>
      <c r="V829" s="322" cm="1">
        <f t="array" ref="V829">IFERROR(VLOOKUP(Calculations[[#This Row],[Waste 1]],WasteScenario[#All],4,FALSE)*'Stage assumptions'!$C$223*WasteTransportMethod[Emissions Factor
kgCO2e/kg.km]*Calculations[[#This Row],[Total Kg]],0)</f>
        <v>0</v>
      </c>
      <c r="W829" s="322" cm="1">
        <f t="array" ref="W829">IFERROR(VLOOKUP(Calculations[[#This Row],[Waste 1]],WasteScenario[#All],5,FALSE)*'Stage assumptions'!$C$226*WasteTransportMethod[Emissions Factor
kgCO2e/kg.km]*Calculations[[#This Row],[Total Kg]],0)</f>
        <v>0</v>
      </c>
      <c r="X829" s="322">
        <f>SUM(Calculations[[#This Row],[C2 Recycle]:[C2 Reuse]])</f>
        <v>0</v>
      </c>
      <c r="Y829" t="str">
        <f>IFERROR(VLOOKUP(Calculations[[#This Row],[Material (choose from dropdown]],MaterialData[#All],5,FALSE),"")</f>
        <v/>
      </c>
      <c r="Z829" s="322">
        <f>IFERROR(((VLOOKUP(Calculations[[#This Row],[Waste type 2]],WasteDisposalEmissions[#All],2,FALSE))*Calculations[[#This Row],[Total Kg]])*VLOOKUP(Calculations[[#This Row],[Waste 1]],WasteScenario[#All],2,FALSE),0)</f>
        <v>0</v>
      </c>
      <c r="AA829" s="322">
        <f>IFERROR((VLOOKUP(Calculations[[#This Row],[Waste type 2]],WasteDisposalEmissions[#All],3,FALSE))*Calculations[[#This Row],[Total Kg]]*VLOOKUP(Calculations[[#This Row],[Waste 1]],WasteScenario[#All],3,FALSE),0)</f>
        <v>0</v>
      </c>
      <c r="AB829" s="322">
        <f>SUM(Calculations[[#This Row],[C3 recyc]:[C3 incin]])</f>
        <v>0</v>
      </c>
      <c r="AC829" s="334">
        <f>IFERROR((VLOOKUP(Calculations[[#This Row],[Waste type 2]],WasteLandfillEmissions[#All],2,FALSE))*Calculations[[#This Row],[Total Kg]]*VLOOKUP(Calculations[[#This Row],[Waste 1]],WasteScenario[#All],4,FALSE),0)</f>
        <v>0</v>
      </c>
      <c r="AD829" s="322">
        <f>IFERROR((VLOOKUP(Calculations[[#This Row],[Waste type 2]],WasteLandfillEmissions[#All],3,FALSE))*Calculations[[#This Row],[Total Kg]]*VLOOKUP(Calculations[[#This Row],[Waste 1]],WasteScenario[#All],4,FALSE),0)</f>
        <v>0</v>
      </c>
      <c r="AE829" s="322">
        <f>SUM(Calculations[[#This Row],[C4 landfill]:[C4 re-use]])</f>
        <v>0</v>
      </c>
      <c r="AF829" s="322">
        <f>IFERROR(VLOOKUP(Calculations[[#This Row],[Material (choose from dropdown]],MaterialData[#All],8,FALSE),0)</f>
        <v>0</v>
      </c>
      <c r="AG829" s="322">
        <f>IFERROR(Calculations[[#This Row],[Total Kg]]*Calculations[[#This Row],[Seq factor]],0)</f>
        <v>0</v>
      </c>
      <c r="AI829" s="322">
        <f>Calculations[[#This Row],[A1-3]]+Calculations[[#This Row],[A4]]+Calculations[[#This Row],[A5]]+Calculations[[#This Row],[B4]]+Calculations[[#This Row],[C2 total]]+Calculations[[#This Row],[C3 total]]+Calculations[[#This Row],[C4 total]]</f>
        <v>0</v>
      </c>
      <c r="AJ829" s="2">
        <f>IFERROR(VLOOKUP(Calculations[[#This Row],[Material (choose from dropdown]],MaterialData[[#Headers],[#Data]],9,FALSE),0)</f>
        <v>0</v>
      </c>
      <c r="AK829" s="4">
        <f>IFERROR(VLOOKUP(Calculations[[#This Row],[Material (choose from dropdown]],MaterialData[[#Headers],[#Data]],10,FALSE),0)</f>
        <v>0</v>
      </c>
      <c r="AL829" s="322">
        <f>IFERROR(Calculations[[#This Row],[Data Quality Score]]*Calculations[[#This Row],[Total Kg]],0)</f>
        <v>0</v>
      </c>
    </row>
    <row r="830" spans="1:38" x14ac:dyDescent="0.3">
      <c r="A830" s="6">
        <f>IFERROR(MaterialsBoQ[[#This Row],[Scope Element]],0)</f>
        <v>0</v>
      </c>
      <c r="B830" t="str">
        <f>IFERROR(MaterialsBoQ[[#This Row],[Material ]],"")</f>
        <v/>
      </c>
      <c r="C830" t="str">
        <f>IFERROR(MaterialsBoQ[[#This Row],[Unit]],"")</f>
        <v/>
      </c>
      <c r="D830" s="322">
        <f>IFERROR(MaterialsBoQ[[#This Row],[Number]],0)</f>
        <v>0</v>
      </c>
      <c r="E830" s="322">
        <f>IFERROR(MaterialsBoQ[[#This Row],[Kg per unit]],0)</f>
        <v>0</v>
      </c>
      <c r="F830" s="322">
        <f>IFERROR(Calculations[[#This Row],[Number]]*Calculations[[#This Row],[Conversion factor]],0)</f>
        <v>0</v>
      </c>
      <c r="G830" s="322">
        <f>IFERROR(VLOOKUP(Calculations[[#This Row],[Material (choose from dropdown]],MaterialData[#All],7,FALSE),0)</f>
        <v>0</v>
      </c>
      <c r="H830" s="322">
        <f>Calculations[[#This Row],[Total Kg]]*Calculations[[#This Row],[Carbon Factor]]</f>
        <v>0</v>
      </c>
      <c r="I830" t="str">
        <f>IFERROR(VLOOKUP(Calculations[[#This Row],[Material (choose from dropdown]],MaterialData[#All],2,FALSE),"")</f>
        <v/>
      </c>
      <c r="J830" s="322">
        <f>IFERROR(((VLOOKUP(Calculations[[#This Row],[TransportSource]],TransportDistance[],2,FALSE)*'Stage assumptions'!$C$11)+VLOOKUP(Calculations[[#This Row],[TransportSource]],TransportDistance[],3,FALSE)*'Stage assumptions'!$C$12)*Calculations[[#This Row],[Total Kg]],0)</f>
        <v>0</v>
      </c>
      <c r="K830">
        <f>IFERROR(VLOOKUP(Calculations[[#This Row],[Material (choose from dropdown]], MaterialData[#All],3, FALSE),0)</f>
        <v>0</v>
      </c>
      <c r="L830" s="322">
        <f>IFERROR(VLOOKUP(Calculations[[#This Row],[A5type]],A5WastageRate[#All],2,FALSE)*Calculations[[#This Row],[A1-3]],0)</f>
        <v>0</v>
      </c>
      <c r="N830">
        <f>IFERROR(ROUNDUP(50/VLOOKUP(Calculations[[#This Row],[Scope Element]],B4referenceServiceLife[[Tier 2 element]:[Default Service Life]],2, FALSE)-1,0),0)</f>
        <v>0</v>
      </c>
      <c r="O830" s="322">
        <f>IFERROR((Calculations[[#This Row],[A1-3]]+Calculations[[#This Row],[A4]]+Calculations[[#This Row],[A5]]+Calculations[[#This Row],[C2 total]]+Calculations[[#This Row],[C3 total]]+Calculations[[#This Row],[C4 total]])*Calculations[[#This Row],[Replacements]],0)</f>
        <v>0</v>
      </c>
      <c r="S830" t="str">
        <f>IFERROR(VLOOKUP(Calculations[[#This Row],[Material (choose from dropdown]],MaterialData[#All],4,FALSE),"")</f>
        <v/>
      </c>
      <c r="T830" s="322" cm="1">
        <f t="array" ref="T830">IFERROR(VLOOKUP(Calculations[[#This Row],[Waste 1]],WasteScenario[#All],2,FALSE)*'Stage assumptions'!$C$225*WasteTransportMethod[Emissions Factor
kgCO2e/kg.km]*Calculations[[#This Row],[Total Kg]],0)</f>
        <v>0</v>
      </c>
      <c r="U830" s="322" cm="1">
        <f t="array" ref="U830">IFERROR(VLOOKUP(Calculations[[#This Row],[Waste 1]],WasteScenario[#All],3,FALSE)*'Stage assumptions'!$C$224*WasteTransportMethod[Emissions Factor
kgCO2e/kg.km]*Calculations[[#This Row],[Total Kg]],0)</f>
        <v>0</v>
      </c>
      <c r="V830" s="322" cm="1">
        <f t="array" ref="V830">IFERROR(VLOOKUP(Calculations[[#This Row],[Waste 1]],WasteScenario[#All],4,FALSE)*'Stage assumptions'!$C$223*WasteTransportMethod[Emissions Factor
kgCO2e/kg.km]*Calculations[[#This Row],[Total Kg]],0)</f>
        <v>0</v>
      </c>
      <c r="W830" s="322" cm="1">
        <f t="array" ref="W830">IFERROR(VLOOKUP(Calculations[[#This Row],[Waste 1]],WasteScenario[#All],5,FALSE)*'Stage assumptions'!$C$226*WasteTransportMethod[Emissions Factor
kgCO2e/kg.km]*Calculations[[#This Row],[Total Kg]],0)</f>
        <v>0</v>
      </c>
      <c r="X830" s="322">
        <f>SUM(Calculations[[#This Row],[C2 Recycle]:[C2 Reuse]])</f>
        <v>0</v>
      </c>
      <c r="Y830" t="str">
        <f>IFERROR(VLOOKUP(Calculations[[#This Row],[Material (choose from dropdown]],MaterialData[#All],5,FALSE),"")</f>
        <v/>
      </c>
      <c r="Z830" s="322">
        <f>IFERROR(((VLOOKUP(Calculations[[#This Row],[Waste type 2]],WasteDisposalEmissions[#All],2,FALSE))*Calculations[[#This Row],[Total Kg]])*VLOOKUP(Calculations[[#This Row],[Waste 1]],WasteScenario[#All],2,FALSE),0)</f>
        <v>0</v>
      </c>
      <c r="AA830" s="322">
        <f>IFERROR((VLOOKUP(Calculations[[#This Row],[Waste type 2]],WasteDisposalEmissions[#All],3,FALSE))*Calculations[[#This Row],[Total Kg]]*VLOOKUP(Calculations[[#This Row],[Waste 1]],WasteScenario[#All],3,FALSE),0)</f>
        <v>0</v>
      </c>
      <c r="AB830" s="322">
        <f>SUM(Calculations[[#This Row],[C3 recyc]:[C3 incin]])</f>
        <v>0</v>
      </c>
      <c r="AC830" s="334">
        <f>IFERROR((VLOOKUP(Calculations[[#This Row],[Waste type 2]],WasteLandfillEmissions[#All],2,FALSE))*Calculations[[#This Row],[Total Kg]]*VLOOKUP(Calculations[[#This Row],[Waste 1]],WasteScenario[#All],4,FALSE),0)</f>
        <v>0</v>
      </c>
      <c r="AD830" s="322">
        <f>IFERROR((VLOOKUP(Calculations[[#This Row],[Waste type 2]],WasteLandfillEmissions[#All],3,FALSE))*Calculations[[#This Row],[Total Kg]]*VLOOKUP(Calculations[[#This Row],[Waste 1]],WasteScenario[#All],4,FALSE),0)</f>
        <v>0</v>
      </c>
      <c r="AE830" s="322">
        <f>SUM(Calculations[[#This Row],[C4 landfill]:[C4 re-use]])</f>
        <v>0</v>
      </c>
      <c r="AF830" s="322">
        <f>IFERROR(VLOOKUP(Calculations[[#This Row],[Material (choose from dropdown]],MaterialData[#All],8,FALSE),0)</f>
        <v>0</v>
      </c>
      <c r="AG830" s="322">
        <f>IFERROR(Calculations[[#This Row],[Total Kg]]*Calculations[[#This Row],[Seq factor]],0)</f>
        <v>0</v>
      </c>
      <c r="AI830" s="322">
        <f>Calculations[[#This Row],[A1-3]]+Calculations[[#This Row],[A4]]+Calculations[[#This Row],[A5]]+Calculations[[#This Row],[B4]]+Calculations[[#This Row],[C2 total]]+Calculations[[#This Row],[C3 total]]+Calculations[[#This Row],[C4 total]]</f>
        <v>0</v>
      </c>
      <c r="AJ830" s="2">
        <f>IFERROR(VLOOKUP(Calculations[[#This Row],[Material (choose from dropdown]],MaterialData[[#Headers],[#Data]],9,FALSE),0)</f>
        <v>0</v>
      </c>
      <c r="AK830" s="4">
        <f>IFERROR(VLOOKUP(Calculations[[#This Row],[Material (choose from dropdown]],MaterialData[[#Headers],[#Data]],10,FALSE),0)</f>
        <v>0</v>
      </c>
      <c r="AL830" s="322">
        <f>IFERROR(Calculations[[#This Row],[Data Quality Score]]*Calculations[[#This Row],[Total Kg]],0)</f>
        <v>0</v>
      </c>
    </row>
    <row r="831" spans="1:38" x14ac:dyDescent="0.3">
      <c r="A831" s="6">
        <f>IFERROR(MaterialsBoQ[[#This Row],[Scope Element]],0)</f>
        <v>0</v>
      </c>
      <c r="B831" t="str">
        <f>IFERROR(MaterialsBoQ[[#This Row],[Material ]],"")</f>
        <v/>
      </c>
      <c r="C831" t="str">
        <f>IFERROR(MaterialsBoQ[[#This Row],[Unit]],"")</f>
        <v/>
      </c>
      <c r="D831" s="322">
        <f>IFERROR(MaterialsBoQ[[#This Row],[Number]],0)</f>
        <v>0</v>
      </c>
      <c r="E831" s="322">
        <f>IFERROR(MaterialsBoQ[[#This Row],[Kg per unit]],0)</f>
        <v>0</v>
      </c>
      <c r="F831" s="322">
        <f>IFERROR(Calculations[[#This Row],[Number]]*Calculations[[#This Row],[Conversion factor]],0)</f>
        <v>0</v>
      </c>
      <c r="G831" s="322">
        <f>IFERROR(VLOOKUP(Calculations[[#This Row],[Material (choose from dropdown]],MaterialData[#All],7,FALSE),0)</f>
        <v>0</v>
      </c>
      <c r="H831" s="322">
        <f>Calculations[[#This Row],[Total Kg]]*Calculations[[#This Row],[Carbon Factor]]</f>
        <v>0</v>
      </c>
      <c r="I831" t="str">
        <f>IFERROR(VLOOKUP(Calculations[[#This Row],[Material (choose from dropdown]],MaterialData[#All],2,FALSE),"")</f>
        <v/>
      </c>
      <c r="J831" s="322">
        <f>IFERROR(((VLOOKUP(Calculations[[#This Row],[TransportSource]],TransportDistance[],2,FALSE)*'Stage assumptions'!$C$11)+VLOOKUP(Calculations[[#This Row],[TransportSource]],TransportDistance[],3,FALSE)*'Stage assumptions'!$C$12)*Calculations[[#This Row],[Total Kg]],0)</f>
        <v>0</v>
      </c>
      <c r="K831">
        <f>IFERROR(VLOOKUP(Calculations[[#This Row],[Material (choose from dropdown]], MaterialData[#All],3, FALSE),0)</f>
        <v>0</v>
      </c>
      <c r="L831" s="322">
        <f>IFERROR(VLOOKUP(Calculations[[#This Row],[A5type]],A5WastageRate[#All],2,FALSE)*Calculations[[#This Row],[A1-3]],0)</f>
        <v>0</v>
      </c>
      <c r="N831">
        <f>IFERROR(ROUNDUP(50/VLOOKUP(Calculations[[#This Row],[Scope Element]],B4referenceServiceLife[[Tier 2 element]:[Default Service Life]],2, FALSE)-1,0),0)</f>
        <v>0</v>
      </c>
      <c r="O831" s="322">
        <f>IFERROR((Calculations[[#This Row],[A1-3]]+Calculations[[#This Row],[A4]]+Calculations[[#This Row],[A5]]+Calculations[[#This Row],[C2 total]]+Calculations[[#This Row],[C3 total]]+Calculations[[#This Row],[C4 total]])*Calculations[[#This Row],[Replacements]],0)</f>
        <v>0</v>
      </c>
      <c r="S831" t="str">
        <f>IFERROR(VLOOKUP(Calculations[[#This Row],[Material (choose from dropdown]],MaterialData[#All],4,FALSE),"")</f>
        <v/>
      </c>
      <c r="T831" s="322" cm="1">
        <f t="array" ref="T831">IFERROR(VLOOKUP(Calculations[[#This Row],[Waste 1]],WasteScenario[#All],2,FALSE)*'Stage assumptions'!$C$225*WasteTransportMethod[Emissions Factor
kgCO2e/kg.km]*Calculations[[#This Row],[Total Kg]],0)</f>
        <v>0</v>
      </c>
      <c r="U831" s="322" cm="1">
        <f t="array" ref="U831">IFERROR(VLOOKUP(Calculations[[#This Row],[Waste 1]],WasteScenario[#All],3,FALSE)*'Stage assumptions'!$C$224*WasteTransportMethod[Emissions Factor
kgCO2e/kg.km]*Calculations[[#This Row],[Total Kg]],0)</f>
        <v>0</v>
      </c>
      <c r="V831" s="322" cm="1">
        <f t="array" ref="V831">IFERROR(VLOOKUP(Calculations[[#This Row],[Waste 1]],WasteScenario[#All],4,FALSE)*'Stage assumptions'!$C$223*WasteTransportMethod[Emissions Factor
kgCO2e/kg.km]*Calculations[[#This Row],[Total Kg]],0)</f>
        <v>0</v>
      </c>
      <c r="W831" s="322" cm="1">
        <f t="array" ref="W831">IFERROR(VLOOKUP(Calculations[[#This Row],[Waste 1]],WasteScenario[#All],5,FALSE)*'Stage assumptions'!$C$226*WasteTransportMethod[Emissions Factor
kgCO2e/kg.km]*Calculations[[#This Row],[Total Kg]],0)</f>
        <v>0</v>
      </c>
      <c r="X831" s="322">
        <f>SUM(Calculations[[#This Row],[C2 Recycle]:[C2 Reuse]])</f>
        <v>0</v>
      </c>
      <c r="Y831" t="str">
        <f>IFERROR(VLOOKUP(Calculations[[#This Row],[Material (choose from dropdown]],MaterialData[#All],5,FALSE),"")</f>
        <v/>
      </c>
      <c r="Z831" s="322">
        <f>IFERROR(((VLOOKUP(Calculations[[#This Row],[Waste type 2]],WasteDisposalEmissions[#All],2,FALSE))*Calculations[[#This Row],[Total Kg]])*VLOOKUP(Calculations[[#This Row],[Waste 1]],WasteScenario[#All],2,FALSE),0)</f>
        <v>0</v>
      </c>
      <c r="AA831" s="322">
        <f>IFERROR((VLOOKUP(Calculations[[#This Row],[Waste type 2]],WasteDisposalEmissions[#All],3,FALSE))*Calculations[[#This Row],[Total Kg]]*VLOOKUP(Calculations[[#This Row],[Waste 1]],WasteScenario[#All],3,FALSE),0)</f>
        <v>0</v>
      </c>
      <c r="AB831" s="322">
        <f>SUM(Calculations[[#This Row],[C3 recyc]:[C3 incin]])</f>
        <v>0</v>
      </c>
      <c r="AC831" s="334">
        <f>IFERROR((VLOOKUP(Calculations[[#This Row],[Waste type 2]],WasteLandfillEmissions[#All],2,FALSE))*Calculations[[#This Row],[Total Kg]]*VLOOKUP(Calculations[[#This Row],[Waste 1]],WasteScenario[#All],4,FALSE),0)</f>
        <v>0</v>
      </c>
      <c r="AD831" s="322">
        <f>IFERROR((VLOOKUP(Calculations[[#This Row],[Waste type 2]],WasteLandfillEmissions[#All],3,FALSE))*Calculations[[#This Row],[Total Kg]]*VLOOKUP(Calculations[[#This Row],[Waste 1]],WasteScenario[#All],4,FALSE),0)</f>
        <v>0</v>
      </c>
      <c r="AE831" s="322">
        <f>SUM(Calculations[[#This Row],[C4 landfill]:[C4 re-use]])</f>
        <v>0</v>
      </c>
      <c r="AF831" s="322">
        <f>IFERROR(VLOOKUP(Calculations[[#This Row],[Material (choose from dropdown]],MaterialData[#All],8,FALSE),0)</f>
        <v>0</v>
      </c>
      <c r="AG831" s="322">
        <f>IFERROR(Calculations[[#This Row],[Total Kg]]*Calculations[[#This Row],[Seq factor]],0)</f>
        <v>0</v>
      </c>
      <c r="AI831" s="322">
        <f>Calculations[[#This Row],[A1-3]]+Calculations[[#This Row],[A4]]+Calculations[[#This Row],[A5]]+Calculations[[#This Row],[B4]]+Calculations[[#This Row],[C2 total]]+Calculations[[#This Row],[C3 total]]+Calculations[[#This Row],[C4 total]]</f>
        <v>0</v>
      </c>
      <c r="AJ831" s="2">
        <f>IFERROR(VLOOKUP(Calculations[[#This Row],[Material (choose from dropdown]],MaterialData[[#Headers],[#Data]],9,FALSE),0)</f>
        <v>0</v>
      </c>
      <c r="AK831" s="4">
        <f>IFERROR(VLOOKUP(Calculations[[#This Row],[Material (choose from dropdown]],MaterialData[[#Headers],[#Data]],10,FALSE),0)</f>
        <v>0</v>
      </c>
      <c r="AL831" s="322">
        <f>IFERROR(Calculations[[#This Row],[Data Quality Score]]*Calculations[[#This Row],[Total Kg]],0)</f>
        <v>0</v>
      </c>
    </row>
    <row r="832" spans="1:38" x14ac:dyDescent="0.3">
      <c r="A832" s="6">
        <f>IFERROR(MaterialsBoQ[[#This Row],[Scope Element]],0)</f>
        <v>0</v>
      </c>
      <c r="B832" t="str">
        <f>IFERROR(MaterialsBoQ[[#This Row],[Material ]],"")</f>
        <v/>
      </c>
      <c r="C832" t="str">
        <f>IFERROR(MaterialsBoQ[[#This Row],[Unit]],"")</f>
        <v/>
      </c>
      <c r="D832" s="322">
        <f>IFERROR(MaterialsBoQ[[#This Row],[Number]],0)</f>
        <v>0</v>
      </c>
      <c r="E832" s="322">
        <f>IFERROR(MaterialsBoQ[[#This Row],[Kg per unit]],0)</f>
        <v>0</v>
      </c>
      <c r="F832" s="322">
        <f>IFERROR(Calculations[[#This Row],[Number]]*Calculations[[#This Row],[Conversion factor]],0)</f>
        <v>0</v>
      </c>
      <c r="G832" s="322">
        <f>IFERROR(VLOOKUP(Calculations[[#This Row],[Material (choose from dropdown]],MaterialData[#All],7,FALSE),0)</f>
        <v>0</v>
      </c>
      <c r="H832" s="322">
        <f>Calculations[[#This Row],[Total Kg]]*Calculations[[#This Row],[Carbon Factor]]</f>
        <v>0</v>
      </c>
      <c r="I832" t="str">
        <f>IFERROR(VLOOKUP(Calculations[[#This Row],[Material (choose from dropdown]],MaterialData[#All],2,FALSE),"")</f>
        <v/>
      </c>
      <c r="J832" s="322">
        <f>IFERROR(((VLOOKUP(Calculations[[#This Row],[TransportSource]],TransportDistance[],2,FALSE)*'Stage assumptions'!$C$11)+VLOOKUP(Calculations[[#This Row],[TransportSource]],TransportDistance[],3,FALSE)*'Stage assumptions'!$C$12)*Calculations[[#This Row],[Total Kg]],0)</f>
        <v>0</v>
      </c>
      <c r="K832">
        <f>IFERROR(VLOOKUP(Calculations[[#This Row],[Material (choose from dropdown]], MaterialData[#All],3, FALSE),0)</f>
        <v>0</v>
      </c>
      <c r="L832" s="322">
        <f>IFERROR(VLOOKUP(Calculations[[#This Row],[A5type]],A5WastageRate[#All],2,FALSE)*Calculations[[#This Row],[A1-3]],0)</f>
        <v>0</v>
      </c>
      <c r="N832">
        <f>IFERROR(ROUNDUP(50/VLOOKUP(Calculations[[#This Row],[Scope Element]],B4referenceServiceLife[[Tier 2 element]:[Default Service Life]],2, FALSE)-1,0),0)</f>
        <v>0</v>
      </c>
      <c r="O832" s="322">
        <f>IFERROR((Calculations[[#This Row],[A1-3]]+Calculations[[#This Row],[A4]]+Calculations[[#This Row],[A5]]+Calculations[[#This Row],[C2 total]]+Calculations[[#This Row],[C3 total]]+Calculations[[#This Row],[C4 total]])*Calculations[[#This Row],[Replacements]],0)</f>
        <v>0</v>
      </c>
      <c r="S832" t="str">
        <f>IFERROR(VLOOKUP(Calculations[[#This Row],[Material (choose from dropdown]],MaterialData[#All],4,FALSE),"")</f>
        <v/>
      </c>
      <c r="T832" s="322" cm="1">
        <f t="array" ref="T832">IFERROR(VLOOKUP(Calculations[[#This Row],[Waste 1]],WasteScenario[#All],2,FALSE)*'Stage assumptions'!$C$225*WasteTransportMethod[Emissions Factor
kgCO2e/kg.km]*Calculations[[#This Row],[Total Kg]],0)</f>
        <v>0</v>
      </c>
      <c r="U832" s="322" cm="1">
        <f t="array" ref="U832">IFERROR(VLOOKUP(Calculations[[#This Row],[Waste 1]],WasteScenario[#All],3,FALSE)*'Stage assumptions'!$C$224*WasteTransportMethod[Emissions Factor
kgCO2e/kg.km]*Calculations[[#This Row],[Total Kg]],0)</f>
        <v>0</v>
      </c>
      <c r="V832" s="322" cm="1">
        <f t="array" ref="V832">IFERROR(VLOOKUP(Calculations[[#This Row],[Waste 1]],WasteScenario[#All],4,FALSE)*'Stage assumptions'!$C$223*WasteTransportMethod[Emissions Factor
kgCO2e/kg.km]*Calculations[[#This Row],[Total Kg]],0)</f>
        <v>0</v>
      </c>
      <c r="W832" s="322" cm="1">
        <f t="array" ref="W832">IFERROR(VLOOKUP(Calculations[[#This Row],[Waste 1]],WasteScenario[#All],5,FALSE)*'Stage assumptions'!$C$226*WasteTransportMethod[Emissions Factor
kgCO2e/kg.km]*Calculations[[#This Row],[Total Kg]],0)</f>
        <v>0</v>
      </c>
      <c r="X832" s="322">
        <f>SUM(Calculations[[#This Row],[C2 Recycle]:[C2 Reuse]])</f>
        <v>0</v>
      </c>
      <c r="Y832" t="str">
        <f>IFERROR(VLOOKUP(Calculations[[#This Row],[Material (choose from dropdown]],MaterialData[#All],5,FALSE),"")</f>
        <v/>
      </c>
      <c r="Z832" s="322">
        <f>IFERROR(((VLOOKUP(Calculations[[#This Row],[Waste type 2]],WasteDisposalEmissions[#All],2,FALSE))*Calculations[[#This Row],[Total Kg]])*VLOOKUP(Calculations[[#This Row],[Waste 1]],WasteScenario[#All],2,FALSE),0)</f>
        <v>0</v>
      </c>
      <c r="AA832" s="322">
        <f>IFERROR((VLOOKUP(Calculations[[#This Row],[Waste type 2]],WasteDisposalEmissions[#All],3,FALSE))*Calculations[[#This Row],[Total Kg]]*VLOOKUP(Calculations[[#This Row],[Waste 1]],WasteScenario[#All],3,FALSE),0)</f>
        <v>0</v>
      </c>
      <c r="AB832" s="322">
        <f>SUM(Calculations[[#This Row],[C3 recyc]:[C3 incin]])</f>
        <v>0</v>
      </c>
      <c r="AC832" s="334">
        <f>IFERROR((VLOOKUP(Calculations[[#This Row],[Waste type 2]],WasteLandfillEmissions[#All],2,FALSE))*Calculations[[#This Row],[Total Kg]]*VLOOKUP(Calculations[[#This Row],[Waste 1]],WasteScenario[#All],4,FALSE),0)</f>
        <v>0</v>
      </c>
      <c r="AD832" s="322">
        <f>IFERROR((VLOOKUP(Calculations[[#This Row],[Waste type 2]],WasteLandfillEmissions[#All],3,FALSE))*Calculations[[#This Row],[Total Kg]]*VLOOKUP(Calculations[[#This Row],[Waste 1]],WasteScenario[#All],4,FALSE),0)</f>
        <v>0</v>
      </c>
      <c r="AE832" s="322">
        <f>SUM(Calculations[[#This Row],[C4 landfill]:[C4 re-use]])</f>
        <v>0</v>
      </c>
      <c r="AF832" s="322">
        <f>IFERROR(VLOOKUP(Calculations[[#This Row],[Material (choose from dropdown]],MaterialData[#All],8,FALSE),0)</f>
        <v>0</v>
      </c>
      <c r="AG832" s="322">
        <f>IFERROR(Calculations[[#This Row],[Total Kg]]*Calculations[[#This Row],[Seq factor]],0)</f>
        <v>0</v>
      </c>
      <c r="AI832" s="322">
        <f>Calculations[[#This Row],[A1-3]]+Calculations[[#This Row],[A4]]+Calculations[[#This Row],[A5]]+Calculations[[#This Row],[B4]]+Calculations[[#This Row],[C2 total]]+Calculations[[#This Row],[C3 total]]+Calculations[[#This Row],[C4 total]]</f>
        <v>0</v>
      </c>
      <c r="AJ832" s="2">
        <f>IFERROR(VLOOKUP(Calculations[[#This Row],[Material (choose from dropdown]],MaterialData[[#Headers],[#Data]],9,FALSE),0)</f>
        <v>0</v>
      </c>
      <c r="AK832" s="4">
        <f>IFERROR(VLOOKUP(Calculations[[#This Row],[Material (choose from dropdown]],MaterialData[[#Headers],[#Data]],10,FALSE),0)</f>
        <v>0</v>
      </c>
      <c r="AL832" s="322">
        <f>IFERROR(Calculations[[#This Row],[Data Quality Score]]*Calculations[[#This Row],[Total Kg]],0)</f>
        <v>0</v>
      </c>
    </row>
    <row r="833" spans="1:38" x14ac:dyDescent="0.3">
      <c r="A833" s="6">
        <f>IFERROR(MaterialsBoQ[[#This Row],[Scope Element]],0)</f>
        <v>0</v>
      </c>
      <c r="B833" t="str">
        <f>IFERROR(MaterialsBoQ[[#This Row],[Material ]],"")</f>
        <v/>
      </c>
      <c r="C833" t="str">
        <f>IFERROR(MaterialsBoQ[[#This Row],[Unit]],"")</f>
        <v/>
      </c>
      <c r="D833" s="322">
        <f>IFERROR(MaterialsBoQ[[#This Row],[Number]],0)</f>
        <v>0</v>
      </c>
      <c r="E833" s="322">
        <f>IFERROR(MaterialsBoQ[[#This Row],[Kg per unit]],0)</f>
        <v>0</v>
      </c>
      <c r="F833" s="322">
        <f>IFERROR(Calculations[[#This Row],[Number]]*Calculations[[#This Row],[Conversion factor]],0)</f>
        <v>0</v>
      </c>
      <c r="G833" s="322">
        <f>IFERROR(VLOOKUP(Calculations[[#This Row],[Material (choose from dropdown]],MaterialData[#All],7,FALSE),0)</f>
        <v>0</v>
      </c>
      <c r="H833" s="322">
        <f>Calculations[[#This Row],[Total Kg]]*Calculations[[#This Row],[Carbon Factor]]</f>
        <v>0</v>
      </c>
      <c r="I833" t="str">
        <f>IFERROR(VLOOKUP(Calculations[[#This Row],[Material (choose from dropdown]],MaterialData[#All],2,FALSE),"")</f>
        <v/>
      </c>
      <c r="J833" s="322">
        <f>IFERROR(((VLOOKUP(Calculations[[#This Row],[TransportSource]],TransportDistance[],2,FALSE)*'Stage assumptions'!$C$11)+VLOOKUP(Calculations[[#This Row],[TransportSource]],TransportDistance[],3,FALSE)*'Stage assumptions'!$C$12)*Calculations[[#This Row],[Total Kg]],0)</f>
        <v>0</v>
      </c>
      <c r="K833">
        <f>IFERROR(VLOOKUP(Calculations[[#This Row],[Material (choose from dropdown]], MaterialData[#All],3, FALSE),0)</f>
        <v>0</v>
      </c>
      <c r="L833" s="322">
        <f>IFERROR(VLOOKUP(Calculations[[#This Row],[A5type]],A5WastageRate[#All],2,FALSE)*Calculations[[#This Row],[A1-3]],0)</f>
        <v>0</v>
      </c>
      <c r="N833">
        <f>IFERROR(ROUNDUP(50/VLOOKUP(Calculations[[#This Row],[Scope Element]],B4referenceServiceLife[[Tier 2 element]:[Default Service Life]],2, FALSE)-1,0),0)</f>
        <v>0</v>
      </c>
      <c r="O833" s="322">
        <f>IFERROR((Calculations[[#This Row],[A1-3]]+Calculations[[#This Row],[A4]]+Calculations[[#This Row],[A5]]+Calculations[[#This Row],[C2 total]]+Calculations[[#This Row],[C3 total]]+Calculations[[#This Row],[C4 total]])*Calculations[[#This Row],[Replacements]],0)</f>
        <v>0</v>
      </c>
      <c r="S833" t="str">
        <f>IFERROR(VLOOKUP(Calculations[[#This Row],[Material (choose from dropdown]],MaterialData[#All],4,FALSE),"")</f>
        <v/>
      </c>
      <c r="T833" s="322" cm="1">
        <f t="array" ref="T833">IFERROR(VLOOKUP(Calculations[[#This Row],[Waste 1]],WasteScenario[#All],2,FALSE)*'Stage assumptions'!$C$225*WasteTransportMethod[Emissions Factor
kgCO2e/kg.km]*Calculations[[#This Row],[Total Kg]],0)</f>
        <v>0</v>
      </c>
      <c r="U833" s="322" cm="1">
        <f t="array" ref="U833">IFERROR(VLOOKUP(Calculations[[#This Row],[Waste 1]],WasteScenario[#All],3,FALSE)*'Stage assumptions'!$C$224*WasteTransportMethod[Emissions Factor
kgCO2e/kg.km]*Calculations[[#This Row],[Total Kg]],0)</f>
        <v>0</v>
      </c>
      <c r="V833" s="322" cm="1">
        <f t="array" ref="V833">IFERROR(VLOOKUP(Calculations[[#This Row],[Waste 1]],WasteScenario[#All],4,FALSE)*'Stage assumptions'!$C$223*WasteTransportMethod[Emissions Factor
kgCO2e/kg.km]*Calculations[[#This Row],[Total Kg]],0)</f>
        <v>0</v>
      </c>
      <c r="W833" s="322" cm="1">
        <f t="array" ref="W833">IFERROR(VLOOKUP(Calculations[[#This Row],[Waste 1]],WasteScenario[#All],5,FALSE)*'Stage assumptions'!$C$226*WasteTransportMethod[Emissions Factor
kgCO2e/kg.km]*Calculations[[#This Row],[Total Kg]],0)</f>
        <v>0</v>
      </c>
      <c r="X833" s="322">
        <f>SUM(Calculations[[#This Row],[C2 Recycle]:[C2 Reuse]])</f>
        <v>0</v>
      </c>
      <c r="Y833" t="str">
        <f>IFERROR(VLOOKUP(Calculations[[#This Row],[Material (choose from dropdown]],MaterialData[#All],5,FALSE),"")</f>
        <v/>
      </c>
      <c r="Z833" s="322">
        <f>IFERROR(((VLOOKUP(Calculations[[#This Row],[Waste type 2]],WasteDisposalEmissions[#All],2,FALSE))*Calculations[[#This Row],[Total Kg]])*VLOOKUP(Calculations[[#This Row],[Waste 1]],WasteScenario[#All],2,FALSE),0)</f>
        <v>0</v>
      </c>
      <c r="AA833" s="322">
        <f>IFERROR((VLOOKUP(Calculations[[#This Row],[Waste type 2]],WasteDisposalEmissions[#All],3,FALSE))*Calculations[[#This Row],[Total Kg]]*VLOOKUP(Calculations[[#This Row],[Waste 1]],WasteScenario[#All],3,FALSE),0)</f>
        <v>0</v>
      </c>
      <c r="AB833" s="322">
        <f>SUM(Calculations[[#This Row],[C3 recyc]:[C3 incin]])</f>
        <v>0</v>
      </c>
      <c r="AC833" s="334">
        <f>IFERROR((VLOOKUP(Calculations[[#This Row],[Waste type 2]],WasteLandfillEmissions[#All],2,FALSE))*Calculations[[#This Row],[Total Kg]]*VLOOKUP(Calculations[[#This Row],[Waste 1]],WasteScenario[#All],4,FALSE),0)</f>
        <v>0</v>
      </c>
      <c r="AD833" s="322">
        <f>IFERROR((VLOOKUP(Calculations[[#This Row],[Waste type 2]],WasteLandfillEmissions[#All],3,FALSE))*Calculations[[#This Row],[Total Kg]]*VLOOKUP(Calculations[[#This Row],[Waste 1]],WasteScenario[#All],4,FALSE),0)</f>
        <v>0</v>
      </c>
      <c r="AE833" s="322">
        <f>SUM(Calculations[[#This Row],[C4 landfill]:[C4 re-use]])</f>
        <v>0</v>
      </c>
      <c r="AF833" s="322">
        <f>IFERROR(VLOOKUP(Calculations[[#This Row],[Material (choose from dropdown]],MaterialData[#All],8,FALSE),0)</f>
        <v>0</v>
      </c>
      <c r="AG833" s="322">
        <f>IFERROR(Calculations[[#This Row],[Total Kg]]*Calculations[[#This Row],[Seq factor]],0)</f>
        <v>0</v>
      </c>
      <c r="AI833" s="322">
        <f>Calculations[[#This Row],[A1-3]]+Calculations[[#This Row],[A4]]+Calculations[[#This Row],[A5]]+Calculations[[#This Row],[B4]]+Calculations[[#This Row],[C2 total]]+Calculations[[#This Row],[C3 total]]+Calculations[[#This Row],[C4 total]]</f>
        <v>0</v>
      </c>
      <c r="AJ833" s="2">
        <f>IFERROR(VLOOKUP(Calculations[[#This Row],[Material (choose from dropdown]],MaterialData[[#Headers],[#Data]],9,FALSE),0)</f>
        <v>0</v>
      </c>
      <c r="AK833" s="4">
        <f>IFERROR(VLOOKUP(Calculations[[#This Row],[Material (choose from dropdown]],MaterialData[[#Headers],[#Data]],10,FALSE),0)</f>
        <v>0</v>
      </c>
      <c r="AL833" s="322">
        <f>IFERROR(Calculations[[#This Row],[Data Quality Score]]*Calculations[[#This Row],[Total Kg]],0)</f>
        <v>0</v>
      </c>
    </row>
    <row r="834" spans="1:38" x14ac:dyDescent="0.3">
      <c r="A834" s="6">
        <f>IFERROR(MaterialsBoQ[[#This Row],[Scope Element]],0)</f>
        <v>0</v>
      </c>
      <c r="B834" t="str">
        <f>IFERROR(MaterialsBoQ[[#This Row],[Material ]],"")</f>
        <v/>
      </c>
      <c r="C834" t="str">
        <f>IFERROR(MaterialsBoQ[[#This Row],[Unit]],"")</f>
        <v/>
      </c>
      <c r="D834" s="322">
        <f>IFERROR(MaterialsBoQ[[#This Row],[Number]],0)</f>
        <v>0</v>
      </c>
      <c r="E834" s="322">
        <f>IFERROR(MaterialsBoQ[[#This Row],[Kg per unit]],0)</f>
        <v>0</v>
      </c>
      <c r="F834" s="322">
        <f>IFERROR(Calculations[[#This Row],[Number]]*Calculations[[#This Row],[Conversion factor]],0)</f>
        <v>0</v>
      </c>
      <c r="G834" s="322">
        <f>IFERROR(VLOOKUP(Calculations[[#This Row],[Material (choose from dropdown]],MaterialData[#All],7,FALSE),0)</f>
        <v>0</v>
      </c>
      <c r="H834" s="322">
        <f>Calculations[[#This Row],[Total Kg]]*Calculations[[#This Row],[Carbon Factor]]</f>
        <v>0</v>
      </c>
      <c r="I834" t="str">
        <f>IFERROR(VLOOKUP(Calculations[[#This Row],[Material (choose from dropdown]],MaterialData[#All],2,FALSE),"")</f>
        <v/>
      </c>
      <c r="J834" s="322">
        <f>IFERROR(((VLOOKUP(Calculations[[#This Row],[TransportSource]],TransportDistance[],2,FALSE)*'Stage assumptions'!$C$11)+VLOOKUP(Calculations[[#This Row],[TransportSource]],TransportDistance[],3,FALSE)*'Stage assumptions'!$C$12)*Calculations[[#This Row],[Total Kg]],0)</f>
        <v>0</v>
      </c>
      <c r="K834">
        <f>IFERROR(VLOOKUP(Calculations[[#This Row],[Material (choose from dropdown]], MaterialData[#All],3, FALSE),0)</f>
        <v>0</v>
      </c>
      <c r="L834" s="322">
        <f>IFERROR(VLOOKUP(Calculations[[#This Row],[A5type]],A5WastageRate[#All],2,FALSE)*Calculations[[#This Row],[A1-3]],0)</f>
        <v>0</v>
      </c>
      <c r="N834">
        <f>IFERROR(ROUNDUP(50/VLOOKUP(Calculations[[#This Row],[Scope Element]],B4referenceServiceLife[[Tier 2 element]:[Default Service Life]],2, FALSE)-1,0),0)</f>
        <v>0</v>
      </c>
      <c r="O834" s="322">
        <f>IFERROR((Calculations[[#This Row],[A1-3]]+Calculations[[#This Row],[A4]]+Calculations[[#This Row],[A5]]+Calculations[[#This Row],[C2 total]]+Calculations[[#This Row],[C3 total]]+Calculations[[#This Row],[C4 total]])*Calculations[[#This Row],[Replacements]],0)</f>
        <v>0</v>
      </c>
      <c r="S834" t="str">
        <f>IFERROR(VLOOKUP(Calculations[[#This Row],[Material (choose from dropdown]],MaterialData[#All],4,FALSE),"")</f>
        <v/>
      </c>
      <c r="T834" s="322" cm="1">
        <f t="array" ref="T834">IFERROR(VLOOKUP(Calculations[[#This Row],[Waste 1]],WasteScenario[#All],2,FALSE)*'Stage assumptions'!$C$225*WasteTransportMethod[Emissions Factor
kgCO2e/kg.km]*Calculations[[#This Row],[Total Kg]],0)</f>
        <v>0</v>
      </c>
      <c r="U834" s="322" cm="1">
        <f t="array" ref="U834">IFERROR(VLOOKUP(Calculations[[#This Row],[Waste 1]],WasteScenario[#All],3,FALSE)*'Stage assumptions'!$C$224*WasteTransportMethod[Emissions Factor
kgCO2e/kg.km]*Calculations[[#This Row],[Total Kg]],0)</f>
        <v>0</v>
      </c>
      <c r="V834" s="322" cm="1">
        <f t="array" ref="V834">IFERROR(VLOOKUP(Calculations[[#This Row],[Waste 1]],WasteScenario[#All],4,FALSE)*'Stage assumptions'!$C$223*WasteTransportMethod[Emissions Factor
kgCO2e/kg.km]*Calculations[[#This Row],[Total Kg]],0)</f>
        <v>0</v>
      </c>
      <c r="W834" s="322" cm="1">
        <f t="array" ref="W834">IFERROR(VLOOKUP(Calculations[[#This Row],[Waste 1]],WasteScenario[#All],5,FALSE)*'Stage assumptions'!$C$226*WasteTransportMethod[Emissions Factor
kgCO2e/kg.km]*Calculations[[#This Row],[Total Kg]],0)</f>
        <v>0</v>
      </c>
      <c r="X834" s="322">
        <f>SUM(Calculations[[#This Row],[C2 Recycle]:[C2 Reuse]])</f>
        <v>0</v>
      </c>
      <c r="Y834" t="str">
        <f>IFERROR(VLOOKUP(Calculations[[#This Row],[Material (choose from dropdown]],MaterialData[#All],5,FALSE),"")</f>
        <v/>
      </c>
      <c r="Z834" s="322">
        <f>IFERROR(((VLOOKUP(Calculations[[#This Row],[Waste type 2]],WasteDisposalEmissions[#All],2,FALSE))*Calculations[[#This Row],[Total Kg]])*VLOOKUP(Calculations[[#This Row],[Waste 1]],WasteScenario[#All],2,FALSE),0)</f>
        <v>0</v>
      </c>
      <c r="AA834" s="322">
        <f>IFERROR((VLOOKUP(Calculations[[#This Row],[Waste type 2]],WasteDisposalEmissions[#All],3,FALSE))*Calculations[[#This Row],[Total Kg]]*VLOOKUP(Calculations[[#This Row],[Waste 1]],WasteScenario[#All],3,FALSE),0)</f>
        <v>0</v>
      </c>
      <c r="AB834" s="322">
        <f>SUM(Calculations[[#This Row],[C3 recyc]:[C3 incin]])</f>
        <v>0</v>
      </c>
      <c r="AC834" s="334">
        <f>IFERROR((VLOOKUP(Calculations[[#This Row],[Waste type 2]],WasteLandfillEmissions[#All],2,FALSE))*Calculations[[#This Row],[Total Kg]]*VLOOKUP(Calculations[[#This Row],[Waste 1]],WasteScenario[#All],4,FALSE),0)</f>
        <v>0</v>
      </c>
      <c r="AD834" s="322">
        <f>IFERROR((VLOOKUP(Calculations[[#This Row],[Waste type 2]],WasteLandfillEmissions[#All],3,FALSE))*Calculations[[#This Row],[Total Kg]]*VLOOKUP(Calculations[[#This Row],[Waste 1]],WasteScenario[#All],4,FALSE),0)</f>
        <v>0</v>
      </c>
      <c r="AE834" s="322">
        <f>SUM(Calculations[[#This Row],[C4 landfill]:[C4 re-use]])</f>
        <v>0</v>
      </c>
      <c r="AF834" s="322">
        <f>IFERROR(VLOOKUP(Calculations[[#This Row],[Material (choose from dropdown]],MaterialData[#All],8,FALSE),0)</f>
        <v>0</v>
      </c>
      <c r="AG834" s="322">
        <f>IFERROR(Calculations[[#This Row],[Total Kg]]*Calculations[[#This Row],[Seq factor]],0)</f>
        <v>0</v>
      </c>
      <c r="AI834" s="322">
        <f>Calculations[[#This Row],[A1-3]]+Calculations[[#This Row],[A4]]+Calculations[[#This Row],[A5]]+Calculations[[#This Row],[B4]]+Calculations[[#This Row],[C2 total]]+Calculations[[#This Row],[C3 total]]+Calculations[[#This Row],[C4 total]]</f>
        <v>0</v>
      </c>
      <c r="AJ834" s="2">
        <f>IFERROR(VLOOKUP(Calculations[[#This Row],[Material (choose from dropdown]],MaterialData[[#Headers],[#Data]],9,FALSE),0)</f>
        <v>0</v>
      </c>
      <c r="AK834" s="4">
        <f>IFERROR(VLOOKUP(Calculations[[#This Row],[Material (choose from dropdown]],MaterialData[[#Headers],[#Data]],10,FALSE),0)</f>
        <v>0</v>
      </c>
      <c r="AL834" s="322">
        <f>IFERROR(Calculations[[#This Row],[Data Quality Score]]*Calculations[[#This Row],[Total Kg]],0)</f>
        <v>0</v>
      </c>
    </row>
    <row r="835" spans="1:38" x14ac:dyDescent="0.3">
      <c r="A835" s="6">
        <f>IFERROR(MaterialsBoQ[[#This Row],[Scope Element]],0)</f>
        <v>0</v>
      </c>
      <c r="B835" t="str">
        <f>IFERROR(MaterialsBoQ[[#This Row],[Material ]],"")</f>
        <v/>
      </c>
      <c r="C835" t="str">
        <f>IFERROR(MaterialsBoQ[[#This Row],[Unit]],"")</f>
        <v/>
      </c>
      <c r="D835" s="322">
        <f>IFERROR(MaterialsBoQ[[#This Row],[Number]],0)</f>
        <v>0</v>
      </c>
      <c r="E835" s="322">
        <f>IFERROR(MaterialsBoQ[[#This Row],[Kg per unit]],0)</f>
        <v>0</v>
      </c>
      <c r="F835" s="322">
        <f>IFERROR(Calculations[[#This Row],[Number]]*Calculations[[#This Row],[Conversion factor]],0)</f>
        <v>0</v>
      </c>
      <c r="G835" s="322">
        <f>IFERROR(VLOOKUP(Calculations[[#This Row],[Material (choose from dropdown]],MaterialData[#All],7,FALSE),0)</f>
        <v>0</v>
      </c>
      <c r="H835" s="322">
        <f>Calculations[[#This Row],[Total Kg]]*Calculations[[#This Row],[Carbon Factor]]</f>
        <v>0</v>
      </c>
      <c r="I835" t="str">
        <f>IFERROR(VLOOKUP(Calculations[[#This Row],[Material (choose from dropdown]],MaterialData[#All],2,FALSE),"")</f>
        <v/>
      </c>
      <c r="J835" s="322">
        <f>IFERROR(((VLOOKUP(Calculations[[#This Row],[TransportSource]],TransportDistance[],2,FALSE)*'Stage assumptions'!$C$11)+VLOOKUP(Calculations[[#This Row],[TransportSource]],TransportDistance[],3,FALSE)*'Stage assumptions'!$C$12)*Calculations[[#This Row],[Total Kg]],0)</f>
        <v>0</v>
      </c>
      <c r="K835">
        <f>IFERROR(VLOOKUP(Calculations[[#This Row],[Material (choose from dropdown]], MaterialData[#All],3, FALSE),0)</f>
        <v>0</v>
      </c>
      <c r="L835" s="322">
        <f>IFERROR(VLOOKUP(Calculations[[#This Row],[A5type]],A5WastageRate[#All],2,FALSE)*Calculations[[#This Row],[A1-3]],0)</f>
        <v>0</v>
      </c>
      <c r="N835">
        <f>IFERROR(ROUNDUP(50/VLOOKUP(Calculations[[#This Row],[Scope Element]],B4referenceServiceLife[[Tier 2 element]:[Default Service Life]],2, FALSE)-1,0),0)</f>
        <v>0</v>
      </c>
      <c r="O835" s="322">
        <f>IFERROR((Calculations[[#This Row],[A1-3]]+Calculations[[#This Row],[A4]]+Calculations[[#This Row],[A5]]+Calculations[[#This Row],[C2 total]]+Calculations[[#This Row],[C3 total]]+Calculations[[#This Row],[C4 total]])*Calculations[[#This Row],[Replacements]],0)</f>
        <v>0</v>
      </c>
      <c r="S835" t="str">
        <f>IFERROR(VLOOKUP(Calculations[[#This Row],[Material (choose from dropdown]],MaterialData[#All],4,FALSE),"")</f>
        <v/>
      </c>
      <c r="T835" s="322" cm="1">
        <f t="array" ref="T835">IFERROR(VLOOKUP(Calculations[[#This Row],[Waste 1]],WasteScenario[#All],2,FALSE)*'Stage assumptions'!$C$225*WasteTransportMethod[Emissions Factor
kgCO2e/kg.km]*Calculations[[#This Row],[Total Kg]],0)</f>
        <v>0</v>
      </c>
      <c r="U835" s="322" cm="1">
        <f t="array" ref="U835">IFERROR(VLOOKUP(Calculations[[#This Row],[Waste 1]],WasteScenario[#All],3,FALSE)*'Stage assumptions'!$C$224*WasteTransportMethod[Emissions Factor
kgCO2e/kg.km]*Calculations[[#This Row],[Total Kg]],0)</f>
        <v>0</v>
      </c>
      <c r="V835" s="322" cm="1">
        <f t="array" ref="V835">IFERROR(VLOOKUP(Calculations[[#This Row],[Waste 1]],WasteScenario[#All],4,FALSE)*'Stage assumptions'!$C$223*WasteTransportMethod[Emissions Factor
kgCO2e/kg.km]*Calculations[[#This Row],[Total Kg]],0)</f>
        <v>0</v>
      </c>
      <c r="W835" s="322" cm="1">
        <f t="array" ref="W835">IFERROR(VLOOKUP(Calculations[[#This Row],[Waste 1]],WasteScenario[#All],5,FALSE)*'Stage assumptions'!$C$226*WasteTransportMethod[Emissions Factor
kgCO2e/kg.km]*Calculations[[#This Row],[Total Kg]],0)</f>
        <v>0</v>
      </c>
      <c r="X835" s="322">
        <f>SUM(Calculations[[#This Row],[C2 Recycle]:[C2 Reuse]])</f>
        <v>0</v>
      </c>
      <c r="Y835" t="str">
        <f>IFERROR(VLOOKUP(Calculations[[#This Row],[Material (choose from dropdown]],MaterialData[#All],5,FALSE),"")</f>
        <v/>
      </c>
      <c r="Z835" s="322">
        <f>IFERROR(((VLOOKUP(Calculations[[#This Row],[Waste type 2]],WasteDisposalEmissions[#All],2,FALSE))*Calculations[[#This Row],[Total Kg]])*VLOOKUP(Calculations[[#This Row],[Waste 1]],WasteScenario[#All],2,FALSE),0)</f>
        <v>0</v>
      </c>
      <c r="AA835" s="322">
        <f>IFERROR((VLOOKUP(Calculations[[#This Row],[Waste type 2]],WasteDisposalEmissions[#All],3,FALSE))*Calculations[[#This Row],[Total Kg]]*VLOOKUP(Calculations[[#This Row],[Waste 1]],WasteScenario[#All],3,FALSE),0)</f>
        <v>0</v>
      </c>
      <c r="AB835" s="322">
        <f>SUM(Calculations[[#This Row],[C3 recyc]:[C3 incin]])</f>
        <v>0</v>
      </c>
      <c r="AC835" s="334">
        <f>IFERROR((VLOOKUP(Calculations[[#This Row],[Waste type 2]],WasteLandfillEmissions[#All],2,FALSE))*Calculations[[#This Row],[Total Kg]]*VLOOKUP(Calculations[[#This Row],[Waste 1]],WasteScenario[#All],4,FALSE),0)</f>
        <v>0</v>
      </c>
      <c r="AD835" s="322">
        <f>IFERROR((VLOOKUP(Calculations[[#This Row],[Waste type 2]],WasteLandfillEmissions[#All],3,FALSE))*Calculations[[#This Row],[Total Kg]]*VLOOKUP(Calculations[[#This Row],[Waste 1]],WasteScenario[#All],4,FALSE),0)</f>
        <v>0</v>
      </c>
      <c r="AE835" s="322">
        <f>SUM(Calculations[[#This Row],[C4 landfill]:[C4 re-use]])</f>
        <v>0</v>
      </c>
      <c r="AF835" s="322">
        <f>IFERROR(VLOOKUP(Calculations[[#This Row],[Material (choose from dropdown]],MaterialData[#All],8,FALSE),0)</f>
        <v>0</v>
      </c>
      <c r="AG835" s="322">
        <f>IFERROR(Calculations[[#This Row],[Total Kg]]*Calculations[[#This Row],[Seq factor]],0)</f>
        <v>0</v>
      </c>
      <c r="AI835" s="322">
        <f>Calculations[[#This Row],[A1-3]]+Calculations[[#This Row],[A4]]+Calculations[[#This Row],[A5]]+Calculations[[#This Row],[B4]]+Calculations[[#This Row],[C2 total]]+Calculations[[#This Row],[C3 total]]+Calculations[[#This Row],[C4 total]]</f>
        <v>0</v>
      </c>
      <c r="AJ835" s="2">
        <f>IFERROR(VLOOKUP(Calculations[[#This Row],[Material (choose from dropdown]],MaterialData[[#Headers],[#Data]],9,FALSE),0)</f>
        <v>0</v>
      </c>
      <c r="AK835" s="4">
        <f>IFERROR(VLOOKUP(Calculations[[#This Row],[Material (choose from dropdown]],MaterialData[[#Headers],[#Data]],10,FALSE),0)</f>
        <v>0</v>
      </c>
      <c r="AL835" s="322">
        <f>IFERROR(Calculations[[#This Row],[Data Quality Score]]*Calculations[[#This Row],[Total Kg]],0)</f>
        <v>0</v>
      </c>
    </row>
    <row r="836" spans="1:38" x14ac:dyDescent="0.3">
      <c r="A836" s="6">
        <f>IFERROR(MaterialsBoQ[[#This Row],[Scope Element]],0)</f>
        <v>0</v>
      </c>
      <c r="B836" t="str">
        <f>IFERROR(MaterialsBoQ[[#This Row],[Material ]],"")</f>
        <v/>
      </c>
      <c r="C836" t="str">
        <f>IFERROR(MaterialsBoQ[[#This Row],[Unit]],"")</f>
        <v/>
      </c>
      <c r="D836" s="322">
        <f>IFERROR(MaterialsBoQ[[#This Row],[Number]],0)</f>
        <v>0</v>
      </c>
      <c r="E836" s="322">
        <f>IFERROR(MaterialsBoQ[[#This Row],[Kg per unit]],0)</f>
        <v>0</v>
      </c>
      <c r="F836" s="322">
        <f>IFERROR(Calculations[[#This Row],[Number]]*Calculations[[#This Row],[Conversion factor]],0)</f>
        <v>0</v>
      </c>
      <c r="G836" s="322">
        <f>IFERROR(VLOOKUP(Calculations[[#This Row],[Material (choose from dropdown]],MaterialData[#All],7,FALSE),0)</f>
        <v>0</v>
      </c>
      <c r="H836" s="322">
        <f>Calculations[[#This Row],[Total Kg]]*Calculations[[#This Row],[Carbon Factor]]</f>
        <v>0</v>
      </c>
      <c r="I836" t="str">
        <f>IFERROR(VLOOKUP(Calculations[[#This Row],[Material (choose from dropdown]],MaterialData[#All],2,FALSE),"")</f>
        <v/>
      </c>
      <c r="J836" s="322">
        <f>IFERROR(((VLOOKUP(Calculations[[#This Row],[TransportSource]],TransportDistance[],2,FALSE)*'Stage assumptions'!$C$11)+VLOOKUP(Calculations[[#This Row],[TransportSource]],TransportDistance[],3,FALSE)*'Stage assumptions'!$C$12)*Calculations[[#This Row],[Total Kg]],0)</f>
        <v>0</v>
      </c>
      <c r="K836">
        <f>IFERROR(VLOOKUP(Calculations[[#This Row],[Material (choose from dropdown]], MaterialData[#All],3, FALSE),0)</f>
        <v>0</v>
      </c>
      <c r="L836" s="322">
        <f>IFERROR(VLOOKUP(Calculations[[#This Row],[A5type]],A5WastageRate[#All],2,FALSE)*Calculations[[#This Row],[A1-3]],0)</f>
        <v>0</v>
      </c>
      <c r="N836">
        <f>IFERROR(ROUNDUP(50/VLOOKUP(Calculations[[#This Row],[Scope Element]],B4referenceServiceLife[[Tier 2 element]:[Default Service Life]],2, FALSE)-1,0),0)</f>
        <v>0</v>
      </c>
      <c r="O836" s="322">
        <f>IFERROR((Calculations[[#This Row],[A1-3]]+Calculations[[#This Row],[A4]]+Calculations[[#This Row],[A5]]+Calculations[[#This Row],[C2 total]]+Calculations[[#This Row],[C3 total]]+Calculations[[#This Row],[C4 total]])*Calculations[[#This Row],[Replacements]],0)</f>
        <v>0</v>
      </c>
      <c r="S836" t="str">
        <f>IFERROR(VLOOKUP(Calculations[[#This Row],[Material (choose from dropdown]],MaterialData[#All],4,FALSE),"")</f>
        <v/>
      </c>
      <c r="T836" s="322" cm="1">
        <f t="array" ref="T836">IFERROR(VLOOKUP(Calculations[[#This Row],[Waste 1]],WasteScenario[#All],2,FALSE)*'Stage assumptions'!$C$225*WasteTransportMethod[Emissions Factor
kgCO2e/kg.km]*Calculations[[#This Row],[Total Kg]],0)</f>
        <v>0</v>
      </c>
      <c r="U836" s="322" cm="1">
        <f t="array" ref="U836">IFERROR(VLOOKUP(Calculations[[#This Row],[Waste 1]],WasteScenario[#All],3,FALSE)*'Stage assumptions'!$C$224*WasteTransportMethod[Emissions Factor
kgCO2e/kg.km]*Calculations[[#This Row],[Total Kg]],0)</f>
        <v>0</v>
      </c>
      <c r="V836" s="322" cm="1">
        <f t="array" ref="V836">IFERROR(VLOOKUP(Calculations[[#This Row],[Waste 1]],WasteScenario[#All],4,FALSE)*'Stage assumptions'!$C$223*WasteTransportMethod[Emissions Factor
kgCO2e/kg.km]*Calculations[[#This Row],[Total Kg]],0)</f>
        <v>0</v>
      </c>
      <c r="W836" s="322" cm="1">
        <f t="array" ref="W836">IFERROR(VLOOKUP(Calculations[[#This Row],[Waste 1]],WasteScenario[#All],5,FALSE)*'Stage assumptions'!$C$226*WasteTransportMethod[Emissions Factor
kgCO2e/kg.km]*Calculations[[#This Row],[Total Kg]],0)</f>
        <v>0</v>
      </c>
      <c r="X836" s="322">
        <f>SUM(Calculations[[#This Row],[C2 Recycle]:[C2 Reuse]])</f>
        <v>0</v>
      </c>
      <c r="Y836" t="str">
        <f>IFERROR(VLOOKUP(Calculations[[#This Row],[Material (choose from dropdown]],MaterialData[#All],5,FALSE),"")</f>
        <v/>
      </c>
      <c r="Z836" s="322">
        <f>IFERROR(((VLOOKUP(Calculations[[#This Row],[Waste type 2]],WasteDisposalEmissions[#All],2,FALSE))*Calculations[[#This Row],[Total Kg]])*VLOOKUP(Calculations[[#This Row],[Waste 1]],WasteScenario[#All],2,FALSE),0)</f>
        <v>0</v>
      </c>
      <c r="AA836" s="322">
        <f>IFERROR((VLOOKUP(Calculations[[#This Row],[Waste type 2]],WasteDisposalEmissions[#All],3,FALSE))*Calculations[[#This Row],[Total Kg]]*VLOOKUP(Calculations[[#This Row],[Waste 1]],WasteScenario[#All],3,FALSE),0)</f>
        <v>0</v>
      </c>
      <c r="AB836" s="322">
        <f>SUM(Calculations[[#This Row],[C3 recyc]:[C3 incin]])</f>
        <v>0</v>
      </c>
      <c r="AC836" s="334">
        <f>IFERROR((VLOOKUP(Calculations[[#This Row],[Waste type 2]],WasteLandfillEmissions[#All],2,FALSE))*Calculations[[#This Row],[Total Kg]]*VLOOKUP(Calculations[[#This Row],[Waste 1]],WasteScenario[#All],4,FALSE),0)</f>
        <v>0</v>
      </c>
      <c r="AD836" s="322">
        <f>IFERROR((VLOOKUP(Calculations[[#This Row],[Waste type 2]],WasteLandfillEmissions[#All],3,FALSE))*Calculations[[#This Row],[Total Kg]]*VLOOKUP(Calculations[[#This Row],[Waste 1]],WasteScenario[#All],4,FALSE),0)</f>
        <v>0</v>
      </c>
      <c r="AE836" s="322">
        <f>SUM(Calculations[[#This Row],[C4 landfill]:[C4 re-use]])</f>
        <v>0</v>
      </c>
      <c r="AF836" s="322">
        <f>IFERROR(VLOOKUP(Calculations[[#This Row],[Material (choose from dropdown]],MaterialData[#All],8,FALSE),0)</f>
        <v>0</v>
      </c>
      <c r="AG836" s="322">
        <f>IFERROR(Calculations[[#This Row],[Total Kg]]*Calculations[[#This Row],[Seq factor]],0)</f>
        <v>0</v>
      </c>
      <c r="AI836" s="322">
        <f>Calculations[[#This Row],[A1-3]]+Calculations[[#This Row],[A4]]+Calculations[[#This Row],[A5]]+Calculations[[#This Row],[B4]]+Calculations[[#This Row],[C2 total]]+Calculations[[#This Row],[C3 total]]+Calculations[[#This Row],[C4 total]]</f>
        <v>0</v>
      </c>
      <c r="AJ836" s="2">
        <f>IFERROR(VLOOKUP(Calculations[[#This Row],[Material (choose from dropdown]],MaterialData[[#Headers],[#Data]],9,FALSE),0)</f>
        <v>0</v>
      </c>
      <c r="AK836" s="4">
        <f>IFERROR(VLOOKUP(Calculations[[#This Row],[Material (choose from dropdown]],MaterialData[[#Headers],[#Data]],10,FALSE),0)</f>
        <v>0</v>
      </c>
      <c r="AL836" s="322">
        <f>IFERROR(Calculations[[#This Row],[Data Quality Score]]*Calculations[[#This Row],[Total Kg]],0)</f>
        <v>0</v>
      </c>
    </row>
    <row r="837" spans="1:38" x14ac:dyDescent="0.3">
      <c r="A837" s="6">
        <f>IFERROR(MaterialsBoQ[[#This Row],[Scope Element]],0)</f>
        <v>0</v>
      </c>
      <c r="B837" t="str">
        <f>IFERROR(MaterialsBoQ[[#This Row],[Material ]],"")</f>
        <v/>
      </c>
      <c r="C837" t="str">
        <f>IFERROR(MaterialsBoQ[[#This Row],[Unit]],"")</f>
        <v/>
      </c>
      <c r="D837" s="322">
        <f>IFERROR(MaterialsBoQ[[#This Row],[Number]],0)</f>
        <v>0</v>
      </c>
      <c r="E837" s="322">
        <f>IFERROR(MaterialsBoQ[[#This Row],[Kg per unit]],0)</f>
        <v>0</v>
      </c>
      <c r="F837" s="322">
        <f>IFERROR(Calculations[[#This Row],[Number]]*Calculations[[#This Row],[Conversion factor]],0)</f>
        <v>0</v>
      </c>
      <c r="G837" s="322">
        <f>IFERROR(VLOOKUP(Calculations[[#This Row],[Material (choose from dropdown]],MaterialData[#All],7,FALSE),0)</f>
        <v>0</v>
      </c>
      <c r="H837" s="322">
        <f>Calculations[[#This Row],[Total Kg]]*Calculations[[#This Row],[Carbon Factor]]</f>
        <v>0</v>
      </c>
      <c r="I837" t="str">
        <f>IFERROR(VLOOKUP(Calculations[[#This Row],[Material (choose from dropdown]],MaterialData[#All],2,FALSE),"")</f>
        <v/>
      </c>
      <c r="J837" s="322">
        <f>IFERROR(((VLOOKUP(Calculations[[#This Row],[TransportSource]],TransportDistance[],2,FALSE)*'Stage assumptions'!$C$11)+VLOOKUP(Calculations[[#This Row],[TransportSource]],TransportDistance[],3,FALSE)*'Stage assumptions'!$C$12)*Calculations[[#This Row],[Total Kg]],0)</f>
        <v>0</v>
      </c>
      <c r="K837">
        <f>IFERROR(VLOOKUP(Calculations[[#This Row],[Material (choose from dropdown]], MaterialData[#All],3, FALSE),0)</f>
        <v>0</v>
      </c>
      <c r="L837" s="322">
        <f>IFERROR(VLOOKUP(Calculations[[#This Row],[A5type]],A5WastageRate[#All],2,FALSE)*Calculations[[#This Row],[A1-3]],0)</f>
        <v>0</v>
      </c>
      <c r="N837">
        <f>IFERROR(ROUNDUP(50/VLOOKUP(Calculations[[#This Row],[Scope Element]],B4referenceServiceLife[[Tier 2 element]:[Default Service Life]],2, FALSE)-1,0),0)</f>
        <v>0</v>
      </c>
      <c r="O837" s="322">
        <f>IFERROR((Calculations[[#This Row],[A1-3]]+Calculations[[#This Row],[A4]]+Calculations[[#This Row],[A5]]+Calculations[[#This Row],[C2 total]]+Calculations[[#This Row],[C3 total]]+Calculations[[#This Row],[C4 total]])*Calculations[[#This Row],[Replacements]],0)</f>
        <v>0</v>
      </c>
      <c r="S837" t="str">
        <f>IFERROR(VLOOKUP(Calculations[[#This Row],[Material (choose from dropdown]],MaterialData[#All],4,FALSE),"")</f>
        <v/>
      </c>
      <c r="T837" s="322" cm="1">
        <f t="array" ref="T837">IFERROR(VLOOKUP(Calculations[[#This Row],[Waste 1]],WasteScenario[#All],2,FALSE)*'Stage assumptions'!$C$225*WasteTransportMethod[Emissions Factor
kgCO2e/kg.km]*Calculations[[#This Row],[Total Kg]],0)</f>
        <v>0</v>
      </c>
      <c r="U837" s="322" cm="1">
        <f t="array" ref="U837">IFERROR(VLOOKUP(Calculations[[#This Row],[Waste 1]],WasteScenario[#All],3,FALSE)*'Stage assumptions'!$C$224*WasteTransportMethod[Emissions Factor
kgCO2e/kg.km]*Calculations[[#This Row],[Total Kg]],0)</f>
        <v>0</v>
      </c>
      <c r="V837" s="322" cm="1">
        <f t="array" ref="V837">IFERROR(VLOOKUP(Calculations[[#This Row],[Waste 1]],WasteScenario[#All],4,FALSE)*'Stage assumptions'!$C$223*WasteTransportMethod[Emissions Factor
kgCO2e/kg.km]*Calculations[[#This Row],[Total Kg]],0)</f>
        <v>0</v>
      </c>
      <c r="W837" s="322" cm="1">
        <f t="array" ref="W837">IFERROR(VLOOKUP(Calculations[[#This Row],[Waste 1]],WasteScenario[#All],5,FALSE)*'Stage assumptions'!$C$226*WasteTransportMethod[Emissions Factor
kgCO2e/kg.km]*Calculations[[#This Row],[Total Kg]],0)</f>
        <v>0</v>
      </c>
      <c r="X837" s="322">
        <f>SUM(Calculations[[#This Row],[C2 Recycle]:[C2 Reuse]])</f>
        <v>0</v>
      </c>
      <c r="Y837" t="str">
        <f>IFERROR(VLOOKUP(Calculations[[#This Row],[Material (choose from dropdown]],MaterialData[#All],5,FALSE),"")</f>
        <v/>
      </c>
      <c r="Z837" s="322">
        <f>IFERROR(((VLOOKUP(Calculations[[#This Row],[Waste type 2]],WasteDisposalEmissions[#All],2,FALSE))*Calculations[[#This Row],[Total Kg]])*VLOOKUP(Calculations[[#This Row],[Waste 1]],WasteScenario[#All],2,FALSE),0)</f>
        <v>0</v>
      </c>
      <c r="AA837" s="322">
        <f>IFERROR((VLOOKUP(Calculations[[#This Row],[Waste type 2]],WasteDisposalEmissions[#All],3,FALSE))*Calculations[[#This Row],[Total Kg]]*VLOOKUP(Calculations[[#This Row],[Waste 1]],WasteScenario[#All],3,FALSE),0)</f>
        <v>0</v>
      </c>
      <c r="AB837" s="322">
        <f>SUM(Calculations[[#This Row],[C3 recyc]:[C3 incin]])</f>
        <v>0</v>
      </c>
      <c r="AC837" s="334">
        <f>IFERROR((VLOOKUP(Calculations[[#This Row],[Waste type 2]],WasteLandfillEmissions[#All],2,FALSE))*Calculations[[#This Row],[Total Kg]]*VLOOKUP(Calculations[[#This Row],[Waste 1]],WasteScenario[#All],4,FALSE),0)</f>
        <v>0</v>
      </c>
      <c r="AD837" s="322">
        <f>IFERROR((VLOOKUP(Calculations[[#This Row],[Waste type 2]],WasteLandfillEmissions[#All],3,FALSE))*Calculations[[#This Row],[Total Kg]]*VLOOKUP(Calculations[[#This Row],[Waste 1]],WasteScenario[#All],4,FALSE),0)</f>
        <v>0</v>
      </c>
      <c r="AE837" s="322">
        <f>SUM(Calculations[[#This Row],[C4 landfill]:[C4 re-use]])</f>
        <v>0</v>
      </c>
      <c r="AF837" s="322">
        <f>IFERROR(VLOOKUP(Calculations[[#This Row],[Material (choose from dropdown]],MaterialData[#All],8,FALSE),0)</f>
        <v>0</v>
      </c>
      <c r="AG837" s="322">
        <f>IFERROR(Calculations[[#This Row],[Total Kg]]*Calculations[[#This Row],[Seq factor]],0)</f>
        <v>0</v>
      </c>
      <c r="AI837" s="322">
        <f>Calculations[[#This Row],[A1-3]]+Calculations[[#This Row],[A4]]+Calculations[[#This Row],[A5]]+Calculations[[#This Row],[B4]]+Calculations[[#This Row],[C2 total]]+Calculations[[#This Row],[C3 total]]+Calculations[[#This Row],[C4 total]]</f>
        <v>0</v>
      </c>
      <c r="AJ837" s="2">
        <f>IFERROR(VLOOKUP(Calculations[[#This Row],[Material (choose from dropdown]],MaterialData[[#Headers],[#Data]],9,FALSE),0)</f>
        <v>0</v>
      </c>
      <c r="AK837" s="4">
        <f>IFERROR(VLOOKUP(Calculations[[#This Row],[Material (choose from dropdown]],MaterialData[[#Headers],[#Data]],10,FALSE),0)</f>
        <v>0</v>
      </c>
      <c r="AL837" s="322">
        <f>IFERROR(Calculations[[#This Row],[Data Quality Score]]*Calculations[[#This Row],[Total Kg]],0)</f>
        <v>0</v>
      </c>
    </row>
    <row r="838" spans="1:38" x14ac:dyDescent="0.3">
      <c r="A838" s="6">
        <f>IFERROR(MaterialsBoQ[[#This Row],[Scope Element]],0)</f>
        <v>0</v>
      </c>
      <c r="B838" t="str">
        <f>IFERROR(MaterialsBoQ[[#This Row],[Material ]],"")</f>
        <v/>
      </c>
      <c r="C838" t="str">
        <f>IFERROR(MaterialsBoQ[[#This Row],[Unit]],"")</f>
        <v/>
      </c>
      <c r="D838" s="322">
        <f>IFERROR(MaterialsBoQ[[#This Row],[Number]],0)</f>
        <v>0</v>
      </c>
      <c r="E838" s="322">
        <f>IFERROR(MaterialsBoQ[[#This Row],[Kg per unit]],0)</f>
        <v>0</v>
      </c>
      <c r="F838" s="322">
        <f>IFERROR(Calculations[[#This Row],[Number]]*Calculations[[#This Row],[Conversion factor]],0)</f>
        <v>0</v>
      </c>
      <c r="G838" s="322">
        <f>IFERROR(VLOOKUP(Calculations[[#This Row],[Material (choose from dropdown]],MaterialData[#All],7,FALSE),0)</f>
        <v>0</v>
      </c>
      <c r="H838" s="322">
        <f>Calculations[[#This Row],[Total Kg]]*Calculations[[#This Row],[Carbon Factor]]</f>
        <v>0</v>
      </c>
      <c r="I838" t="str">
        <f>IFERROR(VLOOKUP(Calculations[[#This Row],[Material (choose from dropdown]],MaterialData[#All],2,FALSE),"")</f>
        <v/>
      </c>
      <c r="J838" s="322">
        <f>IFERROR(((VLOOKUP(Calculations[[#This Row],[TransportSource]],TransportDistance[],2,FALSE)*'Stage assumptions'!$C$11)+VLOOKUP(Calculations[[#This Row],[TransportSource]],TransportDistance[],3,FALSE)*'Stage assumptions'!$C$12)*Calculations[[#This Row],[Total Kg]],0)</f>
        <v>0</v>
      </c>
      <c r="K838">
        <f>IFERROR(VLOOKUP(Calculations[[#This Row],[Material (choose from dropdown]], MaterialData[#All],3, FALSE),0)</f>
        <v>0</v>
      </c>
      <c r="L838" s="322">
        <f>IFERROR(VLOOKUP(Calculations[[#This Row],[A5type]],A5WastageRate[#All],2,FALSE)*Calculations[[#This Row],[A1-3]],0)</f>
        <v>0</v>
      </c>
      <c r="N838">
        <f>IFERROR(ROUNDUP(50/VLOOKUP(Calculations[[#This Row],[Scope Element]],B4referenceServiceLife[[Tier 2 element]:[Default Service Life]],2, FALSE)-1,0),0)</f>
        <v>0</v>
      </c>
      <c r="O838" s="322">
        <f>IFERROR((Calculations[[#This Row],[A1-3]]+Calculations[[#This Row],[A4]]+Calculations[[#This Row],[A5]]+Calculations[[#This Row],[C2 total]]+Calculations[[#This Row],[C3 total]]+Calculations[[#This Row],[C4 total]])*Calculations[[#This Row],[Replacements]],0)</f>
        <v>0</v>
      </c>
      <c r="S838" t="str">
        <f>IFERROR(VLOOKUP(Calculations[[#This Row],[Material (choose from dropdown]],MaterialData[#All],4,FALSE),"")</f>
        <v/>
      </c>
      <c r="T838" s="322" cm="1">
        <f t="array" ref="T838">IFERROR(VLOOKUP(Calculations[[#This Row],[Waste 1]],WasteScenario[#All],2,FALSE)*'Stage assumptions'!$C$225*WasteTransportMethod[Emissions Factor
kgCO2e/kg.km]*Calculations[[#This Row],[Total Kg]],0)</f>
        <v>0</v>
      </c>
      <c r="U838" s="322" cm="1">
        <f t="array" ref="U838">IFERROR(VLOOKUP(Calculations[[#This Row],[Waste 1]],WasteScenario[#All],3,FALSE)*'Stage assumptions'!$C$224*WasteTransportMethod[Emissions Factor
kgCO2e/kg.km]*Calculations[[#This Row],[Total Kg]],0)</f>
        <v>0</v>
      </c>
      <c r="V838" s="322" cm="1">
        <f t="array" ref="V838">IFERROR(VLOOKUP(Calculations[[#This Row],[Waste 1]],WasteScenario[#All],4,FALSE)*'Stage assumptions'!$C$223*WasteTransportMethod[Emissions Factor
kgCO2e/kg.km]*Calculations[[#This Row],[Total Kg]],0)</f>
        <v>0</v>
      </c>
      <c r="W838" s="322" cm="1">
        <f t="array" ref="W838">IFERROR(VLOOKUP(Calculations[[#This Row],[Waste 1]],WasteScenario[#All],5,FALSE)*'Stage assumptions'!$C$226*WasteTransportMethod[Emissions Factor
kgCO2e/kg.km]*Calculations[[#This Row],[Total Kg]],0)</f>
        <v>0</v>
      </c>
      <c r="X838" s="322">
        <f>SUM(Calculations[[#This Row],[C2 Recycle]:[C2 Reuse]])</f>
        <v>0</v>
      </c>
      <c r="Y838" t="str">
        <f>IFERROR(VLOOKUP(Calculations[[#This Row],[Material (choose from dropdown]],MaterialData[#All],5,FALSE),"")</f>
        <v/>
      </c>
      <c r="Z838" s="322">
        <f>IFERROR(((VLOOKUP(Calculations[[#This Row],[Waste type 2]],WasteDisposalEmissions[#All],2,FALSE))*Calculations[[#This Row],[Total Kg]])*VLOOKUP(Calculations[[#This Row],[Waste 1]],WasteScenario[#All],2,FALSE),0)</f>
        <v>0</v>
      </c>
      <c r="AA838" s="322">
        <f>IFERROR((VLOOKUP(Calculations[[#This Row],[Waste type 2]],WasteDisposalEmissions[#All],3,FALSE))*Calculations[[#This Row],[Total Kg]]*VLOOKUP(Calculations[[#This Row],[Waste 1]],WasteScenario[#All],3,FALSE),0)</f>
        <v>0</v>
      </c>
      <c r="AB838" s="322">
        <f>SUM(Calculations[[#This Row],[C3 recyc]:[C3 incin]])</f>
        <v>0</v>
      </c>
      <c r="AC838" s="334">
        <f>IFERROR((VLOOKUP(Calculations[[#This Row],[Waste type 2]],WasteLandfillEmissions[#All],2,FALSE))*Calculations[[#This Row],[Total Kg]]*VLOOKUP(Calculations[[#This Row],[Waste 1]],WasteScenario[#All],4,FALSE),0)</f>
        <v>0</v>
      </c>
      <c r="AD838" s="322">
        <f>IFERROR((VLOOKUP(Calculations[[#This Row],[Waste type 2]],WasteLandfillEmissions[#All],3,FALSE))*Calculations[[#This Row],[Total Kg]]*VLOOKUP(Calculations[[#This Row],[Waste 1]],WasteScenario[#All],4,FALSE),0)</f>
        <v>0</v>
      </c>
      <c r="AE838" s="322">
        <f>SUM(Calculations[[#This Row],[C4 landfill]:[C4 re-use]])</f>
        <v>0</v>
      </c>
      <c r="AF838" s="322">
        <f>IFERROR(VLOOKUP(Calculations[[#This Row],[Material (choose from dropdown]],MaterialData[#All],8,FALSE),0)</f>
        <v>0</v>
      </c>
      <c r="AG838" s="322">
        <f>IFERROR(Calculations[[#This Row],[Total Kg]]*Calculations[[#This Row],[Seq factor]],0)</f>
        <v>0</v>
      </c>
      <c r="AI838" s="322">
        <f>Calculations[[#This Row],[A1-3]]+Calculations[[#This Row],[A4]]+Calculations[[#This Row],[A5]]+Calculations[[#This Row],[B4]]+Calculations[[#This Row],[C2 total]]+Calculations[[#This Row],[C3 total]]+Calculations[[#This Row],[C4 total]]</f>
        <v>0</v>
      </c>
      <c r="AJ838" s="2">
        <f>IFERROR(VLOOKUP(Calculations[[#This Row],[Material (choose from dropdown]],MaterialData[[#Headers],[#Data]],9,FALSE),0)</f>
        <v>0</v>
      </c>
      <c r="AK838" s="4">
        <f>IFERROR(VLOOKUP(Calculations[[#This Row],[Material (choose from dropdown]],MaterialData[[#Headers],[#Data]],10,FALSE),0)</f>
        <v>0</v>
      </c>
      <c r="AL838" s="322">
        <f>IFERROR(Calculations[[#This Row],[Data Quality Score]]*Calculations[[#This Row],[Total Kg]],0)</f>
        <v>0</v>
      </c>
    </row>
    <row r="839" spans="1:38" x14ac:dyDescent="0.3">
      <c r="A839" s="6">
        <f>IFERROR(MaterialsBoQ[[#This Row],[Scope Element]],0)</f>
        <v>0</v>
      </c>
      <c r="B839" t="str">
        <f>IFERROR(MaterialsBoQ[[#This Row],[Material ]],"")</f>
        <v/>
      </c>
      <c r="C839" t="str">
        <f>IFERROR(MaterialsBoQ[[#This Row],[Unit]],"")</f>
        <v/>
      </c>
      <c r="D839" s="322">
        <f>IFERROR(MaterialsBoQ[[#This Row],[Number]],0)</f>
        <v>0</v>
      </c>
      <c r="E839" s="322">
        <f>IFERROR(MaterialsBoQ[[#This Row],[Kg per unit]],0)</f>
        <v>0</v>
      </c>
      <c r="F839" s="322">
        <f>IFERROR(Calculations[[#This Row],[Number]]*Calculations[[#This Row],[Conversion factor]],0)</f>
        <v>0</v>
      </c>
      <c r="G839" s="322">
        <f>IFERROR(VLOOKUP(Calculations[[#This Row],[Material (choose from dropdown]],MaterialData[#All],7,FALSE),0)</f>
        <v>0</v>
      </c>
      <c r="H839" s="322">
        <f>Calculations[[#This Row],[Total Kg]]*Calculations[[#This Row],[Carbon Factor]]</f>
        <v>0</v>
      </c>
      <c r="I839" t="str">
        <f>IFERROR(VLOOKUP(Calculations[[#This Row],[Material (choose from dropdown]],MaterialData[#All],2,FALSE),"")</f>
        <v/>
      </c>
      <c r="J839" s="322">
        <f>IFERROR(((VLOOKUP(Calculations[[#This Row],[TransportSource]],TransportDistance[],2,FALSE)*'Stage assumptions'!$C$11)+VLOOKUP(Calculations[[#This Row],[TransportSource]],TransportDistance[],3,FALSE)*'Stage assumptions'!$C$12)*Calculations[[#This Row],[Total Kg]],0)</f>
        <v>0</v>
      </c>
      <c r="K839">
        <f>IFERROR(VLOOKUP(Calculations[[#This Row],[Material (choose from dropdown]], MaterialData[#All],3, FALSE),0)</f>
        <v>0</v>
      </c>
      <c r="L839" s="322">
        <f>IFERROR(VLOOKUP(Calculations[[#This Row],[A5type]],A5WastageRate[#All],2,FALSE)*Calculations[[#This Row],[A1-3]],0)</f>
        <v>0</v>
      </c>
      <c r="N839">
        <f>IFERROR(ROUNDUP(50/VLOOKUP(Calculations[[#This Row],[Scope Element]],B4referenceServiceLife[[Tier 2 element]:[Default Service Life]],2, FALSE)-1,0),0)</f>
        <v>0</v>
      </c>
      <c r="O839" s="322">
        <f>IFERROR((Calculations[[#This Row],[A1-3]]+Calculations[[#This Row],[A4]]+Calculations[[#This Row],[A5]]+Calculations[[#This Row],[C2 total]]+Calculations[[#This Row],[C3 total]]+Calculations[[#This Row],[C4 total]])*Calculations[[#This Row],[Replacements]],0)</f>
        <v>0</v>
      </c>
      <c r="S839" t="str">
        <f>IFERROR(VLOOKUP(Calculations[[#This Row],[Material (choose from dropdown]],MaterialData[#All],4,FALSE),"")</f>
        <v/>
      </c>
      <c r="T839" s="322" cm="1">
        <f t="array" ref="T839">IFERROR(VLOOKUP(Calculations[[#This Row],[Waste 1]],WasteScenario[#All],2,FALSE)*'Stage assumptions'!$C$225*WasteTransportMethod[Emissions Factor
kgCO2e/kg.km]*Calculations[[#This Row],[Total Kg]],0)</f>
        <v>0</v>
      </c>
      <c r="U839" s="322" cm="1">
        <f t="array" ref="U839">IFERROR(VLOOKUP(Calculations[[#This Row],[Waste 1]],WasteScenario[#All],3,FALSE)*'Stage assumptions'!$C$224*WasteTransportMethod[Emissions Factor
kgCO2e/kg.km]*Calculations[[#This Row],[Total Kg]],0)</f>
        <v>0</v>
      </c>
      <c r="V839" s="322" cm="1">
        <f t="array" ref="V839">IFERROR(VLOOKUP(Calculations[[#This Row],[Waste 1]],WasteScenario[#All],4,FALSE)*'Stage assumptions'!$C$223*WasteTransportMethod[Emissions Factor
kgCO2e/kg.km]*Calculations[[#This Row],[Total Kg]],0)</f>
        <v>0</v>
      </c>
      <c r="W839" s="322" cm="1">
        <f t="array" ref="W839">IFERROR(VLOOKUP(Calculations[[#This Row],[Waste 1]],WasteScenario[#All],5,FALSE)*'Stage assumptions'!$C$226*WasteTransportMethod[Emissions Factor
kgCO2e/kg.km]*Calculations[[#This Row],[Total Kg]],0)</f>
        <v>0</v>
      </c>
      <c r="X839" s="322">
        <f>SUM(Calculations[[#This Row],[C2 Recycle]:[C2 Reuse]])</f>
        <v>0</v>
      </c>
      <c r="Y839" t="str">
        <f>IFERROR(VLOOKUP(Calculations[[#This Row],[Material (choose from dropdown]],MaterialData[#All],5,FALSE),"")</f>
        <v/>
      </c>
      <c r="Z839" s="322">
        <f>IFERROR(((VLOOKUP(Calculations[[#This Row],[Waste type 2]],WasteDisposalEmissions[#All],2,FALSE))*Calculations[[#This Row],[Total Kg]])*VLOOKUP(Calculations[[#This Row],[Waste 1]],WasteScenario[#All],2,FALSE),0)</f>
        <v>0</v>
      </c>
      <c r="AA839" s="322">
        <f>IFERROR((VLOOKUP(Calculations[[#This Row],[Waste type 2]],WasteDisposalEmissions[#All],3,FALSE))*Calculations[[#This Row],[Total Kg]]*VLOOKUP(Calculations[[#This Row],[Waste 1]],WasteScenario[#All],3,FALSE),0)</f>
        <v>0</v>
      </c>
      <c r="AB839" s="322">
        <f>SUM(Calculations[[#This Row],[C3 recyc]:[C3 incin]])</f>
        <v>0</v>
      </c>
      <c r="AC839" s="334">
        <f>IFERROR((VLOOKUP(Calculations[[#This Row],[Waste type 2]],WasteLandfillEmissions[#All],2,FALSE))*Calculations[[#This Row],[Total Kg]]*VLOOKUP(Calculations[[#This Row],[Waste 1]],WasteScenario[#All],4,FALSE),0)</f>
        <v>0</v>
      </c>
      <c r="AD839" s="322">
        <f>IFERROR((VLOOKUP(Calculations[[#This Row],[Waste type 2]],WasteLandfillEmissions[#All],3,FALSE))*Calculations[[#This Row],[Total Kg]]*VLOOKUP(Calculations[[#This Row],[Waste 1]],WasteScenario[#All],4,FALSE),0)</f>
        <v>0</v>
      </c>
      <c r="AE839" s="322">
        <f>SUM(Calculations[[#This Row],[C4 landfill]:[C4 re-use]])</f>
        <v>0</v>
      </c>
      <c r="AF839" s="322">
        <f>IFERROR(VLOOKUP(Calculations[[#This Row],[Material (choose from dropdown]],MaterialData[#All],8,FALSE),0)</f>
        <v>0</v>
      </c>
      <c r="AG839" s="322">
        <f>IFERROR(Calculations[[#This Row],[Total Kg]]*Calculations[[#This Row],[Seq factor]],0)</f>
        <v>0</v>
      </c>
      <c r="AI839" s="322">
        <f>Calculations[[#This Row],[A1-3]]+Calculations[[#This Row],[A4]]+Calculations[[#This Row],[A5]]+Calculations[[#This Row],[B4]]+Calculations[[#This Row],[C2 total]]+Calculations[[#This Row],[C3 total]]+Calculations[[#This Row],[C4 total]]</f>
        <v>0</v>
      </c>
      <c r="AJ839" s="2">
        <f>IFERROR(VLOOKUP(Calculations[[#This Row],[Material (choose from dropdown]],MaterialData[[#Headers],[#Data]],9,FALSE),0)</f>
        <v>0</v>
      </c>
      <c r="AK839" s="4">
        <f>IFERROR(VLOOKUP(Calculations[[#This Row],[Material (choose from dropdown]],MaterialData[[#Headers],[#Data]],10,FALSE),0)</f>
        <v>0</v>
      </c>
      <c r="AL839" s="322">
        <f>IFERROR(Calculations[[#This Row],[Data Quality Score]]*Calculations[[#This Row],[Total Kg]],0)</f>
        <v>0</v>
      </c>
    </row>
    <row r="840" spans="1:38" x14ac:dyDescent="0.3">
      <c r="A840" s="6">
        <f>IFERROR(MaterialsBoQ[[#This Row],[Scope Element]],0)</f>
        <v>0</v>
      </c>
      <c r="B840" t="str">
        <f>IFERROR(MaterialsBoQ[[#This Row],[Material ]],"")</f>
        <v/>
      </c>
      <c r="C840" t="str">
        <f>IFERROR(MaterialsBoQ[[#This Row],[Unit]],"")</f>
        <v/>
      </c>
      <c r="D840" s="322">
        <f>IFERROR(MaterialsBoQ[[#This Row],[Number]],0)</f>
        <v>0</v>
      </c>
      <c r="E840" s="322">
        <f>IFERROR(MaterialsBoQ[[#This Row],[Kg per unit]],0)</f>
        <v>0</v>
      </c>
      <c r="F840" s="322">
        <f>IFERROR(Calculations[[#This Row],[Number]]*Calculations[[#This Row],[Conversion factor]],0)</f>
        <v>0</v>
      </c>
      <c r="G840" s="322">
        <f>IFERROR(VLOOKUP(Calculations[[#This Row],[Material (choose from dropdown]],MaterialData[#All],7,FALSE),0)</f>
        <v>0</v>
      </c>
      <c r="H840" s="322">
        <f>Calculations[[#This Row],[Total Kg]]*Calculations[[#This Row],[Carbon Factor]]</f>
        <v>0</v>
      </c>
      <c r="I840" t="str">
        <f>IFERROR(VLOOKUP(Calculations[[#This Row],[Material (choose from dropdown]],MaterialData[#All],2,FALSE),"")</f>
        <v/>
      </c>
      <c r="J840" s="322">
        <f>IFERROR(((VLOOKUP(Calculations[[#This Row],[TransportSource]],TransportDistance[],2,FALSE)*'Stage assumptions'!$C$11)+VLOOKUP(Calculations[[#This Row],[TransportSource]],TransportDistance[],3,FALSE)*'Stage assumptions'!$C$12)*Calculations[[#This Row],[Total Kg]],0)</f>
        <v>0</v>
      </c>
      <c r="K840">
        <f>IFERROR(VLOOKUP(Calculations[[#This Row],[Material (choose from dropdown]], MaterialData[#All],3, FALSE),0)</f>
        <v>0</v>
      </c>
      <c r="L840" s="322">
        <f>IFERROR(VLOOKUP(Calculations[[#This Row],[A5type]],A5WastageRate[#All],2,FALSE)*Calculations[[#This Row],[A1-3]],0)</f>
        <v>0</v>
      </c>
      <c r="N840">
        <f>IFERROR(ROUNDUP(50/VLOOKUP(Calculations[[#This Row],[Scope Element]],B4referenceServiceLife[[Tier 2 element]:[Default Service Life]],2, FALSE)-1,0),0)</f>
        <v>0</v>
      </c>
      <c r="O840" s="322">
        <f>IFERROR((Calculations[[#This Row],[A1-3]]+Calculations[[#This Row],[A4]]+Calculations[[#This Row],[A5]]+Calculations[[#This Row],[C2 total]]+Calculations[[#This Row],[C3 total]]+Calculations[[#This Row],[C4 total]])*Calculations[[#This Row],[Replacements]],0)</f>
        <v>0</v>
      </c>
      <c r="S840" t="str">
        <f>IFERROR(VLOOKUP(Calculations[[#This Row],[Material (choose from dropdown]],MaterialData[#All],4,FALSE),"")</f>
        <v/>
      </c>
      <c r="T840" s="322" cm="1">
        <f t="array" ref="T840">IFERROR(VLOOKUP(Calculations[[#This Row],[Waste 1]],WasteScenario[#All],2,FALSE)*'Stage assumptions'!$C$225*WasteTransportMethod[Emissions Factor
kgCO2e/kg.km]*Calculations[[#This Row],[Total Kg]],0)</f>
        <v>0</v>
      </c>
      <c r="U840" s="322" cm="1">
        <f t="array" ref="U840">IFERROR(VLOOKUP(Calculations[[#This Row],[Waste 1]],WasteScenario[#All],3,FALSE)*'Stage assumptions'!$C$224*WasteTransportMethod[Emissions Factor
kgCO2e/kg.km]*Calculations[[#This Row],[Total Kg]],0)</f>
        <v>0</v>
      </c>
      <c r="V840" s="322" cm="1">
        <f t="array" ref="V840">IFERROR(VLOOKUP(Calculations[[#This Row],[Waste 1]],WasteScenario[#All],4,FALSE)*'Stage assumptions'!$C$223*WasteTransportMethod[Emissions Factor
kgCO2e/kg.km]*Calculations[[#This Row],[Total Kg]],0)</f>
        <v>0</v>
      </c>
      <c r="W840" s="322" cm="1">
        <f t="array" ref="W840">IFERROR(VLOOKUP(Calculations[[#This Row],[Waste 1]],WasteScenario[#All],5,FALSE)*'Stage assumptions'!$C$226*WasteTransportMethod[Emissions Factor
kgCO2e/kg.km]*Calculations[[#This Row],[Total Kg]],0)</f>
        <v>0</v>
      </c>
      <c r="X840" s="322">
        <f>SUM(Calculations[[#This Row],[C2 Recycle]:[C2 Reuse]])</f>
        <v>0</v>
      </c>
      <c r="Y840" t="str">
        <f>IFERROR(VLOOKUP(Calculations[[#This Row],[Material (choose from dropdown]],MaterialData[#All],5,FALSE),"")</f>
        <v/>
      </c>
      <c r="Z840" s="322">
        <f>IFERROR(((VLOOKUP(Calculations[[#This Row],[Waste type 2]],WasteDisposalEmissions[#All],2,FALSE))*Calculations[[#This Row],[Total Kg]])*VLOOKUP(Calculations[[#This Row],[Waste 1]],WasteScenario[#All],2,FALSE),0)</f>
        <v>0</v>
      </c>
      <c r="AA840" s="322">
        <f>IFERROR((VLOOKUP(Calculations[[#This Row],[Waste type 2]],WasteDisposalEmissions[#All],3,FALSE))*Calculations[[#This Row],[Total Kg]]*VLOOKUP(Calculations[[#This Row],[Waste 1]],WasteScenario[#All],3,FALSE),0)</f>
        <v>0</v>
      </c>
      <c r="AB840" s="322">
        <f>SUM(Calculations[[#This Row],[C3 recyc]:[C3 incin]])</f>
        <v>0</v>
      </c>
      <c r="AC840" s="334">
        <f>IFERROR((VLOOKUP(Calculations[[#This Row],[Waste type 2]],WasteLandfillEmissions[#All],2,FALSE))*Calculations[[#This Row],[Total Kg]]*VLOOKUP(Calculations[[#This Row],[Waste 1]],WasteScenario[#All],4,FALSE),0)</f>
        <v>0</v>
      </c>
      <c r="AD840" s="322">
        <f>IFERROR((VLOOKUP(Calculations[[#This Row],[Waste type 2]],WasteLandfillEmissions[#All],3,FALSE))*Calculations[[#This Row],[Total Kg]]*VLOOKUP(Calculations[[#This Row],[Waste 1]],WasteScenario[#All],4,FALSE),0)</f>
        <v>0</v>
      </c>
      <c r="AE840" s="322">
        <f>SUM(Calculations[[#This Row],[C4 landfill]:[C4 re-use]])</f>
        <v>0</v>
      </c>
      <c r="AF840" s="322">
        <f>IFERROR(VLOOKUP(Calculations[[#This Row],[Material (choose from dropdown]],MaterialData[#All],8,FALSE),0)</f>
        <v>0</v>
      </c>
      <c r="AG840" s="322">
        <f>IFERROR(Calculations[[#This Row],[Total Kg]]*Calculations[[#This Row],[Seq factor]],0)</f>
        <v>0</v>
      </c>
      <c r="AI840" s="322">
        <f>Calculations[[#This Row],[A1-3]]+Calculations[[#This Row],[A4]]+Calculations[[#This Row],[A5]]+Calculations[[#This Row],[B4]]+Calculations[[#This Row],[C2 total]]+Calculations[[#This Row],[C3 total]]+Calculations[[#This Row],[C4 total]]</f>
        <v>0</v>
      </c>
      <c r="AJ840" s="2">
        <f>IFERROR(VLOOKUP(Calculations[[#This Row],[Material (choose from dropdown]],MaterialData[[#Headers],[#Data]],9,FALSE),0)</f>
        <v>0</v>
      </c>
      <c r="AK840" s="4">
        <f>IFERROR(VLOOKUP(Calculations[[#This Row],[Material (choose from dropdown]],MaterialData[[#Headers],[#Data]],10,FALSE),0)</f>
        <v>0</v>
      </c>
      <c r="AL840" s="322">
        <f>IFERROR(Calculations[[#This Row],[Data Quality Score]]*Calculations[[#This Row],[Total Kg]],0)</f>
        <v>0</v>
      </c>
    </row>
    <row r="841" spans="1:38" x14ac:dyDescent="0.3">
      <c r="A841" s="6">
        <f>IFERROR(MaterialsBoQ[[#This Row],[Scope Element]],0)</f>
        <v>0</v>
      </c>
      <c r="B841" t="str">
        <f>IFERROR(MaterialsBoQ[[#This Row],[Material ]],"")</f>
        <v/>
      </c>
      <c r="C841" t="str">
        <f>IFERROR(MaterialsBoQ[[#This Row],[Unit]],"")</f>
        <v/>
      </c>
      <c r="D841" s="322">
        <f>IFERROR(MaterialsBoQ[[#This Row],[Number]],0)</f>
        <v>0</v>
      </c>
      <c r="E841" s="322">
        <f>IFERROR(MaterialsBoQ[[#This Row],[Kg per unit]],0)</f>
        <v>0</v>
      </c>
      <c r="F841" s="322">
        <f>IFERROR(Calculations[[#This Row],[Number]]*Calculations[[#This Row],[Conversion factor]],0)</f>
        <v>0</v>
      </c>
      <c r="G841" s="322">
        <f>IFERROR(VLOOKUP(Calculations[[#This Row],[Material (choose from dropdown]],MaterialData[#All],7,FALSE),0)</f>
        <v>0</v>
      </c>
      <c r="H841" s="322">
        <f>Calculations[[#This Row],[Total Kg]]*Calculations[[#This Row],[Carbon Factor]]</f>
        <v>0</v>
      </c>
      <c r="I841" t="str">
        <f>IFERROR(VLOOKUP(Calculations[[#This Row],[Material (choose from dropdown]],MaterialData[#All],2,FALSE),"")</f>
        <v/>
      </c>
      <c r="J841" s="322">
        <f>IFERROR(((VLOOKUP(Calculations[[#This Row],[TransportSource]],TransportDistance[],2,FALSE)*'Stage assumptions'!$C$11)+VLOOKUP(Calculations[[#This Row],[TransportSource]],TransportDistance[],3,FALSE)*'Stage assumptions'!$C$12)*Calculations[[#This Row],[Total Kg]],0)</f>
        <v>0</v>
      </c>
      <c r="K841">
        <f>IFERROR(VLOOKUP(Calculations[[#This Row],[Material (choose from dropdown]], MaterialData[#All],3, FALSE),0)</f>
        <v>0</v>
      </c>
      <c r="L841" s="322">
        <f>IFERROR(VLOOKUP(Calculations[[#This Row],[A5type]],A5WastageRate[#All],2,FALSE)*Calculations[[#This Row],[A1-3]],0)</f>
        <v>0</v>
      </c>
      <c r="N841">
        <f>IFERROR(ROUNDUP(50/VLOOKUP(Calculations[[#This Row],[Scope Element]],B4referenceServiceLife[[Tier 2 element]:[Default Service Life]],2, FALSE)-1,0),0)</f>
        <v>0</v>
      </c>
      <c r="O841" s="322">
        <f>IFERROR((Calculations[[#This Row],[A1-3]]+Calculations[[#This Row],[A4]]+Calculations[[#This Row],[A5]]+Calculations[[#This Row],[C2 total]]+Calculations[[#This Row],[C3 total]]+Calculations[[#This Row],[C4 total]])*Calculations[[#This Row],[Replacements]],0)</f>
        <v>0</v>
      </c>
      <c r="S841" t="str">
        <f>IFERROR(VLOOKUP(Calculations[[#This Row],[Material (choose from dropdown]],MaterialData[#All],4,FALSE),"")</f>
        <v/>
      </c>
      <c r="T841" s="322" cm="1">
        <f t="array" ref="T841">IFERROR(VLOOKUP(Calculations[[#This Row],[Waste 1]],WasteScenario[#All],2,FALSE)*'Stage assumptions'!$C$225*WasteTransportMethod[Emissions Factor
kgCO2e/kg.km]*Calculations[[#This Row],[Total Kg]],0)</f>
        <v>0</v>
      </c>
      <c r="U841" s="322" cm="1">
        <f t="array" ref="U841">IFERROR(VLOOKUP(Calculations[[#This Row],[Waste 1]],WasteScenario[#All],3,FALSE)*'Stage assumptions'!$C$224*WasteTransportMethod[Emissions Factor
kgCO2e/kg.km]*Calculations[[#This Row],[Total Kg]],0)</f>
        <v>0</v>
      </c>
      <c r="V841" s="322" cm="1">
        <f t="array" ref="V841">IFERROR(VLOOKUP(Calculations[[#This Row],[Waste 1]],WasteScenario[#All],4,FALSE)*'Stage assumptions'!$C$223*WasteTransportMethod[Emissions Factor
kgCO2e/kg.km]*Calculations[[#This Row],[Total Kg]],0)</f>
        <v>0</v>
      </c>
      <c r="W841" s="322" cm="1">
        <f t="array" ref="W841">IFERROR(VLOOKUP(Calculations[[#This Row],[Waste 1]],WasteScenario[#All],5,FALSE)*'Stage assumptions'!$C$226*WasteTransportMethod[Emissions Factor
kgCO2e/kg.km]*Calculations[[#This Row],[Total Kg]],0)</f>
        <v>0</v>
      </c>
      <c r="X841" s="322">
        <f>SUM(Calculations[[#This Row],[C2 Recycle]:[C2 Reuse]])</f>
        <v>0</v>
      </c>
      <c r="Y841" t="str">
        <f>IFERROR(VLOOKUP(Calculations[[#This Row],[Material (choose from dropdown]],MaterialData[#All],5,FALSE),"")</f>
        <v/>
      </c>
      <c r="Z841" s="322">
        <f>IFERROR(((VLOOKUP(Calculations[[#This Row],[Waste type 2]],WasteDisposalEmissions[#All],2,FALSE))*Calculations[[#This Row],[Total Kg]])*VLOOKUP(Calculations[[#This Row],[Waste 1]],WasteScenario[#All],2,FALSE),0)</f>
        <v>0</v>
      </c>
      <c r="AA841" s="322">
        <f>IFERROR((VLOOKUP(Calculations[[#This Row],[Waste type 2]],WasteDisposalEmissions[#All],3,FALSE))*Calculations[[#This Row],[Total Kg]]*VLOOKUP(Calculations[[#This Row],[Waste 1]],WasteScenario[#All],3,FALSE),0)</f>
        <v>0</v>
      </c>
      <c r="AB841" s="322">
        <f>SUM(Calculations[[#This Row],[C3 recyc]:[C3 incin]])</f>
        <v>0</v>
      </c>
      <c r="AC841" s="334">
        <f>IFERROR((VLOOKUP(Calculations[[#This Row],[Waste type 2]],WasteLandfillEmissions[#All],2,FALSE))*Calculations[[#This Row],[Total Kg]]*VLOOKUP(Calculations[[#This Row],[Waste 1]],WasteScenario[#All],4,FALSE),0)</f>
        <v>0</v>
      </c>
      <c r="AD841" s="322">
        <f>IFERROR((VLOOKUP(Calculations[[#This Row],[Waste type 2]],WasteLandfillEmissions[#All],3,FALSE))*Calculations[[#This Row],[Total Kg]]*VLOOKUP(Calculations[[#This Row],[Waste 1]],WasteScenario[#All],4,FALSE),0)</f>
        <v>0</v>
      </c>
      <c r="AE841" s="322">
        <f>SUM(Calculations[[#This Row],[C4 landfill]:[C4 re-use]])</f>
        <v>0</v>
      </c>
      <c r="AF841" s="322">
        <f>IFERROR(VLOOKUP(Calculations[[#This Row],[Material (choose from dropdown]],MaterialData[#All],8,FALSE),0)</f>
        <v>0</v>
      </c>
      <c r="AG841" s="322">
        <f>IFERROR(Calculations[[#This Row],[Total Kg]]*Calculations[[#This Row],[Seq factor]],0)</f>
        <v>0</v>
      </c>
      <c r="AI841" s="322">
        <f>Calculations[[#This Row],[A1-3]]+Calculations[[#This Row],[A4]]+Calculations[[#This Row],[A5]]+Calculations[[#This Row],[B4]]+Calculations[[#This Row],[C2 total]]+Calculations[[#This Row],[C3 total]]+Calculations[[#This Row],[C4 total]]</f>
        <v>0</v>
      </c>
      <c r="AJ841" s="2">
        <f>IFERROR(VLOOKUP(Calculations[[#This Row],[Material (choose from dropdown]],MaterialData[[#Headers],[#Data]],9,FALSE),0)</f>
        <v>0</v>
      </c>
      <c r="AK841" s="4">
        <f>IFERROR(VLOOKUP(Calculations[[#This Row],[Material (choose from dropdown]],MaterialData[[#Headers],[#Data]],10,FALSE),0)</f>
        <v>0</v>
      </c>
      <c r="AL841" s="322">
        <f>IFERROR(Calculations[[#This Row],[Data Quality Score]]*Calculations[[#This Row],[Total Kg]],0)</f>
        <v>0</v>
      </c>
    </row>
    <row r="842" spans="1:38" x14ac:dyDescent="0.3">
      <c r="A842" s="6">
        <f>IFERROR(MaterialsBoQ[[#This Row],[Scope Element]],0)</f>
        <v>0</v>
      </c>
      <c r="B842" t="str">
        <f>IFERROR(MaterialsBoQ[[#This Row],[Material ]],"")</f>
        <v/>
      </c>
      <c r="C842" t="str">
        <f>IFERROR(MaterialsBoQ[[#This Row],[Unit]],"")</f>
        <v/>
      </c>
      <c r="D842" s="322">
        <f>IFERROR(MaterialsBoQ[[#This Row],[Number]],0)</f>
        <v>0</v>
      </c>
      <c r="E842" s="322">
        <f>IFERROR(MaterialsBoQ[[#This Row],[Kg per unit]],0)</f>
        <v>0</v>
      </c>
      <c r="F842" s="322">
        <f>IFERROR(Calculations[[#This Row],[Number]]*Calculations[[#This Row],[Conversion factor]],0)</f>
        <v>0</v>
      </c>
      <c r="G842" s="322">
        <f>IFERROR(VLOOKUP(Calculations[[#This Row],[Material (choose from dropdown]],MaterialData[#All],7,FALSE),0)</f>
        <v>0</v>
      </c>
      <c r="H842" s="322">
        <f>Calculations[[#This Row],[Total Kg]]*Calculations[[#This Row],[Carbon Factor]]</f>
        <v>0</v>
      </c>
      <c r="I842" t="str">
        <f>IFERROR(VLOOKUP(Calculations[[#This Row],[Material (choose from dropdown]],MaterialData[#All],2,FALSE),"")</f>
        <v/>
      </c>
      <c r="J842" s="322">
        <f>IFERROR(((VLOOKUP(Calculations[[#This Row],[TransportSource]],TransportDistance[],2,FALSE)*'Stage assumptions'!$C$11)+VLOOKUP(Calculations[[#This Row],[TransportSource]],TransportDistance[],3,FALSE)*'Stage assumptions'!$C$12)*Calculations[[#This Row],[Total Kg]],0)</f>
        <v>0</v>
      </c>
      <c r="K842">
        <f>IFERROR(VLOOKUP(Calculations[[#This Row],[Material (choose from dropdown]], MaterialData[#All],3, FALSE),0)</f>
        <v>0</v>
      </c>
      <c r="L842" s="322">
        <f>IFERROR(VLOOKUP(Calculations[[#This Row],[A5type]],A5WastageRate[#All],2,FALSE)*Calculations[[#This Row],[A1-3]],0)</f>
        <v>0</v>
      </c>
      <c r="N842">
        <f>IFERROR(ROUNDUP(50/VLOOKUP(Calculations[[#This Row],[Scope Element]],B4referenceServiceLife[[Tier 2 element]:[Default Service Life]],2, FALSE)-1,0),0)</f>
        <v>0</v>
      </c>
      <c r="O842" s="322">
        <f>IFERROR((Calculations[[#This Row],[A1-3]]+Calculations[[#This Row],[A4]]+Calculations[[#This Row],[A5]]+Calculations[[#This Row],[C2 total]]+Calculations[[#This Row],[C3 total]]+Calculations[[#This Row],[C4 total]])*Calculations[[#This Row],[Replacements]],0)</f>
        <v>0</v>
      </c>
      <c r="S842" t="str">
        <f>IFERROR(VLOOKUP(Calculations[[#This Row],[Material (choose from dropdown]],MaterialData[#All],4,FALSE),"")</f>
        <v/>
      </c>
      <c r="T842" s="322" cm="1">
        <f t="array" ref="T842">IFERROR(VLOOKUP(Calculations[[#This Row],[Waste 1]],WasteScenario[#All],2,FALSE)*'Stage assumptions'!$C$225*WasteTransportMethod[Emissions Factor
kgCO2e/kg.km]*Calculations[[#This Row],[Total Kg]],0)</f>
        <v>0</v>
      </c>
      <c r="U842" s="322" cm="1">
        <f t="array" ref="U842">IFERROR(VLOOKUP(Calculations[[#This Row],[Waste 1]],WasteScenario[#All],3,FALSE)*'Stage assumptions'!$C$224*WasteTransportMethod[Emissions Factor
kgCO2e/kg.km]*Calculations[[#This Row],[Total Kg]],0)</f>
        <v>0</v>
      </c>
      <c r="V842" s="322" cm="1">
        <f t="array" ref="V842">IFERROR(VLOOKUP(Calculations[[#This Row],[Waste 1]],WasteScenario[#All],4,FALSE)*'Stage assumptions'!$C$223*WasteTransportMethod[Emissions Factor
kgCO2e/kg.km]*Calculations[[#This Row],[Total Kg]],0)</f>
        <v>0</v>
      </c>
      <c r="W842" s="322" cm="1">
        <f t="array" ref="W842">IFERROR(VLOOKUP(Calculations[[#This Row],[Waste 1]],WasteScenario[#All],5,FALSE)*'Stage assumptions'!$C$226*WasteTransportMethod[Emissions Factor
kgCO2e/kg.km]*Calculations[[#This Row],[Total Kg]],0)</f>
        <v>0</v>
      </c>
      <c r="X842" s="322">
        <f>SUM(Calculations[[#This Row],[C2 Recycle]:[C2 Reuse]])</f>
        <v>0</v>
      </c>
      <c r="Y842" t="str">
        <f>IFERROR(VLOOKUP(Calculations[[#This Row],[Material (choose from dropdown]],MaterialData[#All],5,FALSE),"")</f>
        <v/>
      </c>
      <c r="Z842" s="322">
        <f>IFERROR(((VLOOKUP(Calculations[[#This Row],[Waste type 2]],WasteDisposalEmissions[#All],2,FALSE))*Calculations[[#This Row],[Total Kg]])*VLOOKUP(Calculations[[#This Row],[Waste 1]],WasteScenario[#All],2,FALSE),0)</f>
        <v>0</v>
      </c>
      <c r="AA842" s="322">
        <f>IFERROR((VLOOKUP(Calculations[[#This Row],[Waste type 2]],WasteDisposalEmissions[#All],3,FALSE))*Calculations[[#This Row],[Total Kg]]*VLOOKUP(Calculations[[#This Row],[Waste 1]],WasteScenario[#All],3,FALSE),0)</f>
        <v>0</v>
      </c>
      <c r="AB842" s="322">
        <f>SUM(Calculations[[#This Row],[C3 recyc]:[C3 incin]])</f>
        <v>0</v>
      </c>
      <c r="AC842" s="334">
        <f>IFERROR((VLOOKUP(Calculations[[#This Row],[Waste type 2]],WasteLandfillEmissions[#All],2,FALSE))*Calculations[[#This Row],[Total Kg]]*VLOOKUP(Calculations[[#This Row],[Waste 1]],WasteScenario[#All],4,FALSE),0)</f>
        <v>0</v>
      </c>
      <c r="AD842" s="322">
        <f>IFERROR((VLOOKUP(Calculations[[#This Row],[Waste type 2]],WasteLandfillEmissions[#All],3,FALSE))*Calculations[[#This Row],[Total Kg]]*VLOOKUP(Calculations[[#This Row],[Waste 1]],WasteScenario[#All],4,FALSE),0)</f>
        <v>0</v>
      </c>
      <c r="AE842" s="322">
        <f>SUM(Calculations[[#This Row],[C4 landfill]:[C4 re-use]])</f>
        <v>0</v>
      </c>
      <c r="AF842" s="322">
        <f>IFERROR(VLOOKUP(Calculations[[#This Row],[Material (choose from dropdown]],MaterialData[#All],8,FALSE),0)</f>
        <v>0</v>
      </c>
      <c r="AG842" s="322">
        <f>IFERROR(Calculations[[#This Row],[Total Kg]]*Calculations[[#This Row],[Seq factor]],0)</f>
        <v>0</v>
      </c>
      <c r="AI842" s="322">
        <f>Calculations[[#This Row],[A1-3]]+Calculations[[#This Row],[A4]]+Calculations[[#This Row],[A5]]+Calculations[[#This Row],[B4]]+Calculations[[#This Row],[C2 total]]+Calculations[[#This Row],[C3 total]]+Calculations[[#This Row],[C4 total]]</f>
        <v>0</v>
      </c>
      <c r="AJ842" s="2">
        <f>IFERROR(VLOOKUP(Calculations[[#This Row],[Material (choose from dropdown]],MaterialData[[#Headers],[#Data]],9,FALSE),0)</f>
        <v>0</v>
      </c>
      <c r="AK842" s="4">
        <f>IFERROR(VLOOKUP(Calculations[[#This Row],[Material (choose from dropdown]],MaterialData[[#Headers],[#Data]],10,FALSE),0)</f>
        <v>0</v>
      </c>
      <c r="AL842" s="322">
        <f>IFERROR(Calculations[[#This Row],[Data Quality Score]]*Calculations[[#This Row],[Total Kg]],0)</f>
        <v>0</v>
      </c>
    </row>
    <row r="843" spans="1:38" x14ac:dyDescent="0.3">
      <c r="A843" s="6">
        <f>IFERROR(MaterialsBoQ[[#This Row],[Scope Element]],0)</f>
        <v>0</v>
      </c>
      <c r="B843" t="str">
        <f>IFERROR(MaterialsBoQ[[#This Row],[Material ]],"")</f>
        <v/>
      </c>
      <c r="C843" t="str">
        <f>IFERROR(MaterialsBoQ[[#This Row],[Unit]],"")</f>
        <v/>
      </c>
      <c r="D843" s="322">
        <f>IFERROR(MaterialsBoQ[[#This Row],[Number]],0)</f>
        <v>0</v>
      </c>
      <c r="E843" s="322">
        <f>IFERROR(MaterialsBoQ[[#This Row],[Kg per unit]],0)</f>
        <v>0</v>
      </c>
      <c r="F843" s="322">
        <f>IFERROR(Calculations[[#This Row],[Number]]*Calculations[[#This Row],[Conversion factor]],0)</f>
        <v>0</v>
      </c>
      <c r="G843" s="322">
        <f>IFERROR(VLOOKUP(Calculations[[#This Row],[Material (choose from dropdown]],MaterialData[#All],7,FALSE),0)</f>
        <v>0</v>
      </c>
      <c r="H843" s="322">
        <f>Calculations[[#This Row],[Total Kg]]*Calculations[[#This Row],[Carbon Factor]]</f>
        <v>0</v>
      </c>
      <c r="I843" t="str">
        <f>IFERROR(VLOOKUP(Calculations[[#This Row],[Material (choose from dropdown]],MaterialData[#All],2,FALSE),"")</f>
        <v/>
      </c>
      <c r="J843" s="322">
        <f>IFERROR(((VLOOKUP(Calculations[[#This Row],[TransportSource]],TransportDistance[],2,FALSE)*'Stage assumptions'!$C$11)+VLOOKUP(Calculations[[#This Row],[TransportSource]],TransportDistance[],3,FALSE)*'Stage assumptions'!$C$12)*Calculations[[#This Row],[Total Kg]],0)</f>
        <v>0</v>
      </c>
      <c r="K843">
        <f>IFERROR(VLOOKUP(Calculations[[#This Row],[Material (choose from dropdown]], MaterialData[#All],3, FALSE),0)</f>
        <v>0</v>
      </c>
      <c r="L843" s="322">
        <f>IFERROR(VLOOKUP(Calculations[[#This Row],[A5type]],A5WastageRate[#All],2,FALSE)*Calculations[[#This Row],[A1-3]],0)</f>
        <v>0</v>
      </c>
      <c r="N843">
        <f>IFERROR(ROUNDUP(50/VLOOKUP(Calculations[[#This Row],[Scope Element]],B4referenceServiceLife[[Tier 2 element]:[Default Service Life]],2, FALSE)-1,0),0)</f>
        <v>0</v>
      </c>
      <c r="O843" s="322">
        <f>IFERROR((Calculations[[#This Row],[A1-3]]+Calculations[[#This Row],[A4]]+Calculations[[#This Row],[A5]]+Calculations[[#This Row],[C2 total]]+Calculations[[#This Row],[C3 total]]+Calculations[[#This Row],[C4 total]])*Calculations[[#This Row],[Replacements]],0)</f>
        <v>0</v>
      </c>
      <c r="S843" t="str">
        <f>IFERROR(VLOOKUP(Calculations[[#This Row],[Material (choose from dropdown]],MaterialData[#All],4,FALSE),"")</f>
        <v/>
      </c>
      <c r="T843" s="322" cm="1">
        <f t="array" ref="T843">IFERROR(VLOOKUP(Calculations[[#This Row],[Waste 1]],WasteScenario[#All],2,FALSE)*'Stage assumptions'!$C$225*WasteTransportMethod[Emissions Factor
kgCO2e/kg.km]*Calculations[[#This Row],[Total Kg]],0)</f>
        <v>0</v>
      </c>
      <c r="U843" s="322" cm="1">
        <f t="array" ref="U843">IFERROR(VLOOKUP(Calculations[[#This Row],[Waste 1]],WasteScenario[#All],3,FALSE)*'Stage assumptions'!$C$224*WasteTransportMethod[Emissions Factor
kgCO2e/kg.km]*Calculations[[#This Row],[Total Kg]],0)</f>
        <v>0</v>
      </c>
      <c r="V843" s="322" cm="1">
        <f t="array" ref="V843">IFERROR(VLOOKUP(Calculations[[#This Row],[Waste 1]],WasteScenario[#All],4,FALSE)*'Stage assumptions'!$C$223*WasteTransportMethod[Emissions Factor
kgCO2e/kg.km]*Calculations[[#This Row],[Total Kg]],0)</f>
        <v>0</v>
      </c>
      <c r="W843" s="322" cm="1">
        <f t="array" ref="W843">IFERROR(VLOOKUP(Calculations[[#This Row],[Waste 1]],WasteScenario[#All],5,FALSE)*'Stage assumptions'!$C$226*WasteTransportMethod[Emissions Factor
kgCO2e/kg.km]*Calculations[[#This Row],[Total Kg]],0)</f>
        <v>0</v>
      </c>
      <c r="X843" s="322">
        <f>SUM(Calculations[[#This Row],[C2 Recycle]:[C2 Reuse]])</f>
        <v>0</v>
      </c>
      <c r="Y843" t="str">
        <f>IFERROR(VLOOKUP(Calculations[[#This Row],[Material (choose from dropdown]],MaterialData[#All],5,FALSE),"")</f>
        <v/>
      </c>
      <c r="Z843" s="322">
        <f>IFERROR(((VLOOKUP(Calculations[[#This Row],[Waste type 2]],WasteDisposalEmissions[#All],2,FALSE))*Calculations[[#This Row],[Total Kg]])*VLOOKUP(Calculations[[#This Row],[Waste 1]],WasteScenario[#All],2,FALSE),0)</f>
        <v>0</v>
      </c>
      <c r="AA843" s="322">
        <f>IFERROR((VLOOKUP(Calculations[[#This Row],[Waste type 2]],WasteDisposalEmissions[#All],3,FALSE))*Calculations[[#This Row],[Total Kg]]*VLOOKUP(Calculations[[#This Row],[Waste 1]],WasteScenario[#All],3,FALSE),0)</f>
        <v>0</v>
      </c>
      <c r="AB843" s="322">
        <f>SUM(Calculations[[#This Row],[C3 recyc]:[C3 incin]])</f>
        <v>0</v>
      </c>
      <c r="AC843" s="334">
        <f>IFERROR((VLOOKUP(Calculations[[#This Row],[Waste type 2]],WasteLandfillEmissions[#All],2,FALSE))*Calculations[[#This Row],[Total Kg]]*VLOOKUP(Calculations[[#This Row],[Waste 1]],WasteScenario[#All],4,FALSE),0)</f>
        <v>0</v>
      </c>
      <c r="AD843" s="322">
        <f>IFERROR((VLOOKUP(Calculations[[#This Row],[Waste type 2]],WasteLandfillEmissions[#All],3,FALSE))*Calculations[[#This Row],[Total Kg]]*VLOOKUP(Calculations[[#This Row],[Waste 1]],WasteScenario[#All],4,FALSE),0)</f>
        <v>0</v>
      </c>
      <c r="AE843" s="322">
        <f>SUM(Calculations[[#This Row],[C4 landfill]:[C4 re-use]])</f>
        <v>0</v>
      </c>
      <c r="AF843" s="322">
        <f>IFERROR(VLOOKUP(Calculations[[#This Row],[Material (choose from dropdown]],MaterialData[#All],8,FALSE),0)</f>
        <v>0</v>
      </c>
      <c r="AG843" s="322">
        <f>IFERROR(Calculations[[#This Row],[Total Kg]]*Calculations[[#This Row],[Seq factor]],0)</f>
        <v>0</v>
      </c>
      <c r="AI843" s="322">
        <f>Calculations[[#This Row],[A1-3]]+Calculations[[#This Row],[A4]]+Calculations[[#This Row],[A5]]+Calculations[[#This Row],[B4]]+Calculations[[#This Row],[C2 total]]+Calculations[[#This Row],[C3 total]]+Calculations[[#This Row],[C4 total]]</f>
        <v>0</v>
      </c>
      <c r="AJ843" s="2">
        <f>IFERROR(VLOOKUP(Calculations[[#This Row],[Material (choose from dropdown]],MaterialData[[#Headers],[#Data]],9,FALSE),0)</f>
        <v>0</v>
      </c>
      <c r="AK843" s="4">
        <f>IFERROR(VLOOKUP(Calculations[[#This Row],[Material (choose from dropdown]],MaterialData[[#Headers],[#Data]],10,FALSE),0)</f>
        <v>0</v>
      </c>
      <c r="AL843" s="322">
        <f>IFERROR(Calculations[[#This Row],[Data Quality Score]]*Calculations[[#This Row],[Total Kg]],0)</f>
        <v>0</v>
      </c>
    </row>
    <row r="844" spans="1:38" x14ac:dyDescent="0.3">
      <c r="A844" s="6">
        <f>IFERROR(MaterialsBoQ[[#This Row],[Scope Element]],0)</f>
        <v>0</v>
      </c>
      <c r="B844" t="str">
        <f>IFERROR(MaterialsBoQ[[#This Row],[Material ]],"")</f>
        <v/>
      </c>
      <c r="C844" t="str">
        <f>IFERROR(MaterialsBoQ[[#This Row],[Unit]],"")</f>
        <v/>
      </c>
      <c r="D844" s="322">
        <f>IFERROR(MaterialsBoQ[[#This Row],[Number]],0)</f>
        <v>0</v>
      </c>
      <c r="E844" s="322">
        <f>IFERROR(MaterialsBoQ[[#This Row],[Kg per unit]],0)</f>
        <v>0</v>
      </c>
      <c r="F844" s="322">
        <f>IFERROR(Calculations[[#This Row],[Number]]*Calculations[[#This Row],[Conversion factor]],0)</f>
        <v>0</v>
      </c>
      <c r="G844" s="322">
        <f>IFERROR(VLOOKUP(Calculations[[#This Row],[Material (choose from dropdown]],MaterialData[#All],7,FALSE),0)</f>
        <v>0</v>
      </c>
      <c r="H844" s="322">
        <f>Calculations[[#This Row],[Total Kg]]*Calculations[[#This Row],[Carbon Factor]]</f>
        <v>0</v>
      </c>
      <c r="I844" t="str">
        <f>IFERROR(VLOOKUP(Calculations[[#This Row],[Material (choose from dropdown]],MaterialData[#All],2,FALSE),"")</f>
        <v/>
      </c>
      <c r="J844" s="322">
        <f>IFERROR(((VLOOKUP(Calculations[[#This Row],[TransportSource]],TransportDistance[],2,FALSE)*'Stage assumptions'!$C$11)+VLOOKUP(Calculations[[#This Row],[TransportSource]],TransportDistance[],3,FALSE)*'Stage assumptions'!$C$12)*Calculations[[#This Row],[Total Kg]],0)</f>
        <v>0</v>
      </c>
      <c r="K844">
        <f>IFERROR(VLOOKUP(Calculations[[#This Row],[Material (choose from dropdown]], MaterialData[#All],3, FALSE),0)</f>
        <v>0</v>
      </c>
      <c r="L844" s="322">
        <f>IFERROR(VLOOKUP(Calculations[[#This Row],[A5type]],A5WastageRate[#All],2,FALSE)*Calculations[[#This Row],[A1-3]],0)</f>
        <v>0</v>
      </c>
      <c r="N844">
        <f>IFERROR(ROUNDUP(50/VLOOKUP(Calculations[[#This Row],[Scope Element]],B4referenceServiceLife[[Tier 2 element]:[Default Service Life]],2, FALSE)-1,0),0)</f>
        <v>0</v>
      </c>
      <c r="O844" s="322">
        <f>IFERROR((Calculations[[#This Row],[A1-3]]+Calculations[[#This Row],[A4]]+Calculations[[#This Row],[A5]]+Calculations[[#This Row],[C2 total]]+Calculations[[#This Row],[C3 total]]+Calculations[[#This Row],[C4 total]])*Calculations[[#This Row],[Replacements]],0)</f>
        <v>0</v>
      </c>
      <c r="S844" t="str">
        <f>IFERROR(VLOOKUP(Calculations[[#This Row],[Material (choose from dropdown]],MaterialData[#All],4,FALSE),"")</f>
        <v/>
      </c>
      <c r="T844" s="322" cm="1">
        <f t="array" ref="T844">IFERROR(VLOOKUP(Calculations[[#This Row],[Waste 1]],WasteScenario[#All],2,FALSE)*'Stage assumptions'!$C$225*WasteTransportMethod[Emissions Factor
kgCO2e/kg.km]*Calculations[[#This Row],[Total Kg]],0)</f>
        <v>0</v>
      </c>
      <c r="U844" s="322" cm="1">
        <f t="array" ref="U844">IFERROR(VLOOKUP(Calculations[[#This Row],[Waste 1]],WasteScenario[#All],3,FALSE)*'Stage assumptions'!$C$224*WasteTransportMethod[Emissions Factor
kgCO2e/kg.km]*Calculations[[#This Row],[Total Kg]],0)</f>
        <v>0</v>
      </c>
      <c r="V844" s="322" cm="1">
        <f t="array" ref="V844">IFERROR(VLOOKUP(Calculations[[#This Row],[Waste 1]],WasteScenario[#All],4,FALSE)*'Stage assumptions'!$C$223*WasteTransportMethod[Emissions Factor
kgCO2e/kg.km]*Calculations[[#This Row],[Total Kg]],0)</f>
        <v>0</v>
      </c>
      <c r="W844" s="322" cm="1">
        <f t="array" ref="W844">IFERROR(VLOOKUP(Calculations[[#This Row],[Waste 1]],WasteScenario[#All],5,FALSE)*'Stage assumptions'!$C$226*WasteTransportMethod[Emissions Factor
kgCO2e/kg.km]*Calculations[[#This Row],[Total Kg]],0)</f>
        <v>0</v>
      </c>
      <c r="X844" s="322">
        <f>SUM(Calculations[[#This Row],[C2 Recycle]:[C2 Reuse]])</f>
        <v>0</v>
      </c>
      <c r="Y844" t="str">
        <f>IFERROR(VLOOKUP(Calculations[[#This Row],[Material (choose from dropdown]],MaterialData[#All],5,FALSE),"")</f>
        <v/>
      </c>
      <c r="Z844" s="322">
        <f>IFERROR(((VLOOKUP(Calculations[[#This Row],[Waste type 2]],WasteDisposalEmissions[#All],2,FALSE))*Calculations[[#This Row],[Total Kg]])*VLOOKUP(Calculations[[#This Row],[Waste 1]],WasteScenario[#All],2,FALSE),0)</f>
        <v>0</v>
      </c>
      <c r="AA844" s="322">
        <f>IFERROR((VLOOKUP(Calculations[[#This Row],[Waste type 2]],WasteDisposalEmissions[#All],3,FALSE))*Calculations[[#This Row],[Total Kg]]*VLOOKUP(Calculations[[#This Row],[Waste 1]],WasteScenario[#All],3,FALSE),0)</f>
        <v>0</v>
      </c>
      <c r="AB844" s="322">
        <f>SUM(Calculations[[#This Row],[C3 recyc]:[C3 incin]])</f>
        <v>0</v>
      </c>
      <c r="AC844" s="334">
        <f>IFERROR((VLOOKUP(Calculations[[#This Row],[Waste type 2]],WasteLandfillEmissions[#All],2,FALSE))*Calculations[[#This Row],[Total Kg]]*VLOOKUP(Calculations[[#This Row],[Waste 1]],WasteScenario[#All],4,FALSE),0)</f>
        <v>0</v>
      </c>
      <c r="AD844" s="322">
        <f>IFERROR((VLOOKUP(Calculations[[#This Row],[Waste type 2]],WasteLandfillEmissions[#All],3,FALSE))*Calculations[[#This Row],[Total Kg]]*VLOOKUP(Calculations[[#This Row],[Waste 1]],WasteScenario[#All],4,FALSE),0)</f>
        <v>0</v>
      </c>
      <c r="AE844" s="322">
        <f>SUM(Calculations[[#This Row],[C4 landfill]:[C4 re-use]])</f>
        <v>0</v>
      </c>
      <c r="AF844" s="322">
        <f>IFERROR(VLOOKUP(Calculations[[#This Row],[Material (choose from dropdown]],MaterialData[#All],8,FALSE),0)</f>
        <v>0</v>
      </c>
      <c r="AG844" s="322">
        <f>IFERROR(Calculations[[#This Row],[Total Kg]]*Calculations[[#This Row],[Seq factor]],0)</f>
        <v>0</v>
      </c>
      <c r="AI844" s="322">
        <f>Calculations[[#This Row],[A1-3]]+Calculations[[#This Row],[A4]]+Calculations[[#This Row],[A5]]+Calculations[[#This Row],[B4]]+Calculations[[#This Row],[C2 total]]+Calculations[[#This Row],[C3 total]]+Calculations[[#This Row],[C4 total]]</f>
        <v>0</v>
      </c>
      <c r="AJ844" s="2">
        <f>IFERROR(VLOOKUP(Calculations[[#This Row],[Material (choose from dropdown]],MaterialData[[#Headers],[#Data]],9,FALSE),0)</f>
        <v>0</v>
      </c>
      <c r="AK844" s="4">
        <f>IFERROR(VLOOKUP(Calculations[[#This Row],[Material (choose from dropdown]],MaterialData[[#Headers],[#Data]],10,FALSE),0)</f>
        <v>0</v>
      </c>
      <c r="AL844" s="322">
        <f>IFERROR(Calculations[[#This Row],[Data Quality Score]]*Calculations[[#This Row],[Total Kg]],0)</f>
        <v>0</v>
      </c>
    </row>
    <row r="845" spans="1:38" x14ac:dyDescent="0.3">
      <c r="A845" s="6">
        <f>IFERROR(MaterialsBoQ[[#This Row],[Scope Element]],0)</f>
        <v>0</v>
      </c>
      <c r="B845" t="str">
        <f>IFERROR(MaterialsBoQ[[#This Row],[Material ]],"")</f>
        <v/>
      </c>
      <c r="C845" t="str">
        <f>IFERROR(MaterialsBoQ[[#This Row],[Unit]],"")</f>
        <v/>
      </c>
      <c r="D845" s="322">
        <f>IFERROR(MaterialsBoQ[[#This Row],[Number]],0)</f>
        <v>0</v>
      </c>
      <c r="E845" s="322">
        <f>IFERROR(MaterialsBoQ[[#This Row],[Kg per unit]],0)</f>
        <v>0</v>
      </c>
      <c r="F845" s="322">
        <f>IFERROR(Calculations[[#This Row],[Number]]*Calculations[[#This Row],[Conversion factor]],0)</f>
        <v>0</v>
      </c>
      <c r="G845" s="322">
        <f>IFERROR(VLOOKUP(Calculations[[#This Row],[Material (choose from dropdown]],MaterialData[#All],7,FALSE),0)</f>
        <v>0</v>
      </c>
      <c r="H845" s="322">
        <f>Calculations[[#This Row],[Total Kg]]*Calculations[[#This Row],[Carbon Factor]]</f>
        <v>0</v>
      </c>
      <c r="I845" t="str">
        <f>IFERROR(VLOOKUP(Calculations[[#This Row],[Material (choose from dropdown]],MaterialData[#All],2,FALSE),"")</f>
        <v/>
      </c>
      <c r="J845" s="322">
        <f>IFERROR(((VLOOKUP(Calculations[[#This Row],[TransportSource]],TransportDistance[],2,FALSE)*'Stage assumptions'!$C$11)+VLOOKUP(Calculations[[#This Row],[TransportSource]],TransportDistance[],3,FALSE)*'Stage assumptions'!$C$12)*Calculations[[#This Row],[Total Kg]],0)</f>
        <v>0</v>
      </c>
      <c r="K845">
        <f>IFERROR(VLOOKUP(Calculations[[#This Row],[Material (choose from dropdown]], MaterialData[#All],3, FALSE),0)</f>
        <v>0</v>
      </c>
      <c r="L845" s="322">
        <f>IFERROR(VLOOKUP(Calculations[[#This Row],[A5type]],A5WastageRate[#All],2,FALSE)*Calculations[[#This Row],[A1-3]],0)</f>
        <v>0</v>
      </c>
      <c r="N845">
        <f>IFERROR(ROUNDUP(50/VLOOKUP(Calculations[[#This Row],[Scope Element]],B4referenceServiceLife[[Tier 2 element]:[Default Service Life]],2, FALSE)-1,0),0)</f>
        <v>0</v>
      </c>
      <c r="O845" s="322">
        <f>IFERROR((Calculations[[#This Row],[A1-3]]+Calculations[[#This Row],[A4]]+Calculations[[#This Row],[A5]]+Calculations[[#This Row],[C2 total]]+Calculations[[#This Row],[C3 total]]+Calculations[[#This Row],[C4 total]])*Calculations[[#This Row],[Replacements]],0)</f>
        <v>0</v>
      </c>
      <c r="S845" t="str">
        <f>IFERROR(VLOOKUP(Calculations[[#This Row],[Material (choose from dropdown]],MaterialData[#All],4,FALSE),"")</f>
        <v/>
      </c>
      <c r="T845" s="322" cm="1">
        <f t="array" ref="T845">IFERROR(VLOOKUP(Calculations[[#This Row],[Waste 1]],WasteScenario[#All],2,FALSE)*'Stage assumptions'!$C$225*WasteTransportMethod[Emissions Factor
kgCO2e/kg.km]*Calculations[[#This Row],[Total Kg]],0)</f>
        <v>0</v>
      </c>
      <c r="U845" s="322" cm="1">
        <f t="array" ref="U845">IFERROR(VLOOKUP(Calculations[[#This Row],[Waste 1]],WasteScenario[#All],3,FALSE)*'Stage assumptions'!$C$224*WasteTransportMethod[Emissions Factor
kgCO2e/kg.km]*Calculations[[#This Row],[Total Kg]],0)</f>
        <v>0</v>
      </c>
      <c r="V845" s="322" cm="1">
        <f t="array" ref="V845">IFERROR(VLOOKUP(Calculations[[#This Row],[Waste 1]],WasteScenario[#All],4,FALSE)*'Stage assumptions'!$C$223*WasteTransportMethod[Emissions Factor
kgCO2e/kg.km]*Calculations[[#This Row],[Total Kg]],0)</f>
        <v>0</v>
      </c>
      <c r="W845" s="322" cm="1">
        <f t="array" ref="W845">IFERROR(VLOOKUP(Calculations[[#This Row],[Waste 1]],WasteScenario[#All],5,FALSE)*'Stage assumptions'!$C$226*WasteTransportMethod[Emissions Factor
kgCO2e/kg.km]*Calculations[[#This Row],[Total Kg]],0)</f>
        <v>0</v>
      </c>
      <c r="X845" s="322">
        <f>SUM(Calculations[[#This Row],[C2 Recycle]:[C2 Reuse]])</f>
        <v>0</v>
      </c>
      <c r="Y845" t="str">
        <f>IFERROR(VLOOKUP(Calculations[[#This Row],[Material (choose from dropdown]],MaterialData[#All],5,FALSE),"")</f>
        <v/>
      </c>
      <c r="Z845" s="322">
        <f>IFERROR(((VLOOKUP(Calculations[[#This Row],[Waste type 2]],WasteDisposalEmissions[#All],2,FALSE))*Calculations[[#This Row],[Total Kg]])*VLOOKUP(Calculations[[#This Row],[Waste 1]],WasteScenario[#All],2,FALSE),0)</f>
        <v>0</v>
      </c>
      <c r="AA845" s="322">
        <f>IFERROR((VLOOKUP(Calculations[[#This Row],[Waste type 2]],WasteDisposalEmissions[#All],3,FALSE))*Calculations[[#This Row],[Total Kg]]*VLOOKUP(Calculations[[#This Row],[Waste 1]],WasteScenario[#All],3,FALSE),0)</f>
        <v>0</v>
      </c>
      <c r="AB845" s="322">
        <f>SUM(Calculations[[#This Row],[C3 recyc]:[C3 incin]])</f>
        <v>0</v>
      </c>
      <c r="AC845" s="334">
        <f>IFERROR((VLOOKUP(Calculations[[#This Row],[Waste type 2]],WasteLandfillEmissions[#All],2,FALSE))*Calculations[[#This Row],[Total Kg]]*VLOOKUP(Calculations[[#This Row],[Waste 1]],WasteScenario[#All],4,FALSE),0)</f>
        <v>0</v>
      </c>
      <c r="AD845" s="322">
        <f>IFERROR((VLOOKUP(Calculations[[#This Row],[Waste type 2]],WasteLandfillEmissions[#All],3,FALSE))*Calculations[[#This Row],[Total Kg]]*VLOOKUP(Calculations[[#This Row],[Waste 1]],WasteScenario[#All],4,FALSE),0)</f>
        <v>0</v>
      </c>
      <c r="AE845" s="322">
        <f>SUM(Calculations[[#This Row],[C4 landfill]:[C4 re-use]])</f>
        <v>0</v>
      </c>
      <c r="AF845" s="322">
        <f>IFERROR(VLOOKUP(Calculations[[#This Row],[Material (choose from dropdown]],MaterialData[#All],8,FALSE),0)</f>
        <v>0</v>
      </c>
      <c r="AG845" s="322">
        <f>IFERROR(Calculations[[#This Row],[Total Kg]]*Calculations[[#This Row],[Seq factor]],0)</f>
        <v>0</v>
      </c>
      <c r="AI845" s="322">
        <f>Calculations[[#This Row],[A1-3]]+Calculations[[#This Row],[A4]]+Calculations[[#This Row],[A5]]+Calculations[[#This Row],[B4]]+Calculations[[#This Row],[C2 total]]+Calculations[[#This Row],[C3 total]]+Calculations[[#This Row],[C4 total]]</f>
        <v>0</v>
      </c>
      <c r="AJ845" s="2">
        <f>IFERROR(VLOOKUP(Calculations[[#This Row],[Material (choose from dropdown]],MaterialData[[#Headers],[#Data]],9,FALSE),0)</f>
        <v>0</v>
      </c>
      <c r="AK845" s="4">
        <f>IFERROR(VLOOKUP(Calculations[[#This Row],[Material (choose from dropdown]],MaterialData[[#Headers],[#Data]],10,FALSE),0)</f>
        <v>0</v>
      </c>
      <c r="AL845" s="322">
        <f>IFERROR(Calculations[[#This Row],[Data Quality Score]]*Calculations[[#This Row],[Total Kg]],0)</f>
        <v>0</v>
      </c>
    </row>
    <row r="846" spans="1:38" x14ac:dyDescent="0.3">
      <c r="A846" s="6">
        <f>IFERROR(MaterialsBoQ[[#This Row],[Scope Element]],0)</f>
        <v>0</v>
      </c>
      <c r="B846" t="str">
        <f>IFERROR(MaterialsBoQ[[#This Row],[Material ]],"")</f>
        <v/>
      </c>
      <c r="C846" t="str">
        <f>IFERROR(MaterialsBoQ[[#This Row],[Unit]],"")</f>
        <v/>
      </c>
      <c r="D846" s="322">
        <f>IFERROR(MaterialsBoQ[[#This Row],[Number]],0)</f>
        <v>0</v>
      </c>
      <c r="E846" s="322">
        <f>IFERROR(MaterialsBoQ[[#This Row],[Kg per unit]],0)</f>
        <v>0</v>
      </c>
      <c r="F846" s="322">
        <f>IFERROR(Calculations[[#This Row],[Number]]*Calculations[[#This Row],[Conversion factor]],0)</f>
        <v>0</v>
      </c>
      <c r="G846" s="322">
        <f>IFERROR(VLOOKUP(Calculations[[#This Row],[Material (choose from dropdown]],MaterialData[#All],7,FALSE),0)</f>
        <v>0</v>
      </c>
      <c r="H846" s="322">
        <f>Calculations[[#This Row],[Total Kg]]*Calculations[[#This Row],[Carbon Factor]]</f>
        <v>0</v>
      </c>
      <c r="I846" t="str">
        <f>IFERROR(VLOOKUP(Calculations[[#This Row],[Material (choose from dropdown]],MaterialData[#All],2,FALSE),"")</f>
        <v/>
      </c>
      <c r="J846" s="322">
        <f>IFERROR(((VLOOKUP(Calculations[[#This Row],[TransportSource]],TransportDistance[],2,FALSE)*'Stage assumptions'!$C$11)+VLOOKUP(Calculations[[#This Row],[TransportSource]],TransportDistance[],3,FALSE)*'Stage assumptions'!$C$12)*Calculations[[#This Row],[Total Kg]],0)</f>
        <v>0</v>
      </c>
      <c r="K846">
        <f>IFERROR(VLOOKUP(Calculations[[#This Row],[Material (choose from dropdown]], MaterialData[#All],3, FALSE),0)</f>
        <v>0</v>
      </c>
      <c r="L846" s="322">
        <f>IFERROR(VLOOKUP(Calculations[[#This Row],[A5type]],A5WastageRate[#All],2,FALSE)*Calculations[[#This Row],[A1-3]],0)</f>
        <v>0</v>
      </c>
      <c r="N846">
        <f>IFERROR(ROUNDUP(50/VLOOKUP(Calculations[[#This Row],[Scope Element]],B4referenceServiceLife[[Tier 2 element]:[Default Service Life]],2, FALSE)-1,0),0)</f>
        <v>0</v>
      </c>
      <c r="O846" s="322">
        <f>IFERROR((Calculations[[#This Row],[A1-3]]+Calculations[[#This Row],[A4]]+Calculations[[#This Row],[A5]]+Calculations[[#This Row],[C2 total]]+Calculations[[#This Row],[C3 total]]+Calculations[[#This Row],[C4 total]])*Calculations[[#This Row],[Replacements]],0)</f>
        <v>0</v>
      </c>
      <c r="S846" t="str">
        <f>IFERROR(VLOOKUP(Calculations[[#This Row],[Material (choose from dropdown]],MaterialData[#All],4,FALSE),"")</f>
        <v/>
      </c>
      <c r="T846" s="322" cm="1">
        <f t="array" ref="T846">IFERROR(VLOOKUP(Calculations[[#This Row],[Waste 1]],WasteScenario[#All],2,FALSE)*'Stage assumptions'!$C$225*WasteTransportMethod[Emissions Factor
kgCO2e/kg.km]*Calculations[[#This Row],[Total Kg]],0)</f>
        <v>0</v>
      </c>
      <c r="U846" s="322" cm="1">
        <f t="array" ref="U846">IFERROR(VLOOKUP(Calculations[[#This Row],[Waste 1]],WasteScenario[#All],3,FALSE)*'Stage assumptions'!$C$224*WasteTransportMethod[Emissions Factor
kgCO2e/kg.km]*Calculations[[#This Row],[Total Kg]],0)</f>
        <v>0</v>
      </c>
      <c r="V846" s="322" cm="1">
        <f t="array" ref="V846">IFERROR(VLOOKUP(Calculations[[#This Row],[Waste 1]],WasteScenario[#All],4,FALSE)*'Stage assumptions'!$C$223*WasteTransportMethod[Emissions Factor
kgCO2e/kg.km]*Calculations[[#This Row],[Total Kg]],0)</f>
        <v>0</v>
      </c>
      <c r="W846" s="322" cm="1">
        <f t="array" ref="W846">IFERROR(VLOOKUP(Calculations[[#This Row],[Waste 1]],WasteScenario[#All],5,FALSE)*'Stage assumptions'!$C$226*WasteTransportMethod[Emissions Factor
kgCO2e/kg.km]*Calculations[[#This Row],[Total Kg]],0)</f>
        <v>0</v>
      </c>
      <c r="X846" s="322">
        <f>SUM(Calculations[[#This Row],[C2 Recycle]:[C2 Reuse]])</f>
        <v>0</v>
      </c>
      <c r="Y846" t="str">
        <f>IFERROR(VLOOKUP(Calculations[[#This Row],[Material (choose from dropdown]],MaterialData[#All],5,FALSE),"")</f>
        <v/>
      </c>
      <c r="Z846" s="322">
        <f>IFERROR(((VLOOKUP(Calculations[[#This Row],[Waste type 2]],WasteDisposalEmissions[#All],2,FALSE))*Calculations[[#This Row],[Total Kg]])*VLOOKUP(Calculations[[#This Row],[Waste 1]],WasteScenario[#All],2,FALSE),0)</f>
        <v>0</v>
      </c>
      <c r="AA846" s="322">
        <f>IFERROR((VLOOKUP(Calculations[[#This Row],[Waste type 2]],WasteDisposalEmissions[#All],3,FALSE))*Calculations[[#This Row],[Total Kg]]*VLOOKUP(Calculations[[#This Row],[Waste 1]],WasteScenario[#All],3,FALSE),0)</f>
        <v>0</v>
      </c>
      <c r="AB846" s="322">
        <f>SUM(Calculations[[#This Row],[C3 recyc]:[C3 incin]])</f>
        <v>0</v>
      </c>
      <c r="AC846" s="334">
        <f>IFERROR((VLOOKUP(Calculations[[#This Row],[Waste type 2]],WasteLandfillEmissions[#All],2,FALSE))*Calculations[[#This Row],[Total Kg]]*VLOOKUP(Calculations[[#This Row],[Waste 1]],WasteScenario[#All],4,FALSE),0)</f>
        <v>0</v>
      </c>
      <c r="AD846" s="322">
        <f>IFERROR((VLOOKUP(Calculations[[#This Row],[Waste type 2]],WasteLandfillEmissions[#All],3,FALSE))*Calculations[[#This Row],[Total Kg]]*VLOOKUP(Calculations[[#This Row],[Waste 1]],WasteScenario[#All],4,FALSE),0)</f>
        <v>0</v>
      </c>
      <c r="AE846" s="322">
        <f>SUM(Calculations[[#This Row],[C4 landfill]:[C4 re-use]])</f>
        <v>0</v>
      </c>
      <c r="AF846" s="322">
        <f>IFERROR(VLOOKUP(Calculations[[#This Row],[Material (choose from dropdown]],MaterialData[#All],8,FALSE),0)</f>
        <v>0</v>
      </c>
      <c r="AG846" s="322">
        <f>IFERROR(Calculations[[#This Row],[Total Kg]]*Calculations[[#This Row],[Seq factor]],0)</f>
        <v>0</v>
      </c>
      <c r="AI846" s="322">
        <f>Calculations[[#This Row],[A1-3]]+Calculations[[#This Row],[A4]]+Calculations[[#This Row],[A5]]+Calculations[[#This Row],[B4]]+Calculations[[#This Row],[C2 total]]+Calculations[[#This Row],[C3 total]]+Calculations[[#This Row],[C4 total]]</f>
        <v>0</v>
      </c>
      <c r="AJ846" s="2">
        <f>IFERROR(VLOOKUP(Calculations[[#This Row],[Material (choose from dropdown]],MaterialData[[#Headers],[#Data]],9,FALSE),0)</f>
        <v>0</v>
      </c>
      <c r="AK846" s="4">
        <f>IFERROR(VLOOKUP(Calculations[[#This Row],[Material (choose from dropdown]],MaterialData[[#Headers],[#Data]],10,FALSE),0)</f>
        <v>0</v>
      </c>
      <c r="AL846" s="322">
        <f>IFERROR(Calculations[[#This Row],[Data Quality Score]]*Calculations[[#This Row],[Total Kg]],0)</f>
        <v>0</v>
      </c>
    </row>
    <row r="847" spans="1:38" x14ac:dyDescent="0.3">
      <c r="A847" s="6">
        <f>IFERROR(MaterialsBoQ[[#This Row],[Scope Element]],0)</f>
        <v>0</v>
      </c>
      <c r="B847" t="str">
        <f>IFERROR(MaterialsBoQ[[#This Row],[Material ]],"")</f>
        <v/>
      </c>
      <c r="C847" t="str">
        <f>IFERROR(MaterialsBoQ[[#This Row],[Unit]],"")</f>
        <v/>
      </c>
      <c r="D847" s="322">
        <f>IFERROR(MaterialsBoQ[[#This Row],[Number]],0)</f>
        <v>0</v>
      </c>
      <c r="E847" s="322">
        <f>IFERROR(MaterialsBoQ[[#This Row],[Kg per unit]],0)</f>
        <v>0</v>
      </c>
      <c r="F847" s="322">
        <f>IFERROR(Calculations[[#This Row],[Number]]*Calculations[[#This Row],[Conversion factor]],0)</f>
        <v>0</v>
      </c>
      <c r="G847" s="322">
        <f>IFERROR(VLOOKUP(Calculations[[#This Row],[Material (choose from dropdown]],MaterialData[#All],7,FALSE),0)</f>
        <v>0</v>
      </c>
      <c r="H847" s="322">
        <f>Calculations[[#This Row],[Total Kg]]*Calculations[[#This Row],[Carbon Factor]]</f>
        <v>0</v>
      </c>
      <c r="I847" t="str">
        <f>IFERROR(VLOOKUP(Calculations[[#This Row],[Material (choose from dropdown]],MaterialData[#All],2,FALSE),"")</f>
        <v/>
      </c>
      <c r="J847" s="322">
        <f>IFERROR(((VLOOKUP(Calculations[[#This Row],[TransportSource]],TransportDistance[],2,FALSE)*'Stage assumptions'!$C$11)+VLOOKUP(Calculations[[#This Row],[TransportSource]],TransportDistance[],3,FALSE)*'Stage assumptions'!$C$12)*Calculations[[#This Row],[Total Kg]],0)</f>
        <v>0</v>
      </c>
      <c r="K847">
        <f>IFERROR(VLOOKUP(Calculations[[#This Row],[Material (choose from dropdown]], MaterialData[#All],3, FALSE),0)</f>
        <v>0</v>
      </c>
      <c r="L847" s="322">
        <f>IFERROR(VLOOKUP(Calculations[[#This Row],[A5type]],A5WastageRate[#All],2,FALSE)*Calculations[[#This Row],[A1-3]],0)</f>
        <v>0</v>
      </c>
      <c r="N847">
        <f>IFERROR(ROUNDUP(50/VLOOKUP(Calculations[[#This Row],[Scope Element]],B4referenceServiceLife[[Tier 2 element]:[Default Service Life]],2, FALSE)-1,0),0)</f>
        <v>0</v>
      </c>
      <c r="O847" s="322">
        <f>IFERROR((Calculations[[#This Row],[A1-3]]+Calculations[[#This Row],[A4]]+Calculations[[#This Row],[A5]]+Calculations[[#This Row],[C2 total]]+Calculations[[#This Row],[C3 total]]+Calculations[[#This Row],[C4 total]])*Calculations[[#This Row],[Replacements]],0)</f>
        <v>0</v>
      </c>
      <c r="S847" t="str">
        <f>IFERROR(VLOOKUP(Calculations[[#This Row],[Material (choose from dropdown]],MaterialData[#All],4,FALSE),"")</f>
        <v/>
      </c>
      <c r="T847" s="322" cm="1">
        <f t="array" ref="T847">IFERROR(VLOOKUP(Calculations[[#This Row],[Waste 1]],WasteScenario[#All],2,FALSE)*'Stage assumptions'!$C$225*WasteTransportMethod[Emissions Factor
kgCO2e/kg.km]*Calculations[[#This Row],[Total Kg]],0)</f>
        <v>0</v>
      </c>
      <c r="U847" s="322" cm="1">
        <f t="array" ref="U847">IFERROR(VLOOKUP(Calculations[[#This Row],[Waste 1]],WasteScenario[#All],3,FALSE)*'Stage assumptions'!$C$224*WasteTransportMethod[Emissions Factor
kgCO2e/kg.km]*Calculations[[#This Row],[Total Kg]],0)</f>
        <v>0</v>
      </c>
      <c r="V847" s="322" cm="1">
        <f t="array" ref="V847">IFERROR(VLOOKUP(Calculations[[#This Row],[Waste 1]],WasteScenario[#All],4,FALSE)*'Stage assumptions'!$C$223*WasteTransportMethod[Emissions Factor
kgCO2e/kg.km]*Calculations[[#This Row],[Total Kg]],0)</f>
        <v>0</v>
      </c>
      <c r="W847" s="322" cm="1">
        <f t="array" ref="W847">IFERROR(VLOOKUP(Calculations[[#This Row],[Waste 1]],WasteScenario[#All],5,FALSE)*'Stage assumptions'!$C$226*WasteTransportMethod[Emissions Factor
kgCO2e/kg.km]*Calculations[[#This Row],[Total Kg]],0)</f>
        <v>0</v>
      </c>
      <c r="X847" s="322">
        <f>SUM(Calculations[[#This Row],[C2 Recycle]:[C2 Reuse]])</f>
        <v>0</v>
      </c>
      <c r="Y847" t="str">
        <f>IFERROR(VLOOKUP(Calculations[[#This Row],[Material (choose from dropdown]],MaterialData[#All],5,FALSE),"")</f>
        <v/>
      </c>
      <c r="Z847" s="322">
        <f>IFERROR(((VLOOKUP(Calculations[[#This Row],[Waste type 2]],WasteDisposalEmissions[#All],2,FALSE))*Calculations[[#This Row],[Total Kg]])*VLOOKUP(Calculations[[#This Row],[Waste 1]],WasteScenario[#All],2,FALSE),0)</f>
        <v>0</v>
      </c>
      <c r="AA847" s="322">
        <f>IFERROR((VLOOKUP(Calculations[[#This Row],[Waste type 2]],WasteDisposalEmissions[#All],3,FALSE))*Calculations[[#This Row],[Total Kg]]*VLOOKUP(Calculations[[#This Row],[Waste 1]],WasteScenario[#All],3,FALSE),0)</f>
        <v>0</v>
      </c>
      <c r="AB847" s="322">
        <f>SUM(Calculations[[#This Row],[C3 recyc]:[C3 incin]])</f>
        <v>0</v>
      </c>
      <c r="AC847" s="334">
        <f>IFERROR((VLOOKUP(Calculations[[#This Row],[Waste type 2]],WasteLandfillEmissions[#All],2,FALSE))*Calculations[[#This Row],[Total Kg]]*VLOOKUP(Calculations[[#This Row],[Waste 1]],WasteScenario[#All],4,FALSE),0)</f>
        <v>0</v>
      </c>
      <c r="AD847" s="322">
        <f>IFERROR((VLOOKUP(Calculations[[#This Row],[Waste type 2]],WasteLandfillEmissions[#All],3,FALSE))*Calculations[[#This Row],[Total Kg]]*VLOOKUP(Calculations[[#This Row],[Waste 1]],WasteScenario[#All],4,FALSE),0)</f>
        <v>0</v>
      </c>
      <c r="AE847" s="322">
        <f>SUM(Calculations[[#This Row],[C4 landfill]:[C4 re-use]])</f>
        <v>0</v>
      </c>
      <c r="AF847" s="322">
        <f>IFERROR(VLOOKUP(Calculations[[#This Row],[Material (choose from dropdown]],MaterialData[#All],8,FALSE),0)</f>
        <v>0</v>
      </c>
      <c r="AG847" s="322">
        <f>IFERROR(Calculations[[#This Row],[Total Kg]]*Calculations[[#This Row],[Seq factor]],0)</f>
        <v>0</v>
      </c>
      <c r="AI847" s="322">
        <f>Calculations[[#This Row],[A1-3]]+Calculations[[#This Row],[A4]]+Calculations[[#This Row],[A5]]+Calculations[[#This Row],[B4]]+Calculations[[#This Row],[C2 total]]+Calculations[[#This Row],[C3 total]]+Calculations[[#This Row],[C4 total]]</f>
        <v>0</v>
      </c>
      <c r="AJ847" s="2">
        <f>IFERROR(VLOOKUP(Calculations[[#This Row],[Material (choose from dropdown]],MaterialData[[#Headers],[#Data]],9,FALSE),0)</f>
        <v>0</v>
      </c>
      <c r="AK847" s="4">
        <f>IFERROR(VLOOKUP(Calculations[[#This Row],[Material (choose from dropdown]],MaterialData[[#Headers],[#Data]],10,FALSE),0)</f>
        <v>0</v>
      </c>
      <c r="AL847" s="322">
        <f>IFERROR(Calculations[[#This Row],[Data Quality Score]]*Calculations[[#This Row],[Total Kg]],0)</f>
        <v>0</v>
      </c>
    </row>
    <row r="848" spans="1:38" x14ac:dyDescent="0.3">
      <c r="A848" s="6">
        <f>IFERROR(MaterialsBoQ[[#This Row],[Scope Element]],0)</f>
        <v>0</v>
      </c>
      <c r="B848" t="str">
        <f>IFERROR(MaterialsBoQ[[#This Row],[Material ]],"")</f>
        <v/>
      </c>
      <c r="C848" t="str">
        <f>IFERROR(MaterialsBoQ[[#This Row],[Unit]],"")</f>
        <v/>
      </c>
      <c r="D848" s="322">
        <f>IFERROR(MaterialsBoQ[[#This Row],[Number]],0)</f>
        <v>0</v>
      </c>
      <c r="E848" s="322">
        <f>IFERROR(MaterialsBoQ[[#This Row],[Kg per unit]],0)</f>
        <v>0</v>
      </c>
      <c r="F848" s="322">
        <f>IFERROR(Calculations[[#This Row],[Number]]*Calculations[[#This Row],[Conversion factor]],0)</f>
        <v>0</v>
      </c>
      <c r="G848" s="322">
        <f>IFERROR(VLOOKUP(Calculations[[#This Row],[Material (choose from dropdown]],MaterialData[#All],7,FALSE),0)</f>
        <v>0</v>
      </c>
      <c r="H848" s="322">
        <f>Calculations[[#This Row],[Total Kg]]*Calculations[[#This Row],[Carbon Factor]]</f>
        <v>0</v>
      </c>
      <c r="I848" t="str">
        <f>IFERROR(VLOOKUP(Calculations[[#This Row],[Material (choose from dropdown]],MaterialData[#All],2,FALSE),"")</f>
        <v/>
      </c>
      <c r="J848" s="322">
        <f>IFERROR(((VLOOKUP(Calculations[[#This Row],[TransportSource]],TransportDistance[],2,FALSE)*'Stage assumptions'!$C$11)+VLOOKUP(Calculations[[#This Row],[TransportSource]],TransportDistance[],3,FALSE)*'Stage assumptions'!$C$12)*Calculations[[#This Row],[Total Kg]],0)</f>
        <v>0</v>
      </c>
      <c r="K848">
        <f>IFERROR(VLOOKUP(Calculations[[#This Row],[Material (choose from dropdown]], MaterialData[#All],3, FALSE),0)</f>
        <v>0</v>
      </c>
      <c r="L848" s="322">
        <f>IFERROR(VLOOKUP(Calculations[[#This Row],[A5type]],A5WastageRate[#All],2,FALSE)*Calculations[[#This Row],[A1-3]],0)</f>
        <v>0</v>
      </c>
      <c r="N848">
        <f>IFERROR(ROUNDUP(50/VLOOKUP(Calculations[[#This Row],[Scope Element]],B4referenceServiceLife[[Tier 2 element]:[Default Service Life]],2, FALSE)-1,0),0)</f>
        <v>0</v>
      </c>
      <c r="O848" s="322">
        <f>IFERROR((Calculations[[#This Row],[A1-3]]+Calculations[[#This Row],[A4]]+Calculations[[#This Row],[A5]]+Calculations[[#This Row],[C2 total]]+Calculations[[#This Row],[C3 total]]+Calculations[[#This Row],[C4 total]])*Calculations[[#This Row],[Replacements]],0)</f>
        <v>0</v>
      </c>
      <c r="S848" t="str">
        <f>IFERROR(VLOOKUP(Calculations[[#This Row],[Material (choose from dropdown]],MaterialData[#All],4,FALSE),"")</f>
        <v/>
      </c>
      <c r="T848" s="322" cm="1">
        <f t="array" ref="T848">IFERROR(VLOOKUP(Calculations[[#This Row],[Waste 1]],WasteScenario[#All],2,FALSE)*'Stage assumptions'!$C$225*WasteTransportMethod[Emissions Factor
kgCO2e/kg.km]*Calculations[[#This Row],[Total Kg]],0)</f>
        <v>0</v>
      </c>
      <c r="U848" s="322" cm="1">
        <f t="array" ref="U848">IFERROR(VLOOKUP(Calculations[[#This Row],[Waste 1]],WasteScenario[#All],3,FALSE)*'Stage assumptions'!$C$224*WasteTransportMethod[Emissions Factor
kgCO2e/kg.km]*Calculations[[#This Row],[Total Kg]],0)</f>
        <v>0</v>
      </c>
      <c r="V848" s="322" cm="1">
        <f t="array" ref="V848">IFERROR(VLOOKUP(Calculations[[#This Row],[Waste 1]],WasteScenario[#All],4,FALSE)*'Stage assumptions'!$C$223*WasteTransportMethod[Emissions Factor
kgCO2e/kg.km]*Calculations[[#This Row],[Total Kg]],0)</f>
        <v>0</v>
      </c>
      <c r="W848" s="322" cm="1">
        <f t="array" ref="W848">IFERROR(VLOOKUP(Calculations[[#This Row],[Waste 1]],WasteScenario[#All],5,FALSE)*'Stage assumptions'!$C$226*WasteTransportMethod[Emissions Factor
kgCO2e/kg.km]*Calculations[[#This Row],[Total Kg]],0)</f>
        <v>0</v>
      </c>
      <c r="X848" s="322">
        <f>SUM(Calculations[[#This Row],[C2 Recycle]:[C2 Reuse]])</f>
        <v>0</v>
      </c>
      <c r="Y848" t="str">
        <f>IFERROR(VLOOKUP(Calculations[[#This Row],[Material (choose from dropdown]],MaterialData[#All],5,FALSE),"")</f>
        <v/>
      </c>
      <c r="Z848" s="322">
        <f>IFERROR(((VLOOKUP(Calculations[[#This Row],[Waste type 2]],WasteDisposalEmissions[#All],2,FALSE))*Calculations[[#This Row],[Total Kg]])*VLOOKUP(Calculations[[#This Row],[Waste 1]],WasteScenario[#All],2,FALSE),0)</f>
        <v>0</v>
      </c>
      <c r="AA848" s="322">
        <f>IFERROR((VLOOKUP(Calculations[[#This Row],[Waste type 2]],WasteDisposalEmissions[#All],3,FALSE))*Calculations[[#This Row],[Total Kg]]*VLOOKUP(Calculations[[#This Row],[Waste 1]],WasteScenario[#All],3,FALSE),0)</f>
        <v>0</v>
      </c>
      <c r="AB848" s="322">
        <f>SUM(Calculations[[#This Row],[C3 recyc]:[C3 incin]])</f>
        <v>0</v>
      </c>
      <c r="AC848" s="334">
        <f>IFERROR((VLOOKUP(Calculations[[#This Row],[Waste type 2]],WasteLandfillEmissions[#All],2,FALSE))*Calculations[[#This Row],[Total Kg]]*VLOOKUP(Calculations[[#This Row],[Waste 1]],WasteScenario[#All],4,FALSE),0)</f>
        <v>0</v>
      </c>
      <c r="AD848" s="322">
        <f>IFERROR((VLOOKUP(Calculations[[#This Row],[Waste type 2]],WasteLandfillEmissions[#All],3,FALSE))*Calculations[[#This Row],[Total Kg]]*VLOOKUP(Calculations[[#This Row],[Waste 1]],WasteScenario[#All],4,FALSE),0)</f>
        <v>0</v>
      </c>
      <c r="AE848" s="322">
        <f>SUM(Calculations[[#This Row],[C4 landfill]:[C4 re-use]])</f>
        <v>0</v>
      </c>
      <c r="AF848" s="322">
        <f>IFERROR(VLOOKUP(Calculations[[#This Row],[Material (choose from dropdown]],MaterialData[#All],8,FALSE),0)</f>
        <v>0</v>
      </c>
      <c r="AG848" s="322">
        <f>IFERROR(Calculations[[#This Row],[Total Kg]]*Calculations[[#This Row],[Seq factor]],0)</f>
        <v>0</v>
      </c>
      <c r="AI848" s="322">
        <f>Calculations[[#This Row],[A1-3]]+Calculations[[#This Row],[A4]]+Calculations[[#This Row],[A5]]+Calculations[[#This Row],[B4]]+Calculations[[#This Row],[C2 total]]+Calculations[[#This Row],[C3 total]]+Calculations[[#This Row],[C4 total]]</f>
        <v>0</v>
      </c>
      <c r="AJ848" s="2">
        <f>IFERROR(VLOOKUP(Calculations[[#This Row],[Material (choose from dropdown]],MaterialData[[#Headers],[#Data]],9,FALSE),0)</f>
        <v>0</v>
      </c>
      <c r="AK848" s="4">
        <f>IFERROR(VLOOKUP(Calculations[[#This Row],[Material (choose from dropdown]],MaterialData[[#Headers],[#Data]],10,FALSE),0)</f>
        <v>0</v>
      </c>
      <c r="AL848" s="322">
        <f>IFERROR(Calculations[[#This Row],[Data Quality Score]]*Calculations[[#This Row],[Total Kg]],0)</f>
        <v>0</v>
      </c>
    </row>
    <row r="849" spans="1:38" x14ac:dyDescent="0.3">
      <c r="A849" s="6">
        <f>IFERROR(MaterialsBoQ[[#This Row],[Scope Element]],0)</f>
        <v>0</v>
      </c>
      <c r="B849" t="str">
        <f>IFERROR(MaterialsBoQ[[#This Row],[Material ]],"")</f>
        <v/>
      </c>
      <c r="C849" t="str">
        <f>IFERROR(MaterialsBoQ[[#This Row],[Unit]],"")</f>
        <v/>
      </c>
      <c r="D849" s="322">
        <f>IFERROR(MaterialsBoQ[[#This Row],[Number]],0)</f>
        <v>0</v>
      </c>
      <c r="E849" s="322">
        <f>IFERROR(MaterialsBoQ[[#This Row],[Kg per unit]],0)</f>
        <v>0</v>
      </c>
      <c r="F849" s="322">
        <f>IFERROR(Calculations[[#This Row],[Number]]*Calculations[[#This Row],[Conversion factor]],0)</f>
        <v>0</v>
      </c>
      <c r="G849" s="322">
        <f>IFERROR(VLOOKUP(Calculations[[#This Row],[Material (choose from dropdown]],MaterialData[#All],7,FALSE),0)</f>
        <v>0</v>
      </c>
      <c r="H849" s="322">
        <f>Calculations[[#This Row],[Total Kg]]*Calculations[[#This Row],[Carbon Factor]]</f>
        <v>0</v>
      </c>
      <c r="I849" t="str">
        <f>IFERROR(VLOOKUP(Calculations[[#This Row],[Material (choose from dropdown]],MaterialData[#All],2,FALSE),"")</f>
        <v/>
      </c>
      <c r="J849" s="322">
        <f>IFERROR(((VLOOKUP(Calculations[[#This Row],[TransportSource]],TransportDistance[],2,FALSE)*'Stage assumptions'!$C$11)+VLOOKUP(Calculations[[#This Row],[TransportSource]],TransportDistance[],3,FALSE)*'Stage assumptions'!$C$12)*Calculations[[#This Row],[Total Kg]],0)</f>
        <v>0</v>
      </c>
      <c r="K849">
        <f>IFERROR(VLOOKUP(Calculations[[#This Row],[Material (choose from dropdown]], MaterialData[#All],3, FALSE),0)</f>
        <v>0</v>
      </c>
      <c r="L849" s="322">
        <f>IFERROR(VLOOKUP(Calculations[[#This Row],[A5type]],A5WastageRate[#All],2,FALSE)*Calculations[[#This Row],[A1-3]],0)</f>
        <v>0</v>
      </c>
      <c r="N849">
        <f>IFERROR(ROUNDUP(50/VLOOKUP(Calculations[[#This Row],[Scope Element]],B4referenceServiceLife[[Tier 2 element]:[Default Service Life]],2, FALSE)-1,0),0)</f>
        <v>0</v>
      </c>
      <c r="O849" s="322">
        <f>IFERROR((Calculations[[#This Row],[A1-3]]+Calculations[[#This Row],[A4]]+Calculations[[#This Row],[A5]]+Calculations[[#This Row],[C2 total]]+Calculations[[#This Row],[C3 total]]+Calculations[[#This Row],[C4 total]])*Calculations[[#This Row],[Replacements]],0)</f>
        <v>0</v>
      </c>
      <c r="S849" t="str">
        <f>IFERROR(VLOOKUP(Calculations[[#This Row],[Material (choose from dropdown]],MaterialData[#All],4,FALSE),"")</f>
        <v/>
      </c>
      <c r="T849" s="322" cm="1">
        <f t="array" ref="T849">IFERROR(VLOOKUP(Calculations[[#This Row],[Waste 1]],WasteScenario[#All],2,FALSE)*'Stage assumptions'!$C$225*WasteTransportMethod[Emissions Factor
kgCO2e/kg.km]*Calculations[[#This Row],[Total Kg]],0)</f>
        <v>0</v>
      </c>
      <c r="U849" s="322" cm="1">
        <f t="array" ref="U849">IFERROR(VLOOKUP(Calculations[[#This Row],[Waste 1]],WasteScenario[#All],3,FALSE)*'Stage assumptions'!$C$224*WasteTransportMethod[Emissions Factor
kgCO2e/kg.km]*Calculations[[#This Row],[Total Kg]],0)</f>
        <v>0</v>
      </c>
      <c r="V849" s="322" cm="1">
        <f t="array" ref="V849">IFERROR(VLOOKUP(Calculations[[#This Row],[Waste 1]],WasteScenario[#All],4,FALSE)*'Stage assumptions'!$C$223*WasteTransportMethod[Emissions Factor
kgCO2e/kg.km]*Calculations[[#This Row],[Total Kg]],0)</f>
        <v>0</v>
      </c>
      <c r="W849" s="322" cm="1">
        <f t="array" ref="W849">IFERROR(VLOOKUP(Calculations[[#This Row],[Waste 1]],WasteScenario[#All],5,FALSE)*'Stage assumptions'!$C$226*WasteTransportMethod[Emissions Factor
kgCO2e/kg.km]*Calculations[[#This Row],[Total Kg]],0)</f>
        <v>0</v>
      </c>
      <c r="X849" s="322">
        <f>SUM(Calculations[[#This Row],[C2 Recycle]:[C2 Reuse]])</f>
        <v>0</v>
      </c>
      <c r="Y849" t="str">
        <f>IFERROR(VLOOKUP(Calculations[[#This Row],[Material (choose from dropdown]],MaterialData[#All],5,FALSE),"")</f>
        <v/>
      </c>
      <c r="Z849" s="322">
        <f>IFERROR(((VLOOKUP(Calculations[[#This Row],[Waste type 2]],WasteDisposalEmissions[#All],2,FALSE))*Calculations[[#This Row],[Total Kg]])*VLOOKUP(Calculations[[#This Row],[Waste 1]],WasteScenario[#All],2,FALSE),0)</f>
        <v>0</v>
      </c>
      <c r="AA849" s="322">
        <f>IFERROR((VLOOKUP(Calculations[[#This Row],[Waste type 2]],WasteDisposalEmissions[#All],3,FALSE))*Calculations[[#This Row],[Total Kg]]*VLOOKUP(Calculations[[#This Row],[Waste 1]],WasteScenario[#All],3,FALSE),0)</f>
        <v>0</v>
      </c>
      <c r="AB849" s="322">
        <f>SUM(Calculations[[#This Row],[C3 recyc]:[C3 incin]])</f>
        <v>0</v>
      </c>
      <c r="AC849" s="334">
        <f>IFERROR((VLOOKUP(Calculations[[#This Row],[Waste type 2]],WasteLandfillEmissions[#All],2,FALSE))*Calculations[[#This Row],[Total Kg]]*VLOOKUP(Calculations[[#This Row],[Waste 1]],WasteScenario[#All],4,FALSE),0)</f>
        <v>0</v>
      </c>
      <c r="AD849" s="322">
        <f>IFERROR((VLOOKUP(Calculations[[#This Row],[Waste type 2]],WasteLandfillEmissions[#All],3,FALSE))*Calculations[[#This Row],[Total Kg]]*VLOOKUP(Calculations[[#This Row],[Waste 1]],WasteScenario[#All],4,FALSE),0)</f>
        <v>0</v>
      </c>
      <c r="AE849" s="322">
        <f>SUM(Calculations[[#This Row],[C4 landfill]:[C4 re-use]])</f>
        <v>0</v>
      </c>
      <c r="AF849" s="322">
        <f>IFERROR(VLOOKUP(Calculations[[#This Row],[Material (choose from dropdown]],MaterialData[#All],8,FALSE),0)</f>
        <v>0</v>
      </c>
      <c r="AG849" s="322">
        <f>IFERROR(Calculations[[#This Row],[Total Kg]]*Calculations[[#This Row],[Seq factor]],0)</f>
        <v>0</v>
      </c>
      <c r="AI849" s="322">
        <f>Calculations[[#This Row],[A1-3]]+Calculations[[#This Row],[A4]]+Calculations[[#This Row],[A5]]+Calculations[[#This Row],[B4]]+Calculations[[#This Row],[C2 total]]+Calculations[[#This Row],[C3 total]]+Calculations[[#This Row],[C4 total]]</f>
        <v>0</v>
      </c>
      <c r="AJ849" s="2">
        <f>IFERROR(VLOOKUP(Calculations[[#This Row],[Material (choose from dropdown]],MaterialData[[#Headers],[#Data]],9,FALSE),0)</f>
        <v>0</v>
      </c>
      <c r="AK849" s="4">
        <f>IFERROR(VLOOKUP(Calculations[[#This Row],[Material (choose from dropdown]],MaterialData[[#Headers],[#Data]],10,FALSE),0)</f>
        <v>0</v>
      </c>
      <c r="AL849" s="322">
        <f>IFERROR(Calculations[[#This Row],[Data Quality Score]]*Calculations[[#This Row],[Total Kg]],0)</f>
        <v>0</v>
      </c>
    </row>
    <row r="850" spans="1:38" x14ac:dyDescent="0.3">
      <c r="A850" s="6">
        <f>IFERROR(MaterialsBoQ[[#This Row],[Scope Element]],0)</f>
        <v>0</v>
      </c>
      <c r="B850" t="str">
        <f>IFERROR(MaterialsBoQ[[#This Row],[Material ]],"")</f>
        <v/>
      </c>
      <c r="C850" t="str">
        <f>IFERROR(MaterialsBoQ[[#This Row],[Unit]],"")</f>
        <v/>
      </c>
      <c r="D850" s="322">
        <f>IFERROR(MaterialsBoQ[[#This Row],[Number]],0)</f>
        <v>0</v>
      </c>
      <c r="E850" s="322">
        <f>IFERROR(MaterialsBoQ[[#This Row],[Kg per unit]],0)</f>
        <v>0</v>
      </c>
      <c r="F850" s="322">
        <f>IFERROR(Calculations[[#This Row],[Number]]*Calculations[[#This Row],[Conversion factor]],0)</f>
        <v>0</v>
      </c>
      <c r="G850" s="322">
        <f>IFERROR(VLOOKUP(Calculations[[#This Row],[Material (choose from dropdown]],MaterialData[#All],7,FALSE),0)</f>
        <v>0</v>
      </c>
      <c r="H850" s="322">
        <f>Calculations[[#This Row],[Total Kg]]*Calculations[[#This Row],[Carbon Factor]]</f>
        <v>0</v>
      </c>
      <c r="I850" t="str">
        <f>IFERROR(VLOOKUP(Calculations[[#This Row],[Material (choose from dropdown]],MaterialData[#All],2,FALSE),"")</f>
        <v/>
      </c>
      <c r="J850" s="322">
        <f>IFERROR(((VLOOKUP(Calculations[[#This Row],[TransportSource]],TransportDistance[],2,FALSE)*'Stage assumptions'!$C$11)+VLOOKUP(Calculations[[#This Row],[TransportSource]],TransportDistance[],3,FALSE)*'Stage assumptions'!$C$12)*Calculations[[#This Row],[Total Kg]],0)</f>
        <v>0</v>
      </c>
      <c r="K850">
        <f>IFERROR(VLOOKUP(Calculations[[#This Row],[Material (choose from dropdown]], MaterialData[#All],3, FALSE),0)</f>
        <v>0</v>
      </c>
      <c r="L850" s="322">
        <f>IFERROR(VLOOKUP(Calculations[[#This Row],[A5type]],A5WastageRate[#All],2,FALSE)*Calculations[[#This Row],[A1-3]],0)</f>
        <v>0</v>
      </c>
      <c r="N850">
        <f>IFERROR(ROUNDUP(50/VLOOKUP(Calculations[[#This Row],[Scope Element]],B4referenceServiceLife[[Tier 2 element]:[Default Service Life]],2, FALSE)-1,0),0)</f>
        <v>0</v>
      </c>
      <c r="O850" s="322">
        <f>IFERROR((Calculations[[#This Row],[A1-3]]+Calculations[[#This Row],[A4]]+Calculations[[#This Row],[A5]]+Calculations[[#This Row],[C2 total]]+Calculations[[#This Row],[C3 total]]+Calculations[[#This Row],[C4 total]])*Calculations[[#This Row],[Replacements]],0)</f>
        <v>0</v>
      </c>
      <c r="S850" t="str">
        <f>IFERROR(VLOOKUP(Calculations[[#This Row],[Material (choose from dropdown]],MaterialData[#All],4,FALSE),"")</f>
        <v/>
      </c>
      <c r="T850" s="322" cm="1">
        <f t="array" ref="T850">IFERROR(VLOOKUP(Calculations[[#This Row],[Waste 1]],WasteScenario[#All],2,FALSE)*'Stage assumptions'!$C$225*WasteTransportMethod[Emissions Factor
kgCO2e/kg.km]*Calculations[[#This Row],[Total Kg]],0)</f>
        <v>0</v>
      </c>
      <c r="U850" s="322" cm="1">
        <f t="array" ref="U850">IFERROR(VLOOKUP(Calculations[[#This Row],[Waste 1]],WasteScenario[#All],3,FALSE)*'Stage assumptions'!$C$224*WasteTransportMethod[Emissions Factor
kgCO2e/kg.km]*Calculations[[#This Row],[Total Kg]],0)</f>
        <v>0</v>
      </c>
      <c r="V850" s="322" cm="1">
        <f t="array" ref="V850">IFERROR(VLOOKUP(Calculations[[#This Row],[Waste 1]],WasteScenario[#All],4,FALSE)*'Stage assumptions'!$C$223*WasteTransportMethod[Emissions Factor
kgCO2e/kg.km]*Calculations[[#This Row],[Total Kg]],0)</f>
        <v>0</v>
      </c>
      <c r="W850" s="322" cm="1">
        <f t="array" ref="W850">IFERROR(VLOOKUP(Calculations[[#This Row],[Waste 1]],WasteScenario[#All],5,FALSE)*'Stage assumptions'!$C$226*WasteTransportMethod[Emissions Factor
kgCO2e/kg.km]*Calculations[[#This Row],[Total Kg]],0)</f>
        <v>0</v>
      </c>
      <c r="X850" s="322">
        <f>SUM(Calculations[[#This Row],[C2 Recycle]:[C2 Reuse]])</f>
        <v>0</v>
      </c>
      <c r="Y850" t="str">
        <f>IFERROR(VLOOKUP(Calculations[[#This Row],[Material (choose from dropdown]],MaterialData[#All],5,FALSE),"")</f>
        <v/>
      </c>
      <c r="Z850" s="322">
        <f>IFERROR(((VLOOKUP(Calculations[[#This Row],[Waste type 2]],WasteDisposalEmissions[#All],2,FALSE))*Calculations[[#This Row],[Total Kg]])*VLOOKUP(Calculations[[#This Row],[Waste 1]],WasteScenario[#All],2,FALSE),0)</f>
        <v>0</v>
      </c>
      <c r="AA850" s="322">
        <f>IFERROR((VLOOKUP(Calculations[[#This Row],[Waste type 2]],WasteDisposalEmissions[#All],3,FALSE))*Calculations[[#This Row],[Total Kg]]*VLOOKUP(Calculations[[#This Row],[Waste 1]],WasteScenario[#All],3,FALSE),0)</f>
        <v>0</v>
      </c>
      <c r="AB850" s="322">
        <f>SUM(Calculations[[#This Row],[C3 recyc]:[C3 incin]])</f>
        <v>0</v>
      </c>
      <c r="AC850" s="334">
        <f>IFERROR((VLOOKUP(Calculations[[#This Row],[Waste type 2]],WasteLandfillEmissions[#All],2,FALSE))*Calculations[[#This Row],[Total Kg]]*VLOOKUP(Calculations[[#This Row],[Waste 1]],WasteScenario[#All],4,FALSE),0)</f>
        <v>0</v>
      </c>
      <c r="AD850" s="322">
        <f>IFERROR((VLOOKUP(Calculations[[#This Row],[Waste type 2]],WasteLandfillEmissions[#All],3,FALSE))*Calculations[[#This Row],[Total Kg]]*VLOOKUP(Calculations[[#This Row],[Waste 1]],WasteScenario[#All],4,FALSE),0)</f>
        <v>0</v>
      </c>
      <c r="AE850" s="322">
        <f>SUM(Calculations[[#This Row],[C4 landfill]:[C4 re-use]])</f>
        <v>0</v>
      </c>
      <c r="AF850" s="322">
        <f>IFERROR(VLOOKUP(Calculations[[#This Row],[Material (choose from dropdown]],MaterialData[#All],8,FALSE),0)</f>
        <v>0</v>
      </c>
      <c r="AG850" s="322">
        <f>IFERROR(Calculations[[#This Row],[Total Kg]]*Calculations[[#This Row],[Seq factor]],0)</f>
        <v>0</v>
      </c>
      <c r="AI850" s="322">
        <f>Calculations[[#This Row],[A1-3]]+Calculations[[#This Row],[A4]]+Calculations[[#This Row],[A5]]+Calculations[[#This Row],[B4]]+Calculations[[#This Row],[C2 total]]+Calculations[[#This Row],[C3 total]]+Calculations[[#This Row],[C4 total]]</f>
        <v>0</v>
      </c>
      <c r="AJ850" s="2">
        <f>IFERROR(VLOOKUP(Calculations[[#This Row],[Material (choose from dropdown]],MaterialData[[#Headers],[#Data]],9,FALSE),0)</f>
        <v>0</v>
      </c>
      <c r="AK850" s="4">
        <f>IFERROR(VLOOKUP(Calculations[[#This Row],[Material (choose from dropdown]],MaterialData[[#Headers],[#Data]],10,FALSE),0)</f>
        <v>0</v>
      </c>
      <c r="AL850" s="322">
        <f>IFERROR(Calculations[[#This Row],[Data Quality Score]]*Calculations[[#This Row],[Total Kg]],0)</f>
        <v>0</v>
      </c>
    </row>
    <row r="851" spans="1:38" x14ac:dyDescent="0.3">
      <c r="A851" s="6">
        <f>IFERROR(MaterialsBoQ[[#This Row],[Scope Element]],0)</f>
        <v>0</v>
      </c>
      <c r="B851" t="str">
        <f>IFERROR(MaterialsBoQ[[#This Row],[Material ]],"")</f>
        <v/>
      </c>
      <c r="C851" t="str">
        <f>IFERROR(MaterialsBoQ[[#This Row],[Unit]],"")</f>
        <v/>
      </c>
      <c r="D851" s="322">
        <f>IFERROR(MaterialsBoQ[[#This Row],[Number]],0)</f>
        <v>0</v>
      </c>
      <c r="E851" s="322">
        <f>IFERROR(MaterialsBoQ[[#This Row],[Kg per unit]],0)</f>
        <v>0</v>
      </c>
      <c r="F851" s="322">
        <f>IFERROR(Calculations[[#This Row],[Number]]*Calculations[[#This Row],[Conversion factor]],0)</f>
        <v>0</v>
      </c>
      <c r="G851" s="322">
        <f>IFERROR(VLOOKUP(Calculations[[#This Row],[Material (choose from dropdown]],MaterialData[#All],7,FALSE),0)</f>
        <v>0</v>
      </c>
      <c r="H851" s="322">
        <f>Calculations[[#This Row],[Total Kg]]*Calculations[[#This Row],[Carbon Factor]]</f>
        <v>0</v>
      </c>
      <c r="I851" t="str">
        <f>IFERROR(VLOOKUP(Calculations[[#This Row],[Material (choose from dropdown]],MaterialData[#All],2,FALSE),"")</f>
        <v/>
      </c>
      <c r="J851" s="322">
        <f>IFERROR(((VLOOKUP(Calculations[[#This Row],[TransportSource]],TransportDistance[],2,FALSE)*'Stage assumptions'!$C$11)+VLOOKUP(Calculations[[#This Row],[TransportSource]],TransportDistance[],3,FALSE)*'Stage assumptions'!$C$12)*Calculations[[#This Row],[Total Kg]],0)</f>
        <v>0</v>
      </c>
      <c r="K851">
        <f>IFERROR(VLOOKUP(Calculations[[#This Row],[Material (choose from dropdown]], MaterialData[#All],3, FALSE),0)</f>
        <v>0</v>
      </c>
      <c r="L851" s="322">
        <f>IFERROR(VLOOKUP(Calculations[[#This Row],[A5type]],A5WastageRate[#All],2,FALSE)*Calculations[[#This Row],[A1-3]],0)</f>
        <v>0</v>
      </c>
      <c r="N851">
        <f>IFERROR(ROUNDUP(50/VLOOKUP(Calculations[[#This Row],[Scope Element]],B4referenceServiceLife[[Tier 2 element]:[Default Service Life]],2, FALSE)-1,0),0)</f>
        <v>0</v>
      </c>
      <c r="O851" s="322">
        <f>IFERROR((Calculations[[#This Row],[A1-3]]+Calculations[[#This Row],[A4]]+Calculations[[#This Row],[A5]]+Calculations[[#This Row],[C2 total]]+Calculations[[#This Row],[C3 total]]+Calculations[[#This Row],[C4 total]])*Calculations[[#This Row],[Replacements]],0)</f>
        <v>0</v>
      </c>
      <c r="S851" t="str">
        <f>IFERROR(VLOOKUP(Calculations[[#This Row],[Material (choose from dropdown]],MaterialData[#All],4,FALSE),"")</f>
        <v/>
      </c>
      <c r="T851" s="322" cm="1">
        <f t="array" ref="T851">IFERROR(VLOOKUP(Calculations[[#This Row],[Waste 1]],WasteScenario[#All],2,FALSE)*'Stage assumptions'!$C$225*WasteTransportMethod[Emissions Factor
kgCO2e/kg.km]*Calculations[[#This Row],[Total Kg]],0)</f>
        <v>0</v>
      </c>
      <c r="U851" s="322" cm="1">
        <f t="array" ref="U851">IFERROR(VLOOKUP(Calculations[[#This Row],[Waste 1]],WasteScenario[#All],3,FALSE)*'Stage assumptions'!$C$224*WasteTransportMethod[Emissions Factor
kgCO2e/kg.km]*Calculations[[#This Row],[Total Kg]],0)</f>
        <v>0</v>
      </c>
      <c r="V851" s="322" cm="1">
        <f t="array" ref="V851">IFERROR(VLOOKUP(Calculations[[#This Row],[Waste 1]],WasteScenario[#All],4,FALSE)*'Stage assumptions'!$C$223*WasteTransportMethod[Emissions Factor
kgCO2e/kg.km]*Calculations[[#This Row],[Total Kg]],0)</f>
        <v>0</v>
      </c>
      <c r="W851" s="322" cm="1">
        <f t="array" ref="W851">IFERROR(VLOOKUP(Calculations[[#This Row],[Waste 1]],WasteScenario[#All],5,FALSE)*'Stage assumptions'!$C$226*WasteTransportMethod[Emissions Factor
kgCO2e/kg.km]*Calculations[[#This Row],[Total Kg]],0)</f>
        <v>0</v>
      </c>
      <c r="X851" s="322">
        <f>SUM(Calculations[[#This Row],[C2 Recycle]:[C2 Reuse]])</f>
        <v>0</v>
      </c>
      <c r="Y851" t="str">
        <f>IFERROR(VLOOKUP(Calculations[[#This Row],[Material (choose from dropdown]],MaterialData[#All],5,FALSE),"")</f>
        <v/>
      </c>
      <c r="Z851" s="322">
        <f>IFERROR(((VLOOKUP(Calculations[[#This Row],[Waste type 2]],WasteDisposalEmissions[#All],2,FALSE))*Calculations[[#This Row],[Total Kg]])*VLOOKUP(Calculations[[#This Row],[Waste 1]],WasteScenario[#All],2,FALSE),0)</f>
        <v>0</v>
      </c>
      <c r="AA851" s="322">
        <f>IFERROR((VLOOKUP(Calculations[[#This Row],[Waste type 2]],WasteDisposalEmissions[#All],3,FALSE))*Calculations[[#This Row],[Total Kg]]*VLOOKUP(Calculations[[#This Row],[Waste 1]],WasteScenario[#All],3,FALSE),0)</f>
        <v>0</v>
      </c>
      <c r="AB851" s="322">
        <f>SUM(Calculations[[#This Row],[C3 recyc]:[C3 incin]])</f>
        <v>0</v>
      </c>
      <c r="AC851" s="334">
        <f>IFERROR((VLOOKUP(Calculations[[#This Row],[Waste type 2]],WasteLandfillEmissions[#All],2,FALSE))*Calculations[[#This Row],[Total Kg]]*VLOOKUP(Calculations[[#This Row],[Waste 1]],WasteScenario[#All],4,FALSE),0)</f>
        <v>0</v>
      </c>
      <c r="AD851" s="322">
        <f>IFERROR((VLOOKUP(Calculations[[#This Row],[Waste type 2]],WasteLandfillEmissions[#All],3,FALSE))*Calculations[[#This Row],[Total Kg]]*VLOOKUP(Calculations[[#This Row],[Waste 1]],WasteScenario[#All],4,FALSE),0)</f>
        <v>0</v>
      </c>
      <c r="AE851" s="322">
        <f>SUM(Calculations[[#This Row],[C4 landfill]:[C4 re-use]])</f>
        <v>0</v>
      </c>
      <c r="AF851" s="322">
        <f>IFERROR(VLOOKUP(Calculations[[#This Row],[Material (choose from dropdown]],MaterialData[#All],8,FALSE),0)</f>
        <v>0</v>
      </c>
      <c r="AG851" s="322">
        <f>IFERROR(Calculations[[#This Row],[Total Kg]]*Calculations[[#This Row],[Seq factor]],0)</f>
        <v>0</v>
      </c>
      <c r="AI851" s="322">
        <f>Calculations[[#This Row],[A1-3]]+Calculations[[#This Row],[A4]]+Calculations[[#This Row],[A5]]+Calculations[[#This Row],[B4]]+Calculations[[#This Row],[C2 total]]+Calculations[[#This Row],[C3 total]]+Calculations[[#This Row],[C4 total]]</f>
        <v>0</v>
      </c>
      <c r="AJ851" s="2">
        <f>IFERROR(VLOOKUP(Calculations[[#This Row],[Material (choose from dropdown]],MaterialData[[#Headers],[#Data]],9,FALSE),0)</f>
        <v>0</v>
      </c>
      <c r="AK851" s="4">
        <f>IFERROR(VLOOKUP(Calculations[[#This Row],[Material (choose from dropdown]],MaterialData[[#Headers],[#Data]],10,FALSE),0)</f>
        <v>0</v>
      </c>
      <c r="AL851" s="322">
        <f>IFERROR(Calculations[[#This Row],[Data Quality Score]]*Calculations[[#This Row],[Total Kg]],0)</f>
        <v>0</v>
      </c>
    </row>
    <row r="852" spans="1:38" x14ac:dyDescent="0.3">
      <c r="A852" s="6">
        <f>IFERROR(MaterialsBoQ[[#This Row],[Scope Element]],0)</f>
        <v>0</v>
      </c>
      <c r="B852" t="str">
        <f>IFERROR(MaterialsBoQ[[#This Row],[Material ]],"")</f>
        <v/>
      </c>
      <c r="C852" t="str">
        <f>IFERROR(MaterialsBoQ[[#This Row],[Unit]],"")</f>
        <v/>
      </c>
      <c r="D852" s="322">
        <f>IFERROR(MaterialsBoQ[[#This Row],[Number]],0)</f>
        <v>0</v>
      </c>
      <c r="E852" s="322">
        <f>IFERROR(MaterialsBoQ[[#This Row],[Kg per unit]],0)</f>
        <v>0</v>
      </c>
      <c r="F852" s="322">
        <f>IFERROR(Calculations[[#This Row],[Number]]*Calculations[[#This Row],[Conversion factor]],0)</f>
        <v>0</v>
      </c>
      <c r="G852" s="322">
        <f>IFERROR(VLOOKUP(Calculations[[#This Row],[Material (choose from dropdown]],MaterialData[#All],7,FALSE),0)</f>
        <v>0</v>
      </c>
      <c r="H852" s="322">
        <f>Calculations[[#This Row],[Total Kg]]*Calculations[[#This Row],[Carbon Factor]]</f>
        <v>0</v>
      </c>
      <c r="I852" t="str">
        <f>IFERROR(VLOOKUP(Calculations[[#This Row],[Material (choose from dropdown]],MaterialData[#All],2,FALSE),"")</f>
        <v/>
      </c>
      <c r="J852" s="322">
        <f>IFERROR(((VLOOKUP(Calculations[[#This Row],[TransportSource]],TransportDistance[],2,FALSE)*'Stage assumptions'!$C$11)+VLOOKUP(Calculations[[#This Row],[TransportSource]],TransportDistance[],3,FALSE)*'Stage assumptions'!$C$12)*Calculations[[#This Row],[Total Kg]],0)</f>
        <v>0</v>
      </c>
      <c r="K852">
        <f>IFERROR(VLOOKUP(Calculations[[#This Row],[Material (choose from dropdown]], MaterialData[#All],3, FALSE),0)</f>
        <v>0</v>
      </c>
      <c r="L852" s="322">
        <f>IFERROR(VLOOKUP(Calculations[[#This Row],[A5type]],A5WastageRate[#All],2,FALSE)*Calculations[[#This Row],[A1-3]],0)</f>
        <v>0</v>
      </c>
      <c r="N852">
        <f>IFERROR(ROUNDUP(50/VLOOKUP(Calculations[[#This Row],[Scope Element]],B4referenceServiceLife[[Tier 2 element]:[Default Service Life]],2, FALSE)-1,0),0)</f>
        <v>0</v>
      </c>
      <c r="O852" s="322">
        <f>IFERROR((Calculations[[#This Row],[A1-3]]+Calculations[[#This Row],[A4]]+Calculations[[#This Row],[A5]]+Calculations[[#This Row],[C2 total]]+Calculations[[#This Row],[C3 total]]+Calculations[[#This Row],[C4 total]])*Calculations[[#This Row],[Replacements]],0)</f>
        <v>0</v>
      </c>
      <c r="S852" t="str">
        <f>IFERROR(VLOOKUP(Calculations[[#This Row],[Material (choose from dropdown]],MaterialData[#All],4,FALSE),"")</f>
        <v/>
      </c>
      <c r="T852" s="322" cm="1">
        <f t="array" ref="T852">IFERROR(VLOOKUP(Calculations[[#This Row],[Waste 1]],WasteScenario[#All],2,FALSE)*'Stage assumptions'!$C$225*WasteTransportMethod[Emissions Factor
kgCO2e/kg.km]*Calculations[[#This Row],[Total Kg]],0)</f>
        <v>0</v>
      </c>
      <c r="U852" s="322" cm="1">
        <f t="array" ref="U852">IFERROR(VLOOKUP(Calculations[[#This Row],[Waste 1]],WasteScenario[#All],3,FALSE)*'Stage assumptions'!$C$224*WasteTransportMethod[Emissions Factor
kgCO2e/kg.km]*Calculations[[#This Row],[Total Kg]],0)</f>
        <v>0</v>
      </c>
      <c r="V852" s="322" cm="1">
        <f t="array" ref="V852">IFERROR(VLOOKUP(Calculations[[#This Row],[Waste 1]],WasteScenario[#All],4,FALSE)*'Stage assumptions'!$C$223*WasteTransportMethod[Emissions Factor
kgCO2e/kg.km]*Calculations[[#This Row],[Total Kg]],0)</f>
        <v>0</v>
      </c>
      <c r="W852" s="322" cm="1">
        <f t="array" ref="W852">IFERROR(VLOOKUP(Calculations[[#This Row],[Waste 1]],WasteScenario[#All],5,FALSE)*'Stage assumptions'!$C$226*WasteTransportMethod[Emissions Factor
kgCO2e/kg.km]*Calculations[[#This Row],[Total Kg]],0)</f>
        <v>0</v>
      </c>
      <c r="X852" s="322">
        <f>SUM(Calculations[[#This Row],[C2 Recycle]:[C2 Reuse]])</f>
        <v>0</v>
      </c>
      <c r="Y852" t="str">
        <f>IFERROR(VLOOKUP(Calculations[[#This Row],[Material (choose from dropdown]],MaterialData[#All],5,FALSE),"")</f>
        <v/>
      </c>
      <c r="Z852" s="322">
        <f>IFERROR(((VLOOKUP(Calculations[[#This Row],[Waste type 2]],WasteDisposalEmissions[#All],2,FALSE))*Calculations[[#This Row],[Total Kg]])*VLOOKUP(Calculations[[#This Row],[Waste 1]],WasteScenario[#All],2,FALSE),0)</f>
        <v>0</v>
      </c>
      <c r="AA852" s="322">
        <f>IFERROR((VLOOKUP(Calculations[[#This Row],[Waste type 2]],WasteDisposalEmissions[#All],3,FALSE))*Calculations[[#This Row],[Total Kg]]*VLOOKUP(Calculations[[#This Row],[Waste 1]],WasteScenario[#All],3,FALSE),0)</f>
        <v>0</v>
      </c>
      <c r="AB852" s="322">
        <f>SUM(Calculations[[#This Row],[C3 recyc]:[C3 incin]])</f>
        <v>0</v>
      </c>
      <c r="AC852" s="334">
        <f>IFERROR((VLOOKUP(Calculations[[#This Row],[Waste type 2]],WasteLandfillEmissions[#All],2,FALSE))*Calculations[[#This Row],[Total Kg]]*VLOOKUP(Calculations[[#This Row],[Waste 1]],WasteScenario[#All],4,FALSE),0)</f>
        <v>0</v>
      </c>
      <c r="AD852" s="322">
        <f>IFERROR((VLOOKUP(Calculations[[#This Row],[Waste type 2]],WasteLandfillEmissions[#All],3,FALSE))*Calculations[[#This Row],[Total Kg]]*VLOOKUP(Calculations[[#This Row],[Waste 1]],WasteScenario[#All],4,FALSE),0)</f>
        <v>0</v>
      </c>
      <c r="AE852" s="322">
        <f>SUM(Calculations[[#This Row],[C4 landfill]:[C4 re-use]])</f>
        <v>0</v>
      </c>
      <c r="AF852" s="322">
        <f>IFERROR(VLOOKUP(Calculations[[#This Row],[Material (choose from dropdown]],MaterialData[#All],8,FALSE),0)</f>
        <v>0</v>
      </c>
      <c r="AG852" s="322">
        <f>IFERROR(Calculations[[#This Row],[Total Kg]]*Calculations[[#This Row],[Seq factor]],0)</f>
        <v>0</v>
      </c>
      <c r="AI852" s="322">
        <f>Calculations[[#This Row],[A1-3]]+Calculations[[#This Row],[A4]]+Calculations[[#This Row],[A5]]+Calculations[[#This Row],[B4]]+Calculations[[#This Row],[C2 total]]+Calculations[[#This Row],[C3 total]]+Calculations[[#This Row],[C4 total]]</f>
        <v>0</v>
      </c>
      <c r="AJ852" s="2">
        <f>IFERROR(VLOOKUP(Calculations[[#This Row],[Material (choose from dropdown]],MaterialData[[#Headers],[#Data]],9,FALSE),0)</f>
        <v>0</v>
      </c>
      <c r="AK852" s="4">
        <f>IFERROR(VLOOKUP(Calculations[[#This Row],[Material (choose from dropdown]],MaterialData[[#Headers],[#Data]],10,FALSE),0)</f>
        <v>0</v>
      </c>
      <c r="AL852" s="322">
        <f>IFERROR(Calculations[[#This Row],[Data Quality Score]]*Calculations[[#This Row],[Total Kg]],0)</f>
        <v>0</v>
      </c>
    </row>
    <row r="853" spans="1:38" x14ac:dyDescent="0.3">
      <c r="A853" s="6">
        <f>IFERROR(MaterialsBoQ[[#This Row],[Scope Element]],0)</f>
        <v>0</v>
      </c>
      <c r="B853" t="str">
        <f>IFERROR(MaterialsBoQ[[#This Row],[Material ]],"")</f>
        <v/>
      </c>
      <c r="C853" t="str">
        <f>IFERROR(MaterialsBoQ[[#This Row],[Unit]],"")</f>
        <v/>
      </c>
      <c r="D853" s="322">
        <f>IFERROR(MaterialsBoQ[[#This Row],[Number]],0)</f>
        <v>0</v>
      </c>
      <c r="E853" s="322">
        <f>IFERROR(MaterialsBoQ[[#This Row],[Kg per unit]],0)</f>
        <v>0</v>
      </c>
      <c r="F853" s="322">
        <f>IFERROR(Calculations[[#This Row],[Number]]*Calculations[[#This Row],[Conversion factor]],0)</f>
        <v>0</v>
      </c>
      <c r="G853" s="322">
        <f>IFERROR(VLOOKUP(Calculations[[#This Row],[Material (choose from dropdown]],MaterialData[#All],7,FALSE),0)</f>
        <v>0</v>
      </c>
      <c r="H853" s="322">
        <f>Calculations[[#This Row],[Total Kg]]*Calculations[[#This Row],[Carbon Factor]]</f>
        <v>0</v>
      </c>
      <c r="I853" t="str">
        <f>IFERROR(VLOOKUP(Calculations[[#This Row],[Material (choose from dropdown]],MaterialData[#All],2,FALSE),"")</f>
        <v/>
      </c>
      <c r="J853" s="322">
        <f>IFERROR(((VLOOKUP(Calculations[[#This Row],[TransportSource]],TransportDistance[],2,FALSE)*'Stage assumptions'!$C$11)+VLOOKUP(Calculations[[#This Row],[TransportSource]],TransportDistance[],3,FALSE)*'Stage assumptions'!$C$12)*Calculations[[#This Row],[Total Kg]],0)</f>
        <v>0</v>
      </c>
      <c r="K853">
        <f>IFERROR(VLOOKUP(Calculations[[#This Row],[Material (choose from dropdown]], MaterialData[#All],3, FALSE),0)</f>
        <v>0</v>
      </c>
      <c r="L853" s="322">
        <f>IFERROR(VLOOKUP(Calculations[[#This Row],[A5type]],A5WastageRate[#All],2,FALSE)*Calculations[[#This Row],[A1-3]],0)</f>
        <v>0</v>
      </c>
      <c r="N853">
        <f>IFERROR(ROUNDUP(50/VLOOKUP(Calculations[[#This Row],[Scope Element]],B4referenceServiceLife[[Tier 2 element]:[Default Service Life]],2, FALSE)-1,0),0)</f>
        <v>0</v>
      </c>
      <c r="O853" s="322">
        <f>IFERROR((Calculations[[#This Row],[A1-3]]+Calculations[[#This Row],[A4]]+Calculations[[#This Row],[A5]]+Calculations[[#This Row],[C2 total]]+Calculations[[#This Row],[C3 total]]+Calculations[[#This Row],[C4 total]])*Calculations[[#This Row],[Replacements]],0)</f>
        <v>0</v>
      </c>
      <c r="S853" t="str">
        <f>IFERROR(VLOOKUP(Calculations[[#This Row],[Material (choose from dropdown]],MaterialData[#All],4,FALSE),"")</f>
        <v/>
      </c>
      <c r="T853" s="322" cm="1">
        <f t="array" ref="T853">IFERROR(VLOOKUP(Calculations[[#This Row],[Waste 1]],WasteScenario[#All],2,FALSE)*'Stage assumptions'!$C$225*WasteTransportMethod[Emissions Factor
kgCO2e/kg.km]*Calculations[[#This Row],[Total Kg]],0)</f>
        <v>0</v>
      </c>
      <c r="U853" s="322" cm="1">
        <f t="array" ref="U853">IFERROR(VLOOKUP(Calculations[[#This Row],[Waste 1]],WasteScenario[#All],3,FALSE)*'Stage assumptions'!$C$224*WasteTransportMethod[Emissions Factor
kgCO2e/kg.km]*Calculations[[#This Row],[Total Kg]],0)</f>
        <v>0</v>
      </c>
      <c r="V853" s="322" cm="1">
        <f t="array" ref="V853">IFERROR(VLOOKUP(Calculations[[#This Row],[Waste 1]],WasteScenario[#All],4,FALSE)*'Stage assumptions'!$C$223*WasteTransportMethod[Emissions Factor
kgCO2e/kg.km]*Calculations[[#This Row],[Total Kg]],0)</f>
        <v>0</v>
      </c>
      <c r="W853" s="322" cm="1">
        <f t="array" ref="W853">IFERROR(VLOOKUP(Calculations[[#This Row],[Waste 1]],WasteScenario[#All],5,FALSE)*'Stage assumptions'!$C$226*WasteTransportMethod[Emissions Factor
kgCO2e/kg.km]*Calculations[[#This Row],[Total Kg]],0)</f>
        <v>0</v>
      </c>
      <c r="X853" s="322">
        <f>SUM(Calculations[[#This Row],[C2 Recycle]:[C2 Reuse]])</f>
        <v>0</v>
      </c>
      <c r="Y853" t="str">
        <f>IFERROR(VLOOKUP(Calculations[[#This Row],[Material (choose from dropdown]],MaterialData[#All],5,FALSE),"")</f>
        <v/>
      </c>
      <c r="Z853" s="322">
        <f>IFERROR(((VLOOKUP(Calculations[[#This Row],[Waste type 2]],WasteDisposalEmissions[#All],2,FALSE))*Calculations[[#This Row],[Total Kg]])*VLOOKUP(Calculations[[#This Row],[Waste 1]],WasteScenario[#All],2,FALSE),0)</f>
        <v>0</v>
      </c>
      <c r="AA853" s="322">
        <f>IFERROR((VLOOKUP(Calculations[[#This Row],[Waste type 2]],WasteDisposalEmissions[#All],3,FALSE))*Calculations[[#This Row],[Total Kg]]*VLOOKUP(Calculations[[#This Row],[Waste 1]],WasteScenario[#All],3,FALSE),0)</f>
        <v>0</v>
      </c>
      <c r="AB853" s="322">
        <f>SUM(Calculations[[#This Row],[C3 recyc]:[C3 incin]])</f>
        <v>0</v>
      </c>
      <c r="AC853" s="334">
        <f>IFERROR((VLOOKUP(Calculations[[#This Row],[Waste type 2]],WasteLandfillEmissions[#All],2,FALSE))*Calculations[[#This Row],[Total Kg]]*VLOOKUP(Calculations[[#This Row],[Waste 1]],WasteScenario[#All],4,FALSE),0)</f>
        <v>0</v>
      </c>
      <c r="AD853" s="322">
        <f>IFERROR((VLOOKUP(Calculations[[#This Row],[Waste type 2]],WasteLandfillEmissions[#All],3,FALSE))*Calculations[[#This Row],[Total Kg]]*VLOOKUP(Calculations[[#This Row],[Waste 1]],WasteScenario[#All],4,FALSE),0)</f>
        <v>0</v>
      </c>
      <c r="AE853" s="322">
        <f>SUM(Calculations[[#This Row],[C4 landfill]:[C4 re-use]])</f>
        <v>0</v>
      </c>
      <c r="AF853" s="322">
        <f>IFERROR(VLOOKUP(Calculations[[#This Row],[Material (choose from dropdown]],MaterialData[#All],8,FALSE),0)</f>
        <v>0</v>
      </c>
      <c r="AG853" s="322">
        <f>IFERROR(Calculations[[#This Row],[Total Kg]]*Calculations[[#This Row],[Seq factor]],0)</f>
        <v>0</v>
      </c>
      <c r="AI853" s="322">
        <f>Calculations[[#This Row],[A1-3]]+Calculations[[#This Row],[A4]]+Calculations[[#This Row],[A5]]+Calculations[[#This Row],[B4]]+Calculations[[#This Row],[C2 total]]+Calculations[[#This Row],[C3 total]]+Calculations[[#This Row],[C4 total]]</f>
        <v>0</v>
      </c>
      <c r="AJ853" s="2">
        <f>IFERROR(VLOOKUP(Calculations[[#This Row],[Material (choose from dropdown]],MaterialData[[#Headers],[#Data]],9,FALSE),0)</f>
        <v>0</v>
      </c>
      <c r="AK853" s="4">
        <f>IFERROR(VLOOKUP(Calculations[[#This Row],[Material (choose from dropdown]],MaterialData[[#Headers],[#Data]],10,FALSE),0)</f>
        <v>0</v>
      </c>
      <c r="AL853" s="322">
        <f>IFERROR(Calculations[[#This Row],[Data Quality Score]]*Calculations[[#This Row],[Total Kg]],0)</f>
        <v>0</v>
      </c>
    </row>
    <row r="854" spans="1:38" x14ac:dyDescent="0.3">
      <c r="A854" s="6">
        <f>IFERROR(MaterialsBoQ[[#This Row],[Scope Element]],0)</f>
        <v>0</v>
      </c>
      <c r="B854" t="str">
        <f>IFERROR(MaterialsBoQ[[#This Row],[Material ]],"")</f>
        <v/>
      </c>
      <c r="C854" t="str">
        <f>IFERROR(MaterialsBoQ[[#This Row],[Unit]],"")</f>
        <v/>
      </c>
      <c r="D854" s="322">
        <f>IFERROR(MaterialsBoQ[[#This Row],[Number]],0)</f>
        <v>0</v>
      </c>
      <c r="E854" s="322">
        <f>IFERROR(MaterialsBoQ[[#This Row],[Kg per unit]],0)</f>
        <v>0</v>
      </c>
      <c r="F854" s="322">
        <f>IFERROR(Calculations[[#This Row],[Number]]*Calculations[[#This Row],[Conversion factor]],0)</f>
        <v>0</v>
      </c>
      <c r="G854" s="322">
        <f>IFERROR(VLOOKUP(Calculations[[#This Row],[Material (choose from dropdown]],MaterialData[#All],7,FALSE),0)</f>
        <v>0</v>
      </c>
      <c r="H854" s="322">
        <f>Calculations[[#This Row],[Total Kg]]*Calculations[[#This Row],[Carbon Factor]]</f>
        <v>0</v>
      </c>
      <c r="I854" t="str">
        <f>IFERROR(VLOOKUP(Calculations[[#This Row],[Material (choose from dropdown]],MaterialData[#All],2,FALSE),"")</f>
        <v/>
      </c>
      <c r="J854" s="322">
        <f>IFERROR(((VLOOKUP(Calculations[[#This Row],[TransportSource]],TransportDistance[],2,FALSE)*'Stage assumptions'!$C$11)+VLOOKUP(Calculations[[#This Row],[TransportSource]],TransportDistance[],3,FALSE)*'Stage assumptions'!$C$12)*Calculations[[#This Row],[Total Kg]],0)</f>
        <v>0</v>
      </c>
      <c r="K854">
        <f>IFERROR(VLOOKUP(Calculations[[#This Row],[Material (choose from dropdown]], MaterialData[#All],3, FALSE),0)</f>
        <v>0</v>
      </c>
      <c r="L854" s="322">
        <f>IFERROR(VLOOKUP(Calculations[[#This Row],[A5type]],A5WastageRate[#All],2,FALSE)*Calculations[[#This Row],[A1-3]],0)</f>
        <v>0</v>
      </c>
      <c r="N854">
        <f>IFERROR(ROUNDUP(50/VLOOKUP(Calculations[[#This Row],[Scope Element]],B4referenceServiceLife[[Tier 2 element]:[Default Service Life]],2, FALSE)-1,0),0)</f>
        <v>0</v>
      </c>
      <c r="O854" s="322">
        <f>IFERROR((Calculations[[#This Row],[A1-3]]+Calculations[[#This Row],[A4]]+Calculations[[#This Row],[A5]]+Calculations[[#This Row],[C2 total]]+Calculations[[#This Row],[C3 total]]+Calculations[[#This Row],[C4 total]])*Calculations[[#This Row],[Replacements]],0)</f>
        <v>0</v>
      </c>
      <c r="S854" t="str">
        <f>IFERROR(VLOOKUP(Calculations[[#This Row],[Material (choose from dropdown]],MaterialData[#All],4,FALSE),"")</f>
        <v/>
      </c>
      <c r="T854" s="322" cm="1">
        <f t="array" ref="T854">IFERROR(VLOOKUP(Calculations[[#This Row],[Waste 1]],WasteScenario[#All],2,FALSE)*'Stage assumptions'!$C$225*WasteTransportMethod[Emissions Factor
kgCO2e/kg.km]*Calculations[[#This Row],[Total Kg]],0)</f>
        <v>0</v>
      </c>
      <c r="U854" s="322" cm="1">
        <f t="array" ref="U854">IFERROR(VLOOKUP(Calculations[[#This Row],[Waste 1]],WasteScenario[#All],3,FALSE)*'Stage assumptions'!$C$224*WasteTransportMethod[Emissions Factor
kgCO2e/kg.km]*Calculations[[#This Row],[Total Kg]],0)</f>
        <v>0</v>
      </c>
      <c r="V854" s="322" cm="1">
        <f t="array" ref="V854">IFERROR(VLOOKUP(Calculations[[#This Row],[Waste 1]],WasteScenario[#All],4,FALSE)*'Stage assumptions'!$C$223*WasteTransportMethod[Emissions Factor
kgCO2e/kg.km]*Calculations[[#This Row],[Total Kg]],0)</f>
        <v>0</v>
      </c>
      <c r="W854" s="322" cm="1">
        <f t="array" ref="W854">IFERROR(VLOOKUP(Calculations[[#This Row],[Waste 1]],WasteScenario[#All],5,FALSE)*'Stage assumptions'!$C$226*WasteTransportMethod[Emissions Factor
kgCO2e/kg.km]*Calculations[[#This Row],[Total Kg]],0)</f>
        <v>0</v>
      </c>
      <c r="X854" s="322">
        <f>SUM(Calculations[[#This Row],[C2 Recycle]:[C2 Reuse]])</f>
        <v>0</v>
      </c>
      <c r="Y854" t="str">
        <f>IFERROR(VLOOKUP(Calculations[[#This Row],[Material (choose from dropdown]],MaterialData[#All],5,FALSE),"")</f>
        <v/>
      </c>
      <c r="Z854" s="322">
        <f>IFERROR(((VLOOKUP(Calculations[[#This Row],[Waste type 2]],WasteDisposalEmissions[#All],2,FALSE))*Calculations[[#This Row],[Total Kg]])*VLOOKUP(Calculations[[#This Row],[Waste 1]],WasteScenario[#All],2,FALSE),0)</f>
        <v>0</v>
      </c>
      <c r="AA854" s="322">
        <f>IFERROR((VLOOKUP(Calculations[[#This Row],[Waste type 2]],WasteDisposalEmissions[#All],3,FALSE))*Calculations[[#This Row],[Total Kg]]*VLOOKUP(Calculations[[#This Row],[Waste 1]],WasteScenario[#All],3,FALSE),0)</f>
        <v>0</v>
      </c>
      <c r="AB854" s="322">
        <f>SUM(Calculations[[#This Row],[C3 recyc]:[C3 incin]])</f>
        <v>0</v>
      </c>
      <c r="AC854" s="334">
        <f>IFERROR((VLOOKUP(Calculations[[#This Row],[Waste type 2]],WasteLandfillEmissions[#All],2,FALSE))*Calculations[[#This Row],[Total Kg]]*VLOOKUP(Calculations[[#This Row],[Waste 1]],WasteScenario[#All],4,FALSE),0)</f>
        <v>0</v>
      </c>
      <c r="AD854" s="322">
        <f>IFERROR((VLOOKUP(Calculations[[#This Row],[Waste type 2]],WasteLandfillEmissions[#All],3,FALSE))*Calculations[[#This Row],[Total Kg]]*VLOOKUP(Calculations[[#This Row],[Waste 1]],WasteScenario[#All],4,FALSE),0)</f>
        <v>0</v>
      </c>
      <c r="AE854" s="322">
        <f>SUM(Calculations[[#This Row],[C4 landfill]:[C4 re-use]])</f>
        <v>0</v>
      </c>
      <c r="AF854" s="322">
        <f>IFERROR(VLOOKUP(Calculations[[#This Row],[Material (choose from dropdown]],MaterialData[#All],8,FALSE),0)</f>
        <v>0</v>
      </c>
      <c r="AG854" s="322">
        <f>IFERROR(Calculations[[#This Row],[Total Kg]]*Calculations[[#This Row],[Seq factor]],0)</f>
        <v>0</v>
      </c>
      <c r="AI854" s="322">
        <f>Calculations[[#This Row],[A1-3]]+Calculations[[#This Row],[A4]]+Calculations[[#This Row],[A5]]+Calculations[[#This Row],[B4]]+Calculations[[#This Row],[C2 total]]+Calculations[[#This Row],[C3 total]]+Calculations[[#This Row],[C4 total]]</f>
        <v>0</v>
      </c>
      <c r="AJ854" s="2">
        <f>IFERROR(VLOOKUP(Calculations[[#This Row],[Material (choose from dropdown]],MaterialData[[#Headers],[#Data]],9,FALSE),0)</f>
        <v>0</v>
      </c>
      <c r="AK854" s="4">
        <f>IFERROR(VLOOKUP(Calculations[[#This Row],[Material (choose from dropdown]],MaterialData[[#Headers],[#Data]],10,FALSE),0)</f>
        <v>0</v>
      </c>
      <c r="AL854" s="322">
        <f>IFERROR(Calculations[[#This Row],[Data Quality Score]]*Calculations[[#This Row],[Total Kg]],0)</f>
        <v>0</v>
      </c>
    </row>
    <row r="855" spans="1:38" x14ac:dyDescent="0.3">
      <c r="A855" s="6">
        <f>IFERROR(MaterialsBoQ[[#This Row],[Scope Element]],0)</f>
        <v>0</v>
      </c>
      <c r="B855" t="str">
        <f>IFERROR(MaterialsBoQ[[#This Row],[Material ]],"")</f>
        <v/>
      </c>
      <c r="C855" t="str">
        <f>IFERROR(MaterialsBoQ[[#This Row],[Unit]],"")</f>
        <v/>
      </c>
      <c r="D855" s="322">
        <f>IFERROR(MaterialsBoQ[[#This Row],[Number]],0)</f>
        <v>0</v>
      </c>
      <c r="E855" s="322">
        <f>IFERROR(MaterialsBoQ[[#This Row],[Kg per unit]],0)</f>
        <v>0</v>
      </c>
      <c r="F855" s="322">
        <f>IFERROR(Calculations[[#This Row],[Number]]*Calculations[[#This Row],[Conversion factor]],0)</f>
        <v>0</v>
      </c>
      <c r="G855" s="322">
        <f>IFERROR(VLOOKUP(Calculations[[#This Row],[Material (choose from dropdown]],MaterialData[#All],7,FALSE),0)</f>
        <v>0</v>
      </c>
      <c r="H855" s="322">
        <f>Calculations[[#This Row],[Total Kg]]*Calculations[[#This Row],[Carbon Factor]]</f>
        <v>0</v>
      </c>
      <c r="I855" t="str">
        <f>IFERROR(VLOOKUP(Calculations[[#This Row],[Material (choose from dropdown]],MaterialData[#All],2,FALSE),"")</f>
        <v/>
      </c>
      <c r="J855" s="322">
        <f>IFERROR(((VLOOKUP(Calculations[[#This Row],[TransportSource]],TransportDistance[],2,FALSE)*'Stage assumptions'!$C$11)+VLOOKUP(Calculations[[#This Row],[TransportSource]],TransportDistance[],3,FALSE)*'Stage assumptions'!$C$12)*Calculations[[#This Row],[Total Kg]],0)</f>
        <v>0</v>
      </c>
      <c r="K855">
        <f>IFERROR(VLOOKUP(Calculations[[#This Row],[Material (choose from dropdown]], MaterialData[#All],3, FALSE),0)</f>
        <v>0</v>
      </c>
      <c r="L855" s="322">
        <f>IFERROR(VLOOKUP(Calculations[[#This Row],[A5type]],A5WastageRate[#All],2,FALSE)*Calculations[[#This Row],[A1-3]],0)</f>
        <v>0</v>
      </c>
      <c r="N855">
        <f>IFERROR(ROUNDUP(50/VLOOKUP(Calculations[[#This Row],[Scope Element]],B4referenceServiceLife[[Tier 2 element]:[Default Service Life]],2, FALSE)-1,0),0)</f>
        <v>0</v>
      </c>
      <c r="O855" s="322">
        <f>IFERROR((Calculations[[#This Row],[A1-3]]+Calculations[[#This Row],[A4]]+Calculations[[#This Row],[A5]]+Calculations[[#This Row],[C2 total]]+Calculations[[#This Row],[C3 total]]+Calculations[[#This Row],[C4 total]])*Calculations[[#This Row],[Replacements]],0)</f>
        <v>0</v>
      </c>
      <c r="S855" t="str">
        <f>IFERROR(VLOOKUP(Calculations[[#This Row],[Material (choose from dropdown]],MaterialData[#All],4,FALSE),"")</f>
        <v/>
      </c>
      <c r="T855" s="322" cm="1">
        <f t="array" ref="T855">IFERROR(VLOOKUP(Calculations[[#This Row],[Waste 1]],WasteScenario[#All],2,FALSE)*'Stage assumptions'!$C$225*WasteTransportMethod[Emissions Factor
kgCO2e/kg.km]*Calculations[[#This Row],[Total Kg]],0)</f>
        <v>0</v>
      </c>
      <c r="U855" s="322" cm="1">
        <f t="array" ref="U855">IFERROR(VLOOKUP(Calculations[[#This Row],[Waste 1]],WasteScenario[#All],3,FALSE)*'Stage assumptions'!$C$224*WasteTransportMethod[Emissions Factor
kgCO2e/kg.km]*Calculations[[#This Row],[Total Kg]],0)</f>
        <v>0</v>
      </c>
      <c r="V855" s="322" cm="1">
        <f t="array" ref="V855">IFERROR(VLOOKUP(Calculations[[#This Row],[Waste 1]],WasteScenario[#All],4,FALSE)*'Stage assumptions'!$C$223*WasteTransportMethod[Emissions Factor
kgCO2e/kg.km]*Calculations[[#This Row],[Total Kg]],0)</f>
        <v>0</v>
      </c>
      <c r="W855" s="322" cm="1">
        <f t="array" ref="W855">IFERROR(VLOOKUP(Calculations[[#This Row],[Waste 1]],WasteScenario[#All],5,FALSE)*'Stage assumptions'!$C$226*WasteTransportMethod[Emissions Factor
kgCO2e/kg.km]*Calculations[[#This Row],[Total Kg]],0)</f>
        <v>0</v>
      </c>
      <c r="X855" s="322">
        <f>SUM(Calculations[[#This Row],[C2 Recycle]:[C2 Reuse]])</f>
        <v>0</v>
      </c>
      <c r="Y855" t="str">
        <f>IFERROR(VLOOKUP(Calculations[[#This Row],[Material (choose from dropdown]],MaterialData[#All],5,FALSE),"")</f>
        <v/>
      </c>
      <c r="Z855" s="322">
        <f>IFERROR(((VLOOKUP(Calculations[[#This Row],[Waste type 2]],WasteDisposalEmissions[#All],2,FALSE))*Calculations[[#This Row],[Total Kg]])*VLOOKUP(Calculations[[#This Row],[Waste 1]],WasteScenario[#All],2,FALSE),0)</f>
        <v>0</v>
      </c>
      <c r="AA855" s="322">
        <f>IFERROR((VLOOKUP(Calculations[[#This Row],[Waste type 2]],WasteDisposalEmissions[#All],3,FALSE))*Calculations[[#This Row],[Total Kg]]*VLOOKUP(Calculations[[#This Row],[Waste 1]],WasteScenario[#All],3,FALSE),0)</f>
        <v>0</v>
      </c>
      <c r="AB855" s="322">
        <f>SUM(Calculations[[#This Row],[C3 recyc]:[C3 incin]])</f>
        <v>0</v>
      </c>
      <c r="AC855" s="334">
        <f>IFERROR((VLOOKUP(Calculations[[#This Row],[Waste type 2]],WasteLandfillEmissions[#All],2,FALSE))*Calculations[[#This Row],[Total Kg]]*VLOOKUP(Calculations[[#This Row],[Waste 1]],WasteScenario[#All],4,FALSE),0)</f>
        <v>0</v>
      </c>
      <c r="AD855" s="322">
        <f>IFERROR((VLOOKUP(Calculations[[#This Row],[Waste type 2]],WasteLandfillEmissions[#All],3,FALSE))*Calculations[[#This Row],[Total Kg]]*VLOOKUP(Calculations[[#This Row],[Waste 1]],WasteScenario[#All],4,FALSE),0)</f>
        <v>0</v>
      </c>
      <c r="AE855" s="322">
        <f>SUM(Calculations[[#This Row],[C4 landfill]:[C4 re-use]])</f>
        <v>0</v>
      </c>
      <c r="AF855" s="322">
        <f>IFERROR(VLOOKUP(Calculations[[#This Row],[Material (choose from dropdown]],MaterialData[#All],8,FALSE),0)</f>
        <v>0</v>
      </c>
      <c r="AG855" s="322">
        <f>IFERROR(Calculations[[#This Row],[Total Kg]]*Calculations[[#This Row],[Seq factor]],0)</f>
        <v>0</v>
      </c>
      <c r="AI855" s="322">
        <f>Calculations[[#This Row],[A1-3]]+Calculations[[#This Row],[A4]]+Calculations[[#This Row],[A5]]+Calculations[[#This Row],[B4]]+Calculations[[#This Row],[C2 total]]+Calculations[[#This Row],[C3 total]]+Calculations[[#This Row],[C4 total]]</f>
        <v>0</v>
      </c>
      <c r="AJ855" s="2">
        <f>IFERROR(VLOOKUP(Calculations[[#This Row],[Material (choose from dropdown]],MaterialData[[#Headers],[#Data]],9,FALSE),0)</f>
        <v>0</v>
      </c>
      <c r="AK855" s="4">
        <f>IFERROR(VLOOKUP(Calculations[[#This Row],[Material (choose from dropdown]],MaterialData[[#Headers],[#Data]],10,FALSE),0)</f>
        <v>0</v>
      </c>
      <c r="AL855" s="322">
        <f>IFERROR(Calculations[[#This Row],[Data Quality Score]]*Calculations[[#This Row],[Total Kg]],0)</f>
        <v>0</v>
      </c>
    </row>
    <row r="856" spans="1:38" x14ac:dyDescent="0.3">
      <c r="A856" s="6">
        <f>IFERROR(MaterialsBoQ[[#This Row],[Scope Element]],0)</f>
        <v>0</v>
      </c>
      <c r="B856" t="str">
        <f>IFERROR(MaterialsBoQ[[#This Row],[Material ]],"")</f>
        <v/>
      </c>
      <c r="C856" t="str">
        <f>IFERROR(MaterialsBoQ[[#This Row],[Unit]],"")</f>
        <v/>
      </c>
      <c r="D856" s="322">
        <f>IFERROR(MaterialsBoQ[[#This Row],[Number]],0)</f>
        <v>0</v>
      </c>
      <c r="E856" s="322">
        <f>IFERROR(MaterialsBoQ[[#This Row],[Kg per unit]],0)</f>
        <v>0</v>
      </c>
      <c r="F856" s="322">
        <f>IFERROR(Calculations[[#This Row],[Number]]*Calculations[[#This Row],[Conversion factor]],0)</f>
        <v>0</v>
      </c>
      <c r="G856" s="322">
        <f>IFERROR(VLOOKUP(Calculations[[#This Row],[Material (choose from dropdown]],MaterialData[#All],7,FALSE),0)</f>
        <v>0</v>
      </c>
      <c r="H856" s="322">
        <f>Calculations[[#This Row],[Total Kg]]*Calculations[[#This Row],[Carbon Factor]]</f>
        <v>0</v>
      </c>
      <c r="I856" t="str">
        <f>IFERROR(VLOOKUP(Calculations[[#This Row],[Material (choose from dropdown]],MaterialData[#All],2,FALSE),"")</f>
        <v/>
      </c>
      <c r="J856" s="322">
        <f>IFERROR(((VLOOKUP(Calculations[[#This Row],[TransportSource]],TransportDistance[],2,FALSE)*'Stage assumptions'!$C$11)+VLOOKUP(Calculations[[#This Row],[TransportSource]],TransportDistance[],3,FALSE)*'Stage assumptions'!$C$12)*Calculations[[#This Row],[Total Kg]],0)</f>
        <v>0</v>
      </c>
      <c r="K856">
        <f>IFERROR(VLOOKUP(Calculations[[#This Row],[Material (choose from dropdown]], MaterialData[#All],3, FALSE),0)</f>
        <v>0</v>
      </c>
      <c r="L856" s="322">
        <f>IFERROR(VLOOKUP(Calculations[[#This Row],[A5type]],A5WastageRate[#All],2,FALSE)*Calculations[[#This Row],[A1-3]],0)</f>
        <v>0</v>
      </c>
      <c r="N856">
        <f>IFERROR(ROUNDUP(50/VLOOKUP(Calculations[[#This Row],[Scope Element]],B4referenceServiceLife[[Tier 2 element]:[Default Service Life]],2, FALSE)-1,0),0)</f>
        <v>0</v>
      </c>
      <c r="O856" s="322">
        <f>IFERROR((Calculations[[#This Row],[A1-3]]+Calculations[[#This Row],[A4]]+Calculations[[#This Row],[A5]]+Calculations[[#This Row],[C2 total]]+Calculations[[#This Row],[C3 total]]+Calculations[[#This Row],[C4 total]])*Calculations[[#This Row],[Replacements]],0)</f>
        <v>0</v>
      </c>
      <c r="S856" t="str">
        <f>IFERROR(VLOOKUP(Calculations[[#This Row],[Material (choose from dropdown]],MaterialData[#All],4,FALSE),"")</f>
        <v/>
      </c>
      <c r="T856" s="322" cm="1">
        <f t="array" ref="T856">IFERROR(VLOOKUP(Calculations[[#This Row],[Waste 1]],WasteScenario[#All],2,FALSE)*'Stage assumptions'!$C$225*WasteTransportMethod[Emissions Factor
kgCO2e/kg.km]*Calculations[[#This Row],[Total Kg]],0)</f>
        <v>0</v>
      </c>
      <c r="U856" s="322" cm="1">
        <f t="array" ref="U856">IFERROR(VLOOKUP(Calculations[[#This Row],[Waste 1]],WasteScenario[#All],3,FALSE)*'Stage assumptions'!$C$224*WasteTransportMethod[Emissions Factor
kgCO2e/kg.km]*Calculations[[#This Row],[Total Kg]],0)</f>
        <v>0</v>
      </c>
      <c r="V856" s="322" cm="1">
        <f t="array" ref="V856">IFERROR(VLOOKUP(Calculations[[#This Row],[Waste 1]],WasteScenario[#All],4,FALSE)*'Stage assumptions'!$C$223*WasteTransportMethod[Emissions Factor
kgCO2e/kg.km]*Calculations[[#This Row],[Total Kg]],0)</f>
        <v>0</v>
      </c>
      <c r="W856" s="322" cm="1">
        <f t="array" ref="W856">IFERROR(VLOOKUP(Calculations[[#This Row],[Waste 1]],WasteScenario[#All],5,FALSE)*'Stage assumptions'!$C$226*WasteTransportMethod[Emissions Factor
kgCO2e/kg.km]*Calculations[[#This Row],[Total Kg]],0)</f>
        <v>0</v>
      </c>
      <c r="X856" s="322">
        <f>SUM(Calculations[[#This Row],[C2 Recycle]:[C2 Reuse]])</f>
        <v>0</v>
      </c>
      <c r="Y856" t="str">
        <f>IFERROR(VLOOKUP(Calculations[[#This Row],[Material (choose from dropdown]],MaterialData[#All],5,FALSE),"")</f>
        <v/>
      </c>
      <c r="Z856" s="322">
        <f>IFERROR(((VLOOKUP(Calculations[[#This Row],[Waste type 2]],WasteDisposalEmissions[#All],2,FALSE))*Calculations[[#This Row],[Total Kg]])*VLOOKUP(Calculations[[#This Row],[Waste 1]],WasteScenario[#All],2,FALSE),0)</f>
        <v>0</v>
      </c>
      <c r="AA856" s="322">
        <f>IFERROR((VLOOKUP(Calculations[[#This Row],[Waste type 2]],WasteDisposalEmissions[#All],3,FALSE))*Calculations[[#This Row],[Total Kg]]*VLOOKUP(Calculations[[#This Row],[Waste 1]],WasteScenario[#All],3,FALSE),0)</f>
        <v>0</v>
      </c>
      <c r="AB856" s="322">
        <f>SUM(Calculations[[#This Row],[C3 recyc]:[C3 incin]])</f>
        <v>0</v>
      </c>
      <c r="AC856" s="334">
        <f>IFERROR((VLOOKUP(Calculations[[#This Row],[Waste type 2]],WasteLandfillEmissions[#All],2,FALSE))*Calculations[[#This Row],[Total Kg]]*VLOOKUP(Calculations[[#This Row],[Waste 1]],WasteScenario[#All],4,FALSE),0)</f>
        <v>0</v>
      </c>
      <c r="AD856" s="322">
        <f>IFERROR((VLOOKUP(Calculations[[#This Row],[Waste type 2]],WasteLandfillEmissions[#All],3,FALSE))*Calculations[[#This Row],[Total Kg]]*VLOOKUP(Calculations[[#This Row],[Waste 1]],WasteScenario[#All],4,FALSE),0)</f>
        <v>0</v>
      </c>
      <c r="AE856" s="322">
        <f>SUM(Calculations[[#This Row],[C4 landfill]:[C4 re-use]])</f>
        <v>0</v>
      </c>
      <c r="AF856" s="322">
        <f>IFERROR(VLOOKUP(Calculations[[#This Row],[Material (choose from dropdown]],MaterialData[#All],8,FALSE),0)</f>
        <v>0</v>
      </c>
      <c r="AG856" s="322">
        <f>IFERROR(Calculations[[#This Row],[Total Kg]]*Calculations[[#This Row],[Seq factor]],0)</f>
        <v>0</v>
      </c>
      <c r="AI856" s="322">
        <f>Calculations[[#This Row],[A1-3]]+Calculations[[#This Row],[A4]]+Calculations[[#This Row],[A5]]+Calculations[[#This Row],[B4]]+Calculations[[#This Row],[C2 total]]+Calculations[[#This Row],[C3 total]]+Calculations[[#This Row],[C4 total]]</f>
        <v>0</v>
      </c>
      <c r="AJ856" s="2">
        <f>IFERROR(VLOOKUP(Calculations[[#This Row],[Material (choose from dropdown]],MaterialData[[#Headers],[#Data]],9,FALSE),0)</f>
        <v>0</v>
      </c>
      <c r="AK856" s="4">
        <f>IFERROR(VLOOKUP(Calculations[[#This Row],[Material (choose from dropdown]],MaterialData[[#Headers],[#Data]],10,FALSE),0)</f>
        <v>0</v>
      </c>
      <c r="AL856" s="322">
        <f>IFERROR(Calculations[[#This Row],[Data Quality Score]]*Calculations[[#This Row],[Total Kg]],0)</f>
        <v>0</v>
      </c>
    </row>
    <row r="857" spans="1:38" x14ac:dyDescent="0.3">
      <c r="A857" s="6">
        <f>IFERROR(MaterialsBoQ[[#This Row],[Scope Element]],0)</f>
        <v>0</v>
      </c>
      <c r="B857" t="str">
        <f>IFERROR(MaterialsBoQ[[#This Row],[Material ]],"")</f>
        <v/>
      </c>
      <c r="C857" t="str">
        <f>IFERROR(MaterialsBoQ[[#This Row],[Unit]],"")</f>
        <v/>
      </c>
      <c r="D857" s="322">
        <f>IFERROR(MaterialsBoQ[[#This Row],[Number]],0)</f>
        <v>0</v>
      </c>
      <c r="E857" s="322">
        <f>IFERROR(MaterialsBoQ[[#This Row],[Kg per unit]],0)</f>
        <v>0</v>
      </c>
      <c r="F857" s="322">
        <f>IFERROR(Calculations[[#This Row],[Number]]*Calculations[[#This Row],[Conversion factor]],0)</f>
        <v>0</v>
      </c>
      <c r="G857" s="322">
        <f>IFERROR(VLOOKUP(Calculations[[#This Row],[Material (choose from dropdown]],MaterialData[#All],7,FALSE),0)</f>
        <v>0</v>
      </c>
      <c r="H857" s="322">
        <f>Calculations[[#This Row],[Total Kg]]*Calculations[[#This Row],[Carbon Factor]]</f>
        <v>0</v>
      </c>
      <c r="I857" t="str">
        <f>IFERROR(VLOOKUP(Calculations[[#This Row],[Material (choose from dropdown]],MaterialData[#All],2,FALSE),"")</f>
        <v/>
      </c>
      <c r="J857" s="322">
        <f>IFERROR(((VLOOKUP(Calculations[[#This Row],[TransportSource]],TransportDistance[],2,FALSE)*'Stage assumptions'!$C$11)+VLOOKUP(Calculations[[#This Row],[TransportSource]],TransportDistance[],3,FALSE)*'Stage assumptions'!$C$12)*Calculations[[#This Row],[Total Kg]],0)</f>
        <v>0</v>
      </c>
      <c r="K857">
        <f>IFERROR(VLOOKUP(Calculations[[#This Row],[Material (choose from dropdown]], MaterialData[#All],3, FALSE),0)</f>
        <v>0</v>
      </c>
      <c r="L857" s="322">
        <f>IFERROR(VLOOKUP(Calculations[[#This Row],[A5type]],A5WastageRate[#All],2,FALSE)*Calculations[[#This Row],[A1-3]],0)</f>
        <v>0</v>
      </c>
      <c r="N857">
        <f>IFERROR(ROUNDUP(50/VLOOKUP(Calculations[[#This Row],[Scope Element]],B4referenceServiceLife[[Tier 2 element]:[Default Service Life]],2, FALSE)-1,0),0)</f>
        <v>0</v>
      </c>
      <c r="O857" s="322">
        <f>IFERROR((Calculations[[#This Row],[A1-3]]+Calculations[[#This Row],[A4]]+Calculations[[#This Row],[A5]]+Calculations[[#This Row],[C2 total]]+Calculations[[#This Row],[C3 total]]+Calculations[[#This Row],[C4 total]])*Calculations[[#This Row],[Replacements]],0)</f>
        <v>0</v>
      </c>
      <c r="S857" t="str">
        <f>IFERROR(VLOOKUP(Calculations[[#This Row],[Material (choose from dropdown]],MaterialData[#All],4,FALSE),"")</f>
        <v/>
      </c>
      <c r="T857" s="322" cm="1">
        <f t="array" ref="T857">IFERROR(VLOOKUP(Calculations[[#This Row],[Waste 1]],WasteScenario[#All],2,FALSE)*'Stage assumptions'!$C$225*WasteTransportMethod[Emissions Factor
kgCO2e/kg.km]*Calculations[[#This Row],[Total Kg]],0)</f>
        <v>0</v>
      </c>
      <c r="U857" s="322" cm="1">
        <f t="array" ref="U857">IFERROR(VLOOKUP(Calculations[[#This Row],[Waste 1]],WasteScenario[#All],3,FALSE)*'Stage assumptions'!$C$224*WasteTransportMethod[Emissions Factor
kgCO2e/kg.km]*Calculations[[#This Row],[Total Kg]],0)</f>
        <v>0</v>
      </c>
      <c r="V857" s="322" cm="1">
        <f t="array" ref="V857">IFERROR(VLOOKUP(Calculations[[#This Row],[Waste 1]],WasteScenario[#All],4,FALSE)*'Stage assumptions'!$C$223*WasteTransportMethod[Emissions Factor
kgCO2e/kg.km]*Calculations[[#This Row],[Total Kg]],0)</f>
        <v>0</v>
      </c>
      <c r="W857" s="322" cm="1">
        <f t="array" ref="W857">IFERROR(VLOOKUP(Calculations[[#This Row],[Waste 1]],WasteScenario[#All],5,FALSE)*'Stage assumptions'!$C$226*WasteTransportMethod[Emissions Factor
kgCO2e/kg.km]*Calculations[[#This Row],[Total Kg]],0)</f>
        <v>0</v>
      </c>
      <c r="X857" s="322">
        <f>SUM(Calculations[[#This Row],[C2 Recycle]:[C2 Reuse]])</f>
        <v>0</v>
      </c>
      <c r="Y857" t="str">
        <f>IFERROR(VLOOKUP(Calculations[[#This Row],[Material (choose from dropdown]],MaterialData[#All],5,FALSE),"")</f>
        <v/>
      </c>
      <c r="Z857" s="322">
        <f>IFERROR(((VLOOKUP(Calculations[[#This Row],[Waste type 2]],WasteDisposalEmissions[#All],2,FALSE))*Calculations[[#This Row],[Total Kg]])*VLOOKUP(Calculations[[#This Row],[Waste 1]],WasteScenario[#All],2,FALSE),0)</f>
        <v>0</v>
      </c>
      <c r="AA857" s="322">
        <f>IFERROR((VLOOKUP(Calculations[[#This Row],[Waste type 2]],WasteDisposalEmissions[#All],3,FALSE))*Calculations[[#This Row],[Total Kg]]*VLOOKUP(Calculations[[#This Row],[Waste 1]],WasteScenario[#All],3,FALSE),0)</f>
        <v>0</v>
      </c>
      <c r="AB857" s="322">
        <f>SUM(Calculations[[#This Row],[C3 recyc]:[C3 incin]])</f>
        <v>0</v>
      </c>
      <c r="AC857" s="334">
        <f>IFERROR((VLOOKUP(Calculations[[#This Row],[Waste type 2]],WasteLandfillEmissions[#All],2,FALSE))*Calculations[[#This Row],[Total Kg]]*VLOOKUP(Calculations[[#This Row],[Waste 1]],WasteScenario[#All],4,FALSE),0)</f>
        <v>0</v>
      </c>
      <c r="AD857" s="322">
        <f>IFERROR((VLOOKUP(Calculations[[#This Row],[Waste type 2]],WasteLandfillEmissions[#All],3,FALSE))*Calculations[[#This Row],[Total Kg]]*VLOOKUP(Calculations[[#This Row],[Waste 1]],WasteScenario[#All],4,FALSE),0)</f>
        <v>0</v>
      </c>
      <c r="AE857" s="322">
        <f>SUM(Calculations[[#This Row],[C4 landfill]:[C4 re-use]])</f>
        <v>0</v>
      </c>
      <c r="AF857" s="322">
        <f>IFERROR(VLOOKUP(Calculations[[#This Row],[Material (choose from dropdown]],MaterialData[#All],8,FALSE),0)</f>
        <v>0</v>
      </c>
      <c r="AG857" s="322">
        <f>IFERROR(Calculations[[#This Row],[Total Kg]]*Calculations[[#This Row],[Seq factor]],0)</f>
        <v>0</v>
      </c>
      <c r="AI857" s="322">
        <f>Calculations[[#This Row],[A1-3]]+Calculations[[#This Row],[A4]]+Calculations[[#This Row],[A5]]+Calculations[[#This Row],[B4]]+Calculations[[#This Row],[C2 total]]+Calculations[[#This Row],[C3 total]]+Calculations[[#This Row],[C4 total]]</f>
        <v>0</v>
      </c>
      <c r="AJ857" s="2">
        <f>IFERROR(VLOOKUP(Calculations[[#This Row],[Material (choose from dropdown]],MaterialData[[#Headers],[#Data]],9,FALSE),0)</f>
        <v>0</v>
      </c>
      <c r="AK857" s="4">
        <f>IFERROR(VLOOKUP(Calculations[[#This Row],[Material (choose from dropdown]],MaterialData[[#Headers],[#Data]],10,FALSE),0)</f>
        <v>0</v>
      </c>
      <c r="AL857" s="322">
        <f>IFERROR(Calculations[[#This Row],[Data Quality Score]]*Calculations[[#This Row],[Total Kg]],0)</f>
        <v>0</v>
      </c>
    </row>
    <row r="858" spans="1:38" x14ac:dyDescent="0.3">
      <c r="A858" s="6">
        <f>IFERROR(MaterialsBoQ[[#This Row],[Scope Element]],0)</f>
        <v>0</v>
      </c>
      <c r="B858" t="str">
        <f>IFERROR(MaterialsBoQ[[#This Row],[Material ]],"")</f>
        <v/>
      </c>
      <c r="C858" t="str">
        <f>IFERROR(MaterialsBoQ[[#This Row],[Unit]],"")</f>
        <v/>
      </c>
      <c r="D858" s="322">
        <f>IFERROR(MaterialsBoQ[[#This Row],[Number]],0)</f>
        <v>0</v>
      </c>
      <c r="E858" s="322">
        <f>IFERROR(MaterialsBoQ[[#This Row],[Kg per unit]],0)</f>
        <v>0</v>
      </c>
      <c r="F858" s="322">
        <f>IFERROR(Calculations[[#This Row],[Number]]*Calculations[[#This Row],[Conversion factor]],0)</f>
        <v>0</v>
      </c>
      <c r="G858" s="322">
        <f>IFERROR(VLOOKUP(Calculations[[#This Row],[Material (choose from dropdown]],MaterialData[#All],7,FALSE),0)</f>
        <v>0</v>
      </c>
      <c r="H858" s="322">
        <f>Calculations[[#This Row],[Total Kg]]*Calculations[[#This Row],[Carbon Factor]]</f>
        <v>0</v>
      </c>
      <c r="I858" t="str">
        <f>IFERROR(VLOOKUP(Calculations[[#This Row],[Material (choose from dropdown]],MaterialData[#All],2,FALSE),"")</f>
        <v/>
      </c>
      <c r="J858" s="322">
        <f>IFERROR(((VLOOKUP(Calculations[[#This Row],[TransportSource]],TransportDistance[],2,FALSE)*'Stage assumptions'!$C$11)+VLOOKUP(Calculations[[#This Row],[TransportSource]],TransportDistance[],3,FALSE)*'Stage assumptions'!$C$12)*Calculations[[#This Row],[Total Kg]],0)</f>
        <v>0</v>
      </c>
      <c r="K858">
        <f>IFERROR(VLOOKUP(Calculations[[#This Row],[Material (choose from dropdown]], MaterialData[#All],3, FALSE),0)</f>
        <v>0</v>
      </c>
      <c r="L858" s="322">
        <f>IFERROR(VLOOKUP(Calculations[[#This Row],[A5type]],A5WastageRate[#All],2,FALSE)*Calculations[[#This Row],[A1-3]],0)</f>
        <v>0</v>
      </c>
      <c r="N858">
        <f>IFERROR(ROUNDUP(50/VLOOKUP(Calculations[[#This Row],[Scope Element]],B4referenceServiceLife[[Tier 2 element]:[Default Service Life]],2, FALSE)-1,0),0)</f>
        <v>0</v>
      </c>
      <c r="O858" s="322">
        <f>IFERROR((Calculations[[#This Row],[A1-3]]+Calculations[[#This Row],[A4]]+Calculations[[#This Row],[A5]]+Calculations[[#This Row],[C2 total]]+Calculations[[#This Row],[C3 total]]+Calculations[[#This Row],[C4 total]])*Calculations[[#This Row],[Replacements]],0)</f>
        <v>0</v>
      </c>
      <c r="S858" t="str">
        <f>IFERROR(VLOOKUP(Calculations[[#This Row],[Material (choose from dropdown]],MaterialData[#All],4,FALSE),"")</f>
        <v/>
      </c>
      <c r="T858" s="322" cm="1">
        <f t="array" ref="T858">IFERROR(VLOOKUP(Calculations[[#This Row],[Waste 1]],WasteScenario[#All],2,FALSE)*'Stage assumptions'!$C$225*WasteTransportMethod[Emissions Factor
kgCO2e/kg.km]*Calculations[[#This Row],[Total Kg]],0)</f>
        <v>0</v>
      </c>
      <c r="U858" s="322" cm="1">
        <f t="array" ref="U858">IFERROR(VLOOKUP(Calculations[[#This Row],[Waste 1]],WasteScenario[#All],3,FALSE)*'Stage assumptions'!$C$224*WasteTransportMethod[Emissions Factor
kgCO2e/kg.km]*Calculations[[#This Row],[Total Kg]],0)</f>
        <v>0</v>
      </c>
      <c r="V858" s="322" cm="1">
        <f t="array" ref="V858">IFERROR(VLOOKUP(Calculations[[#This Row],[Waste 1]],WasteScenario[#All],4,FALSE)*'Stage assumptions'!$C$223*WasteTransportMethod[Emissions Factor
kgCO2e/kg.km]*Calculations[[#This Row],[Total Kg]],0)</f>
        <v>0</v>
      </c>
      <c r="W858" s="322" cm="1">
        <f t="array" ref="W858">IFERROR(VLOOKUP(Calculations[[#This Row],[Waste 1]],WasteScenario[#All],5,FALSE)*'Stage assumptions'!$C$226*WasteTransportMethod[Emissions Factor
kgCO2e/kg.km]*Calculations[[#This Row],[Total Kg]],0)</f>
        <v>0</v>
      </c>
      <c r="X858" s="322">
        <f>SUM(Calculations[[#This Row],[C2 Recycle]:[C2 Reuse]])</f>
        <v>0</v>
      </c>
      <c r="Y858" t="str">
        <f>IFERROR(VLOOKUP(Calculations[[#This Row],[Material (choose from dropdown]],MaterialData[#All],5,FALSE),"")</f>
        <v/>
      </c>
      <c r="Z858" s="322">
        <f>IFERROR(((VLOOKUP(Calculations[[#This Row],[Waste type 2]],WasteDisposalEmissions[#All],2,FALSE))*Calculations[[#This Row],[Total Kg]])*VLOOKUP(Calculations[[#This Row],[Waste 1]],WasteScenario[#All],2,FALSE),0)</f>
        <v>0</v>
      </c>
      <c r="AA858" s="322">
        <f>IFERROR((VLOOKUP(Calculations[[#This Row],[Waste type 2]],WasteDisposalEmissions[#All],3,FALSE))*Calculations[[#This Row],[Total Kg]]*VLOOKUP(Calculations[[#This Row],[Waste 1]],WasteScenario[#All],3,FALSE),0)</f>
        <v>0</v>
      </c>
      <c r="AB858" s="322">
        <f>SUM(Calculations[[#This Row],[C3 recyc]:[C3 incin]])</f>
        <v>0</v>
      </c>
      <c r="AC858" s="334">
        <f>IFERROR((VLOOKUP(Calculations[[#This Row],[Waste type 2]],WasteLandfillEmissions[#All],2,FALSE))*Calculations[[#This Row],[Total Kg]]*VLOOKUP(Calculations[[#This Row],[Waste 1]],WasteScenario[#All],4,FALSE),0)</f>
        <v>0</v>
      </c>
      <c r="AD858" s="322">
        <f>IFERROR((VLOOKUP(Calculations[[#This Row],[Waste type 2]],WasteLandfillEmissions[#All],3,FALSE))*Calculations[[#This Row],[Total Kg]]*VLOOKUP(Calculations[[#This Row],[Waste 1]],WasteScenario[#All],4,FALSE),0)</f>
        <v>0</v>
      </c>
      <c r="AE858" s="322">
        <f>SUM(Calculations[[#This Row],[C4 landfill]:[C4 re-use]])</f>
        <v>0</v>
      </c>
      <c r="AF858" s="322">
        <f>IFERROR(VLOOKUP(Calculations[[#This Row],[Material (choose from dropdown]],MaterialData[#All],8,FALSE),0)</f>
        <v>0</v>
      </c>
      <c r="AG858" s="322">
        <f>IFERROR(Calculations[[#This Row],[Total Kg]]*Calculations[[#This Row],[Seq factor]],0)</f>
        <v>0</v>
      </c>
      <c r="AI858" s="322">
        <f>Calculations[[#This Row],[A1-3]]+Calculations[[#This Row],[A4]]+Calculations[[#This Row],[A5]]+Calculations[[#This Row],[B4]]+Calculations[[#This Row],[C2 total]]+Calculations[[#This Row],[C3 total]]+Calculations[[#This Row],[C4 total]]</f>
        <v>0</v>
      </c>
      <c r="AJ858" s="2">
        <f>IFERROR(VLOOKUP(Calculations[[#This Row],[Material (choose from dropdown]],MaterialData[[#Headers],[#Data]],9,FALSE),0)</f>
        <v>0</v>
      </c>
      <c r="AK858" s="4">
        <f>IFERROR(VLOOKUP(Calculations[[#This Row],[Material (choose from dropdown]],MaterialData[[#Headers],[#Data]],10,FALSE),0)</f>
        <v>0</v>
      </c>
      <c r="AL858" s="322">
        <f>IFERROR(Calculations[[#This Row],[Data Quality Score]]*Calculations[[#This Row],[Total Kg]],0)</f>
        <v>0</v>
      </c>
    </row>
    <row r="859" spans="1:38" x14ac:dyDescent="0.3">
      <c r="A859" s="6">
        <f>IFERROR(MaterialsBoQ[[#This Row],[Scope Element]],0)</f>
        <v>0</v>
      </c>
      <c r="B859" t="str">
        <f>IFERROR(MaterialsBoQ[[#This Row],[Material ]],"")</f>
        <v/>
      </c>
      <c r="C859" t="str">
        <f>IFERROR(MaterialsBoQ[[#This Row],[Unit]],"")</f>
        <v/>
      </c>
      <c r="D859" s="322">
        <f>IFERROR(MaterialsBoQ[[#This Row],[Number]],0)</f>
        <v>0</v>
      </c>
      <c r="E859" s="322">
        <f>IFERROR(MaterialsBoQ[[#This Row],[Kg per unit]],0)</f>
        <v>0</v>
      </c>
      <c r="F859" s="322">
        <f>IFERROR(Calculations[[#This Row],[Number]]*Calculations[[#This Row],[Conversion factor]],0)</f>
        <v>0</v>
      </c>
      <c r="G859" s="322">
        <f>IFERROR(VLOOKUP(Calculations[[#This Row],[Material (choose from dropdown]],MaterialData[#All],7,FALSE),0)</f>
        <v>0</v>
      </c>
      <c r="H859" s="322">
        <f>Calculations[[#This Row],[Total Kg]]*Calculations[[#This Row],[Carbon Factor]]</f>
        <v>0</v>
      </c>
      <c r="I859" t="str">
        <f>IFERROR(VLOOKUP(Calculations[[#This Row],[Material (choose from dropdown]],MaterialData[#All],2,FALSE),"")</f>
        <v/>
      </c>
      <c r="J859" s="322">
        <f>IFERROR(((VLOOKUP(Calculations[[#This Row],[TransportSource]],TransportDistance[],2,FALSE)*'Stage assumptions'!$C$11)+VLOOKUP(Calculations[[#This Row],[TransportSource]],TransportDistance[],3,FALSE)*'Stage assumptions'!$C$12)*Calculations[[#This Row],[Total Kg]],0)</f>
        <v>0</v>
      </c>
      <c r="K859">
        <f>IFERROR(VLOOKUP(Calculations[[#This Row],[Material (choose from dropdown]], MaterialData[#All],3, FALSE),0)</f>
        <v>0</v>
      </c>
      <c r="L859" s="322">
        <f>IFERROR(VLOOKUP(Calculations[[#This Row],[A5type]],A5WastageRate[#All],2,FALSE)*Calculations[[#This Row],[A1-3]],0)</f>
        <v>0</v>
      </c>
      <c r="N859">
        <f>IFERROR(ROUNDUP(50/VLOOKUP(Calculations[[#This Row],[Scope Element]],B4referenceServiceLife[[Tier 2 element]:[Default Service Life]],2, FALSE)-1,0),0)</f>
        <v>0</v>
      </c>
      <c r="O859" s="322">
        <f>IFERROR((Calculations[[#This Row],[A1-3]]+Calculations[[#This Row],[A4]]+Calculations[[#This Row],[A5]]+Calculations[[#This Row],[C2 total]]+Calculations[[#This Row],[C3 total]]+Calculations[[#This Row],[C4 total]])*Calculations[[#This Row],[Replacements]],0)</f>
        <v>0</v>
      </c>
      <c r="S859" t="str">
        <f>IFERROR(VLOOKUP(Calculations[[#This Row],[Material (choose from dropdown]],MaterialData[#All],4,FALSE),"")</f>
        <v/>
      </c>
      <c r="T859" s="322" cm="1">
        <f t="array" ref="T859">IFERROR(VLOOKUP(Calculations[[#This Row],[Waste 1]],WasteScenario[#All],2,FALSE)*'Stage assumptions'!$C$225*WasteTransportMethod[Emissions Factor
kgCO2e/kg.km]*Calculations[[#This Row],[Total Kg]],0)</f>
        <v>0</v>
      </c>
      <c r="U859" s="322" cm="1">
        <f t="array" ref="U859">IFERROR(VLOOKUP(Calculations[[#This Row],[Waste 1]],WasteScenario[#All],3,FALSE)*'Stage assumptions'!$C$224*WasteTransportMethod[Emissions Factor
kgCO2e/kg.km]*Calculations[[#This Row],[Total Kg]],0)</f>
        <v>0</v>
      </c>
      <c r="V859" s="322" cm="1">
        <f t="array" ref="V859">IFERROR(VLOOKUP(Calculations[[#This Row],[Waste 1]],WasteScenario[#All],4,FALSE)*'Stage assumptions'!$C$223*WasteTransportMethod[Emissions Factor
kgCO2e/kg.km]*Calculations[[#This Row],[Total Kg]],0)</f>
        <v>0</v>
      </c>
      <c r="W859" s="322" cm="1">
        <f t="array" ref="W859">IFERROR(VLOOKUP(Calculations[[#This Row],[Waste 1]],WasteScenario[#All],5,FALSE)*'Stage assumptions'!$C$226*WasteTransportMethod[Emissions Factor
kgCO2e/kg.km]*Calculations[[#This Row],[Total Kg]],0)</f>
        <v>0</v>
      </c>
      <c r="X859" s="322">
        <f>SUM(Calculations[[#This Row],[C2 Recycle]:[C2 Reuse]])</f>
        <v>0</v>
      </c>
      <c r="Y859" t="str">
        <f>IFERROR(VLOOKUP(Calculations[[#This Row],[Material (choose from dropdown]],MaterialData[#All],5,FALSE),"")</f>
        <v/>
      </c>
      <c r="Z859" s="322">
        <f>IFERROR(((VLOOKUP(Calculations[[#This Row],[Waste type 2]],WasteDisposalEmissions[#All],2,FALSE))*Calculations[[#This Row],[Total Kg]])*VLOOKUP(Calculations[[#This Row],[Waste 1]],WasteScenario[#All],2,FALSE),0)</f>
        <v>0</v>
      </c>
      <c r="AA859" s="322">
        <f>IFERROR((VLOOKUP(Calculations[[#This Row],[Waste type 2]],WasteDisposalEmissions[#All],3,FALSE))*Calculations[[#This Row],[Total Kg]]*VLOOKUP(Calculations[[#This Row],[Waste 1]],WasteScenario[#All],3,FALSE),0)</f>
        <v>0</v>
      </c>
      <c r="AB859" s="322">
        <f>SUM(Calculations[[#This Row],[C3 recyc]:[C3 incin]])</f>
        <v>0</v>
      </c>
      <c r="AC859" s="334">
        <f>IFERROR((VLOOKUP(Calculations[[#This Row],[Waste type 2]],WasteLandfillEmissions[#All],2,FALSE))*Calculations[[#This Row],[Total Kg]]*VLOOKUP(Calculations[[#This Row],[Waste 1]],WasteScenario[#All],4,FALSE),0)</f>
        <v>0</v>
      </c>
      <c r="AD859" s="322">
        <f>IFERROR((VLOOKUP(Calculations[[#This Row],[Waste type 2]],WasteLandfillEmissions[#All],3,FALSE))*Calculations[[#This Row],[Total Kg]]*VLOOKUP(Calculations[[#This Row],[Waste 1]],WasteScenario[#All],4,FALSE),0)</f>
        <v>0</v>
      </c>
      <c r="AE859" s="322">
        <f>SUM(Calculations[[#This Row],[C4 landfill]:[C4 re-use]])</f>
        <v>0</v>
      </c>
      <c r="AF859" s="322">
        <f>IFERROR(VLOOKUP(Calculations[[#This Row],[Material (choose from dropdown]],MaterialData[#All],8,FALSE),0)</f>
        <v>0</v>
      </c>
      <c r="AG859" s="322">
        <f>IFERROR(Calculations[[#This Row],[Total Kg]]*Calculations[[#This Row],[Seq factor]],0)</f>
        <v>0</v>
      </c>
      <c r="AI859" s="322">
        <f>Calculations[[#This Row],[A1-3]]+Calculations[[#This Row],[A4]]+Calculations[[#This Row],[A5]]+Calculations[[#This Row],[B4]]+Calculations[[#This Row],[C2 total]]+Calculations[[#This Row],[C3 total]]+Calculations[[#This Row],[C4 total]]</f>
        <v>0</v>
      </c>
      <c r="AJ859" s="2">
        <f>IFERROR(VLOOKUP(Calculations[[#This Row],[Material (choose from dropdown]],MaterialData[[#Headers],[#Data]],9,FALSE),0)</f>
        <v>0</v>
      </c>
      <c r="AK859" s="4">
        <f>IFERROR(VLOOKUP(Calculations[[#This Row],[Material (choose from dropdown]],MaterialData[[#Headers],[#Data]],10,FALSE),0)</f>
        <v>0</v>
      </c>
      <c r="AL859" s="322">
        <f>IFERROR(Calculations[[#This Row],[Data Quality Score]]*Calculations[[#This Row],[Total Kg]],0)</f>
        <v>0</v>
      </c>
    </row>
    <row r="860" spans="1:38" x14ac:dyDescent="0.3">
      <c r="A860" s="6">
        <f>IFERROR(MaterialsBoQ[[#This Row],[Scope Element]],0)</f>
        <v>0</v>
      </c>
      <c r="B860" t="str">
        <f>IFERROR(MaterialsBoQ[[#This Row],[Material ]],"")</f>
        <v/>
      </c>
      <c r="C860" t="str">
        <f>IFERROR(MaterialsBoQ[[#This Row],[Unit]],"")</f>
        <v/>
      </c>
      <c r="D860" s="322">
        <f>IFERROR(MaterialsBoQ[[#This Row],[Number]],0)</f>
        <v>0</v>
      </c>
      <c r="E860" s="322">
        <f>IFERROR(MaterialsBoQ[[#This Row],[Kg per unit]],0)</f>
        <v>0</v>
      </c>
      <c r="F860" s="322">
        <f>IFERROR(Calculations[[#This Row],[Number]]*Calculations[[#This Row],[Conversion factor]],0)</f>
        <v>0</v>
      </c>
      <c r="G860" s="322">
        <f>IFERROR(VLOOKUP(Calculations[[#This Row],[Material (choose from dropdown]],MaterialData[#All],7,FALSE),0)</f>
        <v>0</v>
      </c>
      <c r="H860" s="322">
        <f>Calculations[[#This Row],[Total Kg]]*Calculations[[#This Row],[Carbon Factor]]</f>
        <v>0</v>
      </c>
      <c r="I860" t="str">
        <f>IFERROR(VLOOKUP(Calculations[[#This Row],[Material (choose from dropdown]],MaterialData[#All],2,FALSE),"")</f>
        <v/>
      </c>
      <c r="J860" s="322">
        <f>IFERROR(((VLOOKUP(Calculations[[#This Row],[TransportSource]],TransportDistance[],2,FALSE)*'Stage assumptions'!$C$11)+VLOOKUP(Calculations[[#This Row],[TransportSource]],TransportDistance[],3,FALSE)*'Stage assumptions'!$C$12)*Calculations[[#This Row],[Total Kg]],0)</f>
        <v>0</v>
      </c>
      <c r="K860">
        <f>IFERROR(VLOOKUP(Calculations[[#This Row],[Material (choose from dropdown]], MaterialData[#All],3, FALSE),0)</f>
        <v>0</v>
      </c>
      <c r="L860" s="322">
        <f>IFERROR(VLOOKUP(Calculations[[#This Row],[A5type]],A5WastageRate[#All],2,FALSE)*Calculations[[#This Row],[A1-3]],0)</f>
        <v>0</v>
      </c>
      <c r="N860">
        <f>IFERROR(ROUNDUP(50/VLOOKUP(Calculations[[#This Row],[Scope Element]],B4referenceServiceLife[[Tier 2 element]:[Default Service Life]],2, FALSE)-1,0),0)</f>
        <v>0</v>
      </c>
      <c r="O860" s="322">
        <f>IFERROR((Calculations[[#This Row],[A1-3]]+Calculations[[#This Row],[A4]]+Calculations[[#This Row],[A5]]+Calculations[[#This Row],[C2 total]]+Calculations[[#This Row],[C3 total]]+Calculations[[#This Row],[C4 total]])*Calculations[[#This Row],[Replacements]],0)</f>
        <v>0</v>
      </c>
      <c r="S860" t="str">
        <f>IFERROR(VLOOKUP(Calculations[[#This Row],[Material (choose from dropdown]],MaterialData[#All],4,FALSE),"")</f>
        <v/>
      </c>
      <c r="T860" s="322" cm="1">
        <f t="array" ref="T860">IFERROR(VLOOKUP(Calculations[[#This Row],[Waste 1]],WasteScenario[#All],2,FALSE)*'Stage assumptions'!$C$225*WasteTransportMethod[Emissions Factor
kgCO2e/kg.km]*Calculations[[#This Row],[Total Kg]],0)</f>
        <v>0</v>
      </c>
      <c r="U860" s="322" cm="1">
        <f t="array" ref="U860">IFERROR(VLOOKUP(Calculations[[#This Row],[Waste 1]],WasteScenario[#All],3,FALSE)*'Stage assumptions'!$C$224*WasteTransportMethod[Emissions Factor
kgCO2e/kg.km]*Calculations[[#This Row],[Total Kg]],0)</f>
        <v>0</v>
      </c>
      <c r="V860" s="322" cm="1">
        <f t="array" ref="V860">IFERROR(VLOOKUP(Calculations[[#This Row],[Waste 1]],WasteScenario[#All],4,FALSE)*'Stage assumptions'!$C$223*WasteTransportMethod[Emissions Factor
kgCO2e/kg.km]*Calculations[[#This Row],[Total Kg]],0)</f>
        <v>0</v>
      </c>
      <c r="W860" s="322" cm="1">
        <f t="array" ref="W860">IFERROR(VLOOKUP(Calculations[[#This Row],[Waste 1]],WasteScenario[#All],5,FALSE)*'Stage assumptions'!$C$226*WasteTransportMethod[Emissions Factor
kgCO2e/kg.km]*Calculations[[#This Row],[Total Kg]],0)</f>
        <v>0</v>
      </c>
      <c r="X860" s="322">
        <f>SUM(Calculations[[#This Row],[C2 Recycle]:[C2 Reuse]])</f>
        <v>0</v>
      </c>
      <c r="Y860" t="str">
        <f>IFERROR(VLOOKUP(Calculations[[#This Row],[Material (choose from dropdown]],MaterialData[#All],5,FALSE),"")</f>
        <v/>
      </c>
      <c r="Z860" s="322">
        <f>IFERROR(((VLOOKUP(Calculations[[#This Row],[Waste type 2]],WasteDisposalEmissions[#All],2,FALSE))*Calculations[[#This Row],[Total Kg]])*VLOOKUP(Calculations[[#This Row],[Waste 1]],WasteScenario[#All],2,FALSE),0)</f>
        <v>0</v>
      </c>
      <c r="AA860" s="322">
        <f>IFERROR((VLOOKUP(Calculations[[#This Row],[Waste type 2]],WasteDisposalEmissions[#All],3,FALSE))*Calculations[[#This Row],[Total Kg]]*VLOOKUP(Calculations[[#This Row],[Waste 1]],WasteScenario[#All],3,FALSE),0)</f>
        <v>0</v>
      </c>
      <c r="AB860" s="322">
        <f>SUM(Calculations[[#This Row],[C3 recyc]:[C3 incin]])</f>
        <v>0</v>
      </c>
      <c r="AC860" s="334">
        <f>IFERROR((VLOOKUP(Calculations[[#This Row],[Waste type 2]],WasteLandfillEmissions[#All],2,FALSE))*Calculations[[#This Row],[Total Kg]]*VLOOKUP(Calculations[[#This Row],[Waste 1]],WasteScenario[#All],4,FALSE),0)</f>
        <v>0</v>
      </c>
      <c r="AD860" s="322">
        <f>IFERROR((VLOOKUP(Calculations[[#This Row],[Waste type 2]],WasteLandfillEmissions[#All],3,FALSE))*Calculations[[#This Row],[Total Kg]]*VLOOKUP(Calculations[[#This Row],[Waste 1]],WasteScenario[#All],4,FALSE),0)</f>
        <v>0</v>
      </c>
      <c r="AE860" s="322">
        <f>SUM(Calculations[[#This Row],[C4 landfill]:[C4 re-use]])</f>
        <v>0</v>
      </c>
      <c r="AF860" s="322">
        <f>IFERROR(VLOOKUP(Calculations[[#This Row],[Material (choose from dropdown]],MaterialData[#All],8,FALSE),0)</f>
        <v>0</v>
      </c>
      <c r="AG860" s="322">
        <f>IFERROR(Calculations[[#This Row],[Total Kg]]*Calculations[[#This Row],[Seq factor]],0)</f>
        <v>0</v>
      </c>
      <c r="AI860" s="322">
        <f>Calculations[[#This Row],[A1-3]]+Calculations[[#This Row],[A4]]+Calculations[[#This Row],[A5]]+Calculations[[#This Row],[B4]]+Calculations[[#This Row],[C2 total]]+Calculations[[#This Row],[C3 total]]+Calculations[[#This Row],[C4 total]]</f>
        <v>0</v>
      </c>
      <c r="AJ860" s="2">
        <f>IFERROR(VLOOKUP(Calculations[[#This Row],[Material (choose from dropdown]],MaterialData[[#Headers],[#Data]],9,FALSE),0)</f>
        <v>0</v>
      </c>
      <c r="AK860" s="4">
        <f>IFERROR(VLOOKUP(Calculations[[#This Row],[Material (choose from dropdown]],MaterialData[[#Headers],[#Data]],10,FALSE),0)</f>
        <v>0</v>
      </c>
      <c r="AL860" s="322">
        <f>IFERROR(Calculations[[#This Row],[Data Quality Score]]*Calculations[[#This Row],[Total Kg]],0)</f>
        <v>0</v>
      </c>
    </row>
    <row r="861" spans="1:38" x14ac:dyDescent="0.3">
      <c r="A861" s="6">
        <f>IFERROR(MaterialsBoQ[[#This Row],[Scope Element]],0)</f>
        <v>0</v>
      </c>
      <c r="B861" t="str">
        <f>IFERROR(MaterialsBoQ[[#This Row],[Material ]],"")</f>
        <v/>
      </c>
      <c r="C861" t="str">
        <f>IFERROR(MaterialsBoQ[[#This Row],[Unit]],"")</f>
        <v/>
      </c>
      <c r="D861" s="322">
        <f>IFERROR(MaterialsBoQ[[#This Row],[Number]],0)</f>
        <v>0</v>
      </c>
      <c r="E861" s="322">
        <f>IFERROR(MaterialsBoQ[[#This Row],[Kg per unit]],0)</f>
        <v>0</v>
      </c>
      <c r="F861" s="322">
        <f>IFERROR(Calculations[[#This Row],[Number]]*Calculations[[#This Row],[Conversion factor]],0)</f>
        <v>0</v>
      </c>
      <c r="G861" s="322">
        <f>IFERROR(VLOOKUP(Calculations[[#This Row],[Material (choose from dropdown]],MaterialData[#All],7,FALSE),0)</f>
        <v>0</v>
      </c>
      <c r="H861" s="322">
        <f>Calculations[[#This Row],[Total Kg]]*Calculations[[#This Row],[Carbon Factor]]</f>
        <v>0</v>
      </c>
      <c r="I861" t="str">
        <f>IFERROR(VLOOKUP(Calculations[[#This Row],[Material (choose from dropdown]],MaterialData[#All],2,FALSE),"")</f>
        <v/>
      </c>
      <c r="J861" s="322">
        <f>IFERROR(((VLOOKUP(Calculations[[#This Row],[TransportSource]],TransportDistance[],2,FALSE)*'Stage assumptions'!$C$11)+VLOOKUP(Calculations[[#This Row],[TransportSource]],TransportDistance[],3,FALSE)*'Stage assumptions'!$C$12)*Calculations[[#This Row],[Total Kg]],0)</f>
        <v>0</v>
      </c>
      <c r="K861">
        <f>IFERROR(VLOOKUP(Calculations[[#This Row],[Material (choose from dropdown]], MaterialData[#All],3, FALSE),0)</f>
        <v>0</v>
      </c>
      <c r="L861" s="322">
        <f>IFERROR(VLOOKUP(Calculations[[#This Row],[A5type]],A5WastageRate[#All],2,FALSE)*Calculations[[#This Row],[A1-3]],0)</f>
        <v>0</v>
      </c>
      <c r="N861">
        <f>IFERROR(ROUNDUP(50/VLOOKUP(Calculations[[#This Row],[Scope Element]],B4referenceServiceLife[[Tier 2 element]:[Default Service Life]],2, FALSE)-1,0),0)</f>
        <v>0</v>
      </c>
      <c r="O861" s="322">
        <f>IFERROR((Calculations[[#This Row],[A1-3]]+Calculations[[#This Row],[A4]]+Calculations[[#This Row],[A5]]+Calculations[[#This Row],[C2 total]]+Calculations[[#This Row],[C3 total]]+Calculations[[#This Row],[C4 total]])*Calculations[[#This Row],[Replacements]],0)</f>
        <v>0</v>
      </c>
      <c r="S861" t="str">
        <f>IFERROR(VLOOKUP(Calculations[[#This Row],[Material (choose from dropdown]],MaterialData[#All],4,FALSE),"")</f>
        <v/>
      </c>
      <c r="T861" s="322" cm="1">
        <f t="array" ref="T861">IFERROR(VLOOKUP(Calculations[[#This Row],[Waste 1]],WasteScenario[#All],2,FALSE)*'Stage assumptions'!$C$225*WasteTransportMethod[Emissions Factor
kgCO2e/kg.km]*Calculations[[#This Row],[Total Kg]],0)</f>
        <v>0</v>
      </c>
      <c r="U861" s="322" cm="1">
        <f t="array" ref="U861">IFERROR(VLOOKUP(Calculations[[#This Row],[Waste 1]],WasteScenario[#All],3,FALSE)*'Stage assumptions'!$C$224*WasteTransportMethod[Emissions Factor
kgCO2e/kg.km]*Calculations[[#This Row],[Total Kg]],0)</f>
        <v>0</v>
      </c>
      <c r="V861" s="322" cm="1">
        <f t="array" ref="V861">IFERROR(VLOOKUP(Calculations[[#This Row],[Waste 1]],WasteScenario[#All],4,FALSE)*'Stage assumptions'!$C$223*WasteTransportMethod[Emissions Factor
kgCO2e/kg.km]*Calculations[[#This Row],[Total Kg]],0)</f>
        <v>0</v>
      </c>
      <c r="W861" s="322" cm="1">
        <f t="array" ref="W861">IFERROR(VLOOKUP(Calculations[[#This Row],[Waste 1]],WasteScenario[#All],5,FALSE)*'Stage assumptions'!$C$226*WasteTransportMethod[Emissions Factor
kgCO2e/kg.km]*Calculations[[#This Row],[Total Kg]],0)</f>
        <v>0</v>
      </c>
      <c r="X861" s="322">
        <f>SUM(Calculations[[#This Row],[C2 Recycle]:[C2 Reuse]])</f>
        <v>0</v>
      </c>
      <c r="Y861" t="str">
        <f>IFERROR(VLOOKUP(Calculations[[#This Row],[Material (choose from dropdown]],MaterialData[#All],5,FALSE),"")</f>
        <v/>
      </c>
      <c r="Z861" s="322">
        <f>IFERROR(((VLOOKUP(Calculations[[#This Row],[Waste type 2]],WasteDisposalEmissions[#All],2,FALSE))*Calculations[[#This Row],[Total Kg]])*VLOOKUP(Calculations[[#This Row],[Waste 1]],WasteScenario[#All],2,FALSE),0)</f>
        <v>0</v>
      </c>
      <c r="AA861" s="322">
        <f>IFERROR((VLOOKUP(Calculations[[#This Row],[Waste type 2]],WasteDisposalEmissions[#All],3,FALSE))*Calculations[[#This Row],[Total Kg]]*VLOOKUP(Calculations[[#This Row],[Waste 1]],WasteScenario[#All],3,FALSE),0)</f>
        <v>0</v>
      </c>
      <c r="AB861" s="322">
        <f>SUM(Calculations[[#This Row],[C3 recyc]:[C3 incin]])</f>
        <v>0</v>
      </c>
      <c r="AC861" s="334">
        <f>IFERROR((VLOOKUP(Calculations[[#This Row],[Waste type 2]],WasteLandfillEmissions[#All],2,FALSE))*Calculations[[#This Row],[Total Kg]]*VLOOKUP(Calculations[[#This Row],[Waste 1]],WasteScenario[#All],4,FALSE),0)</f>
        <v>0</v>
      </c>
      <c r="AD861" s="322">
        <f>IFERROR((VLOOKUP(Calculations[[#This Row],[Waste type 2]],WasteLandfillEmissions[#All],3,FALSE))*Calculations[[#This Row],[Total Kg]]*VLOOKUP(Calculations[[#This Row],[Waste 1]],WasteScenario[#All],4,FALSE),0)</f>
        <v>0</v>
      </c>
      <c r="AE861" s="322">
        <f>SUM(Calculations[[#This Row],[C4 landfill]:[C4 re-use]])</f>
        <v>0</v>
      </c>
      <c r="AF861" s="322">
        <f>IFERROR(VLOOKUP(Calculations[[#This Row],[Material (choose from dropdown]],MaterialData[#All],8,FALSE),0)</f>
        <v>0</v>
      </c>
      <c r="AG861" s="322">
        <f>IFERROR(Calculations[[#This Row],[Total Kg]]*Calculations[[#This Row],[Seq factor]],0)</f>
        <v>0</v>
      </c>
      <c r="AI861" s="322">
        <f>Calculations[[#This Row],[A1-3]]+Calculations[[#This Row],[A4]]+Calculations[[#This Row],[A5]]+Calculations[[#This Row],[B4]]+Calculations[[#This Row],[C2 total]]+Calculations[[#This Row],[C3 total]]+Calculations[[#This Row],[C4 total]]</f>
        <v>0</v>
      </c>
      <c r="AJ861" s="2">
        <f>IFERROR(VLOOKUP(Calculations[[#This Row],[Material (choose from dropdown]],MaterialData[[#Headers],[#Data]],9,FALSE),0)</f>
        <v>0</v>
      </c>
      <c r="AK861" s="4">
        <f>IFERROR(VLOOKUP(Calculations[[#This Row],[Material (choose from dropdown]],MaterialData[[#Headers],[#Data]],10,FALSE),0)</f>
        <v>0</v>
      </c>
      <c r="AL861" s="322">
        <f>IFERROR(Calculations[[#This Row],[Data Quality Score]]*Calculations[[#This Row],[Total Kg]],0)</f>
        <v>0</v>
      </c>
    </row>
    <row r="862" spans="1:38" x14ac:dyDescent="0.3">
      <c r="A862" s="6">
        <f>IFERROR(MaterialsBoQ[[#This Row],[Scope Element]],0)</f>
        <v>0</v>
      </c>
      <c r="B862" t="str">
        <f>IFERROR(MaterialsBoQ[[#This Row],[Material ]],"")</f>
        <v/>
      </c>
      <c r="C862" t="str">
        <f>IFERROR(MaterialsBoQ[[#This Row],[Unit]],"")</f>
        <v/>
      </c>
      <c r="D862" s="322">
        <f>IFERROR(MaterialsBoQ[[#This Row],[Number]],0)</f>
        <v>0</v>
      </c>
      <c r="E862" s="322">
        <f>IFERROR(MaterialsBoQ[[#This Row],[Kg per unit]],0)</f>
        <v>0</v>
      </c>
      <c r="F862" s="322">
        <f>IFERROR(Calculations[[#This Row],[Number]]*Calculations[[#This Row],[Conversion factor]],0)</f>
        <v>0</v>
      </c>
      <c r="G862" s="322">
        <f>IFERROR(VLOOKUP(Calculations[[#This Row],[Material (choose from dropdown]],MaterialData[#All],7,FALSE),0)</f>
        <v>0</v>
      </c>
      <c r="H862" s="322">
        <f>Calculations[[#This Row],[Total Kg]]*Calculations[[#This Row],[Carbon Factor]]</f>
        <v>0</v>
      </c>
      <c r="I862" t="str">
        <f>IFERROR(VLOOKUP(Calculations[[#This Row],[Material (choose from dropdown]],MaterialData[#All],2,FALSE),"")</f>
        <v/>
      </c>
      <c r="J862" s="322">
        <f>IFERROR(((VLOOKUP(Calculations[[#This Row],[TransportSource]],TransportDistance[],2,FALSE)*'Stage assumptions'!$C$11)+VLOOKUP(Calculations[[#This Row],[TransportSource]],TransportDistance[],3,FALSE)*'Stage assumptions'!$C$12)*Calculations[[#This Row],[Total Kg]],0)</f>
        <v>0</v>
      </c>
      <c r="K862">
        <f>IFERROR(VLOOKUP(Calculations[[#This Row],[Material (choose from dropdown]], MaterialData[#All],3, FALSE),0)</f>
        <v>0</v>
      </c>
      <c r="L862" s="322">
        <f>IFERROR(VLOOKUP(Calculations[[#This Row],[A5type]],A5WastageRate[#All],2,FALSE)*Calculations[[#This Row],[A1-3]],0)</f>
        <v>0</v>
      </c>
      <c r="N862">
        <f>IFERROR(ROUNDUP(50/VLOOKUP(Calculations[[#This Row],[Scope Element]],B4referenceServiceLife[[Tier 2 element]:[Default Service Life]],2, FALSE)-1,0),0)</f>
        <v>0</v>
      </c>
      <c r="O862" s="322">
        <f>IFERROR((Calculations[[#This Row],[A1-3]]+Calculations[[#This Row],[A4]]+Calculations[[#This Row],[A5]]+Calculations[[#This Row],[C2 total]]+Calculations[[#This Row],[C3 total]]+Calculations[[#This Row],[C4 total]])*Calculations[[#This Row],[Replacements]],0)</f>
        <v>0</v>
      </c>
      <c r="S862" t="str">
        <f>IFERROR(VLOOKUP(Calculations[[#This Row],[Material (choose from dropdown]],MaterialData[#All],4,FALSE),"")</f>
        <v/>
      </c>
      <c r="T862" s="322" cm="1">
        <f t="array" ref="T862">IFERROR(VLOOKUP(Calculations[[#This Row],[Waste 1]],WasteScenario[#All],2,FALSE)*'Stage assumptions'!$C$225*WasteTransportMethod[Emissions Factor
kgCO2e/kg.km]*Calculations[[#This Row],[Total Kg]],0)</f>
        <v>0</v>
      </c>
      <c r="U862" s="322" cm="1">
        <f t="array" ref="U862">IFERROR(VLOOKUP(Calculations[[#This Row],[Waste 1]],WasteScenario[#All],3,FALSE)*'Stage assumptions'!$C$224*WasteTransportMethod[Emissions Factor
kgCO2e/kg.km]*Calculations[[#This Row],[Total Kg]],0)</f>
        <v>0</v>
      </c>
      <c r="V862" s="322" cm="1">
        <f t="array" ref="V862">IFERROR(VLOOKUP(Calculations[[#This Row],[Waste 1]],WasteScenario[#All],4,FALSE)*'Stage assumptions'!$C$223*WasteTransportMethod[Emissions Factor
kgCO2e/kg.km]*Calculations[[#This Row],[Total Kg]],0)</f>
        <v>0</v>
      </c>
      <c r="W862" s="322" cm="1">
        <f t="array" ref="W862">IFERROR(VLOOKUP(Calculations[[#This Row],[Waste 1]],WasteScenario[#All],5,FALSE)*'Stage assumptions'!$C$226*WasteTransportMethod[Emissions Factor
kgCO2e/kg.km]*Calculations[[#This Row],[Total Kg]],0)</f>
        <v>0</v>
      </c>
      <c r="X862" s="322">
        <f>SUM(Calculations[[#This Row],[C2 Recycle]:[C2 Reuse]])</f>
        <v>0</v>
      </c>
      <c r="Y862" t="str">
        <f>IFERROR(VLOOKUP(Calculations[[#This Row],[Material (choose from dropdown]],MaterialData[#All],5,FALSE),"")</f>
        <v/>
      </c>
      <c r="Z862" s="322">
        <f>IFERROR(((VLOOKUP(Calculations[[#This Row],[Waste type 2]],WasteDisposalEmissions[#All],2,FALSE))*Calculations[[#This Row],[Total Kg]])*VLOOKUP(Calculations[[#This Row],[Waste 1]],WasteScenario[#All],2,FALSE),0)</f>
        <v>0</v>
      </c>
      <c r="AA862" s="322">
        <f>IFERROR((VLOOKUP(Calculations[[#This Row],[Waste type 2]],WasteDisposalEmissions[#All],3,FALSE))*Calculations[[#This Row],[Total Kg]]*VLOOKUP(Calculations[[#This Row],[Waste 1]],WasteScenario[#All],3,FALSE),0)</f>
        <v>0</v>
      </c>
      <c r="AB862" s="322">
        <f>SUM(Calculations[[#This Row],[C3 recyc]:[C3 incin]])</f>
        <v>0</v>
      </c>
      <c r="AC862" s="334">
        <f>IFERROR((VLOOKUP(Calculations[[#This Row],[Waste type 2]],WasteLandfillEmissions[#All],2,FALSE))*Calculations[[#This Row],[Total Kg]]*VLOOKUP(Calculations[[#This Row],[Waste 1]],WasteScenario[#All],4,FALSE),0)</f>
        <v>0</v>
      </c>
      <c r="AD862" s="322">
        <f>IFERROR((VLOOKUP(Calculations[[#This Row],[Waste type 2]],WasteLandfillEmissions[#All],3,FALSE))*Calculations[[#This Row],[Total Kg]]*VLOOKUP(Calculations[[#This Row],[Waste 1]],WasteScenario[#All],4,FALSE),0)</f>
        <v>0</v>
      </c>
      <c r="AE862" s="322">
        <f>SUM(Calculations[[#This Row],[C4 landfill]:[C4 re-use]])</f>
        <v>0</v>
      </c>
      <c r="AF862" s="322">
        <f>IFERROR(VLOOKUP(Calculations[[#This Row],[Material (choose from dropdown]],MaterialData[#All],8,FALSE),0)</f>
        <v>0</v>
      </c>
      <c r="AG862" s="322">
        <f>IFERROR(Calculations[[#This Row],[Total Kg]]*Calculations[[#This Row],[Seq factor]],0)</f>
        <v>0</v>
      </c>
      <c r="AI862" s="322">
        <f>Calculations[[#This Row],[A1-3]]+Calculations[[#This Row],[A4]]+Calculations[[#This Row],[A5]]+Calculations[[#This Row],[B4]]+Calculations[[#This Row],[C2 total]]+Calculations[[#This Row],[C3 total]]+Calculations[[#This Row],[C4 total]]</f>
        <v>0</v>
      </c>
      <c r="AJ862" s="2">
        <f>IFERROR(VLOOKUP(Calculations[[#This Row],[Material (choose from dropdown]],MaterialData[[#Headers],[#Data]],9,FALSE),0)</f>
        <v>0</v>
      </c>
      <c r="AK862" s="4">
        <f>IFERROR(VLOOKUP(Calculations[[#This Row],[Material (choose from dropdown]],MaterialData[[#Headers],[#Data]],10,FALSE),0)</f>
        <v>0</v>
      </c>
      <c r="AL862" s="322">
        <f>IFERROR(Calculations[[#This Row],[Data Quality Score]]*Calculations[[#This Row],[Total Kg]],0)</f>
        <v>0</v>
      </c>
    </row>
    <row r="863" spans="1:38" x14ac:dyDescent="0.3">
      <c r="A863" s="6">
        <f>IFERROR(MaterialsBoQ[[#This Row],[Scope Element]],0)</f>
        <v>0</v>
      </c>
      <c r="B863" t="str">
        <f>IFERROR(MaterialsBoQ[[#This Row],[Material ]],"")</f>
        <v/>
      </c>
      <c r="C863" t="str">
        <f>IFERROR(MaterialsBoQ[[#This Row],[Unit]],"")</f>
        <v/>
      </c>
      <c r="D863" s="322">
        <f>IFERROR(MaterialsBoQ[[#This Row],[Number]],0)</f>
        <v>0</v>
      </c>
      <c r="E863" s="322">
        <f>IFERROR(MaterialsBoQ[[#This Row],[Kg per unit]],0)</f>
        <v>0</v>
      </c>
      <c r="F863" s="322">
        <f>IFERROR(Calculations[[#This Row],[Number]]*Calculations[[#This Row],[Conversion factor]],0)</f>
        <v>0</v>
      </c>
      <c r="G863" s="322">
        <f>IFERROR(VLOOKUP(Calculations[[#This Row],[Material (choose from dropdown]],MaterialData[#All],7,FALSE),0)</f>
        <v>0</v>
      </c>
      <c r="H863" s="322">
        <f>Calculations[[#This Row],[Total Kg]]*Calculations[[#This Row],[Carbon Factor]]</f>
        <v>0</v>
      </c>
      <c r="I863" t="str">
        <f>IFERROR(VLOOKUP(Calculations[[#This Row],[Material (choose from dropdown]],MaterialData[#All],2,FALSE),"")</f>
        <v/>
      </c>
      <c r="J863" s="322">
        <f>IFERROR(((VLOOKUP(Calculations[[#This Row],[TransportSource]],TransportDistance[],2,FALSE)*'Stage assumptions'!$C$11)+VLOOKUP(Calculations[[#This Row],[TransportSource]],TransportDistance[],3,FALSE)*'Stage assumptions'!$C$12)*Calculations[[#This Row],[Total Kg]],0)</f>
        <v>0</v>
      </c>
      <c r="K863">
        <f>IFERROR(VLOOKUP(Calculations[[#This Row],[Material (choose from dropdown]], MaterialData[#All],3, FALSE),0)</f>
        <v>0</v>
      </c>
      <c r="L863" s="322">
        <f>IFERROR(VLOOKUP(Calculations[[#This Row],[A5type]],A5WastageRate[#All],2,FALSE)*Calculations[[#This Row],[A1-3]],0)</f>
        <v>0</v>
      </c>
      <c r="N863">
        <f>IFERROR(ROUNDUP(50/VLOOKUP(Calculations[[#This Row],[Scope Element]],B4referenceServiceLife[[Tier 2 element]:[Default Service Life]],2, FALSE)-1,0),0)</f>
        <v>0</v>
      </c>
      <c r="O863" s="322">
        <f>IFERROR((Calculations[[#This Row],[A1-3]]+Calculations[[#This Row],[A4]]+Calculations[[#This Row],[A5]]+Calculations[[#This Row],[C2 total]]+Calculations[[#This Row],[C3 total]]+Calculations[[#This Row],[C4 total]])*Calculations[[#This Row],[Replacements]],0)</f>
        <v>0</v>
      </c>
      <c r="S863" t="str">
        <f>IFERROR(VLOOKUP(Calculations[[#This Row],[Material (choose from dropdown]],MaterialData[#All],4,FALSE),"")</f>
        <v/>
      </c>
      <c r="T863" s="322" cm="1">
        <f t="array" ref="T863">IFERROR(VLOOKUP(Calculations[[#This Row],[Waste 1]],WasteScenario[#All],2,FALSE)*'Stage assumptions'!$C$225*WasteTransportMethod[Emissions Factor
kgCO2e/kg.km]*Calculations[[#This Row],[Total Kg]],0)</f>
        <v>0</v>
      </c>
      <c r="U863" s="322" cm="1">
        <f t="array" ref="U863">IFERROR(VLOOKUP(Calculations[[#This Row],[Waste 1]],WasteScenario[#All],3,FALSE)*'Stage assumptions'!$C$224*WasteTransportMethod[Emissions Factor
kgCO2e/kg.km]*Calculations[[#This Row],[Total Kg]],0)</f>
        <v>0</v>
      </c>
      <c r="V863" s="322" cm="1">
        <f t="array" ref="V863">IFERROR(VLOOKUP(Calculations[[#This Row],[Waste 1]],WasteScenario[#All],4,FALSE)*'Stage assumptions'!$C$223*WasteTransportMethod[Emissions Factor
kgCO2e/kg.km]*Calculations[[#This Row],[Total Kg]],0)</f>
        <v>0</v>
      </c>
      <c r="W863" s="322" cm="1">
        <f t="array" ref="W863">IFERROR(VLOOKUP(Calculations[[#This Row],[Waste 1]],WasteScenario[#All],5,FALSE)*'Stage assumptions'!$C$226*WasteTransportMethod[Emissions Factor
kgCO2e/kg.km]*Calculations[[#This Row],[Total Kg]],0)</f>
        <v>0</v>
      </c>
      <c r="X863" s="322">
        <f>SUM(Calculations[[#This Row],[C2 Recycle]:[C2 Reuse]])</f>
        <v>0</v>
      </c>
      <c r="Y863" t="str">
        <f>IFERROR(VLOOKUP(Calculations[[#This Row],[Material (choose from dropdown]],MaterialData[#All],5,FALSE),"")</f>
        <v/>
      </c>
      <c r="Z863" s="322">
        <f>IFERROR(((VLOOKUP(Calculations[[#This Row],[Waste type 2]],WasteDisposalEmissions[#All],2,FALSE))*Calculations[[#This Row],[Total Kg]])*VLOOKUP(Calculations[[#This Row],[Waste 1]],WasteScenario[#All],2,FALSE),0)</f>
        <v>0</v>
      </c>
      <c r="AA863" s="322">
        <f>IFERROR((VLOOKUP(Calculations[[#This Row],[Waste type 2]],WasteDisposalEmissions[#All],3,FALSE))*Calculations[[#This Row],[Total Kg]]*VLOOKUP(Calculations[[#This Row],[Waste 1]],WasteScenario[#All],3,FALSE),0)</f>
        <v>0</v>
      </c>
      <c r="AB863" s="322">
        <f>SUM(Calculations[[#This Row],[C3 recyc]:[C3 incin]])</f>
        <v>0</v>
      </c>
      <c r="AC863" s="334">
        <f>IFERROR((VLOOKUP(Calculations[[#This Row],[Waste type 2]],WasteLandfillEmissions[#All],2,FALSE))*Calculations[[#This Row],[Total Kg]]*VLOOKUP(Calculations[[#This Row],[Waste 1]],WasteScenario[#All],4,FALSE),0)</f>
        <v>0</v>
      </c>
      <c r="AD863" s="322">
        <f>IFERROR((VLOOKUP(Calculations[[#This Row],[Waste type 2]],WasteLandfillEmissions[#All],3,FALSE))*Calculations[[#This Row],[Total Kg]]*VLOOKUP(Calculations[[#This Row],[Waste 1]],WasteScenario[#All],4,FALSE),0)</f>
        <v>0</v>
      </c>
      <c r="AE863" s="322">
        <f>SUM(Calculations[[#This Row],[C4 landfill]:[C4 re-use]])</f>
        <v>0</v>
      </c>
      <c r="AF863" s="322">
        <f>IFERROR(VLOOKUP(Calculations[[#This Row],[Material (choose from dropdown]],MaterialData[#All],8,FALSE),0)</f>
        <v>0</v>
      </c>
      <c r="AG863" s="322">
        <f>IFERROR(Calculations[[#This Row],[Total Kg]]*Calculations[[#This Row],[Seq factor]],0)</f>
        <v>0</v>
      </c>
      <c r="AI863" s="322">
        <f>Calculations[[#This Row],[A1-3]]+Calculations[[#This Row],[A4]]+Calculations[[#This Row],[A5]]+Calculations[[#This Row],[B4]]+Calculations[[#This Row],[C2 total]]+Calculations[[#This Row],[C3 total]]+Calculations[[#This Row],[C4 total]]</f>
        <v>0</v>
      </c>
      <c r="AJ863" s="2">
        <f>IFERROR(VLOOKUP(Calculations[[#This Row],[Material (choose from dropdown]],MaterialData[[#Headers],[#Data]],9,FALSE),0)</f>
        <v>0</v>
      </c>
      <c r="AK863" s="4">
        <f>IFERROR(VLOOKUP(Calculations[[#This Row],[Material (choose from dropdown]],MaterialData[[#Headers],[#Data]],10,FALSE),0)</f>
        <v>0</v>
      </c>
      <c r="AL863" s="322">
        <f>IFERROR(Calculations[[#This Row],[Data Quality Score]]*Calculations[[#This Row],[Total Kg]],0)</f>
        <v>0</v>
      </c>
    </row>
    <row r="864" spans="1:38" x14ac:dyDescent="0.3">
      <c r="A864" s="6">
        <f>IFERROR(MaterialsBoQ[[#This Row],[Scope Element]],0)</f>
        <v>0</v>
      </c>
      <c r="B864" t="str">
        <f>IFERROR(MaterialsBoQ[[#This Row],[Material ]],"")</f>
        <v/>
      </c>
      <c r="C864" t="str">
        <f>IFERROR(MaterialsBoQ[[#This Row],[Unit]],"")</f>
        <v/>
      </c>
      <c r="D864" s="322">
        <f>IFERROR(MaterialsBoQ[[#This Row],[Number]],0)</f>
        <v>0</v>
      </c>
      <c r="E864" s="322">
        <f>IFERROR(MaterialsBoQ[[#This Row],[Kg per unit]],0)</f>
        <v>0</v>
      </c>
      <c r="F864" s="322">
        <f>IFERROR(Calculations[[#This Row],[Number]]*Calculations[[#This Row],[Conversion factor]],0)</f>
        <v>0</v>
      </c>
      <c r="G864" s="322">
        <f>IFERROR(VLOOKUP(Calculations[[#This Row],[Material (choose from dropdown]],MaterialData[#All],7,FALSE),0)</f>
        <v>0</v>
      </c>
      <c r="H864" s="322">
        <f>Calculations[[#This Row],[Total Kg]]*Calculations[[#This Row],[Carbon Factor]]</f>
        <v>0</v>
      </c>
      <c r="I864" t="str">
        <f>IFERROR(VLOOKUP(Calculations[[#This Row],[Material (choose from dropdown]],MaterialData[#All],2,FALSE),"")</f>
        <v/>
      </c>
      <c r="J864" s="322">
        <f>IFERROR(((VLOOKUP(Calculations[[#This Row],[TransportSource]],TransportDistance[],2,FALSE)*'Stage assumptions'!$C$11)+VLOOKUP(Calculations[[#This Row],[TransportSource]],TransportDistance[],3,FALSE)*'Stage assumptions'!$C$12)*Calculations[[#This Row],[Total Kg]],0)</f>
        <v>0</v>
      </c>
      <c r="K864">
        <f>IFERROR(VLOOKUP(Calculations[[#This Row],[Material (choose from dropdown]], MaterialData[#All],3, FALSE),0)</f>
        <v>0</v>
      </c>
      <c r="L864" s="322">
        <f>IFERROR(VLOOKUP(Calculations[[#This Row],[A5type]],A5WastageRate[#All],2,FALSE)*Calculations[[#This Row],[A1-3]],0)</f>
        <v>0</v>
      </c>
      <c r="N864">
        <f>IFERROR(ROUNDUP(50/VLOOKUP(Calculations[[#This Row],[Scope Element]],B4referenceServiceLife[[Tier 2 element]:[Default Service Life]],2, FALSE)-1,0),0)</f>
        <v>0</v>
      </c>
      <c r="O864" s="322">
        <f>IFERROR((Calculations[[#This Row],[A1-3]]+Calculations[[#This Row],[A4]]+Calculations[[#This Row],[A5]]+Calculations[[#This Row],[C2 total]]+Calculations[[#This Row],[C3 total]]+Calculations[[#This Row],[C4 total]])*Calculations[[#This Row],[Replacements]],0)</f>
        <v>0</v>
      </c>
      <c r="S864" t="str">
        <f>IFERROR(VLOOKUP(Calculations[[#This Row],[Material (choose from dropdown]],MaterialData[#All],4,FALSE),"")</f>
        <v/>
      </c>
      <c r="T864" s="322" cm="1">
        <f t="array" ref="T864">IFERROR(VLOOKUP(Calculations[[#This Row],[Waste 1]],WasteScenario[#All],2,FALSE)*'Stage assumptions'!$C$225*WasteTransportMethod[Emissions Factor
kgCO2e/kg.km]*Calculations[[#This Row],[Total Kg]],0)</f>
        <v>0</v>
      </c>
      <c r="U864" s="322" cm="1">
        <f t="array" ref="U864">IFERROR(VLOOKUP(Calculations[[#This Row],[Waste 1]],WasteScenario[#All],3,FALSE)*'Stage assumptions'!$C$224*WasteTransportMethod[Emissions Factor
kgCO2e/kg.km]*Calculations[[#This Row],[Total Kg]],0)</f>
        <v>0</v>
      </c>
      <c r="V864" s="322" cm="1">
        <f t="array" ref="V864">IFERROR(VLOOKUP(Calculations[[#This Row],[Waste 1]],WasteScenario[#All],4,FALSE)*'Stage assumptions'!$C$223*WasteTransportMethod[Emissions Factor
kgCO2e/kg.km]*Calculations[[#This Row],[Total Kg]],0)</f>
        <v>0</v>
      </c>
      <c r="W864" s="322" cm="1">
        <f t="array" ref="W864">IFERROR(VLOOKUP(Calculations[[#This Row],[Waste 1]],WasteScenario[#All],5,FALSE)*'Stage assumptions'!$C$226*WasteTransportMethod[Emissions Factor
kgCO2e/kg.km]*Calculations[[#This Row],[Total Kg]],0)</f>
        <v>0</v>
      </c>
      <c r="X864" s="322">
        <f>SUM(Calculations[[#This Row],[C2 Recycle]:[C2 Reuse]])</f>
        <v>0</v>
      </c>
      <c r="Y864" t="str">
        <f>IFERROR(VLOOKUP(Calculations[[#This Row],[Material (choose from dropdown]],MaterialData[#All],5,FALSE),"")</f>
        <v/>
      </c>
      <c r="Z864" s="322">
        <f>IFERROR(((VLOOKUP(Calculations[[#This Row],[Waste type 2]],WasteDisposalEmissions[#All],2,FALSE))*Calculations[[#This Row],[Total Kg]])*VLOOKUP(Calculations[[#This Row],[Waste 1]],WasteScenario[#All],2,FALSE),0)</f>
        <v>0</v>
      </c>
      <c r="AA864" s="322">
        <f>IFERROR((VLOOKUP(Calculations[[#This Row],[Waste type 2]],WasteDisposalEmissions[#All],3,FALSE))*Calculations[[#This Row],[Total Kg]]*VLOOKUP(Calculations[[#This Row],[Waste 1]],WasteScenario[#All],3,FALSE),0)</f>
        <v>0</v>
      </c>
      <c r="AB864" s="322">
        <f>SUM(Calculations[[#This Row],[C3 recyc]:[C3 incin]])</f>
        <v>0</v>
      </c>
      <c r="AC864" s="334">
        <f>IFERROR((VLOOKUP(Calculations[[#This Row],[Waste type 2]],WasteLandfillEmissions[#All],2,FALSE))*Calculations[[#This Row],[Total Kg]]*VLOOKUP(Calculations[[#This Row],[Waste 1]],WasteScenario[#All],4,FALSE),0)</f>
        <v>0</v>
      </c>
      <c r="AD864" s="322">
        <f>IFERROR((VLOOKUP(Calculations[[#This Row],[Waste type 2]],WasteLandfillEmissions[#All],3,FALSE))*Calculations[[#This Row],[Total Kg]]*VLOOKUP(Calculations[[#This Row],[Waste 1]],WasteScenario[#All],4,FALSE),0)</f>
        <v>0</v>
      </c>
      <c r="AE864" s="322">
        <f>SUM(Calculations[[#This Row],[C4 landfill]:[C4 re-use]])</f>
        <v>0</v>
      </c>
      <c r="AF864" s="322">
        <f>IFERROR(VLOOKUP(Calculations[[#This Row],[Material (choose from dropdown]],MaterialData[#All],8,FALSE),0)</f>
        <v>0</v>
      </c>
      <c r="AG864" s="322">
        <f>IFERROR(Calculations[[#This Row],[Total Kg]]*Calculations[[#This Row],[Seq factor]],0)</f>
        <v>0</v>
      </c>
      <c r="AI864" s="322">
        <f>Calculations[[#This Row],[A1-3]]+Calculations[[#This Row],[A4]]+Calculations[[#This Row],[A5]]+Calculations[[#This Row],[B4]]+Calculations[[#This Row],[C2 total]]+Calculations[[#This Row],[C3 total]]+Calculations[[#This Row],[C4 total]]</f>
        <v>0</v>
      </c>
      <c r="AJ864" s="2">
        <f>IFERROR(VLOOKUP(Calculations[[#This Row],[Material (choose from dropdown]],MaterialData[[#Headers],[#Data]],9,FALSE),0)</f>
        <v>0</v>
      </c>
      <c r="AK864" s="4">
        <f>IFERROR(VLOOKUP(Calculations[[#This Row],[Material (choose from dropdown]],MaterialData[[#Headers],[#Data]],10,FALSE),0)</f>
        <v>0</v>
      </c>
      <c r="AL864" s="322">
        <f>IFERROR(Calculations[[#This Row],[Data Quality Score]]*Calculations[[#This Row],[Total Kg]],0)</f>
        <v>0</v>
      </c>
    </row>
    <row r="865" spans="1:38" x14ac:dyDescent="0.3">
      <c r="A865" s="6">
        <f>IFERROR(MaterialsBoQ[[#This Row],[Scope Element]],0)</f>
        <v>0</v>
      </c>
      <c r="B865" t="str">
        <f>IFERROR(MaterialsBoQ[[#This Row],[Material ]],"")</f>
        <v/>
      </c>
      <c r="C865" t="str">
        <f>IFERROR(MaterialsBoQ[[#This Row],[Unit]],"")</f>
        <v/>
      </c>
      <c r="D865" s="322">
        <f>IFERROR(MaterialsBoQ[[#This Row],[Number]],0)</f>
        <v>0</v>
      </c>
      <c r="E865" s="322">
        <f>IFERROR(MaterialsBoQ[[#This Row],[Kg per unit]],0)</f>
        <v>0</v>
      </c>
      <c r="F865" s="322">
        <f>IFERROR(Calculations[[#This Row],[Number]]*Calculations[[#This Row],[Conversion factor]],0)</f>
        <v>0</v>
      </c>
      <c r="G865" s="322">
        <f>IFERROR(VLOOKUP(Calculations[[#This Row],[Material (choose from dropdown]],MaterialData[#All],7,FALSE),0)</f>
        <v>0</v>
      </c>
      <c r="H865" s="322">
        <f>Calculations[[#This Row],[Total Kg]]*Calculations[[#This Row],[Carbon Factor]]</f>
        <v>0</v>
      </c>
      <c r="I865" t="str">
        <f>IFERROR(VLOOKUP(Calculations[[#This Row],[Material (choose from dropdown]],MaterialData[#All],2,FALSE),"")</f>
        <v/>
      </c>
      <c r="J865" s="322">
        <f>IFERROR(((VLOOKUP(Calculations[[#This Row],[TransportSource]],TransportDistance[],2,FALSE)*'Stage assumptions'!$C$11)+VLOOKUP(Calculations[[#This Row],[TransportSource]],TransportDistance[],3,FALSE)*'Stage assumptions'!$C$12)*Calculations[[#This Row],[Total Kg]],0)</f>
        <v>0</v>
      </c>
      <c r="K865">
        <f>IFERROR(VLOOKUP(Calculations[[#This Row],[Material (choose from dropdown]], MaterialData[#All],3, FALSE),0)</f>
        <v>0</v>
      </c>
      <c r="L865" s="322">
        <f>IFERROR(VLOOKUP(Calculations[[#This Row],[A5type]],A5WastageRate[#All],2,FALSE)*Calculations[[#This Row],[A1-3]],0)</f>
        <v>0</v>
      </c>
      <c r="N865">
        <f>IFERROR(ROUNDUP(50/VLOOKUP(Calculations[[#This Row],[Scope Element]],B4referenceServiceLife[[Tier 2 element]:[Default Service Life]],2, FALSE)-1,0),0)</f>
        <v>0</v>
      </c>
      <c r="O865" s="322">
        <f>IFERROR((Calculations[[#This Row],[A1-3]]+Calculations[[#This Row],[A4]]+Calculations[[#This Row],[A5]]+Calculations[[#This Row],[C2 total]]+Calculations[[#This Row],[C3 total]]+Calculations[[#This Row],[C4 total]])*Calculations[[#This Row],[Replacements]],0)</f>
        <v>0</v>
      </c>
      <c r="S865" t="str">
        <f>IFERROR(VLOOKUP(Calculations[[#This Row],[Material (choose from dropdown]],MaterialData[#All],4,FALSE),"")</f>
        <v/>
      </c>
      <c r="T865" s="322" cm="1">
        <f t="array" ref="T865">IFERROR(VLOOKUP(Calculations[[#This Row],[Waste 1]],WasteScenario[#All],2,FALSE)*'Stage assumptions'!$C$225*WasteTransportMethod[Emissions Factor
kgCO2e/kg.km]*Calculations[[#This Row],[Total Kg]],0)</f>
        <v>0</v>
      </c>
      <c r="U865" s="322" cm="1">
        <f t="array" ref="U865">IFERROR(VLOOKUP(Calculations[[#This Row],[Waste 1]],WasteScenario[#All],3,FALSE)*'Stage assumptions'!$C$224*WasteTransportMethod[Emissions Factor
kgCO2e/kg.km]*Calculations[[#This Row],[Total Kg]],0)</f>
        <v>0</v>
      </c>
      <c r="V865" s="322" cm="1">
        <f t="array" ref="V865">IFERROR(VLOOKUP(Calculations[[#This Row],[Waste 1]],WasteScenario[#All],4,FALSE)*'Stage assumptions'!$C$223*WasteTransportMethod[Emissions Factor
kgCO2e/kg.km]*Calculations[[#This Row],[Total Kg]],0)</f>
        <v>0</v>
      </c>
      <c r="W865" s="322" cm="1">
        <f t="array" ref="W865">IFERROR(VLOOKUP(Calculations[[#This Row],[Waste 1]],WasteScenario[#All],5,FALSE)*'Stage assumptions'!$C$226*WasteTransportMethod[Emissions Factor
kgCO2e/kg.km]*Calculations[[#This Row],[Total Kg]],0)</f>
        <v>0</v>
      </c>
      <c r="X865" s="322">
        <f>SUM(Calculations[[#This Row],[C2 Recycle]:[C2 Reuse]])</f>
        <v>0</v>
      </c>
      <c r="Y865" t="str">
        <f>IFERROR(VLOOKUP(Calculations[[#This Row],[Material (choose from dropdown]],MaterialData[#All],5,FALSE),"")</f>
        <v/>
      </c>
      <c r="Z865" s="322">
        <f>IFERROR(((VLOOKUP(Calculations[[#This Row],[Waste type 2]],WasteDisposalEmissions[#All],2,FALSE))*Calculations[[#This Row],[Total Kg]])*VLOOKUP(Calculations[[#This Row],[Waste 1]],WasteScenario[#All],2,FALSE),0)</f>
        <v>0</v>
      </c>
      <c r="AA865" s="322">
        <f>IFERROR((VLOOKUP(Calculations[[#This Row],[Waste type 2]],WasteDisposalEmissions[#All],3,FALSE))*Calculations[[#This Row],[Total Kg]]*VLOOKUP(Calculations[[#This Row],[Waste 1]],WasteScenario[#All],3,FALSE),0)</f>
        <v>0</v>
      </c>
      <c r="AB865" s="322">
        <f>SUM(Calculations[[#This Row],[C3 recyc]:[C3 incin]])</f>
        <v>0</v>
      </c>
      <c r="AC865" s="334">
        <f>IFERROR((VLOOKUP(Calculations[[#This Row],[Waste type 2]],WasteLandfillEmissions[#All],2,FALSE))*Calculations[[#This Row],[Total Kg]]*VLOOKUP(Calculations[[#This Row],[Waste 1]],WasteScenario[#All],4,FALSE),0)</f>
        <v>0</v>
      </c>
      <c r="AD865" s="322">
        <f>IFERROR((VLOOKUP(Calculations[[#This Row],[Waste type 2]],WasteLandfillEmissions[#All],3,FALSE))*Calculations[[#This Row],[Total Kg]]*VLOOKUP(Calculations[[#This Row],[Waste 1]],WasteScenario[#All],4,FALSE),0)</f>
        <v>0</v>
      </c>
      <c r="AE865" s="322">
        <f>SUM(Calculations[[#This Row],[C4 landfill]:[C4 re-use]])</f>
        <v>0</v>
      </c>
      <c r="AF865" s="322">
        <f>IFERROR(VLOOKUP(Calculations[[#This Row],[Material (choose from dropdown]],MaterialData[#All],8,FALSE),0)</f>
        <v>0</v>
      </c>
      <c r="AG865" s="322">
        <f>IFERROR(Calculations[[#This Row],[Total Kg]]*Calculations[[#This Row],[Seq factor]],0)</f>
        <v>0</v>
      </c>
      <c r="AI865" s="322">
        <f>Calculations[[#This Row],[A1-3]]+Calculations[[#This Row],[A4]]+Calculations[[#This Row],[A5]]+Calculations[[#This Row],[B4]]+Calculations[[#This Row],[C2 total]]+Calculations[[#This Row],[C3 total]]+Calculations[[#This Row],[C4 total]]</f>
        <v>0</v>
      </c>
      <c r="AJ865" s="2">
        <f>IFERROR(VLOOKUP(Calculations[[#This Row],[Material (choose from dropdown]],MaterialData[[#Headers],[#Data]],9,FALSE),0)</f>
        <v>0</v>
      </c>
      <c r="AK865" s="4">
        <f>IFERROR(VLOOKUP(Calculations[[#This Row],[Material (choose from dropdown]],MaterialData[[#Headers],[#Data]],10,FALSE),0)</f>
        <v>0</v>
      </c>
      <c r="AL865" s="322">
        <f>IFERROR(Calculations[[#This Row],[Data Quality Score]]*Calculations[[#This Row],[Total Kg]],0)</f>
        <v>0</v>
      </c>
    </row>
    <row r="866" spans="1:38" x14ac:dyDescent="0.3">
      <c r="A866" s="6">
        <f>IFERROR(MaterialsBoQ[[#This Row],[Scope Element]],0)</f>
        <v>0</v>
      </c>
      <c r="B866" t="str">
        <f>IFERROR(MaterialsBoQ[[#This Row],[Material ]],"")</f>
        <v/>
      </c>
      <c r="C866" t="str">
        <f>IFERROR(MaterialsBoQ[[#This Row],[Unit]],"")</f>
        <v/>
      </c>
      <c r="D866" s="322">
        <f>IFERROR(MaterialsBoQ[[#This Row],[Number]],0)</f>
        <v>0</v>
      </c>
      <c r="E866" s="322">
        <f>IFERROR(MaterialsBoQ[[#This Row],[Kg per unit]],0)</f>
        <v>0</v>
      </c>
      <c r="F866" s="322">
        <f>IFERROR(Calculations[[#This Row],[Number]]*Calculations[[#This Row],[Conversion factor]],0)</f>
        <v>0</v>
      </c>
      <c r="G866" s="322">
        <f>IFERROR(VLOOKUP(Calculations[[#This Row],[Material (choose from dropdown]],MaterialData[#All],7,FALSE),0)</f>
        <v>0</v>
      </c>
      <c r="H866" s="322">
        <f>Calculations[[#This Row],[Total Kg]]*Calculations[[#This Row],[Carbon Factor]]</f>
        <v>0</v>
      </c>
      <c r="I866" t="str">
        <f>IFERROR(VLOOKUP(Calculations[[#This Row],[Material (choose from dropdown]],MaterialData[#All],2,FALSE),"")</f>
        <v/>
      </c>
      <c r="J866" s="322">
        <f>IFERROR(((VLOOKUP(Calculations[[#This Row],[TransportSource]],TransportDistance[],2,FALSE)*'Stage assumptions'!$C$11)+VLOOKUP(Calculations[[#This Row],[TransportSource]],TransportDistance[],3,FALSE)*'Stage assumptions'!$C$12)*Calculations[[#This Row],[Total Kg]],0)</f>
        <v>0</v>
      </c>
      <c r="K866">
        <f>IFERROR(VLOOKUP(Calculations[[#This Row],[Material (choose from dropdown]], MaterialData[#All],3, FALSE),0)</f>
        <v>0</v>
      </c>
      <c r="L866" s="322">
        <f>IFERROR(VLOOKUP(Calculations[[#This Row],[A5type]],A5WastageRate[#All],2,FALSE)*Calculations[[#This Row],[A1-3]],0)</f>
        <v>0</v>
      </c>
      <c r="N866">
        <f>IFERROR(ROUNDUP(50/VLOOKUP(Calculations[[#This Row],[Scope Element]],B4referenceServiceLife[[Tier 2 element]:[Default Service Life]],2, FALSE)-1,0),0)</f>
        <v>0</v>
      </c>
      <c r="O866" s="322">
        <f>IFERROR((Calculations[[#This Row],[A1-3]]+Calculations[[#This Row],[A4]]+Calculations[[#This Row],[A5]]+Calculations[[#This Row],[C2 total]]+Calculations[[#This Row],[C3 total]]+Calculations[[#This Row],[C4 total]])*Calculations[[#This Row],[Replacements]],0)</f>
        <v>0</v>
      </c>
      <c r="S866" t="str">
        <f>IFERROR(VLOOKUP(Calculations[[#This Row],[Material (choose from dropdown]],MaterialData[#All],4,FALSE),"")</f>
        <v/>
      </c>
      <c r="T866" s="322" cm="1">
        <f t="array" ref="T866">IFERROR(VLOOKUP(Calculations[[#This Row],[Waste 1]],WasteScenario[#All],2,FALSE)*'Stage assumptions'!$C$225*WasteTransportMethod[Emissions Factor
kgCO2e/kg.km]*Calculations[[#This Row],[Total Kg]],0)</f>
        <v>0</v>
      </c>
      <c r="U866" s="322" cm="1">
        <f t="array" ref="U866">IFERROR(VLOOKUP(Calculations[[#This Row],[Waste 1]],WasteScenario[#All],3,FALSE)*'Stage assumptions'!$C$224*WasteTransportMethod[Emissions Factor
kgCO2e/kg.km]*Calculations[[#This Row],[Total Kg]],0)</f>
        <v>0</v>
      </c>
      <c r="V866" s="322" cm="1">
        <f t="array" ref="V866">IFERROR(VLOOKUP(Calculations[[#This Row],[Waste 1]],WasteScenario[#All],4,FALSE)*'Stage assumptions'!$C$223*WasteTransportMethod[Emissions Factor
kgCO2e/kg.km]*Calculations[[#This Row],[Total Kg]],0)</f>
        <v>0</v>
      </c>
      <c r="W866" s="322" cm="1">
        <f t="array" ref="W866">IFERROR(VLOOKUP(Calculations[[#This Row],[Waste 1]],WasteScenario[#All],5,FALSE)*'Stage assumptions'!$C$226*WasteTransportMethod[Emissions Factor
kgCO2e/kg.km]*Calculations[[#This Row],[Total Kg]],0)</f>
        <v>0</v>
      </c>
      <c r="X866" s="322">
        <f>SUM(Calculations[[#This Row],[C2 Recycle]:[C2 Reuse]])</f>
        <v>0</v>
      </c>
      <c r="Y866" t="str">
        <f>IFERROR(VLOOKUP(Calculations[[#This Row],[Material (choose from dropdown]],MaterialData[#All],5,FALSE),"")</f>
        <v/>
      </c>
      <c r="Z866" s="322">
        <f>IFERROR(((VLOOKUP(Calculations[[#This Row],[Waste type 2]],WasteDisposalEmissions[#All],2,FALSE))*Calculations[[#This Row],[Total Kg]])*VLOOKUP(Calculations[[#This Row],[Waste 1]],WasteScenario[#All],2,FALSE),0)</f>
        <v>0</v>
      </c>
      <c r="AA866" s="322">
        <f>IFERROR((VLOOKUP(Calculations[[#This Row],[Waste type 2]],WasteDisposalEmissions[#All],3,FALSE))*Calculations[[#This Row],[Total Kg]]*VLOOKUP(Calculations[[#This Row],[Waste 1]],WasteScenario[#All],3,FALSE),0)</f>
        <v>0</v>
      </c>
      <c r="AB866" s="322">
        <f>SUM(Calculations[[#This Row],[C3 recyc]:[C3 incin]])</f>
        <v>0</v>
      </c>
      <c r="AC866" s="334">
        <f>IFERROR((VLOOKUP(Calculations[[#This Row],[Waste type 2]],WasteLandfillEmissions[#All],2,FALSE))*Calculations[[#This Row],[Total Kg]]*VLOOKUP(Calculations[[#This Row],[Waste 1]],WasteScenario[#All],4,FALSE),0)</f>
        <v>0</v>
      </c>
      <c r="AD866" s="322">
        <f>IFERROR((VLOOKUP(Calculations[[#This Row],[Waste type 2]],WasteLandfillEmissions[#All],3,FALSE))*Calculations[[#This Row],[Total Kg]]*VLOOKUP(Calculations[[#This Row],[Waste 1]],WasteScenario[#All],4,FALSE),0)</f>
        <v>0</v>
      </c>
      <c r="AE866" s="322">
        <f>SUM(Calculations[[#This Row],[C4 landfill]:[C4 re-use]])</f>
        <v>0</v>
      </c>
      <c r="AF866" s="322">
        <f>IFERROR(VLOOKUP(Calculations[[#This Row],[Material (choose from dropdown]],MaterialData[#All],8,FALSE),0)</f>
        <v>0</v>
      </c>
      <c r="AG866" s="322">
        <f>IFERROR(Calculations[[#This Row],[Total Kg]]*Calculations[[#This Row],[Seq factor]],0)</f>
        <v>0</v>
      </c>
      <c r="AI866" s="322">
        <f>Calculations[[#This Row],[A1-3]]+Calculations[[#This Row],[A4]]+Calculations[[#This Row],[A5]]+Calculations[[#This Row],[B4]]+Calculations[[#This Row],[C2 total]]+Calculations[[#This Row],[C3 total]]+Calculations[[#This Row],[C4 total]]</f>
        <v>0</v>
      </c>
      <c r="AJ866" s="2">
        <f>IFERROR(VLOOKUP(Calculations[[#This Row],[Material (choose from dropdown]],MaterialData[[#Headers],[#Data]],9,FALSE),0)</f>
        <v>0</v>
      </c>
      <c r="AK866" s="4">
        <f>IFERROR(VLOOKUP(Calculations[[#This Row],[Material (choose from dropdown]],MaterialData[[#Headers],[#Data]],10,FALSE),0)</f>
        <v>0</v>
      </c>
      <c r="AL866" s="322">
        <f>IFERROR(Calculations[[#This Row],[Data Quality Score]]*Calculations[[#This Row],[Total Kg]],0)</f>
        <v>0</v>
      </c>
    </row>
    <row r="867" spans="1:38" x14ac:dyDescent="0.3">
      <c r="A867" s="6">
        <f>IFERROR(MaterialsBoQ[[#This Row],[Scope Element]],0)</f>
        <v>0</v>
      </c>
      <c r="B867" t="str">
        <f>IFERROR(MaterialsBoQ[[#This Row],[Material ]],"")</f>
        <v/>
      </c>
      <c r="C867" t="str">
        <f>IFERROR(MaterialsBoQ[[#This Row],[Unit]],"")</f>
        <v/>
      </c>
      <c r="D867" s="322">
        <f>IFERROR(MaterialsBoQ[[#This Row],[Number]],0)</f>
        <v>0</v>
      </c>
      <c r="E867" s="322">
        <f>IFERROR(MaterialsBoQ[[#This Row],[Kg per unit]],0)</f>
        <v>0</v>
      </c>
      <c r="F867" s="322">
        <f>IFERROR(Calculations[[#This Row],[Number]]*Calculations[[#This Row],[Conversion factor]],0)</f>
        <v>0</v>
      </c>
      <c r="G867" s="322">
        <f>IFERROR(VLOOKUP(Calculations[[#This Row],[Material (choose from dropdown]],MaterialData[#All],7,FALSE),0)</f>
        <v>0</v>
      </c>
      <c r="H867" s="322">
        <f>Calculations[[#This Row],[Total Kg]]*Calculations[[#This Row],[Carbon Factor]]</f>
        <v>0</v>
      </c>
      <c r="I867" t="str">
        <f>IFERROR(VLOOKUP(Calculations[[#This Row],[Material (choose from dropdown]],MaterialData[#All],2,FALSE),"")</f>
        <v/>
      </c>
      <c r="J867" s="322">
        <f>IFERROR(((VLOOKUP(Calculations[[#This Row],[TransportSource]],TransportDistance[],2,FALSE)*'Stage assumptions'!$C$11)+VLOOKUP(Calculations[[#This Row],[TransportSource]],TransportDistance[],3,FALSE)*'Stage assumptions'!$C$12)*Calculations[[#This Row],[Total Kg]],0)</f>
        <v>0</v>
      </c>
      <c r="K867">
        <f>IFERROR(VLOOKUP(Calculations[[#This Row],[Material (choose from dropdown]], MaterialData[#All],3, FALSE),0)</f>
        <v>0</v>
      </c>
      <c r="L867" s="322">
        <f>IFERROR(VLOOKUP(Calculations[[#This Row],[A5type]],A5WastageRate[#All],2,FALSE)*Calculations[[#This Row],[A1-3]],0)</f>
        <v>0</v>
      </c>
      <c r="N867">
        <f>IFERROR(ROUNDUP(50/VLOOKUP(Calculations[[#This Row],[Scope Element]],B4referenceServiceLife[[Tier 2 element]:[Default Service Life]],2, FALSE)-1,0),0)</f>
        <v>0</v>
      </c>
      <c r="O867" s="322">
        <f>IFERROR((Calculations[[#This Row],[A1-3]]+Calculations[[#This Row],[A4]]+Calculations[[#This Row],[A5]]+Calculations[[#This Row],[C2 total]]+Calculations[[#This Row],[C3 total]]+Calculations[[#This Row],[C4 total]])*Calculations[[#This Row],[Replacements]],0)</f>
        <v>0</v>
      </c>
      <c r="S867" t="str">
        <f>IFERROR(VLOOKUP(Calculations[[#This Row],[Material (choose from dropdown]],MaterialData[#All],4,FALSE),"")</f>
        <v/>
      </c>
      <c r="T867" s="322" cm="1">
        <f t="array" ref="T867">IFERROR(VLOOKUP(Calculations[[#This Row],[Waste 1]],WasteScenario[#All],2,FALSE)*'Stage assumptions'!$C$225*WasteTransportMethod[Emissions Factor
kgCO2e/kg.km]*Calculations[[#This Row],[Total Kg]],0)</f>
        <v>0</v>
      </c>
      <c r="U867" s="322" cm="1">
        <f t="array" ref="U867">IFERROR(VLOOKUP(Calculations[[#This Row],[Waste 1]],WasteScenario[#All],3,FALSE)*'Stage assumptions'!$C$224*WasteTransportMethod[Emissions Factor
kgCO2e/kg.km]*Calculations[[#This Row],[Total Kg]],0)</f>
        <v>0</v>
      </c>
      <c r="V867" s="322" cm="1">
        <f t="array" ref="V867">IFERROR(VLOOKUP(Calculations[[#This Row],[Waste 1]],WasteScenario[#All],4,FALSE)*'Stage assumptions'!$C$223*WasteTransportMethod[Emissions Factor
kgCO2e/kg.km]*Calculations[[#This Row],[Total Kg]],0)</f>
        <v>0</v>
      </c>
      <c r="W867" s="322" cm="1">
        <f t="array" ref="W867">IFERROR(VLOOKUP(Calculations[[#This Row],[Waste 1]],WasteScenario[#All],5,FALSE)*'Stage assumptions'!$C$226*WasteTransportMethod[Emissions Factor
kgCO2e/kg.km]*Calculations[[#This Row],[Total Kg]],0)</f>
        <v>0</v>
      </c>
      <c r="X867" s="322">
        <f>SUM(Calculations[[#This Row],[C2 Recycle]:[C2 Reuse]])</f>
        <v>0</v>
      </c>
      <c r="Y867" t="str">
        <f>IFERROR(VLOOKUP(Calculations[[#This Row],[Material (choose from dropdown]],MaterialData[#All],5,FALSE),"")</f>
        <v/>
      </c>
      <c r="Z867" s="322">
        <f>IFERROR(((VLOOKUP(Calculations[[#This Row],[Waste type 2]],WasteDisposalEmissions[#All],2,FALSE))*Calculations[[#This Row],[Total Kg]])*VLOOKUP(Calculations[[#This Row],[Waste 1]],WasteScenario[#All],2,FALSE),0)</f>
        <v>0</v>
      </c>
      <c r="AA867" s="322">
        <f>IFERROR((VLOOKUP(Calculations[[#This Row],[Waste type 2]],WasteDisposalEmissions[#All],3,FALSE))*Calculations[[#This Row],[Total Kg]]*VLOOKUP(Calculations[[#This Row],[Waste 1]],WasteScenario[#All],3,FALSE),0)</f>
        <v>0</v>
      </c>
      <c r="AB867" s="322">
        <f>SUM(Calculations[[#This Row],[C3 recyc]:[C3 incin]])</f>
        <v>0</v>
      </c>
      <c r="AC867" s="334">
        <f>IFERROR((VLOOKUP(Calculations[[#This Row],[Waste type 2]],WasteLandfillEmissions[#All],2,FALSE))*Calculations[[#This Row],[Total Kg]]*VLOOKUP(Calculations[[#This Row],[Waste 1]],WasteScenario[#All],4,FALSE),0)</f>
        <v>0</v>
      </c>
      <c r="AD867" s="322">
        <f>IFERROR((VLOOKUP(Calculations[[#This Row],[Waste type 2]],WasteLandfillEmissions[#All],3,FALSE))*Calculations[[#This Row],[Total Kg]]*VLOOKUP(Calculations[[#This Row],[Waste 1]],WasteScenario[#All],4,FALSE),0)</f>
        <v>0</v>
      </c>
      <c r="AE867" s="322">
        <f>SUM(Calculations[[#This Row],[C4 landfill]:[C4 re-use]])</f>
        <v>0</v>
      </c>
      <c r="AF867" s="322">
        <f>IFERROR(VLOOKUP(Calculations[[#This Row],[Material (choose from dropdown]],MaterialData[#All],8,FALSE),0)</f>
        <v>0</v>
      </c>
      <c r="AG867" s="322">
        <f>IFERROR(Calculations[[#This Row],[Total Kg]]*Calculations[[#This Row],[Seq factor]],0)</f>
        <v>0</v>
      </c>
      <c r="AI867" s="322">
        <f>Calculations[[#This Row],[A1-3]]+Calculations[[#This Row],[A4]]+Calculations[[#This Row],[A5]]+Calculations[[#This Row],[B4]]+Calculations[[#This Row],[C2 total]]+Calculations[[#This Row],[C3 total]]+Calculations[[#This Row],[C4 total]]</f>
        <v>0</v>
      </c>
      <c r="AJ867" s="2">
        <f>IFERROR(VLOOKUP(Calculations[[#This Row],[Material (choose from dropdown]],MaterialData[[#Headers],[#Data]],9,FALSE),0)</f>
        <v>0</v>
      </c>
      <c r="AK867" s="4">
        <f>IFERROR(VLOOKUP(Calculations[[#This Row],[Material (choose from dropdown]],MaterialData[[#Headers],[#Data]],10,FALSE),0)</f>
        <v>0</v>
      </c>
      <c r="AL867" s="322">
        <f>IFERROR(Calculations[[#This Row],[Data Quality Score]]*Calculations[[#This Row],[Total Kg]],0)</f>
        <v>0</v>
      </c>
    </row>
    <row r="868" spans="1:38" x14ac:dyDescent="0.3">
      <c r="A868" s="6">
        <f>IFERROR(MaterialsBoQ[[#This Row],[Scope Element]],0)</f>
        <v>0</v>
      </c>
      <c r="B868" t="str">
        <f>IFERROR(MaterialsBoQ[[#This Row],[Material ]],"")</f>
        <v/>
      </c>
      <c r="C868" t="str">
        <f>IFERROR(MaterialsBoQ[[#This Row],[Unit]],"")</f>
        <v/>
      </c>
      <c r="D868" s="322">
        <f>IFERROR(MaterialsBoQ[[#This Row],[Number]],0)</f>
        <v>0</v>
      </c>
      <c r="E868" s="322">
        <f>IFERROR(MaterialsBoQ[[#This Row],[Kg per unit]],0)</f>
        <v>0</v>
      </c>
      <c r="F868" s="322">
        <f>IFERROR(Calculations[[#This Row],[Number]]*Calculations[[#This Row],[Conversion factor]],0)</f>
        <v>0</v>
      </c>
      <c r="G868" s="322">
        <f>IFERROR(VLOOKUP(Calculations[[#This Row],[Material (choose from dropdown]],MaterialData[#All],7,FALSE),0)</f>
        <v>0</v>
      </c>
      <c r="H868" s="322">
        <f>Calculations[[#This Row],[Total Kg]]*Calculations[[#This Row],[Carbon Factor]]</f>
        <v>0</v>
      </c>
      <c r="I868" t="str">
        <f>IFERROR(VLOOKUP(Calculations[[#This Row],[Material (choose from dropdown]],MaterialData[#All],2,FALSE),"")</f>
        <v/>
      </c>
      <c r="J868" s="322">
        <f>IFERROR(((VLOOKUP(Calculations[[#This Row],[TransportSource]],TransportDistance[],2,FALSE)*'Stage assumptions'!$C$11)+VLOOKUP(Calculations[[#This Row],[TransportSource]],TransportDistance[],3,FALSE)*'Stage assumptions'!$C$12)*Calculations[[#This Row],[Total Kg]],0)</f>
        <v>0</v>
      </c>
      <c r="K868">
        <f>IFERROR(VLOOKUP(Calculations[[#This Row],[Material (choose from dropdown]], MaterialData[#All],3, FALSE),0)</f>
        <v>0</v>
      </c>
      <c r="L868" s="322">
        <f>IFERROR(VLOOKUP(Calculations[[#This Row],[A5type]],A5WastageRate[#All],2,FALSE)*Calculations[[#This Row],[A1-3]],0)</f>
        <v>0</v>
      </c>
      <c r="N868">
        <f>IFERROR(ROUNDUP(50/VLOOKUP(Calculations[[#This Row],[Scope Element]],B4referenceServiceLife[[Tier 2 element]:[Default Service Life]],2, FALSE)-1,0),0)</f>
        <v>0</v>
      </c>
      <c r="O868" s="322">
        <f>IFERROR((Calculations[[#This Row],[A1-3]]+Calculations[[#This Row],[A4]]+Calculations[[#This Row],[A5]]+Calculations[[#This Row],[C2 total]]+Calculations[[#This Row],[C3 total]]+Calculations[[#This Row],[C4 total]])*Calculations[[#This Row],[Replacements]],0)</f>
        <v>0</v>
      </c>
      <c r="S868" t="str">
        <f>IFERROR(VLOOKUP(Calculations[[#This Row],[Material (choose from dropdown]],MaterialData[#All],4,FALSE),"")</f>
        <v/>
      </c>
      <c r="T868" s="322" cm="1">
        <f t="array" ref="T868">IFERROR(VLOOKUP(Calculations[[#This Row],[Waste 1]],WasteScenario[#All],2,FALSE)*'Stage assumptions'!$C$225*WasteTransportMethod[Emissions Factor
kgCO2e/kg.km]*Calculations[[#This Row],[Total Kg]],0)</f>
        <v>0</v>
      </c>
      <c r="U868" s="322" cm="1">
        <f t="array" ref="U868">IFERROR(VLOOKUP(Calculations[[#This Row],[Waste 1]],WasteScenario[#All],3,FALSE)*'Stage assumptions'!$C$224*WasteTransportMethod[Emissions Factor
kgCO2e/kg.km]*Calculations[[#This Row],[Total Kg]],0)</f>
        <v>0</v>
      </c>
      <c r="V868" s="322" cm="1">
        <f t="array" ref="V868">IFERROR(VLOOKUP(Calculations[[#This Row],[Waste 1]],WasteScenario[#All],4,FALSE)*'Stage assumptions'!$C$223*WasteTransportMethod[Emissions Factor
kgCO2e/kg.km]*Calculations[[#This Row],[Total Kg]],0)</f>
        <v>0</v>
      </c>
      <c r="W868" s="322" cm="1">
        <f t="array" ref="W868">IFERROR(VLOOKUP(Calculations[[#This Row],[Waste 1]],WasteScenario[#All],5,FALSE)*'Stage assumptions'!$C$226*WasteTransportMethod[Emissions Factor
kgCO2e/kg.km]*Calculations[[#This Row],[Total Kg]],0)</f>
        <v>0</v>
      </c>
      <c r="X868" s="322">
        <f>SUM(Calculations[[#This Row],[C2 Recycle]:[C2 Reuse]])</f>
        <v>0</v>
      </c>
      <c r="Y868" t="str">
        <f>IFERROR(VLOOKUP(Calculations[[#This Row],[Material (choose from dropdown]],MaterialData[#All],5,FALSE),"")</f>
        <v/>
      </c>
      <c r="Z868" s="322">
        <f>IFERROR(((VLOOKUP(Calculations[[#This Row],[Waste type 2]],WasteDisposalEmissions[#All],2,FALSE))*Calculations[[#This Row],[Total Kg]])*VLOOKUP(Calculations[[#This Row],[Waste 1]],WasteScenario[#All],2,FALSE),0)</f>
        <v>0</v>
      </c>
      <c r="AA868" s="322">
        <f>IFERROR((VLOOKUP(Calculations[[#This Row],[Waste type 2]],WasteDisposalEmissions[#All],3,FALSE))*Calculations[[#This Row],[Total Kg]]*VLOOKUP(Calculations[[#This Row],[Waste 1]],WasteScenario[#All],3,FALSE),0)</f>
        <v>0</v>
      </c>
      <c r="AB868" s="322">
        <f>SUM(Calculations[[#This Row],[C3 recyc]:[C3 incin]])</f>
        <v>0</v>
      </c>
      <c r="AC868" s="334">
        <f>IFERROR((VLOOKUP(Calculations[[#This Row],[Waste type 2]],WasteLandfillEmissions[#All],2,FALSE))*Calculations[[#This Row],[Total Kg]]*VLOOKUP(Calculations[[#This Row],[Waste 1]],WasteScenario[#All],4,FALSE),0)</f>
        <v>0</v>
      </c>
      <c r="AD868" s="322">
        <f>IFERROR((VLOOKUP(Calculations[[#This Row],[Waste type 2]],WasteLandfillEmissions[#All],3,FALSE))*Calculations[[#This Row],[Total Kg]]*VLOOKUP(Calculations[[#This Row],[Waste 1]],WasteScenario[#All],4,FALSE),0)</f>
        <v>0</v>
      </c>
      <c r="AE868" s="322">
        <f>SUM(Calculations[[#This Row],[C4 landfill]:[C4 re-use]])</f>
        <v>0</v>
      </c>
      <c r="AF868" s="322">
        <f>IFERROR(VLOOKUP(Calculations[[#This Row],[Material (choose from dropdown]],MaterialData[#All],8,FALSE),0)</f>
        <v>0</v>
      </c>
      <c r="AG868" s="322">
        <f>IFERROR(Calculations[[#This Row],[Total Kg]]*Calculations[[#This Row],[Seq factor]],0)</f>
        <v>0</v>
      </c>
      <c r="AI868" s="322">
        <f>Calculations[[#This Row],[A1-3]]+Calculations[[#This Row],[A4]]+Calculations[[#This Row],[A5]]+Calculations[[#This Row],[B4]]+Calculations[[#This Row],[C2 total]]+Calculations[[#This Row],[C3 total]]+Calculations[[#This Row],[C4 total]]</f>
        <v>0</v>
      </c>
      <c r="AJ868" s="2">
        <f>IFERROR(VLOOKUP(Calculations[[#This Row],[Material (choose from dropdown]],MaterialData[[#Headers],[#Data]],9,FALSE),0)</f>
        <v>0</v>
      </c>
      <c r="AK868" s="4">
        <f>IFERROR(VLOOKUP(Calculations[[#This Row],[Material (choose from dropdown]],MaterialData[[#Headers],[#Data]],10,FALSE),0)</f>
        <v>0</v>
      </c>
      <c r="AL868" s="322">
        <f>IFERROR(Calculations[[#This Row],[Data Quality Score]]*Calculations[[#This Row],[Total Kg]],0)</f>
        <v>0</v>
      </c>
    </row>
    <row r="869" spans="1:38" x14ac:dyDescent="0.3">
      <c r="A869" s="6">
        <f>IFERROR(MaterialsBoQ[[#This Row],[Scope Element]],0)</f>
        <v>0</v>
      </c>
      <c r="B869" t="str">
        <f>IFERROR(MaterialsBoQ[[#This Row],[Material ]],"")</f>
        <v/>
      </c>
      <c r="C869" t="str">
        <f>IFERROR(MaterialsBoQ[[#This Row],[Unit]],"")</f>
        <v/>
      </c>
      <c r="D869" s="322">
        <f>IFERROR(MaterialsBoQ[[#This Row],[Number]],0)</f>
        <v>0</v>
      </c>
      <c r="E869" s="322">
        <f>IFERROR(MaterialsBoQ[[#This Row],[Kg per unit]],0)</f>
        <v>0</v>
      </c>
      <c r="F869" s="322">
        <f>IFERROR(Calculations[[#This Row],[Number]]*Calculations[[#This Row],[Conversion factor]],0)</f>
        <v>0</v>
      </c>
      <c r="G869" s="322">
        <f>IFERROR(VLOOKUP(Calculations[[#This Row],[Material (choose from dropdown]],MaterialData[#All],7,FALSE),0)</f>
        <v>0</v>
      </c>
      <c r="H869" s="322">
        <f>Calculations[[#This Row],[Total Kg]]*Calculations[[#This Row],[Carbon Factor]]</f>
        <v>0</v>
      </c>
      <c r="I869" t="str">
        <f>IFERROR(VLOOKUP(Calculations[[#This Row],[Material (choose from dropdown]],MaterialData[#All],2,FALSE),"")</f>
        <v/>
      </c>
      <c r="J869" s="322">
        <f>IFERROR(((VLOOKUP(Calculations[[#This Row],[TransportSource]],TransportDistance[],2,FALSE)*'Stage assumptions'!$C$11)+VLOOKUP(Calculations[[#This Row],[TransportSource]],TransportDistance[],3,FALSE)*'Stage assumptions'!$C$12)*Calculations[[#This Row],[Total Kg]],0)</f>
        <v>0</v>
      </c>
      <c r="K869">
        <f>IFERROR(VLOOKUP(Calculations[[#This Row],[Material (choose from dropdown]], MaterialData[#All],3, FALSE),0)</f>
        <v>0</v>
      </c>
      <c r="L869" s="322">
        <f>IFERROR(VLOOKUP(Calculations[[#This Row],[A5type]],A5WastageRate[#All],2,FALSE)*Calculations[[#This Row],[A1-3]],0)</f>
        <v>0</v>
      </c>
      <c r="N869">
        <f>IFERROR(ROUNDUP(50/VLOOKUP(Calculations[[#This Row],[Scope Element]],B4referenceServiceLife[[Tier 2 element]:[Default Service Life]],2, FALSE)-1,0),0)</f>
        <v>0</v>
      </c>
      <c r="O869" s="322">
        <f>IFERROR((Calculations[[#This Row],[A1-3]]+Calculations[[#This Row],[A4]]+Calculations[[#This Row],[A5]]+Calculations[[#This Row],[C2 total]]+Calculations[[#This Row],[C3 total]]+Calculations[[#This Row],[C4 total]])*Calculations[[#This Row],[Replacements]],0)</f>
        <v>0</v>
      </c>
      <c r="S869" t="str">
        <f>IFERROR(VLOOKUP(Calculations[[#This Row],[Material (choose from dropdown]],MaterialData[#All],4,FALSE),"")</f>
        <v/>
      </c>
      <c r="T869" s="322" cm="1">
        <f t="array" ref="T869">IFERROR(VLOOKUP(Calculations[[#This Row],[Waste 1]],WasteScenario[#All],2,FALSE)*'Stage assumptions'!$C$225*WasteTransportMethod[Emissions Factor
kgCO2e/kg.km]*Calculations[[#This Row],[Total Kg]],0)</f>
        <v>0</v>
      </c>
      <c r="U869" s="322" cm="1">
        <f t="array" ref="U869">IFERROR(VLOOKUP(Calculations[[#This Row],[Waste 1]],WasteScenario[#All],3,FALSE)*'Stage assumptions'!$C$224*WasteTransportMethod[Emissions Factor
kgCO2e/kg.km]*Calculations[[#This Row],[Total Kg]],0)</f>
        <v>0</v>
      </c>
      <c r="V869" s="322" cm="1">
        <f t="array" ref="V869">IFERROR(VLOOKUP(Calculations[[#This Row],[Waste 1]],WasteScenario[#All],4,FALSE)*'Stage assumptions'!$C$223*WasteTransportMethod[Emissions Factor
kgCO2e/kg.km]*Calculations[[#This Row],[Total Kg]],0)</f>
        <v>0</v>
      </c>
      <c r="W869" s="322" cm="1">
        <f t="array" ref="W869">IFERROR(VLOOKUP(Calculations[[#This Row],[Waste 1]],WasteScenario[#All],5,FALSE)*'Stage assumptions'!$C$226*WasteTransportMethod[Emissions Factor
kgCO2e/kg.km]*Calculations[[#This Row],[Total Kg]],0)</f>
        <v>0</v>
      </c>
      <c r="X869" s="322">
        <f>SUM(Calculations[[#This Row],[C2 Recycle]:[C2 Reuse]])</f>
        <v>0</v>
      </c>
      <c r="Y869" t="str">
        <f>IFERROR(VLOOKUP(Calculations[[#This Row],[Material (choose from dropdown]],MaterialData[#All],5,FALSE),"")</f>
        <v/>
      </c>
      <c r="Z869" s="322">
        <f>IFERROR(((VLOOKUP(Calculations[[#This Row],[Waste type 2]],WasteDisposalEmissions[#All],2,FALSE))*Calculations[[#This Row],[Total Kg]])*VLOOKUP(Calculations[[#This Row],[Waste 1]],WasteScenario[#All],2,FALSE),0)</f>
        <v>0</v>
      </c>
      <c r="AA869" s="322">
        <f>IFERROR((VLOOKUP(Calculations[[#This Row],[Waste type 2]],WasteDisposalEmissions[#All],3,FALSE))*Calculations[[#This Row],[Total Kg]]*VLOOKUP(Calculations[[#This Row],[Waste 1]],WasteScenario[#All],3,FALSE),0)</f>
        <v>0</v>
      </c>
      <c r="AB869" s="322">
        <f>SUM(Calculations[[#This Row],[C3 recyc]:[C3 incin]])</f>
        <v>0</v>
      </c>
      <c r="AC869" s="334">
        <f>IFERROR((VLOOKUP(Calculations[[#This Row],[Waste type 2]],WasteLandfillEmissions[#All],2,FALSE))*Calculations[[#This Row],[Total Kg]]*VLOOKUP(Calculations[[#This Row],[Waste 1]],WasteScenario[#All],4,FALSE),0)</f>
        <v>0</v>
      </c>
      <c r="AD869" s="322">
        <f>IFERROR((VLOOKUP(Calculations[[#This Row],[Waste type 2]],WasteLandfillEmissions[#All],3,FALSE))*Calculations[[#This Row],[Total Kg]]*VLOOKUP(Calculations[[#This Row],[Waste 1]],WasteScenario[#All],4,FALSE),0)</f>
        <v>0</v>
      </c>
      <c r="AE869" s="322">
        <f>SUM(Calculations[[#This Row],[C4 landfill]:[C4 re-use]])</f>
        <v>0</v>
      </c>
      <c r="AF869" s="322">
        <f>IFERROR(VLOOKUP(Calculations[[#This Row],[Material (choose from dropdown]],MaterialData[#All],8,FALSE),0)</f>
        <v>0</v>
      </c>
      <c r="AG869" s="322">
        <f>IFERROR(Calculations[[#This Row],[Total Kg]]*Calculations[[#This Row],[Seq factor]],0)</f>
        <v>0</v>
      </c>
      <c r="AI869" s="322">
        <f>Calculations[[#This Row],[A1-3]]+Calculations[[#This Row],[A4]]+Calculations[[#This Row],[A5]]+Calculations[[#This Row],[B4]]+Calculations[[#This Row],[C2 total]]+Calculations[[#This Row],[C3 total]]+Calculations[[#This Row],[C4 total]]</f>
        <v>0</v>
      </c>
      <c r="AJ869" s="2">
        <f>IFERROR(VLOOKUP(Calculations[[#This Row],[Material (choose from dropdown]],MaterialData[[#Headers],[#Data]],9,FALSE),0)</f>
        <v>0</v>
      </c>
      <c r="AK869" s="4">
        <f>IFERROR(VLOOKUP(Calculations[[#This Row],[Material (choose from dropdown]],MaterialData[[#Headers],[#Data]],10,FALSE),0)</f>
        <v>0</v>
      </c>
      <c r="AL869" s="322">
        <f>IFERROR(Calculations[[#This Row],[Data Quality Score]]*Calculations[[#This Row],[Total Kg]],0)</f>
        <v>0</v>
      </c>
    </row>
    <row r="870" spans="1:38" x14ac:dyDescent="0.3">
      <c r="A870" s="6">
        <f>IFERROR(MaterialsBoQ[[#This Row],[Scope Element]],0)</f>
        <v>0</v>
      </c>
      <c r="B870" t="str">
        <f>IFERROR(MaterialsBoQ[[#This Row],[Material ]],"")</f>
        <v/>
      </c>
      <c r="C870" t="str">
        <f>IFERROR(MaterialsBoQ[[#This Row],[Unit]],"")</f>
        <v/>
      </c>
      <c r="D870" s="322">
        <f>IFERROR(MaterialsBoQ[[#This Row],[Number]],0)</f>
        <v>0</v>
      </c>
      <c r="E870" s="322">
        <f>IFERROR(MaterialsBoQ[[#This Row],[Kg per unit]],0)</f>
        <v>0</v>
      </c>
      <c r="F870" s="322">
        <f>IFERROR(Calculations[[#This Row],[Number]]*Calculations[[#This Row],[Conversion factor]],0)</f>
        <v>0</v>
      </c>
      <c r="G870" s="322">
        <f>IFERROR(VLOOKUP(Calculations[[#This Row],[Material (choose from dropdown]],MaterialData[#All],7,FALSE),0)</f>
        <v>0</v>
      </c>
      <c r="H870" s="322">
        <f>Calculations[[#This Row],[Total Kg]]*Calculations[[#This Row],[Carbon Factor]]</f>
        <v>0</v>
      </c>
      <c r="I870" t="str">
        <f>IFERROR(VLOOKUP(Calculations[[#This Row],[Material (choose from dropdown]],MaterialData[#All],2,FALSE),"")</f>
        <v/>
      </c>
      <c r="J870" s="322">
        <f>IFERROR(((VLOOKUP(Calculations[[#This Row],[TransportSource]],TransportDistance[],2,FALSE)*'Stage assumptions'!$C$11)+VLOOKUP(Calculations[[#This Row],[TransportSource]],TransportDistance[],3,FALSE)*'Stage assumptions'!$C$12)*Calculations[[#This Row],[Total Kg]],0)</f>
        <v>0</v>
      </c>
      <c r="K870">
        <f>IFERROR(VLOOKUP(Calculations[[#This Row],[Material (choose from dropdown]], MaterialData[#All],3, FALSE),0)</f>
        <v>0</v>
      </c>
      <c r="L870" s="322">
        <f>IFERROR(VLOOKUP(Calculations[[#This Row],[A5type]],A5WastageRate[#All],2,FALSE)*Calculations[[#This Row],[A1-3]],0)</f>
        <v>0</v>
      </c>
      <c r="N870">
        <f>IFERROR(ROUNDUP(50/VLOOKUP(Calculations[[#This Row],[Scope Element]],B4referenceServiceLife[[Tier 2 element]:[Default Service Life]],2, FALSE)-1,0),0)</f>
        <v>0</v>
      </c>
      <c r="O870" s="322">
        <f>IFERROR((Calculations[[#This Row],[A1-3]]+Calculations[[#This Row],[A4]]+Calculations[[#This Row],[A5]]+Calculations[[#This Row],[C2 total]]+Calculations[[#This Row],[C3 total]]+Calculations[[#This Row],[C4 total]])*Calculations[[#This Row],[Replacements]],0)</f>
        <v>0</v>
      </c>
      <c r="S870" t="str">
        <f>IFERROR(VLOOKUP(Calculations[[#This Row],[Material (choose from dropdown]],MaterialData[#All],4,FALSE),"")</f>
        <v/>
      </c>
      <c r="T870" s="322" cm="1">
        <f t="array" ref="T870">IFERROR(VLOOKUP(Calculations[[#This Row],[Waste 1]],WasteScenario[#All],2,FALSE)*'Stage assumptions'!$C$225*WasteTransportMethod[Emissions Factor
kgCO2e/kg.km]*Calculations[[#This Row],[Total Kg]],0)</f>
        <v>0</v>
      </c>
      <c r="U870" s="322" cm="1">
        <f t="array" ref="U870">IFERROR(VLOOKUP(Calculations[[#This Row],[Waste 1]],WasteScenario[#All],3,FALSE)*'Stage assumptions'!$C$224*WasteTransportMethod[Emissions Factor
kgCO2e/kg.km]*Calculations[[#This Row],[Total Kg]],0)</f>
        <v>0</v>
      </c>
      <c r="V870" s="322" cm="1">
        <f t="array" ref="V870">IFERROR(VLOOKUP(Calculations[[#This Row],[Waste 1]],WasteScenario[#All],4,FALSE)*'Stage assumptions'!$C$223*WasteTransportMethod[Emissions Factor
kgCO2e/kg.km]*Calculations[[#This Row],[Total Kg]],0)</f>
        <v>0</v>
      </c>
      <c r="W870" s="322" cm="1">
        <f t="array" ref="W870">IFERROR(VLOOKUP(Calculations[[#This Row],[Waste 1]],WasteScenario[#All],5,FALSE)*'Stage assumptions'!$C$226*WasteTransportMethod[Emissions Factor
kgCO2e/kg.km]*Calculations[[#This Row],[Total Kg]],0)</f>
        <v>0</v>
      </c>
      <c r="X870" s="322">
        <f>SUM(Calculations[[#This Row],[C2 Recycle]:[C2 Reuse]])</f>
        <v>0</v>
      </c>
      <c r="Y870" t="str">
        <f>IFERROR(VLOOKUP(Calculations[[#This Row],[Material (choose from dropdown]],MaterialData[#All],5,FALSE),"")</f>
        <v/>
      </c>
      <c r="Z870" s="322">
        <f>IFERROR(((VLOOKUP(Calculations[[#This Row],[Waste type 2]],WasteDisposalEmissions[#All],2,FALSE))*Calculations[[#This Row],[Total Kg]])*VLOOKUP(Calculations[[#This Row],[Waste 1]],WasteScenario[#All],2,FALSE),0)</f>
        <v>0</v>
      </c>
      <c r="AA870" s="322">
        <f>IFERROR((VLOOKUP(Calculations[[#This Row],[Waste type 2]],WasteDisposalEmissions[#All],3,FALSE))*Calculations[[#This Row],[Total Kg]]*VLOOKUP(Calculations[[#This Row],[Waste 1]],WasteScenario[#All],3,FALSE),0)</f>
        <v>0</v>
      </c>
      <c r="AB870" s="322">
        <f>SUM(Calculations[[#This Row],[C3 recyc]:[C3 incin]])</f>
        <v>0</v>
      </c>
      <c r="AC870" s="334">
        <f>IFERROR((VLOOKUP(Calculations[[#This Row],[Waste type 2]],WasteLandfillEmissions[#All],2,FALSE))*Calculations[[#This Row],[Total Kg]]*VLOOKUP(Calculations[[#This Row],[Waste 1]],WasteScenario[#All],4,FALSE),0)</f>
        <v>0</v>
      </c>
      <c r="AD870" s="322">
        <f>IFERROR((VLOOKUP(Calculations[[#This Row],[Waste type 2]],WasteLandfillEmissions[#All],3,FALSE))*Calculations[[#This Row],[Total Kg]]*VLOOKUP(Calculations[[#This Row],[Waste 1]],WasteScenario[#All],4,FALSE),0)</f>
        <v>0</v>
      </c>
      <c r="AE870" s="322">
        <f>SUM(Calculations[[#This Row],[C4 landfill]:[C4 re-use]])</f>
        <v>0</v>
      </c>
      <c r="AF870" s="322">
        <f>IFERROR(VLOOKUP(Calculations[[#This Row],[Material (choose from dropdown]],MaterialData[#All],8,FALSE),0)</f>
        <v>0</v>
      </c>
      <c r="AG870" s="322">
        <f>IFERROR(Calculations[[#This Row],[Total Kg]]*Calculations[[#This Row],[Seq factor]],0)</f>
        <v>0</v>
      </c>
      <c r="AI870" s="322">
        <f>Calculations[[#This Row],[A1-3]]+Calculations[[#This Row],[A4]]+Calculations[[#This Row],[A5]]+Calculations[[#This Row],[B4]]+Calculations[[#This Row],[C2 total]]+Calculations[[#This Row],[C3 total]]+Calculations[[#This Row],[C4 total]]</f>
        <v>0</v>
      </c>
      <c r="AJ870" s="2">
        <f>IFERROR(VLOOKUP(Calculations[[#This Row],[Material (choose from dropdown]],MaterialData[[#Headers],[#Data]],9,FALSE),0)</f>
        <v>0</v>
      </c>
      <c r="AK870" s="4">
        <f>IFERROR(VLOOKUP(Calculations[[#This Row],[Material (choose from dropdown]],MaterialData[[#Headers],[#Data]],10,FALSE),0)</f>
        <v>0</v>
      </c>
      <c r="AL870" s="322">
        <f>IFERROR(Calculations[[#This Row],[Data Quality Score]]*Calculations[[#This Row],[Total Kg]],0)</f>
        <v>0</v>
      </c>
    </row>
    <row r="871" spans="1:38" x14ac:dyDescent="0.3">
      <c r="A871" s="6">
        <f>IFERROR(MaterialsBoQ[[#This Row],[Scope Element]],0)</f>
        <v>0</v>
      </c>
      <c r="B871" t="str">
        <f>IFERROR(MaterialsBoQ[[#This Row],[Material ]],"")</f>
        <v/>
      </c>
      <c r="C871" t="str">
        <f>IFERROR(MaterialsBoQ[[#This Row],[Unit]],"")</f>
        <v/>
      </c>
      <c r="D871" s="322">
        <f>IFERROR(MaterialsBoQ[[#This Row],[Number]],0)</f>
        <v>0</v>
      </c>
      <c r="E871" s="322">
        <f>IFERROR(MaterialsBoQ[[#This Row],[Kg per unit]],0)</f>
        <v>0</v>
      </c>
      <c r="F871" s="322">
        <f>IFERROR(Calculations[[#This Row],[Number]]*Calculations[[#This Row],[Conversion factor]],0)</f>
        <v>0</v>
      </c>
      <c r="G871" s="322">
        <f>IFERROR(VLOOKUP(Calculations[[#This Row],[Material (choose from dropdown]],MaterialData[#All],7,FALSE),0)</f>
        <v>0</v>
      </c>
      <c r="H871" s="322">
        <f>Calculations[[#This Row],[Total Kg]]*Calculations[[#This Row],[Carbon Factor]]</f>
        <v>0</v>
      </c>
      <c r="I871" t="str">
        <f>IFERROR(VLOOKUP(Calculations[[#This Row],[Material (choose from dropdown]],MaterialData[#All],2,FALSE),"")</f>
        <v/>
      </c>
      <c r="J871" s="322">
        <f>IFERROR(((VLOOKUP(Calculations[[#This Row],[TransportSource]],TransportDistance[],2,FALSE)*'Stage assumptions'!$C$11)+VLOOKUP(Calculations[[#This Row],[TransportSource]],TransportDistance[],3,FALSE)*'Stage assumptions'!$C$12)*Calculations[[#This Row],[Total Kg]],0)</f>
        <v>0</v>
      </c>
      <c r="K871">
        <f>IFERROR(VLOOKUP(Calculations[[#This Row],[Material (choose from dropdown]], MaterialData[#All],3, FALSE),0)</f>
        <v>0</v>
      </c>
      <c r="L871" s="322">
        <f>IFERROR(VLOOKUP(Calculations[[#This Row],[A5type]],A5WastageRate[#All],2,FALSE)*Calculations[[#This Row],[A1-3]],0)</f>
        <v>0</v>
      </c>
      <c r="N871">
        <f>IFERROR(ROUNDUP(50/VLOOKUP(Calculations[[#This Row],[Scope Element]],B4referenceServiceLife[[Tier 2 element]:[Default Service Life]],2, FALSE)-1,0),0)</f>
        <v>0</v>
      </c>
      <c r="O871" s="322">
        <f>IFERROR((Calculations[[#This Row],[A1-3]]+Calculations[[#This Row],[A4]]+Calculations[[#This Row],[A5]]+Calculations[[#This Row],[C2 total]]+Calculations[[#This Row],[C3 total]]+Calculations[[#This Row],[C4 total]])*Calculations[[#This Row],[Replacements]],0)</f>
        <v>0</v>
      </c>
      <c r="S871" t="str">
        <f>IFERROR(VLOOKUP(Calculations[[#This Row],[Material (choose from dropdown]],MaterialData[#All],4,FALSE),"")</f>
        <v/>
      </c>
      <c r="T871" s="322" cm="1">
        <f t="array" ref="T871">IFERROR(VLOOKUP(Calculations[[#This Row],[Waste 1]],WasteScenario[#All],2,FALSE)*'Stage assumptions'!$C$225*WasteTransportMethod[Emissions Factor
kgCO2e/kg.km]*Calculations[[#This Row],[Total Kg]],0)</f>
        <v>0</v>
      </c>
      <c r="U871" s="322" cm="1">
        <f t="array" ref="U871">IFERROR(VLOOKUP(Calculations[[#This Row],[Waste 1]],WasteScenario[#All],3,FALSE)*'Stage assumptions'!$C$224*WasteTransportMethod[Emissions Factor
kgCO2e/kg.km]*Calculations[[#This Row],[Total Kg]],0)</f>
        <v>0</v>
      </c>
      <c r="V871" s="322" cm="1">
        <f t="array" ref="V871">IFERROR(VLOOKUP(Calculations[[#This Row],[Waste 1]],WasteScenario[#All],4,FALSE)*'Stage assumptions'!$C$223*WasteTransportMethod[Emissions Factor
kgCO2e/kg.km]*Calculations[[#This Row],[Total Kg]],0)</f>
        <v>0</v>
      </c>
      <c r="W871" s="322" cm="1">
        <f t="array" ref="W871">IFERROR(VLOOKUP(Calculations[[#This Row],[Waste 1]],WasteScenario[#All],5,FALSE)*'Stage assumptions'!$C$226*WasteTransportMethod[Emissions Factor
kgCO2e/kg.km]*Calculations[[#This Row],[Total Kg]],0)</f>
        <v>0</v>
      </c>
      <c r="X871" s="322">
        <f>SUM(Calculations[[#This Row],[C2 Recycle]:[C2 Reuse]])</f>
        <v>0</v>
      </c>
      <c r="Y871" t="str">
        <f>IFERROR(VLOOKUP(Calculations[[#This Row],[Material (choose from dropdown]],MaterialData[#All],5,FALSE),"")</f>
        <v/>
      </c>
      <c r="Z871" s="322">
        <f>IFERROR(((VLOOKUP(Calculations[[#This Row],[Waste type 2]],WasteDisposalEmissions[#All],2,FALSE))*Calculations[[#This Row],[Total Kg]])*VLOOKUP(Calculations[[#This Row],[Waste 1]],WasteScenario[#All],2,FALSE),0)</f>
        <v>0</v>
      </c>
      <c r="AA871" s="322">
        <f>IFERROR((VLOOKUP(Calculations[[#This Row],[Waste type 2]],WasteDisposalEmissions[#All],3,FALSE))*Calculations[[#This Row],[Total Kg]]*VLOOKUP(Calculations[[#This Row],[Waste 1]],WasteScenario[#All],3,FALSE),0)</f>
        <v>0</v>
      </c>
      <c r="AB871" s="322">
        <f>SUM(Calculations[[#This Row],[C3 recyc]:[C3 incin]])</f>
        <v>0</v>
      </c>
      <c r="AC871" s="334">
        <f>IFERROR((VLOOKUP(Calculations[[#This Row],[Waste type 2]],WasteLandfillEmissions[#All],2,FALSE))*Calculations[[#This Row],[Total Kg]]*VLOOKUP(Calculations[[#This Row],[Waste 1]],WasteScenario[#All],4,FALSE),0)</f>
        <v>0</v>
      </c>
      <c r="AD871" s="322">
        <f>IFERROR((VLOOKUP(Calculations[[#This Row],[Waste type 2]],WasteLandfillEmissions[#All],3,FALSE))*Calculations[[#This Row],[Total Kg]]*VLOOKUP(Calculations[[#This Row],[Waste 1]],WasteScenario[#All],4,FALSE),0)</f>
        <v>0</v>
      </c>
      <c r="AE871" s="322">
        <f>SUM(Calculations[[#This Row],[C4 landfill]:[C4 re-use]])</f>
        <v>0</v>
      </c>
      <c r="AF871" s="322">
        <f>IFERROR(VLOOKUP(Calculations[[#This Row],[Material (choose from dropdown]],MaterialData[#All],8,FALSE),0)</f>
        <v>0</v>
      </c>
      <c r="AG871" s="322">
        <f>IFERROR(Calculations[[#This Row],[Total Kg]]*Calculations[[#This Row],[Seq factor]],0)</f>
        <v>0</v>
      </c>
      <c r="AI871" s="322">
        <f>Calculations[[#This Row],[A1-3]]+Calculations[[#This Row],[A4]]+Calculations[[#This Row],[A5]]+Calculations[[#This Row],[B4]]+Calculations[[#This Row],[C2 total]]+Calculations[[#This Row],[C3 total]]+Calculations[[#This Row],[C4 total]]</f>
        <v>0</v>
      </c>
      <c r="AJ871" s="2">
        <f>IFERROR(VLOOKUP(Calculations[[#This Row],[Material (choose from dropdown]],MaterialData[[#Headers],[#Data]],9,FALSE),0)</f>
        <v>0</v>
      </c>
      <c r="AK871" s="4">
        <f>IFERROR(VLOOKUP(Calculations[[#This Row],[Material (choose from dropdown]],MaterialData[[#Headers],[#Data]],10,FALSE),0)</f>
        <v>0</v>
      </c>
      <c r="AL871" s="322">
        <f>IFERROR(Calculations[[#This Row],[Data Quality Score]]*Calculations[[#This Row],[Total Kg]],0)</f>
        <v>0</v>
      </c>
    </row>
    <row r="872" spans="1:38" x14ac:dyDescent="0.3">
      <c r="A872" s="6">
        <f>IFERROR(MaterialsBoQ[[#This Row],[Scope Element]],0)</f>
        <v>0</v>
      </c>
      <c r="B872" t="str">
        <f>IFERROR(MaterialsBoQ[[#This Row],[Material ]],"")</f>
        <v/>
      </c>
      <c r="C872" t="str">
        <f>IFERROR(MaterialsBoQ[[#This Row],[Unit]],"")</f>
        <v/>
      </c>
      <c r="D872" s="322">
        <f>IFERROR(MaterialsBoQ[[#This Row],[Number]],0)</f>
        <v>0</v>
      </c>
      <c r="E872" s="322">
        <f>IFERROR(MaterialsBoQ[[#This Row],[Kg per unit]],0)</f>
        <v>0</v>
      </c>
      <c r="F872" s="322">
        <f>IFERROR(Calculations[[#This Row],[Number]]*Calculations[[#This Row],[Conversion factor]],0)</f>
        <v>0</v>
      </c>
      <c r="G872" s="322">
        <f>IFERROR(VLOOKUP(Calculations[[#This Row],[Material (choose from dropdown]],MaterialData[#All],7,FALSE),0)</f>
        <v>0</v>
      </c>
      <c r="H872" s="322">
        <f>Calculations[[#This Row],[Total Kg]]*Calculations[[#This Row],[Carbon Factor]]</f>
        <v>0</v>
      </c>
      <c r="I872" t="str">
        <f>IFERROR(VLOOKUP(Calculations[[#This Row],[Material (choose from dropdown]],MaterialData[#All],2,FALSE),"")</f>
        <v/>
      </c>
      <c r="J872" s="322">
        <f>IFERROR(((VLOOKUP(Calculations[[#This Row],[TransportSource]],TransportDistance[],2,FALSE)*'Stage assumptions'!$C$11)+VLOOKUP(Calculations[[#This Row],[TransportSource]],TransportDistance[],3,FALSE)*'Stage assumptions'!$C$12)*Calculations[[#This Row],[Total Kg]],0)</f>
        <v>0</v>
      </c>
      <c r="K872">
        <f>IFERROR(VLOOKUP(Calculations[[#This Row],[Material (choose from dropdown]], MaterialData[#All],3, FALSE),0)</f>
        <v>0</v>
      </c>
      <c r="L872" s="322">
        <f>IFERROR(VLOOKUP(Calculations[[#This Row],[A5type]],A5WastageRate[#All],2,FALSE)*Calculations[[#This Row],[A1-3]],0)</f>
        <v>0</v>
      </c>
      <c r="N872">
        <f>IFERROR(ROUNDUP(50/VLOOKUP(Calculations[[#This Row],[Scope Element]],B4referenceServiceLife[[Tier 2 element]:[Default Service Life]],2, FALSE)-1,0),0)</f>
        <v>0</v>
      </c>
      <c r="O872" s="322">
        <f>IFERROR((Calculations[[#This Row],[A1-3]]+Calculations[[#This Row],[A4]]+Calculations[[#This Row],[A5]]+Calculations[[#This Row],[C2 total]]+Calculations[[#This Row],[C3 total]]+Calculations[[#This Row],[C4 total]])*Calculations[[#This Row],[Replacements]],0)</f>
        <v>0</v>
      </c>
      <c r="S872" t="str">
        <f>IFERROR(VLOOKUP(Calculations[[#This Row],[Material (choose from dropdown]],MaterialData[#All],4,FALSE),"")</f>
        <v/>
      </c>
      <c r="T872" s="322" cm="1">
        <f t="array" ref="T872">IFERROR(VLOOKUP(Calculations[[#This Row],[Waste 1]],WasteScenario[#All],2,FALSE)*'Stage assumptions'!$C$225*WasteTransportMethod[Emissions Factor
kgCO2e/kg.km]*Calculations[[#This Row],[Total Kg]],0)</f>
        <v>0</v>
      </c>
      <c r="U872" s="322" cm="1">
        <f t="array" ref="U872">IFERROR(VLOOKUP(Calculations[[#This Row],[Waste 1]],WasteScenario[#All],3,FALSE)*'Stage assumptions'!$C$224*WasteTransportMethod[Emissions Factor
kgCO2e/kg.km]*Calculations[[#This Row],[Total Kg]],0)</f>
        <v>0</v>
      </c>
      <c r="V872" s="322" cm="1">
        <f t="array" ref="V872">IFERROR(VLOOKUP(Calculations[[#This Row],[Waste 1]],WasteScenario[#All],4,FALSE)*'Stage assumptions'!$C$223*WasteTransportMethod[Emissions Factor
kgCO2e/kg.km]*Calculations[[#This Row],[Total Kg]],0)</f>
        <v>0</v>
      </c>
      <c r="W872" s="322" cm="1">
        <f t="array" ref="W872">IFERROR(VLOOKUP(Calculations[[#This Row],[Waste 1]],WasteScenario[#All],5,FALSE)*'Stage assumptions'!$C$226*WasteTransportMethod[Emissions Factor
kgCO2e/kg.km]*Calculations[[#This Row],[Total Kg]],0)</f>
        <v>0</v>
      </c>
      <c r="X872" s="322">
        <f>SUM(Calculations[[#This Row],[C2 Recycle]:[C2 Reuse]])</f>
        <v>0</v>
      </c>
      <c r="Y872" t="str">
        <f>IFERROR(VLOOKUP(Calculations[[#This Row],[Material (choose from dropdown]],MaterialData[#All],5,FALSE),"")</f>
        <v/>
      </c>
      <c r="Z872" s="322">
        <f>IFERROR(((VLOOKUP(Calculations[[#This Row],[Waste type 2]],WasteDisposalEmissions[#All],2,FALSE))*Calculations[[#This Row],[Total Kg]])*VLOOKUP(Calculations[[#This Row],[Waste 1]],WasteScenario[#All],2,FALSE),0)</f>
        <v>0</v>
      </c>
      <c r="AA872" s="322">
        <f>IFERROR((VLOOKUP(Calculations[[#This Row],[Waste type 2]],WasteDisposalEmissions[#All],3,FALSE))*Calculations[[#This Row],[Total Kg]]*VLOOKUP(Calculations[[#This Row],[Waste 1]],WasteScenario[#All],3,FALSE),0)</f>
        <v>0</v>
      </c>
      <c r="AB872" s="322">
        <f>SUM(Calculations[[#This Row],[C3 recyc]:[C3 incin]])</f>
        <v>0</v>
      </c>
      <c r="AC872" s="334">
        <f>IFERROR((VLOOKUP(Calculations[[#This Row],[Waste type 2]],WasteLandfillEmissions[#All],2,FALSE))*Calculations[[#This Row],[Total Kg]]*VLOOKUP(Calculations[[#This Row],[Waste 1]],WasteScenario[#All],4,FALSE),0)</f>
        <v>0</v>
      </c>
      <c r="AD872" s="322">
        <f>IFERROR((VLOOKUP(Calculations[[#This Row],[Waste type 2]],WasteLandfillEmissions[#All],3,FALSE))*Calculations[[#This Row],[Total Kg]]*VLOOKUP(Calculations[[#This Row],[Waste 1]],WasteScenario[#All],4,FALSE),0)</f>
        <v>0</v>
      </c>
      <c r="AE872" s="322">
        <f>SUM(Calculations[[#This Row],[C4 landfill]:[C4 re-use]])</f>
        <v>0</v>
      </c>
      <c r="AF872" s="322">
        <f>IFERROR(VLOOKUP(Calculations[[#This Row],[Material (choose from dropdown]],MaterialData[#All],8,FALSE),0)</f>
        <v>0</v>
      </c>
      <c r="AG872" s="322">
        <f>IFERROR(Calculations[[#This Row],[Total Kg]]*Calculations[[#This Row],[Seq factor]],0)</f>
        <v>0</v>
      </c>
      <c r="AI872" s="322">
        <f>Calculations[[#This Row],[A1-3]]+Calculations[[#This Row],[A4]]+Calculations[[#This Row],[A5]]+Calculations[[#This Row],[B4]]+Calculations[[#This Row],[C2 total]]+Calculations[[#This Row],[C3 total]]+Calculations[[#This Row],[C4 total]]</f>
        <v>0</v>
      </c>
      <c r="AJ872" s="2">
        <f>IFERROR(VLOOKUP(Calculations[[#This Row],[Material (choose from dropdown]],MaterialData[[#Headers],[#Data]],9,FALSE),0)</f>
        <v>0</v>
      </c>
      <c r="AK872" s="4">
        <f>IFERROR(VLOOKUP(Calculations[[#This Row],[Material (choose from dropdown]],MaterialData[[#Headers],[#Data]],10,FALSE),0)</f>
        <v>0</v>
      </c>
      <c r="AL872" s="322">
        <f>IFERROR(Calculations[[#This Row],[Data Quality Score]]*Calculations[[#This Row],[Total Kg]],0)</f>
        <v>0</v>
      </c>
    </row>
    <row r="873" spans="1:38" x14ac:dyDescent="0.3">
      <c r="A873" s="6">
        <f>IFERROR(MaterialsBoQ[[#This Row],[Scope Element]],0)</f>
        <v>0</v>
      </c>
      <c r="B873" t="str">
        <f>IFERROR(MaterialsBoQ[[#This Row],[Material ]],"")</f>
        <v/>
      </c>
      <c r="C873" t="str">
        <f>IFERROR(MaterialsBoQ[[#This Row],[Unit]],"")</f>
        <v/>
      </c>
      <c r="D873" s="322">
        <f>IFERROR(MaterialsBoQ[[#This Row],[Number]],0)</f>
        <v>0</v>
      </c>
      <c r="E873" s="322">
        <f>IFERROR(MaterialsBoQ[[#This Row],[Kg per unit]],0)</f>
        <v>0</v>
      </c>
      <c r="F873" s="322">
        <f>IFERROR(Calculations[[#This Row],[Number]]*Calculations[[#This Row],[Conversion factor]],0)</f>
        <v>0</v>
      </c>
      <c r="G873" s="322">
        <f>IFERROR(VLOOKUP(Calculations[[#This Row],[Material (choose from dropdown]],MaterialData[#All],7,FALSE),0)</f>
        <v>0</v>
      </c>
      <c r="H873" s="322">
        <f>Calculations[[#This Row],[Total Kg]]*Calculations[[#This Row],[Carbon Factor]]</f>
        <v>0</v>
      </c>
      <c r="I873" t="str">
        <f>IFERROR(VLOOKUP(Calculations[[#This Row],[Material (choose from dropdown]],MaterialData[#All],2,FALSE),"")</f>
        <v/>
      </c>
      <c r="J873" s="322">
        <f>IFERROR(((VLOOKUP(Calculations[[#This Row],[TransportSource]],TransportDistance[],2,FALSE)*'Stage assumptions'!$C$11)+VLOOKUP(Calculations[[#This Row],[TransportSource]],TransportDistance[],3,FALSE)*'Stage assumptions'!$C$12)*Calculations[[#This Row],[Total Kg]],0)</f>
        <v>0</v>
      </c>
      <c r="K873">
        <f>IFERROR(VLOOKUP(Calculations[[#This Row],[Material (choose from dropdown]], MaterialData[#All],3, FALSE),0)</f>
        <v>0</v>
      </c>
      <c r="L873" s="322">
        <f>IFERROR(VLOOKUP(Calculations[[#This Row],[A5type]],A5WastageRate[#All],2,FALSE)*Calculations[[#This Row],[A1-3]],0)</f>
        <v>0</v>
      </c>
      <c r="N873">
        <f>IFERROR(ROUNDUP(50/VLOOKUP(Calculations[[#This Row],[Scope Element]],B4referenceServiceLife[[Tier 2 element]:[Default Service Life]],2, FALSE)-1,0),0)</f>
        <v>0</v>
      </c>
      <c r="O873" s="322">
        <f>IFERROR((Calculations[[#This Row],[A1-3]]+Calculations[[#This Row],[A4]]+Calculations[[#This Row],[A5]]+Calculations[[#This Row],[C2 total]]+Calculations[[#This Row],[C3 total]]+Calculations[[#This Row],[C4 total]])*Calculations[[#This Row],[Replacements]],0)</f>
        <v>0</v>
      </c>
      <c r="S873" t="str">
        <f>IFERROR(VLOOKUP(Calculations[[#This Row],[Material (choose from dropdown]],MaterialData[#All],4,FALSE),"")</f>
        <v/>
      </c>
      <c r="T873" s="322" cm="1">
        <f t="array" ref="T873">IFERROR(VLOOKUP(Calculations[[#This Row],[Waste 1]],WasteScenario[#All],2,FALSE)*'Stage assumptions'!$C$225*WasteTransportMethod[Emissions Factor
kgCO2e/kg.km]*Calculations[[#This Row],[Total Kg]],0)</f>
        <v>0</v>
      </c>
      <c r="U873" s="322" cm="1">
        <f t="array" ref="U873">IFERROR(VLOOKUP(Calculations[[#This Row],[Waste 1]],WasteScenario[#All],3,FALSE)*'Stage assumptions'!$C$224*WasteTransportMethod[Emissions Factor
kgCO2e/kg.km]*Calculations[[#This Row],[Total Kg]],0)</f>
        <v>0</v>
      </c>
      <c r="V873" s="322" cm="1">
        <f t="array" ref="V873">IFERROR(VLOOKUP(Calculations[[#This Row],[Waste 1]],WasteScenario[#All],4,FALSE)*'Stage assumptions'!$C$223*WasteTransportMethod[Emissions Factor
kgCO2e/kg.km]*Calculations[[#This Row],[Total Kg]],0)</f>
        <v>0</v>
      </c>
      <c r="W873" s="322" cm="1">
        <f t="array" ref="W873">IFERROR(VLOOKUP(Calculations[[#This Row],[Waste 1]],WasteScenario[#All],5,FALSE)*'Stage assumptions'!$C$226*WasteTransportMethod[Emissions Factor
kgCO2e/kg.km]*Calculations[[#This Row],[Total Kg]],0)</f>
        <v>0</v>
      </c>
      <c r="X873" s="322">
        <f>SUM(Calculations[[#This Row],[C2 Recycle]:[C2 Reuse]])</f>
        <v>0</v>
      </c>
      <c r="Y873" t="str">
        <f>IFERROR(VLOOKUP(Calculations[[#This Row],[Material (choose from dropdown]],MaterialData[#All],5,FALSE),"")</f>
        <v/>
      </c>
      <c r="Z873" s="322">
        <f>IFERROR(((VLOOKUP(Calculations[[#This Row],[Waste type 2]],WasteDisposalEmissions[#All],2,FALSE))*Calculations[[#This Row],[Total Kg]])*VLOOKUP(Calculations[[#This Row],[Waste 1]],WasteScenario[#All],2,FALSE),0)</f>
        <v>0</v>
      </c>
      <c r="AA873" s="322">
        <f>IFERROR((VLOOKUP(Calculations[[#This Row],[Waste type 2]],WasteDisposalEmissions[#All],3,FALSE))*Calculations[[#This Row],[Total Kg]]*VLOOKUP(Calculations[[#This Row],[Waste 1]],WasteScenario[#All],3,FALSE),0)</f>
        <v>0</v>
      </c>
      <c r="AB873" s="322">
        <f>SUM(Calculations[[#This Row],[C3 recyc]:[C3 incin]])</f>
        <v>0</v>
      </c>
      <c r="AC873" s="334">
        <f>IFERROR((VLOOKUP(Calculations[[#This Row],[Waste type 2]],WasteLandfillEmissions[#All],2,FALSE))*Calculations[[#This Row],[Total Kg]]*VLOOKUP(Calculations[[#This Row],[Waste 1]],WasteScenario[#All],4,FALSE),0)</f>
        <v>0</v>
      </c>
      <c r="AD873" s="322">
        <f>IFERROR((VLOOKUP(Calculations[[#This Row],[Waste type 2]],WasteLandfillEmissions[#All],3,FALSE))*Calculations[[#This Row],[Total Kg]]*VLOOKUP(Calculations[[#This Row],[Waste 1]],WasteScenario[#All],4,FALSE),0)</f>
        <v>0</v>
      </c>
      <c r="AE873" s="322">
        <f>SUM(Calculations[[#This Row],[C4 landfill]:[C4 re-use]])</f>
        <v>0</v>
      </c>
      <c r="AF873" s="322">
        <f>IFERROR(VLOOKUP(Calculations[[#This Row],[Material (choose from dropdown]],MaterialData[#All],8,FALSE),0)</f>
        <v>0</v>
      </c>
      <c r="AG873" s="322">
        <f>IFERROR(Calculations[[#This Row],[Total Kg]]*Calculations[[#This Row],[Seq factor]],0)</f>
        <v>0</v>
      </c>
      <c r="AI873" s="322">
        <f>Calculations[[#This Row],[A1-3]]+Calculations[[#This Row],[A4]]+Calculations[[#This Row],[A5]]+Calculations[[#This Row],[B4]]+Calculations[[#This Row],[C2 total]]+Calculations[[#This Row],[C3 total]]+Calculations[[#This Row],[C4 total]]</f>
        <v>0</v>
      </c>
      <c r="AJ873" s="2">
        <f>IFERROR(VLOOKUP(Calculations[[#This Row],[Material (choose from dropdown]],MaterialData[[#Headers],[#Data]],9,FALSE),0)</f>
        <v>0</v>
      </c>
      <c r="AK873" s="4">
        <f>IFERROR(VLOOKUP(Calculations[[#This Row],[Material (choose from dropdown]],MaterialData[[#Headers],[#Data]],10,FALSE),0)</f>
        <v>0</v>
      </c>
      <c r="AL873" s="322">
        <f>IFERROR(Calculations[[#This Row],[Data Quality Score]]*Calculations[[#This Row],[Total Kg]],0)</f>
        <v>0</v>
      </c>
    </row>
    <row r="874" spans="1:38" x14ac:dyDescent="0.3">
      <c r="A874" s="6">
        <f>IFERROR(MaterialsBoQ[[#This Row],[Scope Element]],0)</f>
        <v>0</v>
      </c>
      <c r="B874" t="str">
        <f>IFERROR(MaterialsBoQ[[#This Row],[Material ]],"")</f>
        <v/>
      </c>
      <c r="C874" t="str">
        <f>IFERROR(MaterialsBoQ[[#This Row],[Unit]],"")</f>
        <v/>
      </c>
      <c r="D874" s="322">
        <f>IFERROR(MaterialsBoQ[[#This Row],[Number]],0)</f>
        <v>0</v>
      </c>
      <c r="E874" s="322">
        <f>IFERROR(MaterialsBoQ[[#This Row],[Kg per unit]],0)</f>
        <v>0</v>
      </c>
      <c r="F874" s="322">
        <f>IFERROR(Calculations[[#This Row],[Number]]*Calculations[[#This Row],[Conversion factor]],0)</f>
        <v>0</v>
      </c>
      <c r="G874" s="322">
        <f>IFERROR(VLOOKUP(Calculations[[#This Row],[Material (choose from dropdown]],MaterialData[#All],7,FALSE),0)</f>
        <v>0</v>
      </c>
      <c r="H874" s="322">
        <f>Calculations[[#This Row],[Total Kg]]*Calculations[[#This Row],[Carbon Factor]]</f>
        <v>0</v>
      </c>
      <c r="I874" t="str">
        <f>IFERROR(VLOOKUP(Calculations[[#This Row],[Material (choose from dropdown]],MaterialData[#All],2,FALSE),"")</f>
        <v/>
      </c>
      <c r="J874" s="322">
        <f>IFERROR(((VLOOKUP(Calculations[[#This Row],[TransportSource]],TransportDistance[],2,FALSE)*'Stage assumptions'!$C$11)+VLOOKUP(Calculations[[#This Row],[TransportSource]],TransportDistance[],3,FALSE)*'Stage assumptions'!$C$12)*Calculations[[#This Row],[Total Kg]],0)</f>
        <v>0</v>
      </c>
      <c r="K874">
        <f>IFERROR(VLOOKUP(Calculations[[#This Row],[Material (choose from dropdown]], MaterialData[#All],3, FALSE),0)</f>
        <v>0</v>
      </c>
      <c r="L874" s="322">
        <f>IFERROR(VLOOKUP(Calculations[[#This Row],[A5type]],A5WastageRate[#All],2,FALSE)*Calculations[[#This Row],[A1-3]],0)</f>
        <v>0</v>
      </c>
      <c r="N874">
        <f>IFERROR(ROUNDUP(50/VLOOKUP(Calculations[[#This Row],[Scope Element]],B4referenceServiceLife[[Tier 2 element]:[Default Service Life]],2, FALSE)-1,0),0)</f>
        <v>0</v>
      </c>
      <c r="O874" s="322">
        <f>IFERROR((Calculations[[#This Row],[A1-3]]+Calculations[[#This Row],[A4]]+Calculations[[#This Row],[A5]]+Calculations[[#This Row],[C2 total]]+Calculations[[#This Row],[C3 total]]+Calculations[[#This Row],[C4 total]])*Calculations[[#This Row],[Replacements]],0)</f>
        <v>0</v>
      </c>
      <c r="S874" t="str">
        <f>IFERROR(VLOOKUP(Calculations[[#This Row],[Material (choose from dropdown]],MaterialData[#All],4,FALSE),"")</f>
        <v/>
      </c>
      <c r="T874" s="322" cm="1">
        <f t="array" ref="T874">IFERROR(VLOOKUP(Calculations[[#This Row],[Waste 1]],WasteScenario[#All],2,FALSE)*'Stage assumptions'!$C$225*WasteTransportMethod[Emissions Factor
kgCO2e/kg.km]*Calculations[[#This Row],[Total Kg]],0)</f>
        <v>0</v>
      </c>
      <c r="U874" s="322" cm="1">
        <f t="array" ref="U874">IFERROR(VLOOKUP(Calculations[[#This Row],[Waste 1]],WasteScenario[#All],3,FALSE)*'Stage assumptions'!$C$224*WasteTransportMethod[Emissions Factor
kgCO2e/kg.km]*Calculations[[#This Row],[Total Kg]],0)</f>
        <v>0</v>
      </c>
      <c r="V874" s="322" cm="1">
        <f t="array" ref="V874">IFERROR(VLOOKUP(Calculations[[#This Row],[Waste 1]],WasteScenario[#All],4,FALSE)*'Stage assumptions'!$C$223*WasteTransportMethod[Emissions Factor
kgCO2e/kg.km]*Calculations[[#This Row],[Total Kg]],0)</f>
        <v>0</v>
      </c>
      <c r="W874" s="322" cm="1">
        <f t="array" ref="W874">IFERROR(VLOOKUP(Calculations[[#This Row],[Waste 1]],WasteScenario[#All],5,FALSE)*'Stage assumptions'!$C$226*WasteTransportMethod[Emissions Factor
kgCO2e/kg.km]*Calculations[[#This Row],[Total Kg]],0)</f>
        <v>0</v>
      </c>
      <c r="X874" s="322">
        <f>SUM(Calculations[[#This Row],[C2 Recycle]:[C2 Reuse]])</f>
        <v>0</v>
      </c>
      <c r="Y874" t="str">
        <f>IFERROR(VLOOKUP(Calculations[[#This Row],[Material (choose from dropdown]],MaterialData[#All],5,FALSE),"")</f>
        <v/>
      </c>
      <c r="Z874" s="322">
        <f>IFERROR(((VLOOKUP(Calculations[[#This Row],[Waste type 2]],WasteDisposalEmissions[#All],2,FALSE))*Calculations[[#This Row],[Total Kg]])*VLOOKUP(Calculations[[#This Row],[Waste 1]],WasteScenario[#All],2,FALSE),0)</f>
        <v>0</v>
      </c>
      <c r="AA874" s="322">
        <f>IFERROR((VLOOKUP(Calculations[[#This Row],[Waste type 2]],WasteDisposalEmissions[#All],3,FALSE))*Calculations[[#This Row],[Total Kg]]*VLOOKUP(Calculations[[#This Row],[Waste 1]],WasteScenario[#All],3,FALSE),0)</f>
        <v>0</v>
      </c>
      <c r="AB874" s="322">
        <f>SUM(Calculations[[#This Row],[C3 recyc]:[C3 incin]])</f>
        <v>0</v>
      </c>
      <c r="AC874" s="334">
        <f>IFERROR((VLOOKUP(Calculations[[#This Row],[Waste type 2]],WasteLandfillEmissions[#All],2,FALSE))*Calculations[[#This Row],[Total Kg]]*VLOOKUP(Calculations[[#This Row],[Waste 1]],WasteScenario[#All],4,FALSE),0)</f>
        <v>0</v>
      </c>
      <c r="AD874" s="322">
        <f>IFERROR((VLOOKUP(Calculations[[#This Row],[Waste type 2]],WasteLandfillEmissions[#All],3,FALSE))*Calculations[[#This Row],[Total Kg]]*VLOOKUP(Calculations[[#This Row],[Waste 1]],WasteScenario[#All],4,FALSE),0)</f>
        <v>0</v>
      </c>
      <c r="AE874" s="322">
        <f>SUM(Calculations[[#This Row],[C4 landfill]:[C4 re-use]])</f>
        <v>0</v>
      </c>
      <c r="AF874" s="322">
        <f>IFERROR(VLOOKUP(Calculations[[#This Row],[Material (choose from dropdown]],MaterialData[#All],8,FALSE),0)</f>
        <v>0</v>
      </c>
      <c r="AG874" s="322">
        <f>IFERROR(Calculations[[#This Row],[Total Kg]]*Calculations[[#This Row],[Seq factor]],0)</f>
        <v>0</v>
      </c>
      <c r="AI874" s="322">
        <f>Calculations[[#This Row],[A1-3]]+Calculations[[#This Row],[A4]]+Calculations[[#This Row],[A5]]+Calculations[[#This Row],[B4]]+Calculations[[#This Row],[C2 total]]+Calculations[[#This Row],[C3 total]]+Calculations[[#This Row],[C4 total]]</f>
        <v>0</v>
      </c>
      <c r="AJ874" s="2">
        <f>IFERROR(VLOOKUP(Calculations[[#This Row],[Material (choose from dropdown]],MaterialData[[#Headers],[#Data]],9,FALSE),0)</f>
        <v>0</v>
      </c>
      <c r="AK874" s="4">
        <f>IFERROR(VLOOKUP(Calculations[[#This Row],[Material (choose from dropdown]],MaterialData[[#Headers],[#Data]],10,FALSE),0)</f>
        <v>0</v>
      </c>
      <c r="AL874" s="322">
        <f>IFERROR(Calculations[[#This Row],[Data Quality Score]]*Calculations[[#This Row],[Total Kg]],0)</f>
        <v>0</v>
      </c>
    </row>
    <row r="875" spans="1:38" x14ac:dyDescent="0.3">
      <c r="A875" s="6">
        <f>IFERROR(MaterialsBoQ[[#This Row],[Scope Element]],0)</f>
        <v>0</v>
      </c>
      <c r="B875" t="str">
        <f>IFERROR(MaterialsBoQ[[#This Row],[Material ]],"")</f>
        <v/>
      </c>
      <c r="C875" t="str">
        <f>IFERROR(MaterialsBoQ[[#This Row],[Unit]],"")</f>
        <v/>
      </c>
      <c r="D875" s="322">
        <f>IFERROR(MaterialsBoQ[[#This Row],[Number]],0)</f>
        <v>0</v>
      </c>
      <c r="E875" s="322">
        <f>IFERROR(MaterialsBoQ[[#This Row],[Kg per unit]],0)</f>
        <v>0</v>
      </c>
      <c r="F875" s="322">
        <f>IFERROR(Calculations[[#This Row],[Number]]*Calculations[[#This Row],[Conversion factor]],0)</f>
        <v>0</v>
      </c>
      <c r="G875" s="322">
        <f>IFERROR(VLOOKUP(Calculations[[#This Row],[Material (choose from dropdown]],MaterialData[#All],7,FALSE),0)</f>
        <v>0</v>
      </c>
      <c r="H875" s="322">
        <f>Calculations[[#This Row],[Total Kg]]*Calculations[[#This Row],[Carbon Factor]]</f>
        <v>0</v>
      </c>
      <c r="I875" t="str">
        <f>IFERROR(VLOOKUP(Calculations[[#This Row],[Material (choose from dropdown]],MaterialData[#All],2,FALSE),"")</f>
        <v/>
      </c>
      <c r="J875" s="322">
        <f>IFERROR(((VLOOKUP(Calculations[[#This Row],[TransportSource]],TransportDistance[],2,FALSE)*'Stage assumptions'!$C$11)+VLOOKUP(Calculations[[#This Row],[TransportSource]],TransportDistance[],3,FALSE)*'Stage assumptions'!$C$12)*Calculations[[#This Row],[Total Kg]],0)</f>
        <v>0</v>
      </c>
      <c r="K875">
        <f>IFERROR(VLOOKUP(Calculations[[#This Row],[Material (choose from dropdown]], MaterialData[#All],3, FALSE),0)</f>
        <v>0</v>
      </c>
      <c r="L875" s="322">
        <f>IFERROR(VLOOKUP(Calculations[[#This Row],[A5type]],A5WastageRate[#All],2,FALSE)*Calculations[[#This Row],[A1-3]],0)</f>
        <v>0</v>
      </c>
      <c r="N875">
        <f>IFERROR(ROUNDUP(50/VLOOKUP(Calculations[[#This Row],[Scope Element]],B4referenceServiceLife[[Tier 2 element]:[Default Service Life]],2, FALSE)-1,0),0)</f>
        <v>0</v>
      </c>
      <c r="O875" s="322">
        <f>IFERROR((Calculations[[#This Row],[A1-3]]+Calculations[[#This Row],[A4]]+Calculations[[#This Row],[A5]]+Calculations[[#This Row],[C2 total]]+Calculations[[#This Row],[C3 total]]+Calculations[[#This Row],[C4 total]])*Calculations[[#This Row],[Replacements]],0)</f>
        <v>0</v>
      </c>
      <c r="S875" t="str">
        <f>IFERROR(VLOOKUP(Calculations[[#This Row],[Material (choose from dropdown]],MaterialData[#All],4,FALSE),"")</f>
        <v/>
      </c>
      <c r="T875" s="322" cm="1">
        <f t="array" ref="T875">IFERROR(VLOOKUP(Calculations[[#This Row],[Waste 1]],WasteScenario[#All],2,FALSE)*'Stage assumptions'!$C$225*WasteTransportMethod[Emissions Factor
kgCO2e/kg.km]*Calculations[[#This Row],[Total Kg]],0)</f>
        <v>0</v>
      </c>
      <c r="U875" s="322" cm="1">
        <f t="array" ref="U875">IFERROR(VLOOKUP(Calculations[[#This Row],[Waste 1]],WasteScenario[#All],3,FALSE)*'Stage assumptions'!$C$224*WasteTransportMethod[Emissions Factor
kgCO2e/kg.km]*Calculations[[#This Row],[Total Kg]],0)</f>
        <v>0</v>
      </c>
      <c r="V875" s="322" cm="1">
        <f t="array" ref="V875">IFERROR(VLOOKUP(Calculations[[#This Row],[Waste 1]],WasteScenario[#All],4,FALSE)*'Stage assumptions'!$C$223*WasteTransportMethod[Emissions Factor
kgCO2e/kg.km]*Calculations[[#This Row],[Total Kg]],0)</f>
        <v>0</v>
      </c>
      <c r="W875" s="322" cm="1">
        <f t="array" ref="W875">IFERROR(VLOOKUP(Calculations[[#This Row],[Waste 1]],WasteScenario[#All],5,FALSE)*'Stage assumptions'!$C$226*WasteTransportMethod[Emissions Factor
kgCO2e/kg.km]*Calculations[[#This Row],[Total Kg]],0)</f>
        <v>0</v>
      </c>
      <c r="X875" s="322">
        <f>SUM(Calculations[[#This Row],[C2 Recycle]:[C2 Reuse]])</f>
        <v>0</v>
      </c>
      <c r="Y875" t="str">
        <f>IFERROR(VLOOKUP(Calculations[[#This Row],[Material (choose from dropdown]],MaterialData[#All],5,FALSE),"")</f>
        <v/>
      </c>
      <c r="Z875" s="322">
        <f>IFERROR(((VLOOKUP(Calculations[[#This Row],[Waste type 2]],WasteDisposalEmissions[#All],2,FALSE))*Calculations[[#This Row],[Total Kg]])*VLOOKUP(Calculations[[#This Row],[Waste 1]],WasteScenario[#All],2,FALSE),0)</f>
        <v>0</v>
      </c>
      <c r="AA875" s="322">
        <f>IFERROR((VLOOKUP(Calculations[[#This Row],[Waste type 2]],WasteDisposalEmissions[#All],3,FALSE))*Calculations[[#This Row],[Total Kg]]*VLOOKUP(Calculations[[#This Row],[Waste 1]],WasteScenario[#All],3,FALSE),0)</f>
        <v>0</v>
      </c>
      <c r="AB875" s="322">
        <f>SUM(Calculations[[#This Row],[C3 recyc]:[C3 incin]])</f>
        <v>0</v>
      </c>
      <c r="AC875" s="334">
        <f>IFERROR((VLOOKUP(Calculations[[#This Row],[Waste type 2]],WasteLandfillEmissions[#All],2,FALSE))*Calculations[[#This Row],[Total Kg]]*VLOOKUP(Calculations[[#This Row],[Waste 1]],WasteScenario[#All],4,FALSE),0)</f>
        <v>0</v>
      </c>
      <c r="AD875" s="322">
        <f>IFERROR((VLOOKUP(Calculations[[#This Row],[Waste type 2]],WasteLandfillEmissions[#All],3,FALSE))*Calculations[[#This Row],[Total Kg]]*VLOOKUP(Calculations[[#This Row],[Waste 1]],WasteScenario[#All],4,FALSE),0)</f>
        <v>0</v>
      </c>
      <c r="AE875" s="322">
        <f>SUM(Calculations[[#This Row],[C4 landfill]:[C4 re-use]])</f>
        <v>0</v>
      </c>
      <c r="AF875" s="322">
        <f>IFERROR(VLOOKUP(Calculations[[#This Row],[Material (choose from dropdown]],MaterialData[#All],8,FALSE),0)</f>
        <v>0</v>
      </c>
      <c r="AG875" s="322">
        <f>IFERROR(Calculations[[#This Row],[Total Kg]]*Calculations[[#This Row],[Seq factor]],0)</f>
        <v>0</v>
      </c>
      <c r="AI875" s="322">
        <f>Calculations[[#This Row],[A1-3]]+Calculations[[#This Row],[A4]]+Calculations[[#This Row],[A5]]+Calculations[[#This Row],[B4]]+Calculations[[#This Row],[C2 total]]+Calculations[[#This Row],[C3 total]]+Calculations[[#This Row],[C4 total]]</f>
        <v>0</v>
      </c>
      <c r="AJ875" s="2">
        <f>IFERROR(VLOOKUP(Calculations[[#This Row],[Material (choose from dropdown]],MaterialData[[#Headers],[#Data]],9,FALSE),0)</f>
        <v>0</v>
      </c>
      <c r="AK875" s="4">
        <f>IFERROR(VLOOKUP(Calculations[[#This Row],[Material (choose from dropdown]],MaterialData[[#Headers],[#Data]],10,FALSE),0)</f>
        <v>0</v>
      </c>
      <c r="AL875" s="322">
        <f>IFERROR(Calculations[[#This Row],[Data Quality Score]]*Calculations[[#This Row],[Total Kg]],0)</f>
        <v>0</v>
      </c>
    </row>
    <row r="876" spans="1:38" x14ac:dyDescent="0.3">
      <c r="A876" s="6">
        <f>IFERROR(MaterialsBoQ[[#This Row],[Scope Element]],0)</f>
        <v>0</v>
      </c>
      <c r="B876" t="str">
        <f>IFERROR(MaterialsBoQ[[#This Row],[Material ]],"")</f>
        <v/>
      </c>
      <c r="C876" t="str">
        <f>IFERROR(MaterialsBoQ[[#This Row],[Unit]],"")</f>
        <v/>
      </c>
      <c r="D876" s="322">
        <f>IFERROR(MaterialsBoQ[[#This Row],[Number]],0)</f>
        <v>0</v>
      </c>
      <c r="E876" s="322">
        <f>IFERROR(MaterialsBoQ[[#This Row],[Kg per unit]],0)</f>
        <v>0</v>
      </c>
      <c r="F876" s="322">
        <f>IFERROR(Calculations[[#This Row],[Number]]*Calculations[[#This Row],[Conversion factor]],0)</f>
        <v>0</v>
      </c>
      <c r="G876" s="322">
        <f>IFERROR(VLOOKUP(Calculations[[#This Row],[Material (choose from dropdown]],MaterialData[#All],7,FALSE),0)</f>
        <v>0</v>
      </c>
      <c r="H876" s="322">
        <f>Calculations[[#This Row],[Total Kg]]*Calculations[[#This Row],[Carbon Factor]]</f>
        <v>0</v>
      </c>
      <c r="I876" t="str">
        <f>IFERROR(VLOOKUP(Calculations[[#This Row],[Material (choose from dropdown]],MaterialData[#All],2,FALSE),"")</f>
        <v/>
      </c>
      <c r="J876" s="322">
        <f>IFERROR(((VLOOKUP(Calculations[[#This Row],[TransportSource]],TransportDistance[],2,FALSE)*'Stage assumptions'!$C$11)+VLOOKUP(Calculations[[#This Row],[TransportSource]],TransportDistance[],3,FALSE)*'Stage assumptions'!$C$12)*Calculations[[#This Row],[Total Kg]],0)</f>
        <v>0</v>
      </c>
      <c r="K876">
        <f>IFERROR(VLOOKUP(Calculations[[#This Row],[Material (choose from dropdown]], MaterialData[#All],3, FALSE),0)</f>
        <v>0</v>
      </c>
      <c r="L876" s="322">
        <f>IFERROR(VLOOKUP(Calculations[[#This Row],[A5type]],A5WastageRate[#All],2,FALSE)*Calculations[[#This Row],[A1-3]],0)</f>
        <v>0</v>
      </c>
      <c r="N876">
        <f>IFERROR(ROUNDUP(50/VLOOKUP(Calculations[[#This Row],[Scope Element]],B4referenceServiceLife[[Tier 2 element]:[Default Service Life]],2, FALSE)-1,0),0)</f>
        <v>0</v>
      </c>
      <c r="O876" s="322">
        <f>IFERROR((Calculations[[#This Row],[A1-3]]+Calculations[[#This Row],[A4]]+Calculations[[#This Row],[A5]]+Calculations[[#This Row],[C2 total]]+Calculations[[#This Row],[C3 total]]+Calculations[[#This Row],[C4 total]])*Calculations[[#This Row],[Replacements]],0)</f>
        <v>0</v>
      </c>
      <c r="S876" t="str">
        <f>IFERROR(VLOOKUP(Calculations[[#This Row],[Material (choose from dropdown]],MaterialData[#All],4,FALSE),"")</f>
        <v/>
      </c>
      <c r="T876" s="322" cm="1">
        <f t="array" ref="T876">IFERROR(VLOOKUP(Calculations[[#This Row],[Waste 1]],WasteScenario[#All],2,FALSE)*'Stage assumptions'!$C$225*WasteTransportMethod[Emissions Factor
kgCO2e/kg.km]*Calculations[[#This Row],[Total Kg]],0)</f>
        <v>0</v>
      </c>
      <c r="U876" s="322" cm="1">
        <f t="array" ref="U876">IFERROR(VLOOKUP(Calculations[[#This Row],[Waste 1]],WasteScenario[#All],3,FALSE)*'Stage assumptions'!$C$224*WasteTransportMethod[Emissions Factor
kgCO2e/kg.km]*Calculations[[#This Row],[Total Kg]],0)</f>
        <v>0</v>
      </c>
      <c r="V876" s="322" cm="1">
        <f t="array" ref="V876">IFERROR(VLOOKUP(Calculations[[#This Row],[Waste 1]],WasteScenario[#All],4,FALSE)*'Stage assumptions'!$C$223*WasteTransportMethod[Emissions Factor
kgCO2e/kg.km]*Calculations[[#This Row],[Total Kg]],0)</f>
        <v>0</v>
      </c>
      <c r="W876" s="322" cm="1">
        <f t="array" ref="W876">IFERROR(VLOOKUP(Calculations[[#This Row],[Waste 1]],WasteScenario[#All],5,FALSE)*'Stage assumptions'!$C$226*WasteTransportMethod[Emissions Factor
kgCO2e/kg.km]*Calculations[[#This Row],[Total Kg]],0)</f>
        <v>0</v>
      </c>
      <c r="X876" s="322">
        <f>SUM(Calculations[[#This Row],[C2 Recycle]:[C2 Reuse]])</f>
        <v>0</v>
      </c>
      <c r="Y876" t="str">
        <f>IFERROR(VLOOKUP(Calculations[[#This Row],[Material (choose from dropdown]],MaterialData[#All],5,FALSE),"")</f>
        <v/>
      </c>
      <c r="Z876" s="322">
        <f>IFERROR(((VLOOKUP(Calculations[[#This Row],[Waste type 2]],WasteDisposalEmissions[#All],2,FALSE))*Calculations[[#This Row],[Total Kg]])*VLOOKUP(Calculations[[#This Row],[Waste 1]],WasteScenario[#All],2,FALSE),0)</f>
        <v>0</v>
      </c>
      <c r="AA876" s="322">
        <f>IFERROR((VLOOKUP(Calculations[[#This Row],[Waste type 2]],WasteDisposalEmissions[#All],3,FALSE))*Calculations[[#This Row],[Total Kg]]*VLOOKUP(Calculations[[#This Row],[Waste 1]],WasteScenario[#All],3,FALSE),0)</f>
        <v>0</v>
      </c>
      <c r="AB876" s="322">
        <f>SUM(Calculations[[#This Row],[C3 recyc]:[C3 incin]])</f>
        <v>0</v>
      </c>
      <c r="AC876" s="334">
        <f>IFERROR((VLOOKUP(Calculations[[#This Row],[Waste type 2]],WasteLandfillEmissions[#All],2,FALSE))*Calculations[[#This Row],[Total Kg]]*VLOOKUP(Calculations[[#This Row],[Waste 1]],WasteScenario[#All],4,FALSE),0)</f>
        <v>0</v>
      </c>
      <c r="AD876" s="322">
        <f>IFERROR((VLOOKUP(Calculations[[#This Row],[Waste type 2]],WasteLandfillEmissions[#All],3,FALSE))*Calculations[[#This Row],[Total Kg]]*VLOOKUP(Calculations[[#This Row],[Waste 1]],WasteScenario[#All],4,FALSE),0)</f>
        <v>0</v>
      </c>
      <c r="AE876" s="322">
        <f>SUM(Calculations[[#This Row],[C4 landfill]:[C4 re-use]])</f>
        <v>0</v>
      </c>
      <c r="AF876" s="322">
        <f>IFERROR(VLOOKUP(Calculations[[#This Row],[Material (choose from dropdown]],MaterialData[#All],8,FALSE),0)</f>
        <v>0</v>
      </c>
      <c r="AG876" s="322">
        <f>IFERROR(Calculations[[#This Row],[Total Kg]]*Calculations[[#This Row],[Seq factor]],0)</f>
        <v>0</v>
      </c>
      <c r="AI876" s="322">
        <f>Calculations[[#This Row],[A1-3]]+Calculations[[#This Row],[A4]]+Calculations[[#This Row],[A5]]+Calculations[[#This Row],[B4]]+Calculations[[#This Row],[C2 total]]+Calculations[[#This Row],[C3 total]]+Calculations[[#This Row],[C4 total]]</f>
        <v>0</v>
      </c>
      <c r="AJ876" s="2">
        <f>IFERROR(VLOOKUP(Calculations[[#This Row],[Material (choose from dropdown]],MaterialData[[#Headers],[#Data]],9,FALSE),0)</f>
        <v>0</v>
      </c>
      <c r="AK876" s="4">
        <f>IFERROR(VLOOKUP(Calculations[[#This Row],[Material (choose from dropdown]],MaterialData[[#Headers],[#Data]],10,FALSE),0)</f>
        <v>0</v>
      </c>
      <c r="AL876" s="322">
        <f>IFERROR(Calculations[[#This Row],[Data Quality Score]]*Calculations[[#This Row],[Total Kg]],0)</f>
        <v>0</v>
      </c>
    </row>
    <row r="877" spans="1:38" x14ac:dyDescent="0.3">
      <c r="A877" s="6">
        <f>IFERROR(MaterialsBoQ[[#This Row],[Scope Element]],0)</f>
        <v>0</v>
      </c>
      <c r="B877" t="str">
        <f>IFERROR(MaterialsBoQ[[#This Row],[Material ]],"")</f>
        <v/>
      </c>
      <c r="C877" t="str">
        <f>IFERROR(MaterialsBoQ[[#This Row],[Unit]],"")</f>
        <v/>
      </c>
      <c r="D877" s="322">
        <f>IFERROR(MaterialsBoQ[[#This Row],[Number]],0)</f>
        <v>0</v>
      </c>
      <c r="E877" s="322">
        <f>IFERROR(MaterialsBoQ[[#This Row],[Kg per unit]],0)</f>
        <v>0</v>
      </c>
      <c r="F877" s="322">
        <f>IFERROR(Calculations[[#This Row],[Number]]*Calculations[[#This Row],[Conversion factor]],0)</f>
        <v>0</v>
      </c>
      <c r="G877" s="322">
        <f>IFERROR(VLOOKUP(Calculations[[#This Row],[Material (choose from dropdown]],MaterialData[#All],7,FALSE),0)</f>
        <v>0</v>
      </c>
      <c r="H877" s="322">
        <f>Calculations[[#This Row],[Total Kg]]*Calculations[[#This Row],[Carbon Factor]]</f>
        <v>0</v>
      </c>
      <c r="I877" t="str">
        <f>IFERROR(VLOOKUP(Calculations[[#This Row],[Material (choose from dropdown]],MaterialData[#All],2,FALSE),"")</f>
        <v/>
      </c>
      <c r="J877" s="322">
        <f>IFERROR(((VLOOKUP(Calculations[[#This Row],[TransportSource]],TransportDistance[],2,FALSE)*'Stage assumptions'!$C$11)+VLOOKUP(Calculations[[#This Row],[TransportSource]],TransportDistance[],3,FALSE)*'Stage assumptions'!$C$12)*Calculations[[#This Row],[Total Kg]],0)</f>
        <v>0</v>
      </c>
      <c r="K877">
        <f>IFERROR(VLOOKUP(Calculations[[#This Row],[Material (choose from dropdown]], MaterialData[#All],3, FALSE),0)</f>
        <v>0</v>
      </c>
      <c r="L877" s="322">
        <f>IFERROR(VLOOKUP(Calculations[[#This Row],[A5type]],A5WastageRate[#All],2,FALSE)*Calculations[[#This Row],[A1-3]],0)</f>
        <v>0</v>
      </c>
      <c r="N877">
        <f>IFERROR(ROUNDUP(50/VLOOKUP(Calculations[[#This Row],[Scope Element]],B4referenceServiceLife[[Tier 2 element]:[Default Service Life]],2, FALSE)-1,0),0)</f>
        <v>0</v>
      </c>
      <c r="O877" s="322">
        <f>IFERROR((Calculations[[#This Row],[A1-3]]+Calculations[[#This Row],[A4]]+Calculations[[#This Row],[A5]]+Calculations[[#This Row],[C2 total]]+Calculations[[#This Row],[C3 total]]+Calculations[[#This Row],[C4 total]])*Calculations[[#This Row],[Replacements]],0)</f>
        <v>0</v>
      </c>
      <c r="S877" t="str">
        <f>IFERROR(VLOOKUP(Calculations[[#This Row],[Material (choose from dropdown]],MaterialData[#All],4,FALSE),"")</f>
        <v/>
      </c>
      <c r="T877" s="322" cm="1">
        <f t="array" ref="T877">IFERROR(VLOOKUP(Calculations[[#This Row],[Waste 1]],WasteScenario[#All],2,FALSE)*'Stage assumptions'!$C$225*WasteTransportMethod[Emissions Factor
kgCO2e/kg.km]*Calculations[[#This Row],[Total Kg]],0)</f>
        <v>0</v>
      </c>
      <c r="U877" s="322" cm="1">
        <f t="array" ref="U877">IFERROR(VLOOKUP(Calculations[[#This Row],[Waste 1]],WasteScenario[#All],3,FALSE)*'Stage assumptions'!$C$224*WasteTransportMethod[Emissions Factor
kgCO2e/kg.km]*Calculations[[#This Row],[Total Kg]],0)</f>
        <v>0</v>
      </c>
      <c r="V877" s="322" cm="1">
        <f t="array" ref="V877">IFERROR(VLOOKUP(Calculations[[#This Row],[Waste 1]],WasteScenario[#All],4,FALSE)*'Stage assumptions'!$C$223*WasteTransportMethod[Emissions Factor
kgCO2e/kg.km]*Calculations[[#This Row],[Total Kg]],0)</f>
        <v>0</v>
      </c>
      <c r="W877" s="322" cm="1">
        <f t="array" ref="W877">IFERROR(VLOOKUP(Calculations[[#This Row],[Waste 1]],WasteScenario[#All],5,FALSE)*'Stage assumptions'!$C$226*WasteTransportMethod[Emissions Factor
kgCO2e/kg.km]*Calculations[[#This Row],[Total Kg]],0)</f>
        <v>0</v>
      </c>
      <c r="X877" s="322">
        <f>SUM(Calculations[[#This Row],[C2 Recycle]:[C2 Reuse]])</f>
        <v>0</v>
      </c>
      <c r="Y877" t="str">
        <f>IFERROR(VLOOKUP(Calculations[[#This Row],[Material (choose from dropdown]],MaterialData[#All],5,FALSE),"")</f>
        <v/>
      </c>
      <c r="Z877" s="322">
        <f>IFERROR(((VLOOKUP(Calculations[[#This Row],[Waste type 2]],WasteDisposalEmissions[#All],2,FALSE))*Calculations[[#This Row],[Total Kg]])*VLOOKUP(Calculations[[#This Row],[Waste 1]],WasteScenario[#All],2,FALSE),0)</f>
        <v>0</v>
      </c>
      <c r="AA877" s="322">
        <f>IFERROR((VLOOKUP(Calculations[[#This Row],[Waste type 2]],WasteDisposalEmissions[#All],3,FALSE))*Calculations[[#This Row],[Total Kg]]*VLOOKUP(Calculations[[#This Row],[Waste 1]],WasteScenario[#All],3,FALSE),0)</f>
        <v>0</v>
      </c>
      <c r="AB877" s="322">
        <f>SUM(Calculations[[#This Row],[C3 recyc]:[C3 incin]])</f>
        <v>0</v>
      </c>
      <c r="AC877" s="334">
        <f>IFERROR((VLOOKUP(Calculations[[#This Row],[Waste type 2]],WasteLandfillEmissions[#All],2,FALSE))*Calculations[[#This Row],[Total Kg]]*VLOOKUP(Calculations[[#This Row],[Waste 1]],WasteScenario[#All],4,FALSE),0)</f>
        <v>0</v>
      </c>
      <c r="AD877" s="322">
        <f>IFERROR((VLOOKUP(Calculations[[#This Row],[Waste type 2]],WasteLandfillEmissions[#All],3,FALSE))*Calculations[[#This Row],[Total Kg]]*VLOOKUP(Calculations[[#This Row],[Waste 1]],WasteScenario[#All],4,FALSE),0)</f>
        <v>0</v>
      </c>
      <c r="AE877" s="322">
        <f>SUM(Calculations[[#This Row],[C4 landfill]:[C4 re-use]])</f>
        <v>0</v>
      </c>
      <c r="AF877" s="322">
        <f>IFERROR(VLOOKUP(Calculations[[#This Row],[Material (choose from dropdown]],MaterialData[#All],8,FALSE),0)</f>
        <v>0</v>
      </c>
      <c r="AG877" s="322">
        <f>IFERROR(Calculations[[#This Row],[Total Kg]]*Calculations[[#This Row],[Seq factor]],0)</f>
        <v>0</v>
      </c>
      <c r="AI877" s="322">
        <f>Calculations[[#This Row],[A1-3]]+Calculations[[#This Row],[A4]]+Calculations[[#This Row],[A5]]+Calculations[[#This Row],[B4]]+Calculations[[#This Row],[C2 total]]+Calculations[[#This Row],[C3 total]]+Calculations[[#This Row],[C4 total]]</f>
        <v>0</v>
      </c>
      <c r="AJ877" s="2">
        <f>IFERROR(VLOOKUP(Calculations[[#This Row],[Material (choose from dropdown]],MaterialData[[#Headers],[#Data]],9,FALSE),0)</f>
        <v>0</v>
      </c>
      <c r="AK877" s="4">
        <f>IFERROR(VLOOKUP(Calculations[[#This Row],[Material (choose from dropdown]],MaterialData[[#Headers],[#Data]],10,FALSE),0)</f>
        <v>0</v>
      </c>
      <c r="AL877" s="322">
        <f>IFERROR(Calculations[[#This Row],[Data Quality Score]]*Calculations[[#This Row],[Total Kg]],0)</f>
        <v>0</v>
      </c>
    </row>
    <row r="878" spans="1:38" x14ac:dyDescent="0.3">
      <c r="A878" s="6">
        <f>IFERROR(MaterialsBoQ[[#This Row],[Scope Element]],0)</f>
        <v>0</v>
      </c>
      <c r="B878" t="str">
        <f>IFERROR(MaterialsBoQ[[#This Row],[Material ]],"")</f>
        <v/>
      </c>
      <c r="C878" t="str">
        <f>IFERROR(MaterialsBoQ[[#This Row],[Unit]],"")</f>
        <v/>
      </c>
      <c r="D878" s="322">
        <f>IFERROR(MaterialsBoQ[[#This Row],[Number]],0)</f>
        <v>0</v>
      </c>
      <c r="E878" s="322">
        <f>IFERROR(MaterialsBoQ[[#This Row],[Kg per unit]],0)</f>
        <v>0</v>
      </c>
      <c r="F878" s="322">
        <f>IFERROR(Calculations[[#This Row],[Number]]*Calculations[[#This Row],[Conversion factor]],0)</f>
        <v>0</v>
      </c>
      <c r="G878" s="322">
        <f>IFERROR(VLOOKUP(Calculations[[#This Row],[Material (choose from dropdown]],MaterialData[#All],7,FALSE),0)</f>
        <v>0</v>
      </c>
      <c r="H878" s="322">
        <f>Calculations[[#This Row],[Total Kg]]*Calculations[[#This Row],[Carbon Factor]]</f>
        <v>0</v>
      </c>
      <c r="I878" t="str">
        <f>IFERROR(VLOOKUP(Calculations[[#This Row],[Material (choose from dropdown]],MaterialData[#All],2,FALSE),"")</f>
        <v/>
      </c>
      <c r="J878" s="322">
        <f>IFERROR(((VLOOKUP(Calculations[[#This Row],[TransportSource]],TransportDistance[],2,FALSE)*'Stage assumptions'!$C$11)+VLOOKUP(Calculations[[#This Row],[TransportSource]],TransportDistance[],3,FALSE)*'Stage assumptions'!$C$12)*Calculations[[#This Row],[Total Kg]],0)</f>
        <v>0</v>
      </c>
      <c r="K878">
        <f>IFERROR(VLOOKUP(Calculations[[#This Row],[Material (choose from dropdown]], MaterialData[#All],3, FALSE),0)</f>
        <v>0</v>
      </c>
      <c r="L878" s="322">
        <f>IFERROR(VLOOKUP(Calculations[[#This Row],[A5type]],A5WastageRate[#All],2,FALSE)*Calculations[[#This Row],[A1-3]],0)</f>
        <v>0</v>
      </c>
      <c r="N878">
        <f>IFERROR(ROUNDUP(50/VLOOKUP(Calculations[[#This Row],[Scope Element]],B4referenceServiceLife[[Tier 2 element]:[Default Service Life]],2, FALSE)-1,0),0)</f>
        <v>0</v>
      </c>
      <c r="O878" s="322">
        <f>IFERROR((Calculations[[#This Row],[A1-3]]+Calculations[[#This Row],[A4]]+Calculations[[#This Row],[A5]]+Calculations[[#This Row],[C2 total]]+Calculations[[#This Row],[C3 total]]+Calculations[[#This Row],[C4 total]])*Calculations[[#This Row],[Replacements]],0)</f>
        <v>0</v>
      </c>
      <c r="S878" t="str">
        <f>IFERROR(VLOOKUP(Calculations[[#This Row],[Material (choose from dropdown]],MaterialData[#All],4,FALSE),"")</f>
        <v/>
      </c>
      <c r="T878" s="322" cm="1">
        <f t="array" ref="T878">IFERROR(VLOOKUP(Calculations[[#This Row],[Waste 1]],WasteScenario[#All],2,FALSE)*'Stage assumptions'!$C$225*WasteTransportMethod[Emissions Factor
kgCO2e/kg.km]*Calculations[[#This Row],[Total Kg]],0)</f>
        <v>0</v>
      </c>
      <c r="U878" s="322" cm="1">
        <f t="array" ref="U878">IFERROR(VLOOKUP(Calculations[[#This Row],[Waste 1]],WasteScenario[#All],3,FALSE)*'Stage assumptions'!$C$224*WasteTransportMethod[Emissions Factor
kgCO2e/kg.km]*Calculations[[#This Row],[Total Kg]],0)</f>
        <v>0</v>
      </c>
      <c r="V878" s="322" cm="1">
        <f t="array" ref="V878">IFERROR(VLOOKUP(Calculations[[#This Row],[Waste 1]],WasteScenario[#All],4,FALSE)*'Stage assumptions'!$C$223*WasteTransportMethod[Emissions Factor
kgCO2e/kg.km]*Calculations[[#This Row],[Total Kg]],0)</f>
        <v>0</v>
      </c>
      <c r="W878" s="322" cm="1">
        <f t="array" ref="W878">IFERROR(VLOOKUP(Calculations[[#This Row],[Waste 1]],WasteScenario[#All],5,FALSE)*'Stage assumptions'!$C$226*WasteTransportMethod[Emissions Factor
kgCO2e/kg.km]*Calculations[[#This Row],[Total Kg]],0)</f>
        <v>0</v>
      </c>
      <c r="X878" s="322">
        <f>SUM(Calculations[[#This Row],[C2 Recycle]:[C2 Reuse]])</f>
        <v>0</v>
      </c>
      <c r="Y878" t="str">
        <f>IFERROR(VLOOKUP(Calculations[[#This Row],[Material (choose from dropdown]],MaterialData[#All],5,FALSE),"")</f>
        <v/>
      </c>
      <c r="Z878" s="322">
        <f>IFERROR(((VLOOKUP(Calculations[[#This Row],[Waste type 2]],WasteDisposalEmissions[#All],2,FALSE))*Calculations[[#This Row],[Total Kg]])*VLOOKUP(Calculations[[#This Row],[Waste 1]],WasteScenario[#All],2,FALSE),0)</f>
        <v>0</v>
      </c>
      <c r="AA878" s="322">
        <f>IFERROR((VLOOKUP(Calculations[[#This Row],[Waste type 2]],WasteDisposalEmissions[#All],3,FALSE))*Calculations[[#This Row],[Total Kg]]*VLOOKUP(Calculations[[#This Row],[Waste 1]],WasteScenario[#All],3,FALSE),0)</f>
        <v>0</v>
      </c>
      <c r="AB878" s="322">
        <f>SUM(Calculations[[#This Row],[C3 recyc]:[C3 incin]])</f>
        <v>0</v>
      </c>
      <c r="AC878" s="334">
        <f>IFERROR((VLOOKUP(Calculations[[#This Row],[Waste type 2]],WasteLandfillEmissions[#All],2,FALSE))*Calculations[[#This Row],[Total Kg]]*VLOOKUP(Calculations[[#This Row],[Waste 1]],WasteScenario[#All],4,FALSE),0)</f>
        <v>0</v>
      </c>
      <c r="AD878" s="322">
        <f>IFERROR((VLOOKUP(Calculations[[#This Row],[Waste type 2]],WasteLandfillEmissions[#All],3,FALSE))*Calculations[[#This Row],[Total Kg]]*VLOOKUP(Calculations[[#This Row],[Waste 1]],WasteScenario[#All],4,FALSE),0)</f>
        <v>0</v>
      </c>
      <c r="AE878" s="322">
        <f>SUM(Calculations[[#This Row],[C4 landfill]:[C4 re-use]])</f>
        <v>0</v>
      </c>
      <c r="AF878" s="322">
        <f>IFERROR(VLOOKUP(Calculations[[#This Row],[Material (choose from dropdown]],MaterialData[#All],8,FALSE),0)</f>
        <v>0</v>
      </c>
      <c r="AG878" s="322">
        <f>IFERROR(Calculations[[#This Row],[Total Kg]]*Calculations[[#This Row],[Seq factor]],0)</f>
        <v>0</v>
      </c>
      <c r="AI878" s="322">
        <f>Calculations[[#This Row],[A1-3]]+Calculations[[#This Row],[A4]]+Calculations[[#This Row],[A5]]+Calculations[[#This Row],[B4]]+Calculations[[#This Row],[C2 total]]+Calculations[[#This Row],[C3 total]]+Calculations[[#This Row],[C4 total]]</f>
        <v>0</v>
      </c>
      <c r="AJ878" s="2">
        <f>IFERROR(VLOOKUP(Calculations[[#This Row],[Material (choose from dropdown]],MaterialData[[#Headers],[#Data]],9,FALSE),0)</f>
        <v>0</v>
      </c>
      <c r="AK878" s="4">
        <f>IFERROR(VLOOKUP(Calculations[[#This Row],[Material (choose from dropdown]],MaterialData[[#Headers],[#Data]],10,FALSE),0)</f>
        <v>0</v>
      </c>
      <c r="AL878" s="322">
        <f>IFERROR(Calculations[[#This Row],[Data Quality Score]]*Calculations[[#This Row],[Total Kg]],0)</f>
        <v>0</v>
      </c>
    </row>
    <row r="879" spans="1:38" x14ac:dyDescent="0.3">
      <c r="A879" s="6">
        <f>IFERROR(MaterialsBoQ[[#This Row],[Scope Element]],0)</f>
        <v>0</v>
      </c>
      <c r="B879" t="str">
        <f>IFERROR(MaterialsBoQ[[#This Row],[Material ]],"")</f>
        <v/>
      </c>
      <c r="C879" t="str">
        <f>IFERROR(MaterialsBoQ[[#This Row],[Unit]],"")</f>
        <v/>
      </c>
      <c r="D879" s="322">
        <f>IFERROR(MaterialsBoQ[[#This Row],[Number]],0)</f>
        <v>0</v>
      </c>
      <c r="E879" s="322">
        <f>IFERROR(MaterialsBoQ[[#This Row],[Kg per unit]],0)</f>
        <v>0</v>
      </c>
      <c r="F879" s="322">
        <f>IFERROR(Calculations[[#This Row],[Number]]*Calculations[[#This Row],[Conversion factor]],0)</f>
        <v>0</v>
      </c>
      <c r="G879" s="322">
        <f>IFERROR(VLOOKUP(Calculations[[#This Row],[Material (choose from dropdown]],MaterialData[#All],7,FALSE),0)</f>
        <v>0</v>
      </c>
      <c r="H879" s="322">
        <f>Calculations[[#This Row],[Total Kg]]*Calculations[[#This Row],[Carbon Factor]]</f>
        <v>0</v>
      </c>
      <c r="I879" t="str">
        <f>IFERROR(VLOOKUP(Calculations[[#This Row],[Material (choose from dropdown]],MaterialData[#All],2,FALSE),"")</f>
        <v/>
      </c>
      <c r="J879" s="322">
        <f>IFERROR(((VLOOKUP(Calculations[[#This Row],[TransportSource]],TransportDistance[],2,FALSE)*'Stage assumptions'!$C$11)+VLOOKUP(Calculations[[#This Row],[TransportSource]],TransportDistance[],3,FALSE)*'Stage assumptions'!$C$12)*Calculations[[#This Row],[Total Kg]],0)</f>
        <v>0</v>
      </c>
      <c r="K879">
        <f>IFERROR(VLOOKUP(Calculations[[#This Row],[Material (choose from dropdown]], MaterialData[#All],3, FALSE),0)</f>
        <v>0</v>
      </c>
      <c r="L879" s="322">
        <f>IFERROR(VLOOKUP(Calculations[[#This Row],[A5type]],A5WastageRate[#All],2,FALSE)*Calculations[[#This Row],[A1-3]],0)</f>
        <v>0</v>
      </c>
      <c r="N879">
        <f>IFERROR(ROUNDUP(50/VLOOKUP(Calculations[[#This Row],[Scope Element]],B4referenceServiceLife[[Tier 2 element]:[Default Service Life]],2, FALSE)-1,0),0)</f>
        <v>0</v>
      </c>
      <c r="O879" s="322">
        <f>IFERROR((Calculations[[#This Row],[A1-3]]+Calculations[[#This Row],[A4]]+Calculations[[#This Row],[A5]]+Calculations[[#This Row],[C2 total]]+Calculations[[#This Row],[C3 total]]+Calculations[[#This Row],[C4 total]])*Calculations[[#This Row],[Replacements]],0)</f>
        <v>0</v>
      </c>
      <c r="S879" t="str">
        <f>IFERROR(VLOOKUP(Calculations[[#This Row],[Material (choose from dropdown]],MaterialData[#All],4,FALSE),"")</f>
        <v/>
      </c>
      <c r="T879" s="322" cm="1">
        <f t="array" ref="T879">IFERROR(VLOOKUP(Calculations[[#This Row],[Waste 1]],WasteScenario[#All],2,FALSE)*'Stage assumptions'!$C$225*WasteTransportMethod[Emissions Factor
kgCO2e/kg.km]*Calculations[[#This Row],[Total Kg]],0)</f>
        <v>0</v>
      </c>
      <c r="U879" s="322" cm="1">
        <f t="array" ref="U879">IFERROR(VLOOKUP(Calculations[[#This Row],[Waste 1]],WasteScenario[#All],3,FALSE)*'Stage assumptions'!$C$224*WasteTransportMethod[Emissions Factor
kgCO2e/kg.km]*Calculations[[#This Row],[Total Kg]],0)</f>
        <v>0</v>
      </c>
      <c r="V879" s="322" cm="1">
        <f t="array" ref="V879">IFERROR(VLOOKUP(Calculations[[#This Row],[Waste 1]],WasteScenario[#All],4,FALSE)*'Stage assumptions'!$C$223*WasteTransportMethod[Emissions Factor
kgCO2e/kg.km]*Calculations[[#This Row],[Total Kg]],0)</f>
        <v>0</v>
      </c>
      <c r="W879" s="322" cm="1">
        <f t="array" ref="W879">IFERROR(VLOOKUP(Calculations[[#This Row],[Waste 1]],WasteScenario[#All],5,FALSE)*'Stage assumptions'!$C$226*WasteTransportMethod[Emissions Factor
kgCO2e/kg.km]*Calculations[[#This Row],[Total Kg]],0)</f>
        <v>0</v>
      </c>
      <c r="X879" s="322">
        <f>SUM(Calculations[[#This Row],[C2 Recycle]:[C2 Reuse]])</f>
        <v>0</v>
      </c>
      <c r="Y879" t="str">
        <f>IFERROR(VLOOKUP(Calculations[[#This Row],[Material (choose from dropdown]],MaterialData[#All],5,FALSE),"")</f>
        <v/>
      </c>
      <c r="Z879" s="322">
        <f>IFERROR(((VLOOKUP(Calculations[[#This Row],[Waste type 2]],WasteDisposalEmissions[#All],2,FALSE))*Calculations[[#This Row],[Total Kg]])*VLOOKUP(Calculations[[#This Row],[Waste 1]],WasteScenario[#All],2,FALSE),0)</f>
        <v>0</v>
      </c>
      <c r="AA879" s="322">
        <f>IFERROR((VLOOKUP(Calculations[[#This Row],[Waste type 2]],WasteDisposalEmissions[#All],3,FALSE))*Calculations[[#This Row],[Total Kg]]*VLOOKUP(Calculations[[#This Row],[Waste 1]],WasteScenario[#All],3,FALSE),0)</f>
        <v>0</v>
      </c>
      <c r="AB879" s="322">
        <f>SUM(Calculations[[#This Row],[C3 recyc]:[C3 incin]])</f>
        <v>0</v>
      </c>
      <c r="AC879" s="334">
        <f>IFERROR((VLOOKUP(Calculations[[#This Row],[Waste type 2]],WasteLandfillEmissions[#All],2,FALSE))*Calculations[[#This Row],[Total Kg]]*VLOOKUP(Calculations[[#This Row],[Waste 1]],WasteScenario[#All],4,FALSE),0)</f>
        <v>0</v>
      </c>
      <c r="AD879" s="322">
        <f>IFERROR((VLOOKUP(Calculations[[#This Row],[Waste type 2]],WasteLandfillEmissions[#All],3,FALSE))*Calculations[[#This Row],[Total Kg]]*VLOOKUP(Calculations[[#This Row],[Waste 1]],WasteScenario[#All],4,FALSE),0)</f>
        <v>0</v>
      </c>
      <c r="AE879" s="322">
        <f>SUM(Calculations[[#This Row],[C4 landfill]:[C4 re-use]])</f>
        <v>0</v>
      </c>
      <c r="AF879" s="322">
        <f>IFERROR(VLOOKUP(Calculations[[#This Row],[Material (choose from dropdown]],MaterialData[#All],8,FALSE),0)</f>
        <v>0</v>
      </c>
      <c r="AG879" s="322">
        <f>IFERROR(Calculations[[#This Row],[Total Kg]]*Calculations[[#This Row],[Seq factor]],0)</f>
        <v>0</v>
      </c>
      <c r="AI879" s="322">
        <f>Calculations[[#This Row],[A1-3]]+Calculations[[#This Row],[A4]]+Calculations[[#This Row],[A5]]+Calculations[[#This Row],[B4]]+Calculations[[#This Row],[C2 total]]+Calculations[[#This Row],[C3 total]]+Calculations[[#This Row],[C4 total]]</f>
        <v>0</v>
      </c>
      <c r="AJ879" s="2">
        <f>IFERROR(VLOOKUP(Calculations[[#This Row],[Material (choose from dropdown]],MaterialData[[#Headers],[#Data]],9,FALSE),0)</f>
        <v>0</v>
      </c>
      <c r="AK879" s="4">
        <f>IFERROR(VLOOKUP(Calculations[[#This Row],[Material (choose from dropdown]],MaterialData[[#Headers],[#Data]],10,FALSE),0)</f>
        <v>0</v>
      </c>
      <c r="AL879" s="322">
        <f>IFERROR(Calculations[[#This Row],[Data Quality Score]]*Calculations[[#This Row],[Total Kg]],0)</f>
        <v>0</v>
      </c>
    </row>
    <row r="880" spans="1:38" x14ac:dyDescent="0.3">
      <c r="A880" s="6">
        <f>IFERROR(MaterialsBoQ[[#This Row],[Scope Element]],0)</f>
        <v>0</v>
      </c>
      <c r="B880" t="str">
        <f>IFERROR(MaterialsBoQ[[#This Row],[Material ]],"")</f>
        <v/>
      </c>
      <c r="C880" t="str">
        <f>IFERROR(MaterialsBoQ[[#This Row],[Unit]],"")</f>
        <v/>
      </c>
      <c r="D880" s="322">
        <f>IFERROR(MaterialsBoQ[[#This Row],[Number]],0)</f>
        <v>0</v>
      </c>
      <c r="E880" s="322">
        <f>IFERROR(MaterialsBoQ[[#This Row],[Kg per unit]],0)</f>
        <v>0</v>
      </c>
      <c r="F880" s="322">
        <f>IFERROR(Calculations[[#This Row],[Number]]*Calculations[[#This Row],[Conversion factor]],0)</f>
        <v>0</v>
      </c>
      <c r="G880" s="322">
        <f>IFERROR(VLOOKUP(Calculations[[#This Row],[Material (choose from dropdown]],MaterialData[#All],7,FALSE),0)</f>
        <v>0</v>
      </c>
      <c r="H880" s="322">
        <f>Calculations[[#This Row],[Total Kg]]*Calculations[[#This Row],[Carbon Factor]]</f>
        <v>0</v>
      </c>
      <c r="I880" t="str">
        <f>IFERROR(VLOOKUP(Calculations[[#This Row],[Material (choose from dropdown]],MaterialData[#All],2,FALSE),"")</f>
        <v/>
      </c>
      <c r="J880" s="322">
        <f>IFERROR(((VLOOKUP(Calculations[[#This Row],[TransportSource]],TransportDistance[],2,FALSE)*'Stage assumptions'!$C$11)+VLOOKUP(Calculations[[#This Row],[TransportSource]],TransportDistance[],3,FALSE)*'Stage assumptions'!$C$12)*Calculations[[#This Row],[Total Kg]],0)</f>
        <v>0</v>
      </c>
      <c r="K880">
        <f>IFERROR(VLOOKUP(Calculations[[#This Row],[Material (choose from dropdown]], MaterialData[#All],3, FALSE),0)</f>
        <v>0</v>
      </c>
      <c r="L880" s="322">
        <f>IFERROR(VLOOKUP(Calculations[[#This Row],[A5type]],A5WastageRate[#All],2,FALSE)*Calculations[[#This Row],[A1-3]],0)</f>
        <v>0</v>
      </c>
      <c r="N880">
        <f>IFERROR(ROUNDUP(50/VLOOKUP(Calculations[[#This Row],[Scope Element]],B4referenceServiceLife[[Tier 2 element]:[Default Service Life]],2, FALSE)-1,0),0)</f>
        <v>0</v>
      </c>
      <c r="O880" s="322">
        <f>IFERROR((Calculations[[#This Row],[A1-3]]+Calculations[[#This Row],[A4]]+Calculations[[#This Row],[A5]]+Calculations[[#This Row],[C2 total]]+Calculations[[#This Row],[C3 total]]+Calculations[[#This Row],[C4 total]])*Calculations[[#This Row],[Replacements]],0)</f>
        <v>0</v>
      </c>
      <c r="S880" t="str">
        <f>IFERROR(VLOOKUP(Calculations[[#This Row],[Material (choose from dropdown]],MaterialData[#All],4,FALSE),"")</f>
        <v/>
      </c>
      <c r="T880" s="322" cm="1">
        <f t="array" ref="T880">IFERROR(VLOOKUP(Calculations[[#This Row],[Waste 1]],WasteScenario[#All],2,FALSE)*'Stage assumptions'!$C$225*WasteTransportMethod[Emissions Factor
kgCO2e/kg.km]*Calculations[[#This Row],[Total Kg]],0)</f>
        <v>0</v>
      </c>
      <c r="U880" s="322" cm="1">
        <f t="array" ref="U880">IFERROR(VLOOKUP(Calculations[[#This Row],[Waste 1]],WasteScenario[#All],3,FALSE)*'Stage assumptions'!$C$224*WasteTransportMethod[Emissions Factor
kgCO2e/kg.km]*Calculations[[#This Row],[Total Kg]],0)</f>
        <v>0</v>
      </c>
      <c r="V880" s="322" cm="1">
        <f t="array" ref="V880">IFERROR(VLOOKUP(Calculations[[#This Row],[Waste 1]],WasteScenario[#All],4,FALSE)*'Stage assumptions'!$C$223*WasteTransportMethod[Emissions Factor
kgCO2e/kg.km]*Calculations[[#This Row],[Total Kg]],0)</f>
        <v>0</v>
      </c>
      <c r="W880" s="322" cm="1">
        <f t="array" ref="W880">IFERROR(VLOOKUP(Calculations[[#This Row],[Waste 1]],WasteScenario[#All],5,FALSE)*'Stage assumptions'!$C$226*WasteTransportMethod[Emissions Factor
kgCO2e/kg.km]*Calculations[[#This Row],[Total Kg]],0)</f>
        <v>0</v>
      </c>
      <c r="X880" s="322">
        <f>SUM(Calculations[[#This Row],[C2 Recycle]:[C2 Reuse]])</f>
        <v>0</v>
      </c>
      <c r="Y880" t="str">
        <f>IFERROR(VLOOKUP(Calculations[[#This Row],[Material (choose from dropdown]],MaterialData[#All],5,FALSE),"")</f>
        <v/>
      </c>
      <c r="Z880" s="322">
        <f>IFERROR(((VLOOKUP(Calculations[[#This Row],[Waste type 2]],WasteDisposalEmissions[#All],2,FALSE))*Calculations[[#This Row],[Total Kg]])*VLOOKUP(Calculations[[#This Row],[Waste 1]],WasteScenario[#All],2,FALSE),0)</f>
        <v>0</v>
      </c>
      <c r="AA880" s="322">
        <f>IFERROR((VLOOKUP(Calculations[[#This Row],[Waste type 2]],WasteDisposalEmissions[#All],3,FALSE))*Calculations[[#This Row],[Total Kg]]*VLOOKUP(Calculations[[#This Row],[Waste 1]],WasteScenario[#All],3,FALSE),0)</f>
        <v>0</v>
      </c>
      <c r="AB880" s="322">
        <f>SUM(Calculations[[#This Row],[C3 recyc]:[C3 incin]])</f>
        <v>0</v>
      </c>
      <c r="AC880" s="334">
        <f>IFERROR((VLOOKUP(Calculations[[#This Row],[Waste type 2]],WasteLandfillEmissions[#All],2,FALSE))*Calculations[[#This Row],[Total Kg]]*VLOOKUP(Calculations[[#This Row],[Waste 1]],WasteScenario[#All],4,FALSE),0)</f>
        <v>0</v>
      </c>
      <c r="AD880" s="322">
        <f>IFERROR((VLOOKUP(Calculations[[#This Row],[Waste type 2]],WasteLandfillEmissions[#All],3,FALSE))*Calculations[[#This Row],[Total Kg]]*VLOOKUP(Calculations[[#This Row],[Waste 1]],WasteScenario[#All],4,FALSE),0)</f>
        <v>0</v>
      </c>
      <c r="AE880" s="322">
        <f>SUM(Calculations[[#This Row],[C4 landfill]:[C4 re-use]])</f>
        <v>0</v>
      </c>
      <c r="AF880" s="322">
        <f>IFERROR(VLOOKUP(Calculations[[#This Row],[Material (choose from dropdown]],MaterialData[#All],8,FALSE),0)</f>
        <v>0</v>
      </c>
      <c r="AG880" s="322">
        <f>IFERROR(Calculations[[#This Row],[Total Kg]]*Calculations[[#This Row],[Seq factor]],0)</f>
        <v>0</v>
      </c>
      <c r="AI880" s="322">
        <f>Calculations[[#This Row],[A1-3]]+Calculations[[#This Row],[A4]]+Calculations[[#This Row],[A5]]+Calculations[[#This Row],[B4]]+Calculations[[#This Row],[C2 total]]+Calculations[[#This Row],[C3 total]]+Calculations[[#This Row],[C4 total]]</f>
        <v>0</v>
      </c>
      <c r="AJ880" s="2">
        <f>IFERROR(VLOOKUP(Calculations[[#This Row],[Material (choose from dropdown]],MaterialData[[#Headers],[#Data]],9,FALSE),0)</f>
        <v>0</v>
      </c>
      <c r="AK880" s="4">
        <f>IFERROR(VLOOKUP(Calculations[[#This Row],[Material (choose from dropdown]],MaterialData[[#Headers],[#Data]],10,FALSE),0)</f>
        <v>0</v>
      </c>
      <c r="AL880" s="322">
        <f>IFERROR(Calculations[[#This Row],[Data Quality Score]]*Calculations[[#This Row],[Total Kg]],0)</f>
        <v>0</v>
      </c>
    </row>
    <row r="881" spans="1:38" x14ac:dyDescent="0.3">
      <c r="A881" s="6">
        <f>IFERROR(MaterialsBoQ[[#This Row],[Scope Element]],0)</f>
        <v>0</v>
      </c>
      <c r="B881" t="str">
        <f>IFERROR(MaterialsBoQ[[#This Row],[Material ]],"")</f>
        <v/>
      </c>
      <c r="C881" t="str">
        <f>IFERROR(MaterialsBoQ[[#This Row],[Unit]],"")</f>
        <v/>
      </c>
      <c r="D881" s="322">
        <f>IFERROR(MaterialsBoQ[[#This Row],[Number]],0)</f>
        <v>0</v>
      </c>
      <c r="E881" s="322">
        <f>IFERROR(MaterialsBoQ[[#This Row],[Kg per unit]],0)</f>
        <v>0</v>
      </c>
      <c r="F881" s="322">
        <f>IFERROR(Calculations[[#This Row],[Number]]*Calculations[[#This Row],[Conversion factor]],0)</f>
        <v>0</v>
      </c>
      <c r="G881" s="322">
        <f>IFERROR(VLOOKUP(Calculations[[#This Row],[Material (choose from dropdown]],MaterialData[#All],7,FALSE),0)</f>
        <v>0</v>
      </c>
      <c r="H881" s="322">
        <f>Calculations[[#This Row],[Total Kg]]*Calculations[[#This Row],[Carbon Factor]]</f>
        <v>0</v>
      </c>
      <c r="I881" t="str">
        <f>IFERROR(VLOOKUP(Calculations[[#This Row],[Material (choose from dropdown]],MaterialData[#All],2,FALSE),"")</f>
        <v/>
      </c>
      <c r="J881" s="322">
        <f>IFERROR(((VLOOKUP(Calculations[[#This Row],[TransportSource]],TransportDistance[],2,FALSE)*'Stage assumptions'!$C$11)+VLOOKUP(Calculations[[#This Row],[TransportSource]],TransportDistance[],3,FALSE)*'Stage assumptions'!$C$12)*Calculations[[#This Row],[Total Kg]],0)</f>
        <v>0</v>
      </c>
      <c r="K881">
        <f>IFERROR(VLOOKUP(Calculations[[#This Row],[Material (choose from dropdown]], MaterialData[#All],3, FALSE),0)</f>
        <v>0</v>
      </c>
      <c r="L881" s="322">
        <f>IFERROR(VLOOKUP(Calculations[[#This Row],[A5type]],A5WastageRate[#All],2,FALSE)*Calculations[[#This Row],[A1-3]],0)</f>
        <v>0</v>
      </c>
      <c r="N881">
        <f>IFERROR(ROUNDUP(50/VLOOKUP(Calculations[[#This Row],[Scope Element]],B4referenceServiceLife[[Tier 2 element]:[Default Service Life]],2, FALSE)-1,0),0)</f>
        <v>0</v>
      </c>
      <c r="O881" s="322">
        <f>IFERROR((Calculations[[#This Row],[A1-3]]+Calculations[[#This Row],[A4]]+Calculations[[#This Row],[A5]]+Calculations[[#This Row],[C2 total]]+Calculations[[#This Row],[C3 total]]+Calculations[[#This Row],[C4 total]])*Calculations[[#This Row],[Replacements]],0)</f>
        <v>0</v>
      </c>
      <c r="S881" t="str">
        <f>IFERROR(VLOOKUP(Calculations[[#This Row],[Material (choose from dropdown]],MaterialData[#All],4,FALSE),"")</f>
        <v/>
      </c>
      <c r="T881" s="322" cm="1">
        <f t="array" ref="T881">IFERROR(VLOOKUP(Calculations[[#This Row],[Waste 1]],WasteScenario[#All],2,FALSE)*'Stage assumptions'!$C$225*WasteTransportMethod[Emissions Factor
kgCO2e/kg.km]*Calculations[[#This Row],[Total Kg]],0)</f>
        <v>0</v>
      </c>
      <c r="U881" s="322" cm="1">
        <f t="array" ref="U881">IFERROR(VLOOKUP(Calculations[[#This Row],[Waste 1]],WasteScenario[#All],3,FALSE)*'Stage assumptions'!$C$224*WasteTransportMethod[Emissions Factor
kgCO2e/kg.km]*Calculations[[#This Row],[Total Kg]],0)</f>
        <v>0</v>
      </c>
      <c r="V881" s="322" cm="1">
        <f t="array" ref="V881">IFERROR(VLOOKUP(Calculations[[#This Row],[Waste 1]],WasteScenario[#All],4,FALSE)*'Stage assumptions'!$C$223*WasteTransportMethod[Emissions Factor
kgCO2e/kg.km]*Calculations[[#This Row],[Total Kg]],0)</f>
        <v>0</v>
      </c>
      <c r="W881" s="322" cm="1">
        <f t="array" ref="W881">IFERROR(VLOOKUP(Calculations[[#This Row],[Waste 1]],WasteScenario[#All],5,FALSE)*'Stage assumptions'!$C$226*WasteTransportMethod[Emissions Factor
kgCO2e/kg.km]*Calculations[[#This Row],[Total Kg]],0)</f>
        <v>0</v>
      </c>
      <c r="X881" s="322">
        <f>SUM(Calculations[[#This Row],[C2 Recycle]:[C2 Reuse]])</f>
        <v>0</v>
      </c>
      <c r="Y881" t="str">
        <f>IFERROR(VLOOKUP(Calculations[[#This Row],[Material (choose from dropdown]],MaterialData[#All],5,FALSE),"")</f>
        <v/>
      </c>
      <c r="Z881" s="322">
        <f>IFERROR(((VLOOKUP(Calculations[[#This Row],[Waste type 2]],WasteDisposalEmissions[#All],2,FALSE))*Calculations[[#This Row],[Total Kg]])*VLOOKUP(Calculations[[#This Row],[Waste 1]],WasteScenario[#All],2,FALSE),0)</f>
        <v>0</v>
      </c>
      <c r="AA881" s="322">
        <f>IFERROR((VLOOKUP(Calculations[[#This Row],[Waste type 2]],WasteDisposalEmissions[#All],3,FALSE))*Calculations[[#This Row],[Total Kg]]*VLOOKUP(Calculations[[#This Row],[Waste 1]],WasteScenario[#All],3,FALSE),0)</f>
        <v>0</v>
      </c>
      <c r="AB881" s="322">
        <f>SUM(Calculations[[#This Row],[C3 recyc]:[C3 incin]])</f>
        <v>0</v>
      </c>
      <c r="AC881" s="334">
        <f>IFERROR((VLOOKUP(Calculations[[#This Row],[Waste type 2]],WasteLandfillEmissions[#All],2,FALSE))*Calculations[[#This Row],[Total Kg]]*VLOOKUP(Calculations[[#This Row],[Waste 1]],WasteScenario[#All],4,FALSE),0)</f>
        <v>0</v>
      </c>
      <c r="AD881" s="322">
        <f>IFERROR((VLOOKUP(Calculations[[#This Row],[Waste type 2]],WasteLandfillEmissions[#All],3,FALSE))*Calculations[[#This Row],[Total Kg]]*VLOOKUP(Calculations[[#This Row],[Waste 1]],WasteScenario[#All],4,FALSE),0)</f>
        <v>0</v>
      </c>
      <c r="AE881" s="322">
        <f>SUM(Calculations[[#This Row],[C4 landfill]:[C4 re-use]])</f>
        <v>0</v>
      </c>
      <c r="AF881" s="322">
        <f>IFERROR(VLOOKUP(Calculations[[#This Row],[Material (choose from dropdown]],MaterialData[#All],8,FALSE),0)</f>
        <v>0</v>
      </c>
      <c r="AG881" s="322">
        <f>IFERROR(Calculations[[#This Row],[Total Kg]]*Calculations[[#This Row],[Seq factor]],0)</f>
        <v>0</v>
      </c>
      <c r="AI881" s="322">
        <f>Calculations[[#This Row],[A1-3]]+Calculations[[#This Row],[A4]]+Calculations[[#This Row],[A5]]+Calculations[[#This Row],[B4]]+Calculations[[#This Row],[C2 total]]+Calculations[[#This Row],[C3 total]]+Calculations[[#This Row],[C4 total]]</f>
        <v>0</v>
      </c>
      <c r="AJ881" s="2">
        <f>IFERROR(VLOOKUP(Calculations[[#This Row],[Material (choose from dropdown]],MaterialData[[#Headers],[#Data]],9,FALSE),0)</f>
        <v>0</v>
      </c>
      <c r="AK881" s="4">
        <f>IFERROR(VLOOKUP(Calculations[[#This Row],[Material (choose from dropdown]],MaterialData[[#Headers],[#Data]],10,FALSE),0)</f>
        <v>0</v>
      </c>
      <c r="AL881" s="322">
        <f>IFERROR(Calculations[[#This Row],[Data Quality Score]]*Calculations[[#This Row],[Total Kg]],0)</f>
        <v>0</v>
      </c>
    </row>
    <row r="882" spans="1:38" x14ac:dyDescent="0.3">
      <c r="A882" s="6">
        <f>IFERROR(MaterialsBoQ[[#This Row],[Scope Element]],0)</f>
        <v>0</v>
      </c>
      <c r="B882" t="str">
        <f>IFERROR(MaterialsBoQ[[#This Row],[Material ]],"")</f>
        <v/>
      </c>
      <c r="C882" t="str">
        <f>IFERROR(MaterialsBoQ[[#This Row],[Unit]],"")</f>
        <v/>
      </c>
      <c r="D882" s="322">
        <f>IFERROR(MaterialsBoQ[[#This Row],[Number]],0)</f>
        <v>0</v>
      </c>
      <c r="E882" s="322">
        <f>IFERROR(MaterialsBoQ[[#This Row],[Kg per unit]],0)</f>
        <v>0</v>
      </c>
      <c r="F882" s="322">
        <f>IFERROR(Calculations[[#This Row],[Number]]*Calculations[[#This Row],[Conversion factor]],0)</f>
        <v>0</v>
      </c>
      <c r="G882" s="322">
        <f>IFERROR(VLOOKUP(Calculations[[#This Row],[Material (choose from dropdown]],MaterialData[#All],7,FALSE),0)</f>
        <v>0</v>
      </c>
      <c r="H882" s="322">
        <f>Calculations[[#This Row],[Total Kg]]*Calculations[[#This Row],[Carbon Factor]]</f>
        <v>0</v>
      </c>
      <c r="I882" t="str">
        <f>IFERROR(VLOOKUP(Calculations[[#This Row],[Material (choose from dropdown]],MaterialData[#All],2,FALSE),"")</f>
        <v/>
      </c>
      <c r="J882" s="322">
        <f>IFERROR(((VLOOKUP(Calculations[[#This Row],[TransportSource]],TransportDistance[],2,FALSE)*'Stage assumptions'!$C$11)+VLOOKUP(Calculations[[#This Row],[TransportSource]],TransportDistance[],3,FALSE)*'Stage assumptions'!$C$12)*Calculations[[#This Row],[Total Kg]],0)</f>
        <v>0</v>
      </c>
      <c r="K882">
        <f>IFERROR(VLOOKUP(Calculations[[#This Row],[Material (choose from dropdown]], MaterialData[#All],3, FALSE),0)</f>
        <v>0</v>
      </c>
      <c r="L882" s="322">
        <f>IFERROR(VLOOKUP(Calculations[[#This Row],[A5type]],A5WastageRate[#All],2,FALSE)*Calculations[[#This Row],[A1-3]],0)</f>
        <v>0</v>
      </c>
      <c r="N882">
        <f>IFERROR(ROUNDUP(50/VLOOKUP(Calculations[[#This Row],[Scope Element]],B4referenceServiceLife[[Tier 2 element]:[Default Service Life]],2, FALSE)-1,0),0)</f>
        <v>0</v>
      </c>
      <c r="O882" s="322">
        <f>IFERROR((Calculations[[#This Row],[A1-3]]+Calculations[[#This Row],[A4]]+Calculations[[#This Row],[A5]]+Calculations[[#This Row],[C2 total]]+Calculations[[#This Row],[C3 total]]+Calculations[[#This Row],[C4 total]])*Calculations[[#This Row],[Replacements]],0)</f>
        <v>0</v>
      </c>
      <c r="S882" t="str">
        <f>IFERROR(VLOOKUP(Calculations[[#This Row],[Material (choose from dropdown]],MaterialData[#All],4,FALSE),"")</f>
        <v/>
      </c>
      <c r="T882" s="322" cm="1">
        <f t="array" ref="T882">IFERROR(VLOOKUP(Calculations[[#This Row],[Waste 1]],WasteScenario[#All],2,FALSE)*'Stage assumptions'!$C$225*WasteTransportMethod[Emissions Factor
kgCO2e/kg.km]*Calculations[[#This Row],[Total Kg]],0)</f>
        <v>0</v>
      </c>
      <c r="U882" s="322" cm="1">
        <f t="array" ref="U882">IFERROR(VLOOKUP(Calculations[[#This Row],[Waste 1]],WasteScenario[#All],3,FALSE)*'Stage assumptions'!$C$224*WasteTransportMethod[Emissions Factor
kgCO2e/kg.km]*Calculations[[#This Row],[Total Kg]],0)</f>
        <v>0</v>
      </c>
      <c r="V882" s="322" cm="1">
        <f t="array" ref="V882">IFERROR(VLOOKUP(Calculations[[#This Row],[Waste 1]],WasteScenario[#All],4,FALSE)*'Stage assumptions'!$C$223*WasteTransportMethod[Emissions Factor
kgCO2e/kg.km]*Calculations[[#This Row],[Total Kg]],0)</f>
        <v>0</v>
      </c>
      <c r="W882" s="322" cm="1">
        <f t="array" ref="W882">IFERROR(VLOOKUP(Calculations[[#This Row],[Waste 1]],WasteScenario[#All],5,FALSE)*'Stage assumptions'!$C$226*WasteTransportMethod[Emissions Factor
kgCO2e/kg.km]*Calculations[[#This Row],[Total Kg]],0)</f>
        <v>0</v>
      </c>
      <c r="X882" s="322">
        <f>SUM(Calculations[[#This Row],[C2 Recycle]:[C2 Reuse]])</f>
        <v>0</v>
      </c>
      <c r="Y882" t="str">
        <f>IFERROR(VLOOKUP(Calculations[[#This Row],[Material (choose from dropdown]],MaterialData[#All],5,FALSE),"")</f>
        <v/>
      </c>
      <c r="Z882" s="322">
        <f>IFERROR(((VLOOKUP(Calculations[[#This Row],[Waste type 2]],WasteDisposalEmissions[#All],2,FALSE))*Calculations[[#This Row],[Total Kg]])*VLOOKUP(Calculations[[#This Row],[Waste 1]],WasteScenario[#All],2,FALSE),0)</f>
        <v>0</v>
      </c>
      <c r="AA882" s="322">
        <f>IFERROR((VLOOKUP(Calculations[[#This Row],[Waste type 2]],WasteDisposalEmissions[#All],3,FALSE))*Calculations[[#This Row],[Total Kg]]*VLOOKUP(Calculations[[#This Row],[Waste 1]],WasteScenario[#All],3,FALSE),0)</f>
        <v>0</v>
      </c>
      <c r="AB882" s="322">
        <f>SUM(Calculations[[#This Row],[C3 recyc]:[C3 incin]])</f>
        <v>0</v>
      </c>
      <c r="AC882" s="334">
        <f>IFERROR((VLOOKUP(Calculations[[#This Row],[Waste type 2]],WasteLandfillEmissions[#All],2,FALSE))*Calculations[[#This Row],[Total Kg]]*VLOOKUP(Calculations[[#This Row],[Waste 1]],WasteScenario[#All],4,FALSE),0)</f>
        <v>0</v>
      </c>
      <c r="AD882" s="322">
        <f>IFERROR((VLOOKUP(Calculations[[#This Row],[Waste type 2]],WasteLandfillEmissions[#All],3,FALSE))*Calculations[[#This Row],[Total Kg]]*VLOOKUP(Calculations[[#This Row],[Waste 1]],WasteScenario[#All],4,FALSE),0)</f>
        <v>0</v>
      </c>
      <c r="AE882" s="322">
        <f>SUM(Calculations[[#This Row],[C4 landfill]:[C4 re-use]])</f>
        <v>0</v>
      </c>
      <c r="AF882" s="322">
        <f>IFERROR(VLOOKUP(Calculations[[#This Row],[Material (choose from dropdown]],MaterialData[#All],8,FALSE),0)</f>
        <v>0</v>
      </c>
      <c r="AG882" s="322">
        <f>IFERROR(Calculations[[#This Row],[Total Kg]]*Calculations[[#This Row],[Seq factor]],0)</f>
        <v>0</v>
      </c>
      <c r="AI882" s="322">
        <f>Calculations[[#This Row],[A1-3]]+Calculations[[#This Row],[A4]]+Calculations[[#This Row],[A5]]+Calculations[[#This Row],[B4]]+Calculations[[#This Row],[C2 total]]+Calculations[[#This Row],[C3 total]]+Calculations[[#This Row],[C4 total]]</f>
        <v>0</v>
      </c>
      <c r="AJ882" s="2">
        <f>IFERROR(VLOOKUP(Calculations[[#This Row],[Material (choose from dropdown]],MaterialData[[#Headers],[#Data]],9,FALSE),0)</f>
        <v>0</v>
      </c>
      <c r="AK882" s="4">
        <f>IFERROR(VLOOKUP(Calculations[[#This Row],[Material (choose from dropdown]],MaterialData[[#Headers],[#Data]],10,FALSE),0)</f>
        <v>0</v>
      </c>
      <c r="AL882" s="322">
        <f>IFERROR(Calculations[[#This Row],[Data Quality Score]]*Calculations[[#This Row],[Total Kg]],0)</f>
        <v>0</v>
      </c>
    </row>
    <row r="883" spans="1:38" x14ac:dyDescent="0.3">
      <c r="A883" s="6">
        <f>IFERROR(MaterialsBoQ[[#This Row],[Scope Element]],0)</f>
        <v>0</v>
      </c>
      <c r="B883" t="str">
        <f>IFERROR(MaterialsBoQ[[#This Row],[Material ]],"")</f>
        <v/>
      </c>
      <c r="C883" t="str">
        <f>IFERROR(MaterialsBoQ[[#This Row],[Unit]],"")</f>
        <v/>
      </c>
      <c r="D883" s="322">
        <f>IFERROR(MaterialsBoQ[[#This Row],[Number]],0)</f>
        <v>0</v>
      </c>
      <c r="E883" s="322">
        <f>IFERROR(MaterialsBoQ[[#This Row],[Kg per unit]],0)</f>
        <v>0</v>
      </c>
      <c r="F883" s="322">
        <f>IFERROR(Calculations[[#This Row],[Number]]*Calculations[[#This Row],[Conversion factor]],0)</f>
        <v>0</v>
      </c>
      <c r="G883" s="322">
        <f>IFERROR(VLOOKUP(Calculations[[#This Row],[Material (choose from dropdown]],MaterialData[#All],7,FALSE),0)</f>
        <v>0</v>
      </c>
      <c r="H883" s="322">
        <f>Calculations[[#This Row],[Total Kg]]*Calculations[[#This Row],[Carbon Factor]]</f>
        <v>0</v>
      </c>
      <c r="I883" t="str">
        <f>IFERROR(VLOOKUP(Calculations[[#This Row],[Material (choose from dropdown]],MaterialData[#All],2,FALSE),"")</f>
        <v/>
      </c>
      <c r="J883" s="322">
        <f>IFERROR(((VLOOKUP(Calculations[[#This Row],[TransportSource]],TransportDistance[],2,FALSE)*'Stage assumptions'!$C$11)+VLOOKUP(Calculations[[#This Row],[TransportSource]],TransportDistance[],3,FALSE)*'Stage assumptions'!$C$12)*Calculations[[#This Row],[Total Kg]],0)</f>
        <v>0</v>
      </c>
      <c r="K883">
        <f>IFERROR(VLOOKUP(Calculations[[#This Row],[Material (choose from dropdown]], MaterialData[#All],3, FALSE),0)</f>
        <v>0</v>
      </c>
      <c r="L883" s="322">
        <f>IFERROR(VLOOKUP(Calculations[[#This Row],[A5type]],A5WastageRate[#All],2,FALSE)*Calculations[[#This Row],[A1-3]],0)</f>
        <v>0</v>
      </c>
      <c r="N883">
        <f>IFERROR(ROUNDUP(50/VLOOKUP(Calculations[[#This Row],[Scope Element]],B4referenceServiceLife[[Tier 2 element]:[Default Service Life]],2, FALSE)-1,0),0)</f>
        <v>0</v>
      </c>
      <c r="O883" s="322">
        <f>IFERROR((Calculations[[#This Row],[A1-3]]+Calculations[[#This Row],[A4]]+Calculations[[#This Row],[A5]]+Calculations[[#This Row],[C2 total]]+Calculations[[#This Row],[C3 total]]+Calculations[[#This Row],[C4 total]])*Calculations[[#This Row],[Replacements]],0)</f>
        <v>0</v>
      </c>
      <c r="S883" t="str">
        <f>IFERROR(VLOOKUP(Calculations[[#This Row],[Material (choose from dropdown]],MaterialData[#All],4,FALSE),"")</f>
        <v/>
      </c>
      <c r="T883" s="322" cm="1">
        <f t="array" ref="T883">IFERROR(VLOOKUP(Calculations[[#This Row],[Waste 1]],WasteScenario[#All],2,FALSE)*'Stage assumptions'!$C$225*WasteTransportMethod[Emissions Factor
kgCO2e/kg.km]*Calculations[[#This Row],[Total Kg]],0)</f>
        <v>0</v>
      </c>
      <c r="U883" s="322" cm="1">
        <f t="array" ref="U883">IFERROR(VLOOKUP(Calculations[[#This Row],[Waste 1]],WasteScenario[#All],3,FALSE)*'Stage assumptions'!$C$224*WasteTransportMethod[Emissions Factor
kgCO2e/kg.km]*Calculations[[#This Row],[Total Kg]],0)</f>
        <v>0</v>
      </c>
      <c r="V883" s="322" cm="1">
        <f t="array" ref="V883">IFERROR(VLOOKUP(Calculations[[#This Row],[Waste 1]],WasteScenario[#All],4,FALSE)*'Stage assumptions'!$C$223*WasteTransportMethod[Emissions Factor
kgCO2e/kg.km]*Calculations[[#This Row],[Total Kg]],0)</f>
        <v>0</v>
      </c>
      <c r="W883" s="322" cm="1">
        <f t="array" ref="W883">IFERROR(VLOOKUP(Calculations[[#This Row],[Waste 1]],WasteScenario[#All],5,FALSE)*'Stage assumptions'!$C$226*WasteTransportMethod[Emissions Factor
kgCO2e/kg.km]*Calculations[[#This Row],[Total Kg]],0)</f>
        <v>0</v>
      </c>
      <c r="X883" s="322">
        <f>SUM(Calculations[[#This Row],[C2 Recycle]:[C2 Reuse]])</f>
        <v>0</v>
      </c>
      <c r="Y883" t="str">
        <f>IFERROR(VLOOKUP(Calculations[[#This Row],[Material (choose from dropdown]],MaterialData[#All],5,FALSE),"")</f>
        <v/>
      </c>
      <c r="Z883" s="322">
        <f>IFERROR(((VLOOKUP(Calculations[[#This Row],[Waste type 2]],WasteDisposalEmissions[#All],2,FALSE))*Calculations[[#This Row],[Total Kg]])*VLOOKUP(Calculations[[#This Row],[Waste 1]],WasteScenario[#All],2,FALSE),0)</f>
        <v>0</v>
      </c>
      <c r="AA883" s="322">
        <f>IFERROR((VLOOKUP(Calculations[[#This Row],[Waste type 2]],WasteDisposalEmissions[#All],3,FALSE))*Calculations[[#This Row],[Total Kg]]*VLOOKUP(Calculations[[#This Row],[Waste 1]],WasteScenario[#All],3,FALSE),0)</f>
        <v>0</v>
      </c>
      <c r="AB883" s="322">
        <f>SUM(Calculations[[#This Row],[C3 recyc]:[C3 incin]])</f>
        <v>0</v>
      </c>
      <c r="AC883" s="334">
        <f>IFERROR((VLOOKUP(Calculations[[#This Row],[Waste type 2]],WasteLandfillEmissions[#All],2,FALSE))*Calculations[[#This Row],[Total Kg]]*VLOOKUP(Calculations[[#This Row],[Waste 1]],WasteScenario[#All],4,FALSE),0)</f>
        <v>0</v>
      </c>
      <c r="AD883" s="322">
        <f>IFERROR((VLOOKUP(Calculations[[#This Row],[Waste type 2]],WasteLandfillEmissions[#All],3,FALSE))*Calculations[[#This Row],[Total Kg]]*VLOOKUP(Calculations[[#This Row],[Waste 1]],WasteScenario[#All],4,FALSE),0)</f>
        <v>0</v>
      </c>
      <c r="AE883" s="322">
        <f>SUM(Calculations[[#This Row],[C4 landfill]:[C4 re-use]])</f>
        <v>0</v>
      </c>
      <c r="AF883" s="322">
        <f>IFERROR(VLOOKUP(Calculations[[#This Row],[Material (choose from dropdown]],MaterialData[#All],8,FALSE),0)</f>
        <v>0</v>
      </c>
      <c r="AG883" s="322">
        <f>IFERROR(Calculations[[#This Row],[Total Kg]]*Calculations[[#This Row],[Seq factor]],0)</f>
        <v>0</v>
      </c>
      <c r="AI883" s="322">
        <f>Calculations[[#This Row],[A1-3]]+Calculations[[#This Row],[A4]]+Calculations[[#This Row],[A5]]+Calculations[[#This Row],[B4]]+Calculations[[#This Row],[C2 total]]+Calculations[[#This Row],[C3 total]]+Calculations[[#This Row],[C4 total]]</f>
        <v>0</v>
      </c>
      <c r="AJ883" s="2">
        <f>IFERROR(VLOOKUP(Calculations[[#This Row],[Material (choose from dropdown]],MaterialData[[#Headers],[#Data]],9,FALSE),0)</f>
        <v>0</v>
      </c>
      <c r="AK883" s="4">
        <f>IFERROR(VLOOKUP(Calculations[[#This Row],[Material (choose from dropdown]],MaterialData[[#Headers],[#Data]],10,FALSE),0)</f>
        <v>0</v>
      </c>
      <c r="AL883" s="322">
        <f>IFERROR(Calculations[[#This Row],[Data Quality Score]]*Calculations[[#This Row],[Total Kg]],0)</f>
        <v>0</v>
      </c>
    </row>
    <row r="884" spans="1:38" x14ac:dyDescent="0.3">
      <c r="A884" s="6">
        <f>IFERROR(MaterialsBoQ[[#This Row],[Scope Element]],0)</f>
        <v>0</v>
      </c>
      <c r="B884" t="str">
        <f>IFERROR(MaterialsBoQ[[#This Row],[Material ]],"")</f>
        <v/>
      </c>
      <c r="C884" t="str">
        <f>IFERROR(MaterialsBoQ[[#This Row],[Unit]],"")</f>
        <v/>
      </c>
      <c r="D884" s="322">
        <f>IFERROR(MaterialsBoQ[[#This Row],[Number]],0)</f>
        <v>0</v>
      </c>
      <c r="E884" s="322">
        <f>IFERROR(MaterialsBoQ[[#This Row],[Kg per unit]],0)</f>
        <v>0</v>
      </c>
      <c r="F884" s="322">
        <f>IFERROR(Calculations[[#This Row],[Number]]*Calculations[[#This Row],[Conversion factor]],0)</f>
        <v>0</v>
      </c>
      <c r="G884" s="322">
        <f>IFERROR(VLOOKUP(Calculations[[#This Row],[Material (choose from dropdown]],MaterialData[#All],7,FALSE),0)</f>
        <v>0</v>
      </c>
      <c r="H884" s="322">
        <f>Calculations[[#This Row],[Total Kg]]*Calculations[[#This Row],[Carbon Factor]]</f>
        <v>0</v>
      </c>
      <c r="I884" t="str">
        <f>IFERROR(VLOOKUP(Calculations[[#This Row],[Material (choose from dropdown]],MaterialData[#All],2,FALSE),"")</f>
        <v/>
      </c>
      <c r="J884" s="322">
        <f>IFERROR(((VLOOKUP(Calculations[[#This Row],[TransportSource]],TransportDistance[],2,FALSE)*'Stage assumptions'!$C$11)+VLOOKUP(Calculations[[#This Row],[TransportSource]],TransportDistance[],3,FALSE)*'Stage assumptions'!$C$12)*Calculations[[#This Row],[Total Kg]],0)</f>
        <v>0</v>
      </c>
      <c r="K884">
        <f>IFERROR(VLOOKUP(Calculations[[#This Row],[Material (choose from dropdown]], MaterialData[#All],3, FALSE),0)</f>
        <v>0</v>
      </c>
      <c r="L884" s="322">
        <f>IFERROR(VLOOKUP(Calculations[[#This Row],[A5type]],A5WastageRate[#All],2,FALSE)*Calculations[[#This Row],[A1-3]],0)</f>
        <v>0</v>
      </c>
      <c r="N884">
        <f>IFERROR(ROUNDUP(50/VLOOKUP(Calculations[[#This Row],[Scope Element]],B4referenceServiceLife[[Tier 2 element]:[Default Service Life]],2, FALSE)-1,0),0)</f>
        <v>0</v>
      </c>
      <c r="O884" s="322">
        <f>IFERROR((Calculations[[#This Row],[A1-3]]+Calculations[[#This Row],[A4]]+Calculations[[#This Row],[A5]]+Calculations[[#This Row],[C2 total]]+Calculations[[#This Row],[C3 total]]+Calculations[[#This Row],[C4 total]])*Calculations[[#This Row],[Replacements]],0)</f>
        <v>0</v>
      </c>
      <c r="S884" t="str">
        <f>IFERROR(VLOOKUP(Calculations[[#This Row],[Material (choose from dropdown]],MaterialData[#All],4,FALSE),"")</f>
        <v/>
      </c>
      <c r="T884" s="322" cm="1">
        <f t="array" ref="T884">IFERROR(VLOOKUP(Calculations[[#This Row],[Waste 1]],WasteScenario[#All],2,FALSE)*'Stage assumptions'!$C$225*WasteTransportMethod[Emissions Factor
kgCO2e/kg.km]*Calculations[[#This Row],[Total Kg]],0)</f>
        <v>0</v>
      </c>
      <c r="U884" s="322" cm="1">
        <f t="array" ref="U884">IFERROR(VLOOKUP(Calculations[[#This Row],[Waste 1]],WasteScenario[#All],3,FALSE)*'Stage assumptions'!$C$224*WasteTransportMethod[Emissions Factor
kgCO2e/kg.km]*Calculations[[#This Row],[Total Kg]],0)</f>
        <v>0</v>
      </c>
      <c r="V884" s="322" cm="1">
        <f t="array" ref="V884">IFERROR(VLOOKUP(Calculations[[#This Row],[Waste 1]],WasteScenario[#All],4,FALSE)*'Stage assumptions'!$C$223*WasteTransportMethod[Emissions Factor
kgCO2e/kg.km]*Calculations[[#This Row],[Total Kg]],0)</f>
        <v>0</v>
      </c>
      <c r="W884" s="322" cm="1">
        <f t="array" ref="W884">IFERROR(VLOOKUP(Calculations[[#This Row],[Waste 1]],WasteScenario[#All],5,FALSE)*'Stage assumptions'!$C$226*WasteTransportMethod[Emissions Factor
kgCO2e/kg.km]*Calculations[[#This Row],[Total Kg]],0)</f>
        <v>0</v>
      </c>
      <c r="X884" s="322">
        <f>SUM(Calculations[[#This Row],[C2 Recycle]:[C2 Reuse]])</f>
        <v>0</v>
      </c>
      <c r="Y884" t="str">
        <f>IFERROR(VLOOKUP(Calculations[[#This Row],[Material (choose from dropdown]],MaterialData[#All],5,FALSE),"")</f>
        <v/>
      </c>
      <c r="Z884" s="322">
        <f>IFERROR(((VLOOKUP(Calculations[[#This Row],[Waste type 2]],WasteDisposalEmissions[#All],2,FALSE))*Calculations[[#This Row],[Total Kg]])*VLOOKUP(Calculations[[#This Row],[Waste 1]],WasteScenario[#All],2,FALSE),0)</f>
        <v>0</v>
      </c>
      <c r="AA884" s="322">
        <f>IFERROR((VLOOKUP(Calculations[[#This Row],[Waste type 2]],WasteDisposalEmissions[#All],3,FALSE))*Calculations[[#This Row],[Total Kg]]*VLOOKUP(Calculations[[#This Row],[Waste 1]],WasteScenario[#All],3,FALSE),0)</f>
        <v>0</v>
      </c>
      <c r="AB884" s="322">
        <f>SUM(Calculations[[#This Row],[C3 recyc]:[C3 incin]])</f>
        <v>0</v>
      </c>
      <c r="AC884" s="334">
        <f>IFERROR((VLOOKUP(Calculations[[#This Row],[Waste type 2]],WasteLandfillEmissions[#All],2,FALSE))*Calculations[[#This Row],[Total Kg]]*VLOOKUP(Calculations[[#This Row],[Waste 1]],WasteScenario[#All],4,FALSE),0)</f>
        <v>0</v>
      </c>
      <c r="AD884" s="322">
        <f>IFERROR((VLOOKUP(Calculations[[#This Row],[Waste type 2]],WasteLandfillEmissions[#All],3,FALSE))*Calculations[[#This Row],[Total Kg]]*VLOOKUP(Calculations[[#This Row],[Waste 1]],WasteScenario[#All],4,FALSE),0)</f>
        <v>0</v>
      </c>
      <c r="AE884" s="322">
        <f>SUM(Calculations[[#This Row],[C4 landfill]:[C4 re-use]])</f>
        <v>0</v>
      </c>
      <c r="AF884" s="322">
        <f>IFERROR(VLOOKUP(Calculations[[#This Row],[Material (choose from dropdown]],MaterialData[#All],8,FALSE),0)</f>
        <v>0</v>
      </c>
      <c r="AG884" s="322">
        <f>IFERROR(Calculations[[#This Row],[Total Kg]]*Calculations[[#This Row],[Seq factor]],0)</f>
        <v>0</v>
      </c>
      <c r="AI884" s="322">
        <f>Calculations[[#This Row],[A1-3]]+Calculations[[#This Row],[A4]]+Calculations[[#This Row],[A5]]+Calculations[[#This Row],[B4]]+Calculations[[#This Row],[C2 total]]+Calculations[[#This Row],[C3 total]]+Calculations[[#This Row],[C4 total]]</f>
        <v>0</v>
      </c>
      <c r="AJ884" s="2">
        <f>IFERROR(VLOOKUP(Calculations[[#This Row],[Material (choose from dropdown]],MaterialData[[#Headers],[#Data]],9,FALSE),0)</f>
        <v>0</v>
      </c>
      <c r="AK884" s="4">
        <f>IFERROR(VLOOKUP(Calculations[[#This Row],[Material (choose from dropdown]],MaterialData[[#Headers],[#Data]],10,FALSE),0)</f>
        <v>0</v>
      </c>
      <c r="AL884" s="322">
        <f>IFERROR(Calculations[[#This Row],[Data Quality Score]]*Calculations[[#This Row],[Total Kg]],0)</f>
        <v>0</v>
      </c>
    </row>
    <row r="885" spans="1:38" x14ac:dyDescent="0.3">
      <c r="A885" s="6">
        <f>IFERROR(MaterialsBoQ[[#This Row],[Scope Element]],0)</f>
        <v>0</v>
      </c>
      <c r="B885" t="str">
        <f>IFERROR(MaterialsBoQ[[#This Row],[Material ]],"")</f>
        <v/>
      </c>
      <c r="C885" t="str">
        <f>IFERROR(MaterialsBoQ[[#This Row],[Unit]],"")</f>
        <v/>
      </c>
      <c r="D885" s="322">
        <f>IFERROR(MaterialsBoQ[[#This Row],[Number]],0)</f>
        <v>0</v>
      </c>
      <c r="E885" s="322">
        <f>IFERROR(MaterialsBoQ[[#This Row],[Kg per unit]],0)</f>
        <v>0</v>
      </c>
      <c r="F885" s="322">
        <f>IFERROR(Calculations[[#This Row],[Number]]*Calculations[[#This Row],[Conversion factor]],0)</f>
        <v>0</v>
      </c>
      <c r="G885" s="322">
        <f>IFERROR(VLOOKUP(Calculations[[#This Row],[Material (choose from dropdown]],MaterialData[#All],7,FALSE),0)</f>
        <v>0</v>
      </c>
      <c r="H885" s="322">
        <f>Calculations[[#This Row],[Total Kg]]*Calculations[[#This Row],[Carbon Factor]]</f>
        <v>0</v>
      </c>
      <c r="I885" t="str">
        <f>IFERROR(VLOOKUP(Calculations[[#This Row],[Material (choose from dropdown]],MaterialData[#All],2,FALSE),"")</f>
        <v/>
      </c>
      <c r="J885" s="322">
        <f>IFERROR(((VLOOKUP(Calculations[[#This Row],[TransportSource]],TransportDistance[],2,FALSE)*'Stage assumptions'!$C$11)+VLOOKUP(Calculations[[#This Row],[TransportSource]],TransportDistance[],3,FALSE)*'Stage assumptions'!$C$12)*Calculations[[#This Row],[Total Kg]],0)</f>
        <v>0</v>
      </c>
      <c r="K885">
        <f>IFERROR(VLOOKUP(Calculations[[#This Row],[Material (choose from dropdown]], MaterialData[#All],3, FALSE),0)</f>
        <v>0</v>
      </c>
      <c r="L885" s="322">
        <f>IFERROR(VLOOKUP(Calculations[[#This Row],[A5type]],A5WastageRate[#All],2,FALSE)*Calculations[[#This Row],[A1-3]],0)</f>
        <v>0</v>
      </c>
      <c r="N885">
        <f>IFERROR(ROUNDUP(50/VLOOKUP(Calculations[[#This Row],[Scope Element]],B4referenceServiceLife[[Tier 2 element]:[Default Service Life]],2, FALSE)-1,0),0)</f>
        <v>0</v>
      </c>
      <c r="O885" s="322">
        <f>IFERROR((Calculations[[#This Row],[A1-3]]+Calculations[[#This Row],[A4]]+Calculations[[#This Row],[A5]]+Calculations[[#This Row],[C2 total]]+Calculations[[#This Row],[C3 total]]+Calculations[[#This Row],[C4 total]])*Calculations[[#This Row],[Replacements]],0)</f>
        <v>0</v>
      </c>
      <c r="S885" t="str">
        <f>IFERROR(VLOOKUP(Calculations[[#This Row],[Material (choose from dropdown]],MaterialData[#All],4,FALSE),"")</f>
        <v/>
      </c>
      <c r="T885" s="322" cm="1">
        <f t="array" ref="T885">IFERROR(VLOOKUP(Calculations[[#This Row],[Waste 1]],WasteScenario[#All],2,FALSE)*'Stage assumptions'!$C$225*WasteTransportMethod[Emissions Factor
kgCO2e/kg.km]*Calculations[[#This Row],[Total Kg]],0)</f>
        <v>0</v>
      </c>
      <c r="U885" s="322" cm="1">
        <f t="array" ref="U885">IFERROR(VLOOKUP(Calculations[[#This Row],[Waste 1]],WasteScenario[#All],3,FALSE)*'Stage assumptions'!$C$224*WasteTransportMethod[Emissions Factor
kgCO2e/kg.km]*Calculations[[#This Row],[Total Kg]],0)</f>
        <v>0</v>
      </c>
      <c r="V885" s="322" cm="1">
        <f t="array" ref="V885">IFERROR(VLOOKUP(Calculations[[#This Row],[Waste 1]],WasteScenario[#All],4,FALSE)*'Stage assumptions'!$C$223*WasteTransportMethod[Emissions Factor
kgCO2e/kg.km]*Calculations[[#This Row],[Total Kg]],0)</f>
        <v>0</v>
      </c>
      <c r="W885" s="322" cm="1">
        <f t="array" ref="W885">IFERROR(VLOOKUP(Calculations[[#This Row],[Waste 1]],WasteScenario[#All],5,FALSE)*'Stage assumptions'!$C$226*WasteTransportMethod[Emissions Factor
kgCO2e/kg.km]*Calculations[[#This Row],[Total Kg]],0)</f>
        <v>0</v>
      </c>
      <c r="X885" s="322">
        <f>SUM(Calculations[[#This Row],[C2 Recycle]:[C2 Reuse]])</f>
        <v>0</v>
      </c>
      <c r="Y885" t="str">
        <f>IFERROR(VLOOKUP(Calculations[[#This Row],[Material (choose from dropdown]],MaterialData[#All],5,FALSE),"")</f>
        <v/>
      </c>
      <c r="Z885" s="322">
        <f>IFERROR(((VLOOKUP(Calculations[[#This Row],[Waste type 2]],WasteDisposalEmissions[#All],2,FALSE))*Calculations[[#This Row],[Total Kg]])*VLOOKUP(Calculations[[#This Row],[Waste 1]],WasteScenario[#All],2,FALSE),0)</f>
        <v>0</v>
      </c>
      <c r="AA885" s="322">
        <f>IFERROR((VLOOKUP(Calculations[[#This Row],[Waste type 2]],WasteDisposalEmissions[#All],3,FALSE))*Calculations[[#This Row],[Total Kg]]*VLOOKUP(Calculations[[#This Row],[Waste 1]],WasteScenario[#All],3,FALSE),0)</f>
        <v>0</v>
      </c>
      <c r="AB885" s="322">
        <f>SUM(Calculations[[#This Row],[C3 recyc]:[C3 incin]])</f>
        <v>0</v>
      </c>
      <c r="AC885" s="334">
        <f>IFERROR((VLOOKUP(Calculations[[#This Row],[Waste type 2]],WasteLandfillEmissions[#All],2,FALSE))*Calculations[[#This Row],[Total Kg]]*VLOOKUP(Calculations[[#This Row],[Waste 1]],WasteScenario[#All],4,FALSE),0)</f>
        <v>0</v>
      </c>
      <c r="AD885" s="322">
        <f>IFERROR((VLOOKUP(Calculations[[#This Row],[Waste type 2]],WasteLandfillEmissions[#All],3,FALSE))*Calculations[[#This Row],[Total Kg]]*VLOOKUP(Calculations[[#This Row],[Waste 1]],WasteScenario[#All],4,FALSE),0)</f>
        <v>0</v>
      </c>
      <c r="AE885" s="322">
        <f>SUM(Calculations[[#This Row],[C4 landfill]:[C4 re-use]])</f>
        <v>0</v>
      </c>
      <c r="AF885" s="322">
        <f>IFERROR(VLOOKUP(Calculations[[#This Row],[Material (choose from dropdown]],MaterialData[#All],8,FALSE),0)</f>
        <v>0</v>
      </c>
      <c r="AG885" s="322">
        <f>IFERROR(Calculations[[#This Row],[Total Kg]]*Calculations[[#This Row],[Seq factor]],0)</f>
        <v>0</v>
      </c>
      <c r="AI885" s="322">
        <f>Calculations[[#This Row],[A1-3]]+Calculations[[#This Row],[A4]]+Calculations[[#This Row],[A5]]+Calculations[[#This Row],[B4]]+Calculations[[#This Row],[C2 total]]+Calculations[[#This Row],[C3 total]]+Calculations[[#This Row],[C4 total]]</f>
        <v>0</v>
      </c>
      <c r="AJ885" s="2">
        <f>IFERROR(VLOOKUP(Calculations[[#This Row],[Material (choose from dropdown]],MaterialData[[#Headers],[#Data]],9,FALSE),0)</f>
        <v>0</v>
      </c>
      <c r="AK885" s="4">
        <f>IFERROR(VLOOKUP(Calculations[[#This Row],[Material (choose from dropdown]],MaterialData[[#Headers],[#Data]],10,FALSE),0)</f>
        <v>0</v>
      </c>
      <c r="AL885" s="322">
        <f>IFERROR(Calculations[[#This Row],[Data Quality Score]]*Calculations[[#This Row],[Total Kg]],0)</f>
        <v>0</v>
      </c>
    </row>
    <row r="886" spans="1:38" x14ac:dyDescent="0.3">
      <c r="A886" s="6">
        <f>IFERROR(MaterialsBoQ[[#This Row],[Scope Element]],0)</f>
        <v>0</v>
      </c>
      <c r="B886" t="str">
        <f>IFERROR(MaterialsBoQ[[#This Row],[Material ]],"")</f>
        <v/>
      </c>
      <c r="C886" t="str">
        <f>IFERROR(MaterialsBoQ[[#This Row],[Unit]],"")</f>
        <v/>
      </c>
      <c r="D886" s="322">
        <f>IFERROR(MaterialsBoQ[[#This Row],[Number]],0)</f>
        <v>0</v>
      </c>
      <c r="E886" s="322">
        <f>IFERROR(MaterialsBoQ[[#This Row],[Kg per unit]],0)</f>
        <v>0</v>
      </c>
      <c r="F886" s="322">
        <f>IFERROR(Calculations[[#This Row],[Number]]*Calculations[[#This Row],[Conversion factor]],0)</f>
        <v>0</v>
      </c>
      <c r="G886" s="322">
        <f>IFERROR(VLOOKUP(Calculations[[#This Row],[Material (choose from dropdown]],MaterialData[#All],7,FALSE),0)</f>
        <v>0</v>
      </c>
      <c r="H886" s="322">
        <f>Calculations[[#This Row],[Total Kg]]*Calculations[[#This Row],[Carbon Factor]]</f>
        <v>0</v>
      </c>
      <c r="I886" t="str">
        <f>IFERROR(VLOOKUP(Calculations[[#This Row],[Material (choose from dropdown]],MaterialData[#All],2,FALSE),"")</f>
        <v/>
      </c>
      <c r="J886" s="322">
        <f>IFERROR(((VLOOKUP(Calculations[[#This Row],[TransportSource]],TransportDistance[],2,FALSE)*'Stage assumptions'!$C$11)+VLOOKUP(Calculations[[#This Row],[TransportSource]],TransportDistance[],3,FALSE)*'Stage assumptions'!$C$12)*Calculations[[#This Row],[Total Kg]],0)</f>
        <v>0</v>
      </c>
      <c r="K886">
        <f>IFERROR(VLOOKUP(Calculations[[#This Row],[Material (choose from dropdown]], MaterialData[#All],3, FALSE),0)</f>
        <v>0</v>
      </c>
      <c r="L886" s="322">
        <f>IFERROR(VLOOKUP(Calculations[[#This Row],[A5type]],A5WastageRate[#All],2,FALSE)*Calculations[[#This Row],[A1-3]],0)</f>
        <v>0</v>
      </c>
      <c r="N886">
        <f>IFERROR(ROUNDUP(50/VLOOKUP(Calculations[[#This Row],[Scope Element]],B4referenceServiceLife[[Tier 2 element]:[Default Service Life]],2, FALSE)-1,0),0)</f>
        <v>0</v>
      </c>
      <c r="O886" s="322">
        <f>IFERROR((Calculations[[#This Row],[A1-3]]+Calculations[[#This Row],[A4]]+Calculations[[#This Row],[A5]]+Calculations[[#This Row],[C2 total]]+Calculations[[#This Row],[C3 total]]+Calculations[[#This Row],[C4 total]])*Calculations[[#This Row],[Replacements]],0)</f>
        <v>0</v>
      </c>
      <c r="S886" t="str">
        <f>IFERROR(VLOOKUP(Calculations[[#This Row],[Material (choose from dropdown]],MaterialData[#All],4,FALSE),"")</f>
        <v/>
      </c>
      <c r="T886" s="322" cm="1">
        <f t="array" ref="T886">IFERROR(VLOOKUP(Calculations[[#This Row],[Waste 1]],WasteScenario[#All],2,FALSE)*'Stage assumptions'!$C$225*WasteTransportMethod[Emissions Factor
kgCO2e/kg.km]*Calculations[[#This Row],[Total Kg]],0)</f>
        <v>0</v>
      </c>
      <c r="U886" s="322" cm="1">
        <f t="array" ref="U886">IFERROR(VLOOKUP(Calculations[[#This Row],[Waste 1]],WasteScenario[#All],3,FALSE)*'Stage assumptions'!$C$224*WasteTransportMethod[Emissions Factor
kgCO2e/kg.km]*Calculations[[#This Row],[Total Kg]],0)</f>
        <v>0</v>
      </c>
      <c r="V886" s="322" cm="1">
        <f t="array" ref="V886">IFERROR(VLOOKUP(Calculations[[#This Row],[Waste 1]],WasteScenario[#All],4,FALSE)*'Stage assumptions'!$C$223*WasteTransportMethod[Emissions Factor
kgCO2e/kg.km]*Calculations[[#This Row],[Total Kg]],0)</f>
        <v>0</v>
      </c>
      <c r="W886" s="322" cm="1">
        <f t="array" ref="W886">IFERROR(VLOOKUP(Calculations[[#This Row],[Waste 1]],WasteScenario[#All],5,FALSE)*'Stage assumptions'!$C$226*WasteTransportMethod[Emissions Factor
kgCO2e/kg.km]*Calculations[[#This Row],[Total Kg]],0)</f>
        <v>0</v>
      </c>
      <c r="X886" s="322">
        <f>SUM(Calculations[[#This Row],[C2 Recycle]:[C2 Reuse]])</f>
        <v>0</v>
      </c>
      <c r="Y886" t="str">
        <f>IFERROR(VLOOKUP(Calculations[[#This Row],[Material (choose from dropdown]],MaterialData[#All],5,FALSE),"")</f>
        <v/>
      </c>
      <c r="Z886" s="322">
        <f>IFERROR(((VLOOKUP(Calculations[[#This Row],[Waste type 2]],WasteDisposalEmissions[#All],2,FALSE))*Calculations[[#This Row],[Total Kg]])*VLOOKUP(Calculations[[#This Row],[Waste 1]],WasteScenario[#All],2,FALSE),0)</f>
        <v>0</v>
      </c>
      <c r="AA886" s="322">
        <f>IFERROR((VLOOKUP(Calculations[[#This Row],[Waste type 2]],WasteDisposalEmissions[#All],3,FALSE))*Calculations[[#This Row],[Total Kg]]*VLOOKUP(Calculations[[#This Row],[Waste 1]],WasteScenario[#All],3,FALSE),0)</f>
        <v>0</v>
      </c>
      <c r="AB886" s="322">
        <f>SUM(Calculations[[#This Row],[C3 recyc]:[C3 incin]])</f>
        <v>0</v>
      </c>
      <c r="AC886" s="334">
        <f>IFERROR((VLOOKUP(Calculations[[#This Row],[Waste type 2]],WasteLandfillEmissions[#All],2,FALSE))*Calculations[[#This Row],[Total Kg]]*VLOOKUP(Calculations[[#This Row],[Waste 1]],WasteScenario[#All],4,FALSE),0)</f>
        <v>0</v>
      </c>
      <c r="AD886" s="322">
        <f>IFERROR((VLOOKUP(Calculations[[#This Row],[Waste type 2]],WasteLandfillEmissions[#All],3,FALSE))*Calculations[[#This Row],[Total Kg]]*VLOOKUP(Calculations[[#This Row],[Waste 1]],WasteScenario[#All],4,FALSE),0)</f>
        <v>0</v>
      </c>
      <c r="AE886" s="322">
        <f>SUM(Calculations[[#This Row],[C4 landfill]:[C4 re-use]])</f>
        <v>0</v>
      </c>
      <c r="AF886" s="322">
        <f>IFERROR(VLOOKUP(Calculations[[#This Row],[Material (choose from dropdown]],MaterialData[#All],8,FALSE),0)</f>
        <v>0</v>
      </c>
      <c r="AG886" s="322">
        <f>IFERROR(Calculations[[#This Row],[Total Kg]]*Calculations[[#This Row],[Seq factor]],0)</f>
        <v>0</v>
      </c>
      <c r="AI886" s="322">
        <f>Calculations[[#This Row],[A1-3]]+Calculations[[#This Row],[A4]]+Calculations[[#This Row],[A5]]+Calculations[[#This Row],[B4]]+Calculations[[#This Row],[C2 total]]+Calculations[[#This Row],[C3 total]]+Calculations[[#This Row],[C4 total]]</f>
        <v>0</v>
      </c>
      <c r="AJ886" s="2">
        <f>IFERROR(VLOOKUP(Calculations[[#This Row],[Material (choose from dropdown]],MaterialData[[#Headers],[#Data]],9,FALSE),0)</f>
        <v>0</v>
      </c>
      <c r="AK886" s="4">
        <f>IFERROR(VLOOKUP(Calculations[[#This Row],[Material (choose from dropdown]],MaterialData[[#Headers],[#Data]],10,FALSE),0)</f>
        <v>0</v>
      </c>
      <c r="AL886" s="322">
        <f>IFERROR(Calculations[[#This Row],[Data Quality Score]]*Calculations[[#This Row],[Total Kg]],0)</f>
        <v>0</v>
      </c>
    </row>
    <row r="887" spans="1:38" x14ac:dyDescent="0.3">
      <c r="A887" s="6">
        <f>IFERROR(MaterialsBoQ[[#This Row],[Scope Element]],0)</f>
        <v>0</v>
      </c>
      <c r="B887" t="str">
        <f>IFERROR(MaterialsBoQ[[#This Row],[Material ]],"")</f>
        <v/>
      </c>
      <c r="C887" t="str">
        <f>IFERROR(MaterialsBoQ[[#This Row],[Unit]],"")</f>
        <v/>
      </c>
      <c r="D887" s="322">
        <f>IFERROR(MaterialsBoQ[[#This Row],[Number]],0)</f>
        <v>0</v>
      </c>
      <c r="E887" s="322">
        <f>IFERROR(MaterialsBoQ[[#This Row],[Kg per unit]],0)</f>
        <v>0</v>
      </c>
      <c r="F887" s="322">
        <f>IFERROR(Calculations[[#This Row],[Number]]*Calculations[[#This Row],[Conversion factor]],0)</f>
        <v>0</v>
      </c>
      <c r="G887" s="322">
        <f>IFERROR(VLOOKUP(Calculations[[#This Row],[Material (choose from dropdown]],MaterialData[#All],7,FALSE),0)</f>
        <v>0</v>
      </c>
      <c r="H887" s="322">
        <f>Calculations[[#This Row],[Total Kg]]*Calculations[[#This Row],[Carbon Factor]]</f>
        <v>0</v>
      </c>
      <c r="I887" t="str">
        <f>IFERROR(VLOOKUP(Calculations[[#This Row],[Material (choose from dropdown]],MaterialData[#All],2,FALSE),"")</f>
        <v/>
      </c>
      <c r="J887" s="322">
        <f>IFERROR(((VLOOKUP(Calculations[[#This Row],[TransportSource]],TransportDistance[],2,FALSE)*'Stage assumptions'!$C$11)+VLOOKUP(Calculations[[#This Row],[TransportSource]],TransportDistance[],3,FALSE)*'Stage assumptions'!$C$12)*Calculations[[#This Row],[Total Kg]],0)</f>
        <v>0</v>
      </c>
      <c r="K887">
        <f>IFERROR(VLOOKUP(Calculations[[#This Row],[Material (choose from dropdown]], MaterialData[#All],3, FALSE),0)</f>
        <v>0</v>
      </c>
      <c r="L887" s="322">
        <f>IFERROR(VLOOKUP(Calculations[[#This Row],[A5type]],A5WastageRate[#All],2,FALSE)*Calculations[[#This Row],[A1-3]],0)</f>
        <v>0</v>
      </c>
      <c r="N887">
        <f>IFERROR(ROUNDUP(50/VLOOKUP(Calculations[[#This Row],[Scope Element]],B4referenceServiceLife[[Tier 2 element]:[Default Service Life]],2, FALSE)-1,0),0)</f>
        <v>0</v>
      </c>
      <c r="O887" s="322">
        <f>IFERROR((Calculations[[#This Row],[A1-3]]+Calculations[[#This Row],[A4]]+Calculations[[#This Row],[A5]]+Calculations[[#This Row],[C2 total]]+Calculations[[#This Row],[C3 total]]+Calculations[[#This Row],[C4 total]])*Calculations[[#This Row],[Replacements]],0)</f>
        <v>0</v>
      </c>
      <c r="S887" t="str">
        <f>IFERROR(VLOOKUP(Calculations[[#This Row],[Material (choose from dropdown]],MaterialData[#All],4,FALSE),"")</f>
        <v/>
      </c>
      <c r="T887" s="322" cm="1">
        <f t="array" ref="T887">IFERROR(VLOOKUP(Calculations[[#This Row],[Waste 1]],WasteScenario[#All],2,FALSE)*'Stage assumptions'!$C$225*WasteTransportMethod[Emissions Factor
kgCO2e/kg.km]*Calculations[[#This Row],[Total Kg]],0)</f>
        <v>0</v>
      </c>
      <c r="U887" s="322" cm="1">
        <f t="array" ref="U887">IFERROR(VLOOKUP(Calculations[[#This Row],[Waste 1]],WasteScenario[#All],3,FALSE)*'Stage assumptions'!$C$224*WasteTransportMethod[Emissions Factor
kgCO2e/kg.km]*Calculations[[#This Row],[Total Kg]],0)</f>
        <v>0</v>
      </c>
      <c r="V887" s="322" cm="1">
        <f t="array" ref="V887">IFERROR(VLOOKUP(Calculations[[#This Row],[Waste 1]],WasteScenario[#All],4,FALSE)*'Stage assumptions'!$C$223*WasteTransportMethod[Emissions Factor
kgCO2e/kg.km]*Calculations[[#This Row],[Total Kg]],0)</f>
        <v>0</v>
      </c>
      <c r="W887" s="322" cm="1">
        <f t="array" ref="W887">IFERROR(VLOOKUP(Calculations[[#This Row],[Waste 1]],WasteScenario[#All],5,FALSE)*'Stage assumptions'!$C$226*WasteTransportMethod[Emissions Factor
kgCO2e/kg.km]*Calculations[[#This Row],[Total Kg]],0)</f>
        <v>0</v>
      </c>
      <c r="X887" s="322">
        <f>SUM(Calculations[[#This Row],[C2 Recycle]:[C2 Reuse]])</f>
        <v>0</v>
      </c>
      <c r="Y887" t="str">
        <f>IFERROR(VLOOKUP(Calculations[[#This Row],[Material (choose from dropdown]],MaterialData[#All],5,FALSE),"")</f>
        <v/>
      </c>
      <c r="Z887" s="322">
        <f>IFERROR(((VLOOKUP(Calculations[[#This Row],[Waste type 2]],WasteDisposalEmissions[#All],2,FALSE))*Calculations[[#This Row],[Total Kg]])*VLOOKUP(Calculations[[#This Row],[Waste 1]],WasteScenario[#All],2,FALSE),0)</f>
        <v>0</v>
      </c>
      <c r="AA887" s="322">
        <f>IFERROR((VLOOKUP(Calculations[[#This Row],[Waste type 2]],WasteDisposalEmissions[#All],3,FALSE))*Calculations[[#This Row],[Total Kg]]*VLOOKUP(Calculations[[#This Row],[Waste 1]],WasteScenario[#All],3,FALSE),0)</f>
        <v>0</v>
      </c>
      <c r="AB887" s="322">
        <f>SUM(Calculations[[#This Row],[C3 recyc]:[C3 incin]])</f>
        <v>0</v>
      </c>
      <c r="AC887" s="334">
        <f>IFERROR((VLOOKUP(Calculations[[#This Row],[Waste type 2]],WasteLandfillEmissions[#All],2,FALSE))*Calculations[[#This Row],[Total Kg]]*VLOOKUP(Calculations[[#This Row],[Waste 1]],WasteScenario[#All],4,FALSE),0)</f>
        <v>0</v>
      </c>
      <c r="AD887" s="322">
        <f>IFERROR((VLOOKUP(Calculations[[#This Row],[Waste type 2]],WasteLandfillEmissions[#All],3,FALSE))*Calculations[[#This Row],[Total Kg]]*VLOOKUP(Calculations[[#This Row],[Waste 1]],WasteScenario[#All],4,FALSE),0)</f>
        <v>0</v>
      </c>
      <c r="AE887" s="322">
        <f>SUM(Calculations[[#This Row],[C4 landfill]:[C4 re-use]])</f>
        <v>0</v>
      </c>
      <c r="AF887" s="322">
        <f>IFERROR(VLOOKUP(Calculations[[#This Row],[Material (choose from dropdown]],MaterialData[#All],8,FALSE),0)</f>
        <v>0</v>
      </c>
      <c r="AG887" s="322">
        <f>IFERROR(Calculations[[#This Row],[Total Kg]]*Calculations[[#This Row],[Seq factor]],0)</f>
        <v>0</v>
      </c>
      <c r="AI887" s="322">
        <f>Calculations[[#This Row],[A1-3]]+Calculations[[#This Row],[A4]]+Calculations[[#This Row],[A5]]+Calculations[[#This Row],[B4]]+Calculations[[#This Row],[C2 total]]+Calculations[[#This Row],[C3 total]]+Calculations[[#This Row],[C4 total]]</f>
        <v>0</v>
      </c>
      <c r="AJ887" s="2">
        <f>IFERROR(VLOOKUP(Calculations[[#This Row],[Material (choose from dropdown]],MaterialData[[#Headers],[#Data]],9,FALSE),0)</f>
        <v>0</v>
      </c>
      <c r="AK887" s="4">
        <f>IFERROR(VLOOKUP(Calculations[[#This Row],[Material (choose from dropdown]],MaterialData[[#Headers],[#Data]],10,FALSE),0)</f>
        <v>0</v>
      </c>
      <c r="AL887" s="322">
        <f>IFERROR(Calculations[[#This Row],[Data Quality Score]]*Calculations[[#This Row],[Total Kg]],0)</f>
        <v>0</v>
      </c>
    </row>
    <row r="888" spans="1:38" x14ac:dyDescent="0.3">
      <c r="A888" s="6">
        <f>IFERROR(MaterialsBoQ[[#This Row],[Scope Element]],0)</f>
        <v>0</v>
      </c>
      <c r="B888" t="str">
        <f>IFERROR(MaterialsBoQ[[#This Row],[Material ]],"")</f>
        <v/>
      </c>
      <c r="C888" t="str">
        <f>IFERROR(MaterialsBoQ[[#This Row],[Unit]],"")</f>
        <v/>
      </c>
      <c r="D888" s="322">
        <f>IFERROR(MaterialsBoQ[[#This Row],[Number]],0)</f>
        <v>0</v>
      </c>
      <c r="E888" s="322">
        <f>IFERROR(MaterialsBoQ[[#This Row],[Kg per unit]],0)</f>
        <v>0</v>
      </c>
      <c r="F888" s="322">
        <f>IFERROR(Calculations[[#This Row],[Number]]*Calculations[[#This Row],[Conversion factor]],0)</f>
        <v>0</v>
      </c>
      <c r="G888" s="322">
        <f>IFERROR(VLOOKUP(Calculations[[#This Row],[Material (choose from dropdown]],MaterialData[#All],7,FALSE),0)</f>
        <v>0</v>
      </c>
      <c r="H888" s="322">
        <f>Calculations[[#This Row],[Total Kg]]*Calculations[[#This Row],[Carbon Factor]]</f>
        <v>0</v>
      </c>
      <c r="I888" t="str">
        <f>IFERROR(VLOOKUP(Calculations[[#This Row],[Material (choose from dropdown]],MaterialData[#All],2,FALSE),"")</f>
        <v/>
      </c>
      <c r="J888" s="322">
        <f>IFERROR(((VLOOKUP(Calculations[[#This Row],[TransportSource]],TransportDistance[],2,FALSE)*'Stage assumptions'!$C$11)+VLOOKUP(Calculations[[#This Row],[TransportSource]],TransportDistance[],3,FALSE)*'Stage assumptions'!$C$12)*Calculations[[#This Row],[Total Kg]],0)</f>
        <v>0</v>
      </c>
      <c r="K888">
        <f>IFERROR(VLOOKUP(Calculations[[#This Row],[Material (choose from dropdown]], MaterialData[#All],3, FALSE),0)</f>
        <v>0</v>
      </c>
      <c r="L888" s="322">
        <f>IFERROR(VLOOKUP(Calculations[[#This Row],[A5type]],A5WastageRate[#All],2,FALSE)*Calculations[[#This Row],[A1-3]],0)</f>
        <v>0</v>
      </c>
      <c r="N888">
        <f>IFERROR(ROUNDUP(50/VLOOKUP(Calculations[[#This Row],[Scope Element]],B4referenceServiceLife[[Tier 2 element]:[Default Service Life]],2, FALSE)-1,0),0)</f>
        <v>0</v>
      </c>
      <c r="O888" s="322">
        <f>IFERROR((Calculations[[#This Row],[A1-3]]+Calculations[[#This Row],[A4]]+Calculations[[#This Row],[A5]]+Calculations[[#This Row],[C2 total]]+Calculations[[#This Row],[C3 total]]+Calculations[[#This Row],[C4 total]])*Calculations[[#This Row],[Replacements]],0)</f>
        <v>0</v>
      </c>
      <c r="S888" t="str">
        <f>IFERROR(VLOOKUP(Calculations[[#This Row],[Material (choose from dropdown]],MaterialData[#All],4,FALSE),"")</f>
        <v/>
      </c>
      <c r="T888" s="322" cm="1">
        <f t="array" ref="T888">IFERROR(VLOOKUP(Calculations[[#This Row],[Waste 1]],WasteScenario[#All],2,FALSE)*'Stage assumptions'!$C$225*WasteTransportMethod[Emissions Factor
kgCO2e/kg.km]*Calculations[[#This Row],[Total Kg]],0)</f>
        <v>0</v>
      </c>
      <c r="U888" s="322" cm="1">
        <f t="array" ref="U888">IFERROR(VLOOKUP(Calculations[[#This Row],[Waste 1]],WasteScenario[#All],3,FALSE)*'Stage assumptions'!$C$224*WasteTransportMethod[Emissions Factor
kgCO2e/kg.km]*Calculations[[#This Row],[Total Kg]],0)</f>
        <v>0</v>
      </c>
      <c r="V888" s="322" cm="1">
        <f t="array" ref="V888">IFERROR(VLOOKUP(Calculations[[#This Row],[Waste 1]],WasteScenario[#All],4,FALSE)*'Stage assumptions'!$C$223*WasteTransportMethod[Emissions Factor
kgCO2e/kg.km]*Calculations[[#This Row],[Total Kg]],0)</f>
        <v>0</v>
      </c>
      <c r="W888" s="322" cm="1">
        <f t="array" ref="W888">IFERROR(VLOOKUP(Calculations[[#This Row],[Waste 1]],WasteScenario[#All],5,FALSE)*'Stage assumptions'!$C$226*WasteTransportMethod[Emissions Factor
kgCO2e/kg.km]*Calculations[[#This Row],[Total Kg]],0)</f>
        <v>0</v>
      </c>
      <c r="X888" s="322">
        <f>SUM(Calculations[[#This Row],[C2 Recycle]:[C2 Reuse]])</f>
        <v>0</v>
      </c>
      <c r="Y888" t="str">
        <f>IFERROR(VLOOKUP(Calculations[[#This Row],[Material (choose from dropdown]],MaterialData[#All],5,FALSE),"")</f>
        <v/>
      </c>
      <c r="Z888" s="322">
        <f>IFERROR(((VLOOKUP(Calculations[[#This Row],[Waste type 2]],WasteDisposalEmissions[#All],2,FALSE))*Calculations[[#This Row],[Total Kg]])*VLOOKUP(Calculations[[#This Row],[Waste 1]],WasteScenario[#All],2,FALSE),0)</f>
        <v>0</v>
      </c>
      <c r="AA888" s="322">
        <f>IFERROR((VLOOKUP(Calculations[[#This Row],[Waste type 2]],WasteDisposalEmissions[#All],3,FALSE))*Calculations[[#This Row],[Total Kg]]*VLOOKUP(Calculations[[#This Row],[Waste 1]],WasteScenario[#All],3,FALSE),0)</f>
        <v>0</v>
      </c>
      <c r="AB888" s="322">
        <f>SUM(Calculations[[#This Row],[C3 recyc]:[C3 incin]])</f>
        <v>0</v>
      </c>
      <c r="AC888" s="334">
        <f>IFERROR((VLOOKUP(Calculations[[#This Row],[Waste type 2]],WasteLandfillEmissions[#All],2,FALSE))*Calculations[[#This Row],[Total Kg]]*VLOOKUP(Calculations[[#This Row],[Waste 1]],WasteScenario[#All],4,FALSE),0)</f>
        <v>0</v>
      </c>
      <c r="AD888" s="322">
        <f>IFERROR((VLOOKUP(Calculations[[#This Row],[Waste type 2]],WasteLandfillEmissions[#All],3,FALSE))*Calculations[[#This Row],[Total Kg]]*VLOOKUP(Calculations[[#This Row],[Waste 1]],WasteScenario[#All],4,FALSE),0)</f>
        <v>0</v>
      </c>
      <c r="AE888" s="322">
        <f>SUM(Calculations[[#This Row],[C4 landfill]:[C4 re-use]])</f>
        <v>0</v>
      </c>
      <c r="AF888" s="322">
        <f>IFERROR(VLOOKUP(Calculations[[#This Row],[Material (choose from dropdown]],MaterialData[#All],8,FALSE),0)</f>
        <v>0</v>
      </c>
      <c r="AG888" s="322">
        <f>IFERROR(Calculations[[#This Row],[Total Kg]]*Calculations[[#This Row],[Seq factor]],0)</f>
        <v>0</v>
      </c>
      <c r="AI888" s="322">
        <f>Calculations[[#This Row],[A1-3]]+Calculations[[#This Row],[A4]]+Calculations[[#This Row],[A5]]+Calculations[[#This Row],[B4]]+Calculations[[#This Row],[C2 total]]+Calculations[[#This Row],[C3 total]]+Calculations[[#This Row],[C4 total]]</f>
        <v>0</v>
      </c>
      <c r="AJ888" s="2">
        <f>IFERROR(VLOOKUP(Calculations[[#This Row],[Material (choose from dropdown]],MaterialData[[#Headers],[#Data]],9,FALSE),0)</f>
        <v>0</v>
      </c>
      <c r="AK888" s="4">
        <f>IFERROR(VLOOKUP(Calculations[[#This Row],[Material (choose from dropdown]],MaterialData[[#Headers],[#Data]],10,FALSE),0)</f>
        <v>0</v>
      </c>
      <c r="AL888" s="322">
        <f>IFERROR(Calculations[[#This Row],[Data Quality Score]]*Calculations[[#This Row],[Total Kg]],0)</f>
        <v>0</v>
      </c>
    </row>
    <row r="889" spans="1:38" x14ac:dyDescent="0.3">
      <c r="A889" s="6">
        <f>IFERROR(MaterialsBoQ[[#This Row],[Scope Element]],0)</f>
        <v>0</v>
      </c>
      <c r="B889" t="str">
        <f>IFERROR(MaterialsBoQ[[#This Row],[Material ]],"")</f>
        <v/>
      </c>
      <c r="C889" t="str">
        <f>IFERROR(MaterialsBoQ[[#This Row],[Unit]],"")</f>
        <v/>
      </c>
      <c r="D889" s="322">
        <f>IFERROR(MaterialsBoQ[[#This Row],[Number]],0)</f>
        <v>0</v>
      </c>
      <c r="E889" s="322">
        <f>IFERROR(MaterialsBoQ[[#This Row],[Kg per unit]],0)</f>
        <v>0</v>
      </c>
      <c r="F889" s="322">
        <f>IFERROR(Calculations[[#This Row],[Number]]*Calculations[[#This Row],[Conversion factor]],0)</f>
        <v>0</v>
      </c>
      <c r="G889" s="322">
        <f>IFERROR(VLOOKUP(Calculations[[#This Row],[Material (choose from dropdown]],MaterialData[#All],7,FALSE),0)</f>
        <v>0</v>
      </c>
      <c r="H889" s="322">
        <f>Calculations[[#This Row],[Total Kg]]*Calculations[[#This Row],[Carbon Factor]]</f>
        <v>0</v>
      </c>
      <c r="I889" t="str">
        <f>IFERROR(VLOOKUP(Calculations[[#This Row],[Material (choose from dropdown]],MaterialData[#All],2,FALSE),"")</f>
        <v/>
      </c>
      <c r="J889" s="322">
        <f>IFERROR(((VLOOKUP(Calculations[[#This Row],[TransportSource]],TransportDistance[],2,FALSE)*'Stage assumptions'!$C$11)+VLOOKUP(Calculations[[#This Row],[TransportSource]],TransportDistance[],3,FALSE)*'Stage assumptions'!$C$12)*Calculations[[#This Row],[Total Kg]],0)</f>
        <v>0</v>
      </c>
      <c r="K889">
        <f>IFERROR(VLOOKUP(Calculations[[#This Row],[Material (choose from dropdown]], MaterialData[#All],3, FALSE),0)</f>
        <v>0</v>
      </c>
      <c r="L889" s="322">
        <f>IFERROR(VLOOKUP(Calculations[[#This Row],[A5type]],A5WastageRate[#All],2,FALSE)*Calculations[[#This Row],[A1-3]],0)</f>
        <v>0</v>
      </c>
      <c r="N889">
        <f>IFERROR(ROUNDUP(50/VLOOKUP(Calculations[[#This Row],[Scope Element]],B4referenceServiceLife[[Tier 2 element]:[Default Service Life]],2, FALSE)-1,0),0)</f>
        <v>0</v>
      </c>
      <c r="O889" s="322">
        <f>IFERROR((Calculations[[#This Row],[A1-3]]+Calculations[[#This Row],[A4]]+Calculations[[#This Row],[A5]]+Calculations[[#This Row],[C2 total]]+Calculations[[#This Row],[C3 total]]+Calculations[[#This Row],[C4 total]])*Calculations[[#This Row],[Replacements]],0)</f>
        <v>0</v>
      </c>
      <c r="S889" t="str">
        <f>IFERROR(VLOOKUP(Calculations[[#This Row],[Material (choose from dropdown]],MaterialData[#All],4,FALSE),"")</f>
        <v/>
      </c>
      <c r="T889" s="322" cm="1">
        <f t="array" ref="T889">IFERROR(VLOOKUP(Calculations[[#This Row],[Waste 1]],WasteScenario[#All],2,FALSE)*'Stage assumptions'!$C$225*WasteTransportMethod[Emissions Factor
kgCO2e/kg.km]*Calculations[[#This Row],[Total Kg]],0)</f>
        <v>0</v>
      </c>
      <c r="U889" s="322" cm="1">
        <f t="array" ref="U889">IFERROR(VLOOKUP(Calculations[[#This Row],[Waste 1]],WasteScenario[#All],3,FALSE)*'Stage assumptions'!$C$224*WasteTransportMethod[Emissions Factor
kgCO2e/kg.km]*Calculations[[#This Row],[Total Kg]],0)</f>
        <v>0</v>
      </c>
      <c r="V889" s="322" cm="1">
        <f t="array" ref="V889">IFERROR(VLOOKUP(Calculations[[#This Row],[Waste 1]],WasteScenario[#All],4,FALSE)*'Stage assumptions'!$C$223*WasteTransportMethod[Emissions Factor
kgCO2e/kg.km]*Calculations[[#This Row],[Total Kg]],0)</f>
        <v>0</v>
      </c>
      <c r="W889" s="322" cm="1">
        <f t="array" ref="W889">IFERROR(VLOOKUP(Calculations[[#This Row],[Waste 1]],WasteScenario[#All],5,FALSE)*'Stage assumptions'!$C$226*WasteTransportMethod[Emissions Factor
kgCO2e/kg.km]*Calculations[[#This Row],[Total Kg]],0)</f>
        <v>0</v>
      </c>
      <c r="X889" s="322">
        <f>SUM(Calculations[[#This Row],[C2 Recycle]:[C2 Reuse]])</f>
        <v>0</v>
      </c>
      <c r="Y889" t="str">
        <f>IFERROR(VLOOKUP(Calculations[[#This Row],[Material (choose from dropdown]],MaterialData[#All],5,FALSE),"")</f>
        <v/>
      </c>
      <c r="Z889" s="322">
        <f>IFERROR(((VLOOKUP(Calculations[[#This Row],[Waste type 2]],WasteDisposalEmissions[#All],2,FALSE))*Calculations[[#This Row],[Total Kg]])*VLOOKUP(Calculations[[#This Row],[Waste 1]],WasteScenario[#All],2,FALSE),0)</f>
        <v>0</v>
      </c>
      <c r="AA889" s="322">
        <f>IFERROR((VLOOKUP(Calculations[[#This Row],[Waste type 2]],WasteDisposalEmissions[#All],3,FALSE))*Calculations[[#This Row],[Total Kg]]*VLOOKUP(Calculations[[#This Row],[Waste 1]],WasteScenario[#All],3,FALSE),0)</f>
        <v>0</v>
      </c>
      <c r="AB889" s="322">
        <f>SUM(Calculations[[#This Row],[C3 recyc]:[C3 incin]])</f>
        <v>0</v>
      </c>
      <c r="AC889" s="334">
        <f>IFERROR((VLOOKUP(Calculations[[#This Row],[Waste type 2]],WasteLandfillEmissions[#All],2,FALSE))*Calculations[[#This Row],[Total Kg]]*VLOOKUP(Calculations[[#This Row],[Waste 1]],WasteScenario[#All],4,FALSE),0)</f>
        <v>0</v>
      </c>
      <c r="AD889" s="322">
        <f>IFERROR((VLOOKUP(Calculations[[#This Row],[Waste type 2]],WasteLandfillEmissions[#All],3,FALSE))*Calculations[[#This Row],[Total Kg]]*VLOOKUP(Calculations[[#This Row],[Waste 1]],WasteScenario[#All],4,FALSE),0)</f>
        <v>0</v>
      </c>
      <c r="AE889" s="322">
        <f>SUM(Calculations[[#This Row],[C4 landfill]:[C4 re-use]])</f>
        <v>0</v>
      </c>
      <c r="AF889" s="322">
        <f>IFERROR(VLOOKUP(Calculations[[#This Row],[Material (choose from dropdown]],MaterialData[#All],8,FALSE),0)</f>
        <v>0</v>
      </c>
      <c r="AG889" s="322">
        <f>IFERROR(Calculations[[#This Row],[Total Kg]]*Calculations[[#This Row],[Seq factor]],0)</f>
        <v>0</v>
      </c>
      <c r="AI889" s="322">
        <f>Calculations[[#This Row],[A1-3]]+Calculations[[#This Row],[A4]]+Calculations[[#This Row],[A5]]+Calculations[[#This Row],[B4]]+Calculations[[#This Row],[C2 total]]+Calculations[[#This Row],[C3 total]]+Calculations[[#This Row],[C4 total]]</f>
        <v>0</v>
      </c>
      <c r="AJ889" s="2">
        <f>IFERROR(VLOOKUP(Calculations[[#This Row],[Material (choose from dropdown]],MaterialData[[#Headers],[#Data]],9,FALSE),0)</f>
        <v>0</v>
      </c>
      <c r="AK889" s="4">
        <f>IFERROR(VLOOKUP(Calculations[[#This Row],[Material (choose from dropdown]],MaterialData[[#Headers],[#Data]],10,FALSE),0)</f>
        <v>0</v>
      </c>
      <c r="AL889" s="322">
        <f>IFERROR(Calculations[[#This Row],[Data Quality Score]]*Calculations[[#This Row],[Total Kg]],0)</f>
        <v>0</v>
      </c>
    </row>
    <row r="890" spans="1:38" x14ac:dyDescent="0.3">
      <c r="A890" s="6">
        <f>IFERROR(MaterialsBoQ[[#This Row],[Scope Element]],0)</f>
        <v>0</v>
      </c>
      <c r="B890" t="str">
        <f>IFERROR(MaterialsBoQ[[#This Row],[Material ]],"")</f>
        <v/>
      </c>
      <c r="C890" t="str">
        <f>IFERROR(MaterialsBoQ[[#This Row],[Unit]],"")</f>
        <v/>
      </c>
      <c r="D890" s="322">
        <f>IFERROR(MaterialsBoQ[[#This Row],[Number]],0)</f>
        <v>0</v>
      </c>
      <c r="E890" s="322">
        <f>IFERROR(MaterialsBoQ[[#This Row],[Kg per unit]],0)</f>
        <v>0</v>
      </c>
      <c r="F890" s="322">
        <f>IFERROR(Calculations[[#This Row],[Number]]*Calculations[[#This Row],[Conversion factor]],0)</f>
        <v>0</v>
      </c>
      <c r="G890" s="322">
        <f>IFERROR(VLOOKUP(Calculations[[#This Row],[Material (choose from dropdown]],MaterialData[#All],7,FALSE),0)</f>
        <v>0</v>
      </c>
      <c r="H890" s="322">
        <f>Calculations[[#This Row],[Total Kg]]*Calculations[[#This Row],[Carbon Factor]]</f>
        <v>0</v>
      </c>
      <c r="I890" t="str">
        <f>IFERROR(VLOOKUP(Calculations[[#This Row],[Material (choose from dropdown]],MaterialData[#All],2,FALSE),"")</f>
        <v/>
      </c>
      <c r="J890" s="322">
        <f>IFERROR(((VLOOKUP(Calculations[[#This Row],[TransportSource]],TransportDistance[],2,FALSE)*'Stage assumptions'!$C$11)+VLOOKUP(Calculations[[#This Row],[TransportSource]],TransportDistance[],3,FALSE)*'Stage assumptions'!$C$12)*Calculations[[#This Row],[Total Kg]],0)</f>
        <v>0</v>
      </c>
      <c r="K890">
        <f>IFERROR(VLOOKUP(Calculations[[#This Row],[Material (choose from dropdown]], MaterialData[#All],3, FALSE),0)</f>
        <v>0</v>
      </c>
      <c r="L890" s="322">
        <f>IFERROR(VLOOKUP(Calculations[[#This Row],[A5type]],A5WastageRate[#All],2,FALSE)*Calculations[[#This Row],[A1-3]],0)</f>
        <v>0</v>
      </c>
      <c r="N890">
        <f>IFERROR(ROUNDUP(50/VLOOKUP(Calculations[[#This Row],[Scope Element]],B4referenceServiceLife[[Tier 2 element]:[Default Service Life]],2, FALSE)-1,0),0)</f>
        <v>0</v>
      </c>
      <c r="O890" s="322">
        <f>IFERROR((Calculations[[#This Row],[A1-3]]+Calculations[[#This Row],[A4]]+Calculations[[#This Row],[A5]]+Calculations[[#This Row],[C2 total]]+Calculations[[#This Row],[C3 total]]+Calculations[[#This Row],[C4 total]])*Calculations[[#This Row],[Replacements]],0)</f>
        <v>0</v>
      </c>
      <c r="S890" t="str">
        <f>IFERROR(VLOOKUP(Calculations[[#This Row],[Material (choose from dropdown]],MaterialData[#All],4,FALSE),"")</f>
        <v/>
      </c>
      <c r="T890" s="322" cm="1">
        <f t="array" ref="T890">IFERROR(VLOOKUP(Calculations[[#This Row],[Waste 1]],WasteScenario[#All],2,FALSE)*'Stage assumptions'!$C$225*WasteTransportMethod[Emissions Factor
kgCO2e/kg.km]*Calculations[[#This Row],[Total Kg]],0)</f>
        <v>0</v>
      </c>
      <c r="U890" s="322" cm="1">
        <f t="array" ref="U890">IFERROR(VLOOKUP(Calculations[[#This Row],[Waste 1]],WasteScenario[#All],3,FALSE)*'Stage assumptions'!$C$224*WasteTransportMethod[Emissions Factor
kgCO2e/kg.km]*Calculations[[#This Row],[Total Kg]],0)</f>
        <v>0</v>
      </c>
      <c r="V890" s="322" cm="1">
        <f t="array" ref="V890">IFERROR(VLOOKUP(Calculations[[#This Row],[Waste 1]],WasteScenario[#All],4,FALSE)*'Stage assumptions'!$C$223*WasteTransportMethod[Emissions Factor
kgCO2e/kg.km]*Calculations[[#This Row],[Total Kg]],0)</f>
        <v>0</v>
      </c>
      <c r="W890" s="322" cm="1">
        <f t="array" ref="W890">IFERROR(VLOOKUP(Calculations[[#This Row],[Waste 1]],WasteScenario[#All],5,FALSE)*'Stage assumptions'!$C$226*WasteTransportMethod[Emissions Factor
kgCO2e/kg.km]*Calculations[[#This Row],[Total Kg]],0)</f>
        <v>0</v>
      </c>
      <c r="X890" s="322">
        <f>SUM(Calculations[[#This Row],[C2 Recycle]:[C2 Reuse]])</f>
        <v>0</v>
      </c>
      <c r="Y890" t="str">
        <f>IFERROR(VLOOKUP(Calculations[[#This Row],[Material (choose from dropdown]],MaterialData[#All],5,FALSE),"")</f>
        <v/>
      </c>
      <c r="Z890" s="322">
        <f>IFERROR(((VLOOKUP(Calculations[[#This Row],[Waste type 2]],WasteDisposalEmissions[#All],2,FALSE))*Calculations[[#This Row],[Total Kg]])*VLOOKUP(Calculations[[#This Row],[Waste 1]],WasteScenario[#All],2,FALSE),0)</f>
        <v>0</v>
      </c>
      <c r="AA890" s="322">
        <f>IFERROR((VLOOKUP(Calculations[[#This Row],[Waste type 2]],WasteDisposalEmissions[#All],3,FALSE))*Calculations[[#This Row],[Total Kg]]*VLOOKUP(Calculations[[#This Row],[Waste 1]],WasteScenario[#All],3,FALSE),0)</f>
        <v>0</v>
      </c>
      <c r="AB890" s="322">
        <f>SUM(Calculations[[#This Row],[C3 recyc]:[C3 incin]])</f>
        <v>0</v>
      </c>
      <c r="AC890" s="334">
        <f>IFERROR((VLOOKUP(Calculations[[#This Row],[Waste type 2]],WasteLandfillEmissions[#All],2,FALSE))*Calculations[[#This Row],[Total Kg]]*VLOOKUP(Calculations[[#This Row],[Waste 1]],WasteScenario[#All],4,FALSE),0)</f>
        <v>0</v>
      </c>
      <c r="AD890" s="322">
        <f>IFERROR((VLOOKUP(Calculations[[#This Row],[Waste type 2]],WasteLandfillEmissions[#All],3,FALSE))*Calculations[[#This Row],[Total Kg]]*VLOOKUP(Calculations[[#This Row],[Waste 1]],WasteScenario[#All],4,FALSE),0)</f>
        <v>0</v>
      </c>
      <c r="AE890" s="322">
        <f>SUM(Calculations[[#This Row],[C4 landfill]:[C4 re-use]])</f>
        <v>0</v>
      </c>
      <c r="AF890" s="322">
        <f>IFERROR(VLOOKUP(Calculations[[#This Row],[Material (choose from dropdown]],MaterialData[#All],8,FALSE),0)</f>
        <v>0</v>
      </c>
      <c r="AG890" s="322">
        <f>IFERROR(Calculations[[#This Row],[Total Kg]]*Calculations[[#This Row],[Seq factor]],0)</f>
        <v>0</v>
      </c>
      <c r="AI890" s="322">
        <f>Calculations[[#This Row],[A1-3]]+Calculations[[#This Row],[A4]]+Calculations[[#This Row],[A5]]+Calculations[[#This Row],[B4]]+Calculations[[#This Row],[C2 total]]+Calculations[[#This Row],[C3 total]]+Calculations[[#This Row],[C4 total]]</f>
        <v>0</v>
      </c>
      <c r="AJ890" s="2">
        <f>IFERROR(VLOOKUP(Calculations[[#This Row],[Material (choose from dropdown]],MaterialData[[#Headers],[#Data]],9,FALSE),0)</f>
        <v>0</v>
      </c>
      <c r="AK890" s="4">
        <f>IFERROR(VLOOKUP(Calculations[[#This Row],[Material (choose from dropdown]],MaterialData[[#Headers],[#Data]],10,FALSE),0)</f>
        <v>0</v>
      </c>
      <c r="AL890" s="322">
        <f>IFERROR(Calculations[[#This Row],[Data Quality Score]]*Calculations[[#This Row],[Total Kg]],0)</f>
        <v>0</v>
      </c>
    </row>
    <row r="891" spans="1:38" x14ac:dyDescent="0.3">
      <c r="A891" s="6">
        <f>IFERROR(MaterialsBoQ[[#This Row],[Scope Element]],0)</f>
        <v>0</v>
      </c>
      <c r="B891" t="str">
        <f>IFERROR(MaterialsBoQ[[#This Row],[Material ]],"")</f>
        <v/>
      </c>
      <c r="C891" t="str">
        <f>IFERROR(MaterialsBoQ[[#This Row],[Unit]],"")</f>
        <v/>
      </c>
      <c r="D891" s="322">
        <f>IFERROR(MaterialsBoQ[[#This Row],[Number]],0)</f>
        <v>0</v>
      </c>
      <c r="E891" s="322">
        <f>IFERROR(MaterialsBoQ[[#This Row],[Kg per unit]],0)</f>
        <v>0</v>
      </c>
      <c r="F891" s="322">
        <f>IFERROR(Calculations[[#This Row],[Number]]*Calculations[[#This Row],[Conversion factor]],0)</f>
        <v>0</v>
      </c>
      <c r="G891" s="322">
        <f>IFERROR(VLOOKUP(Calculations[[#This Row],[Material (choose from dropdown]],MaterialData[#All],7,FALSE),0)</f>
        <v>0</v>
      </c>
      <c r="H891" s="322">
        <f>Calculations[[#This Row],[Total Kg]]*Calculations[[#This Row],[Carbon Factor]]</f>
        <v>0</v>
      </c>
      <c r="I891" t="str">
        <f>IFERROR(VLOOKUP(Calculations[[#This Row],[Material (choose from dropdown]],MaterialData[#All],2,FALSE),"")</f>
        <v/>
      </c>
      <c r="J891" s="322">
        <f>IFERROR(((VLOOKUP(Calculations[[#This Row],[TransportSource]],TransportDistance[],2,FALSE)*'Stage assumptions'!$C$11)+VLOOKUP(Calculations[[#This Row],[TransportSource]],TransportDistance[],3,FALSE)*'Stage assumptions'!$C$12)*Calculations[[#This Row],[Total Kg]],0)</f>
        <v>0</v>
      </c>
      <c r="K891">
        <f>IFERROR(VLOOKUP(Calculations[[#This Row],[Material (choose from dropdown]], MaterialData[#All],3, FALSE),0)</f>
        <v>0</v>
      </c>
      <c r="L891" s="322">
        <f>IFERROR(VLOOKUP(Calculations[[#This Row],[A5type]],A5WastageRate[#All],2,FALSE)*Calculations[[#This Row],[A1-3]],0)</f>
        <v>0</v>
      </c>
      <c r="N891">
        <f>IFERROR(ROUNDUP(50/VLOOKUP(Calculations[[#This Row],[Scope Element]],B4referenceServiceLife[[Tier 2 element]:[Default Service Life]],2, FALSE)-1,0),0)</f>
        <v>0</v>
      </c>
      <c r="O891" s="322">
        <f>IFERROR((Calculations[[#This Row],[A1-3]]+Calculations[[#This Row],[A4]]+Calculations[[#This Row],[A5]]+Calculations[[#This Row],[C2 total]]+Calculations[[#This Row],[C3 total]]+Calculations[[#This Row],[C4 total]])*Calculations[[#This Row],[Replacements]],0)</f>
        <v>0</v>
      </c>
      <c r="S891" t="str">
        <f>IFERROR(VLOOKUP(Calculations[[#This Row],[Material (choose from dropdown]],MaterialData[#All],4,FALSE),"")</f>
        <v/>
      </c>
      <c r="T891" s="322" cm="1">
        <f t="array" ref="T891">IFERROR(VLOOKUP(Calculations[[#This Row],[Waste 1]],WasteScenario[#All],2,FALSE)*'Stage assumptions'!$C$225*WasteTransportMethod[Emissions Factor
kgCO2e/kg.km]*Calculations[[#This Row],[Total Kg]],0)</f>
        <v>0</v>
      </c>
      <c r="U891" s="322" cm="1">
        <f t="array" ref="U891">IFERROR(VLOOKUP(Calculations[[#This Row],[Waste 1]],WasteScenario[#All],3,FALSE)*'Stage assumptions'!$C$224*WasteTransportMethod[Emissions Factor
kgCO2e/kg.km]*Calculations[[#This Row],[Total Kg]],0)</f>
        <v>0</v>
      </c>
      <c r="V891" s="322" cm="1">
        <f t="array" ref="V891">IFERROR(VLOOKUP(Calculations[[#This Row],[Waste 1]],WasteScenario[#All],4,FALSE)*'Stage assumptions'!$C$223*WasteTransportMethod[Emissions Factor
kgCO2e/kg.km]*Calculations[[#This Row],[Total Kg]],0)</f>
        <v>0</v>
      </c>
      <c r="W891" s="322" cm="1">
        <f t="array" ref="W891">IFERROR(VLOOKUP(Calculations[[#This Row],[Waste 1]],WasteScenario[#All],5,FALSE)*'Stage assumptions'!$C$226*WasteTransportMethod[Emissions Factor
kgCO2e/kg.km]*Calculations[[#This Row],[Total Kg]],0)</f>
        <v>0</v>
      </c>
      <c r="X891" s="322">
        <f>SUM(Calculations[[#This Row],[C2 Recycle]:[C2 Reuse]])</f>
        <v>0</v>
      </c>
      <c r="Y891" t="str">
        <f>IFERROR(VLOOKUP(Calculations[[#This Row],[Material (choose from dropdown]],MaterialData[#All],5,FALSE),"")</f>
        <v/>
      </c>
      <c r="Z891" s="322">
        <f>IFERROR(((VLOOKUP(Calculations[[#This Row],[Waste type 2]],WasteDisposalEmissions[#All],2,FALSE))*Calculations[[#This Row],[Total Kg]])*VLOOKUP(Calculations[[#This Row],[Waste 1]],WasteScenario[#All],2,FALSE),0)</f>
        <v>0</v>
      </c>
      <c r="AA891" s="322">
        <f>IFERROR((VLOOKUP(Calculations[[#This Row],[Waste type 2]],WasteDisposalEmissions[#All],3,FALSE))*Calculations[[#This Row],[Total Kg]]*VLOOKUP(Calculations[[#This Row],[Waste 1]],WasteScenario[#All],3,FALSE),0)</f>
        <v>0</v>
      </c>
      <c r="AB891" s="322">
        <f>SUM(Calculations[[#This Row],[C3 recyc]:[C3 incin]])</f>
        <v>0</v>
      </c>
      <c r="AC891" s="334">
        <f>IFERROR((VLOOKUP(Calculations[[#This Row],[Waste type 2]],WasteLandfillEmissions[#All],2,FALSE))*Calculations[[#This Row],[Total Kg]]*VLOOKUP(Calculations[[#This Row],[Waste 1]],WasteScenario[#All],4,FALSE),0)</f>
        <v>0</v>
      </c>
      <c r="AD891" s="322">
        <f>IFERROR((VLOOKUP(Calculations[[#This Row],[Waste type 2]],WasteLandfillEmissions[#All],3,FALSE))*Calculations[[#This Row],[Total Kg]]*VLOOKUP(Calculations[[#This Row],[Waste 1]],WasteScenario[#All],4,FALSE),0)</f>
        <v>0</v>
      </c>
      <c r="AE891" s="322">
        <f>SUM(Calculations[[#This Row],[C4 landfill]:[C4 re-use]])</f>
        <v>0</v>
      </c>
      <c r="AF891" s="322">
        <f>IFERROR(VLOOKUP(Calculations[[#This Row],[Material (choose from dropdown]],MaterialData[#All],8,FALSE),0)</f>
        <v>0</v>
      </c>
      <c r="AG891" s="322">
        <f>IFERROR(Calculations[[#This Row],[Total Kg]]*Calculations[[#This Row],[Seq factor]],0)</f>
        <v>0</v>
      </c>
      <c r="AI891" s="322">
        <f>Calculations[[#This Row],[A1-3]]+Calculations[[#This Row],[A4]]+Calculations[[#This Row],[A5]]+Calculations[[#This Row],[B4]]+Calculations[[#This Row],[C2 total]]+Calculations[[#This Row],[C3 total]]+Calculations[[#This Row],[C4 total]]</f>
        <v>0</v>
      </c>
      <c r="AJ891" s="2">
        <f>IFERROR(VLOOKUP(Calculations[[#This Row],[Material (choose from dropdown]],MaterialData[[#Headers],[#Data]],9,FALSE),0)</f>
        <v>0</v>
      </c>
      <c r="AK891" s="4">
        <f>IFERROR(VLOOKUP(Calculations[[#This Row],[Material (choose from dropdown]],MaterialData[[#Headers],[#Data]],10,FALSE),0)</f>
        <v>0</v>
      </c>
      <c r="AL891" s="322">
        <f>IFERROR(Calculations[[#This Row],[Data Quality Score]]*Calculations[[#This Row],[Total Kg]],0)</f>
        <v>0</v>
      </c>
    </row>
    <row r="892" spans="1:38" x14ac:dyDescent="0.3">
      <c r="A892" s="6">
        <f>IFERROR(MaterialsBoQ[[#This Row],[Scope Element]],0)</f>
        <v>0</v>
      </c>
      <c r="B892" t="str">
        <f>IFERROR(MaterialsBoQ[[#This Row],[Material ]],"")</f>
        <v/>
      </c>
      <c r="C892" t="str">
        <f>IFERROR(MaterialsBoQ[[#This Row],[Unit]],"")</f>
        <v/>
      </c>
      <c r="D892" s="322">
        <f>IFERROR(MaterialsBoQ[[#This Row],[Number]],0)</f>
        <v>0</v>
      </c>
      <c r="E892" s="322">
        <f>IFERROR(MaterialsBoQ[[#This Row],[Kg per unit]],0)</f>
        <v>0</v>
      </c>
      <c r="F892" s="322">
        <f>IFERROR(Calculations[[#This Row],[Number]]*Calculations[[#This Row],[Conversion factor]],0)</f>
        <v>0</v>
      </c>
      <c r="G892" s="322">
        <f>IFERROR(VLOOKUP(Calculations[[#This Row],[Material (choose from dropdown]],MaterialData[#All],7,FALSE),0)</f>
        <v>0</v>
      </c>
      <c r="H892" s="322">
        <f>Calculations[[#This Row],[Total Kg]]*Calculations[[#This Row],[Carbon Factor]]</f>
        <v>0</v>
      </c>
      <c r="I892" t="str">
        <f>IFERROR(VLOOKUP(Calculations[[#This Row],[Material (choose from dropdown]],MaterialData[#All],2,FALSE),"")</f>
        <v/>
      </c>
      <c r="J892" s="322">
        <f>IFERROR(((VLOOKUP(Calculations[[#This Row],[TransportSource]],TransportDistance[],2,FALSE)*'Stage assumptions'!$C$11)+VLOOKUP(Calculations[[#This Row],[TransportSource]],TransportDistance[],3,FALSE)*'Stage assumptions'!$C$12)*Calculations[[#This Row],[Total Kg]],0)</f>
        <v>0</v>
      </c>
      <c r="K892">
        <f>IFERROR(VLOOKUP(Calculations[[#This Row],[Material (choose from dropdown]], MaterialData[#All],3, FALSE),0)</f>
        <v>0</v>
      </c>
      <c r="L892" s="322">
        <f>IFERROR(VLOOKUP(Calculations[[#This Row],[A5type]],A5WastageRate[#All],2,FALSE)*Calculations[[#This Row],[A1-3]],0)</f>
        <v>0</v>
      </c>
      <c r="N892">
        <f>IFERROR(ROUNDUP(50/VLOOKUP(Calculations[[#This Row],[Scope Element]],B4referenceServiceLife[[Tier 2 element]:[Default Service Life]],2, FALSE)-1,0),0)</f>
        <v>0</v>
      </c>
      <c r="O892" s="322">
        <f>IFERROR((Calculations[[#This Row],[A1-3]]+Calculations[[#This Row],[A4]]+Calculations[[#This Row],[A5]]+Calculations[[#This Row],[C2 total]]+Calculations[[#This Row],[C3 total]]+Calculations[[#This Row],[C4 total]])*Calculations[[#This Row],[Replacements]],0)</f>
        <v>0</v>
      </c>
      <c r="S892" t="str">
        <f>IFERROR(VLOOKUP(Calculations[[#This Row],[Material (choose from dropdown]],MaterialData[#All],4,FALSE),"")</f>
        <v/>
      </c>
      <c r="T892" s="322" cm="1">
        <f t="array" ref="T892">IFERROR(VLOOKUP(Calculations[[#This Row],[Waste 1]],WasteScenario[#All],2,FALSE)*'Stage assumptions'!$C$225*WasteTransportMethod[Emissions Factor
kgCO2e/kg.km]*Calculations[[#This Row],[Total Kg]],0)</f>
        <v>0</v>
      </c>
      <c r="U892" s="322" cm="1">
        <f t="array" ref="U892">IFERROR(VLOOKUP(Calculations[[#This Row],[Waste 1]],WasteScenario[#All],3,FALSE)*'Stage assumptions'!$C$224*WasteTransportMethod[Emissions Factor
kgCO2e/kg.km]*Calculations[[#This Row],[Total Kg]],0)</f>
        <v>0</v>
      </c>
      <c r="V892" s="322" cm="1">
        <f t="array" ref="V892">IFERROR(VLOOKUP(Calculations[[#This Row],[Waste 1]],WasteScenario[#All],4,FALSE)*'Stage assumptions'!$C$223*WasteTransportMethod[Emissions Factor
kgCO2e/kg.km]*Calculations[[#This Row],[Total Kg]],0)</f>
        <v>0</v>
      </c>
      <c r="W892" s="322" cm="1">
        <f t="array" ref="W892">IFERROR(VLOOKUP(Calculations[[#This Row],[Waste 1]],WasteScenario[#All],5,FALSE)*'Stage assumptions'!$C$226*WasteTransportMethod[Emissions Factor
kgCO2e/kg.km]*Calculations[[#This Row],[Total Kg]],0)</f>
        <v>0</v>
      </c>
      <c r="X892" s="322">
        <f>SUM(Calculations[[#This Row],[C2 Recycle]:[C2 Reuse]])</f>
        <v>0</v>
      </c>
      <c r="Y892" t="str">
        <f>IFERROR(VLOOKUP(Calculations[[#This Row],[Material (choose from dropdown]],MaterialData[#All],5,FALSE),"")</f>
        <v/>
      </c>
      <c r="Z892" s="322">
        <f>IFERROR(((VLOOKUP(Calculations[[#This Row],[Waste type 2]],WasteDisposalEmissions[#All],2,FALSE))*Calculations[[#This Row],[Total Kg]])*VLOOKUP(Calculations[[#This Row],[Waste 1]],WasteScenario[#All],2,FALSE),0)</f>
        <v>0</v>
      </c>
      <c r="AA892" s="322">
        <f>IFERROR((VLOOKUP(Calculations[[#This Row],[Waste type 2]],WasteDisposalEmissions[#All],3,FALSE))*Calculations[[#This Row],[Total Kg]]*VLOOKUP(Calculations[[#This Row],[Waste 1]],WasteScenario[#All],3,FALSE),0)</f>
        <v>0</v>
      </c>
      <c r="AB892" s="322">
        <f>SUM(Calculations[[#This Row],[C3 recyc]:[C3 incin]])</f>
        <v>0</v>
      </c>
      <c r="AC892" s="334">
        <f>IFERROR((VLOOKUP(Calculations[[#This Row],[Waste type 2]],WasteLandfillEmissions[#All],2,FALSE))*Calculations[[#This Row],[Total Kg]]*VLOOKUP(Calculations[[#This Row],[Waste 1]],WasteScenario[#All],4,FALSE),0)</f>
        <v>0</v>
      </c>
      <c r="AD892" s="322">
        <f>IFERROR((VLOOKUP(Calculations[[#This Row],[Waste type 2]],WasteLandfillEmissions[#All],3,FALSE))*Calculations[[#This Row],[Total Kg]]*VLOOKUP(Calculations[[#This Row],[Waste 1]],WasteScenario[#All],4,FALSE),0)</f>
        <v>0</v>
      </c>
      <c r="AE892" s="322">
        <f>SUM(Calculations[[#This Row],[C4 landfill]:[C4 re-use]])</f>
        <v>0</v>
      </c>
      <c r="AF892" s="322">
        <f>IFERROR(VLOOKUP(Calculations[[#This Row],[Material (choose from dropdown]],MaterialData[#All],8,FALSE),0)</f>
        <v>0</v>
      </c>
      <c r="AG892" s="322">
        <f>IFERROR(Calculations[[#This Row],[Total Kg]]*Calculations[[#This Row],[Seq factor]],0)</f>
        <v>0</v>
      </c>
      <c r="AI892" s="322">
        <f>Calculations[[#This Row],[A1-3]]+Calculations[[#This Row],[A4]]+Calculations[[#This Row],[A5]]+Calculations[[#This Row],[B4]]+Calculations[[#This Row],[C2 total]]+Calculations[[#This Row],[C3 total]]+Calculations[[#This Row],[C4 total]]</f>
        <v>0</v>
      </c>
      <c r="AJ892" s="2">
        <f>IFERROR(VLOOKUP(Calculations[[#This Row],[Material (choose from dropdown]],MaterialData[[#Headers],[#Data]],9,FALSE),0)</f>
        <v>0</v>
      </c>
      <c r="AK892" s="4">
        <f>IFERROR(VLOOKUP(Calculations[[#This Row],[Material (choose from dropdown]],MaterialData[[#Headers],[#Data]],10,FALSE),0)</f>
        <v>0</v>
      </c>
      <c r="AL892" s="322">
        <f>IFERROR(Calculations[[#This Row],[Data Quality Score]]*Calculations[[#This Row],[Total Kg]],0)</f>
        <v>0</v>
      </c>
    </row>
    <row r="893" spans="1:38" x14ac:dyDescent="0.3">
      <c r="A893" s="6">
        <f>IFERROR(MaterialsBoQ[[#This Row],[Scope Element]],0)</f>
        <v>0</v>
      </c>
      <c r="B893" t="str">
        <f>IFERROR(MaterialsBoQ[[#This Row],[Material ]],"")</f>
        <v/>
      </c>
      <c r="C893" t="str">
        <f>IFERROR(MaterialsBoQ[[#This Row],[Unit]],"")</f>
        <v/>
      </c>
      <c r="D893" s="322">
        <f>IFERROR(MaterialsBoQ[[#This Row],[Number]],0)</f>
        <v>0</v>
      </c>
      <c r="E893" s="322">
        <f>IFERROR(MaterialsBoQ[[#This Row],[Kg per unit]],0)</f>
        <v>0</v>
      </c>
      <c r="F893" s="322">
        <f>IFERROR(Calculations[[#This Row],[Number]]*Calculations[[#This Row],[Conversion factor]],0)</f>
        <v>0</v>
      </c>
      <c r="G893" s="322">
        <f>IFERROR(VLOOKUP(Calculations[[#This Row],[Material (choose from dropdown]],MaterialData[#All],7,FALSE),0)</f>
        <v>0</v>
      </c>
      <c r="H893" s="322">
        <f>Calculations[[#This Row],[Total Kg]]*Calculations[[#This Row],[Carbon Factor]]</f>
        <v>0</v>
      </c>
      <c r="I893" t="str">
        <f>IFERROR(VLOOKUP(Calculations[[#This Row],[Material (choose from dropdown]],MaterialData[#All],2,FALSE),"")</f>
        <v/>
      </c>
      <c r="J893" s="322">
        <f>IFERROR(((VLOOKUP(Calculations[[#This Row],[TransportSource]],TransportDistance[],2,FALSE)*'Stage assumptions'!$C$11)+VLOOKUP(Calculations[[#This Row],[TransportSource]],TransportDistance[],3,FALSE)*'Stage assumptions'!$C$12)*Calculations[[#This Row],[Total Kg]],0)</f>
        <v>0</v>
      </c>
      <c r="K893">
        <f>IFERROR(VLOOKUP(Calculations[[#This Row],[Material (choose from dropdown]], MaterialData[#All],3, FALSE),0)</f>
        <v>0</v>
      </c>
      <c r="L893" s="322">
        <f>IFERROR(VLOOKUP(Calculations[[#This Row],[A5type]],A5WastageRate[#All],2,FALSE)*Calculations[[#This Row],[A1-3]],0)</f>
        <v>0</v>
      </c>
      <c r="N893">
        <f>IFERROR(ROUNDUP(50/VLOOKUP(Calculations[[#This Row],[Scope Element]],B4referenceServiceLife[[Tier 2 element]:[Default Service Life]],2, FALSE)-1,0),0)</f>
        <v>0</v>
      </c>
      <c r="O893" s="322">
        <f>IFERROR((Calculations[[#This Row],[A1-3]]+Calculations[[#This Row],[A4]]+Calculations[[#This Row],[A5]]+Calculations[[#This Row],[C2 total]]+Calculations[[#This Row],[C3 total]]+Calculations[[#This Row],[C4 total]])*Calculations[[#This Row],[Replacements]],0)</f>
        <v>0</v>
      </c>
      <c r="S893" t="str">
        <f>IFERROR(VLOOKUP(Calculations[[#This Row],[Material (choose from dropdown]],MaterialData[#All],4,FALSE),"")</f>
        <v/>
      </c>
      <c r="T893" s="322" cm="1">
        <f t="array" ref="T893">IFERROR(VLOOKUP(Calculations[[#This Row],[Waste 1]],WasteScenario[#All],2,FALSE)*'Stage assumptions'!$C$225*WasteTransportMethod[Emissions Factor
kgCO2e/kg.km]*Calculations[[#This Row],[Total Kg]],0)</f>
        <v>0</v>
      </c>
      <c r="U893" s="322" cm="1">
        <f t="array" ref="U893">IFERROR(VLOOKUP(Calculations[[#This Row],[Waste 1]],WasteScenario[#All],3,FALSE)*'Stage assumptions'!$C$224*WasteTransportMethod[Emissions Factor
kgCO2e/kg.km]*Calculations[[#This Row],[Total Kg]],0)</f>
        <v>0</v>
      </c>
      <c r="V893" s="322" cm="1">
        <f t="array" ref="V893">IFERROR(VLOOKUP(Calculations[[#This Row],[Waste 1]],WasteScenario[#All],4,FALSE)*'Stage assumptions'!$C$223*WasteTransportMethod[Emissions Factor
kgCO2e/kg.km]*Calculations[[#This Row],[Total Kg]],0)</f>
        <v>0</v>
      </c>
      <c r="W893" s="322" cm="1">
        <f t="array" ref="W893">IFERROR(VLOOKUP(Calculations[[#This Row],[Waste 1]],WasteScenario[#All],5,FALSE)*'Stage assumptions'!$C$226*WasteTransportMethod[Emissions Factor
kgCO2e/kg.km]*Calculations[[#This Row],[Total Kg]],0)</f>
        <v>0</v>
      </c>
      <c r="X893" s="322">
        <f>SUM(Calculations[[#This Row],[C2 Recycle]:[C2 Reuse]])</f>
        <v>0</v>
      </c>
      <c r="Y893" t="str">
        <f>IFERROR(VLOOKUP(Calculations[[#This Row],[Material (choose from dropdown]],MaterialData[#All],5,FALSE),"")</f>
        <v/>
      </c>
      <c r="Z893" s="322">
        <f>IFERROR(((VLOOKUP(Calculations[[#This Row],[Waste type 2]],WasteDisposalEmissions[#All],2,FALSE))*Calculations[[#This Row],[Total Kg]])*VLOOKUP(Calculations[[#This Row],[Waste 1]],WasteScenario[#All],2,FALSE),0)</f>
        <v>0</v>
      </c>
      <c r="AA893" s="322">
        <f>IFERROR((VLOOKUP(Calculations[[#This Row],[Waste type 2]],WasteDisposalEmissions[#All],3,FALSE))*Calculations[[#This Row],[Total Kg]]*VLOOKUP(Calculations[[#This Row],[Waste 1]],WasteScenario[#All],3,FALSE),0)</f>
        <v>0</v>
      </c>
      <c r="AB893" s="322">
        <f>SUM(Calculations[[#This Row],[C3 recyc]:[C3 incin]])</f>
        <v>0</v>
      </c>
      <c r="AC893" s="334">
        <f>IFERROR((VLOOKUP(Calculations[[#This Row],[Waste type 2]],WasteLandfillEmissions[#All],2,FALSE))*Calculations[[#This Row],[Total Kg]]*VLOOKUP(Calculations[[#This Row],[Waste 1]],WasteScenario[#All],4,FALSE),0)</f>
        <v>0</v>
      </c>
      <c r="AD893" s="322">
        <f>IFERROR((VLOOKUP(Calculations[[#This Row],[Waste type 2]],WasteLandfillEmissions[#All],3,FALSE))*Calculations[[#This Row],[Total Kg]]*VLOOKUP(Calculations[[#This Row],[Waste 1]],WasteScenario[#All],4,FALSE),0)</f>
        <v>0</v>
      </c>
      <c r="AE893" s="322">
        <f>SUM(Calculations[[#This Row],[C4 landfill]:[C4 re-use]])</f>
        <v>0</v>
      </c>
      <c r="AF893" s="322">
        <f>IFERROR(VLOOKUP(Calculations[[#This Row],[Material (choose from dropdown]],MaterialData[#All],8,FALSE),0)</f>
        <v>0</v>
      </c>
      <c r="AG893" s="322">
        <f>IFERROR(Calculations[[#This Row],[Total Kg]]*Calculations[[#This Row],[Seq factor]],0)</f>
        <v>0</v>
      </c>
      <c r="AI893" s="322">
        <f>Calculations[[#This Row],[A1-3]]+Calculations[[#This Row],[A4]]+Calculations[[#This Row],[A5]]+Calculations[[#This Row],[B4]]+Calculations[[#This Row],[C2 total]]+Calculations[[#This Row],[C3 total]]+Calculations[[#This Row],[C4 total]]</f>
        <v>0</v>
      </c>
      <c r="AJ893" s="2">
        <f>IFERROR(VLOOKUP(Calculations[[#This Row],[Material (choose from dropdown]],MaterialData[[#Headers],[#Data]],9,FALSE),0)</f>
        <v>0</v>
      </c>
      <c r="AK893" s="4">
        <f>IFERROR(VLOOKUP(Calculations[[#This Row],[Material (choose from dropdown]],MaterialData[[#Headers],[#Data]],10,FALSE),0)</f>
        <v>0</v>
      </c>
      <c r="AL893" s="322">
        <f>IFERROR(Calculations[[#This Row],[Data Quality Score]]*Calculations[[#This Row],[Total Kg]],0)</f>
        <v>0</v>
      </c>
    </row>
    <row r="894" spans="1:38" x14ac:dyDescent="0.3">
      <c r="A894" s="6">
        <f>IFERROR(MaterialsBoQ[[#This Row],[Scope Element]],0)</f>
        <v>0</v>
      </c>
      <c r="B894" t="str">
        <f>IFERROR(MaterialsBoQ[[#This Row],[Material ]],"")</f>
        <v/>
      </c>
      <c r="C894" t="str">
        <f>IFERROR(MaterialsBoQ[[#This Row],[Unit]],"")</f>
        <v/>
      </c>
      <c r="D894" s="322">
        <f>IFERROR(MaterialsBoQ[[#This Row],[Number]],0)</f>
        <v>0</v>
      </c>
      <c r="E894" s="322">
        <f>IFERROR(MaterialsBoQ[[#This Row],[Kg per unit]],0)</f>
        <v>0</v>
      </c>
      <c r="F894" s="322">
        <f>IFERROR(Calculations[[#This Row],[Number]]*Calculations[[#This Row],[Conversion factor]],0)</f>
        <v>0</v>
      </c>
      <c r="G894" s="322">
        <f>IFERROR(VLOOKUP(Calculations[[#This Row],[Material (choose from dropdown]],MaterialData[#All],7,FALSE),0)</f>
        <v>0</v>
      </c>
      <c r="H894" s="322">
        <f>Calculations[[#This Row],[Total Kg]]*Calculations[[#This Row],[Carbon Factor]]</f>
        <v>0</v>
      </c>
      <c r="I894" t="str">
        <f>IFERROR(VLOOKUP(Calculations[[#This Row],[Material (choose from dropdown]],MaterialData[#All],2,FALSE),"")</f>
        <v/>
      </c>
      <c r="J894" s="322">
        <f>IFERROR(((VLOOKUP(Calculations[[#This Row],[TransportSource]],TransportDistance[],2,FALSE)*'Stage assumptions'!$C$11)+VLOOKUP(Calculations[[#This Row],[TransportSource]],TransportDistance[],3,FALSE)*'Stage assumptions'!$C$12)*Calculations[[#This Row],[Total Kg]],0)</f>
        <v>0</v>
      </c>
      <c r="K894">
        <f>IFERROR(VLOOKUP(Calculations[[#This Row],[Material (choose from dropdown]], MaterialData[#All],3, FALSE),0)</f>
        <v>0</v>
      </c>
      <c r="L894" s="322">
        <f>IFERROR(VLOOKUP(Calculations[[#This Row],[A5type]],A5WastageRate[#All],2,FALSE)*Calculations[[#This Row],[A1-3]],0)</f>
        <v>0</v>
      </c>
      <c r="N894">
        <f>IFERROR(ROUNDUP(50/VLOOKUP(Calculations[[#This Row],[Scope Element]],B4referenceServiceLife[[Tier 2 element]:[Default Service Life]],2, FALSE)-1,0),0)</f>
        <v>0</v>
      </c>
      <c r="O894" s="322">
        <f>IFERROR((Calculations[[#This Row],[A1-3]]+Calculations[[#This Row],[A4]]+Calculations[[#This Row],[A5]]+Calculations[[#This Row],[C2 total]]+Calculations[[#This Row],[C3 total]]+Calculations[[#This Row],[C4 total]])*Calculations[[#This Row],[Replacements]],0)</f>
        <v>0</v>
      </c>
      <c r="S894" t="str">
        <f>IFERROR(VLOOKUP(Calculations[[#This Row],[Material (choose from dropdown]],MaterialData[#All],4,FALSE),"")</f>
        <v/>
      </c>
      <c r="T894" s="322" cm="1">
        <f t="array" ref="T894">IFERROR(VLOOKUP(Calculations[[#This Row],[Waste 1]],WasteScenario[#All],2,FALSE)*'Stage assumptions'!$C$225*WasteTransportMethod[Emissions Factor
kgCO2e/kg.km]*Calculations[[#This Row],[Total Kg]],0)</f>
        <v>0</v>
      </c>
      <c r="U894" s="322" cm="1">
        <f t="array" ref="U894">IFERROR(VLOOKUP(Calculations[[#This Row],[Waste 1]],WasteScenario[#All],3,FALSE)*'Stage assumptions'!$C$224*WasteTransportMethod[Emissions Factor
kgCO2e/kg.km]*Calculations[[#This Row],[Total Kg]],0)</f>
        <v>0</v>
      </c>
      <c r="V894" s="322" cm="1">
        <f t="array" ref="V894">IFERROR(VLOOKUP(Calculations[[#This Row],[Waste 1]],WasteScenario[#All],4,FALSE)*'Stage assumptions'!$C$223*WasteTransportMethod[Emissions Factor
kgCO2e/kg.km]*Calculations[[#This Row],[Total Kg]],0)</f>
        <v>0</v>
      </c>
      <c r="W894" s="322" cm="1">
        <f t="array" ref="W894">IFERROR(VLOOKUP(Calculations[[#This Row],[Waste 1]],WasteScenario[#All],5,FALSE)*'Stage assumptions'!$C$226*WasteTransportMethod[Emissions Factor
kgCO2e/kg.km]*Calculations[[#This Row],[Total Kg]],0)</f>
        <v>0</v>
      </c>
      <c r="X894" s="322">
        <f>SUM(Calculations[[#This Row],[C2 Recycle]:[C2 Reuse]])</f>
        <v>0</v>
      </c>
      <c r="Y894" t="str">
        <f>IFERROR(VLOOKUP(Calculations[[#This Row],[Material (choose from dropdown]],MaterialData[#All],5,FALSE),"")</f>
        <v/>
      </c>
      <c r="Z894" s="322">
        <f>IFERROR(((VLOOKUP(Calculations[[#This Row],[Waste type 2]],WasteDisposalEmissions[#All],2,FALSE))*Calculations[[#This Row],[Total Kg]])*VLOOKUP(Calculations[[#This Row],[Waste 1]],WasteScenario[#All],2,FALSE),0)</f>
        <v>0</v>
      </c>
      <c r="AA894" s="322">
        <f>IFERROR((VLOOKUP(Calculations[[#This Row],[Waste type 2]],WasteDisposalEmissions[#All],3,FALSE))*Calculations[[#This Row],[Total Kg]]*VLOOKUP(Calculations[[#This Row],[Waste 1]],WasteScenario[#All],3,FALSE),0)</f>
        <v>0</v>
      </c>
      <c r="AB894" s="322">
        <f>SUM(Calculations[[#This Row],[C3 recyc]:[C3 incin]])</f>
        <v>0</v>
      </c>
      <c r="AC894" s="334">
        <f>IFERROR((VLOOKUP(Calculations[[#This Row],[Waste type 2]],WasteLandfillEmissions[#All],2,FALSE))*Calculations[[#This Row],[Total Kg]]*VLOOKUP(Calculations[[#This Row],[Waste 1]],WasteScenario[#All],4,FALSE),0)</f>
        <v>0</v>
      </c>
      <c r="AD894" s="322">
        <f>IFERROR((VLOOKUP(Calculations[[#This Row],[Waste type 2]],WasteLandfillEmissions[#All],3,FALSE))*Calculations[[#This Row],[Total Kg]]*VLOOKUP(Calculations[[#This Row],[Waste 1]],WasteScenario[#All],4,FALSE),0)</f>
        <v>0</v>
      </c>
      <c r="AE894" s="322">
        <f>SUM(Calculations[[#This Row],[C4 landfill]:[C4 re-use]])</f>
        <v>0</v>
      </c>
      <c r="AF894" s="322">
        <f>IFERROR(VLOOKUP(Calculations[[#This Row],[Material (choose from dropdown]],MaterialData[#All],8,FALSE),0)</f>
        <v>0</v>
      </c>
      <c r="AG894" s="322">
        <f>IFERROR(Calculations[[#This Row],[Total Kg]]*Calculations[[#This Row],[Seq factor]],0)</f>
        <v>0</v>
      </c>
      <c r="AI894" s="322">
        <f>Calculations[[#This Row],[A1-3]]+Calculations[[#This Row],[A4]]+Calculations[[#This Row],[A5]]+Calculations[[#This Row],[B4]]+Calculations[[#This Row],[C2 total]]+Calculations[[#This Row],[C3 total]]+Calculations[[#This Row],[C4 total]]</f>
        <v>0</v>
      </c>
      <c r="AJ894" s="2">
        <f>IFERROR(VLOOKUP(Calculations[[#This Row],[Material (choose from dropdown]],MaterialData[[#Headers],[#Data]],9,FALSE),0)</f>
        <v>0</v>
      </c>
      <c r="AK894" s="4">
        <f>IFERROR(VLOOKUP(Calculations[[#This Row],[Material (choose from dropdown]],MaterialData[[#Headers],[#Data]],10,FALSE),0)</f>
        <v>0</v>
      </c>
      <c r="AL894" s="322">
        <f>IFERROR(Calculations[[#This Row],[Data Quality Score]]*Calculations[[#This Row],[Total Kg]],0)</f>
        <v>0</v>
      </c>
    </row>
    <row r="895" spans="1:38" x14ac:dyDescent="0.3">
      <c r="A895" s="6">
        <f>IFERROR(MaterialsBoQ[[#This Row],[Scope Element]],0)</f>
        <v>0</v>
      </c>
      <c r="B895" t="str">
        <f>IFERROR(MaterialsBoQ[[#This Row],[Material ]],"")</f>
        <v/>
      </c>
      <c r="C895" t="str">
        <f>IFERROR(MaterialsBoQ[[#This Row],[Unit]],"")</f>
        <v/>
      </c>
      <c r="D895" s="322">
        <f>IFERROR(MaterialsBoQ[[#This Row],[Number]],0)</f>
        <v>0</v>
      </c>
      <c r="E895" s="322">
        <f>IFERROR(MaterialsBoQ[[#This Row],[Kg per unit]],0)</f>
        <v>0</v>
      </c>
      <c r="F895" s="322">
        <f>IFERROR(Calculations[[#This Row],[Number]]*Calculations[[#This Row],[Conversion factor]],0)</f>
        <v>0</v>
      </c>
      <c r="G895" s="322">
        <f>IFERROR(VLOOKUP(Calculations[[#This Row],[Material (choose from dropdown]],MaterialData[#All],7,FALSE),0)</f>
        <v>0</v>
      </c>
      <c r="H895" s="322">
        <f>Calculations[[#This Row],[Total Kg]]*Calculations[[#This Row],[Carbon Factor]]</f>
        <v>0</v>
      </c>
      <c r="I895" t="str">
        <f>IFERROR(VLOOKUP(Calculations[[#This Row],[Material (choose from dropdown]],MaterialData[#All],2,FALSE),"")</f>
        <v/>
      </c>
      <c r="J895" s="322">
        <f>IFERROR(((VLOOKUP(Calculations[[#This Row],[TransportSource]],TransportDistance[],2,FALSE)*'Stage assumptions'!$C$11)+VLOOKUP(Calculations[[#This Row],[TransportSource]],TransportDistance[],3,FALSE)*'Stage assumptions'!$C$12)*Calculations[[#This Row],[Total Kg]],0)</f>
        <v>0</v>
      </c>
      <c r="K895">
        <f>IFERROR(VLOOKUP(Calculations[[#This Row],[Material (choose from dropdown]], MaterialData[#All],3, FALSE),0)</f>
        <v>0</v>
      </c>
      <c r="L895" s="322">
        <f>IFERROR(VLOOKUP(Calculations[[#This Row],[A5type]],A5WastageRate[#All],2,FALSE)*Calculations[[#This Row],[A1-3]],0)</f>
        <v>0</v>
      </c>
      <c r="N895">
        <f>IFERROR(ROUNDUP(50/VLOOKUP(Calculations[[#This Row],[Scope Element]],B4referenceServiceLife[[Tier 2 element]:[Default Service Life]],2, FALSE)-1,0),0)</f>
        <v>0</v>
      </c>
      <c r="O895" s="322">
        <f>IFERROR((Calculations[[#This Row],[A1-3]]+Calculations[[#This Row],[A4]]+Calculations[[#This Row],[A5]]+Calculations[[#This Row],[C2 total]]+Calculations[[#This Row],[C3 total]]+Calculations[[#This Row],[C4 total]])*Calculations[[#This Row],[Replacements]],0)</f>
        <v>0</v>
      </c>
      <c r="S895" t="str">
        <f>IFERROR(VLOOKUP(Calculations[[#This Row],[Material (choose from dropdown]],MaterialData[#All],4,FALSE),"")</f>
        <v/>
      </c>
      <c r="T895" s="322" cm="1">
        <f t="array" ref="T895">IFERROR(VLOOKUP(Calculations[[#This Row],[Waste 1]],WasteScenario[#All],2,FALSE)*'Stage assumptions'!$C$225*WasteTransportMethod[Emissions Factor
kgCO2e/kg.km]*Calculations[[#This Row],[Total Kg]],0)</f>
        <v>0</v>
      </c>
      <c r="U895" s="322" cm="1">
        <f t="array" ref="U895">IFERROR(VLOOKUP(Calculations[[#This Row],[Waste 1]],WasteScenario[#All],3,FALSE)*'Stage assumptions'!$C$224*WasteTransportMethod[Emissions Factor
kgCO2e/kg.km]*Calculations[[#This Row],[Total Kg]],0)</f>
        <v>0</v>
      </c>
      <c r="V895" s="322" cm="1">
        <f t="array" ref="V895">IFERROR(VLOOKUP(Calculations[[#This Row],[Waste 1]],WasteScenario[#All],4,FALSE)*'Stage assumptions'!$C$223*WasteTransportMethod[Emissions Factor
kgCO2e/kg.km]*Calculations[[#This Row],[Total Kg]],0)</f>
        <v>0</v>
      </c>
      <c r="W895" s="322" cm="1">
        <f t="array" ref="W895">IFERROR(VLOOKUP(Calculations[[#This Row],[Waste 1]],WasteScenario[#All],5,FALSE)*'Stage assumptions'!$C$226*WasteTransportMethod[Emissions Factor
kgCO2e/kg.km]*Calculations[[#This Row],[Total Kg]],0)</f>
        <v>0</v>
      </c>
      <c r="X895" s="322">
        <f>SUM(Calculations[[#This Row],[C2 Recycle]:[C2 Reuse]])</f>
        <v>0</v>
      </c>
      <c r="Y895" t="str">
        <f>IFERROR(VLOOKUP(Calculations[[#This Row],[Material (choose from dropdown]],MaterialData[#All],5,FALSE),"")</f>
        <v/>
      </c>
      <c r="Z895" s="322">
        <f>IFERROR(((VLOOKUP(Calculations[[#This Row],[Waste type 2]],WasteDisposalEmissions[#All],2,FALSE))*Calculations[[#This Row],[Total Kg]])*VLOOKUP(Calculations[[#This Row],[Waste 1]],WasteScenario[#All],2,FALSE),0)</f>
        <v>0</v>
      </c>
      <c r="AA895" s="322">
        <f>IFERROR((VLOOKUP(Calculations[[#This Row],[Waste type 2]],WasteDisposalEmissions[#All],3,FALSE))*Calculations[[#This Row],[Total Kg]]*VLOOKUP(Calculations[[#This Row],[Waste 1]],WasteScenario[#All],3,FALSE),0)</f>
        <v>0</v>
      </c>
      <c r="AB895" s="322">
        <f>SUM(Calculations[[#This Row],[C3 recyc]:[C3 incin]])</f>
        <v>0</v>
      </c>
      <c r="AC895" s="334">
        <f>IFERROR((VLOOKUP(Calculations[[#This Row],[Waste type 2]],WasteLandfillEmissions[#All],2,FALSE))*Calculations[[#This Row],[Total Kg]]*VLOOKUP(Calculations[[#This Row],[Waste 1]],WasteScenario[#All],4,FALSE),0)</f>
        <v>0</v>
      </c>
      <c r="AD895" s="322">
        <f>IFERROR((VLOOKUP(Calculations[[#This Row],[Waste type 2]],WasteLandfillEmissions[#All],3,FALSE))*Calculations[[#This Row],[Total Kg]]*VLOOKUP(Calculations[[#This Row],[Waste 1]],WasteScenario[#All],4,FALSE),0)</f>
        <v>0</v>
      </c>
      <c r="AE895" s="322">
        <f>SUM(Calculations[[#This Row],[C4 landfill]:[C4 re-use]])</f>
        <v>0</v>
      </c>
      <c r="AF895" s="322">
        <f>IFERROR(VLOOKUP(Calculations[[#This Row],[Material (choose from dropdown]],MaterialData[#All],8,FALSE),0)</f>
        <v>0</v>
      </c>
      <c r="AG895" s="322">
        <f>IFERROR(Calculations[[#This Row],[Total Kg]]*Calculations[[#This Row],[Seq factor]],0)</f>
        <v>0</v>
      </c>
      <c r="AI895" s="322">
        <f>Calculations[[#This Row],[A1-3]]+Calculations[[#This Row],[A4]]+Calculations[[#This Row],[A5]]+Calculations[[#This Row],[B4]]+Calculations[[#This Row],[C2 total]]+Calculations[[#This Row],[C3 total]]+Calculations[[#This Row],[C4 total]]</f>
        <v>0</v>
      </c>
      <c r="AJ895" s="2">
        <f>IFERROR(VLOOKUP(Calculations[[#This Row],[Material (choose from dropdown]],MaterialData[[#Headers],[#Data]],9,FALSE),0)</f>
        <v>0</v>
      </c>
      <c r="AK895" s="4">
        <f>IFERROR(VLOOKUP(Calculations[[#This Row],[Material (choose from dropdown]],MaterialData[[#Headers],[#Data]],10,FALSE),0)</f>
        <v>0</v>
      </c>
      <c r="AL895" s="322">
        <f>IFERROR(Calculations[[#This Row],[Data Quality Score]]*Calculations[[#This Row],[Total Kg]],0)</f>
        <v>0</v>
      </c>
    </row>
    <row r="896" spans="1:38" x14ac:dyDescent="0.3">
      <c r="A896" s="6">
        <f>IFERROR(MaterialsBoQ[[#This Row],[Scope Element]],0)</f>
        <v>0</v>
      </c>
      <c r="B896" t="str">
        <f>IFERROR(MaterialsBoQ[[#This Row],[Material ]],"")</f>
        <v/>
      </c>
      <c r="C896" t="str">
        <f>IFERROR(MaterialsBoQ[[#This Row],[Unit]],"")</f>
        <v/>
      </c>
      <c r="D896" s="322">
        <f>IFERROR(MaterialsBoQ[[#This Row],[Number]],0)</f>
        <v>0</v>
      </c>
      <c r="E896" s="322">
        <f>IFERROR(MaterialsBoQ[[#This Row],[Kg per unit]],0)</f>
        <v>0</v>
      </c>
      <c r="F896" s="322">
        <f>IFERROR(Calculations[[#This Row],[Number]]*Calculations[[#This Row],[Conversion factor]],0)</f>
        <v>0</v>
      </c>
      <c r="G896" s="322">
        <f>IFERROR(VLOOKUP(Calculations[[#This Row],[Material (choose from dropdown]],MaterialData[#All],7,FALSE),0)</f>
        <v>0</v>
      </c>
      <c r="H896" s="322">
        <f>Calculations[[#This Row],[Total Kg]]*Calculations[[#This Row],[Carbon Factor]]</f>
        <v>0</v>
      </c>
      <c r="I896" t="str">
        <f>IFERROR(VLOOKUP(Calculations[[#This Row],[Material (choose from dropdown]],MaterialData[#All],2,FALSE),"")</f>
        <v/>
      </c>
      <c r="J896" s="322">
        <f>IFERROR(((VLOOKUP(Calculations[[#This Row],[TransportSource]],TransportDistance[],2,FALSE)*'Stage assumptions'!$C$11)+VLOOKUP(Calculations[[#This Row],[TransportSource]],TransportDistance[],3,FALSE)*'Stage assumptions'!$C$12)*Calculations[[#This Row],[Total Kg]],0)</f>
        <v>0</v>
      </c>
      <c r="K896">
        <f>IFERROR(VLOOKUP(Calculations[[#This Row],[Material (choose from dropdown]], MaterialData[#All],3, FALSE),0)</f>
        <v>0</v>
      </c>
      <c r="L896" s="322">
        <f>IFERROR(VLOOKUP(Calculations[[#This Row],[A5type]],A5WastageRate[#All],2,FALSE)*Calculations[[#This Row],[A1-3]],0)</f>
        <v>0</v>
      </c>
      <c r="N896">
        <f>IFERROR(ROUNDUP(50/VLOOKUP(Calculations[[#This Row],[Scope Element]],B4referenceServiceLife[[Tier 2 element]:[Default Service Life]],2, FALSE)-1,0),0)</f>
        <v>0</v>
      </c>
      <c r="O896" s="322">
        <f>IFERROR((Calculations[[#This Row],[A1-3]]+Calculations[[#This Row],[A4]]+Calculations[[#This Row],[A5]]+Calculations[[#This Row],[C2 total]]+Calculations[[#This Row],[C3 total]]+Calculations[[#This Row],[C4 total]])*Calculations[[#This Row],[Replacements]],0)</f>
        <v>0</v>
      </c>
      <c r="S896" t="str">
        <f>IFERROR(VLOOKUP(Calculations[[#This Row],[Material (choose from dropdown]],MaterialData[#All],4,FALSE),"")</f>
        <v/>
      </c>
      <c r="T896" s="322" cm="1">
        <f t="array" ref="T896">IFERROR(VLOOKUP(Calculations[[#This Row],[Waste 1]],WasteScenario[#All],2,FALSE)*'Stage assumptions'!$C$225*WasteTransportMethod[Emissions Factor
kgCO2e/kg.km]*Calculations[[#This Row],[Total Kg]],0)</f>
        <v>0</v>
      </c>
      <c r="U896" s="322" cm="1">
        <f t="array" ref="U896">IFERROR(VLOOKUP(Calculations[[#This Row],[Waste 1]],WasteScenario[#All],3,FALSE)*'Stage assumptions'!$C$224*WasteTransportMethod[Emissions Factor
kgCO2e/kg.km]*Calculations[[#This Row],[Total Kg]],0)</f>
        <v>0</v>
      </c>
      <c r="V896" s="322" cm="1">
        <f t="array" ref="V896">IFERROR(VLOOKUP(Calculations[[#This Row],[Waste 1]],WasteScenario[#All],4,FALSE)*'Stage assumptions'!$C$223*WasteTransportMethod[Emissions Factor
kgCO2e/kg.km]*Calculations[[#This Row],[Total Kg]],0)</f>
        <v>0</v>
      </c>
      <c r="W896" s="322" cm="1">
        <f t="array" ref="W896">IFERROR(VLOOKUP(Calculations[[#This Row],[Waste 1]],WasteScenario[#All],5,FALSE)*'Stage assumptions'!$C$226*WasteTransportMethod[Emissions Factor
kgCO2e/kg.km]*Calculations[[#This Row],[Total Kg]],0)</f>
        <v>0</v>
      </c>
      <c r="X896" s="322">
        <f>SUM(Calculations[[#This Row],[C2 Recycle]:[C2 Reuse]])</f>
        <v>0</v>
      </c>
      <c r="Y896" t="str">
        <f>IFERROR(VLOOKUP(Calculations[[#This Row],[Material (choose from dropdown]],MaterialData[#All],5,FALSE),"")</f>
        <v/>
      </c>
      <c r="Z896" s="322">
        <f>IFERROR(((VLOOKUP(Calculations[[#This Row],[Waste type 2]],WasteDisposalEmissions[#All],2,FALSE))*Calculations[[#This Row],[Total Kg]])*VLOOKUP(Calculations[[#This Row],[Waste 1]],WasteScenario[#All],2,FALSE),0)</f>
        <v>0</v>
      </c>
      <c r="AA896" s="322">
        <f>IFERROR((VLOOKUP(Calculations[[#This Row],[Waste type 2]],WasteDisposalEmissions[#All],3,FALSE))*Calculations[[#This Row],[Total Kg]]*VLOOKUP(Calculations[[#This Row],[Waste 1]],WasteScenario[#All],3,FALSE),0)</f>
        <v>0</v>
      </c>
      <c r="AB896" s="322">
        <f>SUM(Calculations[[#This Row],[C3 recyc]:[C3 incin]])</f>
        <v>0</v>
      </c>
      <c r="AC896" s="334">
        <f>IFERROR((VLOOKUP(Calculations[[#This Row],[Waste type 2]],WasteLandfillEmissions[#All],2,FALSE))*Calculations[[#This Row],[Total Kg]]*VLOOKUP(Calculations[[#This Row],[Waste 1]],WasteScenario[#All],4,FALSE),0)</f>
        <v>0</v>
      </c>
      <c r="AD896" s="322">
        <f>IFERROR((VLOOKUP(Calculations[[#This Row],[Waste type 2]],WasteLandfillEmissions[#All],3,FALSE))*Calculations[[#This Row],[Total Kg]]*VLOOKUP(Calculations[[#This Row],[Waste 1]],WasteScenario[#All],4,FALSE),0)</f>
        <v>0</v>
      </c>
      <c r="AE896" s="322">
        <f>SUM(Calculations[[#This Row],[C4 landfill]:[C4 re-use]])</f>
        <v>0</v>
      </c>
      <c r="AF896" s="322">
        <f>IFERROR(VLOOKUP(Calculations[[#This Row],[Material (choose from dropdown]],MaterialData[#All],8,FALSE),0)</f>
        <v>0</v>
      </c>
      <c r="AG896" s="322">
        <f>IFERROR(Calculations[[#This Row],[Total Kg]]*Calculations[[#This Row],[Seq factor]],0)</f>
        <v>0</v>
      </c>
      <c r="AI896" s="322">
        <f>Calculations[[#This Row],[A1-3]]+Calculations[[#This Row],[A4]]+Calculations[[#This Row],[A5]]+Calculations[[#This Row],[B4]]+Calculations[[#This Row],[C2 total]]+Calculations[[#This Row],[C3 total]]+Calculations[[#This Row],[C4 total]]</f>
        <v>0</v>
      </c>
      <c r="AJ896" s="2">
        <f>IFERROR(VLOOKUP(Calculations[[#This Row],[Material (choose from dropdown]],MaterialData[[#Headers],[#Data]],9,FALSE),0)</f>
        <v>0</v>
      </c>
      <c r="AK896" s="4">
        <f>IFERROR(VLOOKUP(Calculations[[#This Row],[Material (choose from dropdown]],MaterialData[[#Headers],[#Data]],10,FALSE),0)</f>
        <v>0</v>
      </c>
      <c r="AL896" s="322">
        <f>IFERROR(Calculations[[#This Row],[Data Quality Score]]*Calculations[[#This Row],[Total Kg]],0)</f>
        <v>0</v>
      </c>
    </row>
    <row r="897" spans="1:38" x14ac:dyDescent="0.3">
      <c r="A897" s="6">
        <f>IFERROR(MaterialsBoQ[[#This Row],[Scope Element]],0)</f>
        <v>0</v>
      </c>
      <c r="B897" t="str">
        <f>IFERROR(MaterialsBoQ[[#This Row],[Material ]],"")</f>
        <v/>
      </c>
      <c r="C897" t="str">
        <f>IFERROR(MaterialsBoQ[[#This Row],[Unit]],"")</f>
        <v/>
      </c>
      <c r="D897" s="322">
        <f>IFERROR(MaterialsBoQ[[#This Row],[Number]],0)</f>
        <v>0</v>
      </c>
      <c r="E897" s="322">
        <f>IFERROR(MaterialsBoQ[[#This Row],[Kg per unit]],0)</f>
        <v>0</v>
      </c>
      <c r="F897" s="322">
        <f>IFERROR(Calculations[[#This Row],[Number]]*Calculations[[#This Row],[Conversion factor]],0)</f>
        <v>0</v>
      </c>
      <c r="G897" s="322">
        <f>IFERROR(VLOOKUP(Calculations[[#This Row],[Material (choose from dropdown]],MaterialData[#All],7,FALSE),0)</f>
        <v>0</v>
      </c>
      <c r="H897" s="322">
        <f>Calculations[[#This Row],[Total Kg]]*Calculations[[#This Row],[Carbon Factor]]</f>
        <v>0</v>
      </c>
      <c r="I897" t="str">
        <f>IFERROR(VLOOKUP(Calculations[[#This Row],[Material (choose from dropdown]],MaterialData[#All],2,FALSE),"")</f>
        <v/>
      </c>
      <c r="J897" s="322">
        <f>IFERROR(((VLOOKUP(Calculations[[#This Row],[TransportSource]],TransportDistance[],2,FALSE)*'Stage assumptions'!$C$11)+VLOOKUP(Calculations[[#This Row],[TransportSource]],TransportDistance[],3,FALSE)*'Stage assumptions'!$C$12)*Calculations[[#This Row],[Total Kg]],0)</f>
        <v>0</v>
      </c>
      <c r="K897">
        <f>IFERROR(VLOOKUP(Calculations[[#This Row],[Material (choose from dropdown]], MaterialData[#All],3, FALSE),0)</f>
        <v>0</v>
      </c>
      <c r="L897" s="322">
        <f>IFERROR(VLOOKUP(Calculations[[#This Row],[A5type]],A5WastageRate[#All],2,FALSE)*Calculations[[#This Row],[A1-3]],0)</f>
        <v>0</v>
      </c>
      <c r="N897">
        <f>IFERROR(ROUNDUP(50/VLOOKUP(Calculations[[#This Row],[Scope Element]],B4referenceServiceLife[[Tier 2 element]:[Default Service Life]],2, FALSE)-1,0),0)</f>
        <v>0</v>
      </c>
      <c r="O897" s="322">
        <f>IFERROR((Calculations[[#This Row],[A1-3]]+Calculations[[#This Row],[A4]]+Calculations[[#This Row],[A5]]+Calculations[[#This Row],[C2 total]]+Calculations[[#This Row],[C3 total]]+Calculations[[#This Row],[C4 total]])*Calculations[[#This Row],[Replacements]],0)</f>
        <v>0</v>
      </c>
      <c r="S897" t="str">
        <f>IFERROR(VLOOKUP(Calculations[[#This Row],[Material (choose from dropdown]],MaterialData[#All],4,FALSE),"")</f>
        <v/>
      </c>
      <c r="T897" s="322" cm="1">
        <f t="array" ref="T897">IFERROR(VLOOKUP(Calculations[[#This Row],[Waste 1]],WasteScenario[#All],2,FALSE)*'Stage assumptions'!$C$225*WasteTransportMethod[Emissions Factor
kgCO2e/kg.km]*Calculations[[#This Row],[Total Kg]],0)</f>
        <v>0</v>
      </c>
      <c r="U897" s="322" cm="1">
        <f t="array" ref="U897">IFERROR(VLOOKUP(Calculations[[#This Row],[Waste 1]],WasteScenario[#All],3,FALSE)*'Stage assumptions'!$C$224*WasteTransportMethod[Emissions Factor
kgCO2e/kg.km]*Calculations[[#This Row],[Total Kg]],0)</f>
        <v>0</v>
      </c>
      <c r="V897" s="322" cm="1">
        <f t="array" ref="V897">IFERROR(VLOOKUP(Calculations[[#This Row],[Waste 1]],WasteScenario[#All],4,FALSE)*'Stage assumptions'!$C$223*WasteTransportMethod[Emissions Factor
kgCO2e/kg.km]*Calculations[[#This Row],[Total Kg]],0)</f>
        <v>0</v>
      </c>
      <c r="W897" s="322" cm="1">
        <f t="array" ref="W897">IFERROR(VLOOKUP(Calculations[[#This Row],[Waste 1]],WasteScenario[#All],5,FALSE)*'Stage assumptions'!$C$226*WasteTransportMethod[Emissions Factor
kgCO2e/kg.km]*Calculations[[#This Row],[Total Kg]],0)</f>
        <v>0</v>
      </c>
      <c r="X897" s="322">
        <f>SUM(Calculations[[#This Row],[C2 Recycle]:[C2 Reuse]])</f>
        <v>0</v>
      </c>
      <c r="Y897" t="str">
        <f>IFERROR(VLOOKUP(Calculations[[#This Row],[Material (choose from dropdown]],MaterialData[#All],5,FALSE),"")</f>
        <v/>
      </c>
      <c r="Z897" s="322">
        <f>IFERROR(((VLOOKUP(Calculations[[#This Row],[Waste type 2]],WasteDisposalEmissions[#All],2,FALSE))*Calculations[[#This Row],[Total Kg]])*VLOOKUP(Calculations[[#This Row],[Waste 1]],WasteScenario[#All],2,FALSE),0)</f>
        <v>0</v>
      </c>
      <c r="AA897" s="322">
        <f>IFERROR((VLOOKUP(Calculations[[#This Row],[Waste type 2]],WasteDisposalEmissions[#All],3,FALSE))*Calculations[[#This Row],[Total Kg]]*VLOOKUP(Calculations[[#This Row],[Waste 1]],WasteScenario[#All],3,FALSE),0)</f>
        <v>0</v>
      </c>
      <c r="AB897" s="322">
        <f>SUM(Calculations[[#This Row],[C3 recyc]:[C3 incin]])</f>
        <v>0</v>
      </c>
      <c r="AC897" s="334">
        <f>IFERROR((VLOOKUP(Calculations[[#This Row],[Waste type 2]],WasteLandfillEmissions[#All],2,FALSE))*Calculations[[#This Row],[Total Kg]]*VLOOKUP(Calculations[[#This Row],[Waste 1]],WasteScenario[#All],4,FALSE),0)</f>
        <v>0</v>
      </c>
      <c r="AD897" s="322">
        <f>IFERROR((VLOOKUP(Calculations[[#This Row],[Waste type 2]],WasteLandfillEmissions[#All],3,FALSE))*Calculations[[#This Row],[Total Kg]]*VLOOKUP(Calculations[[#This Row],[Waste 1]],WasteScenario[#All],4,FALSE),0)</f>
        <v>0</v>
      </c>
      <c r="AE897" s="322">
        <f>SUM(Calculations[[#This Row],[C4 landfill]:[C4 re-use]])</f>
        <v>0</v>
      </c>
      <c r="AF897" s="322">
        <f>IFERROR(VLOOKUP(Calculations[[#This Row],[Material (choose from dropdown]],MaterialData[#All],8,FALSE),0)</f>
        <v>0</v>
      </c>
      <c r="AG897" s="322">
        <f>IFERROR(Calculations[[#This Row],[Total Kg]]*Calculations[[#This Row],[Seq factor]],0)</f>
        <v>0</v>
      </c>
      <c r="AI897" s="322">
        <f>Calculations[[#This Row],[A1-3]]+Calculations[[#This Row],[A4]]+Calculations[[#This Row],[A5]]+Calculations[[#This Row],[B4]]+Calculations[[#This Row],[C2 total]]+Calculations[[#This Row],[C3 total]]+Calculations[[#This Row],[C4 total]]</f>
        <v>0</v>
      </c>
      <c r="AJ897" s="2">
        <f>IFERROR(VLOOKUP(Calculations[[#This Row],[Material (choose from dropdown]],MaterialData[[#Headers],[#Data]],9,FALSE),0)</f>
        <v>0</v>
      </c>
      <c r="AK897" s="4">
        <f>IFERROR(VLOOKUP(Calculations[[#This Row],[Material (choose from dropdown]],MaterialData[[#Headers],[#Data]],10,FALSE),0)</f>
        <v>0</v>
      </c>
      <c r="AL897" s="322">
        <f>IFERROR(Calculations[[#This Row],[Data Quality Score]]*Calculations[[#This Row],[Total Kg]],0)</f>
        <v>0</v>
      </c>
    </row>
    <row r="898" spans="1:38" x14ac:dyDescent="0.3">
      <c r="A898" s="6">
        <f>IFERROR(MaterialsBoQ[[#This Row],[Scope Element]],0)</f>
        <v>0</v>
      </c>
      <c r="B898" t="str">
        <f>IFERROR(MaterialsBoQ[[#This Row],[Material ]],"")</f>
        <v/>
      </c>
      <c r="C898" t="str">
        <f>IFERROR(MaterialsBoQ[[#This Row],[Unit]],"")</f>
        <v/>
      </c>
      <c r="D898" s="322">
        <f>IFERROR(MaterialsBoQ[[#This Row],[Number]],0)</f>
        <v>0</v>
      </c>
      <c r="E898" s="322">
        <f>IFERROR(MaterialsBoQ[[#This Row],[Kg per unit]],0)</f>
        <v>0</v>
      </c>
      <c r="F898" s="322">
        <f>IFERROR(Calculations[[#This Row],[Number]]*Calculations[[#This Row],[Conversion factor]],0)</f>
        <v>0</v>
      </c>
      <c r="G898" s="322">
        <f>IFERROR(VLOOKUP(Calculations[[#This Row],[Material (choose from dropdown]],MaterialData[#All],7,FALSE),0)</f>
        <v>0</v>
      </c>
      <c r="H898" s="322">
        <f>Calculations[[#This Row],[Total Kg]]*Calculations[[#This Row],[Carbon Factor]]</f>
        <v>0</v>
      </c>
      <c r="I898" t="str">
        <f>IFERROR(VLOOKUP(Calculations[[#This Row],[Material (choose from dropdown]],MaterialData[#All],2,FALSE),"")</f>
        <v/>
      </c>
      <c r="J898" s="322">
        <f>IFERROR(((VLOOKUP(Calculations[[#This Row],[TransportSource]],TransportDistance[],2,FALSE)*'Stage assumptions'!$C$11)+VLOOKUP(Calculations[[#This Row],[TransportSource]],TransportDistance[],3,FALSE)*'Stage assumptions'!$C$12)*Calculations[[#This Row],[Total Kg]],0)</f>
        <v>0</v>
      </c>
      <c r="K898">
        <f>IFERROR(VLOOKUP(Calculations[[#This Row],[Material (choose from dropdown]], MaterialData[#All],3, FALSE),0)</f>
        <v>0</v>
      </c>
      <c r="L898" s="322">
        <f>IFERROR(VLOOKUP(Calculations[[#This Row],[A5type]],A5WastageRate[#All],2,FALSE)*Calculations[[#This Row],[A1-3]],0)</f>
        <v>0</v>
      </c>
      <c r="N898">
        <f>IFERROR(ROUNDUP(50/VLOOKUP(Calculations[[#This Row],[Scope Element]],B4referenceServiceLife[[Tier 2 element]:[Default Service Life]],2, FALSE)-1,0),0)</f>
        <v>0</v>
      </c>
      <c r="O898" s="322">
        <f>IFERROR((Calculations[[#This Row],[A1-3]]+Calculations[[#This Row],[A4]]+Calculations[[#This Row],[A5]]+Calculations[[#This Row],[C2 total]]+Calculations[[#This Row],[C3 total]]+Calculations[[#This Row],[C4 total]])*Calculations[[#This Row],[Replacements]],0)</f>
        <v>0</v>
      </c>
      <c r="S898" t="str">
        <f>IFERROR(VLOOKUP(Calculations[[#This Row],[Material (choose from dropdown]],MaterialData[#All],4,FALSE),"")</f>
        <v/>
      </c>
      <c r="T898" s="322" cm="1">
        <f t="array" ref="T898">IFERROR(VLOOKUP(Calculations[[#This Row],[Waste 1]],WasteScenario[#All],2,FALSE)*'Stage assumptions'!$C$225*WasteTransportMethod[Emissions Factor
kgCO2e/kg.km]*Calculations[[#This Row],[Total Kg]],0)</f>
        <v>0</v>
      </c>
      <c r="U898" s="322" cm="1">
        <f t="array" ref="U898">IFERROR(VLOOKUP(Calculations[[#This Row],[Waste 1]],WasteScenario[#All],3,FALSE)*'Stage assumptions'!$C$224*WasteTransportMethod[Emissions Factor
kgCO2e/kg.km]*Calculations[[#This Row],[Total Kg]],0)</f>
        <v>0</v>
      </c>
      <c r="V898" s="322" cm="1">
        <f t="array" ref="V898">IFERROR(VLOOKUP(Calculations[[#This Row],[Waste 1]],WasteScenario[#All],4,FALSE)*'Stage assumptions'!$C$223*WasteTransportMethod[Emissions Factor
kgCO2e/kg.km]*Calculations[[#This Row],[Total Kg]],0)</f>
        <v>0</v>
      </c>
      <c r="W898" s="322" cm="1">
        <f t="array" ref="W898">IFERROR(VLOOKUP(Calculations[[#This Row],[Waste 1]],WasteScenario[#All],5,FALSE)*'Stage assumptions'!$C$226*WasteTransportMethod[Emissions Factor
kgCO2e/kg.km]*Calculations[[#This Row],[Total Kg]],0)</f>
        <v>0</v>
      </c>
      <c r="X898" s="322">
        <f>SUM(Calculations[[#This Row],[C2 Recycle]:[C2 Reuse]])</f>
        <v>0</v>
      </c>
      <c r="Y898" t="str">
        <f>IFERROR(VLOOKUP(Calculations[[#This Row],[Material (choose from dropdown]],MaterialData[#All],5,FALSE),"")</f>
        <v/>
      </c>
      <c r="Z898" s="322">
        <f>IFERROR(((VLOOKUP(Calculations[[#This Row],[Waste type 2]],WasteDisposalEmissions[#All],2,FALSE))*Calculations[[#This Row],[Total Kg]])*VLOOKUP(Calculations[[#This Row],[Waste 1]],WasteScenario[#All],2,FALSE),0)</f>
        <v>0</v>
      </c>
      <c r="AA898" s="322">
        <f>IFERROR((VLOOKUP(Calculations[[#This Row],[Waste type 2]],WasteDisposalEmissions[#All],3,FALSE))*Calculations[[#This Row],[Total Kg]]*VLOOKUP(Calculations[[#This Row],[Waste 1]],WasteScenario[#All],3,FALSE),0)</f>
        <v>0</v>
      </c>
      <c r="AB898" s="322">
        <f>SUM(Calculations[[#This Row],[C3 recyc]:[C3 incin]])</f>
        <v>0</v>
      </c>
      <c r="AC898" s="334">
        <f>IFERROR((VLOOKUP(Calculations[[#This Row],[Waste type 2]],WasteLandfillEmissions[#All],2,FALSE))*Calculations[[#This Row],[Total Kg]]*VLOOKUP(Calculations[[#This Row],[Waste 1]],WasteScenario[#All],4,FALSE),0)</f>
        <v>0</v>
      </c>
      <c r="AD898" s="322">
        <f>IFERROR((VLOOKUP(Calculations[[#This Row],[Waste type 2]],WasteLandfillEmissions[#All],3,FALSE))*Calculations[[#This Row],[Total Kg]]*VLOOKUP(Calculations[[#This Row],[Waste 1]],WasteScenario[#All],4,FALSE),0)</f>
        <v>0</v>
      </c>
      <c r="AE898" s="322">
        <f>SUM(Calculations[[#This Row],[C4 landfill]:[C4 re-use]])</f>
        <v>0</v>
      </c>
      <c r="AF898" s="322">
        <f>IFERROR(VLOOKUP(Calculations[[#This Row],[Material (choose from dropdown]],MaterialData[#All],8,FALSE),0)</f>
        <v>0</v>
      </c>
      <c r="AG898" s="322">
        <f>IFERROR(Calculations[[#This Row],[Total Kg]]*Calculations[[#This Row],[Seq factor]],0)</f>
        <v>0</v>
      </c>
      <c r="AI898" s="322">
        <f>Calculations[[#This Row],[A1-3]]+Calculations[[#This Row],[A4]]+Calculations[[#This Row],[A5]]+Calculations[[#This Row],[B4]]+Calculations[[#This Row],[C2 total]]+Calculations[[#This Row],[C3 total]]+Calculations[[#This Row],[C4 total]]</f>
        <v>0</v>
      </c>
      <c r="AJ898" s="2">
        <f>IFERROR(VLOOKUP(Calculations[[#This Row],[Material (choose from dropdown]],MaterialData[[#Headers],[#Data]],9,FALSE),0)</f>
        <v>0</v>
      </c>
      <c r="AK898" s="4">
        <f>IFERROR(VLOOKUP(Calculations[[#This Row],[Material (choose from dropdown]],MaterialData[[#Headers],[#Data]],10,FALSE),0)</f>
        <v>0</v>
      </c>
      <c r="AL898" s="322">
        <f>IFERROR(Calculations[[#This Row],[Data Quality Score]]*Calculations[[#This Row],[Total Kg]],0)</f>
        <v>0</v>
      </c>
    </row>
    <row r="899" spans="1:38" x14ac:dyDescent="0.3">
      <c r="A899" s="6">
        <f>IFERROR(MaterialsBoQ[[#This Row],[Scope Element]],0)</f>
        <v>0</v>
      </c>
      <c r="B899" t="str">
        <f>IFERROR(MaterialsBoQ[[#This Row],[Material ]],"")</f>
        <v/>
      </c>
      <c r="C899" t="str">
        <f>IFERROR(MaterialsBoQ[[#This Row],[Unit]],"")</f>
        <v/>
      </c>
      <c r="D899" s="322">
        <f>IFERROR(MaterialsBoQ[[#This Row],[Number]],0)</f>
        <v>0</v>
      </c>
      <c r="E899" s="322">
        <f>IFERROR(MaterialsBoQ[[#This Row],[Kg per unit]],0)</f>
        <v>0</v>
      </c>
      <c r="F899" s="322">
        <f>IFERROR(Calculations[[#This Row],[Number]]*Calculations[[#This Row],[Conversion factor]],0)</f>
        <v>0</v>
      </c>
      <c r="G899" s="322">
        <f>IFERROR(VLOOKUP(Calculations[[#This Row],[Material (choose from dropdown]],MaterialData[#All],7,FALSE),0)</f>
        <v>0</v>
      </c>
      <c r="H899" s="322">
        <f>Calculations[[#This Row],[Total Kg]]*Calculations[[#This Row],[Carbon Factor]]</f>
        <v>0</v>
      </c>
      <c r="I899" t="str">
        <f>IFERROR(VLOOKUP(Calculations[[#This Row],[Material (choose from dropdown]],MaterialData[#All],2,FALSE),"")</f>
        <v/>
      </c>
      <c r="J899" s="322">
        <f>IFERROR(((VLOOKUP(Calculations[[#This Row],[TransportSource]],TransportDistance[],2,FALSE)*'Stage assumptions'!$C$11)+VLOOKUP(Calculations[[#This Row],[TransportSource]],TransportDistance[],3,FALSE)*'Stage assumptions'!$C$12)*Calculations[[#This Row],[Total Kg]],0)</f>
        <v>0</v>
      </c>
      <c r="K899">
        <f>IFERROR(VLOOKUP(Calculations[[#This Row],[Material (choose from dropdown]], MaterialData[#All],3, FALSE),0)</f>
        <v>0</v>
      </c>
      <c r="L899" s="322">
        <f>IFERROR(VLOOKUP(Calculations[[#This Row],[A5type]],A5WastageRate[#All],2,FALSE)*Calculations[[#This Row],[A1-3]],0)</f>
        <v>0</v>
      </c>
      <c r="N899">
        <f>IFERROR(ROUNDUP(50/VLOOKUP(Calculations[[#This Row],[Scope Element]],B4referenceServiceLife[[Tier 2 element]:[Default Service Life]],2, FALSE)-1,0),0)</f>
        <v>0</v>
      </c>
      <c r="O899" s="322">
        <f>IFERROR((Calculations[[#This Row],[A1-3]]+Calculations[[#This Row],[A4]]+Calculations[[#This Row],[A5]]+Calculations[[#This Row],[C2 total]]+Calculations[[#This Row],[C3 total]]+Calculations[[#This Row],[C4 total]])*Calculations[[#This Row],[Replacements]],0)</f>
        <v>0</v>
      </c>
      <c r="S899" t="str">
        <f>IFERROR(VLOOKUP(Calculations[[#This Row],[Material (choose from dropdown]],MaterialData[#All],4,FALSE),"")</f>
        <v/>
      </c>
      <c r="T899" s="322" cm="1">
        <f t="array" ref="T899">IFERROR(VLOOKUP(Calculations[[#This Row],[Waste 1]],WasteScenario[#All],2,FALSE)*'Stage assumptions'!$C$225*WasteTransportMethod[Emissions Factor
kgCO2e/kg.km]*Calculations[[#This Row],[Total Kg]],0)</f>
        <v>0</v>
      </c>
      <c r="U899" s="322" cm="1">
        <f t="array" ref="U899">IFERROR(VLOOKUP(Calculations[[#This Row],[Waste 1]],WasteScenario[#All],3,FALSE)*'Stage assumptions'!$C$224*WasteTransportMethod[Emissions Factor
kgCO2e/kg.km]*Calculations[[#This Row],[Total Kg]],0)</f>
        <v>0</v>
      </c>
      <c r="V899" s="322" cm="1">
        <f t="array" ref="V899">IFERROR(VLOOKUP(Calculations[[#This Row],[Waste 1]],WasteScenario[#All],4,FALSE)*'Stage assumptions'!$C$223*WasteTransportMethod[Emissions Factor
kgCO2e/kg.km]*Calculations[[#This Row],[Total Kg]],0)</f>
        <v>0</v>
      </c>
      <c r="W899" s="322" cm="1">
        <f t="array" ref="W899">IFERROR(VLOOKUP(Calculations[[#This Row],[Waste 1]],WasteScenario[#All],5,FALSE)*'Stage assumptions'!$C$226*WasteTransportMethod[Emissions Factor
kgCO2e/kg.km]*Calculations[[#This Row],[Total Kg]],0)</f>
        <v>0</v>
      </c>
      <c r="X899" s="322">
        <f>SUM(Calculations[[#This Row],[C2 Recycle]:[C2 Reuse]])</f>
        <v>0</v>
      </c>
      <c r="Y899" t="str">
        <f>IFERROR(VLOOKUP(Calculations[[#This Row],[Material (choose from dropdown]],MaterialData[#All],5,FALSE),"")</f>
        <v/>
      </c>
      <c r="Z899" s="322">
        <f>IFERROR(((VLOOKUP(Calculations[[#This Row],[Waste type 2]],WasteDisposalEmissions[#All],2,FALSE))*Calculations[[#This Row],[Total Kg]])*VLOOKUP(Calculations[[#This Row],[Waste 1]],WasteScenario[#All],2,FALSE),0)</f>
        <v>0</v>
      </c>
      <c r="AA899" s="322">
        <f>IFERROR((VLOOKUP(Calculations[[#This Row],[Waste type 2]],WasteDisposalEmissions[#All],3,FALSE))*Calculations[[#This Row],[Total Kg]]*VLOOKUP(Calculations[[#This Row],[Waste 1]],WasteScenario[#All],3,FALSE),0)</f>
        <v>0</v>
      </c>
      <c r="AB899" s="322">
        <f>SUM(Calculations[[#This Row],[C3 recyc]:[C3 incin]])</f>
        <v>0</v>
      </c>
      <c r="AC899" s="334">
        <f>IFERROR((VLOOKUP(Calculations[[#This Row],[Waste type 2]],WasteLandfillEmissions[#All],2,FALSE))*Calculations[[#This Row],[Total Kg]]*VLOOKUP(Calculations[[#This Row],[Waste 1]],WasteScenario[#All],4,FALSE),0)</f>
        <v>0</v>
      </c>
      <c r="AD899" s="322">
        <f>IFERROR((VLOOKUP(Calculations[[#This Row],[Waste type 2]],WasteLandfillEmissions[#All],3,FALSE))*Calculations[[#This Row],[Total Kg]]*VLOOKUP(Calculations[[#This Row],[Waste 1]],WasteScenario[#All],4,FALSE),0)</f>
        <v>0</v>
      </c>
      <c r="AE899" s="322">
        <f>SUM(Calculations[[#This Row],[C4 landfill]:[C4 re-use]])</f>
        <v>0</v>
      </c>
      <c r="AF899" s="322">
        <f>IFERROR(VLOOKUP(Calculations[[#This Row],[Material (choose from dropdown]],MaterialData[#All],8,FALSE),0)</f>
        <v>0</v>
      </c>
      <c r="AG899" s="322">
        <f>IFERROR(Calculations[[#This Row],[Total Kg]]*Calculations[[#This Row],[Seq factor]],0)</f>
        <v>0</v>
      </c>
      <c r="AI899" s="322">
        <f>Calculations[[#This Row],[A1-3]]+Calculations[[#This Row],[A4]]+Calculations[[#This Row],[A5]]+Calculations[[#This Row],[B4]]+Calculations[[#This Row],[C2 total]]+Calculations[[#This Row],[C3 total]]+Calculations[[#This Row],[C4 total]]</f>
        <v>0</v>
      </c>
      <c r="AJ899" s="2">
        <f>IFERROR(VLOOKUP(Calculations[[#This Row],[Material (choose from dropdown]],MaterialData[[#Headers],[#Data]],9,FALSE),0)</f>
        <v>0</v>
      </c>
      <c r="AK899" s="4">
        <f>IFERROR(VLOOKUP(Calculations[[#This Row],[Material (choose from dropdown]],MaterialData[[#Headers],[#Data]],10,FALSE),0)</f>
        <v>0</v>
      </c>
      <c r="AL899" s="322">
        <f>IFERROR(Calculations[[#This Row],[Data Quality Score]]*Calculations[[#This Row],[Total Kg]],0)</f>
        <v>0</v>
      </c>
    </row>
    <row r="900" spans="1:38" x14ac:dyDescent="0.3">
      <c r="A900" s="6">
        <f>IFERROR(MaterialsBoQ[[#This Row],[Scope Element]],0)</f>
        <v>0</v>
      </c>
      <c r="B900" t="str">
        <f>IFERROR(MaterialsBoQ[[#This Row],[Material ]],"")</f>
        <v/>
      </c>
      <c r="C900" t="str">
        <f>IFERROR(MaterialsBoQ[[#This Row],[Unit]],"")</f>
        <v/>
      </c>
      <c r="D900" s="322">
        <f>IFERROR(MaterialsBoQ[[#This Row],[Number]],0)</f>
        <v>0</v>
      </c>
      <c r="E900" s="322">
        <f>IFERROR(MaterialsBoQ[[#This Row],[Kg per unit]],0)</f>
        <v>0</v>
      </c>
      <c r="F900" s="322">
        <f>IFERROR(Calculations[[#This Row],[Number]]*Calculations[[#This Row],[Conversion factor]],0)</f>
        <v>0</v>
      </c>
      <c r="G900" s="322">
        <f>IFERROR(VLOOKUP(Calculations[[#This Row],[Material (choose from dropdown]],MaterialData[#All],7,FALSE),0)</f>
        <v>0</v>
      </c>
      <c r="H900" s="322">
        <f>Calculations[[#This Row],[Total Kg]]*Calculations[[#This Row],[Carbon Factor]]</f>
        <v>0</v>
      </c>
      <c r="I900" t="str">
        <f>IFERROR(VLOOKUP(Calculations[[#This Row],[Material (choose from dropdown]],MaterialData[#All],2,FALSE),"")</f>
        <v/>
      </c>
      <c r="J900" s="322">
        <f>IFERROR(((VLOOKUP(Calculations[[#This Row],[TransportSource]],TransportDistance[],2,FALSE)*'Stage assumptions'!$C$11)+VLOOKUP(Calculations[[#This Row],[TransportSource]],TransportDistance[],3,FALSE)*'Stage assumptions'!$C$12)*Calculations[[#This Row],[Total Kg]],0)</f>
        <v>0</v>
      </c>
      <c r="K900">
        <f>IFERROR(VLOOKUP(Calculations[[#This Row],[Material (choose from dropdown]], MaterialData[#All],3, FALSE),0)</f>
        <v>0</v>
      </c>
      <c r="L900" s="322">
        <f>IFERROR(VLOOKUP(Calculations[[#This Row],[A5type]],A5WastageRate[#All],2,FALSE)*Calculations[[#This Row],[A1-3]],0)</f>
        <v>0</v>
      </c>
      <c r="N900">
        <f>IFERROR(ROUNDUP(50/VLOOKUP(Calculations[[#This Row],[Scope Element]],B4referenceServiceLife[[Tier 2 element]:[Default Service Life]],2, FALSE)-1,0),0)</f>
        <v>0</v>
      </c>
      <c r="O900" s="322">
        <f>IFERROR((Calculations[[#This Row],[A1-3]]+Calculations[[#This Row],[A4]]+Calculations[[#This Row],[A5]]+Calculations[[#This Row],[C2 total]]+Calculations[[#This Row],[C3 total]]+Calculations[[#This Row],[C4 total]])*Calculations[[#This Row],[Replacements]],0)</f>
        <v>0</v>
      </c>
      <c r="S900" t="str">
        <f>IFERROR(VLOOKUP(Calculations[[#This Row],[Material (choose from dropdown]],MaterialData[#All],4,FALSE),"")</f>
        <v/>
      </c>
      <c r="T900" s="322" cm="1">
        <f t="array" ref="T900">IFERROR(VLOOKUP(Calculations[[#This Row],[Waste 1]],WasteScenario[#All],2,FALSE)*'Stage assumptions'!$C$225*WasteTransportMethod[Emissions Factor
kgCO2e/kg.km]*Calculations[[#This Row],[Total Kg]],0)</f>
        <v>0</v>
      </c>
      <c r="U900" s="322" cm="1">
        <f t="array" ref="U900">IFERROR(VLOOKUP(Calculations[[#This Row],[Waste 1]],WasteScenario[#All],3,FALSE)*'Stage assumptions'!$C$224*WasteTransportMethod[Emissions Factor
kgCO2e/kg.km]*Calculations[[#This Row],[Total Kg]],0)</f>
        <v>0</v>
      </c>
      <c r="V900" s="322" cm="1">
        <f t="array" ref="V900">IFERROR(VLOOKUP(Calculations[[#This Row],[Waste 1]],WasteScenario[#All],4,FALSE)*'Stage assumptions'!$C$223*WasteTransportMethod[Emissions Factor
kgCO2e/kg.km]*Calculations[[#This Row],[Total Kg]],0)</f>
        <v>0</v>
      </c>
      <c r="W900" s="322" cm="1">
        <f t="array" ref="W900">IFERROR(VLOOKUP(Calculations[[#This Row],[Waste 1]],WasteScenario[#All],5,FALSE)*'Stage assumptions'!$C$226*WasteTransportMethod[Emissions Factor
kgCO2e/kg.km]*Calculations[[#This Row],[Total Kg]],0)</f>
        <v>0</v>
      </c>
      <c r="X900" s="322">
        <f>SUM(Calculations[[#This Row],[C2 Recycle]:[C2 Reuse]])</f>
        <v>0</v>
      </c>
      <c r="Y900" t="str">
        <f>IFERROR(VLOOKUP(Calculations[[#This Row],[Material (choose from dropdown]],MaterialData[#All],5,FALSE),"")</f>
        <v/>
      </c>
      <c r="Z900" s="322">
        <f>IFERROR(((VLOOKUP(Calculations[[#This Row],[Waste type 2]],WasteDisposalEmissions[#All],2,FALSE))*Calculations[[#This Row],[Total Kg]])*VLOOKUP(Calculations[[#This Row],[Waste 1]],WasteScenario[#All],2,FALSE),0)</f>
        <v>0</v>
      </c>
      <c r="AA900" s="322">
        <f>IFERROR((VLOOKUP(Calculations[[#This Row],[Waste type 2]],WasteDisposalEmissions[#All],3,FALSE))*Calculations[[#This Row],[Total Kg]]*VLOOKUP(Calculations[[#This Row],[Waste 1]],WasteScenario[#All],3,FALSE),0)</f>
        <v>0</v>
      </c>
      <c r="AB900" s="322">
        <f>SUM(Calculations[[#This Row],[C3 recyc]:[C3 incin]])</f>
        <v>0</v>
      </c>
      <c r="AC900" s="334">
        <f>IFERROR((VLOOKUP(Calculations[[#This Row],[Waste type 2]],WasteLandfillEmissions[#All],2,FALSE))*Calculations[[#This Row],[Total Kg]]*VLOOKUP(Calculations[[#This Row],[Waste 1]],WasteScenario[#All],4,FALSE),0)</f>
        <v>0</v>
      </c>
      <c r="AD900" s="322">
        <f>IFERROR((VLOOKUP(Calculations[[#This Row],[Waste type 2]],WasteLandfillEmissions[#All],3,FALSE))*Calculations[[#This Row],[Total Kg]]*VLOOKUP(Calculations[[#This Row],[Waste 1]],WasteScenario[#All],4,FALSE),0)</f>
        <v>0</v>
      </c>
      <c r="AE900" s="322">
        <f>SUM(Calculations[[#This Row],[C4 landfill]:[C4 re-use]])</f>
        <v>0</v>
      </c>
      <c r="AF900" s="322">
        <f>IFERROR(VLOOKUP(Calculations[[#This Row],[Material (choose from dropdown]],MaterialData[#All],8,FALSE),0)</f>
        <v>0</v>
      </c>
      <c r="AG900" s="322">
        <f>IFERROR(Calculations[[#This Row],[Total Kg]]*Calculations[[#This Row],[Seq factor]],0)</f>
        <v>0</v>
      </c>
      <c r="AI900" s="322">
        <f>Calculations[[#This Row],[A1-3]]+Calculations[[#This Row],[A4]]+Calculations[[#This Row],[A5]]+Calculations[[#This Row],[B4]]+Calculations[[#This Row],[C2 total]]+Calculations[[#This Row],[C3 total]]+Calculations[[#This Row],[C4 total]]</f>
        <v>0</v>
      </c>
      <c r="AJ900" s="2">
        <f>IFERROR(VLOOKUP(Calculations[[#This Row],[Material (choose from dropdown]],MaterialData[[#Headers],[#Data]],9,FALSE),0)</f>
        <v>0</v>
      </c>
      <c r="AK900" s="4">
        <f>IFERROR(VLOOKUP(Calculations[[#This Row],[Material (choose from dropdown]],MaterialData[[#Headers],[#Data]],10,FALSE),0)</f>
        <v>0</v>
      </c>
      <c r="AL900" s="322">
        <f>IFERROR(Calculations[[#This Row],[Data Quality Score]]*Calculations[[#This Row],[Total Kg]],0)</f>
        <v>0</v>
      </c>
    </row>
    <row r="901" spans="1:38" x14ac:dyDescent="0.3">
      <c r="A901" s="6">
        <f>IFERROR(MaterialsBoQ[[#This Row],[Scope Element]],0)</f>
        <v>0</v>
      </c>
      <c r="B901" t="str">
        <f>IFERROR(MaterialsBoQ[[#This Row],[Material ]],"")</f>
        <v/>
      </c>
      <c r="C901" t="str">
        <f>IFERROR(MaterialsBoQ[[#This Row],[Unit]],"")</f>
        <v/>
      </c>
      <c r="D901" s="322">
        <f>IFERROR(MaterialsBoQ[[#This Row],[Number]],0)</f>
        <v>0</v>
      </c>
      <c r="E901" s="322">
        <f>IFERROR(MaterialsBoQ[[#This Row],[Kg per unit]],0)</f>
        <v>0</v>
      </c>
      <c r="F901" s="322">
        <f>IFERROR(Calculations[[#This Row],[Number]]*Calculations[[#This Row],[Conversion factor]],0)</f>
        <v>0</v>
      </c>
      <c r="G901" s="322">
        <f>IFERROR(VLOOKUP(Calculations[[#This Row],[Material (choose from dropdown]],MaterialData[#All],7,FALSE),0)</f>
        <v>0</v>
      </c>
      <c r="H901" s="322">
        <f>Calculations[[#This Row],[Total Kg]]*Calculations[[#This Row],[Carbon Factor]]</f>
        <v>0</v>
      </c>
      <c r="I901" t="str">
        <f>IFERROR(VLOOKUP(Calculations[[#This Row],[Material (choose from dropdown]],MaterialData[#All],2,FALSE),"")</f>
        <v/>
      </c>
      <c r="J901" s="322">
        <f>IFERROR(((VLOOKUP(Calculations[[#This Row],[TransportSource]],TransportDistance[],2,FALSE)*'Stage assumptions'!$C$11)+VLOOKUP(Calculations[[#This Row],[TransportSource]],TransportDistance[],3,FALSE)*'Stage assumptions'!$C$12)*Calculations[[#This Row],[Total Kg]],0)</f>
        <v>0</v>
      </c>
      <c r="K901">
        <f>IFERROR(VLOOKUP(Calculations[[#This Row],[Material (choose from dropdown]], MaterialData[#All],3, FALSE),0)</f>
        <v>0</v>
      </c>
      <c r="L901" s="322">
        <f>IFERROR(VLOOKUP(Calculations[[#This Row],[A5type]],A5WastageRate[#All],2,FALSE)*Calculations[[#This Row],[A1-3]],0)</f>
        <v>0</v>
      </c>
      <c r="N901">
        <f>IFERROR(ROUNDUP(50/VLOOKUP(Calculations[[#This Row],[Scope Element]],B4referenceServiceLife[[Tier 2 element]:[Default Service Life]],2, FALSE)-1,0),0)</f>
        <v>0</v>
      </c>
      <c r="O901" s="322">
        <f>IFERROR((Calculations[[#This Row],[A1-3]]+Calculations[[#This Row],[A4]]+Calculations[[#This Row],[A5]]+Calculations[[#This Row],[C2 total]]+Calculations[[#This Row],[C3 total]]+Calculations[[#This Row],[C4 total]])*Calculations[[#This Row],[Replacements]],0)</f>
        <v>0</v>
      </c>
      <c r="S901" t="str">
        <f>IFERROR(VLOOKUP(Calculations[[#This Row],[Material (choose from dropdown]],MaterialData[#All],4,FALSE),"")</f>
        <v/>
      </c>
      <c r="T901" s="322" cm="1">
        <f t="array" ref="T901">IFERROR(VLOOKUP(Calculations[[#This Row],[Waste 1]],WasteScenario[#All],2,FALSE)*'Stage assumptions'!$C$225*WasteTransportMethod[Emissions Factor
kgCO2e/kg.km]*Calculations[[#This Row],[Total Kg]],0)</f>
        <v>0</v>
      </c>
      <c r="U901" s="322" cm="1">
        <f t="array" ref="U901">IFERROR(VLOOKUP(Calculations[[#This Row],[Waste 1]],WasteScenario[#All],3,FALSE)*'Stage assumptions'!$C$224*WasteTransportMethod[Emissions Factor
kgCO2e/kg.km]*Calculations[[#This Row],[Total Kg]],0)</f>
        <v>0</v>
      </c>
      <c r="V901" s="322" cm="1">
        <f t="array" ref="V901">IFERROR(VLOOKUP(Calculations[[#This Row],[Waste 1]],WasteScenario[#All],4,FALSE)*'Stage assumptions'!$C$223*WasteTransportMethod[Emissions Factor
kgCO2e/kg.km]*Calculations[[#This Row],[Total Kg]],0)</f>
        <v>0</v>
      </c>
      <c r="W901" s="322" cm="1">
        <f t="array" ref="W901">IFERROR(VLOOKUP(Calculations[[#This Row],[Waste 1]],WasteScenario[#All],5,FALSE)*'Stage assumptions'!$C$226*WasteTransportMethod[Emissions Factor
kgCO2e/kg.km]*Calculations[[#This Row],[Total Kg]],0)</f>
        <v>0</v>
      </c>
      <c r="X901" s="322">
        <f>SUM(Calculations[[#This Row],[C2 Recycle]:[C2 Reuse]])</f>
        <v>0</v>
      </c>
      <c r="Y901" t="str">
        <f>IFERROR(VLOOKUP(Calculations[[#This Row],[Material (choose from dropdown]],MaterialData[#All],5,FALSE),"")</f>
        <v/>
      </c>
      <c r="Z901" s="322">
        <f>IFERROR(((VLOOKUP(Calculations[[#This Row],[Waste type 2]],WasteDisposalEmissions[#All],2,FALSE))*Calculations[[#This Row],[Total Kg]])*VLOOKUP(Calculations[[#This Row],[Waste 1]],WasteScenario[#All],2,FALSE),0)</f>
        <v>0</v>
      </c>
      <c r="AA901" s="322">
        <f>IFERROR((VLOOKUP(Calculations[[#This Row],[Waste type 2]],WasteDisposalEmissions[#All],3,FALSE))*Calculations[[#This Row],[Total Kg]]*VLOOKUP(Calculations[[#This Row],[Waste 1]],WasteScenario[#All],3,FALSE),0)</f>
        <v>0</v>
      </c>
      <c r="AB901" s="322">
        <f>SUM(Calculations[[#This Row],[C3 recyc]:[C3 incin]])</f>
        <v>0</v>
      </c>
      <c r="AC901" s="334">
        <f>IFERROR((VLOOKUP(Calculations[[#This Row],[Waste type 2]],WasteLandfillEmissions[#All],2,FALSE))*Calculations[[#This Row],[Total Kg]]*VLOOKUP(Calculations[[#This Row],[Waste 1]],WasteScenario[#All],4,FALSE),0)</f>
        <v>0</v>
      </c>
      <c r="AD901" s="322">
        <f>IFERROR((VLOOKUP(Calculations[[#This Row],[Waste type 2]],WasteLandfillEmissions[#All],3,FALSE))*Calculations[[#This Row],[Total Kg]]*VLOOKUP(Calculations[[#This Row],[Waste 1]],WasteScenario[#All],4,FALSE),0)</f>
        <v>0</v>
      </c>
      <c r="AE901" s="322">
        <f>SUM(Calculations[[#This Row],[C4 landfill]:[C4 re-use]])</f>
        <v>0</v>
      </c>
      <c r="AF901" s="322">
        <f>IFERROR(VLOOKUP(Calculations[[#This Row],[Material (choose from dropdown]],MaterialData[#All],8,FALSE),0)</f>
        <v>0</v>
      </c>
      <c r="AG901" s="322">
        <f>IFERROR(Calculations[[#This Row],[Total Kg]]*Calculations[[#This Row],[Seq factor]],0)</f>
        <v>0</v>
      </c>
      <c r="AI901" s="322">
        <f>Calculations[[#This Row],[A1-3]]+Calculations[[#This Row],[A4]]+Calculations[[#This Row],[A5]]+Calculations[[#This Row],[B4]]+Calculations[[#This Row],[C2 total]]+Calculations[[#This Row],[C3 total]]+Calculations[[#This Row],[C4 total]]</f>
        <v>0</v>
      </c>
      <c r="AJ901" s="2">
        <f>IFERROR(VLOOKUP(Calculations[[#This Row],[Material (choose from dropdown]],MaterialData[[#Headers],[#Data]],9,FALSE),0)</f>
        <v>0</v>
      </c>
      <c r="AK901" s="4">
        <f>IFERROR(VLOOKUP(Calculations[[#This Row],[Material (choose from dropdown]],MaterialData[[#Headers],[#Data]],10,FALSE),0)</f>
        <v>0</v>
      </c>
      <c r="AL901" s="322">
        <f>IFERROR(Calculations[[#This Row],[Data Quality Score]]*Calculations[[#This Row],[Total Kg]],0)</f>
        <v>0</v>
      </c>
    </row>
    <row r="902" spans="1:38" x14ac:dyDescent="0.3">
      <c r="A902" s="6">
        <f>IFERROR(MaterialsBoQ[[#This Row],[Scope Element]],0)</f>
        <v>0</v>
      </c>
      <c r="B902" t="str">
        <f>IFERROR(MaterialsBoQ[[#This Row],[Material ]],"")</f>
        <v/>
      </c>
      <c r="C902" t="str">
        <f>IFERROR(MaterialsBoQ[[#This Row],[Unit]],"")</f>
        <v/>
      </c>
      <c r="D902" s="322">
        <f>IFERROR(MaterialsBoQ[[#This Row],[Number]],0)</f>
        <v>0</v>
      </c>
      <c r="E902" s="322">
        <f>IFERROR(MaterialsBoQ[[#This Row],[Kg per unit]],0)</f>
        <v>0</v>
      </c>
      <c r="F902" s="322">
        <f>IFERROR(Calculations[[#This Row],[Number]]*Calculations[[#This Row],[Conversion factor]],0)</f>
        <v>0</v>
      </c>
      <c r="G902" s="322">
        <f>IFERROR(VLOOKUP(Calculations[[#This Row],[Material (choose from dropdown]],MaterialData[#All],7,FALSE),0)</f>
        <v>0</v>
      </c>
      <c r="H902" s="322">
        <f>Calculations[[#This Row],[Total Kg]]*Calculations[[#This Row],[Carbon Factor]]</f>
        <v>0</v>
      </c>
      <c r="I902" t="str">
        <f>IFERROR(VLOOKUP(Calculations[[#This Row],[Material (choose from dropdown]],MaterialData[#All],2,FALSE),"")</f>
        <v/>
      </c>
      <c r="J902" s="322">
        <f>IFERROR(((VLOOKUP(Calculations[[#This Row],[TransportSource]],TransportDistance[],2,FALSE)*'Stage assumptions'!$C$11)+VLOOKUP(Calculations[[#This Row],[TransportSource]],TransportDistance[],3,FALSE)*'Stage assumptions'!$C$12)*Calculations[[#This Row],[Total Kg]],0)</f>
        <v>0</v>
      </c>
      <c r="K902">
        <f>IFERROR(VLOOKUP(Calculations[[#This Row],[Material (choose from dropdown]], MaterialData[#All],3, FALSE),0)</f>
        <v>0</v>
      </c>
      <c r="L902" s="322">
        <f>IFERROR(VLOOKUP(Calculations[[#This Row],[A5type]],A5WastageRate[#All],2,FALSE)*Calculations[[#This Row],[A1-3]],0)</f>
        <v>0</v>
      </c>
      <c r="N902">
        <f>IFERROR(ROUNDUP(50/VLOOKUP(Calculations[[#This Row],[Scope Element]],B4referenceServiceLife[[Tier 2 element]:[Default Service Life]],2, FALSE)-1,0),0)</f>
        <v>0</v>
      </c>
      <c r="O902" s="322">
        <f>IFERROR((Calculations[[#This Row],[A1-3]]+Calculations[[#This Row],[A4]]+Calculations[[#This Row],[A5]]+Calculations[[#This Row],[C2 total]]+Calculations[[#This Row],[C3 total]]+Calculations[[#This Row],[C4 total]])*Calculations[[#This Row],[Replacements]],0)</f>
        <v>0</v>
      </c>
      <c r="S902" t="str">
        <f>IFERROR(VLOOKUP(Calculations[[#This Row],[Material (choose from dropdown]],MaterialData[#All],4,FALSE),"")</f>
        <v/>
      </c>
      <c r="T902" s="322" cm="1">
        <f t="array" ref="T902">IFERROR(VLOOKUP(Calculations[[#This Row],[Waste 1]],WasteScenario[#All],2,FALSE)*'Stage assumptions'!$C$225*WasteTransportMethod[Emissions Factor
kgCO2e/kg.km]*Calculations[[#This Row],[Total Kg]],0)</f>
        <v>0</v>
      </c>
      <c r="U902" s="322" cm="1">
        <f t="array" ref="U902">IFERROR(VLOOKUP(Calculations[[#This Row],[Waste 1]],WasteScenario[#All],3,FALSE)*'Stage assumptions'!$C$224*WasteTransportMethod[Emissions Factor
kgCO2e/kg.km]*Calculations[[#This Row],[Total Kg]],0)</f>
        <v>0</v>
      </c>
      <c r="V902" s="322" cm="1">
        <f t="array" ref="V902">IFERROR(VLOOKUP(Calculations[[#This Row],[Waste 1]],WasteScenario[#All],4,FALSE)*'Stage assumptions'!$C$223*WasteTransportMethod[Emissions Factor
kgCO2e/kg.km]*Calculations[[#This Row],[Total Kg]],0)</f>
        <v>0</v>
      </c>
      <c r="W902" s="322" cm="1">
        <f t="array" ref="W902">IFERROR(VLOOKUP(Calculations[[#This Row],[Waste 1]],WasteScenario[#All],5,FALSE)*'Stage assumptions'!$C$226*WasteTransportMethod[Emissions Factor
kgCO2e/kg.km]*Calculations[[#This Row],[Total Kg]],0)</f>
        <v>0</v>
      </c>
      <c r="X902" s="322">
        <f>SUM(Calculations[[#This Row],[C2 Recycle]:[C2 Reuse]])</f>
        <v>0</v>
      </c>
      <c r="Y902" t="str">
        <f>IFERROR(VLOOKUP(Calculations[[#This Row],[Material (choose from dropdown]],MaterialData[#All],5,FALSE),"")</f>
        <v/>
      </c>
      <c r="Z902" s="322">
        <f>IFERROR(((VLOOKUP(Calculations[[#This Row],[Waste type 2]],WasteDisposalEmissions[#All],2,FALSE))*Calculations[[#This Row],[Total Kg]])*VLOOKUP(Calculations[[#This Row],[Waste 1]],WasteScenario[#All],2,FALSE),0)</f>
        <v>0</v>
      </c>
      <c r="AA902" s="322">
        <f>IFERROR((VLOOKUP(Calculations[[#This Row],[Waste type 2]],WasteDisposalEmissions[#All],3,FALSE))*Calculations[[#This Row],[Total Kg]]*VLOOKUP(Calculations[[#This Row],[Waste 1]],WasteScenario[#All],3,FALSE),0)</f>
        <v>0</v>
      </c>
      <c r="AB902" s="322">
        <f>SUM(Calculations[[#This Row],[C3 recyc]:[C3 incin]])</f>
        <v>0</v>
      </c>
      <c r="AC902" s="334">
        <f>IFERROR((VLOOKUP(Calculations[[#This Row],[Waste type 2]],WasteLandfillEmissions[#All],2,FALSE))*Calculations[[#This Row],[Total Kg]]*VLOOKUP(Calculations[[#This Row],[Waste 1]],WasteScenario[#All],4,FALSE),0)</f>
        <v>0</v>
      </c>
      <c r="AD902" s="322">
        <f>IFERROR((VLOOKUP(Calculations[[#This Row],[Waste type 2]],WasteLandfillEmissions[#All],3,FALSE))*Calculations[[#This Row],[Total Kg]]*VLOOKUP(Calculations[[#This Row],[Waste 1]],WasteScenario[#All],4,FALSE),0)</f>
        <v>0</v>
      </c>
      <c r="AE902" s="322">
        <f>SUM(Calculations[[#This Row],[C4 landfill]:[C4 re-use]])</f>
        <v>0</v>
      </c>
      <c r="AF902" s="322">
        <f>IFERROR(VLOOKUP(Calculations[[#This Row],[Material (choose from dropdown]],MaterialData[#All],8,FALSE),0)</f>
        <v>0</v>
      </c>
      <c r="AG902" s="322">
        <f>IFERROR(Calculations[[#This Row],[Total Kg]]*Calculations[[#This Row],[Seq factor]],0)</f>
        <v>0</v>
      </c>
      <c r="AI902" s="322">
        <f>Calculations[[#This Row],[A1-3]]+Calculations[[#This Row],[A4]]+Calculations[[#This Row],[A5]]+Calculations[[#This Row],[B4]]+Calculations[[#This Row],[C2 total]]+Calculations[[#This Row],[C3 total]]+Calculations[[#This Row],[C4 total]]</f>
        <v>0</v>
      </c>
      <c r="AJ902" s="2">
        <f>IFERROR(VLOOKUP(Calculations[[#This Row],[Material (choose from dropdown]],MaterialData[[#Headers],[#Data]],9,FALSE),0)</f>
        <v>0</v>
      </c>
      <c r="AK902" s="4">
        <f>IFERROR(VLOOKUP(Calculations[[#This Row],[Material (choose from dropdown]],MaterialData[[#Headers],[#Data]],10,FALSE),0)</f>
        <v>0</v>
      </c>
      <c r="AL902" s="322">
        <f>IFERROR(Calculations[[#This Row],[Data Quality Score]]*Calculations[[#This Row],[Total Kg]],0)</f>
        <v>0</v>
      </c>
    </row>
    <row r="903" spans="1:38" x14ac:dyDescent="0.3">
      <c r="A903" s="6">
        <f>IFERROR(MaterialsBoQ[[#This Row],[Scope Element]],0)</f>
        <v>0</v>
      </c>
      <c r="B903" t="str">
        <f>IFERROR(MaterialsBoQ[[#This Row],[Material ]],"")</f>
        <v/>
      </c>
      <c r="C903" t="str">
        <f>IFERROR(MaterialsBoQ[[#This Row],[Unit]],"")</f>
        <v/>
      </c>
      <c r="D903" s="322">
        <f>IFERROR(MaterialsBoQ[[#This Row],[Number]],0)</f>
        <v>0</v>
      </c>
      <c r="E903" s="322">
        <f>IFERROR(MaterialsBoQ[[#This Row],[Kg per unit]],0)</f>
        <v>0</v>
      </c>
      <c r="F903" s="322">
        <f>IFERROR(Calculations[[#This Row],[Number]]*Calculations[[#This Row],[Conversion factor]],0)</f>
        <v>0</v>
      </c>
      <c r="G903" s="322">
        <f>IFERROR(VLOOKUP(Calculations[[#This Row],[Material (choose from dropdown]],MaterialData[#All],7,FALSE),0)</f>
        <v>0</v>
      </c>
      <c r="H903" s="322">
        <f>Calculations[[#This Row],[Total Kg]]*Calculations[[#This Row],[Carbon Factor]]</f>
        <v>0</v>
      </c>
      <c r="I903" t="str">
        <f>IFERROR(VLOOKUP(Calculations[[#This Row],[Material (choose from dropdown]],MaterialData[#All],2,FALSE),"")</f>
        <v/>
      </c>
      <c r="J903" s="322">
        <f>IFERROR(((VLOOKUP(Calculations[[#This Row],[TransportSource]],TransportDistance[],2,FALSE)*'Stage assumptions'!$C$11)+VLOOKUP(Calculations[[#This Row],[TransportSource]],TransportDistance[],3,FALSE)*'Stage assumptions'!$C$12)*Calculations[[#This Row],[Total Kg]],0)</f>
        <v>0</v>
      </c>
      <c r="K903">
        <f>IFERROR(VLOOKUP(Calculations[[#This Row],[Material (choose from dropdown]], MaterialData[#All],3, FALSE),0)</f>
        <v>0</v>
      </c>
      <c r="L903" s="322">
        <f>IFERROR(VLOOKUP(Calculations[[#This Row],[A5type]],A5WastageRate[#All],2,FALSE)*Calculations[[#This Row],[A1-3]],0)</f>
        <v>0</v>
      </c>
      <c r="N903">
        <f>IFERROR(ROUNDUP(50/VLOOKUP(Calculations[[#This Row],[Scope Element]],B4referenceServiceLife[[Tier 2 element]:[Default Service Life]],2, FALSE)-1,0),0)</f>
        <v>0</v>
      </c>
      <c r="O903" s="322">
        <f>IFERROR((Calculations[[#This Row],[A1-3]]+Calculations[[#This Row],[A4]]+Calculations[[#This Row],[A5]]+Calculations[[#This Row],[C2 total]]+Calculations[[#This Row],[C3 total]]+Calculations[[#This Row],[C4 total]])*Calculations[[#This Row],[Replacements]],0)</f>
        <v>0</v>
      </c>
      <c r="S903" t="str">
        <f>IFERROR(VLOOKUP(Calculations[[#This Row],[Material (choose from dropdown]],MaterialData[#All],4,FALSE),"")</f>
        <v/>
      </c>
      <c r="T903" s="322" cm="1">
        <f t="array" ref="T903">IFERROR(VLOOKUP(Calculations[[#This Row],[Waste 1]],WasteScenario[#All],2,FALSE)*'Stage assumptions'!$C$225*WasteTransportMethod[Emissions Factor
kgCO2e/kg.km]*Calculations[[#This Row],[Total Kg]],0)</f>
        <v>0</v>
      </c>
      <c r="U903" s="322" cm="1">
        <f t="array" ref="U903">IFERROR(VLOOKUP(Calculations[[#This Row],[Waste 1]],WasteScenario[#All],3,FALSE)*'Stage assumptions'!$C$224*WasteTransportMethod[Emissions Factor
kgCO2e/kg.km]*Calculations[[#This Row],[Total Kg]],0)</f>
        <v>0</v>
      </c>
      <c r="V903" s="322" cm="1">
        <f t="array" ref="V903">IFERROR(VLOOKUP(Calculations[[#This Row],[Waste 1]],WasteScenario[#All],4,FALSE)*'Stage assumptions'!$C$223*WasteTransportMethod[Emissions Factor
kgCO2e/kg.km]*Calculations[[#This Row],[Total Kg]],0)</f>
        <v>0</v>
      </c>
      <c r="W903" s="322" cm="1">
        <f t="array" ref="W903">IFERROR(VLOOKUP(Calculations[[#This Row],[Waste 1]],WasteScenario[#All],5,FALSE)*'Stage assumptions'!$C$226*WasteTransportMethod[Emissions Factor
kgCO2e/kg.km]*Calculations[[#This Row],[Total Kg]],0)</f>
        <v>0</v>
      </c>
      <c r="X903" s="322">
        <f>SUM(Calculations[[#This Row],[C2 Recycle]:[C2 Reuse]])</f>
        <v>0</v>
      </c>
      <c r="Y903" t="str">
        <f>IFERROR(VLOOKUP(Calculations[[#This Row],[Material (choose from dropdown]],MaterialData[#All],5,FALSE),"")</f>
        <v/>
      </c>
      <c r="Z903" s="322">
        <f>IFERROR(((VLOOKUP(Calculations[[#This Row],[Waste type 2]],WasteDisposalEmissions[#All],2,FALSE))*Calculations[[#This Row],[Total Kg]])*VLOOKUP(Calculations[[#This Row],[Waste 1]],WasteScenario[#All],2,FALSE),0)</f>
        <v>0</v>
      </c>
      <c r="AA903" s="322">
        <f>IFERROR((VLOOKUP(Calculations[[#This Row],[Waste type 2]],WasteDisposalEmissions[#All],3,FALSE))*Calculations[[#This Row],[Total Kg]]*VLOOKUP(Calculations[[#This Row],[Waste 1]],WasteScenario[#All],3,FALSE),0)</f>
        <v>0</v>
      </c>
      <c r="AB903" s="322">
        <f>SUM(Calculations[[#This Row],[C3 recyc]:[C3 incin]])</f>
        <v>0</v>
      </c>
      <c r="AC903" s="334">
        <f>IFERROR((VLOOKUP(Calculations[[#This Row],[Waste type 2]],WasteLandfillEmissions[#All],2,FALSE))*Calculations[[#This Row],[Total Kg]]*VLOOKUP(Calculations[[#This Row],[Waste 1]],WasteScenario[#All],4,FALSE),0)</f>
        <v>0</v>
      </c>
      <c r="AD903" s="322">
        <f>IFERROR((VLOOKUP(Calculations[[#This Row],[Waste type 2]],WasteLandfillEmissions[#All],3,FALSE))*Calculations[[#This Row],[Total Kg]]*VLOOKUP(Calculations[[#This Row],[Waste 1]],WasteScenario[#All],4,FALSE),0)</f>
        <v>0</v>
      </c>
      <c r="AE903" s="322">
        <f>SUM(Calculations[[#This Row],[C4 landfill]:[C4 re-use]])</f>
        <v>0</v>
      </c>
      <c r="AF903" s="322">
        <f>IFERROR(VLOOKUP(Calculations[[#This Row],[Material (choose from dropdown]],MaterialData[#All],8,FALSE),0)</f>
        <v>0</v>
      </c>
      <c r="AG903" s="322">
        <f>IFERROR(Calculations[[#This Row],[Total Kg]]*Calculations[[#This Row],[Seq factor]],0)</f>
        <v>0</v>
      </c>
      <c r="AI903" s="322">
        <f>Calculations[[#This Row],[A1-3]]+Calculations[[#This Row],[A4]]+Calculations[[#This Row],[A5]]+Calculations[[#This Row],[B4]]+Calculations[[#This Row],[C2 total]]+Calculations[[#This Row],[C3 total]]+Calculations[[#This Row],[C4 total]]</f>
        <v>0</v>
      </c>
      <c r="AJ903" s="2">
        <f>IFERROR(VLOOKUP(Calculations[[#This Row],[Material (choose from dropdown]],MaterialData[[#Headers],[#Data]],9,FALSE),0)</f>
        <v>0</v>
      </c>
      <c r="AK903" s="4">
        <f>IFERROR(VLOOKUP(Calculations[[#This Row],[Material (choose from dropdown]],MaterialData[[#Headers],[#Data]],10,FALSE),0)</f>
        <v>0</v>
      </c>
      <c r="AL903" s="322">
        <f>IFERROR(Calculations[[#This Row],[Data Quality Score]]*Calculations[[#This Row],[Total Kg]],0)</f>
        <v>0</v>
      </c>
    </row>
    <row r="904" spans="1:38" x14ac:dyDescent="0.3">
      <c r="A904" s="6">
        <f>IFERROR(MaterialsBoQ[[#This Row],[Scope Element]],0)</f>
        <v>0</v>
      </c>
      <c r="B904" t="str">
        <f>IFERROR(MaterialsBoQ[[#This Row],[Material ]],"")</f>
        <v/>
      </c>
      <c r="C904" t="str">
        <f>IFERROR(MaterialsBoQ[[#This Row],[Unit]],"")</f>
        <v/>
      </c>
      <c r="D904" s="322">
        <f>IFERROR(MaterialsBoQ[[#This Row],[Number]],0)</f>
        <v>0</v>
      </c>
      <c r="E904" s="322">
        <f>IFERROR(MaterialsBoQ[[#This Row],[Kg per unit]],0)</f>
        <v>0</v>
      </c>
      <c r="F904" s="322">
        <f>IFERROR(Calculations[[#This Row],[Number]]*Calculations[[#This Row],[Conversion factor]],0)</f>
        <v>0</v>
      </c>
      <c r="G904" s="322">
        <f>IFERROR(VLOOKUP(Calculations[[#This Row],[Material (choose from dropdown]],MaterialData[#All],7,FALSE),0)</f>
        <v>0</v>
      </c>
      <c r="H904" s="322">
        <f>Calculations[[#This Row],[Total Kg]]*Calculations[[#This Row],[Carbon Factor]]</f>
        <v>0</v>
      </c>
      <c r="I904" t="str">
        <f>IFERROR(VLOOKUP(Calculations[[#This Row],[Material (choose from dropdown]],MaterialData[#All],2,FALSE),"")</f>
        <v/>
      </c>
      <c r="J904" s="322">
        <f>IFERROR(((VLOOKUP(Calculations[[#This Row],[TransportSource]],TransportDistance[],2,FALSE)*'Stage assumptions'!$C$11)+VLOOKUP(Calculations[[#This Row],[TransportSource]],TransportDistance[],3,FALSE)*'Stage assumptions'!$C$12)*Calculations[[#This Row],[Total Kg]],0)</f>
        <v>0</v>
      </c>
      <c r="K904">
        <f>IFERROR(VLOOKUP(Calculations[[#This Row],[Material (choose from dropdown]], MaterialData[#All],3, FALSE),0)</f>
        <v>0</v>
      </c>
      <c r="L904" s="322">
        <f>IFERROR(VLOOKUP(Calculations[[#This Row],[A5type]],A5WastageRate[#All],2,FALSE)*Calculations[[#This Row],[A1-3]],0)</f>
        <v>0</v>
      </c>
      <c r="N904">
        <f>IFERROR(ROUNDUP(50/VLOOKUP(Calculations[[#This Row],[Scope Element]],B4referenceServiceLife[[Tier 2 element]:[Default Service Life]],2, FALSE)-1,0),0)</f>
        <v>0</v>
      </c>
      <c r="O904" s="322">
        <f>IFERROR((Calculations[[#This Row],[A1-3]]+Calculations[[#This Row],[A4]]+Calculations[[#This Row],[A5]]+Calculations[[#This Row],[C2 total]]+Calculations[[#This Row],[C3 total]]+Calculations[[#This Row],[C4 total]])*Calculations[[#This Row],[Replacements]],0)</f>
        <v>0</v>
      </c>
      <c r="S904" t="str">
        <f>IFERROR(VLOOKUP(Calculations[[#This Row],[Material (choose from dropdown]],MaterialData[#All],4,FALSE),"")</f>
        <v/>
      </c>
      <c r="T904" s="322" cm="1">
        <f t="array" ref="T904">IFERROR(VLOOKUP(Calculations[[#This Row],[Waste 1]],WasteScenario[#All],2,FALSE)*'Stage assumptions'!$C$225*WasteTransportMethod[Emissions Factor
kgCO2e/kg.km]*Calculations[[#This Row],[Total Kg]],0)</f>
        <v>0</v>
      </c>
      <c r="U904" s="322" cm="1">
        <f t="array" ref="U904">IFERROR(VLOOKUP(Calculations[[#This Row],[Waste 1]],WasteScenario[#All],3,FALSE)*'Stage assumptions'!$C$224*WasteTransportMethod[Emissions Factor
kgCO2e/kg.km]*Calculations[[#This Row],[Total Kg]],0)</f>
        <v>0</v>
      </c>
      <c r="V904" s="322" cm="1">
        <f t="array" ref="V904">IFERROR(VLOOKUP(Calculations[[#This Row],[Waste 1]],WasteScenario[#All],4,FALSE)*'Stage assumptions'!$C$223*WasteTransportMethod[Emissions Factor
kgCO2e/kg.km]*Calculations[[#This Row],[Total Kg]],0)</f>
        <v>0</v>
      </c>
      <c r="W904" s="322" cm="1">
        <f t="array" ref="W904">IFERROR(VLOOKUP(Calculations[[#This Row],[Waste 1]],WasteScenario[#All],5,FALSE)*'Stage assumptions'!$C$226*WasteTransportMethod[Emissions Factor
kgCO2e/kg.km]*Calculations[[#This Row],[Total Kg]],0)</f>
        <v>0</v>
      </c>
      <c r="X904" s="322">
        <f>SUM(Calculations[[#This Row],[C2 Recycle]:[C2 Reuse]])</f>
        <v>0</v>
      </c>
      <c r="Y904" t="str">
        <f>IFERROR(VLOOKUP(Calculations[[#This Row],[Material (choose from dropdown]],MaterialData[#All],5,FALSE),"")</f>
        <v/>
      </c>
      <c r="Z904" s="322">
        <f>IFERROR(((VLOOKUP(Calculations[[#This Row],[Waste type 2]],WasteDisposalEmissions[#All],2,FALSE))*Calculations[[#This Row],[Total Kg]])*VLOOKUP(Calculations[[#This Row],[Waste 1]],WasteScenario[#All],2,FALSE),0)</f>
        <v>0</v>
      </c>
      <c r="AA904" s="322">
        <f>IFERROR((VLOOKUP(Calculations[[#This Row],[Waste type 2]],WasteDisposalEmissions[#All],3,FALSE))*Calculations[[#This Row],[Total Kg]]*VLOOKUP(Calculations[[#This Row],[Waste 1]],WasteScenario[#All],3,FALSE),0)</f>
        <v>0</v>
      </c>
      <c r="AB904" s="322">
        <f>SUM(Calculations[[#This Row],[C3 recyc]:[C3 incin]])</f>
        <v>0</v>
      </c>
      <c r="AC904" s="334">
        <f>IFERROR((VLOOKUP(Calculations[[#This Row],[Waste type 2]],WasteLandfillEmissions[#All],2,FALSE))*Calculations[[#This Row],[Total Kg]]*VLOOKUP(Calculations[[#This Row],[Waste 1]],WasteScenario[#All],4,FALSE),0)</f>
        <v>0</v>
      </c>
      <c r="AD904" s="322">
        <f>IFERROR((VLOOKUP(Calculations[[#This Row],[Waste type 2]],WasteLandfillEmissions[#All],3,FALSE))*Calculations[[#This Row],[Total Kg]]*VLOOKUP(Calculations[[#This Row],[Waste 1]],WasteScenario[#All],4,FALSE),0)</f>
        <v>0</v>
      </c>
      <c r="AE904" s="322">
        <f>SUM(Calculations[[#This Row],[C4 landfill]:[C4 re-use]])</f>
        <v>0</v>
      </c>
      <c r="AF904" s="322">
        <f>IFERROR(VLOOKUP(Calculations[[#This Row],[Material (choose from dropdown]],MaterialData[#All],8,FALSE),0)</f>
        <v>0</v>
      </c>
      <c r="AG904" s="322">
        <f>IFERROR(Calculations[[#This Row],[Total Kg]]*Calculations[[#This Row],[Seq factor]],0)</f>
        <v>0</v>
      </c>
      <c r="AI904" s="322">
        <f>Calculations[[#This Row],[A1-3]]+Calculations[[#This Row],[A4]]+Calculations[[#This Row],[A5]]+Calculations[[#This Row],[B4]]+Calculations[[#This Row],[C2 total]]+Calculations[[#This Row],[C3 total]]+Calculations[[#This Row],[C4 total]]</f>
        <v>0</v>
      </c>
      <c r="AJ904" s="2">
        <f>IFERROR(VLOOKUP(Calculations[[#This Row],[Material (choose from dropdown]],MaterialData[[#Headers],[#Data]],9,FALSE),0)</f>
        <v>0</v>
      </c>
      <c r="AK904" s="4">
        <f>IFERROR(VLOOKUP(Calculations[[#This Row],[Material (choose from dropdown]],MaterialData[[#Headers],[#Data]],10,FALSE),0)</f>
        <v>0</v>
      </c>
      <c r="AL904" s="322">
        <f>IFERROR(Calculations[[#This Row],[Data Quality Score]]*Calculations[[#This Row],[Total Kg]],0)</f>
        <v>0</v>
      </c>
    </row>
    <row r="905" spans="1:38" x14ac:dyDescent="0.3">
      <c r="A905" s="6">
        <f>IFERROR(MaterialsBoQ[[#This Row],[Scope Element]],0)</f>
        <v>0</v>
      </c>
      <c r="B905" t="str">
        <f>IFERROR(MaterialsBoQ[[#This Row],[Material ]],"")</f>
        <v/>
      </c>
      <c r="C905" t="str">
        <f>IFERROR(MaterialsBoQ[[#This Row],[Unit]],"")</f>
        <v/>
      </c>
      <c r="D905" s="322">
        <f>IFERROR(MaterialsBoQ[[#This Row],[Number]],0)</f>
        <v>0</v>
      </c>
      <c r="E905" s="322">
        <f>IFERROR(MaterialsBoQ[[#This Row],[Kg per unit]],0)</f>
        <v>0</v>
      </c>
      <c r="F905" s="322">
        <f>IFERROR(Calculations[[#This Row],[Number]]*Calculations[[#This Row],[Conversion factor]],0)</f>
        <v>0</v>
      </c>
      <c r="G905" s="322">
        <f>IFERROR(VLOOKUP(Calculations[[#This Row],[Material (choose from dropdown]],MaterialData[#All],7,FALSE),0)</f>
        <v>0</v>
      </c>
      <c r="H905" s="322">
        <f>Calculations[[#This Row],[Total Kg]]*Calculations[[#This Row],[Carbon Factor]]</f>
        <v>0</v>
      </c>
      <c r="I905" t="str">
        <f>IFERROR(VLOOKUP(Calculations[[#This Row],[Material (choose from dropdown]],MaterialData[#All],2,FALSE),"")</f>
        <v/>
      </c>
      <c r="J905" s="322">
        <f>IFERROR(((VLOOKUP(Calculations[[#This Row],[TransportSource]],TransportDistance[],2,FALSE)*'Stage assumptions'!$C$11)+VLOOKUP(Calculations[[#This Row],[TransportSource]],TransportDistance[],3,FALSE)*'Stage assumptions'!$C$12)*Calculations[[#This Row],[Total Kg]],0)</f>
        <v>0</v>
      </c>
      <c r="K905">
        <f>IFERROR(VLOOKUP(Calculations[[#This Row],[Material (choose from dropdown]], MaterialData[#All],3, FALSE),0)</f>
        <v>0</v>
      </c>
      <c r="L905" s="322">
        <f>IFERROR(VLOOKUP(Calculations[[#This Row],[A5type]],A5WastageRate[#All],2,FALSE)*Calculations[[#This Row],[A1-3]],0)</f>
        <v>0</v>
      </c>
      <c r="N905">
        <f>IFERROR(ROUNDUP(50/VLOOKUP(Calculations[[#This Row],[Scope Element]],B4referenceServiceLife[[Tier 2 element]:[Default Service Life]],2, FALSE)-1,0),0)</f>
        <v>0</v>
      </c>
      <c r="O905" s="322">
        <f>IFERROR((Calculations[[#This Row],[A1-3]]+Calculations[[#This Row],[A4]]+Calculations[[#This Row],[A5]]+Calculations[[#This Row],[C2 total]]+Calculations[[#This Row],[C3 total]]+Calculations[[#This Row],[C4 total]])*Calculations[[#This Row],[Replacements]],0)</f>
        <v>0</v>
      </c>
      <c r="S905" t="str">
        <f>IFERROR(VLOOKUP(Calculations[[#This Row],[Material (choose from dropdown]],MaterialData[#All],4,FALSE),"")</f>
        <v/>
      </c>
      <c r="T905" s="322" cm="1">
        <f t="array" ref="T905">IFERROR(VLOOKUP(Calculations[[#This Row],[Waste 1]],WasteScenario[#All],2,FALSE)*'Stage assumptions'!$C$225*WasteTransportMethod[Emissions Factor
kgCO2e/kg.km]*Calculations[[#This Row],[Total Kg]],0)</f>
        <v>0</v>
      </c>
      <c r="U905" s="322" cm="1">
        <f t="array" ref="U905">IFERROR(VLOOKUP(Calculations[[#This Row],[Waste 1]],WasteScenario[#All],3,FALSE)*'Stage assumptions'!$C$224*WasteTransportMethod[Emissions Factor
kgCO2e/kg.km]*Calculations[[#This Row],[Total Kg]],0)</f>
        <v>0</v>
      </c>
      <c r="V905" s="322" cm="1">
        <f t="array" ref="V905">IFERROR(VLOOKUP(Calculations[[#This Row],[Waste 1]],WasteScenario[#All],4,FALSE)*'Stage assumptions'!$C$223*WasteTransportMethod[Emissions Factor
kgCO2e/kg.km]*Calculations[[#This Row],[Total Kg]],0)</f>
        <v>0</v>
      </c>
      <c r="W905" s="322" cm="1">
        <f t="array" ref="W905">IFERROR(VLOOKUP(Calculations[[#This Row],[Waste 1]],WasteScenario[#All],5,FALSE)*'Stage assumptions'!$C$226*WasteTransportMethod[Emissions Factor
kgCO2e/kg.km]*Calculations[[#This Row],[Total Kg]],0)</f>
        <v>0</v>
      </c>
      <c r="X905" s="322">
        <f>SUM(Calculations[[#This Row],[C2 Recycle]:[C2 Reuse]])</f>
        <v>0</v>
      </c>
      <c r="Y905" t="str">
        <f>IFERROR(VLOOKUP(Calculations[[#This Row],[Material (choose from dropdown]],MaterialData[#All],5,FALSE),"")</f>
        <v/>
      </c>
      <c r="Z905" s="322">
        <f>IFERROR(((VLOOKUP(Calculations[[#This Row],[Waste type 2]],WasteDisposalEmissions[#All],2,FALSE))*Calculations[[#This Row],[Total Kg]])*VLOOKUP(Calculations[[#This Row],[Waste 1]],WasteScenario[#All],2,FALSE),0)</f>
        <v>0</v>
      </c>
      <c r="AA905" s="322">
        <f>IFERROR((VLOOKUP(Calculations[[#This Row],[Waste type 2]],WasteDisposalEmissions[#All],3,FALSE))*Calculations[[#This Row],[Total Kg]]*VLOOKUP(Calculations[[#This Row],[Waste 1]],WasteScenario[#All],3,FALSE),0)</f>
        <v>0</v>
      </c>
      <c r="AB905" s="322">
        <f>SUM(Calculations[[#This Row],[C3 recyc]:[C3 incin]])</f>
        <v>0</v>
      </c>
      <c r="AC905" s="334">
        <f>IFERROR((VLOOKUP(Calculations[[#This Row],[Waste type 2]],WasteLandfillEmissions[#All],2,FALSE))*Calculations[[#This Row],[Total Kg]]*VLOOKUP(Calculations[[#This Row],[Waste 1]],WasteScenario[#All],4,FALSE),0)</f>
        <v>0</v>
      </c>
      <c r="AD905" s="322">
        <f>IFERROR((VLOOKUP(Calculations[[#This Row],[Waste type 2]],WasteLandfillEmissions[#All],3,FALSE))*Calculations[[#This Row],[Total Kg]]*VLOOKUP(Calculations[[#This Row],[Waste 1]],WasteScenario[#All],4,FALSE),0)</f>
        <v>0</v>
      </c>
      <c r="AE905" s="322">
        <f>SUM(Calculations[[#This Row],[C4 landfill]:[C4 re-use]])</f>
        <v>0</v>
      </c>
      <c r="AF905" s="322">
        <f>IFERROR(VLOOKUP(Calculations[[#This Row],[Material (choose from dropdown]],MaterialData[#All],8,FALSE),0)</f>
        <v>0</v>
      </c>
      <c r="AG905" s="322">
        <f>IFERROR(Calculations[[#This Row],[Total Kg]]*Calculations[[#This Row],[Seq factor]],0)</f>
        <v>0</v>
      </c>
      <c r="AI905" s="322">
        <f>Calculations[[#This Row],[A1-3]]+Calculations[[#This Row],[A4]]+Calculations[[#This Row],[A5]]+Calculations[[#This Row],[B4]]+Calculations[[#This Row],[C2 total]]+Calculations[[#This Row],[C3 total]]+Calculations[[#This Row],[C4 total]]</f>
        <v>0</v>
      </c>
      <c r="AJ905" s="2">
        <f>IFERROR(VLOOKUP(Calculations[[#This Row],[Material (choose from dropdown]],MaterialData[[#Headers],[#Data]],9,FALSE),0)</f>
        <v>0</v>
      </c>
      <c r="AK905" s="4">
        <f>IFERROR(VLOOKUP(Calculations[[#This Row],[Material (choose from dropdown]],MaterialData[[#Headers],[#Data]],10,FALSE),0)</f>
        <v>0</v>
      </c>
      <c r="AL905" s="322">
        <f>IFERROR(Calculations[[#This Row],[Data Quality Score]]*Calculations[[#This Row],[Total Kg]],0)</f>
        <v>0</v>
      </c>
    </row>
    <row r="906" spans="1:38" x14ac:dyDescent="0.3">
      <c r="A906" s="6">
        <f>IFERROR(MaterialsBoQ[[#This Row],[Scope Element]],0)</f>
        <v>0</v>
      </c>
      <c r="B906" t="str">
        <f>IFERROR(MaterialsBoQ[[#This Row],[Material ]],"")</f>
        <v/>
      </c>
      <c r="C906" t="str">
        <f>IFERROR(MaterialsBoQ[[#This Row],[Unit]],"")</f>
        <v/>
      </c>
      <c r="D906" s="322">
        <f>IFERROR(MaterialsBoQ[[#This Row],[Number]],0)</f>
        <v>0</v>
      </c>
      <c r="E906" s="322">
        <f>IFERROR(MaterialsBoQ[[#This Row],[Kg per unit]],0)</f>
        <v>0</v>
      </c>
      <c r="F906" s="322">
        <f>IFERROR(Calculations[[#This Row],[Number]]*Calculations[[#This Row],[Conversion factor]],0)</f>
        <v>0</v>
      </c>
      <c r="G906" s="322">
        <f>IFERROR(VLOOKUP(Calculations[[#This Row],[Material (choose from dropdown]],MaterialData[#All],7,FALSE),0)</f>
        <v>0</v>
      </c>
      <c r="H906" s="322">
        <f>Calculations[[#This Row],[Total Kg]]*Calculations[[#This Row],[Carbon Factor]]</f>
        <v>0</v>
      </c>
      <c r="I906" t="str">
        <f>IFERROR(VLOOKUP(Calculations[[#This Row],[Material (choose from dropdown]],MaterialData[#All],2,FALSE),"")</f>
        <v/>
      </c>
      <c r="J906" s="322">
        <f>IFERROR(((VLOOKUP(Calculations[[#This Row],[TransportSource]],TransportDistance[],2,FALSE)*'Stage assumptions'!$C$11)+VLOOKUP(Calculations[[#This Row],[TransportSource]],TransportDistance[],3,FALSE)*'Stage assumptions'!$C$12)*Calculations[[#This Row],[Total Kg]],0)</f>
        <v>0</v>
      </c>
      <c r="K906">
        <f>IFERROR(VLOOKUP(Calculations[[#This Row],[Material (choose from dropdown]], MaterialData[#All],3, FALSE),0)</f>
        <v>0</v>
      </c>
      <c r="L906" s="322">
        <f>IFERROR(VLOOKUP(Calculations[[#This Row],[A5type]],A5WastageRate[#All],2,FALSE)*Calculations[[#This Row],[A1-3]],0)</f>
        <v>0</v>
      </c>
      <c r="N906">
        <f>IFERROR(ROUNDUP(50/VLOOKUP(Calculations[[#This Row],[Scope Element]],B4referenceServiceLife[[Tier 2 element]:[Default Service Life]],2, FALSE)-1,0),0)</f>
        <v>0</v>
      </c>
      <c r="O906" s="322">
        <f>IFERROR((Calculations[[#This Row],[A1-3]]+Calculations[[#This Row],[A4]]+Calculations[[#This Row],[A5]]+Calculations[[#This Row],[C2 total]]+Calculations[[#This Row],[C3 total]]+Calculations[[#This Row],[C4 total]])*Calculations[[#This Row],[Replacements]],0)</f>
        <v>0</v>
      </c>
      <c r="S906" t="str">
        <f>IFERROR(VLOOKUP(Calculations[[#This Row],[Material (choose from dropdown]],MaterialData[#All],4,FALSE),"")</f>
        <v/>
      </c>
      <c r="T906" s="322" cm="1">
        <f t="array" ref="T906">IFERROR(VLOOKUP(Calculations[[#This Row],[Waste 1]],WasteScenario[#All],2,FALSE)*'Stage assumptions'!$C$225*WasteTransportMethod[Emissions Factor
kgCO2e/kg.km]*Calculations[[#This Row],[Total Kg]],0)</f>
        <v>0</v>
      </c>
      <c r="U906" s="322" cm="1">
        <f t="array" ref="U906">IFERROR(VLOOKUP(Calculations[[#This Row],[Waste 1]],WasteScenario[#All],3,FALSE)*'Stage assumptions'!$C$224*WasteTransportMethod[Emissions Factor
kgCO2e/kg.km]*Calculations[[#This Row],[Total Kg]],0)</f>
        <v>0</v>
      </c>
      <c r="V906" s="322" cm="1">
        <f t="array" ref="V906">IFERROR(VLOOKUP(Calculations[[#This Row],[Waste 1]],WasteScenario[#All],4,FALSE)*'Stage assumptions'!$C$223*WasteTransportMethod[Emissions Factor
kgCO2e/kg.km]*Calculations[[#This Row],[Total Kg]],0)</f>
        <v>0</v>
      </c>
      <c r="W906" s="322" cm="1">
        <f t="array" ref="W906">IFERROR(VLOOKUP(Calculations[[#This Row],[Waste 1]],WasteScenario[#All],5,FALSE)*'Stage assumptions'!$C$226*WasteTransportMethod[Emissions Factor
kgCO2e/kg.km]*Calculations[[#This Row],[Total Kg]],0)</f>
        <v>0</v>
      </c>
      <c r="X906" s="322">
        <f>SUM(Calculations[[#This Row],[C2 Recycle]:[C2 Reuse]])</f>
        <v>0</v>
      </c>
      <c r="Y906" t="str">
        <f>IFERROR(VLOOKUP(Calculations[[#This Row],[Material (choose from dropdown]],MaterialData[#All],5,FALSE),"")</f>
        <v/>
      </c>
      <c r="Z906" s="322">
        <f>IFERROR(((VLOOKUP(Calculations[[#This Row],[Waste type 2]],WasteDisposalEmissions[#All],2,FALSE))*Calculations[[#This Row],[Total Kg]])*VLOOKUP(Calculations[[#This Row],[Waste 1]],WasteScenario[#All],2,FALSE),0)</f>
        <v>0</v>
      </c>
      <c r="AA906" s="322">
        <f>IFERROR((VLOOKUP(Calculations[[#This Row],[Waste type 2]],WasteDisposalEmissions[#All],3,FALSE))*Calculations[[#This Row],[Total Kg]]*VLOOKUP(Calculations[[#This Row],[Waste 1]],WasteScenario[#All],3,FALSE),0)</f>
        <v>0</v>
      </c>
      <c r="AB906" s="322">
        <f>SUM(Calculations[[#This Row],[C3 recyc]:[C3 incin]])</f>
        <v>0</v>
      </c>
      <c r="AC906" s="334">
        <f>IFERROR((VLOOKUP(Calculations[[#This Row],[Waste type 2]],WasteLandfillEmissions[#All],2,FALSE))*Calculations[[#This Row],[Total Kg]]*VLOOKUP(Calculations[[#This Row],[Waste 1]],WasteScenario[#All],4,FALSE),0)</f>
        <v>0</v>
      </c>
      <c r="AD906" s="322">
        <f>IFERROR((VLOOKUP(Calculations[[#This Row],[Waste type 2]],WasteLandfillEmissions[#All],3,FALSE))*Calculations[[#This Row],[Total Kg]]*VLOOKUP(Calculations[[#This Row],[Waste 1]],WasteScenario[#All],4,FALSE),0)</f>
        <v>0</v>
      </c>
      <c r="AE906" s="322">
        <f>SUM(Calculations[[#This Row],[C4 landfill]:[C4 re-use]])</f>
        <v>0</v>
      </c>
      <c r="AF906" s="322">
        <f>IFERROR(VLOOKUP(Calculations[[#This Row],[Material (choose from dropdown]],MaterialData[#All],8,FALSE),0)</f>
        <v>0</v>
      </c>
      <c r="AG906" s="322">
        <f>IFERROR(Calculations[[#This Row],[Total Kg]]*Calculations[[#This Row],[Seq factor]],0)</f>
        <v>0</v>
      </c>
      <c r="AI906" s="322">
        <f>Calculations[[#This Row],[A1-3]]+Calculations[[#This Row],[A4]]+Calculations[[#This Row],[A5]]+Calculations[[#This Row],[B4]]+Calculations[[#This Row],[C2 total]]+Calculations[[#This Row],[C3 total]]+Calculations[[#This Row],[C4 total]]</f>
        <v>0</v>
      </c>
      <c r="AJ906" s="2">
        <f>IFERROR(VLOOKUP(Calculations[[#This Row],[Material (choose from dropdown]],MaterialData[[#Headers],[#Data]],9,FALSE),0)</f>
        <v>0</v>
      </c>
      <c r="AK906" s="4">
        <f>IFERROR(VLOOKUP(Calculations[[#This Row],[Material (choose from dropdown]],MaterialData[[#Headers],[#Data]],10,FALSE),0)</f>
        <v>0</v>
      </c>
      <c r="AL906" s="322">
        <f>IFERROR(Calculations[[#This Row],[Data Quality Score]]*Calculations[[#This Row],[Total Kg]],0)</f>
        <v>0</v>
      </c>
    </row>
    <row r="907" spans="1:38" x14ac:dyDescent="0.3">
      <c r="A907" s="6">
        <f>IFERROR(MaterialsBoQ[[#This Row],[Scope Element]],0)</f>
        <v>0</v>
      </c>
      <c r="B907" t="str">
        <f>IFERROR(MaterialsBoQ[[#This Row],[Material ]],"")</f>
        <v/>
      </c>
      <c r="C907" t="str">
        <f>IFERROR(MaterialsBoQ[[#This Row],[Unit]],"")</f>
        <v/>
      </c>
      <c r="D907" s="322">
        <f>IFERROR(MaterialsBoQ[[#This Row],[Number]],0)</f>
        <v>0</v>
      </c>
      <c r="E907" s="322">
        <f>IFERROR(MaterialsBoQ[[#This Row],[Kg per unit]],0)</f>
        <v>0</v>
      </c>
      <c r="F907" s="322">
        <f>IFERROR(Calculations[[#This Row],[Number]]*Calculations[[#This Row],[Conversion factor]],0)</f>
        <v>0</v>
      </c>
      <c r="G907" s="322">
        <f>IFERROR(VLOOKUP(Calculations[[#This Row],[Material (choose from dropdown]],MaterialData[#All],7,FALSE),0)</f>
        <v>0</v>
      </c>
      <c r="H907" s="322">
        <f>Calculations[[#This Row],[Total Kg]]*Calculations[[#This Row],[Carbon Factor]]</f>
        <v>0</v>
      </c>
      <c r="I907" t="str">
        <f>IFERROR(VLOOKUP(Calculations[[#This Row],[Material (choose from dropdown]],MaterialData[#All],2,FALSE),"")</f>
        <v/>
      </c>
      <c r="J907" s="322">
        <f>IFERROR(((VLOOKUP(Calculations[[#This Row],[TransportSource]],TransportDistance[],2,FALSE)*'Stage assumptions'!$C$11)+VLOOKUP(Calculations[[#This Row],[TransportSource]],TransportDistance[],3,FALSE)*'Stage assumptions'!$C$12)*Calculations[[#This Row],[Total Kg]],0)</f>
        <v>0</v>
      </c>
      <c r="K907">
        <f>IFERROR(VLOOKUP(Calculations[[#This Row],[Material (choose from dropdown]], MaterialData[#All],3, FALSE),0)</f>
        <v>0</v>
      </c>
      <c r="L907" s="322">
        <f>IFERROR(VLOOKUP(Calculations[[#This Row],[A5type]],A5WastageRate[#All],2,FALSE)*Calculations[[#This Row],[A1-3]],0)</f>
        <v>0</v>
      </c>
      <c r="N907">
        <f>IFERROR(ROUNDUP(50/VLOOKUP(Calculations[[#This Row],[Scope Element]],B4referenceServiceLife[[Tier 2 element]:[Default Service Life]],2, FALSE)-1,0),0)</f>
        <v>0</v>
      </c>
      <c r="O907" s="322">
        <f>IFERROR((Calculations[[#This Row],[A1-3]]+Calculations[[#This Row],[A4]]+Calculations[[#This Row],[A5]]+Calculations[[#This Row],[C2 total]]+Calculations[[#This Row],[C3 total]]+Calculations[[#This Row],[C4 total]])*Calculations[[#This Row],[Replacements]],0)</f>
        <v>0</v>
      </c>
      <c r="S907" t="str">
        <f>IFERROR(VLOOKUP(Calculations[[#This Row],[Material (choose from dropdown]],MaterialData[#All],4,FALSE),"")</f>
        <v/>
      </c>
      <c r="T907" s="322" cm="1">
        <f t="array" ref="T907">IFERROR(VLOOKUP(Calculations[[#This Row],[Waste 1]],WasteScenario[#All],2,FALSE)*'Stage assumptions'!$C$225*WasteTransportMethod[Emissions Factor
kgCO2e/kg.km]*Calculations[[#This Row],[Total Kg]],0)</f>
        <v>0</v>
      </c>
      <c r="U907" s="322" cm="1">
        <f t="array" ref="U907">IFERROR(VLOOKUP(Calculations[[#This Row],[Waste 1]],WasteScenario[#All],3,FALSE)*'Stage assumptions'!$C$224*WasteTransportMethod[Emissions Factor
kgCO2e/kg.km]*Calculations[[#This Row],[Total Kg]],0)</f>
        <v>0</v>
      </c>
      <c r="V907" s="322" cm="1">
        <f t="array" ref="V907">IFERROR(VLOOKUP(Calculations[[#This Row],[Waste 1]],WasteScenario[#All],4,FALSE)*'Stage assumptions'!$C$223*WasteTransportMethod[Emissions Factor
kgCO2e/kg.km]*Calculations[[#This Row],[Total Kg]],0)</f>
        <v>0</v>
      </c>
      <c r="W907" s="322" cm="1">
        <f t="array" ref="W907">IFERROR(VLOOKUP(Calculations[[#This Row],[Waste 1]],WasteScenario[#All],5,FALSE)*'Stage assumptions'!$C$226*WasteTransportMethod[Emissions Factor
kgCO2e/kg.km]*Calculations[[#This Row],[Total Kg]],0)</f>
        <v>0</v>
      </c>
      <c r="X907" s="322">
        <f>SUM(Calculations[[#This Row],[C2 Recycle]:[C2 Reuse]])</f>
        <v>0</v>
      </c>
      <c r="Y907" t="str">
        <f>IFERROR(VLOOKUP(Calculations[[#This Row],[Material (choose from dropdown]],MaterialData[#All],5,FALSE),"")</f>
        <v/>
      </c>
      <c r="Z907" s="322">
        <f>IFERROR(((VLOOKUP(Calculations[[#This Row],[Waste type 2]],WasteDisposalEmissions[#All],2,FALSE))*Calculations[[#This Row],[Total Kg]])*VLOOKUP(Calculations[[#This Row],[Waste 1]],WasteScenario[#All],2,FALSE),0)</f>
        <v>0</v>
      </c>
      <c r="AA907" s="322">
        <f>IFERROR((VLOOKUP(Calculations[[#This Row],[Waste type 2]],WasteDisposalEmissions[#All],3,FALSE))*Calculations[[#This Row],[Total Kg]]*VLOOKUP(Calculations[[#This Row],[Waste 1]],WasteScenario[#All],3,FALSE),0)</f>
        <v>0</v>
      </c>
      <c r="AB907" s="322">
        <f>SUM(Calculations[[#This Row],[C3 recyc]:[C3 incin]])</f>
        <v>0</v>
      </c>
      <c r="AC907" s="334">
        <f>IFERROR((VLOOKUP(Calculations[[#This Row],[Waste type 2]],WasteLandfillEmissions[#All],2,FALSE))*Calculations[[#This Row],[Total Kg]]*VLOOKUP(Calculations[[#This Row],[Waste 1]],WasteScenario[#All],4,FALSE),0)</f>
        <v>0</v>
      </c>
      <c r="AD907" s="322">
        <f>IFERROR((VLOOKUP(Calculations[[#This Row],[Waste type 2]],WasteLandfillEmissions[#All],3,FALSE))*Calculations[[#This Row],[Total Kg]]*VLOOKUP(Calculations[[#This Row],[Waste 1]],WasteScenario[#All],4,FALSE),0)</f>
        <v>0</v>
      </c>
      <c r="AE907" s="322">
        <f>SUM(Calculations[[#This Row],[C4 landfill]:[C4 re-use]])</f>
        <v>0</v>
      </c>
      <c r="AF907" s="322">
        <f>IFERROR(VLOOKUP(Calculations[[#This Row],[Material (choose from dropdown]],MaterialData[#All],8,FALSE),0)</f>
        <v>0</v>
      </c>
      <c r="AG907" s="322">
        <f>IFERROR(Calculations[[#This Row],[Total Kg]]*Calculations[[#This Row],[Seq factor]],0)</f>
        <v>0</v>
      </c>
      <c r="AI907" s="322">
        <f>Calculations[[#This Row],[A1-3]]+Calculations[[#This Row],[A4]]+Calculations[[#This Row],[A5]]+Calculations[[#This Row],[B4]]+Calculations[[#This Row],[C2 total]]+Calculations[[#This Row],[C3 total]]+Calculations[[#This Row],[C4 total]]</f>
        <v>0</v>
      </c>
      <c r="AJ907" s="2">
        <f>IFERROR(VLOOKUP(Calculations[[#This Row],[Material (choose from dropdown]],MaterialData[[#Headers],[#Data]],9,FALSE),0)</f>
        <v>0</v>
      </c>
      <c r="AK907" s="4">
        <f>IFERROR(VLOOKUP(Calculations[[#This Row],[Material (choose from dropdown]],MaterialData[[#Headers],[#Data]],10,FALSE),0)</f>
        <v>0</v>
      </c>
      <c r="AL907" s="322">
        <f>IFERROR(Calculations[[#This Row],[Data Quality Score]]*Calculations[[#This Row],[Total Kg]],0)</f>
        <v>0</v>
      </c>
    </row>
    <row r="908" spans="1:38" x14ac:dyDescent="0.3">
      <c r="A908" s="6">
        <f>IFERROR(MaterialsBoQ[[#This Row],[Scope Element]],0)</f>
        <v>0</v>
      </c>
      <c r="B908" t="str">
        <f>IFERROR(MaterialsBoQ[[#This Row],[Material ]],"")</f>
        <v/>
      </c>
      <c r="C908" t="str">
        <f>IFERROR(MaterialsBoQ[[#This Row],[Unit]],"")</f>
        <v/>
      </c>
      <c r="D908" s="322">
        <f>IFERROR(MaterialsBoQ[[#This Row],[Number]],0)</f>
        <v>0</v>
      </c>
      <c r="E908" s="322">
        <f>IFERROR(MaterialsBoQ[[#This Row],[Kg per unit]],0)</f>
        <v>0</v>
      </c>
      <c r="F908" s="322">
        <f>IFERROR(Calculations[[#This Row],[Number]]*Calculations[[#This Row],[Conversion factor]],0)</f>
        <v>0</v>
      </c>
      <c r="G908" s="322">
        <f>IFERROR(VLOOKUP(Calculations[[#This Row],[Material (choose from dropdown]],MaterialData[#All],7,FALSE),0)</f>
        <v>0</v>
      </c>
      <c r="H908" s="322">
        <f>Calculations[[#This Row],[Total Kg]]*Calculations[[#This Row],[Carbon Factor]]</f>
        <v>0</v>
      </c>
      <c r="I908" t="str">
        <f>IFERROR(VLOOKUP(Calculations[[#This Row],[Material (choose from dropdown]],MaterialData[#All],2,FALSE),"")</f>
        <v/>
      </c>
      <c r="J908" s="322">
        <f>IFERROR(((VLOOKUP(Calculations[[#This Row],[TransportSource]],TransportDistance[],2,FALSE)*'Stage assumptions'!$C$11)+VLOOKUP(Calculations[[#This Row],[TransportSource]],TransportDistance[],3,FALSE)*'Stage assumptions'!$C$12)*Calculations[[#This Row],[Total Kg]],0)</f>
        <v>0</v>
      </c>
      <c r="K908">
        <f>IFERROR(VLOOKUP(Calculations[[#This Row],[Material (choose from dropdown]], MaterialData[#All],3, FALSE),0)</f>
        <v>0</v>
      </c>
      <c r="L908" s="322">
        <f>IFERROR(VLOOKUP(Calculations[[#This Row],[A5type]],A5WastageRate[#All],2,FALSE)*Calculations[[#This Row],[A1-3]],0)</f>
        <v>0</v>
      </c>
      <c r="N908">
        <f>IFERROR(ROUNDUP(50/VLOOKUP(Calculations[[#This Row],[Scope Element]],B4referenceServiceLife[[Tier 2 element]:[Default Service Life]],2, FALSE)-1,0),0)</f>
        <v>0</v>
      </c>
      <c r="O908" s="322">
        <f>IFERROR((Calculations[[#This Row],[A1-3]]+Calculations[[#This Row],[A4]]+Calculations[[#This Row],[A5]]+Calculations[[#This Row],[C2 total]]+Calculations[[#This Row],[C3 total]]+Calculations[[#This Row],[C4 total]])*Calculations[[#This Row],[Replacements]],0)</f>
        <v>0</v>
      </c>
      <c r="S908" t="str">
        <f>IFERROR(VLOOKUP(Calculations[[#This Row],[Material (choose from dropdown]],MaterialData[#All],4,FALSE),"")</f>
        <v/>
      </c>
      <c r="T908" s="322" cm="1">
        <f t="array" ref="T908">IFERROR(VLOOKUP(Calculations[[#This Row],[Waste 1]],WasteScenario[#All],2,FALSE)*'Stage assumptions'!$C$225*WasteTransportMethod[Emissions Factor
kgCO2e/kg.km]*Calculations[[#This Row],[Total Kg]],0)</f>
        <v>0</v>
      </c>
      <c r="U908" s="322" cm="1">
        <f t="array" ref="U908">IFERROR(VLOOKUP(Calculations[[#This Row],[Waste 1]],WasteScenario[#All],3,FALSE)*'Stage assumptions'!$C$224*WasteTransportMethod[Emissions Factor
kgCO2e/kg.km]*Calculations[[#This Row],[Total Kg]],0)</f>
        <v>0</v>
      </c>
      <c r="V908" s="322" cm="1">
        <f t="array" ref="V908">IFERROR(VLOOKUP(Calculations[[#This Row],[Waste 1]],WasteScenario[#All],4,FALSE)*'Stage assumptions'!$C$223*WasteTransportMethod[Emissions Factor
kgCO2e/kg.km]*Calculations[[#This Row],[Total Kg]],0)</f>
        <v>0</v>
      </c>
      <c r="W908" s="322" cm="1">
        <f t="array" ref="W908">IFERROR(VLOOKUP(Calculations[[#This Row],[Waste 1]],WasteScenario[#All],5,FALSE)*'Stage assumptions'!$C$226*WasteTransportMethod[Emissions Factor
kgCO2e/kg.km]*Calculations[[#This Row],[Total Kg]],0)</f>
        <v>0</v>
      </c>
      <c r="X908" s="322">
        <f>SUM(Calculations[[#This Row],[C2 Recycle]:[C2 Reuse]])</f>
        <v>0</v>
      </c>
      <c r="Y908" t="str">
        <f>IFERROR(VLOOKUP(Calculations[[#This Row],[Material (choose from dropdown]],MaterialData[#All],5,FALSE),"")</f>
        <v/>
      </c>
      <c r="Z908" s="322">
        <f>IFERROR(((VLOOKUP(Calculations[[#This Row],[Waste type 2]],WasteDisposalEmissions[#All],2,FALSE))*Calculations[[#This Row],[Total Kg]])*VLOOKUP(Calculations[[#This Row],[Waste 1]],WasteScenario[#All],2,FALSE),0)</f>
        <v>0</v>
      </c>
      <c r="AA908" s="322">
        <f>IFERROR((VLOOKUP(Calculations[[#This Row],[Waste type 2]],WasteDisposalEmissions[#All],3,FALSE))*Calculations[[#This Row],[Total Kg]]*VLOOKUP(Calculations[[#This Row],[Waste 1]],WasteScenario[#All],3,FALSE),0)</f>
        <v>0</v>
      </c>
      <c r="AB908" s="322">
        <f>SUM(Calculations[[#This Row],[C3 recyc]:[C3 incin]])</f>
        <v>0</v>
      </c>
      <c r="AC908" s="334">
        <f>IFERROR((VLOOKUP(Calculations[[#This Row],[Waste type 2]],WasteLandfillEmissions[#All],2,FALSE))*Calculations[[#This Row],[Total Kg]]*VLOOKUP(Calculations[[#This Row],[Waste 1]],WasteScenario[#All],4,FALSE),0)</f>
        <v>0</v>
      </c>
      <c r="AD908" s="322">
        <f>IFERROR((VLOOKUP(Calculations[[#This Row],[Waste type 2]],WasteLandfillEmissions[#All],3,FALSE))*Calculations[[#This Row],[Total Kg]]*VLOOKUP(Calculations[[#This Row],[Waste 1]],WasteScenario[#All],4,FALSE),0)</f>
        <v>0</v>
      </c>
      <c r="AE908" s="322">
        <f>SUM(Calculations[[#This Row],[C4 landfill]:[C4 re-use]])</f>
        <v>0</v>
      </c>
      <c r="AF908" s="322">
        <f>IFERROR(VLOOKUP(Calculations[[#This Row],[Material (choose from dropdown]],MaterialData[#All],8,FALSE),0)</f>
        <v>0</v>
      </c>
      <c r="AG908" s="322">
        <f>IFERROR(Calculations[[#This Row],[Total Kg]]*Calculations[[#This Row],[Seq factor]],0)</f>
        <v>0</v>
      </c>
      <c r="AI908" s="322">
        <f>Calculations[[#This Row],[A1-3]]+Calculations[[#This Row],[A4]]+Calculations[[#This Row],[A5]]+Calculations[[#This Row],[B4]]+Calculations[[#This Row],[C2 total]]+Calculations[[#This Row],[C3 total]]+Calculations[[#This Row],[C4 total]]</f>
        <v>0</v>
      </c>
      <c r="AJ908" s="2">
        <f>IFERROR(VLOOKUP(Calculations[[#This Row],[Material (choose from dropdown]],MaterialData[[#Headers],[#Data]],9,FALSE),0)</f>
        <v>0</v>
      </c>
      <c r="AK908" s="4">
        <f>IFERROR(VLOOKUP(Calculations[[#This Row],[Material (choose from dropdown]],MaterialData[[#Headers],[#Data]],10,FALSE),0)</f>
        <v>0</v>
      </c>
      <c r="AL908" s="322">
        <f>IFERROR(Calculations[[#This Row],[Data Quality Score]]*Calculations[[#This Row],[Total Kg]],0)</f>
        <v>0</v>
      </c>
    </row>
    <row r="909" spans="1:38" x14ac:dyDescent="0.3">
      <c r="A909" s="6">
        <f>IFERROR(MaterialsBoQ[[#This Row],[Scope Element]],0)</f>
        <v>0</v>
      </c>
      <c r="B909" t="str">
        <f>IFERROR(MaterialsBoQ[[#This Row],[Material ]],"")</f>
        <v/>
      </c>
      <c r="C909" t="str">
        <f>IFERROR(MaterialsBoQ[[#This Row],[Unit]],"")</f>
        <v/>
      </c>
      <c r="D909" s="322">
        <f>IFERROR(MaterialsBoQ[[#This Row],[Number]],0)</f>
        <v>0</v>
      </c>
      <c r="E909" s="322">
        <f>IFERROR(MaterialsBoQ[[#This Row],[Kg per unit]],0)</f>
        <v>0</v>
      </c>
      <c r="F909" s="322">
        <f>IFERROR(Calculations[[#This Row],[Number]]*Calculations[[#This Row],[Conversion factor]],0)</f>
        <v>0</v>
      </c>
      <c r="G909" s="322">
        <f>IFERROR(VLOOKUP(Calculations[[#This Row],[Material (choose from dropdown]],MaterialData[#All],7,FALSE),0)</f>
        <v>0</v>
      </c>
      <c r="H909" s="322">
        <f>Calculations[[#This Row],[Total Kg]]*Calculations[[#This Row],[Carbon Factor]]</f>
        <v>0</v>
      </c>
      <c r="I909" t="str">
        <f>IFERROR(VLOOKUP(Calculations[[#This Row],[Material (choose from dropdown]],MaterialData[#All],2,FALSE),"")</f>
        <v/>
      </c>
      <c r="J909" s="322">
        <f>IFERROR(((VLOOKUP(Calculations[[#This Row],[TransportSource]],TransportDistance[],2,FALSE)*'Stage assumptions'!$C$11)+VLOOKUP(Calculations[[#This Row],[TransportSource]],TransportDistance[],3,FALSE)*'Stage assumptions'!$C$12)*Calculations[[#This Row],[Total Kg]],0)</f>
        <v>0</v>
      </c>
      <c r="K909">
        <f>IFERROR(VLOOKUP(Calculations[[#This Row],[Material (choose from dropdown]], MaterialData[#All],3, FALSE),0)</f>
        <v>0</v>
      </c>
      <c r="L909" s="322">
        <f>IFERROR(VLOOKUP(Calculations[[#This Row],[A5type]],A5WastageRate[#All],2,FALSE)*Calculations[[#This Row],[A1-3]],0)</f>
        <v>0</v>
      </c>
      <c r="N909">
        <f>IFERROR(ROUNDUP(50/VLOOKUP(Calculations[[#This Row],[Scope Element]],B4referenceServiceLife[[Tier 2 element]:[Default Service Life]],2, FALSE)-1,0),0)</f>
        <v>0</v>
      </c>
      <c r="O909" s="322">
        <f>IFERROR((Calculations[[#This Row],[A1-3]]+Calculations[[#This Row],[A4]]+Calculations[[#This Row],[A5]]+Calculations[[#This Row],[C2 total]]+Calculations[[#This Row],[C3 total]]+Calculations[[#This Row],[C4 total]])*Calculations[[#This Row],[Replacements]],0)</f>
        <v>0</v>
      </c>
      <c r="S909" t="str">
        <f>IFERROR(VLOOKUP(Calculations[[#This Row],[Material (choose from dropdown]],MaterialData[#All],4,FALSE),"")</f>
        <v/>
      </c>
      <c r="T909" s="322" cm="1">
        <f t="array" ref="T909">IFERROR(VLOOKUP(Calculations[[#This Row],[Waste 1]],WasteScenario[#All],2,FALSE)*'Stage assumptions'!$C$225*WasteTransportMethod[Emissions Factor
kgCO2e/kg.km]*Calculations[[#This Row],[Total Kg]],0)</f>
        <v>0</v>
      </c>
      <c r="U909" s="322" cm="1">
        <f t="array" ref="U909">IFERROR(VLOOKUP(Calculations[[#This Row],[Waste 1]],WasteScenario[#All],3,FALSE)*'Stage assumptions'!$C$224*WasteTransportMethod[Emissions Factor
kgCO2e/kg.km]*Calculations[[#This Row],[Total Kg]],0)</f>
        <v>0</v>
      </c>
      <c r="V909" s="322" cm="1">
        <f t="array" ref="V909">IFERROR(VLOOKUP(Calculations[[#This Row],[Waste 1]],WasteScenario[#All],4,FALSE)*'Stage assumptions'!$C$223*WasteTransportMethod[Emissions Factor
kgCO2e/kg.km]*Calculations[[#This Row],[Total Kg]],0)</f>
        <v>0</v>
      </c>
      <c r="W909" s="322" cm="1">
        <f t="array" ref="W909">IFERROR(VLOOKUP(Calculations[[#This Row],[Waste 1]],WasteScenario[#All],5,FALSE)*'Stage assumptions'!$C$226*WasteTransportMethod[Emissions Factor
kgCO2e/kg.km]*Calculations[[#This Row],[Total Kg]],0)</f>
        <v>0</v>
      </c>
      <c r="X909" s="322">
        <f>SUM(Calculations[[#This Row],[C2 Recycle]:[C2 Reuse]])</f>
        <v>0</v>
      </c>
      <c r="Y909" t="str">
        <f>IFERROR(VLOOKUP(Calculations[[#This Row],[Material (choose from dropdown]],MaterialData[#All],5,FALSE),"")</f>
        <v/>
      </c>
      <c r="Z909" s="322">
        <f>IFERROR(((VLOOKUP(Calculations[[#This Row],[Waste type 2]],WasteDisposalEmissions[#All],2,FALSE))*Calculations[[#This Row],[Total Kg]])*VLOOKUP(Calculations[[#This Row],[Waste 1]],WasteScenario[#All],2,FALSE),0)</f>
        <v>0</v>
      </c>
      <c r="AA909" s="322">
        <f>IFERROR((VLOOKUP(Calculations[[#This Row],[Waste type 2]],WasteDisposalEmissions[#All],3,FALSE))*Calculations[[#This Row],[Total Kg]]*VLOOKUP(Calculations[[#This Row],[Waste 1]],WasteScenario[#All],3,FALSE),0)</f>
        <v>0</v>
      </c>
      <c r="AB909" s="322">
        <f>SUM(Calculations[[#This Row],[C3 recyc]:[C3 incin]])</f>
        <v>0</v>
      </c>
      <c r="AC909" s="334">
        <f>IFERROR((VLOOKUP(Calculations[[#This Row],[Waste type 2]],WasteLandfillEmissions[#All],2,FALSE))*Calculations[[#This Row],[Total Kg]]*VLOOKUP(Calculations[[#This Row],[Waste 1]],WasteScenario[#All],4,FALSE),0)</f>
        <v>0</v>
      </c>
      <c r="AD909" s="322">
        <f>IFERROR((VLOOKUP(Calculations[[#This Row],[Waste type 2]],WasteLandfillEmissions[#All],3,FALSE))*Calculations[[#This Row],[Total Kg]]*VLOOKUP(Calculations[[#This Row],[Waste 1]],WasteScenario[#All],4,FALSE),0)</f>
        <v>0</v>
      </c>
      <c r="AE909" s="322">
        <f>SUM(Calculations[[#This Row],[C4 landfill]:[C4 re-use]])</f>
        <v>0</v>
      </c>
      <c r="AF909" s="322">
        <f>IFERROR(VLOOKUP(Calculations[[#This Row],[Material (choose from dropdown]],MaterialData[#All],8,FALSE),0)</f>
        <v>0</v>
      </c>
      <c r="AG909" s="322">
        <f>IFERROR(Calculations[[#This Row],[Total Kg]]*Calculations[[#This Row],[Seq factor]],0)</f>
        <v>0</v>
      </c>
      <c r="AI909" s="322">
        <f>Calculations[[#This Row],[A1-3]]+Calculations[[#This Row],[A4]]+Calculations[[#This Row],[A5]]+Calculations[[#This Row],[B4]]+Calculations[[#This Row],[C2 total]]+Calculations[[#This Row],[C3 total]]+Calculations[[#This Row],[C4 total]]</f>
        <v>0</v>
      </c>
      <c r="AJ909" s="2">
        <f>IFERROR(VLOOKUP(Calculations[[#This Row],[Material (choose from dropdown]],MaterialData[[#Headers],[#Data]],9,FALSE),0)</f>
        <v>0</v>
      </c>
      <c r="AK909" s="4">
        <f>IFERROR(VLOOKUP(Calculations[[#This Row],[Material (choose from dropdown]],MaterialData[[#Headers],[#Data]],10,FALSE),0)</f>
        <v>0</v>
      </c>
      <c r="AL909" s="322">
        <f>IFERROR(Calculations[[#This Row],[Data Quality Score]]*Calculations[[#This Row],[Total Kg]],0)</f>
        <v>0</v>
      </c>
    </row>
    <row r="910" spans="1:38" x14ac:dyDescent="0.3">
      <c r="A910" s="6">
        <f>IFERROR(MaterialsBoQ[[#This Row],[Scope Element]],0)</f>
        <v>0</v>
      </c>
      <c r="B910" t="str">
        <f>IFERROR(MaterialsBoQ[[#This Row],[Material ]],"")</f>
        <v/>
      </c>
      <c r="C910" t="str">
        <f>IFERROR(MaterialsBoQ[[#This Row],[Unit]],"")</f>
        <v/>
      </c>
      <c r="D910" s="322">
        <f>IFERROR(MaterialsBoQ[[#This Row],[Number]],0)</f>
        <v>0</v>
      </c>
      <c r="E910" s="322">
        <f>IFERROR(MaterialsBoQ[[#This Row],[Kg per unit]],0)</f>
        <v>0</v>
      </c>
      <c r="F910" s="322">
        <f>IFERROR(Calculations[[#This Row],[Number]]*Calculations[[#This Row],[Conversion factor]],0)</f>
        <v>0</v>
      </c>
      <c r="G910" s="322">
        <f>IFERROR(VLOOKUP(Calculations[[#This Row],[Material (choose from dropdown]],MaterialData[#All],7,FALSE),0)</f>
        <v>0</v>
      </c>
      <c r="H910" s="322">
        <f>Calculations[[#This Row],[Total Kg]]*Calculations[[#This Row],[Carbon Factor]]</f>
        <v>0</v>
      </c>
      <c r="I910" t="str">
        <f>IFERROR(VLOOKUP(Calculations[[#This Row],[Material (choose from dropdown]],MaterialData[#All],2,FALSE),"")</f>
        <v/>
      </c>
      <c r="J910" s="322">
        <f>IFERROR(((VLOOKUP(Calculations[[#This Row],[TransportSource]],TransportDistance[],2,FALSE)*'Stage assumptions'!$C$11)+VLOOKUP(Calculations[[#This Row],[TransportSource]],TransportDistance[],3,FALSE)*'Stage assumptions'!$C$12)*Calculations[[#This Row],[Total Kg]],0)</f>
        <v>0</v>
      </c>
      <c r="K910">
        <f>IFERROR(VLOOKUP(Calculations[[#This Row],[Material (choose from dropdown]], MaterialData[#All],3, FALSE),0)</f>
        <v>0</v>
      </c>
      <c r="L910" s="322">
        <f>IFERROR(VLOOKUP(Calculations[[#This Row],[A5type]],A5WastageRate[#All],2,FALSE)*Calculations[[#This Row],[A1-3]],0)</f>
        <v>0</v>
      </c>
      <c r="N910">
        <f>IFERROR(ROUNDUP(50/VLOOKUP(Calculations[[#This Row],[Scope Element]],B4referenceServiceLife[[Tier 2 element]:[Default Service Life]],2, FALSE)-1,0),0)</f>
        <v>0</v>
      </c>
      <c r="O910" s="322">
        <f>IFERROR((Calculations[[#This Row],[A1-3]]+Calculations[[#This Row],[A4]]+Calculations[[#This Row],[A5]]+Calculations[[#This Row],[C2 total]]+Calculations[[#This Row],[C3 total]]+Calculations[[#This Row],[C4 total]])*Calculations[[#This Row],[Replacements]],0)</f>
        <v>0</v>
      </c>
      <c r="S910" t="str">
        <f>IFERROR(VLOOKUP(Calculations[[#This Row],[Material (choose from dropdown]],MaterialData[#All],4,FALSE),"")</f>
        <v/>
      </c>
      <c r="T910" s="322" cm="1">
        <f t="array" ref="T910">IFERROR(VLOOKUP(Calculations[[#This Row],[Waste 1]],WasteScenario[#All],2,FALSE)*'Stage assumptions'!$C$225*WasteTransportMethod[Emissions Factor
kgCO2e/kg.km]*Calculations[[#This Row],[Total Kg]],0)</f>
        <v>0</v>
      </c>
      <c r="U910" s="322" cm="1">
        <f t="array" ref="U910">IFERROR(VLOOKUP(Calculations[[#This Row],[Waste 1]],WasteScenario[#All],3,FALSE)*'Stage assumptions'!$C$224*WasteTransportMethod[Emissions Factor
kgCO2e/kg.km]*Calculations[[#This Row],[Total Kg]],0)</f>
        <v>0</v>
      </c>
      <c r="V910" s="322" cm="1">
        <f t="array" ref="V910">IFERROR(VLOOKUP(Calculations[[#This Row],[Waste 1]],WasteScenario[#All],4,FALSE)*'Stage assumptions'!$C$223*WasteTransportMethod[Emissions Factor
kgCO2e/kg.km]*Calculations[[#This Row],[Total Kg]],0)</f>
        <v>0</v>
      </c>
      <c r="W910" s="322" cm="1">
        <f t="array" ref="W910">IFERROR(VLOOKUP(Calculations[[#This Row],[Waste 1]],WasteScenario[#All],5,FALSE)*'Stage assumptions'!$C$226*WasteTransportMethod[Emissions Factor
kgCO2e/kg.km]*Calculations[[#This Row],[Total Kg]],0)</f>
        <v>0</v>
      </c>
      <c r="X910" s="322">
        <f>SUM(Calculations[[#This Row],[C2 Recycle]:[C2 Reuse]])</f>
        <v>0</v>
      </c>
      <c r="Y910" t="str">
        <f>IFERROR(VLOOKUP(Calculations[[#This Row],[Material (choose from dropdown]],MaterialData[#All],5,FALSE),"")</f>
        <v/>
      </c>
      <c r="Z910" s="322">
        <f>IFERROR(((VLOOKUP(Calculations[[#This Row],[Waste type 2]],WasteDisposalEmissions[#All],2,FALSE))*Calculations[[#This Row],[Total Kg]])*VLOOKUP(Calculations[[#This Row],[Waste 1]],WasteScenario[#All],2,FALSE),0)</f>
        <v>0</v>
      </c>
      <c r="AA910" s="322">
        <f>IFERROR((VLOOKUP(Calculations[[#This Row],[Waste type 2]],WasteDisposalEmissions[#All],3,FALSE))*Calculations[[#This Row],[Total Kg]]*VLOOKUP(Calculations[[#This Row],[Waste 1]],WasteScenario[#All],3,FALSE),0)</f>
        <v>0</v>
      </c>
      <c r="AB910" s="322">
        <f>SUM(Calculations[[#This Row],[C3 recyc]:[C3 incin]])</f>
        <v>0</v>
      </c>
      <c r="AC910" s="334">
        <f>IFERROR((VLOOKUP(Calculations[[#This Row],[Waste type 2]],WasteLandfillEmissions[#All],2,FALSE))*Calculations[[#This Row],[Total Kg]]*VLOOKUP(Calculations[[#This Row],[Waste 1]],WasteScenario[#All],4,FALSE),0)</f>
        <v>0</v>
      </c>
      <c r="AD910" s="322">
        <f>IFERROR((VLOOKUP(Calculations[[#This Row],[Waste type 2]],WasteLandfillEmissions[#All],3,FALSE))*Calculations[[#This Row],[Total Kg]]*VLOOKUP(Calculations[[#This Row],[Waste 1]],WasteScenario[#All],4,FALSE),0)</f>
        <v>0</v>
      </c>
      <c r="AE910" s="322">
        <f>SUM(Calculations[[#This Row],[C4 landfill]:[C4 re-use]])</f>
        <v>0</v>
      </c>
      <c r="AF910" s="322">
        <f>IFERROR(VLOOKUP(Calculations[[#This Row],[Material (choose from dropdown]],MaterialData[#All],8,FALSE),0)</f>
        <v>0</v>
      </c>
      <c r="AG910" s="322">
        <f>IFERROR(Calculations[[#This Row],[Total Kg]]*Calculations[[#This Row],[Seq factor]],0)</f>
        <v>0</v>
      </c>
      <c r="AI910" s="322">
        <f>Calculations[[#This Row],[A1-3]]+Calculations[[#This Row],[A4]]+Calculations[[#This Row],[A5]]+Calculations[[#This Row],[B4]]+Calculations[[#This Row],[C2 total]]+Calculations[[#This Row],[C3 total]]+Calculations[[#This Row],[C4 total]]</f>
        <v>0</v>
      </c>
      <c r="AJ910" s="2">
        <f>IFERROR(VLOOKUP(Calculations[[#This Row],[Material (choose from dropdown]],MaterialData[[#Headers],[#Data]],9,FALSE),0)</f>
        <v>0</v>
      </c>
      <c r="AK910" s="4">
        <f>IFERROR(VLOOKUP(Calculations[[#This Row],[Material (choose from dropdown]],MaterialData[[#Headers],[#Data]],10,FALSE),0)</f>
        <v>0</v>
      </c>
      <c r="AL910" s="322">
        <f>IFERROR(Calculations[[#This Row],[Data Quality Score]]*Calculations[[#This Row],[Total Kg]],0)</f>
        <v>0</v>
      </c>
    </row>
    <row r="911" spans="1:38" x14ac:dyDescent="0.3">
      <c r="A911" s="6">
        <f>IFERROR(MaterialsBoQ[[#This Row],[Scope Element]],0)</f>
        <v>0</v>
      </c>
      <c r="B911" t="str">
        <f>IFERROR(MaterialsBoQ[[#This Row],[Material ]],"")</f>
        <v/>
      </c>
      <c r="C911" t="str">
        <f>IFERROR(MaterialsBoQ[[#This Row],[Unit]],"")</f>
        <v/>
      </c>
      <c r="D911" s="322">
        <f>IFERROR(MaterialsBoQ[[#This Row],[Number]],0)</f>
        <v>0</v>
      </c>
      <c r="E911" s="322">
        <f>IFERROR(MaterialsBoQ[[#This Row],[Kg per unit]],0)</f>
        <v>0</v>
      </c>
      <c r="F911" s="322">
        <f>IFERROR(Calculations[[#This Row],[Number]]*Calculations[[#This Row],[Conversion factor]],0)</f>
        <v>0</v>
      </c>
      <c r="G911" s="322">
        <f>IFERROR(VLOOKUP(Calculations[[#This Row],[Material (choose from dropdown]],MaterialData[#All],7,FALSE),0)</f>
        <v>0</v>
      </c>
      <c r="H911" s="322">
        <f>Calculations[[#This Row],[Total Kg]]*Calculations[[#This Row],[Carbon Factor]]</f>
        <v>0</v>
      </c>
      <c r="I911" t="str">
        <f>IFERROR(VLOOKUP(Calculations[[#This Row],[Material (choose from dropdown]],MaterialData[#All],2,FALSE),"")</f>
        <v/>
      </c>
      <c r="J911" s="322">
        <f>IFERROR(((VLOOKUP(Calculations[[#This Row],[TransportSource]],TransportDistance[],2,FALSE)*'Stage assumptions'!$C$11)+VLOOKUP(Calculations[[#This Row],[TransportSource]],TransportDistance[],3,FALSE)*'Stage assumptions'!$C$12)*Calculations[[#This Row],[Total Kg]],0)</f>
        <v>0</v>
      </c>
      <c r="K911">
        <f>IFERROR(VLOOKUP(Calculations[[#This Row],[Material (choose from dropdown]], MaterialData[#All],3, FALSE),0)</f>
        <v>0</v>
      </c>
      <c r="L911" s="322">
        <f>IFERROR(VLOOKUP(Calculations[[#This Row],[A5type]],A5WastageRate[#All],2,FALSE)*Calculations[[#This Row],[A1-3]],0)</f>
        <v>0</v>
      </c>
      <c r="N911">
        <f>IFERROR(ROUNDUP(50/VLOOKUP(Calculations[[#This Row],[Scope Element]],B4referenceServiceLife[[Tier 2 element]:[Default Service Life]],2, FALSE)-1,0),0)</f>
        <v>0</v>
      </c>
      <c r="O911" s="322">
        <f>IFERROR((Calculations[[#This Row],[A1-3]]+Calculations[[#This Row],[A4]]+Calculations[[#This Row],[A5]]+Calculations[[#This Row],[C2 total]]+Calculations[[#This Row],[C3 total]]+Calculations[[#This Row],[C4 total]])*Calculations[[#This Row],[Replacements]],0)</f>
        <v>0</v>
      </c>
      <c r="S911" t="str">
        <f>IFERROR(VLOOKUP(Calculations[[#This Row],[Material (choose from dropdown]],MaterialData[#All],4,FALSE),"")</f>
        <v/>
      </c>
      <c r="T911" s="322" cm="1">
        <f t="array" ref="T911">IFERROR(VLOOKUP(Calculations[[#This Row],[Waste 1]],WasteScenario[#All],2,FALSE)*'Stage assumptions'!$C$225*WasteTransportMethod[Emissions Factor
kgCO2e/kg.km]*Calculations[[#This Row],[Total Kg]],0)</f>
        <v>0</v>
      </c>
      <c r="U911" s="322" cm="1">
        <f t="array" ref="U911">IFERROR(VLOOKUP(Calculations[[#This Row],[Waste 1]],WasteScenario[#All],3,FALSE)*'Stage assumptions'!$C$224*WasteTransportMethod[Emissions Factor
kgCO2e/kg.km]*Calculations[[#This Row],[Total Kg]],0)</f>
        <v>0</v>
      </c>
      <c r="V911" s="322" cm="1">
        <f t="array" ref="V911">IFERROR(VLOOKUP(Calculations[[#This Row],[Waste 1]],WasteScenario[#All],4,FALSE)*'Stage assumptions'!$C$223*WasteTransportMethod[Emissions Factor
kgCO2e/kg.km]*Calculations[[#This Row],[Total Kg]],0)</f>
        <v>0</v>
      </c>
      <c r="W911" s="322" cm="1">
        <f t="array" ref="W911">IFERROR(VLOOKUP(Calculations[[#This Row],[Waste 1]],WasteScenario[#All],5,FALSE)*'Stage assumptions'!$C$226*WasteTransportMethod[Emissions Factor
kgCO2e/kg.km]*Calculations[[#This Row],[Total Kg]],0)</f>
        <v>0</v>
      </c>
      <c r="X911" s="322">
        <f>SUM(Calculations[[#This Row],[C2 Recycle]:[C2 Reuse]])</f>
        <v>0</v>
      </c>
      <c r="Y911" t="str">
        <f>IFERROR(VLOOKUP(Calculations[[#This Row],[Material (choose from dropdown]],MaterialData[#All],5,FALSE),"")</f>
        <v/>
      </c>
      <c r="Z911" s="322">
        <f>IFERROR(((VLOOKUP(Calculations[[#This Row],[Waste type 2]],WasteDisposalEmissions[#All],2,FALSE))*Calculations[[#This Row],[Total Kg]])*VLOOKUP(Calculations[[#This Row],[Waste 1]],WasteScenario[#All],2,FALSE),0)</f>
        <v>0</v>
      </c>
      <c r="AA911" s="322">
        <f>IFERROR((VLOOKUP(Calculations[[#This Row],[Waste type 2]],WasteDisposalEmissions[#All],3,FALSE))*Calculations[[#This Row],[Total Kg]]*VLOOKUP(Calculations[[#This Row],[Waste 1]],WasteScenario[#All],3,FALSE),0)</f>
        <v>0</v>
      </c>
      <c r="AB911" s="322">
        <f>SUM(Calculations[[#This Row],[C3 recyc]:[C3 incin]])</f>
        <v>0</v>
      </c>
      <c r="AC911" s="334">
        <f>IFERROR((VLOOKUP(Calculations[[#This Row],[Waste type 2]],WasteLandfillEmissions[#All],2,FALSE))*Calculations[[#This Row],[Total Kg]]*VLOOKUP(Calculations[[#This Row],[Waste 1]],WasteScenario[#All],4,FALSE),0)</f>
        <v>0</v>
      </c>
      <c r="AD911" s="322">
        <f>IFERROR((VLOOKUP(Calculations[[#This Row],[Waste type 2]],WasteLandfillEmissions[#All],3,FALSE))*Calculations[[#This Row],[Total Kg]]*VLOOKUP(Calculations[[#This Row],[Waste 1]],WasteScenario[#All],4,FALSE),0)</f>
        <v>0</v>
      </c>
      <c r="AE911" s="322">
        <f>SUM(Calculations[[#This Row],[C4 landfill]:[C4 re-use]])</f>
        <v>0</v>
      </c>
      <c r="AF911" s="322">
        <f>IFERROR(VLOOKUP(Calculations[[#This Row],[Material (choose from dropdown]],MaterialData[#All],8,FALSE),0)</f>
        <v>0</v>
      </c>
      <c r="AG911" s="322">
        <f>IFERROR(Calculations[[#This Row],[Total Kg]]*Calculations[[#This Row],[Seq factor]],0)</f>
        <v>0</v>
      </c>
      <c r="AI911" s="322">
        <f>Calculations[[#This Row],[A1-3]]+Calculations[[#This Row],[A4]]+Calculations[[#This Row],[A5]]+Calculations[[#This Row],[B4]]+Calculations[[#This Row],[C2 total]]+Calculations[[#This Row],[C3 total]]+Calculations[[#This Row],[C4 total]]</f>
        <v>0</v>
      </c>
      <c r="AJ911" s="2">
        <f>IFERROR(VLOOKUP(Calculations[[#This Row],[Material (choose from dropdown]],MaterialData[[#Headers],[#Data]],9,FALSE),0)</f>
        <v>0</v>
      </c>
      <c r="AK911" s="4">
        <f>IFERROR(VLOOKUP(Calculations[[#This Row],[Material (choose from dropdown]],MaterialData[[#Headers],[#Data]],10,FALSE),0)</f>
        <v>0</v>
      </c>
      <c r="AL911" s="322">
        <f>IFERROR(Calculations[[#This Row],[Data Quality Score]]*Calculations[[#This Row],[Total Kg]],0)</f>
        <v>0</v>
      </c>
    </row>
    <row r="912" spans="1:38" x14ac:dyDescent="0.3">
      <c r="A912" s="6">
        <f>IFERROR(MaterialsBoQ[[#This Row],[Scope Element]],0)</f>
        <v>0</v>
      </c>
      <c r="B912" t="str">
        <f>IFERROR(MaterialsBoQ[[#This Row],[Material ]],"")</f>
        <v/>
      </c>
      <c r="C912" t="str">
        <f>IFERROR(MaterialsBoQ[[#This Row],[Unit]],"")</f>
        <v/>
      </c>
      <c r="D912" s="322">
        <f>IFERROR(MaterialsBoQ[[#This Row],[Number]],0)</f>
        <v>0</v>
      </c>
      <c r="E912" s="322">
        <f>IFERROR(MaterialsBoQ[[#This Row],[Kg per unit]],0)</f>
        <v>0</v>
      </c>
      <c r="F912" s="322">
        <f>IFERROR(Calculations[[#This Row],[Number]]*Calculations[[#This Row],[Conversion factor]],0)</f>
        <v>0</v>
      </c>
      <c r="G912" s="322">
        <f>IFERROR(VLOOKUP(Calculations[[#This Row],[Material (choose from dropdown]],MaterialData[#All],7,FALSE),0)</f>
        <v>0</v>
      </c>
      <c r="H912" s="322">
        <f>Calculations[[#This Row],[Total Kg]]*Calculations[[#This Row],[Carbon Factor]]</f>
        <v>0</v>
      </c>
      <c r="I912" t="str">
        <f>IFERROR(VLOOKUP(Calculations[[#This Row],[Material (choose from dropdown]],MaterialData[#All],2,FALSE),"")</f>
        <v/>
      </c>
      <c r="J912" s="322">
        <f>IFERROR(((VLOOKUP(Calculations[[#This Row],[TransportSource]],TransportDistance[],2,FALSE)*'Stage assumptions'!$C$11)+VLOOKUP(Calculations[[#This Row],[TransportSource]],TransportDistance[],3,FALSE)*'Stage assumptions'!$C$12)*Calculations[[#This Row],[Total Kg]],0)</f>
        <v>0</v>
      </c>
      <c r="K912">
        <f>IFERROR(VLOOKUP(Calculations[[#This Row],[Material (choose from dropdown]], MaterialData[#All],3, FALSE),0)</f>
        <v>0</v>
      </c>
      <c r="L912" s="322">
        <f>IFERROR(VLOOKUP(Calculations[[#This Row],[A5type]],A5WastageRate[#All],2,FALSE)*Calculations[[#This Row],[A1-3]],0)</f>
        <v>0</v>
      </c>
      <c r="N912">
        <f>IFERROR(ROUNDUP(50/VLOOKUP(Calculations[[#This Row],[Scope Element]],B4referenceServiceLife[[Tier 2 element]:[Default Service Life]],2, FALSE)-1,0),0)</f>
        <v>0</v>
      </c>
      <c r="O912" s="322">
        <f>IFERROR((Calculations[[#This Row],[A1-3]]+Calculations[[#This Row],[A4]]+Calculations[[#This Row],[A5]]+Calculations[[#This Row],[C2 total]]+Calculations[[#This Row],[C3 total]]+Calculations[[#This Row],[C4 total]])*Calculations[[#This Row],[Replacements]],0)</f>
        <v>0</v>
      </c>
      <c r="S912" t="str">
        <f>IFERROR(VLOOKUP(Calculations[[#This Row],[Material (choose from dropdown]],MaterialData[#All],4,FALSE),"")</f>
        <v/>
      </c>
      <c r="T912" s="322" cm="1">
        <f t="array" ref="T912">IFERROR(VLOOKUP(Calculations[[#This Row],[Waste 1]],WasteScenario[#All],2,FALSE)*'Stage assumptions'!$C$225*WasteTransportMethod[Emissions Factor
kgCO2e/kg.km]*Calculations[[#This Row],[Total Kg]],0)</f>
        <v>0</v>
      </c>
      <c r="U912" s="322" cm="1">
        <f t="array" ref="U912">IFERROR(VLOOKUP(Calculations[[#This Row],[Waste 1]],WasteScenario[#All],3,FALSE)*'Stage assumptions'!$C$224*WasteTransportMethod[Emissions Factor
kgCO2e/kg.km]*Calculations[[#This Row],[Total Kg]],0)</f>
        <v>0</v>
      </c>
      <c r="V912" s="322" cm="1">
        <f t="array" ref="V912">IFERROR(VLOOKUP(Calculations[[#This Row],[Waste 1]],WasteScenario[#All],4,FALSE)*'Stage assumptions'!$C$223*WasteTransportMethod[Emissions Factor
kgCO2e/kg.km]*Calculations[[#This Row],[Total Kg]],0)</f>
        <v>0</v>
      </c>
      <c r="W912" s="322" cm="1">
        <f t="array" ref="W912">IFERROR(VLOOKUP(Calculations[[#This Row],[Waste 1]],WasteScenario[#All],5,FALSE)*'Stage assumptions'!$C$226*WasteTransportMethod[Emissions Factor
kgCO2e/kg.km]*Calculations[[#This Row],[Total Kg]],0)</f>
        <v>0</v>
      </c>
      <c r="X912" s="322">
        <f>SUM(Calculations[[#This Row],[C2 Recycle]:[C2 Reuse]])</f>
        <v>0</v>
      </c>
      <c r="Y912" t="str">
        <f>IFERROR(VLOOKUP(Calculations[[#This Row],[Material (choose from dropdown]],MaterialData[#All],5,FALSE),"")</f>
        <v/>
      </c>
      <c r="Z912" s="322">
        <f>IFERROR(((VLOOKUP(Calculations[[#This Row],[Waste type 2]],WasteDisposalEmissions[#All],2,FALSE))*Calculations[[#This Row],[Total Kg]])*VLOOKUP(Calculations[[#This Row],[Waste 1]],WasteScenario[#All],2,FALSE),0)</f>
        <v>0</v>
      </c>
      <c r="AA912" s="322">
        <f>IFERROR((VLOOKUP(Calculations[[#This Row],[Waste type 2]],WasteDisposalEmissions[#All],3,FALSE))*Calculations[[#This Row],[Total Kg]]*VLOOKUP(Calculations[[#This Row],[Waste 1]],WasteScenario[#All],3,FALSE),0)</f>
        <v>0</v>
      </c>
      <c r="AB912" s="322">
        <f>SUM(Calculations[[#This Row],[C3 recyc]:[C3 incin]])</f>
        <v>0</v>
      </c>
      <c r="AC912" s="334">
        <f>IFERROR((VLOOKUP(Calculations[[#This Row],[Waste type 2]],WasteLandfillEmissions[#All],2,FALSE))*Calculations[[#This Row],[Total Kg]]*VLOOKUP(Calculations[[#This Row],[Waste 1]],WasteScenario[#All],4,FALSE),0)</f>
        <v>0</v>
      </c>
      <c r="AD912" s="322">
        <f>IFERROR((VLOOKUP(Calculations[[#This Row],[Waste type 2]],WasteLandfillEmissions[#All],3,FALSE))*Calculations[[#This Row],[Total Kg]]*VLOOKUP(Calculations[[#This Row],[Waste 1]],WasteScenario[#All],4,FALSE),0)</f>
        <v>0</v>
      </c>
      <c r="AE912" s="322">
        <f>SUM(Calculations[[#This Row],[C4 landfill]:[C4 re-use]])</f>
        <v>0</v>
      </c>
      <c r="AF912" s="322">
        <f>IFERROR(VLOOKUP(Calculations[[#This Row],[Material (choose from dropdown]],MaterialData[#All],8,FALSE),0)</f>
        <v>0</v>
      </c>
      <c r="AG912" s="322">
        <f>IFERROR(Calculations[[#This Row],[Total Kg]]*Calculations[[#This Row],[Seq factor]],0)</f>
        <v>0</v>
      </c>
      <c r="AI912" s="322">
        <f>Calculations[[#This Row],[A1-3]]+Calculations[[#This Row],[A4]]+Calculations[[#This Row],[A5]]+Calculations[[#This Row],[B4]]+Calculations[[#This Row],[C2 total]]+Calculations[[#This Row],[C3 total]]+Calculations[[#This Row],[C4 total]]</f>
        <v>0</v>
      </c>
      <c r="AJ912" s="2">
        <f>IFERROR(VLOOKUP(Calculations[[#This Row],[Material (choose from dropdown]],MaterialData[[#Headers],[#Data]],9,FALSE),0)</f>
        <v>0</v>
      </c>
      <c r="AK912" s="4">
        <f>IFERROR(VLOOKUP(Calculations[[#This Row],[Material (choose from dropdown]],MaterialData[[#Headers],[#Data]],10,FALSE),0)</f>
        <v>0</v>
      </c>
      <c r="AL912" s="322">
        <f>IFERROR(Calculations[[#This Row],[Data Quality Score]]*Calculations[[#This Row],[Total Kg]],0)</f>
        <v>0</v>
      </c>
    </row>
    <row r="913" spans="1:38" x14ac:dyDescent="0.3">
      <c r="A913" s="6">
        <f>IFERROR(MaterialsBoQ[[#This Row],[Scope Element]],0)</f>
        <v>0</v>
      </c>
      <c r="B913" t="str">
        <f>IFERROR(MaterialsBoQ[[#This Row],[Material ]],"")</f>
        <v/>
      </c>
      <c r="C913" t="str">
        <f>IFERROR(MaterialsBoQ[[#This Row],[Unit]],"")</f>
        <v/>
      </c>
      <c r="D913" s="322">
        <f>IFERROR(MaterialsBoQ[[#This Row],[Number]],0)</f>
        <v>0</v>
      </c>
      <c r="E913" s="322">
        <f>IFERROR(MaterialsBoQ[[#This Row],[Kg per unit]],0)</f>
        <v>0</v>
      </c>
      <c r="F913" s="322">
        <f>IFERROR(Calculations[[#This Row],[Number]]*Calculations[[#This Row],[Conversion factor]],0)</f>
        <v>0</v>
      </c>
      <c r="G913" s="322">
        <f>IFERROR(VLOOKUP(Calculations[[#This Row],[Material (choose from dropdown]],MaterialData[#All],7,FALSE),0)</f>
        <v>0</v>
      </c>
      <c r="H913" s="322">
        <f>Calculations[[#This Row],[Total Kg]]*Calculations[[#This Row],[Carbon Factor]]</f>
        <v>0</v>
      </c>
      <c r="I913" t="str">
        <f>IFERROR(VLOOKUP(Calculations[[#This Row],[Material (choose from dropdown]],MaterialData[#All],2,FALSE),"")</f>
        <v/>
      </c>
      <c r="J913" s="322">
        <f>IFERROR(((VLOOKUP(Calculations[[#This Row],[TransportSource]],TransportDistance[],2,FALSE)*'Stage assumptions'!$C$11)+VLOOKUP(Calculations[[#This Row],[TransportSource]],TransportDistance[],3,FALSE)*'Stage assumptions'!$C$12)*Calculations[[#This Row],[Total Kg]],0)</f>
        <v>0</v>
      </c>
      <c r="K913">
        <f>IFERROR(VLOOKUP(Calculations[[#This Row],[Material (choose from dropdown]], MaterialData[#All],3, FALSE),0)</f>
        <v>0</v>
      </c>
      <c r="L913" s="322">
        <f>IFERROR(VLOOKUP(Calculations[[#This Row],[A5type]],A5WastageRate[#All],2,FALSE)*Calculations[[#This Row],[A1-3]],0)</f>
        <v>0</v>
      </c>
      <c r="N913">
        <f>IFERROR(ROUNDUP(50/VLOOKUP(Calculations[[#This Row],[Scope Element]],B4referenceServiceLife[[Tier 2 element]:[Default Service Life]],2, FALSE)-1,0),0)</f>
        <v>0</v>
      </c>
      <c r="O913" s="322">
        <f>IFERROR((Calculations[[#This Row],[A1-3]]+Calculations[[#This Row],[A4]]+Calculations[[#This Row],[A5]]+Calculations[[#This Row],[C2 total]]+Calculations[[#This Row],[C3 total]]+Calculations[[#This Row],[C4 total]])*Calculations[[#This Row],[Replacements]],0)</f>
        <v>0</v>
      </c>
      <c r="S913" t="str">
        <f>IFERROR(VLOOKUP(Calculations[[#This Row],[Material (choose from dropdown]],MaterialData[#All],4,FALSE),"")</f>
        <v/>
      </c>
      <c r="T913" s="322" cm="1">
        <f t="array" ref="T913">IFERROR(VLOOKUP(Calculations[[#This Row],[Waste 1]],WasteScenario[#All],2,FALSE)*'Stage assumptions'!$C$225*WasteTransportMethod[Emissions Factor
kgCO2e/kg.km]*Calculations[[#This Row],[Total Kg]],0)</f>
        <v>0</v>
      </c>
      <c r="U913" s="322" cm="1">
        <f t="array" ref="U913">IFERROR(VLOOKUP(Calculations[[#This Row],[Waste 1]],WasteScenario[#All],3,FALSE)*'Stage assumptions'!$C$224*WasteTransportMethod[Emissions Factor
kgCO2e/kg.km]*Calculations[[#This Row],[Total Kg]],0)</f>
        <v>0</v>
      </c>
      <c r="V913" s="322" cm="1">
        <f t="array" ref="V913">IFERROR(VLOOKUP(Calculations[[#This Row],[Waste 1]],WasteScenario[#All],4,FALSE)*'Stage assumptions'!$C$223*WasteTransportMethod[Emissions Factor
kgCO2e/kg.km]*Calculations[[#This Row],[Total Kg]],0)</f>
        <v>0</v>
      </c>
      <c r="W913" s="322" cm="1">
        <f t="array" ref="W913">IFERROR(VLOOKUP(Calculations[[#This Row],[Waste 1]],WasteScenario[#All],5,FALSE)*'Stage assumptions'!$C$226*WasteTransportMethod[Emissions Factor
kgCO2e/kg.km]*Calculations[[#This Row],[Total Kg]],0)</f>
        <v>0</v>
      </c>
      <c r="X913" s="322">
        <f>SUM(Calculations[[#This Row],[C2 Recycle]:[C2 Reuse]])</f>
        <v>0</v>
      </c>
      <c r="Y913" t="str">
        <f>IFERROR(VLOOKUP(Calculations[[#This Row],[Material (choose from dropdown]],MaterialData[#All],5,FALSE),"")</f>
        <v/>
      </c>
      <c r="Z913" s="322">
        <f>IFERROR(((VLOOKUP(Calculations[[#This Row],[Waste type 2]],WasteDisposalEmissions[#All],2,FALSE))*Calculations[[#This Row],[Total Kg]])*VLOOKUP(Calculations[[#This Row],[Waste 1]],WasteScenario[#All],2,FALSE),0)</f>
        <v>0</v>
      </c>
      <c r="AA913" s="322">
        <f>IFERROR((VLOOKUP(Calculations[[#This Row],[Waste type 2]],WasteDisposalEmissions[#All],3,FALSE))*Calculations[[#This Row],[Total Kg]]*VLOOKUP(Calculations[[#This Row],[Waste 1]],WasteScenario[#All],3,FALSE),0)</f>
        <v>0</v>
      </c>
      <c r="AB913" s="322">
        <f>SUM(Calculations[[#This Row],[C3 recyc]:[C3 incin]])</f>
        <v>0</v>
      </c>
      <c r="AC913" s="334">
        <f>IFERROR((VLOOKUP(Calculations[[#This Row],[Waste type 2]],WasteLandfillEmissions[#All],2,FALSE))*Calculations[[#This Row],[Total Kg]]*VLOOKUP(Calculations[[#This Row],[Waste 1]],WasteScenario[#All],4,FALSE),0)</f>
        <v>0</v>
      </c>
      <c r="AD913" s="322">
        <f>IFERROR((VLOOKUP(Calculations[[#This Row],[Waste type 2]],WasteLandfillEmissions[#All],3,FALSE))*Calculations[[#This Row],[Total Kg]]*VLOOKUP(Calculations[[#This Row],[Waste 1]],WasteScenario[#All],4,FALSE),0)</f>
        <v>0</v>
      </c>
      <c r="AE913" s="322">
        <f>SUM(Calculations[[#This Row],[C4 landfill]:[C4 re-use]])</f>
        <v>0</v>
      </c>
      <c r="AF913" s="322">
        <f>IFERROR(VLOOKUP(Calculations[[#This Row],[Material (choose from dropdown]],MaterialData[#All],8,FALSE),0)</f>
        <v>0</v>
      </c>
      <c r="AG913" s="322">
        <f>IFERROR(Calculations[[#This Row],[Total Kg]]*Calculations[[#This Row],[Seq factor]],0)</f>
        <v>0</v>
      </c>
      <c r="AI913" s="322">
        <f>Calculations[[#This Row],[A1-3]]+Calculations[[#This Row],[A4]]+Calculations[[#This Row],[A5]]+Calculations[[#This Row],[B4]]+Calculations[[#This Row],[C2 total]]+Calculations[[#This Row],[C3 total]]+Calculations[[#This Row],[C4 total]]</f>
        <v>0</v>
      </c>
      <c r="AJ913" s="2">
        <f>IFERROR(VLOOKUP(Calculations[[#This Row],[Material (choose from dropdown]],MaterialData[[#Headers],[#Data]],9,FALSE),0)</f>
        <v>0</v>
      </c>
      <c r="AK913" s="4">
        <f>IFERROR(VLOOKUP(Calculations[[#This Row],[Material (choose from dropdown]],MaterialData[[#Headers],[#Data]],10,FALSE),0)</f>
        <v>0</v>
      </c>
      <c r="AL913" s="322">
        <f>IFERROR(Calculations[[#This Row],[Data Quality Score]]*Calculations[[#This Row],[Total Kg]],0)</f>
        <v>0</v>
      </c>
    </row>
    <row r="914" spans="1:38" x14ac:dyDescent="0.3">
      <c r="A914" s="6">
        <f>IFERROR(MaterialsBoQ[[#This Row],[Scope Element]],0)</f>
        <v>0</v>
      </c>
      <c r="B914" t="str">
        <f>IFERROR(MaterialsBoQ[[#This Row],[Material ]],"")</f>
        <v/>
      </c>
      <c r="C914" t="str">
        <f>IFERROR(MaterialsBoQ[[#This Row],[Unit]],"")</f>
        <v/>
      </c>
      <c r="D914" s="322">
        <f>IFERROR(MaterialsBoQ[[#This Row],[Number]],0)</f>
        <v>0</v>
      </c>
      <c r="E914" s="322">
        <f>IFERROR(MaterialsBoQ[[#This Row],[Kg per unit]],0)</f>
        <v>0</v>
      </c>
      <c r="F914" s="322">
        <f>IFERROR(Calculations[[#This Row],[Number]]*Calculations[[#This Row],[Conversion factor]],0)</f>
        <v>0</v>
      </c>
      <c r="G914" s="322">
        <f>IFERROR(VLOOKUP(Calculations[[#This Row],[Material (choose from dropdown]],MaterialData[#All],7,FALSE),0)</f>
        <v>0</v>
      </c>
      <c r="H914" s="322">
        <f>Calculations[[#This Row],[Total Kg]]*Calculations[[#This Row],[Carbon Factor]]</f>
        <v>0</v>
      </c>
      <c r="I914" t="str">
        <f>IFERROR(VLOOKUP(Calculations[[#This Row],[Material (choose from dropdown]],MaterialData[#All],2,FALSE),"")</f>
        <v/>
      </c>
      <c r="J914" s="322">
        <f>IFERROR(((VLOOKUP(Calculations[[#This Row],[TransportSource]],TransportDistance[],2,FALSE)*'Stage assumptions'!$C$11)+VLOOKUP(Calculations[[#This Row],[TransportSource]],TransportDistance[],3,FALSE)*'Stage assumptions'!$C$12)*Calculations[[#This Row],[Total Kg]],0)</f>
        <v>0</v>
      </c>
      <c r="K914">
        <f>IFERROR(VLOOKUP(Calculations[[#This Row],[Material (choose from dropdown]], MaterialData[#All],3, FALSE),0)</f>
        <v>0</v>
      </c>
      <c r="L914" s="322">
        <f>IFERROR(VLOOKUP(Calculations[[#This Row],[A5type]],A5WastageRate[#All],2,FALSE)*Calculations[[#This Row],[A1-3]],0)</f>
        <v>0</v>
      </c>
      <c r="N914">
        <f>IFERROR(ROUNDUP(50/VLOOKUP(Calculations[[#This Row],[Scope Element]],B4referenceServiceLife[[Tier 2 element]:[Default Service Life]],2, FALSE)-1,0),0)</f>
        <v>0</v>
      </c>
      <c r="O914" s="322">
        <f>IFERROR((Calculations[[#This Row],[A1-3]]+Calculations[[#This Row],[A4]]+Calculations[[#This Row],[A5]]+Calculations[[#This Row],[C2 total]]+Calculations[[#This Row],[C3 total]]+Calculations[[#This Row],[C4 total]])*Calculations[[#This Row],[Replacements]],0)</f>
        <v>0</v>
      </c>
      <c r="S914" t="str">
        <f>IFERROR(VLOOKUP(Calculations[[#This Row],[Material (choose from dropdown]],MaterialData[#All],4,FALSE),"")</f>
        <v/>
      </c>
      <c r="T914" s="322" cm="1">
        <f t="array" ref="T914">IFERROR(VLOOKUP(Calculations[[#This Row],[Waste 1]],WasteScenario[#All],2,FALSE)*'Stage assumptions'!$C$225*WasteTransportMethod[Emissions Factor
kgCO2e/kg.km]*Calculations[[#This Row],[Total Kg]],0)</f>
        <v>0</v>
      </c>
      <c r="U914" s="322" cm="1">
        <f t="array" ref="U914">IFERROR(VLOOKUP(Calculations[[#This Row],[Waste 1]],WasteScenario[#All],3,FALSE)*'Stage assumptions'!$C$224*WasteTransportMethod[Emissions Factor
kgCO2e/kg.km]*Calculations[[#This Row],[Total Kg]],0)</f>
        <v>0</v>
      </c>
      <c r="V914" s="322" cm="1">
        <f t="array" ref="V914">IFERROR(VLOOKUP(Calculations[[#This Row],[Waste 1]],WasteScenario[#All],4,FALSE)*'Stage assumptions'!$C$223*WasteTransportMethod[Emissions Factor
kgCO2e/kg.km]*Calculations[[#This Row],[Total Kg]],0)</f>
        <v>0</v>
      </c>
      <c r="W914" s="322" cm="1">
        <f t="array" ref="W914">IFERROR(VLOOKUP(Calculations[[#This Row],[Waste 1]],WasteScenario[#All],5,FALSE)*'Stage assumptions'!$C$226*WasteTransportMethod[Emissions Factor
kgCO2e/kg.km]*Calculations[[#This Row],[Total Kg]],0)</f>
        <v>0</v>
      </c>
      <c r="X914" s="322">
        <f>SUM(Calculations[[#This Row],[C2 Recycle]:[C2 Reuse]])</f>
        <v>0</v>
      </c>
      <c r="Y914" t="str">
        <f>IFERROR(VLOOKUP(Calculations[[#This Row],[Material (choose from dropdown]],MaterialData[#All],5,FALSE),"")</f>
        <v/>
      </c>
      <c r="Z914" s="322">
        <f>IFERROR(((VLOOKUP(Calculations[[#This Row],[Waste type 2]],WasteDisposalEmissions[#All],2,FALSE))*Calculations[[#This Row],[Total Kg]])*VLOOKUP(Calculations[[#This Row],[Waste 1]],WasteScenario[#All],2,FALSE),0)</f>
        <v>0</v>
      </c>
      <c r="AA914" s="322">
        <f>IFERROR((VLOOKUP(Calculations[[#This Row],[Waste type 2]],WasteDisposalEmissions[#All],3,FALSE))*Calculations[[#This Row],[Total Kg]]*VLOOKUP(Calculations[[#This Row],[Waste 1]],WasteScenario[#All],3,FALSE),0)</f>
        <v>0</v>
      </c>
      <c r="AB914" s="322">
        <f>SUM(Calculations[[#This Row],[C3 recyc]:[C3 incin]])</f>
        <v>0</v>
      </c>
      <c r="AC914" s="334">
        <f>IFERROR((VLOOKUP(Calculations[[#This Row],[Waste type 2]],WasteLandfillEmissions[#All],2,FALSE))*Calculations[[#This Row],[Total Kg]]*VLOOKUP(Calculations[[#This Row],[Waste 1]],WasteScenario[#All],4,FALSE),0)</f>
        <v>0</v>
      </c>
      <c r="AD914" s="322">
        <f>IFERROR((VLOOKUP(Calculations[[#This Row],[Waste type 2]],WasteLandfillEmissions[#All],3,FALSE))*Calculations[[#This Row],[Total Kg]]*VLOOKUP(Calculations[[#This Row],[Waste 1]],WasteScenario[#All],4,FALSE),0)</f>
        <v>0</v>
      </c>
      <c r="AE914" s="322">
        <f>SUM(Calculations[[#This Row],[C4 landfill]:[C4 re-use]])</f>
        <v>0</v>
      </c>
      <c r="AF914" s="322">
        <f>IFERROR(VLOOKUP(Calculations[[#This Row],[Material (choose from dropdown]],MaterialData[#All],8,FALSE),0)</f>
        <v>0</v>
      </c>
      <c r="AG914" s="322">
        <f>IFERROR(Calculations[[#This Row],[Total Kg]]*Calculations[[#This Row],[Seq factor]],0)</f>
        <v>0</v>
      </c>
      <c r="AI914" s="322">
        <f>Calculations[[#This Row],[A1-3]]+Calculations[[#This Row],[A4]]+Calculations[[#This Row],[A5]]+Calculations[[#This Row],[B4]]+Calculations[[#This Row],[C2 total]]+Calculations[[#This Row],[C3 total]]+Calculations[[#This Row],[C4 total]]</f>
        <v>0</v>
      </c>
      <c r="AJ914" s="2">
        <f>IFERROR(VLOOKUP(Calculations[[#This Row],[Material (choose from dropdown]],MaterialData[[#Headers],[#Data]],9,FALSE),0)</f>
        <v>0</v>
      </c>
      <c r="AK914" s="4">
        <f>IFERROR(VLOOKUP(Calculations[[#This Row],[Material (choose from dropdown]],MaterialData[[#Headers],[#Data]],10,FALSE),0)</f>
        <v>0</v>
      </c>
      <c r="AL914" s="322">
        <f>IFERROR(Calculations[[#This Row],[Data Quality Score]]*Calculations[[#This Row],[Total Kg]],0)</f>
        <v>0</v>
      </c>
    </row>
    <row r="915" spans="1:38" x14ac:dyDescent="0.3">
      <c r="A915" s="6">
        <f>IFERROR(MaterialsBoQ[[#This Row],[Scope Element]],0)</f>
        <v>0</v>
      </c>
      <c r="B915" t="str">
        <f>IFERROR(MaterialsBoQ[[#This Row],[Material ]],"")</f>
        <v/>
      </c>
      <c r="C915" t="str">
        <f>IFERROR(MaterialsBoQ[[#This Row],[Unit]],"")</f>
        <v/>
      </c>
      <c r="D915" s="322">
        <f>IFERROR(MaterialsBoQ[[#This Row],[Number]],0)</f>
        <v>0</v>
      </c>
      <c r="E915" s="322">
        <f>IFERROR(MaterialsBoQ[[#This Row],[Kg per unit]],0)</f>
        <v>0</v>
      </c>
      <c r="F915" s="322">
        <f>IFERROR(Calculations[[#This Row],[Number]]*Calculations[[#This Row],[Conversion factor]],0)</f>
        <v>0</v>
      </c>
      <c r="G915" s="322">
        <f>IFERROR(VLOOKUP(Calculations[[#This Row],[Material (choose from dropdown]],MaterialData[#All],7,FALSE),0)</f>
        <v>0</v>
      </c>
      <c r="H915" s="322">
        <f>Calculations[[#This Row],[Total Kg]]*Calculations[[#This Row],[Carbon Factor]]</f>
        <v>0</v>
      </c>
      <c r="I915" t="str">
        <f>IFERROR(VLOOKUP(Calculations[[#This Row],[Material (choose from dropdown]],MaterialData[#All],2,FALSE),"")</f>
        <v/>
      </c>
      <c r="J915" s="322">
        <f>IFERROR(((VLOOKUP(Calculations[[#This Row],[TransportSource]],TransportDistance[],2,FALSE)*'Stage assumptions'!$C$11)+VLOOKUP(Calculations[[#This Row],[TransportSource]],TransportDistance[],3,FALSE)*'Stage assumptions'!$C$12)*Calculations[[#This Row],[Total Kg]],0)</f>
        <v>0</v>
      </c>
      <c r="K915">
        <f>IFERROR(VLOOKUP(Calculations[[#This Row],[Material (choose from dropdown]], MaterialData[#All],3, FALSE),0)</f>
        <v>0</v>
      </c>
      <c r="L915" s="322">
        <f>IFERROR(VLOOKUP(Calculations[[#This Row],[A5type]],A5WastageRate[#All],2,FALSE)*Calculations[[#This Row],[A1-3]],0)</f>
        <v>0</v>
      </c>
      <c r="N915">
        <f>IFERROR(ROUNDUP(50/VLOOKUP(Calculations[[#This Row],[Scope Element]],B4referenceServiceLife[[Tier 2 element]:[Default Service Life]],2, FALSE)-1,0),0)</f>
        <v>0</v>
      </c>
      <c r="O915" s="322">
        <f>IFERROR((Calculations[[#This Row],[A1-3]]+Calculations[[#This Row],[A4]]+Calculations[[#This Row],[A5]]+Calculations[[#This Row],[C2 total]]+Calculations[[#This Row],[C3 total]]+Calculations[[#This Row],[C4 total]])*Calculations[[#This Row],[Replacements]],0)</f>
        <v>0</v>
      </c>
      <c r="S915" t="str">
        <f>IFERROR(VLOOKUP(Calculations[[#This Row],[Material (choose from dropdown]],MaterialData[#All],4,FALSE),"")</f>
        <v/>
      </c>
      <c r="T915" s="322" cm="1">
        <f t="array" ref="T915">IFERROR(VLOOKUP(Calculations[[#This Row],[Waste 1]],WasteScenario[#All],2,FALSE)*'Stage assumptions'!$C$225*WasteTransportMethod[Emissions Factor
kgCO2e/kg.km]*Calculations[[#This Row],[Total Kg]],0)</f>
        <v>0</v>
      </c>
      <c r="U915" s="322" cm="1">
        <f t="array" ref="U915">IFERROR(VLOOKUP(Calculations[[#This Row],[Waste 1]],WasteScenario[#All],3,FALSE)*'Stage assumptions'!$C$224*WasteTransportMethod[Emissions Factor
kgCO2e/kg.km]*Calculations[[#This Row],[Total Kg]],0)</f>
        <v>0</v>
      </c>
      <c r="V915" s="322" cm="1">
        <f t="array" ref="V915">IFERROR(VLOOKUP(Calculations[[#This Row],[Waste 1]],WasteScenario[#All],4,FALSE)*'Stage assumptions'!$C$223*WasteTransportMethod[Emissions Factor
kgCO2e/kg.km]*Calculations[[#This Row],[Total Kg]],0)</f>
        <v>0</v>
      </c>
      <c r="W915" s="322" cm="1">
        <f t="array" ref="W915">IFERROR(VLOOKUP(Calculations[[#This Row],[Waste 1]],WasteScenario[#All],5,FALSE)*'Stage assumptions'!$C$226*WasteTransportMethod[Emissions Factor
kgCO2e/kg.km]*Calculations[[#This Row],[Total Kg]],0)</f>
        <v>0</v>
      </c>
      <c r="X915" s="322">
        <f>SUM(Calculations[[#This Row],[C2 Recycle]:[C2 Reuse]])</f>
        <v>0</v>
      </c>
      <c r="Y915" t="str">
        <f>IFERROR(VLOOKUP(Calculations[[#This Row],[Material (choose from dropdown]],MaterialData[#All],5,FALSE),"")</f>
        <v/>
      </c>
      <c r="Z915" s="322">
        <f>IFERROR(((VLOOKUP(Calculations[[#This Row],[Waste type 2]],WasteDisposalEmissions[#All],2,FALSE))*Calculations[[#This Row],[Total Kg]])*VLOOKUP(Calculations[[#This Row],[Waste 1]],WasteScenario[#All],2,FALSE),0)</f>
        <v>0</v>
      </c>
      <c r="AA915" s="322">
        <f>IFERROR((VLOOKUP(Calculations[[#This Row],[Waste type 2]],WasteDisposalEmissions[#All],3,FALSE))*Calculations[[#This Row],[Total Kg]]*VLOOKUP(Calculations[[#This Row],[Waste 1]],WasteScenario[#All],3,FALSE),0)</f>
        <v>0</v>
      </c>
      <c r="AB915" s="322">
        <f>SUM(Calculations[[#This Row],[C3 recyc]:[C3 incin]])</f>
        <v>0</v>
      </c>
      <c r="AC915" s="334">
        <f>IFERROR((VLOOKUP(Calculations[[#This Row],[Waste type 2]],WasteLandfillEmissions[#All],2,FALSE))*Calculations[[#This Row],[Total Kg]]*VLOOKUP(Calculations[[#This Row],[Waste 1]],WasteScenario[#All],4,FALSE),0)</f>
        <v>0</v>
      </c>
      <c r="AD915" s="322">
        <f>IFERROR((VLOOKUP(Calculations[[#This Row],[Waste type 2]],WasteLandfillEmissions[#All],3,FALSE))*Calculations[[#This Row],[Total Kg]]*VLOOKUP(Calculations[[#This Row],[Waste 1]],WasteScenario[#All],4,FALSE),0)</f>
        <v>0</v>
      </c>
      <c r="AE915" s="322">
        <f>SUM(Calculations[[#This Row],[C4 landfill]:[C4 re-use]])</f>
        <v>0</v>
      </c>
      <c r="AF915" s="322">
        <f>IFERROR(VLOOKUP(Calculations[[#This Row],[Material (choose from dropdown]],MaterialData[#All],8,FALSE),0)</f>
        <v>0</v>
      </c>
      <c r="AG915" s="322">
        <f>IFERROR(Calculations[[#This Row],[Total Kg]]*Calculations[[#This Row],[Seq factor]],0)</f>
        <v>0</v>
      </c>
      <c r="AI915" s="322">
        <f>Calculations[[#This Row],[A1-3]]+Calculations[[#This Row],[A4]]+Calculations[[#This Row],[A5]]+Calculations[[#This Row],[B4]]+Calculations[[#This Row],[C2 total]]+Calculations[[#This Row],[C3 total]]+Calculations[[#This Row],[C4 total]]</f>
        <v>0</v>
      </c>
      <c r="AJ915" s="2">
        <f>IFERROR(VLOOKUP(Calculations[[#This Row],[Material (choose from dropdown]],MaterialData[[#Headers],[#Data]],9,FALSE),0)</f>
        <v>0</v>
      </c>
      <c r="AK915" s="4">
        <f>IFERROR(VLOOKUP(Calculations[[#This Row],[Material (choose from dropdown]],MaterialData[[#Headers],[#Data]],10,FALSE),0)</f>
        <v>0</v>
      </c>
      <c r="AL915" s="322">
        <f>IFERROR(Calculations[[#This Row],[Data Quality Score]]*Calculations[[#This Row],[Total Kg]],0)</f>
        <v>0</v>
      </c>
    </row>
    <row r="916" spans="1:38" x14ac:dyDescent="0.3">
      <c r="A916" s="6">
        <f>IFERROR(MaterialsBoQ[[#This Row],[Scope Element]],0)</f>
        <v>0</v>
      </c>
      <c r="B916" t="str">
        <f>IFERROR(MaterialsBoQ[[#This Row],[Material ]],"")</f>
        <v/>
      </c>
      <c r="C916" t="str">
        <f>IFERROR(MaterialsBoQ[[#This Row],[Unit]],"")</f>
        <v/>
      </c>
      <c r="D916" s="322">
        <f>IFERROR(MaterialsBoQ[[#This Row],[Number]],0)</f>
        <v>0</v>
      </c>
      <c r="E916" s="322">
        <f>IFERROR(MaterialsBoQ[[#This Row],[Kg per unit]],0)</f>
        <v>0</v>
      </c>
      <c r="F916" s="322">
        <f>IFERROR(Calculations[[#This Row],[Number]]*Calculations[[#This Row],[Conversion factor]],0)</f>
        <v>0</v>
      </c>
      <c r="G916" s="322">
        <f>IFERROR(VLOOKUP(Calculations[[#This Row],[Material (choose from dropdown]],MaterialData[#All],7,FALSE),0)</f>
        <v>0</v>
      </c>
      <c r="H916" s="322">
        <f>Calculations[[#This Row],[Total Kg]]*Calculations[[#This Row],[Carbon Factor]]</f>
        <v>0</v>
      </c>
      <c r="I916" t="str">
        <f>IFERROR(VLOOKUP(Calculations[[#This Row],[Material (choose from dropdown]],MaterialData[#All],2,FALSE),"")</f>
        <v/>
      </c>
      <c r="J916" s="322">
        <f>IFERROR(((VLOOKUP(Calculations[[#This Row],[TransportSource]],TransportDistance[],2,FALSE)*'Stage assumptions'!$C$11)+VLOOKUP(Calculations[[#This Row],[TransportSource]],TransportDistance[],3,FALSE)*'Stage assumptions'!$C$12)*Calculations[[#This Row],[Total Kg]],0)</f>
        <v>0</v>
      </c>
      <c r="K916">
        <f>IFERROR(VLOOKUP(Calculations[[#This Row],[Material (choose from dropdown]], MaterialData[#All],3, FALSE),0)</f>
        <v>0</v>
      </c>
      <c r="L916" s="322">
        <f>IFERROR(VLOOKUP(Calculations[[#This Row],[A5type]],A5WastageRate[#All],2,FALSE)*Calculations[[#This Row],[A1-3]],0)</f>
        <v>0</v>
      </c>
      <c r="N916">
        <f>IFERROR(ROUNDUP(50/VLOOKUP(Calculations[[#This Row],[Scope Element]],B4referenceServiceLife[[Tier 2 element]:[Default Service Life]],2, FALSE)-1,0),0)</f>
        <v>0</v>
      </c>
      <c r="O916" s="322">
        <f>IFERROR((Calculations[[#This Row],[A1-3]]+Calculations[[#This Row],[A4]]+Calculations[[#This Row],[A5]]+Calculations[[#This Row],[C2 total]]+Calculations[[#This Row],[C3 total]]+Calculations[[#This Row],[C4 total]])*Calculations[[#This Row],[Replacements]],0)</f>
        <v>0</v>
      </c>
      <c r="S916" t="str">
        <f>IFERROR(VLOOKUP(Calculations[[#This Row],[Material (choose from dropdown]],MaterialData[#All],4,FALSE),"")</f>
        <v/>
      </c>
      <c r="T916" s="322" cm="1">
        <f t="array" ref="T916">IFERROR(VLOOKUP(Calculations[[#This Row],[Waste 1]],WasteScenario[#All],2,FALSE)*'Stage assumptions'!$C$225*WasteTransportMethod[Emissions Factor
kgCO2e/kg.km]*Calculations[[#This Row],[Total Kg]],0)</f>
        <v>0</v>
      </c>
      <c r="U916" s="322" cm="1">
        <f t="array" ref="U916">IFERROR(VLOOKUP(Calculations[[#This Row],[Waste 1]],WasteScenario[#All],3,FALSE)*'Stage assumptions'!$C$224*WasteTransportMethod[Emissions Factor
kgCO2e/kg.km]*Calculations[[#This Row],[Total Kg]],0)</f>
        <v>0</v>
      </c>
      <c r="V916" s="322" cm="1">
        <f t="array" ref="V916">IFERROR(VLOOKUP(Calculations[[#This Row],[Waste 1]],WasteScenario[#All],4,FALSE)*'Stage assumptions'!$C$223*WasteTransportMethod[Emissions Factor
kgCO2e/kg.km]*Calculations[[#This Row],[Total Kg]],0)</f>
        <v>0</v>
      </c>
      <c r="W916" s="322" cm="1">
        <f t="array" ref="W916">IFERROR(VLOOKUP(Calculations[[#This Row],[Waste 1]],WasteScenario[#All],5,FALSE)*'Stage assumptions'!$C$226*WasteTransportMethod[Emissions Factor
kgCO2e/kg.km]*Calculations[[#This Row],[Total Kg]],0)</f>
        <v>0</v>
      </c>
      <c r="X916" s="322">
        <f>SUM(Calculations[[#This Row],[C2 Recycle]:[C2 Reuse]])</f>
        <v>0</v>
      </c>
      <c r="Y916" t="str">
        <f>IFERROR(VLOOKUP(Calculations[[#This Row],[Material (choose from dropdown]],MaterialData[#All],5,FALSE),"")</f>
        <v/>
      </c>
      <c r="Z916" s="322">
        <f>IFERROR(((VLOOKUP(Calculations[[#This Row],[Waste type 2]],WasteDisposalEmissions[#All],2,FALSE))*Calculations[[#This Row],[Total Kg]])*VLOOKUP(Calculations[[#This Row],[Waste 1]],WasteScenario[#All],2,FALSE),0)</f>
        <v>0</v>
      </c>
      <c r="AA916" s="322">
        <f>IFERROR((VLOOKUP(Calculations[[#This Row],[Waste type 2]],WasteDisposalEmissions[#All],3,FALSE))*Calculations[[#This Row],[Total Kg]]*VLOOKUP(Calculations[[#This Row],[Waste 1]],WasteScenario[#All],3,FALSE),0)</f>
        <v>0</v>
      </c>
      <c r="AB916" s="322">
        <f>SUM(Calculations[[#This Row],[C3 recyc]:[C3 incin]])</f>
        <v>0</v>
      </c>
      <c r="AC916" s="334">
        <f>IFERROR((VLOOKUP(Calculations[[#This Row],[Waste type 2]],WasteLandfillEmissions[#All],2,FALSE))*Calculations[[#This Row],[Total Kg]]*VLOOKUP(Calculations[[#This Row],[Waste 1]],WasteScenario[#All],4,FALSE),0)</f>
        <v>0</v>
      </c>
      <c r="AD916" s="322">
        <f>IFERROR((VLOOKUP(Calculations[[#This Row],[Waste type 2]],WasteLandfillEmissions[#All],3,FALSE))*Calculations[[#This Row],[Total Kg]]*VLOOKUP(Calculations[[#This Row],[Waste 1]],WasteScenario[#All],4,FALSE),0)</f>
        <v>0</v>
      </c>
      <c r="AE916" s="322">
        <f>SUM(Calculations[[#This Row],[C4 landfill]:[C4 re-use]])</f>
        <v>0</v>
      </c>
      <c r="AF916" s="322">
        <f>IFERROR(VLOOKUP(Calculations[[#This Row],[Material (choose from dropdown]],MaterialData[#All],8,FALSE),0)</f>
        <v>0</v>
      </c>
      <c r="AG916" s="322">
        <f>IFERROR(Calculations[[#This Row],[Total Kg]]*Calculations[[#This Row],[Seq factor]],0)</f>
        <v>0</v>
      </c>
      <c r="AI916" s="322">
        <f>Calculations[[#This Row],[A1-3]]+Calculations[[#This Row],[A4]]+Calculations[[#This Row],[A5]]+Calculations[[#This Row],[B4]]+Calculations[[#This Row],[C2 total]]+Calculations[[#This Row],[C3 total]]+Calculations[[#This Row],[C4 total]]</f>
        <v>0</v>
      </c>
      <c r="AJ916" s="2">
        <f>IFERROR(VLOOKUP(Calculations[[#This Row],[Material (choose from dropdown]],MaterialData[[#Headers],[#Data]],9,FALSE),0)</f>
        <v>0</v>
      </c>
      <c r="AK916" s="4">
        <f>IFERROR(VLOOKUP(Calculations[[#This Row],[Material (choose from dropdown]],MaterialData[[#Headers],[#Data]],10,FALSE),0)</f>
        <v>0</v>
      </c>
      <c r="AL916" s="322">
        <f>IFERROR(Calculations[[#This Row],[Data Quality Score]]*Calculations[[#This Row],[Total Kg]],0)</f>
        <v>0</v>
      </c>
    </row>
    <row r="917" spans="1:38" x14ac:dyDescent="0.3">
      <c r="A917" s="6">
        <f>IFERROR(MaterialsBoQ[[#This Row],[Scope Element]],0)</f>
        <v>0</v>
      </c>
      <c r="B917" t="str">
        <f>IFERROR(MaterialsBoQ[[#This Row],[Material ]],"")</f>
        <v/>
      </c>
      <c r="C917" t="str">
        <f>IFERROR(MaterialsBoQ[[#This Row],[Unit]],"")</f>
        <v/>
      </c>
      <c r="D917" s="322">
        <f>IFERROR(MaterialsBoQ[[#This Row],[Number]],0)</f>
        <v>0</v>
      </c>
      <c r="E917" s="322">
        <f>IFERROR(MaterialsBoQ[[#This Row],[Kg per unit]],0)</f>
        <v>0</v>
      </c>
      <c r="F917" s="322">
        <f>IFERROR(Calculations[[#This Row],[Number]]*Calculations[[#This Row],[Conversion factor]],0)</f>
        <v>0</v>
      </c>
      <c r="G917" s="322">
        <f>IFERROR(VLOOKUP(Calculations[[#This Row],[Material (choose from dropdown]],MaterialData[#All],7,FALSE),0)</f>
        <v>0</v>
      </c>
      <c r="H917" s="322">
        <f>Calculations[[#This Row],[Total Kg]]*Calculations[[#This Row],[Carbon Factor]]</f>
        <v>0</v>
      </c>
      <c r="I917" t="str">
        <f>IFERROR(VLOOKUP(Calculations[[#This Row],[Material (choose from dropdown]],MaterialData[#All],2,FALSE),"")</f>
        <v/>
      </c>
      <c r="J917" s="322">
        <f>IFERROR(((VLOOKUP(Calculations[[#This Row],[TransportSource]],TransportDistance[],2,FALSE)*'Stage assumptions'!$C$11)+VLOOKUP(Calculations[[#This Row],[TransportSource]],TransportDistance[],3,FALSE)*'Stage assumptions'!$C$12)*Calculations[[#This Row],[Total Kg]],0)</f>
        <v>0</v>
      </c>
      <c r="K917">
        <f>IFERROR(VLOOKUP(Calculations[[#This Row],[Material (choose from dropdown]], MaterialData[#All],3, FALSE),0)</f>
        <v>0</v>
      </c>
      <c r="L917" s="322">
        <f>IFERROR(VLOOKUP(Calculations[[#This Row],[A5type]],A5WastageRate[#All],2,FALSE)*Calculations[[#This Row],[A1-3]],0)</f>
        <v>0</v>
      </c>
      <c r="N917">
        <f>IFERROR(ROUNDUP(50/VLOOKUP(Calculations[[#This Row],[Scope Element]],B4referenceServiceLife[[Tier 2 element]:[Default Service Life]],2, FALSE)-1,0),0)</f>
        <v>0</v>
      </c>
      <c r="O917" s="322">
        <f>IFERROR((Calculations[[#This Row],[A1-3]]+Calculations[[#This Row],[A4]]+Calculations[[#This Row],[A5]]+Calculations[[#This Row],[C2 total]]+Calculations[[#This Row],[C3 total]]+Calculations[[#This Row],[C4 total]])*Calculations[[#This Row],[Replacements]],0)</f>
        <v>0</v>
      </c>
      <c r="S917" t="str">
        <f>IFERROR(VLOOKUP(Calculations[[#This Row],[Material (choose from dropdown]],MaterialData[#All],4,FALSE),"")</f>
        <v/>
      </c>
      <c r="T917" s="322" cm="1">
        <f t="array" ref="T917">IFERROR(VLOOKUP(Calculations[[#This Row],[Waste 1]],WasteScenario[#All],2,FALSE)*'Stage assumptions'!$C$225*WasteTransportMethod[Emissions Factor
kgCO2e/kg.km]*Calculations[[#This Row],[Total Kg]],0)</f>
        <v>0</v>
      </c>
      <c r="U917" s="322" cm="1">
        <f t="array" ref="U917">IFERROR(VLOOKUP(Calculations[[#This Row],[Waste 1]],WasteScenario[#All],3,FALSE)*'Stage assumptions'!$C$224*WasteTransportMethod[Emissions Factor
kgCO2e/kg.km]*Calculations[[#This Row],[Total Kg]],0)</f>
        <v>0</v>
      </c>
      <c r="V917" s="322" cm="1">
        <f t="array" ref="V917">IFERROR(VLOOKUP(Calculations[[#This Row],[Waste 1]],WasteScenario[#All],4,FALSE)*'Stage assumptions'!$C$223*WasteTransportMethod[Emissions Factor
kgCO2e/kg.km]*Calculations[[#This Row],[Total Kg]],0)</f>
        <v>0</v>
      </c>
      <c r="W917" s="322" cm="1">
        <f t="array" ref="W917">IFERROR(VLOOKUP(Calculations[[#This Row],[Waste 1]],WasteScenario[#All],5,FALSE)*'Stage assumptions'!$C$226*WasteTransportMethod[Emissions Factor
kgCO2e/kg.km]*Calculations[[#This Row],[Total Kg]],0)</f>
        <v>0</v>
      </c>
      <c r="X917" s="322">
        <f>SUM(Calculations[[#This Row],[C2 Recycle]:[C2 Reuse]])</f>
        <v>0</v>
      </c>
      <c r="Y917" t="str">
        <f>IFERROR(VLOOKUP(Calculations[[#This Row],[Material (choose from dropdown]],MaterialData[#All],5,FALSE),"")</f>
        <v/>
      </c>
      <c r="Z917" s="322">
        <f>IFERROR(((VLOOKUP(Calculations[[#This Row],[Waste type 2]],WasteDisposalEmissions[#All],2,FALSE))*Calculations[[#This Row],[Total Kg]])*VLOOKUP(Calculations[[#This Row],[Waste 1]],WasteScenario[#All],2,FALSE),0)</f>
        <v>0</v>
      </c>
      <c r="AA917" s="322">
        <f>IFERROR((VLOOKUP(Calculations[[#This Row],[Waste type 2]],WasteDisposalEmissions[#All],3,FALSE))*Calculations[[#This Row],[Total Kg]]*VLOOKUP(Calculations[[#This Row],[Waste 1]],WasteScenario[#All],3,FALSE),0)</f>
        <v>0</v>
      </c>
      <c r="AB917" s="322">
        <f>SUM(Calculations[[#This Row],[C3 recyc]:[C3 incin]])</f>
        <v>0</v>
      </c>
      <c r="AC917" s="334">
        <f>IFERROR((VLOOKUP(Calculations[[#This Row],[Waste type 2]],WasteLandfillEmissions[#All],2,FALSE))*Calculations[[#This Row],[Total Kg]]*VLOOKUP(Calculations[[#This Row],[Waste 1]],WasteScenario[#All],4,FALSE),0)</f>
        <v>0</v>
      </c>
      <c r="AD917" s="322">
        <f>IFERROR((VLOOKUP(Calculations[[#This Row],[Waste type 2]],WasteLandfillEmissions[#All],3,FALSE))*Calculations[[#This Row],[Total Kg]]*VLOOKUP(Calculations[[#This Row],[Waste 1]],WasteScenario[#All],4,FALSE),0)</f>
        <v>0</v>
      </c>
      <c r="AE917" s="322">
        <f>SUM(Calculations[[#This Row],[C4 landfill]:[C4 re-use]])</f>
        <v>0</v>
      </c>
      <c r="AF917" s="322">
        <f>IFERROR(VLOOKUP(Calculations[[#This Row],[Material (choose from dropdown]],MaterialData[#All],8,FALSE),0)</f>
        <v>0</v>
      </c>
      <c r="AG917" s="322">
        <f>IFERROR(Calculations[[#This Row],[Total Kg]]*Calculations[[#This Row],[Seq factor]],0)</f>
        <v>0</v>
      </c>
      <c r="AI917" s="322">
        <f>Calculations[[#This Row],[A1-3]]+Calculations[[#This Row],[A4]]+Calculations[[#This Row],[A5]]+Calculations[[#This Row],[B4]]+Calculations[[#This Row],[C2 total]]+Calculations[[#This Row],[C3 total]]+Calculations[[#This Row],[C4 total]]</f>
        <v>0</v>
      </c>
      <c r="AJ917" s="2">
        <f>IFERROR(VLOOKUP(Calculations[[#This Row],[Material (choose from dropdown]],MaterialData[[#Headers],[#Data]],9,FALSE),0)</f>
        <v>0</v>
      </c>
      <c r="AK917" s="4">
        <f>IFERROR(VLOOKUP(Calculations[[#This Row],[Material (choose from dropdown]],MaterialData[[#Headers],[#Data]],10,FALSE),0)</f>
        <v>0</v>
      </c>
      <c r="AL917" s="322">
        <f>IFERROR(Calculations[[#This Row],[Data Quality Score]]*Calculations[[#This Row],[Total Kg]],0)</f>
        <v>0</v>
      </c>
    </row>
    <row r="918" spans="1:38" x14ac:dyDescent="0.3">
      <c r="A918" s="6">
        <f>IFERROR(MaterialsBoQ[[#This Row],[Scope Element]],0)</f>
        <v>0</v>
      </c>
      <c r="B918" t="str">
        <f>IFERROR(MaterialsBoQ[[#This Row],[Material ]],"")</f>
        <v/>
      </c>
      <c r="C918" t="str">
        <f>IFERROR(MaterialsBoQ[[#This Row],[Unit]],"")</f>
        <v/>
      </c>
      <c r="D918" s="322">
        <f>IFERROR(MaterialsBoQ[[#This Row],[Number]],0)</f>
        <v>0</v>
      </c>
      <c r="E918" s="322">
        <f>IFERROR(MaterialsBoQ[[#This Row],[Kg per unit]],0)</f>
        <v>0</v>
      </c>
      <c r="F918" s="322">
        <f>IFERROR(Calculations[[#This Row],[Number]]*Calculations[[#This Row],[Conversion factor]],0)</f>
        <v>0</v>
      </c>
      <c r="G918" s="322">
        <f>IFERROR(VLOOKUP(Calculations[[#This Row],[Material (choose from dropdown]],MaterialData[#All],7,FALSE),0)</f>
        <v>0</v>
      </c>
      <c r="H918" s="322">
        <f>Calculations[[#This Row],[Total Kg]]*Calculations[[#This Row],[Carbon Factor]]</f>
        <v>0</v>
      </c>
      <c r="I918" t="str">
        <f>IFERROR(VLOOKUP(Calculations[[#This Row],[Material (choose from dropdown]],MaterialData[#All],2,FALSE),"")</f>
        <v/>
      </c>
      <c r="J918" s="322">
        <f>IFERROR(((VLOOKUP(Calculations[[#This Row],[TransportSource]],TransportDistance[],2,FALSE)*'Stage assumptions'!$C$11)+VLOOKUP(Calculations[[#This Row],[TransportSource]],TransportDistance[],3,FALSE)*'Stage assumptions'!$C$12)*Calculations[[#This Row],[Total Kg]],0)</f>
        <v>0</v>
      </c>
      <c r="K918">
        <f>IFERROR(VLOOKUP(Calculations[[#This Row],[Material (choose from dropdown]], MaterialData[#All],3, FALSE),0)</f>
        <v>0</v>
      </c>
      <c r="L918" s="322">
        <f>IFERROR(VLOOKUP(Calculations[[#This Row],[A5type]],A5WastageRate[#All],2,FALSE)*Calculations[[#This Row],[A1-3]],0)</f>
        <v>0</v>
      </c>
      <c r="N918">
        <f>IFERROR(ROUNDUP(50/VLOOKUP(Calculations[[#This Row],[Scope Element]],B4referenceServiceLife[[Tier 2 element]:[Default Service Life]],2, FALSE)-1,0),0)</f>
        <v>0</v>
      </c>
      <c r="O918" s="322">
        <f>IFERROR((Calculations[[#This Row],[A1-3]]+Calculations[[#This Row],[A4]]+Calculations[[#This Row],[A5]]+Calculations[[#This Row],[C2 total]]+Calculations[[#This Row],[C3 total]]+Calculations[[#This Row],[C4 total]])*Calculations[[#This Row],[Replacements]],0)</f>
        <v>0</v>
      </c>
      <c r="S918" t="str">
        <f>IFERROR(VLOOKUP(Calculations[[#This Row],[Material (choose from dropdown]],MaterialData[#All],4,FALSE),"")</f>
        <v/>
      </c>
      <c r="T918" s="322" cm="1">
        <f t="array" ref="T918">IFERROR(VLOOKUP(Calculations[[#This Row],[Waste 1]],WasteScenario[#All],2,FALSE)*'Stage assumptions'!$C$225*WasteTransportMethod[Emissions Factor
kgCO2e/kg.km]*Calculations[[#This Row],[Total Kg]],0)</f>
        <v>0</v>
      </c>
      <c r="U918" s="322" cm="1">
        <f t="array" ref="U918">IFERROR(VLOOKUP(Calculations[[#This Row],[Waste 1]],WasteScenario[#All],3,FALSE)*'Stage assumptions'!$C$224*WasteTransportMethod[Emissions Factor
kgCO2e/kg.km]*Calculations[[#This Row],[Total Kg]],0)</f>
        <v>0</v>
      </c>
      <c r="V918" s="322" cm="1">
        <f t="array" ref="V918">IFERROR(VLOOKUP(Calculations[[#This Row],[Waste 1]],WasteScenario[#All],4,FALSE)*'Stage assumptions'!$C$223*WasteTransportMethod[Emissions Factor
kgCO2e/kg.km]*Calculations[[#This Row],[Total Kg]],0)</f>
        <v>0</v>
      </c>
      <c r="W918" s="322" cm="1">
        <f t="array" ref="W918">IFERROR(VLOOKUP(Calculations[[#This Row],[Waste 1]],WasteScenario[#All],5,FALSE)*'Stage assumptions'!$C$226*WasteTransportMethod[Emissions Factor
kgCO2e/kg.km]*Calculations[[#This Row],[Total Kg]],0)</f>
        <v>0</v>
      </c>
      <c r="X918" s="322">
        <f>SUM(Calculations[[#This Row],[C2 Recycle]:[C2 Reuse]])</f>
        <v>0</v>
      </c>
      <c r="Y918" t="str">
        <f>IFERROR(VLOOKUP(Calculations[[#This Row],[Material (choose from dropdown]],MaterialData[#All],5,FALSE),"")</f>
        <v/>
      </c>
      <c r="Z918" s="322">
        <f>IFERROR(((VLOOKUP(Calculations[[#This Row],[Waste type 2]],WasteDisposalEmissions[#All],2,FALSE))*Calculations[[#This Row],[Total Kg]])*VLOOKUP(Calculations[[#This Row],[Waste 1]],WasteScenario[#All],2,FALSE),0)</f>
        <v>0</v>
      </c>
      <c r="AA918" s="322">
        <f>IFERROR((VLOOKUP(Calculations[[#This Row],[Waste type 2]],WasteDisposalEmissions[#All],3,FALSE))*Calculations[[#This Row],[Total Kg]]*VLOOKUP(Calculations[[#This Row],[Waste 1]],WasteScenario[#All],3,FALSE),0)</f>
        <v>0</v>
      </c>
      <c r="AB918" s="322">
        <f>SUM(Calculations[[#This Row],[C3 recyc]:[C3 incin]])</f>
        <v>0</v>
      </c>
      <c r="AC918" s="334">
        <f>IFERROR((VLOOKUP(Calculations[[#This Row],[Waste type 2]],WasteLandfillEmissions[#All],2,FALSE))*Calculations[[#This Row],[Total Kg]]*VLOOKUP(Calculations[[#This Row],[Waste 1]],WasteScenario[#All],4,FALSE),0)</f>
        <v>0</v>
      </c>
      <c r="AD918" s="322">
        <f>IFERROR((VLOOKUP(Calculations[[#This Row],[Waste type 2]],WasteLandfillEmissions[#All],3,FALSE))*Calculations[[#This Row],[Total Kg]]*VLOOKUP(Calculations[[#This Row],[Waste 1]],WasteScenario[#All],4,FALSE),0)</f>
        <v>0</v>
      </c>
      <c r="AE918" s="322">
        <f>SUM(Calculations[[#This Row],[C4 landfill]:[C4 re-use]])</f>
        <v>0</v>
      </c>
      <c r="AF918" s="322">
        <f>IFERROR(VLOOKUP(Calculations[[#This Row],[Material (choose from dropdown]],MaterialData[#All],8,FALSE),0)</f>
        <v>0</v>
      </c>
      <c r="AG918" s="322">
        <f>IFERROR(Calculations[[#This Row],[Total Kg]]*Calculations[[#This Row],[Seq factor]],0)</f>
        <v>0</v>
      </c>
      <c r="AI918" s="322">
        <f>Calculations[[#This Row],[A1-3]]+Calculations[[#This Row],[A4]]+Calculations[[#This Row],[A5]]+Calculations[[#This Row],[B4]]+Calculations[[#This Row],[C2 total]]+Calculations[[#This Row],[C3 total]]+Calculations[[#This Row],[C4 total]]</f>
        <v>0</v>
      </c>
      <c r="AJ918" s="2">
        <f>IFERROR(VLOOKUP(Calculations[[#This Row],[Material (choose from dropdown]],MaterialData[[#Headers],[#Data]],9,FALSE),0)</f>
        <v>0</v>
      </c>
      <c r="AK918" s="4">
        <f>IFERROR(VLOOKUP(Calculations[[#This Row],[Material (choose from dropdown]],MaterialData[[#Headers],[#Data]],10,FALSE),0)</f>
        <v>0</v>
      </c>
      <c r="AL918" s="322">
        <f>IFERROR(Calculations[[#This Row],[Data Quality Score]]*Calculations[[#This Row],[Total Kg]],0)</f>
        <v>0</v>
      </c>
    </row>
    <row r="919" spans="1:38" x14ac:dyDescent="0.3">
      <c r="A919" s="6">
        <f>IFERROR(MaterialsBoQ[[#This Row],[Scope Element]],0)</f>
        <v>0</v>
      </c>
      <c r="B919" t="str">
        <f>IFERROR(MaterialsBoQ[[#This Row],[Material ]],"")</f>
        <v/>
      </c>
      <c r="C919" t="str">
        <f>IFERROR(MaterialsBoQ[[#This Row],[Unit]],"")</f>
        <v/>
      </c>
      <c r="D919" s="322">
        <f>IFERROR(MaterialsBoQ[[#This Row],[Number]],0)</f>
        <v>0</v>
      </c>
      <c r="E919" s="322">
        <f>IFERROR(MaterialsBoQ[[#This Row],[Kg per unit]],0)</f>
        <v>0</v>
      </c>
      <c r="F919" s="322">
        <f>IFERROR(Calculations[[#This Row],[Number]]*Calculations[[#This Row],[Conversion factor]],0)</f>
        <v>0</v>
      </c>
      <c r="G919" s="322">
        <f>IFERROR(VLOOKUP(Calculations[[#This Row],[Material (choose from dropdown]],MaterialData[#All],7,FALSE),0)</f>
        <v>0</v>
      </c>
      <c r="H919" s="322">
        <f>Calculations[[#This Row],[Total Kg]]*Calculations[[#This Row],[Carbon Factor]]</f>
        <v>0</v>
      </c>
      <c r="I919" t="str">
        <f>IFERROR(VLOOKUP(Calculations[[#This Row],[Material (choose from dropdown]],MaterialData[#All],2,FALSE),"")</f>
        <v/>
      </c>
      <c r="J919" s="322">
        <f>IFERROR(((VLOOKUP(Calculations[[#This Row],[TransportSource]],TransportDistance[],2,FALSE)*'Stage assumptions'!$C$11)+VLOOKUP(Calculations[[#This Row],[TransportSource]],TransportDistance[],3,FALSE)*'Stage assumptions'!$C$12)*Calculations[[#This Row],[Total Kg]],0)</f>
        <v>0</v>
      </c>
      <c r="K919">
        <f>IFERROR(VLOOKUP(Calculations[[#This Row],[Material (choose from dropdown]], MaterialData[#All],3, FALSE),0)</f>
        <v>0</v>
      </c>
      <c r="L919" s="322">
        <f>IFERROR(VLOOKUP(Calculations[[#This Row],[A5type]],A5WastageRate[#All],2,FALSE)*Calculations[[#This Row],[A1-3]],0)</f>
        <v>0</v>
      </c>
      <c r="N919">
        <f>IFERROR(ROUNDUP(50/VLOOKUP(Calculations[[#This Row],[Scope Element]],B4referenceServiceLife[[Tier 2 element]:[Default Service Life]],2, FALSE)-1,0),0)</f>
        <v>0</v>
      </c>
      <c r="O919" s="322">
        <f>IFERROR((Calculations[[#This Row],[A1-3]]+Calculations[[#This Row],[A4]]+Calculations[[#This Row],[A5]]+Calculations[[#This Row],[C2 total]]+Calculations[[#This Row],[C3 total]]+Calculations[[#This Row],[C4 total]])*Calculations[[#This Row],[Replacements]],0)</f>
        <v>0</v>
      </c>
      <c r="S919" t="str">
        <f>IFERROR(VLOOKUP(Calculations[[#This Row],[Material (choose from dropdown]],MaterialData[#All],4,FALSE),"")</f>
        <v/>
      </c>
      <c r="T919" s="322" cm="1">
        <f t="array" ref="T919">IFERROR(VLOOKUP(Calculations[[#This Row],[Waste 1]],WasteScenario[#All],2,FALSE)*'Stage assumptions'!$C$225*WasteTransportMethod[Emissions Factor
kgCO2e/kg.km]*Calculations[[#This Row],[Total Kg]],0)</f>
        <v>0</v>
      </c>
      <c r="U919" s="322" cm="1">
        <f t="array" ref="U919">IFERROR(VLOOKUP(Calculations[[#This Row],[Waste 1]],WasteScenario[#All],3,FALSE)*'Stage assumptions'!$C$224*WasteTransportMethod[Emissions Factor
kgCO2e/kg.km]*Calculations[[#This Row],[Total Kg]],0)</f>
        <v>0</v>
      </c>
      <c r="V919" s="322" cm="1">
        <f t="array" ref="V919">IFERROR(VLOOKUP(Calculations[[#This Row],[Waste 1]],WasteScenario[#All],4,FALSE)*'Stage assumptions'!$C$223*WasteTransportMethod[Emissions Factor
kgCO2e/kg.km]*Calculations[[#This Row],[Total Kg]],0)</f>
        <v>0</v>
      </c>
      <c r="W919" s="322" cm="1">
        <f t="array" ref="W919">IFERROR(VLOOKUP(Calculations[[#This Row],[Waste 1]],WasteScenario[#All],5,FALSE)*'Stage assumptions'!$C$226*WasteTransportMethod[Emissions Factor
kgCO2e/kg.km]*Calculations[[#This Row],[Total Kg]],0)</f>
        <v>0</v>
      </c>
      <c r="X919" s="322">
        <f>SUM(Calculations[[#This Row],[C2 Recycle]:[C2 Reuse]])</f>
        <v>0</v>
      </c>
      <c r="Y919" t="str">
        <f>IFERROR(VLOOKUP(Calculations[[#This Row],[Material (choose from dropdown]],MaterialData[#All],5,FALSE),"")</f>
        <v/>
      </c>
      <c r="Z919" s="322">
        <f>IFERROR(((VLOOKUP(Calculations[[#This Row],[Waste type 2]],WasteDisposalEmissions[#All],2,FALSE))*Calculations[[#This Row],[Total Kg]])*VLOOKUP(Calculations[[#This Row],[Waste 1]],WasteScenario[#All],2,FALSE),0)</f>
        <v>0</v>
      </c>
      <c r="AA919" s="322">
        <f>IFERROR((VLOOKUP(Calculations[[#This Row],[Waste type 2]],WasteDisposalEmissions[#All],3,FALSE))*Calculations[[#This Row],[Total Kg]]*VLOOKUP(Calculations[[#This Row],[Waste 1]],WasteScenario[#All],3,FALSE),0)</f>
        <v>0</v>
      </c>
      <c r="AB919" s="322">
        <f>SUM(Calculations[[#This Row],[C3 recyc]:[C3 incin]])</f>
        <v>0</v>
      </c>
      <c r="AC919" s="334">
        <f>IFERROR((VLOOKUP(Calculations[[#This Row],[Waste type 2]],WasteLandfillEmissions[#All],2,FALSE))*Calculations[[#This Row],[Total Kg]]*VLOOKUP(Calculations[[#This Row],[Waste 1]],WasteScenario[#All],4,FALSE),0)</f>
        <v>0</v>
      </c>
      <c r="AD919" s="322">
        <f>IFERROR((VLOOKUP(Calculations[[#This Row],[Waste type 2]],WasteLandfillEmissions[#All],3,FALSE))*Calculations[[#This Row],[Total Kg]]*VLOOKUP(Calculations[[#This Row],[Waste 1]],WasteScenario[#All],4,FALSE),0)</f>
        <v>0</v>
      </c>
      <c r="AE919" s="322">
        <f>SUM(Calculations[[#This Row],[C4 landfill]:[C4 re-use]])</f>
        <v>0</v>
      </c>
      <c r="AF919" s="322">
        <f>IFERROR(VLOOKUP(Calculations[[#This Row],[Material (choose from dropdown]],MaterialData[#All],8,FALSE),0)</f>
        <v>0</v>
      </c>
      <c r="AG919" s="322">
        <f>IFERROR(Calculations[[#This Row],[Total Kg]]*Calculations[[#This Row],[Seq factor]],0)</f>
        <v>0</v>
      </c>
      <c r="AI919" s="322">
        <f>Calculations[[#This Row],[A1-3]]+Calculations[[#This Row],[A4]]+Calculations[[#This Row],[A5]]+Calculations[[#This Row],[B4]]+Calculations[[#This Row],[C2 total]]+Calculations[[#This Row],[C3 total]]+Calculations[[#This Row],[C4 total]]</f>
        <v>0</v>
      </c>
      <c r="AJ919" s="2">
        <f>IFERROR(VLOOKUP(Calculations[[#This Row],[Material (choose from dropdown]],MaterialData[[#Headers],[#Data]],9,FALSE),0)</f>
        <v>0</v>
      </c>
      <c r="AK919" s="4">
        <f>IFERROR(VLOOKUP(Calculations[[#This Row],[Material (choose from dropdown]],MaterialData[[#Headers],[#Data]],10,FALSE),0)</f>
        <v>0</v>
      </c>
      <c r="AL919" s="322">
        <f>IFERROR(Calculations[[#This Row],[Data Quality Score]]*Calculations[[#This Row],[Total Kg]],0)</f>
        <v>0</v>
      </c>
    </row>
    <row r="920" spans="1:38" x14ac:dyDescent="0.3">
      <c r="A920" s="6">
        <f>IFERROR(MaterialsBoQ[[#This Row],[Scope Element]],0)</f>
        <v>0</v>
      </c>
      <c r="B920" t="str">
        <f>IFERROR(MaterialsBoQ[[#This Row],[Material ]],"")</f>
        <v/>
      </c>
      <c r="C920" t="str">
        <f>IFERROR(MaterialsBoQ[[#This Row],[Unit]],"")</f>
        <v/>
      </c>
      <c r="D920" s="322">
        <f>IFERROR(MaterialsBoQ[[#This Row],[Number]],0)</f>
        <v>0</v>
      </c>
      <c r="E920" s="322">
        <f>IFERROR(MaterialsBoQ[[#This Row],[Kg per unit]],0)</f>
        <v>0</v>
      </c>
      <c r="F920" s="322">
        <f>IFERROR(Calculations[[#This Row],[Number]]*Calculations[[#This Row],[Conversion factor]],0)</f>
        <v>0</v>
      </c>
      <c r="G920" s="322">
        <f>IFERROR(VLOOKUP(Calculations[[#This Row],[Material (choose from dropdown]],MaterialData[#All],7,FALSE),0)</f>
        <v>0</v>
      </c>
      <c r="H920" s="322">
        <f>Calculations[[#This Row],[Total Kg]]*Calculations[[#This Row],[Carbon Factor]]</f>
        <v>0</v>
      </c>
      <c r="I920" t="str">
        <f>IFERROR(VLOOKUP(Calculations[[#This Row],[Material (choose from dropdown]],MaterialData[#All],2,FALSE),"")</f>
        <v/>
      </c>
      <c r="J920" s="322">
        <f>IFERROR(((VLOOKUP(Calculations[[#This Row],[TransportSource]],TransportDistance[],2,FALSE)*'Stage assumptions'!$C$11)+VLOOKUP(Calculations[[#This Row],[TransportSource]],TransportDistance[],3,FALSE)*'Stage assumptions'!$C$12)*Calculations[[#This Row],[Total Kg]],0)</f>
        <v>0</v>
      </c>
      <c r="K920">
        <f>IFERROR(VLOOKUP(Calculations[[#This Row],[Material (choose from dropdown]], MaterialData[#All],3, FALSE),0)</f>
        <v>0</v>
      </c>
      <c r="L920" s="322">
        <f>IFERROR(VLOOKUP(Calculations[[#This Row],[A5type]],A5WastageRate[#All],2,FALSE)*Calculations[[#This Row],[A1-3]],0)</f>
        <v>0</v>
      </c>
      <c r="N920">
        <f>IFERROR(ROUNDUP(50/VLOOKUP(Calculations[[#This Row],[Scope Element]],B4referenceServiceLife[[Tier 2 element]:[Default Service Life]],2, FALSE)-1,0),0)</f>
        <v>0</v>
      </c>
      <c r="O920" s="322">
        <f>IFERROR((Calculations[[#This Row],[A1-3]]+Calculations[[#This Row],[A4]]+Calculations[[#This Row],[A5]]+Calculations[[#This Row],[C2 total]]+Calculations[[#This Row],[C3 total]]+Calculations[[#This Row],[C4 total]])*Calculations[[#This Row],[Replacements]],0)</f>
        <v>0</v>
      </c>
      <c r="S920" t="str">
        <f>IFERROR(VLOOKUP(Calculations[[#This Row],[Material (choose from dropdown]],MaterialData[#All],4,FALSE),"")</f>
        <v/>
      </c>
      <c r="T920" s="322" cm="1">
        <f t="array" ref="T920">IFERROR(VLOOKUP(Calculations[[#This Row],[Waste 1]],WasteScenario[#All],2,FALSE)*'Stage assumptions'!$C$225*WasteTransportMethod[Emissions Factor
kgCO2e/kg.km]*Calculations[[#This Row],[Total Kg]],0)</f>
        <v>0</v>
      </c>
      <c r="U920" s="322" cm="1">
        <f t="array" ref="U920">IFERROR(VLOOKUP(Calculations[[#This Row],[Waste 1]],WasteScenario[#All],3,FALSE)*'Stage assumptions'!$C$224*WasteTransportMethod[Emissions Factor
kgCO2e/kg.km]*Calculations[[#This Row],[Total Kg]],0)</f>
        <v>0</v>
      </c>
      <c r="V920" s="322" cm="1">
        <f t="array" ref="V920">IFERROR(VLOOKUP(Calculations[[#This Row],[Waste 1]],WasteScenario[#All],4,FALSE)*'Stage assumptions'!$C$223*WasteTransportMethod[Emissions Factor
kgCO2e/kg.km]*Calculations[[#This Row],[Total Kg]],0)</f>
        <v>0</v>
      </c>
      <c r="W920" s="322" cm="1">
        <f t="array" ref="W920">IFERROR(VLOOKUP(Calculations[[#This Row],[Waste 1]],WasteScenario[#All],5,FALSE)*'Stage assumptions'!$C$226*WasteTransportMethod[Emissions Factor
kgCO2e/kg.km]*Calculations[[#This Row],[Total Kg]],0)</f>
        <v>0</v>
      </c>
      <c r="X920" s="322">
        <f>SUM(Calculations[[#This Row],[C2 Recycle]:[C2 Reuse]])</f>
        <v>0</v>
      </c>
      <c r="Y920" t="str">
        <f>IFERROR(VLOOKUP(Calculations[[#This Row],[Material (choose from dropdown]],MaterialData[#All],5,FALSE),"")</f>
        <v/>
      </c>
      <c r="Z920" s="322">
        <f>IFERROR(((VLOOKUP(Calculations[[#This Row],[Waste type 2]],WasteDisposalEmissions[#All],2,FALSE))*Calculations[[#This Row],[Total Kg]])*VLOOKUP(Calculations[[#This Row],[Waste 1]],WasteScenario[#All],2,FALSE),0)</f>
        <v>0</v>
      </c>
      <c r="AA920" s="322">
        <f>IFERROR((VLOOKUP(Calculations[[#This Row],[Waste type 2]],WasteDisposalEmissions[#All],3,FALSE))*Calculations[[#This Row],[Total Kg]]*VLOOKUP(Calculations[[#This Row],[Waste 1]],WasteScenario[#All],3,FALSE),0)</f>
        <v>0</v>
      </c>
      <c r="AB920" s="322">
        <f>SUM(Calculations[[#This Row],[C3 recyc]:[C3 incin]])</f>
        <v>0</v>
      </c>
      <c r="AC920" s="334">
        <f>IFERROR((VLOOKUP(Calculations[[#This Row],[Waste type 2]],WasteLandfillEmissions[#All],2,FALSE))*Calculations[[#This Row],[Total Kg]]*VLOOKUP(Calculations[[#This Row],[Waste 1]],WasteScenario[#All],4,FALSE),0)</f>
        <v>0</v>
      </c>
      <c r="AD920" s="322">
        <f>IFERROR((VLOOKUP(Calculations[[#This Row],[Waste type 2]],WasteLandfillEmissions[#All],3,FALSE))*Calculations[[#This Row],[Total Kg]]*VLOOKUP(Calculations[[#This Row],[Waste 1]],WasteScenario[#All],4,FALSE),0)</f>
        <v>0</v>
      </c>
      <c r="AE920" s="322">
        <f>SUM(Calculations[[#This Row],[C4 landfill]:[C4 re-use]])</f>
        <v>0</v>
      </c>
      <c r="AF920" s="322">
        <f>IFERROR(VLOOKUP(Calculations[[#This Row],[Material (choose from dropdown]],MaterialData[#All],8,FALSE),0)</f>
        <v>0</v>
      </c>
      <c r="AG920" s="322">
        <f>IFERROR(Calculations[[#This Row],[Total Kg]]*Calculations[[#This Row],[Seq factor]],0)</f>
        <v>0</v>
      </c>
      <c r="AI920" s="322">
        <f>Calculations[[#This Row],[A1-3]]+Calculations[[#This Row],[A4]]+Calculations[[#This Row],[A5]]+Calculations[[#This Row],[B4]]+Calculations[[#This Row],[C2 total]]+Calculations[[#This Row],[C3 total]]+Calculations[[#This Row],[C4 total]]</f>
        <v>0</v>
      </c>
      <c r="AJ920" s="2">
        <f>IFERROR(VLOOKUP(Calculations[[#This Row],[Material (choose from dropdown]],MaterialData[[#Headers],[#Data]],9,FALSE),0)</f>
        <v>0</v>
      </c>
      <c r="AK920" s="4">
        <f>IFERROR(VLOOKUP(Calculations[[#This Row],[Material (choose from dropdown]],MaterialData[[#Headers],[#Data]],10,FALSE),0)</f>
        <v>0</v>
      </c>
      <c r="AL920" s="322">
        <f>IFERROR(Calculations[[#This Row],[Data Quality Score]]*Calculations[[#This Row],[Total Kg]],0)</f>
        <v>0</v>
      </c>
    </row>
    <row r="921" spans="1:38" x14ac:dyDescent="0.3">
      <c r="A921" s="6">
        <f>IFERROR(MaterialsBoQ[[#This Row],[Scope Element]],0)</f>
        <v>0</v>
      </c>
      <c r="B921" t="str">
        <f>IFERROR(MaterialsBoQ[[#This Row],[Material ]],"")</f>
        <v/>
      </c>
      <c r="C921" t="str">
        <f>IFERROR(MaterialsBoQ[[#This Row],[Unit]],"")</f>
        <v/>
      </c>
      <c r="D921" s="322">
        <f>IFERROR(MaterialsBoQ[[#This Row],[Number]],0)</f>
        <v>0</v>
      </c>
      <c r="E921" s="322">
        <f>IFERROR(MaterialsBoQ[[#This Row],[Kg per unit]],0)</f>
        <v>0</v>
      </c>
      <c r="F921" s="322">
        <f>IFERROR(Calculations[[#This Row],[Number]]*Calculations[[#This Row],[Conversion factor]],0)</f>
        <v>0</v>
      </c>
      <c r="G921" s="322">
        <f>IFERROR(VLOOKUP(Calculations[[#This Row],[Material (choose from dropdown]],MaterialData[#All],7,FALSE),0)</f>
        <v>0</v>
      </c>
      <c r="H921" s="322">
        <f>Calculations[[#This Row],[Total Kg]]*Calculations[[#This Row],[Carbon Factor]]</f>
        <v>0</v>
      </c>
      <c r="I921" t="str">
        <f>IFERROR(VLOOKUP(Calculations[[#This Row],[Material (choose from dropdown]],MaterialData[#All],2,FALSE),"")</f>
        <v/>
      </c>
      <c r="J921" s="322">
        <f>IFERROR(((VLOOKUP(Calculations[[#This Row],[TransportSource]],TransportDistance[],2,FALSE)*'Stage assumptions'!$C$11)+VLOOKUP(Calculations[[#This Row],[TransportSource]],TransportDistance[],3,FALSE)*'Stage assumptions'!$C$12)*Calculations[[#This Row],[Total Kg]],0)</f>
        <v>0</v>
      </c>
      <c r="K921">
        <f>IFERROR(VLOOKUP(Calculations[[#This Row],[Material (choose from dropdown]], MaterialData[#All],3, FALSE),0)</f>
        <v>0</v>
      </c>
      <c r="L921" s="322">
        <f>IFERROR(VLOOKUP(Calculations[[#This Row],[A5type]],A5WastageRate[#All],2,FALSE)*Calculations[[#This Row],[A1-3]],0)</f>
        <v>0</v>
      </c>
      <c r="N921">
        <f>IFERROR(ROUNDUP(50/VLOOKUP(Calculations[[#This Row],[Scope Element]],B4referenceServiceLife[[Tier 2 element]:[Default Service Life]],2, FALSE)-1,0),0)</f>
        <v>0</v>
      </c>
      <c r="O921" s="322">
        <f>IFERROR((Calculations[[#This Row],[A1-3]]+Calculations[[#This Row],[A4]]+Calculations[[#This Row],[A5]]+Calculations[[#This Row],[C2 total]]+Calculations[[#This Row],[C3 total]]+Calculations[[#This Row],[C4 total]])*Calculations[[#This Row],[Replacements]],0)</f>
        <v>0</v>
      </c>
      <c r="S921" t="str">
        <f>IFERROR(VLOOKUP(Calculations[[#This Row],[Material (choose from dropdown]],MaterialData[#All],4,FALSE),"")</f>
        <v/>
      </c>
      <c r="T921" s="322" cm="1">
        <f t="array" ref="T921">IFERROR(VLOOKUP(Calculations[[#This Row],[Waste 1]],WasteScenario[#All],2,FALSE)*'Stage assumptions'!$C$225*WasteTransportMethod[Emissions Factor
kgCO2e/kg.km]*Calculations[[#This Row],[Total Kg]],0)</f>
        <v>0</v>
      </c>
      <c r="U921" s="322" cm="1">
        <f t="array" ref="U921">IFERROR(VLOOKUP(Calculations[[#This Row],[Waste 1]],WasteScenario[#All],3,FALSE)*'Stage assumptions'!$C$224*WasteTransportMethod[Emissions Factor
kgCO2e/kg.km]*Calculations[[#This Row],[Total Kg]],0)</f>
        <v>0</v>
      </c>
      <c r="V921" s="322" cm="1">
        <f t="array" ref="V921">IFERROR(VLOOKUP(Calculations[[#This Row],[Waste 1]],WasteScenario[#All],4,FALSE)*'Stage assumptions'!$C$223*WasteTransportMethod[Emissions Factor
kgCO2e/kg.km]*Calculations[[#This Row],[Total Kg]],0)</f>
        <v>0</v>
      </c>
      <c r="W921" s="322" cm="1">
        <f t="array" ref="W921">IFERROR(VLOOKUP(Calculations[[#This Row],[Waste 1]],WasteScenario[#All],5,FALSE)*'Stage assumptions'!$C$226*WasteTransportMethod[Emissions Factor
kgCO2e/kg.km]*Calculations[[#This Row],[Total Kg]],0)</f>
        <v>0</v>
      </c>
      <c r="X921" s="322">
        <f>SUM(Calculations[[#This Row],[C2 Recycle]:[C2 Reuse]])</f>
        <v>0</v>
      </c>
      <c r="Y921" t="str">
        <f>IFERROR(VLOOKUP(Calculations[[#This Row],[Material (choose from dropdown]],MaterialData[#All],5,FALSE),"")</f>
        <v/>
      </c>
      <c r="Z921" s="322">
        <f>IFERROR(((VLOOKUP(Calculations[[#This Row],[Waste type 2]],WasteDisposalEmissions[#All],2,FALSE))*Calculations[[#This Row],[Total Kg]])*VLOOKUP(Calculations[[#This Row],[Waste 1]],WasteScenario[#All],2,FALSE),0)</f>
        <v>0</v>
      </c>
      <c r="AA921" s="322">
        <f>IFERROR((VLOOKUP(Calculations[[#This Row],[Waste type 2]],WasteDisposalEmissions[#All],3,FALSE))*Calculations[[#This Row],[Total Kg]]*VLOOKUP(Calculations[[#This Row],[Waste 1]],WasteScenario[#All],3,FALSE),0)</f>
        <v>0</v>
      </c>
      <c r="AB921" s="322">
        <f>SUM(Calculations[[#This Row],[C3 recyc]:[C3 incin]])</f>
        <v>0</v>
      </c>
      <c r="AC921" s="334">
        <f>IFERROR((VLOOKUP(Calculations[[#This Row],[Waste type 2]],WasteLandfillEmissions[#All],2,FALSE))*Calculations[[#This Row],[Total Kg]]*VLOOKUP(Calculations[[#This Row],[Waste 1]],WasteScenario[#All],4,FALSE),0)</f>
        <v>0</v>
      </c>
      <c r="AD921" s="322">
        <f>IFERROR((VLOOKUP(Calculations[[#This Row],[Waste type 2]],WasteLandfillEmissions[#All],3,FALSE))*Calculations[[#This Row],[Total Kg]]*VLOOKUP(Calculations[[#This Row],[Waste 1]],WasteScenario[#All],4,FALSE),0)</f>
        <v>0</v>
      </c>
      <c r="AE921" s="322">
        <f>SUM(Calculations[[#This Row],[C4 landfill]:[C4 re-use]])</f>
        <v>0</v>
      </c>
      <c r="AF921" s="322">
        <f>IFERROR(VLOOKUP(Calculations[[#This Row],[Material (choose from dropdown]],MaterialData[#All],8,FALSE),0)</f>
        <v>0</v>
      </c>
      <c r="AG921" s="322">
        <f>IFERROR(Calculations[[#This Row],[Total Kg]]*Calculations[[#This Row],[Seq factor]],0)</f>
        <v>0</v>
      </c>
      <c r="AI921" s="322">
        <f>Calculations[[#This Row],[A1-3]]+Calculations[[#This Row],[A4]]+Calculations[[#This Row],[A5]]+Calculations[[#This Row],[B4]]+Calculations[[#This Row],[C2 total]]+Calculations[[#This Row],[C3 total]]+Calculations[[#This Row],[C4 total]]</f>
        <v>0</v>
      </c>
      <c r="AJ921" s="2">
        <f>IFERROR(VLOOKUP(Calculations[[#This Row],[Material (choose from dropdown]],MaterialData[[#Headers],[#Data]],9,FALSE),0)</f>
        <v>0</v>
      </c>
      <c r="AK921" s="4">
        <f>IFERROR(VLOOKUP(Calculations[[#This Row],[Material (choose from dropdown]],MaterialData[[#Headers],[#Data]],10,FALSE),0)</f>
        <v>0</v>
      </c>
      <c r="AL921" s="322">
        <f>IFERROR(Calculations[[#This Row],[Data Quality Score]]*Calculations[[#This Row],[Total Kg]],0)</f>
        <v>0</v>
      </c>
    </row>
    <row r="922" spans="1:38" x14ac:dyDescent="0.3">
      <c r="A922" s="6">
        <f>IFERROR(MaterialsBoQ[[#This Row],[Scope Element]],0)</f>
        <v>0</v>
      </c>
      <c r="B922" t="str">
        <f>IFERROR(MaterialsBoQ[[#This Row],[Material ]],"")</f>
        <v/>
      </c>
      <c r="C922" t="str">
        <f>IFERROR(MaterialsBoQ[[#This Row],[Unit]],"")</f>
        <v/>
      </c>
      <c r="D922" s="322">
        <f>IFERROR(MaterialsBoQ[[#This Row],[Number]],0)</f>
        <v>0</v>
      </c>
      <c r="E922" s="322">
        <f>IFERROR(MaterialsBoQ[[#This Row],[Kg per unit]],0)</f>
        <v>0</v>
      </c>
      <c r="F922" s="322">
        <f>IFERROR(Calculations[[#This Row],[Number]]*Calculations[[#This Row],[Conversion factor]],0)</f>
        <v>0</v>
      </c>
      <c r="G922" s="322">
        <f>IFERROR(VLOOKUP(Calculations[[#This Row],[Material (choose from dropdown]],MaterialData[#All],7,FALSE),0)</f>
        <v>0</v>
      </c>
      <c r="H922" s="322">
        <f>Calculations[[#This Row],[Total Kg]]*Calculations[[#This Row],[Carbon Factor]]</f>
        <v>0</v>
      </c>
      <c r="I922" t="str">
        <f>IFERROR(VLOOKUP(Calculations[[#This Row],[Material (choose from dropdown]],MaterialData[#All],2,FALSE),"")</f>
        <v/>
      </c>
      <c r="J922" s="322">
        <f>IFERROR(((VLOOKUP(Calculations[[#This Row],[TransportSource]],TransportDistance[],2,FALSE)*'Stage assumptions'!$C$11)+VLOOKUP(Calculations[[#This Row],[TransportSource]],TransportDistance[],3,FALSE)*'Stage assumptions'!$C$12)*Calculations[[#This Row],[Total Kg]],0)</f>
        <v>0</v>
      </c>
      <c r="K922">
        <f>IFERROR(VLOOKUP(Calculations[[#This Row],[Material (choose from dropdown]], MaterialData[#All],3, FALSE),0)</f>
        <v>0</v>
      </c>
      <c r="L922" s="322">
        <f>IFERROR(VLOOKUP(Calculations[[#This Row],[A5type]],A5WastageRate[#All],2,FALSE)*Calculations[[#This Row],[A1-3]],0)</f>
        <v>0</v>
      </c>
      <c r="N922">
        <f>IFERROR(ROUNDUP(50/VLOOKUP(Calculations[[#This Row],[Scope Element]],B4referenceServiceLife[[Tier 2 element]:[Default Service Life]],2, FALSE)-1,0),0)</f>
        <v>0</v>
      </c>
      <c r="O922" s="322">
        <f>IFERROR((Calculations[[#This Row],[A1-3]]+Calculations[[#This Row],[A4]]+Calculations[[#This Row],[A5]]+Calculations[[#This Row],[C2 total]]+Calculations[[#This Row],[C3 total]]+Calculations[[#This Row],[C4 total]])*Calculations[[#This Row],[Replacements]],0)</f>
        <v>0</v>
      </c>
      <c r="S922" t="str">
        <f>IFERROR(VLOOKUP(Calculations[[#This Row],[Material (choose from dropdown]],MaterialData[#All],4,FALSE),"")</f>
        <v/>
      </c>
      <c r="T922" s="322" cm="1">
        <f t="array" ref="T922">IFERROR(VLOOKUP(Calculations[[#This Row],[Waste 1]],WasteScenario[#All],2,FALSE)*'Stage assumptions'!$C$225*WasteTransportMethod[Emissions Factor
kgCO2e/kg.km]*Calculations[[#This Row],[Total Kg]],0)</f>
        <v>0</v>
      </c>
      <c r="U922" s="322" cm="1">
        <f t="array" ref="U922">IFERROR(VLOOKUP(Calculations[[#This Row],[Waste 1]],WasteScenario[#All],3,FALSE)*'Stage assumptions'!$C$224*WasteTransportMethod[Emissions Factor
kgCO2e/kg.km]*Calculations[[#This Row],[Total Kg]],0)</f>
        <v>0</v>
      </c>
      <c r="V922" s="322" cm="1">
        <f t="array" ref="V922">IFERROR(VLOOKUP(Calculations[[#This Row],[Waste 1]],WasteScenario[#All],4,FALSE)*'Stage assumptions'!$C$223*WasteTransportMethod[Emissions Factor
kgCO2e/kg.km]*Calculations[[#This Row],[Total Kg]],0)</f>
        <v>0</v>
      </c>
      <c r="W922" s="322" cm="1">
        <f t="array" ref="W922">IFERROR(VLOOKUP(Calculations[[#This Row],[Waste 1]],WasteScenario[#All],5,FALSE)*'Stage assumptions'!$C$226*WasteTransportMethod[Emissions Factor
kgCO2e/kg.km]*Calculations[[#This Row],[Total Kg]],0)</f>
        <v>0</v>
      </c>
      <c r="X922" s="322">
        <f>SUM(Calculations[[#This Row],[C2 Recycle]:[C2 Reuse]])</f>
        <v>0</v>
      </c>
      <c r="Y922" t="str">
        <f>IFERROR(VLOOKUP(Calculations[[#This Row],[Material (choose from dropdown]],MaterialData[#All],5,FALSE),"")</f>
        <v/>
      </c>
      <c r="Z922" s="322">
        <f>IFERROR(((VLOOKUP(Calculations[[#This Row],[Waste type 2]],WasteDisposalEmissions[#All],2,FALSE))*Calculations[[#This Row],[Total Kg]])*VLOOKUP(Calculations[[#This Row],[Waste 1]],WasteScenario[#All],2,FALSE),0)</f>
        <v>0</v>
      </c>
      <c r="AA922" s="322">
        <f>IFERROR((VLOOKUP(Calculations[[#This Row],[Waste type 2]],WasteDisposalEmissions[#All],3,FALSE))*Calculations[[#This Row],[Total Kg]]*VLOOKUP(Calculations[[#This Row],[Waste 1]],WasteScenario[#All],3,FALSE),0)</f>
        <v>0</v>
      </c>
      <c r="AB922" s="322">
        <f>SUM(Calculations[[#This Row],[C3 recyc]:[C3 incin]])</f>
        <v>0</v>
      </c>
      <c r="AC922" s="334">
        <f>IFERROR((VLOOKUP(Calculations[[#This Row],[Waste type 2]],WasteLandfillEmissions[#All],2,FALSE))*Calculations[[#This Row],[Total Kg]]*VLOOKUP(Calculations[[#This Row],[Waste 1]],WasteScenario[#All],4,FALSE),0)</f>
        <v>0</v>
      </c>
      <c r="AD922" s="322">
        <f>IFERROR((VLOOKUP(Calculations[[#This Row],[Waste type 2]],WasteLandfillEmissions[#All],3,FALSE))*Calculations[[#This Row],[Total Kg]]*VLOOKUP(Calculations[[#This Row],[Waste 1]],WasteScenario[#All],4,FALSE),0)</f>
        <v>0</v>
      </c>
      <c r="AE922" s="322">
        <f>SUM(Calculations[[#This Row],[C4 landfill]:[C4 re-use]])</f>
        <v>0</v>
      </c>
      <c r="AF922" s="322">
        <f>IFERROR(VLOOKUP(Calculations[[#This Row],[Material (choose from dropdown]],MaterialData[#All],8,FALSE),0)</f>
        <v>0</v>
      </c>
      <c r="AG922" s="322">
        <f>IFERROR(Calculations[[#This Row],[Total Kg]]*Calculations[[#This Row],[Seq factor]],0)</f>
        <v>0</v>
      </c>
      <c r="AI922" s="322">
        <f>Calculations[[#This Row],[A1-3]]+Calculations[[#This Row],[A4]]+Calculations[[#This Row],[A5]]+Calculations[[#This Row],[B4]]+Calculations[[#This Row],[C2 total]]+Calculations[[#This Row],[C3 total]]+Calculations[[#This Row],[C4 total]]</f>
        <v>0</v>
      </c>
      <c r="AJ922" s="2">
        <f>IFERROR(VLOOKUP(Calculations[[#This Row],[Material (choose from dropdown]],MaterialData[[#Headers],[#Data]],9,FALSE),0)</f>
        <v>0</v>
      </c>
      <c r="AK922" s="4">
        <f>IFERROR(VLOOKUP(Calculations[[#This Row],[Material (choose from dropdown]],MaterialData[[#Headers],[#Data]],10,FALSE),0)</f>
        <v>0</v>
      </c>
      <c r="AL922" s="322">
        <f>IFERROR(Calculations[[#This Row],[Data Quality Score]]*Calculations[[#This Row],[Total Kg]],0)</f>
        <v>0</v>
      </c>
    </row>
    <row r="923" spans="1:38" x14ac:dyDescent="0.3">
      <c r="A923" s="6">
        <f>IFERROR(MaterialsBoQ[[#This Row],[Scope Element]],0)</f>
        <v>0</v>
      </c>
      <c r="B923" t="str">
        <f>IFERROR(MaterialsBoQ[[#This Row],[Material ]],"")</f>
        <v/>
      </c>
      <c r="C923" t="str">
        <f>IFERROR(MaterialsBoQ[[#This Row],[Unit]],"")</f>
        <v/>
      </c>
      <c r="D923" s="322">
        <f>IFERROR(MaterialsBoQ[[#This Row],[Number]],0)</f>
        <v>0</v>
      </c>
      <c r="E923" s="322">
        <f>IFERROR(MaterialsBoQ[[#This Row],[Kg per unit]],0)</f>
        <v>0</v>
      </c>
      <c r="F923" s="322">
        <f>IFERROR(Calculations[[#This Row],[Number]]*Calculations[[#This Row],[Conversion factor]],0)</f>
        <v>0</v>
      </c>
      <c r="G923" s="322">
        <f>IFERROR(VLOOKUP(Calculations[[#This Row],[Material (choose from dropdown]],MaterialData[#All],7,FALSE),0)</f>
        <v>0</v>
      </c>
      <c r="H923" s="322">
        <f>Calculations[[#This Row],[Total Kg]]*Calculations[[#This Row],[Carbon Factor]]</f>
        <v>0</v>
      </c>
      <c r="I923" t="str">
        <f>IFERROR(VLOOKUP(Calculations[[#This Row],[Material (choose from dropdown]],MaterialData[#All],2,FALSE),"")</f>
        <v/>
      </c>
      <c r="J923" s="322">
        <f>IFERROR(((VLOOKUP(Calculations[[#This Row],[TransportSource]],TransportDistance[],2,FALSE)*'Stage assumptions'!$C$11)+VLOOKUP(Calculations[[#This Row],[TransportSource]],TransportDistance[],3,FALSE)*'Stage assumptions'!$C$12)*Calculations[[#This Row],[Total Kg]],0)</f>
        <v>0</v>
      </c>
      <c r="K923">
        <f>IFERROR(VLOOKUP(Calculations[[#This Row],[Material (choose from dropdown]], MaterialData[#All],3, FALSE),0)</f>
        <v>0</v>
      </c>
      <c r="L923" s="322">
        <f>IFERROR(VLOOKUP(Calculations[[#This Row],[A5type]],A5WastageRate[#All],2,FALSE)*Calculations[[#This Row],[A1-3]],0)</f>
        <v>0</v>
      </c>
      <c r="N923">
        <f>IFERROR(ROUNDUP(50/VLOOKUP(Calculations[[#This Row],[Scope Element]],B4referenceServiceLife[[Tier 2 element]:[Default Service Life]],2, FALSE)-1,0),0)</f>
        <v>0</v>
      </c>
      <c r="O923" s="322">
        <f>IFERROR((Calculations[[#This Row],[A1-3]]+Calculations[[#This Row],[A4]]+Calculations[[#This Row],[A5]]+Calculations[[#This Row],[C2 total]]+Calculations[[#This Row],[C3 total]]+Calculations[[#This Row],[C4 total]])*Calculations[[#This Row],[Replacements]],0)</f>
        <v>0</v>
      </c>
      <c r="S923" t="str">
        <f>IFERROR(VLOOKUP(Calculations[[#This Row],[Material (choose from dropdown]],MaterialData[#All],4,FALSE),"")</f>
        <v/>
      </c>
      <c r="T923" s="322" cm="1">
        <f t="array" ref="T923">IFERROR(VLOOKUP(Calculations[[#This Row],[Waste 1]],WasteScenario[#All],2,FALSE)*'Stage assumptions'!$C$225*WasteTransportMethod[Emissions Factor
kgCO2e/kg.km]*Calculations[[#This Row],[Total Kg]],0)</f>
        <v>0</v>
      </c>
      <c r="U923" s="322" cm="1">
        <f t="array" ref="U923">IFERROR(VLOOKUP(Calculations[[#This Row],[Waste 1]],WasteScenario[#All],3,FALSE)*'Stage assumptions'!$C$224*WasteTransportMethod[Emissions Factor
kgCO2e/kg.km]*Calculations[[#This Row],[Total Kg]],0)</f>
        <v>0</v>
      </c>
      <c r="V923" s="322" cm="1">
        <f t="array" ref="V923">IFERROR(VLOOKUP(Calculations[[#This Row],[Waste 1]],WasteScenario[#All],4,FALSE)*'Stage assumptions'!$C$223*WasteTransportMethod[Emissions Factor
kgCO2e/kg.km]*Calculations[[#This Row],[Total Kg]],0)</f>
        <v>0</v>
      </c>
      <c r="W923" s="322" cm="1">
        <f t="array" ref="W923">IFERROR(VLOOKUP(Calculations[[#This Row],[Waste 1]],WasteScenario[#All],5,FALSE)*'Stage assumptions'!$C$226*WasteTransportMethod[Emissions Factor
kgCO2e/kg.km]*Calculations[[#This Row],[Total Kg]],0)</f>
        <v>0</v>
      </c>
      <c r="X923" s="322">
        <f>SUM(Calculations[[#This Row],[C2 Recycle]:[C2 Reuse]])</f>
        <v>0</v>
      </c>
      <c r="Y923" t="str">
        <f>IFERROR(VLOOKUP(Calculations[[#This Row],[Material (choose from dropdown]],MaterialData[#All],5,FALSE),"")</f>
        <v/>
      </c>
      <c r="Z923" s="322">
        <f>IFERROR(((VLOOKUP(Calculations[[#This Row],[Waste type 2]],WasteDisposalEmissions[#All],2,FALSE))*Calculations[[#This Row],[Total Kg]])*VLOOKUP(Calculations[[#This Row],[Waste 1]],WasteScenario[#All],2,FALSE),0)</f>
        <v>0</v>
      </c>
      <c r="AA923" s="322">
        <f>IFERROR((VLOOKUP(Calculations[[#This Row],[Waste type 2]],WasteDisposalEmissions[#All],3,FALSE))*Calculations[[#This Row],[Total Kg]]*VLOOKUP(Calculations[[#This Row],[Waste 1]],WasteScenario[#All],3,FALSE),0)</f>
        <v>0</v>
      </c>
      <c r="AB923" s="322">
        <f>SUM(Calculations[[#This Row],[C3 recyc]:[C3 incin]])</f>
        <v>0</v>
      </c>
      <c r="AC923" s="334">
        <f>IFERROR((VLOOKUP(Calculations[[#This Row],[Waste type 2]],WasteLandfillEmissions[#All],2,FALSE))*Calculations[[#This Row],[Total Kg]]*VLOOKUP(Calculations[[#This Row],[Waste 1]],WasteScenario[#All],4,FALSE),0)</f>
        <v>0</v>
      </c>
      <c r="AD923" s="322">
        <f>IFERROR((VLOOKUP(Calculations[[#This Row],[Waste type 2]],WasteLandfillEmissions[#All],3,FALSE))*Calculations[[#This Row],[Total Kg]]*VLOOKUP(Calculations[[#This Row],[Waste 1]],WasteScenario[#All],4,FALSE),0)</f>
        <v>0</v>
      </c>
      <c r="AE923" s="322">
        <f>SUM(Calculations[[#This Row],[C4 landfill]:[C4 re-use]])</f>
        <v>0</v>
      </c>
      <c r="AF923" s="322">
        <f>IFERROR(VLOOKUP(Calculations[[#This Row],[Material (choose from dropdown]],MaterialData[#All],8,FALSE),0)</f>
        <v>0</v>
      </c>
      <c r="AG923" s="322">
        <f>IFERROR(Calculations[[#This Row],[Total Kg]]*Calculations[[#This Row],[Seq factor]],0)</f>
        <v>0</v>
      </c>
      <c r="AI923" s="322">
        <f>Calculations[[#This Row],[A1-3]]+Calculations[[#This Row],[A4]]+Calculations[[#This Row],[A5]]+Calculations[[#This Row],[B4]]+Calculations[[#This Row],[C2 total]]+Calculations[[#This Row],[C3 total]]+Calculations[[#This Row],[C4 total]]</f>
        <v>0</v>
      </c>
      <c r="AJ923" s="2">
        <f>IFERROR(VLOOKUP(Calculations[[#This Row],[Material (choose from dropdown]],MaterialData[[#Headers],[#Data]],9,FALSE),0)</f>
        <v>0</v>
      </c>
      <c r="AK923" s="4">
        <f>IFERROR(VLOOKUP(Calculations[[#This Row],[Material (choose from dropdown]],MaterialData[[#Headers],[#Data]],10,FALSE),0)</f>
        <v>0</v>
      </c>
      <c r="AL923" s="322">
        <f>IFERROR(Calculations[[#This Row],[Data Quality Score]]*Calculations[[#This Row],[Total Kg]],0)</f>
        <v>0</v>
      </c>
    </row>
    <row r="924" spans="1:38" x14ac:dyDescent="0.3">
      <c r="A924" s="6">
        <f>IFERROR(MaterialsBoQ[[#This Row],[Scope Element]],0)</f>
        <v>0</v>
      </c>
      <c r="B924" t="str">
        <f>IFERROR(MaterialsBoQ[[#This Row],[Material ]],"")</f>
        <v/>
      </c>
      <c r="C924" t="str">
        <f>IFERROR(MaterialsBoQ[[#This Row],[Unit]],"")</f>
        <v/>
      </c>
      <c r="D924" s="322">
        <f>IFERROR(MaterialsBoQ[[#This Row],[Number]],0)</f>
        <v>0</v>
      </c>
      <c r="E924" s="322">
        <f>IFERROR(MaterialsBoQ[[#This Row],[Kg per unit]],0)</f>
        <v>0</v>
      </c>
      <c r="F924" s="322">
        <f>IFERROR(Calculations[[#This Row],[Number]]*Calculations[[#This Row],[Conversion factor]],0)</f>
        <v>0</v>
      </c>
      <c r="G924" s="322">
        <f>IFERROR(VLOOKUP(Calculations[[#This Row],[Material (choose from dropdown]],MaterialData[#All],7,FALSE),0)</f>
        <v>0</v>
      </c>
      <c r="H924" s="322">
        <f>Calculations[[#This Row],[Total Kg]]*Calculations[[#This Row],[Carbon Factor]]</f>
        <v>0</v>
      </c>
      <c r="I924" t="str">
        <f>IFERROR(VLOOKUP(Calculations[[#This Row],[Material (choose from dropdown]],MaterialData[#All],2,FALSE),"")</f>
        <v/>
      </c>
      <c r="J924" s="322">
        <f>IFERROR(((VLOOKUP(Calculations[[#This Row],[TransportSource]],TransportDistance[],2,FALSE)*'Stage assumptions'!$C$11)+VLOOKUP(Calculations[[#This Row],[TransportSource]],TransportDistance[],3,FALSE)*'Stage assumptions'!$C$12)*Calculations[[#This Row],[Total Kg]],0)</f>
        <v>0</v>
      </c>
      <c r="K924">
        <f>IFERROR(VLOOKUP(Calculations[[#This Row],[Material (choose from dropdown]], MaterialData[#All],3, FALSE),0)</f>
        <v>0</v>
      </c>
      <c r="L924" s="322">
        <f>IFERROR(VLOOKUP(Calculations[[#This Row],[A5type]],A5WastageRate[#All],2,FALSE)*Calculations[[#This Row],[A1-3]],0)</f>
        <v>0</v>
      </c>
      <c r="N924">
        <f>IFERROR(ROUNDUP(50/VLOOKUP(Calculations[[#This Row],[Scope Element]],B4referenceServiceLife[[Tier 2 element]:[Default Service Life]],2, FALSE)-1,0),0)</f>
        <v>0</v>
      </c>
      <c r="O924" s="322">
        <f>IFERROR((Calculations[[#This Row],[A1-3]]+Calculations[[#This Row],[A4]]+Calculations[[#This Row],[A5]]+Calculations[[#This Row],[C2 total]]+Calculations[[#This Row],[C3 total]]+Calculations[[#This Row],[C4 total]])*Calculations[[#This Row],[Replacements]],0)</f>
        <v>0</v>
      </c>
      <c r="S924" t="str">
        <f>IFERROR(VLOOKUP(Calculations[[#This Row],[Material (choose from dropdown]],MaterialData[#All],4,FALSE),"")</f>
        <v/>
      </c>
      <c r="T924" s="322" cm="1">
        <f t="array" ref="T924">IFERROR(VLOOKUP(Calculations[[#This Row],[Waste 1]],WasteScenario[#All],2,FALSE)*'Stage assumptions'!$C$225*WasteTransportMethod[Emissions Factor
kgCO2e/kg.km]*Calculations[[#This Row],[Total Kg]],0)</f>
        <v>0</v>
      </c>
      <c r="U924" s="322" cm="1">
        <f t="array" ref="U924">IFERROR(VLOOKUP(Calculations[[#This Row],[Waste 1]],WasteScenario[#All],3,FALSE)*'Stage assumptions'!$C$224*WasteTransportMethod[Emissions Factor
kgCO2e/kg.km]*Calculations[[#This Row],[Total Kg]],0)</f>
        <v>0</v>
      </c>
      <c r="V924" s="322" cm="1">
        <f t="array" ref="V924">IFERROR(VLOOKUP(Calculations[[#This Row],[Waste 1]],WasteScenario[#All],4,FALSE)*'Stage assumptions'!$C$223*WasteTransportMethod[Emissions Factor
kgCO2e/kg.km]*Calculations[[#This Row],[Total Kg]],0)</f>
        <v>0</v>
      </c>
      <c r="W924" s="322" cm="1">
        <f t="array" ref="W924">IFERROR(VLOOKUP(Calculations[[#This Row],[Waste 1]],WasteScenario[#All],5,FALSE)*'Stage assumptions'!$C$226*WasteTransportMethod[Emissions Factor
kgCO2e/kg.km]*Calculations[[#This Row],[Total Kg]],0)</f>
        <v>0</v>
      </c>
      <c r="X924" s="322">
        <f>SUM(Calculations[[#This Row],[C2 Recycle]:[C2 Reuse]])</f>
        <v>0</v>
      </c>
      <c r="Y924" t="str">
        <f>IFERROR(VLOOKUP(Calculations[[#This Row],[Material (choose from dropdown]],MaterialData[#All],5,FALSE),"")</f>
        <v/>
      </c>
      <c r="Z924" s="322">
        <f>IFERROR(((VLOOKUP(Calculations[[#This Row],[Waste type 2]],WasteDisposalEmissions[#All],2,FALSE))*Calculations[[#This Row],[Total Kg]])*VLOOKUP(Calculations[[#This Row],[Waste 1]],WasteScenario[#All],2,FALSE),0)</f>
        <v>0</v>
      </c>
      <c r="AA924" s="322">
        <f>IFERROR((VLOOKUP(Calculations[[#This Row],[Waste type 2]],WasteDisposalEmissions[#All],3,FALSE))*Calculations[[#This Row],[Total Kg]]*VLOOKUP(Calculations[[#This Row],[Waste 1]],WasteScenario[#All],3,FALSE),0)</f>
        <v>0</v>
      </c>
      <c r="AB924" s="322">
        <f>SUM(Calculations[[#This Row],[C3 recyc]:[C3 incin]])</f>
        <v>0</v>
      </c>
      <c r="AC924" s="334">
        <f>IFERROR((VLOOKUP(Calculations[[#This Row],[Waste type 2]],WasteLandfillEmissions[#All],2,FALSE))*Calculations[[#This Row],[Total Kg]]*VLOOKUP(Calculations[[#This Row],[Waste 1]],WasteScenario[#All],4,FALSE),0)</f>
        <v>0</v>
      </c>
      <c r="AD924" s="322">
        <f>IFERROR((VLOOKUP(Calculations[[#This Row],[Waste type 2]],WasteLandfillEmissions[#All],3,FALSE))*Calculations[[#This Row],[Total Kg]]*VLOOKUP(Calculations[[#This Row],[Waste 1]],WasteScenario[#All],4,FALSE),0)</f>
        <v>0</v>
      </c>
      <c r="AE924" s="322">
        <f>SUM(Calculations[[#This Row],[C4 landfill]:[C4 re-use]])</f>
        <v>0</v>
      </c>
      <c r="AF924" s="322">
        <f>IFERROR(VLOOKUP(Calculations[[#This Row],[Material (choose from dropdown]],MaterialData[#All],8,FALSE),0)</f>
        <v>0</v>
      </c>
      <c r="AG924" s="322">
        <f>IFERROR(Calculations[[#This Row],[Total Kg]]*Calculations[[#This Row],[Seq factor]],0)</f>
        <v>0</v>
      </c>
      <c r="AI924" s="322">
        <f>Calculations[[#This Row],[A1-3]]+Calculations[[#This Row],[A4]]+Calculations[[#This Row],[A5]]+Calculations[[#This Row],[B4]]+Calculations[[#This Row],[C2 total]]+Calculations[[#This Row],[C3 total]]+Calculations[[#This Row],[C4 total]]</f>
        <v>0</v>
      </c>
      <c r="AJ924" s="2">
        <f>IFERROR(VLOOKUP(Calculations[[#This Row],[Material (choose from dropdown]],MaterialData[[#Headers],[#Data]],9,FALSE),0)</f>
        <v>0</v>
      </c>
      <c r="AK924" s="4">
        <f>IFERROR(VLOOKUP(Calculations[[#This Row],[Material (choose from dropdown]],MaterialData[[#Headers],[#Data]],10,FALSE),0)</f>
        <v>0</v>
      </c>
      <c r="AL924" s="322">
        <f>IFERROR(Calculations[[#This Row],[Data Quality Score]]*Calculations[[#This Row],[Total Kg]],0)</f>
        <v>0</v>
      </c>
    </row>
    <row r="925" spans="1:38" x14ac:dyDescent="0.3">
      <c r="A925" s="6">
        <f>IFERROR(MaterialsBoQ[[#This Row],[Scope Element]],0)</f>
        <v>0</v>
      </c>
      <c r="B925" t="str">
        <f>IFERROR(MaterialsBoQ[[#This Row],[Material ]],"")</f>
        <v/>
      </c>
      <c r="C925" t="str">
        <f>IFERROR(MaterialsBoQ[[#This Row],[Unit]],"")</f>
        <v/>
      </c>
      <c r="D925" s="322">
        <f>IFERROR(MaterialsBoQ[[#This Row],[Number]],0)</f>
        <v>0</v>
      </c>
      <c r="E925" s="322">
        <f>IFERROR(MaterialsBoQ[[#This Row],[Kg per unit]],0)</f>
        <v>0</v>
      </c>
      <c r="F925" s="322">
        <f>IFERROR(Calculations[[#This Row],[Number]]*Calculations[[#This Row],[Conversion factor]],0)</f>
        <v>0</v>
      </c>
      <c r="G925" s="322">
        <f>IFERROR(VLOOKUP(Calculations[[#This Row],[Material (choose from dropdown]],MaterialData[#All],7,FALSE),0)</f>
        <v>0</v>
      </c>
      <c r="H925" s="322">
        <f>Calculations[[#This Row],[Total Kg]]*Calculations[[#This Row],[Carbon Factor]]</f>
        <v>0</v>
      </c>
      <c r="I925" t="str">
        <f>IFERROR(VLOOKUP(Calculations[[#This Row],[Material (choose from dropdown]],MaterialData[#All],2,FALSE),"")</f>
        <v/>
      </c>
      <c r="J925" s="322">
        <f>IFERROR(((VLOOKUP(Calculations[[#This Row],[TransportSource]],TransportDistance[],2,FALSE)*'Stage assumptions'!$C$11)+VLOOKUP(Calculations[[#This Row],[TransportSource]],TransportDistance[],3,FALSE)*'Stage assumptions'!$C$12)*Calculations[[#This Row],[Total Kg]],0)</f>
        <v>0</v>
      </c>
      <c r="K925">
        <f>IFERROR(VLOOKUP(Calculations[[#This Row],[Material (choose from dropdown]], MaterialData[#All],3, FALSE),0)</f>
        <v>0</v>
      </c>
      <c r="L925" s="322">
        <f>IFERROR(VLOOKUP(Calculations[[#This Row],[A5type]],A5WastageRate[#All],2,FALSE)*Calculations[[#This Row],[A1-3]],0)</f>
        <v>0</v>
      </c>
      <c r="N925">
        <f>IFERROR(ROUNDUP(50/VLOOKUP(Calculations[[#This Row],[Scope Element]],B4referenceServiceLife[[Tier 2 element]:[Default Service Life]],2, FALSE)-1,0),0)</f>
        <v>0</v>
      </c>
      <c r="O925" s="322">
        <f>IFERROR((Calculations[[#This Row],[A1-3]]+Calculations[[#This Row],[A4]]+Calculations[[#This Row],[A5]]+Calculations[[#This Row],[C2 total]]+Calculations[[#This Row],[C3 total]]+Calculations[[#This Row],[C4 total]])*Calculations[[#This Row],[Replacements]],0)</f>
        <v>0</v>
      </c>
      <c r="S925" t="str">
        <f>IFERROR(VLOOKUP(Calculations[[#This Row],[Material (choose from dropdown]],MaterialData[#All],4,FALSE),"")</f>
        <v/>
      </c>
      <c r="T925" s="322" cm="1">
        <f t="array" ref="T925">IFERROR(VLOOKUP(Calculations[[#This Row],[Waste 1]],WasteScenario[#All],2,FALSE)*'Stage assumptions'!$C$225*WasteTransportMethod[Emissions Factor
kgCO2e/kg.km]*Calculations[[#This Row],[Total Kg]],0)</f>
        <v>0</v>
      </c>
      <c r="U925" s="322" cm="1">
        <f t="array" ref="U925">IFERROR(VLOOKUP(Calculations[[#This Row],[Waste 1]],WasteScenario[#All],3,FALSE)*'Stage assumptions'!$C$224*WasteTransportMethod[Emissions Factor
kgCO2e/kg.km]*Calculations[[#This Row],[Total Kg]],0)</f>
        <v>0</v>
      </c>
      <c r="V925" s="322" cm="1">
        <f t="array" ref="V925">IFERROR(VLOOKUP(Calculations[[#This Row],[Waste 1]],WasteScenario[#All],4,FALSE)*'Stage assumptions'!$C$223*WasteTransportMethod[Emissions Factor
kgCO2e/kg.km]*Calculations[[#This Row],[Total Kg]],0)</f>
        <v>0</v>
      </c>
      <c r="W925" s="322" cm="1">
        <f t="array" ref="W925">IFERROR(VLOOKUP(Calculations[[#This Row],[Waste 1]],WasteScenario[#All],5,FALSE)*'Stage assumptions'!$C$226*WasteTransportMethod[Emissions Factor
kgCO2e/kg.km]*Calculations[[#This Row],[Total Kg]],0)</f>
        <v>0</v>
      </c>
      <c r="X925" s="322">
        <f>SUM(Calculations[[#This Row],[C2 Recycle]:[C2 Reuse]])</f>
        <v>0</v>
      </c>
      <c r="Y925" t="str">
        <f>IFERROR(VLOOKUP(Calculations[[#This Row],[Material (choose from dropdown]],MaterialData[#All],5,FALSE),"")</f>
        <v/>
      </c>
      <c r="Z925" s="322">
        <f>IFERROR(((VLOOKUP(Calculations[[#This Row],[Waste type 2]],WasteDisposalEmissions[#All],2,FALSE))*Calculations[[#This Row],[Total Kg]])*VLOOKUP(Calculations[[#This Row],[Waste 1]],WasteScenario[#All],2,FALSE),0)</f>
        <v>0</v>
      </c>
      <c r="AA925" s="322">
        <f>IFERROR((VLOOKUP(Calculations[[#This Row],[Waste type 2]],WasteDisposalEmissions[#All],3,FALSE))*Calculations[[#This Row],[Total Kg]]*VLOOKUP(Calculations[[#This Row],[Waste 1]],WasteScenario[#All],3,FALSE),0)</f>
        <v>0</v>
      </c>
      <c r="AB925" s="322">
        <f>SUM(Calculations[[#This Row],[C3 recyc]:[C3 incin]])</f>
        <v>0</v>
      </c>
      <c r="AC925" s="334">
        <f>IFERROR((VLOOKUP(Calculations[[#This Row],[Waste type 2]],WasteLandfillEmissions[#All],2,FALSE))*Calculations[[#This Row],[Total Kg]]*VLOOKUP(Calculations[[#This Row],[Waste 1]],WasteScenario[#All],4,FALSE),0)</f>
        <v>0</v>
      </c>
      <c r="AD925" s="322">
        <f>IFERROR((VLOOKUP(Calculations[[#This Row],[Waste type 2]],WasteLandfillEmissions[#All],3,FALSE))*Calculations[[#This Row],[Total Kg]]*VLOOKUP(Calculations[[#This Row],[Waste 1]],WasteScenario[#All],4,FALSE),0)</f>
        <v>0</v>
      </c>
      <c r="AE925" s="322">
        <f>SUM(Calculations[[#This Row],[C4 landfill]:[C4 re-use]])</f>
        <v>0</v>
      </c>
      <c r="AF925" s="322">
        <f>IFERROR(VLOOKUP(Calculations[[#This Row],[Material (choose from dropdown]],MaterialData[#All],8,FALSE),0)</f>
        <v>0</v>
      </c>
      <c r="AG925" s="322">
        <f>IFERROR(Calculations[[#This Row],[Total Kg]]*Calculations[[#This Row],[Seq factor]],0)</f>
        <v>0</v>
      </c>
      <c r="AI925" s="322">
        <f>Calculations[[#This Row],[A1-3]]+Calculations[[#This Row],[A4]]+Calculations[[#This Row],[A5]]+Calculations[[#This Row],[B4]]+Calculations[[#This Row],[C2 total]]+Calculations[[#This Row],[C3 total]]+Calculations[[#This Row],[C4 total]]</f>
        <v>0</v>
      </c>
      <c r="AJ925" s="2">
        <f>IFERROR(VLOOKUP(Calculations[[#This Row],[Material (choose from dropdown]],MaterialData[[#Headers],[#Data]],9,FALSE),0)</f>
        <v>0</v>
      </c>
      <c r="AK925" s="4">
        <f>IFERROR(VLOOKUP(Calculations[[#This Row],[Material (choose from dropdown]],MaterialData[[#Headers],[#Data]],10,FALSE),0)</f>
        <v>0</v>
      </c>
      <c r="AL925" s="322">
        <f>IFERROR(Calculations[[#This Row],[Data Quality Score]]*Calculations[[#This Row],[Total Kg]],0)</f>
        <v>0</v>
      </c>
    </row>
    <row r="926" spans="1:38" x14ac:dyDescent="0.3">
      <c r="A926" s="6">
        <f>IFERROR(MaterialsBoQ[[#This Row],[Scope Element]],0)</f>
        <v>0</v>
      </c>
      <c r="B926" t="str">
        <f>IFERROR(MaterialsBoQ[[#This Row],[Material ]],"")</f>
        <v/>
      </c>
      <c r="C926" t="str">
        <f>IFERROR(MaterialsBoQ[[#This Row],[Unit]],"")</f>
        <v/>
      </c>
      <c r="D926" s="322">
        <f>IFERROR(MaterialsBoQ[[#This Row],[Number]],0)</f>
        <v>0</v>
      </c>
      <c r="E926" s="322">
        <f>IFERROR(MaterialsBoQ[[#This Row],[Kg per unit]],0)</f>
        <v>0</v>
      </c>
      <c r="F926" s="322">
        <f>IFERROR(Calculations[[#This Row],[Number]]*Calculations[[#This Row],[Conversion factor]],0)</f>
        <v>0</v>
      </c>
      <c r="G926" s="322">
        <f>IFERROR(VLOOKUP(Calculations[[#This Row],[Material (choose from dropdown]],MaterialData[#All],7,FALSE),0)</f>
        <v>0</v>
      </c>
      <c r="H926" s="322">
        <f>Calculations[[#This Row],[Total Kg]]*Calculations[[#This Row],[Carbon Factor]]</f>
        <v>0</v>
      </c>
      <c r="I926" t="str">
        <f>IFERROR(VLOOKUP(Calculations[[#This Row],[Material (choose from dropdown]],MaterialData[#All],2,FALSE),"")</f>
        <v/>
      </c>
      <c r="J926" s="322">
        <f>IFERROR(((VLOOKUP(Calculations[[#This Row],[TransportSource]],TransportDistance[],2,FALSE)*'Stage assumptions'!$C$11)+VLOOKUP(Calculations[[#This Row],[TransportSource]],TransportDistance[],3,FALSE)*'Stage assumptions'!$C$12)*Calculations[[#This Row],[Total Kg]],0)</f>
        <v>0</v>
      </c>
      <c r="K926">
        <f>IFERROR(VLOOKUP(Calculations[[#This Row],[Material (choose from dropdown]], MaterialData[#All],3, FALSE),0)</f>
        <v>0</v>
      </c>
      <c r="L926" s="322">
        <f>IFERROR(VLOOKUP(Calculations[[#This Row],[A5type]],A5WastageRate[#All],2,FALSE)*Calculations[[#This Row],[A1-3]],0)</f>
        <v>0</v>
      </c>
      <c r="N926">
        <f>IFERROR(ROUNDUP(50/VLOOKUP(Calculations[[#This Row],[Scope Element]],B4referenceServiceLife[[Tier 2 element]:[Default Service Life]],2, FALSE)-1,0),0)</f>
        <v>0</v>
      </c>
      <c r="O926" s="322">
        <f>IFERROR((Calculations[[#This Row],[A1-3]]+Calculations[[#This Row],[A4]]+Calculations[[#This Row],[A5]]+Calculations[[#This Row],[C2 total]]+Calculations[[#This Row],[C3 total]]+Calculations[[#This Row],[C4 total]])*Calculations[[#This Row],[Replacements]],0)</f>
        <v>0</v>
      </c>
      <c r="S926" t="str">
        <f>IFERROR(VLOOKUP(Calculations[[#This Row],[Material (choose from dropdown]],MaterialData[#All],4,FALSE),"")</f>
        <v/>
      </c>
      <c r="T926" s="322" cm="1">
        <f t="array" ref="T926">IFERROR(VLOOKUP(Calculations[[#This Row],[Waste 1]],WasteScenario[#All],2,FALSE)*'Stage assumptions'!$C$225*WasteTransportMethod[Emissions Factor
kgCO2e/kg.km]*Calculations[[#This Row],[Total Kg]],0)</f>
        <v>0</v>
      </c>
      <c r="U926" s="322" cm="1">
        <f t="array" ref="U926">IFERROR(VLOOKUP(Calculations[[#This Row],[Waste 1]],WasteScenario[#All],3,FALSE)*'Stage assumptions'!$C$224*WasteTransportMethod[Emissions Factor
kgCO2e/kg.km]*Calculations[[#This Row],[Total Kg]],0)</f>
        <v>0</v>
      </c>
      <c r="V926" s="322" cm="1">
        <f t="array" ref="V926">IFERROR(VLOOKUP(Calculations[[#This Row],[Waste 1]],WasteScenario[#All],4,FALSE)*'Stage assumptions'!$C$223*WasteTransportMethod[Emissions Factor
kgCO2e/kg.km]*Calculations[[#This Row],[Total Kg]],0)</f>
        <v>0</v>
      </c>
      <c r="W926" s="322" cm="1">
        <f t="array" ref="W926">IFERROR(VLOOKUP(Calculations[[#This Row],[Waste 1]],WasteScenario[#All],5,FALSE)*'Stage assumptions'!$C$226*WasteTransportMethod[Emissions Factor
kgCO2e/kg.km]*Calculations[[#This Row],[Total Kg]],0)</f>
        <v>0</v>
      </c>
      <c r="X926" s="322">
        <f>SUM(Calculations[[#This Row],[C2 Recycle]:[C2 Reuse]])</f>
        <v>0</v>
      </c>
      <c r="Y926" t="str">
        <f>IFERROR(VLOOKUP(Calculations[[#This Row],[Material (choose from dropdown]],MaterialData[#All],5,FALSE),"")</f>
        <v/>
      </c>
      <c r="Z926" s="322">
        <f>IFERROR(((VLOOKUP(Calculations[[#This Row],[Waste type 2]],WasteDisposalEmissions[#All],2,FALSE))*Calculations[[#This Row],[Total Kg]])*VLOOKUP(Calculations[[#This Row],[Waste 1]],WasteScenario[#All],2,FALSE),0)</f>
        <v>0</v>
      </c>
      <c r="AA926" s="322">
        <f>IFERROR((VLOOKUP(Calculations[[#This Row],[Waste type 2]],WasteDisposalEmissions[#All],3,FALSE))*Calculations[[#This Row],[Total Kg]]*VLOOKUP(Calculations[[#This Row],[Waste 1]],WasteScenario[#All],3,FALSE),0)</f>
        <v>0</v>
      </c>
      <c r="AB926" s="322">
        <f>SUM(Calculations[[#This Row],[C3 recyc]:[C3 incin]])</f>
        <v>0</v>
      </c>
      <c r="AC926" s="334">
        <f>IFERROR((VLOOKUP(Calculations[[#This Row],[Waste type 2]],WasteLandfillEmissions[#All],2,FALSE))*Calculations[[#This Row],[Total Kg]]*VLOOKUP(Calculations[[#This Row],[Waste 1]],WasteScenario[#All],4,FALSE),0)</f>
        <v>0</v>
      </c>
      <c r="AD926" s="322">
        <f>IFERROR((VLOOKUP(Calculations[[#This Row],[Waste type 2]],WasteLandfillEmissions[#All],3,FALSE))*Calculations[[#This Row],[Total Kg]]*VLOOKUP(Calculations[[#This Row],[Waste 1]],WasteScenario[#All],4,FALSE),0)</f>
        <v>0</v>
      </c>
      <c r="AE926" s="322">
        <f>SUM(Calculations[[#This Row],[C4 landfill]:[C4 re-use]])</f>
        <v>0</v>
      </c>
      <c r="AF926" s="322">
        <f>IFERROR(VLOOKUP(Calculations[[#This Row],[Material (choose from dropdown]],MaterialData[#All],8,FALSE),0)</f>
        <v>0</v>
      </c>
      <c r="AG926" s="322">
        <f>IFERROR(Calculations[[#This Row],[Total Kg]]*Calculations[[#This Row],[Seq factor]],0)</f>
        <v>0</v>
      </c>
      <c r="AI926" s="322">
        <f>Calculations[[#This Row],[A1-3]]+Calculations[[#This Row],[A4]]+Calculations[[#This Row],[A5]]+Calculations[[#This Row],[B4]]+Calculations[[#This Row],[C2 total]]+Calculations[[#This Row],[C3 total]]+Calculations[[#This Row],[C4 total]]</f>
        <v>0</v>
      </c>
      <c r="AJ926" s="2">
        <f>IFERROR(VLOOKUP(Calculations[[#This Row],[Material (choose from dropdown]],MaterialData[[#Headers],[#Data]],9,FALSE),0)</f>
        <v>0</v>
      </c>
      <c r="AK926" s="4">
        <f>IFERROR(VLOOKUP(Calculations[[#This Row],[Material (choose from dropdown]],MaterialData[[#Headers],[#Data]],10,FALSE),0)</f>
        <v>0</v>
      </c>
      <c r="AL926" s="322">
        <f>IFERROR(Calculations[[#This Row],[Data Quality Score]]*Calculations[[#This Row],[Total Kg]],0)</f>
        <v>0</v>
      </c>
    </row>
    <row r="927" spans="1:38" x14ac:dyDescent="0.3">
      <c r="A927" s="6">
        <f>IFERROR(MaterialsBoQ[[#This Row],[Scope Element]],0)</f>
        <v>0</v>
      </c>
      <c r="B927" t="str">
        <f>IFERROR(MaterialsBoQ[[#This Row],[Material ]],"")</f>
        <v/>
      </c>
      <c r="C927" t="str">
        <f>IFERROR(MaterialsBoQ[[#This Row],[Unit]],"")</f>
        <v/>
      </c>
      <c r="D927" s="322">
        <f>IFERROR(MaterialsBoQ[[#This Row],[Number]],0)</f>
        <v>0</v>
      </c>
      <c r="E927" s="322">
        <f>IFERROR(MaterialsBoQ[[#This Row],[Kg per unit]],0)</f>
        <v>0</v>
      </c>
      <c r="F927" s="322">
        <f>IFERROR(Calculations[[#This Row],[Number]]*Calculations[[#This Row],[Conversion factor]],0)</f>
        <v>0</v>
      </c>
      <c r="G927" s="322">
        <f>IFERROR(VLOOKUP(Calculations[[#This Row],[Material (choose from dropdown]],MaterialData[#All],7,FALSE),0)</f>
        <v>0</v>
      </c>
      <c r="H927" s="322">
        <f>Calculations[[#This Row],[Total Kg]]*Calculations[[#This Row],[Carbon Factor]]</f>
        <v>0</v>
      </c>
      <c r="I927" t="str">
        <f>IFERROR(VLOOKUP(Calculations[[#This Row],[Material (choose from dropdown]],MaterialData[#All],2,FALSE),"")</f>
        <v/>
      </c>
      <c r="J927" s="322">
        <f>IFERROR(((VLOOKUP(Calculations[[#This Row],[TransportSource]],TransportDistance[],2,FALSE)*'Stage assumptions'!$C$11)+VLOOKUP(Calculations[[#This Row],[TransportSource]],TransportDistance[],3,FALSE)*'Stage assumptions'!$C$12)*Calculations[[#This Row],[Total Kg]],0)</f>
        <v>0</v>
      </c>
      <c r="K927">
        <f>IFERROR(VLOOKUP(Calculations[[#This Row],[Material (choose from dropdown]], MaterialData[#All],3, FALSE),0)</f>
        <v>0</v>
      </c>
      <c r="L927" s="322">
        <f>IFERROR(VLOOKUP(Calculations[[#This Row],[A5type]],A5WastageRate[#All],2,FALSE)*Calculations[[#This Row],[A1-3]],0)</f>
        <v>0</v>
      </c>
      <c r="N927">
        <f>IFERROR(ROUNDUP(50/VLOOKUP(Calculations[[#This Row],[Scope Element]],B4referenceServiceLife[[Tier 2 element]:[Default Service Life]],2, FALSE)-1,0),0)</f>
        <v>0</v>
      </c>
      <c r="O927" s="322">
        <f>IFERROR((Calculations[[#This Row],[A1-3]]+Calculations[[#This Row],[A4]]+Calculations[[#This Row],[A5]]+Calculations[[#This Row],[C2 total]]+Calculations[[#This Row],[C3 total]]+Calculations[[#This Row],[C4 total]])*Calculations[[#This Row],[Replacements]],0)</f>
        <v>0</v>
      </c>
      <c r="S927" t="str">
        <f>IFERROR(VLOOKUP(Calculations[[#This Row],[Material (choose from dropdown]],MaterialData[#All],4,FALSE),"")</f>
        <v/>
      </c>
      <c r="T927" s="322" cm="1">
        <f t="array" ref="T927">IFERROR(VLOOKUP(Calculations[[#This Row],[Waste 1]],WasteScenario[#All],2,FALSE)*'Stage assumptions'!$C$225*WasteTransportMethod[Emissions Factor
kgCO2e/kg.km]*Calculations[[#This Row],[Total Kg]],0)</f>
        <v>0</v>
      </c>
      <c r="U927" s="322" cm="1">
        <f t="array" ref="U927">IFERROR(VLOOKUP(Calculations[[#This Row],[Waste 1]],WasteScenario[#All],3,FALSE)*'Stage assumptions'!$C$224*WasteTransportMethod[Emissions Factor
kgCO2e/kg.km]*Calculations[[#This Row],[Total Kg]],0)</f>
        <v>0</v>
      </c>
      <c r="V927" s="322" cm="1">
        <f t="array" ref="V927">IFERROR(VLOOKUP(Calculations[[#This Row],[Waste 1]],WasteScenario[#All],4,FALSE)*'Stage assumptions'!$C$223*WasteTransportMethod[Emissions Factor
kgCO2e/kg.km]*Calculations[[#This Row],[Total Kg]],0)</f>
        <v>0</v>
      </c>
      <c r="W927" s="322" cm="1">
        <f t="array" ref="W927">IFERROR(VLOOKUP(Calculations[[#This Row],[Waste 1]],WasteScenario[#All],5,FALSE)*'Stage assumptions'!$C$226*WasteTransportMethod[Emissions Factor
kgCO2e/kg.km]*Calculations[[#This Row],[Total Kg]],0)</f>
        <v>0</v>
      </c>
      <c r="X927" s="322">
        <f>SUM(Calculations[[#This Row],[C2 Recycle]:[C2 Reuse]])</f>
        <v>0</v>
      </c>
      <c r="Y927" t="str">
        <f>IFERROR(VLOOKUP(Calculations[[#This Row],[Material (choose from dropdown]],MaterialData[#All],5,FALSE),"")</f>
        <v/>
      </c>
      <c r="Z927" s="322">
        <f>IFERROR(((VLOOKUP(Calculations[[#This Row],[Waste type 2]],WasteDisposalEmissions[#All],2,FALSE))*Calculations[[#This Row],[Total Kg]])*VLOOKUP(Calculations[[#This Row],[Waste 1]],WasteScenario[#All],2,FALSE),0)</f>
        <v>0</v>
      </c>
      <c r="AA927" s="322">
        <f>IFERROR((VLOOKUP(Calculations[[#This Row],[Waste type 2]],WasteDisposalEmissions[#All],3,FALSE))*Calculations[[#This Row],[Total Kg]]*VLOOKUP(Calculations[[#This Row],[Waste 1]],WasteScenario[#All],3,FALSE),0)</f>
        <v>0</v>
      </c>
      <c r="AB927" s="322">
        <f>SUM(Calculations[[#This Row],[C3 recyc]:[C3 incin]])</f>
        <v>0</v>
      </c>
      <c r="AC927" s="334">
        <f>IFERROR((VLOOKUP(Calculations[[#This Row],[Waste type 2]],WasteLandfillEmissions[#All],2,FALSE))*Calculations[[#This Row],[Total Kg]]*VLOOKUP(Calculations[[#This Row],[Waste 1]],WasteScenario[#All],4,FALSE),0)</f>
        <v>0</v>
      </c>
      <c r="AD927" s="322">
        <f>IFERROR((VLOOKUP(Calculations[[#This Row],[Waste type 2]],WasteLandfillEmissions[#All],3,FALSE))*Calculations[[#This Row],[Total Kg]]*VLOOKUP(Calculations[[#This Row],[Waste 1]],WasteScenario[#All],4,FALSE),0)</f>
        <v>0</v>
      </c>
      <c r="AE927" s="322">
        <f>SUM(Calculations[[#This Row],[C4 landfill]:[C4 re-use]])</f>
        <v>0</v>
      </c>
      <c r="AF927" s="322">
        <f>IFERROR(VLOOKUP(Calculations[[#This Row],[Material (choose from dropdown]],MaterialData[#All],8,FALSE),0)</f>
        <v>0</v>
      </c>
      <c r="AG927" s="322">
        <f>IFERROR(Calculations[[#This Row],[Total Kg]]*Calculations[[#This Row],[Seq factor]],0)</f>
        <v>0</v>
      </c>
      <c r="AI927" s="322">
        <f>Calculations[[#This Row],[A1-3]]+Calculations[[#This Row],[A4]]+Calculations[[#This Row],[A5]]+Calculations[[#This Row],[B4]]+Calculations[[#This Row],[C2 total]]+Calculations[[#This Row],[C3 total]]+Calculations[[#This Row],[C4 total]]</f>
        <v>0</v>
      </c>
      <c r="AJ927" s="2">
        <f>IFERROR(VLOOKUP(Calculations[[#This Row],[Material (choose from dropdown]],MaterialData[[#Headers],[#Data]],9,FALSE),0)</f>
        <v>0</v>
      </c>
      <c r="AK927" s="4">
        <f>IFERROR(VLOOKUP(Calculations[[#This Row],[Material (choose from dropdown]],MaterialData[[#Headers],[#Data]],10,FALSE),0)</f>
        <v>0</v>
      </c>
      <c r="AL927" s="322">
        <f>IFERROR(Calculations[[#This Row],[Data Quality Score]]*Calculations[[#This Row],[Total Kg]],0)</f>
        <v>0</v>
      </c>
    </row>
    <row r="928" spans="1:38" x14ac:dyDescent="0.3">
      <c r="A928" s="6">
        <f>IFERROR(MaterialsBoQ[[#This Row],[Scope Element]],0)</f>
        <v>0</v>
      </c>
      <c r="B928" t="str">
        <f>IFERROR(MaterialsBoQ[[#This Row],[Material ]],"")</f>
        <v/>
      </c>
      <c r="C928" t="str">
        <f>IFERROR(MaterialsBoQ[[#This Row],[Unit]],"")</f>
        <v/>
      </c>
      <c r="D928" s="322">
        <f>IFERROR(MaterialsBoQ[[#This Row],[Number]],0)</f>
        <v>0</v>
      </c>
      <c r="E928" s="322">
        <f>IFERROR(MaterialsBoQ[[#This Row],[Kg per unit]],0)</f>
        <v>0</v>
      </c>
      <c r="F928" s="322">
        <f>IFERROR(Calculations[[#This Row],[Number]]*Calculations[[#This Row],[Conversion factor]],0)</f>
        <v>0</v>
      </c>
      <c r="G928" s="322">
        <f>IFERROR(VLOOKUP(Calculations[[#This Row],[Material (choose from dropdown]],MaterialData[#All],7,FALSE),0)</f>
        <v>0</v>
      </c>
      <c r="H928" s="322">
        <f>Calculations[[#This Row],[Total Kg]]*Calculations[[#This Row],[Carbon Factor]]</f>
        <v>0</v>
      </c>
      <c r="I928" t="str">
        <f>IFERROR(VLOOKUP(Calculations[[#This Row],[Material (choose from dropdown]],MaterialData[#All],2,FALSE),"")</f>
        <v/>
      </c>
      <c r="J928" s="322">
        <f>IFERROR(((VLOOKUP(Calculations[[#This Row],[TransportSource]],TransportDistance[],2,FALSE)*'Stage assumptions'!$C$11)+VLOOKUP(Calculations[[#This Row],[TransportSource]],TransportDistance[],3,FALSE)*'Stage assumptions'!$C$12)*Calculations[[#This Row],[Total Kg]],0)</f>
        <v>0</v>
      </c>
      <c r="K928">
        <f>IFERROR(VLOOKUP(Calculations[[#This Row],[Material (choose from dropdown]], MaterialData[#All],3, FALSE),0)</f>
        <v>0</v>
      </c>
      <c r="L928" s="322">
        <f>IFERROR(VLOOKUP(Calculations[[#This Row],[A5type]],A5WastageRate[#All],2,FALSE)*Calculations[[#This Row],[A1-3]],0)</f>
        <v>0</v>
      </c>
      <c r="N928">
        <f>IFERROR(ROUNDUP(50/VLOOKUP(Calculations[[#This Row],[Scope Element]],B4referenceServiceLife[[Tier 2 element]:[Default Service Life]],2, FALSE)-1,0),0)</f>
        <v>0</v>
      </c>
      <c r="O928" s="322">
        <f>IFERROR((Calculations[[#This Row],[A1-3]]+Calculations[[#This Row],[A4]]+Calculations[[#This Row],[A5]]+Calculations[[#This Row],[C2 total]]+Calculations[[#This Row],[C3 total]]+Calculations[[#This Row],[C4 total]])*Calculations[[#This Row],[Replacements]],0)</f>
        <v>0</v>
      </c>
      <c r="S928" t="str">
        <f>IFERROR(VLOOKUP(Calculations[[#This Row],[Material (choose from dropdown]],MaterialData[#All],4,FALSE),"")</f>
        <v/>
      </c>
      <c r="T928" s="322" cm="1">
        <f t="array" ref="T928">IFERROR(VLOOKUP(Calculations[[#This Row],[Waste 1]],WasteScenario[#All],2,FALSE)*'Stage assumptions'!$C$225*WasteTransportMethod[Emissions Factor
kgCO2e/kg.km]*Calculations[[#This Row],[Total Kg]],0)</f>
        <v>0</v>
      </c>
      <c r="U928" s="322" cm="1">
        <f t="array" ref="U928">IFERROR(VLOOKUP(Calculations[[#This Row],[Waste 1]],WasteScenario[#All],3,FALSE)*'Stage assumptions'!$C$224*WasteTransportMethod[Emissions Factor
kgCO2e/kg.km]*Calculations[[#This Row],[Total Kg]],0)</f>
        <v>0</v>
      </c>
      <c r="V928" s="322" cm="1">
        <f t="array" ref="V928">IFERROR(VLOOKUP(Calculations[[#This Row],[Waste 1]],WasteScenario[#All],4,FALSE)*'Stage assumptions'!$C$223*WasteTransportMethod[Emissions Factor
kgCO2e/kg.km]*Calculations[[#This Row],[Total Kg]],0)</f>
        <v>0</v>
      </c>
      <c r="W928" s="322" cm="1">
        <f t="array" ref="W928">IFERROR(VLOOKUP(Calculations[[#This Row],[Waste 1]],WasteScenario[#All],5,FALSE)*'Stage assumptions'!$C$226*WasteTransportMethod[Emissions Factor
kgCO2e/kg.km]*Calculations[[#This Row],[Total Kg]],0)</f>
        <v>0</v>
      </c>
      <c r="X928" s="322">
        <f>SUM(Calculations[[#This Row],[C2 Recycle]:[C2 Reuse]])</f>
        <v>0</v>
      </c>
      <c r="Y928" t="str">
        <f>IFERROR(VLOOKUP(Calculations[[#This Row],[Material (choose from dropdown]],MaterialData[#All],5,FALSE),"")</f>
        <v/>
      </c>
      <c r="Z928" s="322">
        <f>IFERROR(((VLOOKUP(Calculations[[#This Row],[Waste type 2]],WasteDisposalEmissions[#All],2,FALSE))*Calculations[[#This Row],[Total Kg]])*VLOOKUP(Calculations[[#This Row],[Waste 1]],WasteScenario[#All],2,FALSE),0)</f>
        <v>0</v>
      </c>
      <c r="AA928" s="322">
        <f>IFERROR((VLOOKUP(Calculations[[#This Row],[Waste type 2]],WasteDisposalEmissions[#All],3,FALSE))*Calculations[[#This Row],[Total Kg]]*VLOOKUP(Calculations[[#This Row],[Waste 1]],WasteScenario[#All],3,FALSE),0)</f>
        <v>0</v>
      </c>
      <c r="AB928" s="322">
        <f>SUM(Calculations[[#This Row],[C3 recyc]:[C3 incin]])</f>
        <v>0</v>
      </c>
      <c r="AC928" s="334">
        <f>IFERROR((VLOOKUP(Calculations[[#This Row],[Waste type 2]],WasteLandfillEmissions[#All],2,FALSE))*Calculations[[#This Row],[Total Kg]]*VLOOKUP(Calculations[[#This Row],[Waste 1]],WasteScenario[#All],4,FALSE),0)</f>
        <v>0</v>
      </c>
      <c r="AD928" s="322">
        <f>IFERROR((VLOOKUP(Calculations[[#This Row],[Waste type 2]],WasteLandfillEmissions[#All],3,FALSE))*Calculations[[#This Row],[Total Kg]]*VLOOKUP(Calculations[[#This Row],[Waste 1]],WasteScenario[#All],4,FALSE),0)</f>
        <v>0</v>
      </c>
      <c r="AE928" s="322">
        <f>SUM(Calculations[[#This Row],[C4 landfill]:[C4 re-use]])</f>
        <v>0</v>
      </c>
      <c r="AF928" s="322">
        <f>IFERROR(VLOOKUP(Calculations[[#This Row],[Material (choose from dropdown]],MaterialData[#All],8,FALSE),0)</f>
        <v>0</v>
      </c>
      <c r="AG928" s="322">
        <f>IFERROR(Calculations[[#This Row],[Total Kg]]*Calculations[[#This Row],[Seq factor]],0)</f>
        <v>0</v>
      </c>
      <c r="AI928" s="322">
        <f>Calculations[[#This Row],[A1-3]]+Calculations[[#This Row],[A4]]+Calculations[[#This Row],[A5]]+Calculations[[#This Row],[B4]]+Calculations[[#This Row],[C2 total]]+Calculations[[#This Row],[C3 total]]+Calculations[[#This Row],[C4 total]]</f>
        <v>0</v>
      </c>
      <c r="AJ928" s="2">
        <f>IFERROR(VLOOKUP(Calculations[[#This Row],[Material (choose from dropdown]],MaterialData[[#Headers],[#Data]],9,FALSE),0)</f>
        <v>0</v>
      </c>
      <c r="AK928" s="4">
        <f>IFERROR(VLOOKUP(Calculations[[#This Row],[Material (choose from dropdown]],MaterialData[[#Headers],[#Data]],10,FALSE),0)</f>
        <v>0</v>
      </c>
      <c r="AL928" s="322">
        <f>IFERROR(Calculations[[#This Row],[Data Quality Score]]*Calculations[[#This Row],[Total Kg]],0)</f>
        <v>0</v>
      </c>
    </row>
    <row r="929" spans="1:38" x14ac:dyDescent="0.3">
      <c r="A929" s="6">
        <f>IFERROR(MaterialsBoQ[[#This Row],[Scope Element]],0)</f>
        <v>0</v>
      </c>
      <c r="B929" t="str">
        <f>IFERROR(MaterialsBoQ[[#This Row],[Material ]],"")</f>
        <v/>
      </c>
      <c r="C929" t="str">
        <f>IFERROR(MaterialsBoQ[[#This Row],[Unit]],"")</f>
        <v/>
      </c>
      <c r="D929" s="322">
        <f>IFERROR(MaterialsBoQ[[#This Row],[Number]],0)</f>
        <v>0</v>
      </c>
      <c r="E929" s="322">
        <f>IFERROR(MaterialsBoQ[[#This Row],[Kg per unit]],0)</f>
        <v>0</v>
      </c>
      <c r="F929" s="322">
        <f>IFERROR(Calculations[[#This Row],[Number]]*Calculations[[#This Row],[Conversion factor]],0)</f>
        <v>0</v>
      </c>
      <c r="G929" s="322">
        <f>IFERROR(VLOOKUP(Calculations[[#This Row],[Material (choose from dropdown]],MaterialData[#All],7,FALSE),0)</f>
        <v>0</v>
      </c>
      <c r="H929" s="322">
        <f>Calculations[[#This Row],[Total Kg]]*Calculations[[#This Row],[Carbon Factor]]</f>
        <v>0</v>
      </c>
      <c r="I929" t="str">
        <f>IFERROR(VLOOKUP(Calculations[[#This Row],[Material (choose from dropdown]],MaterialData[#All],2,FALSE),"")</f>
        <v/>
      </c>
      <c r="J929" s="322">
        <f>IFERROR(((VLOOKUP(Calculations[[#This Row],[TransportSource]],TransportDistance[],2,FALSE)*'Stage assumptions'!$C$11)+VLOOKUP(Calculations[[#This Row],[TransportSource]],TransportDistance[],3,FALSE)*'Stage assumptions'!$C$12)*Calculations[[#This Row],[Total Kg]],0)</f>
        <v>0</v>
      </c>
      <c r="K929">
        <f>IFERROR(VLOOKUP(Calculations[[#This Row],[Material (choose from dropdown]], MaterialData[#All],3, FALSE),0)</f>
        <v>0</v>
      </c>
      <c r="L929" s="322">
        <f>IFERROR(VLOOKUP(Calculations[[#This Row],[A5type]],A5WastageRate[#All],2,FALSE)*Calculations[[#This Row],[A1-3]],0)</f>
        <v>0</v>
      </c>
      <c r="N929">
        <f>IFERROR(ROUNDUP(50/VLOOKUP(Calculations[[#This Row],[Scope Element]],B4referenceServiceLife[[Tier 2 element]:[Default Service Life]],2, FALSE)-1,0),0)</f>
        <v>0</v>
      </c>
      <c r="O929" s="322">
        <f>IFERROR((Calculations[[#This Row],[A1-3]]+Calculations[[#This Row],[A4]]+Calculations[[#This Row],[A5]]+Calculations[[#This Row],[C2 total]]+Calculations[[#This Row],[C3 total]]+Calculations[[#This Row],[C4 total]])*Calculations[[#This Row],[Replacements]],0)</f>
        <v>0</v>
      </c>
      <c r="S929" t="str">
        <f>IFERROR(VLOOKUP(Calculations[[#This Row],[Material (choose from dropdown]],MaterialData[#All],4,FALSE),"")</f>
        <v/>
      </c>
      <c r="T929" s="322" cm="1">
        <f t="array" ref="T929">IFERROR(VLOOKUP(Calculations[[#This Row],[Waste 1]],WasteScenario[#All],2,FALSE)*'Stage assumptions'!$C$225*WasteTransportMethod[Emissions Factor
kgCO2e/kg.km]*Calculations[[#This Row],[Total Kg]],0)</f>
        <v>0</v>
      </c>
      <c r="U929" s="322" cm="1">
        <f t="array" ref="U929">IFERROR(VLOOKUP(Calculations[[#This Row],[Waste 1]],WasteScenario[#All],3,FALSE)*'Stage assumptions'!$C$224*WasteTransportMethod[Emissions Factor
kgCO2e/kg.km]*Calculations[[#This Row],[Total Kg]],0)</f>
        <v>0</v>
      </c>
      <c r="V929" s="322" cm="1">
        <f t="array" ref="V929">IFERROR(VLOOKUP(Calculations[[#This Row],[Waste 1]],WasteScenario[#All],4,FALSE)*'Stage assumptions'!$C$223*WasteTransportMethod[Emissions Factor
kgCO2e/kg.km]*Calculations[[#This Row],[Total Kg]],0)</f>
        <v>0</v>
      </c>
      <c r="W929" s="322" cm="1">
        <f t="array" ref="W929">IFERROR(VLOOKUP(Calculations[[#This Row],[Waste 1]],WasteScenario[#All],5,FALSE)*'Stage assumptions'!$C$226*WasteTransportMethod[Emissions Factor
kgCO2e/kg.km]*Calculations[[#This Row],[Total Kg]],0)</f>
        <v>0</v>
      </c>
      <c r="X929" s="322">
        <f>SUM(Calculations[[#This Row],[C2 Recycle]:[C2 Reuse]])</f>
        <v>0</v>
      </c>
      <c r="Y929" t="str">
        <f>IFERROR(VLOOKUP(Calculations[[#This Row],[Material (choose from dropdown]],MaterialData[#All],5,FALSE),"")</f>
        <v/>
      </c>
      <c r="Z929" s="322">
        <f>IFERROR(((VLOOKUP(Calculations[[#This Row],[Waste type 2]],WasteDisposalEmissions[#All],2,FALSE))*Calculations[[#This Row],[Total Kg]])*VLOOKUP(Calculations[[#This Row],[Waste 1]],WasteScenario[#All],2,FALSE),0)</f>
        <v>0</v>
      </c>
      <c r="AA929" s="322">
        <f>IFERROR((VLOOKUP(Calculations[[#This Row],[Waste type 2]],WasteDisposalEmissions[#All],3,FALSE))*Calculations[[#This Row],[Total Kg]]*VLOOKUP(Calculations[[#This Row],[Waste 1]],WasteScenario[#All],3,FALSE),0)</f>
        <v>0</v>
      </c>
      <c r="AB929" s="322">
        <f>SUM(Calculations[[#This Row],[C3 recyc]:[C3 incin]])</f>
        <v>0</v>
      </c>
      <c r="AC929" s="334">
        <f>IFERROR((VLOOKUP(Calculations[[#This Row],[Waste type 2]],WasteLandfillEmissions[#All],2,FALSE))*Calculations[[#This Row],[Total Kg]]*VLOOKUP(Calculations[[#This Row],[Waste 1]],WasteScenario[#All],4,FALSE),0)</f>
        <v>0</v>
      </c>
      <c r="AD929" s="322">
        <f>IFERROR((VLOOKUP(Calculations[[#This Row],[Waste type 2]],WasteLandfillEmissions[#All],3,FALSE))*Calculations[[#This Row],[Total Kg]]*VLOOKUP(Calculations[[#This Row],[Waste 1]],WasteScenario[#All],4,FALSE),0)</f>
        <v>0</v>
      </c>
      <c r="AE929" s="322">
        <f>SUM(Calculations[[#This Row],[C4 landfill]:[C4 re-use]])</f>
        <v>0</v>
      </c>
      <c r="AF929" s="322">
        <f>IFERROR(VLOOKUP(Calculations[[#This Row],[Material (choose from dropdown]],MaterialData[#All],8,FALSE),0)</f>
        <v>0</v>
      </c>
      <c r="AG929" s="322">
        <f>IFERROR(Calculations[[#This Row],[Total Kg]]*Calculations[[#This Row],[Seq factor]],0)</f>
        <v>0</v>
      </c>
      <c r="AI929" s="322">
        <f>Calculations[[#This Row],[A1-3]]+Calculations[[#This Row],[A4]]+Calculations[[#This Row],[A5]]+Calculations[[#This Row],[B4]]+Calculations[[#This Row],[C2 total]]+Calculations[[#This Row],[C3 total]]+Calculations[[#This Row],[C4 total]]</f>
        <v>0</v>
      </c>
      <c r="AJ929" s="2">
        <f>IFERROR(VLOOKUP(Calculations[[#This Row],[Material (choose from dropdown]],MaterialData[[#Headers],[#Data]],9,FALSE),0)</f>
        <v>0</v>
      </c>
      <c r="AK929" s="4">
        <f>IFERROR(VLOOKUP(Calculations[[#This Row],[Material (choose from dropdown]],MaterialData[[#Headers],[#Data]],10,FALSE),0)</f>
        <v>0</v>
      </c>
      <c r="AL929" s="322">
        <f>IFERROR(Calculations[[#This Row],[Data Quality Score]]*Calculations[[#This Row],[Total Kg]],0)</f>
        <v>0</v>
      </c>
    </row>
    <row r="930" spans="1:38" x14ac:dyDescent="0.3">
      <c r="A930" s="6">
        <f>IFERROR(MaterialsBoQ[[#This Row],[Scope Element]],0)</f>
        <v>0</v>
      </c>
      <c r="B930" t="str">
        <f>IFERROR(MaterialsBoQ[[#This Row],[Material ]],"")</f>
        <v/>
      </c>
      <c r="C930" t="str">
        <f>IFERROR(MaterialsBoQ[[#This Row],[Unit]],"")</f>
        <v/>
      </c>
      <c r="D930" s="322">
        <f>IFERROR(MaterialsBoQ[[#This Row],[Number]],0)</f>
        <v>0</v>
      </c>
      <c r="E930" s="322">
        <f>IFERROR(MaterialsBoQ[[#This Row],[Kg per unit]],0)</f>
        <v>0</v>
      </c>
      <c r="F930" s="322">
        <f>IFERROR(Calculations[[#This Row],[Number]]*Calculations[[#This Row],[Conversion factor]],0)</f>
        <v>0</v>
      </c>
      <c r="G930" s="322">
        <f>IFERROR(VLOOKUP(Calculations[[#This Row],[Material (choose from dropdown]],MaterialData[#All],7,FALSE),0)</f>
        <v>0</v>
      </c>
      <c r="H930" s="322">
        <f>Calculations[[#This Row],[Total Kg]]*Calculations[[#This Row],[Carbon Factor]]</f>
        <v>0</v>
      </c>
      <c r="I930" t="str">
        <f>IFERROR(VLOOKUP(Calculations[[#This Row],[Material (choose from dropdown]],MaterialData[#All],2,FALSE),"")</f>
        <v/>
      </c>
      <c r="J930" s="322">
        <f>IFERROR(((VLOOKUP(Calculations[[#This Row],[TransportSource]],TransportDistance[],2,FALSE)*'Stage assumptions'!$C$11)+VLOOKUP(Calculations[[#This Row],[TransportSource]],TransportDistance[],3,FALSE)*'Stage assumptions'!$C$12)*Calculations[[#This Row],[Total Kg]],0)</f>
        <v>0</v>
      </c>
      <c r="K930">
        <f>IFERROR(VLOOKUP(Calculations[[#This Row],[Material (choose from dropdown]], MaterialData[#All],3, FALSE),0)</f>
        <v>0</v>
      </c>
      <c r="L930" s="322">
        <f>IFERROR(VLOOKUP(Calculations[[#This Row],[A5type]],A5WastageRate[#All],2,FALSE)*Calculations[[#This Row],[A1-3]],0)</f>
        <v>0</v>
      </c>
      <c r="N930">
        <f>IFERROR(ROUNDUP(50/VLOOKUP(Calculations[[#This Row],[Scope Element]],B4referenceServiceLife[[Tier 2 element]:[Default Service Life]],2, FALSE)-1,0),0)</f>
        <v>0</v>
      </c>
      <c r="O930" s="322">
        <f>IFERROR((Calculations[[#This Row],[A1-3]]+Calculations[[#This Row],[A4]]+Calculations[[#This Row],[A5]]+Calculations[[#This Row],[C2 total]]+Calculations[[#This Row],[C3 total]]+Calculations[[#This Row],[C4 total]])*Calculations[[#This Row],[Replacements]],0)</f>
        <v>0</v>
      </c>
      <c r="S930" t="str">
        <f>IFERROR(VLOOKUP(Calculations[[#This Row],[Material (choose from dropdown]],MaterialData[#All],4,FALSE),"")</f>
        <v/>
      </c>
      <c r="T930" s="322" cm="1">
        <f t="array" ref="T930">IFERROR(VLOOKUP(Calculations[[#This Row],[Waste 1]],WasteScenario[#All],2,FALSE)*'Stage assumptions'!$C$225*WasteTransportMethod[Emissions Factor
kgCO2e/kg.km]*Calculations[[#This Row],[Total Kg]],0)</f>
        <v>0</v>
      </c>
      <c r="U930" s="322" cm="1">
        <f t="array" ref="U930">IFERROR(VLOOKUP(Calculations[[#This Row],[Waste 1]],WasteScenario[#All],3,FALSE)*'Stage assumptions'!$C$224*WasteTransportMethod[Emissions Factor
kgCO2e/kg.km]*Calculations[[#This Row],[Total Kg]],0)</f>
        <v>0</v>
      </c>
      <c r="V930" s="322" cm="1">
        <f t="array" ref="V930">IFERROR(VLOOKUP(Calculations[[#This Row],[Waste 1]],WasteScenario[#All],4,FALSE)*'Stage assumptions'!$C$223*WasteTransportMethod[Emissions Factor
kgCO2e/kg.km]*Calculations[[#This Row],[Total Kg]],0)</f>
        <v>0</v>
      </c>
      <c r="W930" s="322" cm="1">
        <f t="array" ref="W930">IFERROR(VLOOKUP(Calculations[[#This Row],[Waste 1]],WasteScenario[#All],5,FALSE)*'Stage assumptions'!$C$226*WasteTransportMethod[Emissions Factor
kgCO2e/kg.km]*Calculations[[#This Row],[Total Kg]],0)</f>
        <v>0</v>
      </c>
      <c r="X930" s="322">
        <f>SUM(Calculations[[#This Row],[C2 Recycle]:[C2 Reuse]])</f>
        <v>0</v>
      </c>
      <c r="Y930" t="str">
        <f>IFERROR(VLOOKUP(Calculations[[#This Row],[Material (choose from dropdown]],MaterialData[#All],5,FALSE),"")</f>
        <v/>
      </c>
      <c r="Z930" s="322">
        <f>IFERROR(((VLOOKUP(Calculations[[#This Row],[Waste type 2]],WasteDisposalEmissions[#All],2,FALSE))*Calculations[[#This Row],[Total Kg]])*VLOOKUP(Calculations[[#This Row],[Waste 1]],WasteScenario[#All],2,FALSE),0)</f>
        <v>0</v>
      </c>
      <c r="AA930" s="322">
        <f>IFERROR((VLOOKUP(Calculations[[#This Row],[Waste type 2]],WasteDisposalEmissions[#All],3,FALSE))*Calculations[[#This Row],[Total Kg]]*VLOOKUP(Calculations[[#This Row],[Waste 1]],WasteScenario[#All],3,FALSE),0)</f>
        <v>0</v>
      </c>
      <c r="AB930" s="322">
        <f>SUM(Calculations[[#This Row],[C3 recyc]:[C3 incin]])</f>
        <v>0</v>
      </c>
      <c r="AC930" s="334">
        <f>IFERROR((VLOOKUP(Calculations[[#This Row],[Waste type 2]],WasteLandfillEmissions[#All],2,FALSE))*Calculations[[#This Row],[Total Kg]]*VLOOKUP(Calculations[[#This Row],[Waste 1]],WasteScenario[#All],4,FALSE),0)</f>
        <v>0</v>
      </c>
      <c r="AD930" s="322">
        <f>IFERROR((VLOOKUP(Calculations[[#This Row],[Waste type 2]],WasteLandfillEmissions[#All],3,FALSE))*Calculations[[#This Row],[Total Kg]]*VLOOKUP(Calculations[[#This Row],[Waste 1]],WasteScenario[#All],4,FALSE),0)</f>
        <v>0</v>
      </c>
      <c r="AE930" s="322">
        <f>SUM(Calculations[[#This Row],[C4 landfill]:[C4 re-use]])</f>
        <v>0</v>
      </c>
      <c r="AF930" s="322">
        <f>IFERROR(VLOOKUP(Calculations[[#This Row],[Material (choose from dropdown]],MaterialData[#All],8,FALSE),0)</f>
        <v>0</v>
      </c>
      <c r="AG930" s="322">
        <f>IFERROR(Calculations[[#This Row],[Total Kg]]*Calculations[[#This Row],[Seq factor]],0)</f>
        <v>0</v>
      </c>
      <c r="AI930" s="322">
        <f>Calculations[[#This Row],[A1-3]]+Calculations[[#This Row],[A4]]+Calculations[[#This Row],[A5]]+Calculations[[#This Row],[B4]]+Calculations[[#This Row],[C2 total]]+Calculations[[#This Row],[C3 total]]+Calculations[[#This Row],[C4 total]]</f>
        <v>0</v>
      </c>
      <c r="AJ930" s="2">
        <f>IFERROR(VLOOKUP(Calculations[[#This Row],[Material (choose from dropdown]],MaterialData[[#Headers],[#Data]],9,FALSE),0)</f>
        <v>0</v>
      </c>
      <c r="AK930" s="4">
        <f>IFERROR(VLOOKUP(Calculations[[#This Row],[Material (choose from dropdown]],MaterialData[[#Headers],[#Data]],10,FALSE),0)</f>
        <v>0</v>
      </c>
      <c r="AL930" s="322">
        <f>IFERROR(Calculations[[#This Row],[Data Quality Score]]*Calculations[[#This Row],[Total Kg]],0)</f>
        <v>0</v>
      </c>
    </row>
    <row r="931" spans="1:38" x14ac:dyDescent="0.3">
      <c r="A931" s="6">
        <f>IFERROR(MaterialsBoQ[[#This Row],[Scope Element]],0)</f>
        <v>0</v>
      </c>
      <c r="B931" t="str">
        <f>IFERROR(MaterialsBoQ[[#This Row],[Material ]],"")</f>
        <v/>
      </c>
      <c r="C931" t="str">
        <f>IFERROR(MaterialsBoQ[[#This Row],[Unit]],"")</f>
        <v/>
      </c>
      <c r="D931" s="322">
        <f>IFERROR(MaterialsBoQ[[#This Row],[Number]],0)</f>
        <v>0</v>
      </c>
      <c r="E931" s="322">
        <f>IFERROR(MaterialsBoQ[[#This Row],[Kg per unit]],0)</f>
        <v>0</v>
      </c>
      <c r="F931" s="322">
        <f>IFERROR(Calculations[[#This Row],[Number]]*Calculations[[#This Row],[Conversion factor]],0)</f>
        <v>0</v>
      </c>
      <c r="G931" s="322">
        <f>IFERROR(VLOOKUP(Calculations[[#This Row],[Material (choose from dropdown]],MaterialData[#All],7,FALSE),0)</f>
        <v>0</v>
      </c>
      <c r="H931" s="322">
        <f>Calculations[[#This Row],[Total Kg]]*Calculations[[#This Row],[Carbon Factor]]</f>
        <v>0</v>
      </c>
      <c r="I931" t="str">
        <f>IFERROR(VLOOKUP(Calculations[[#This Row],[Material (choose from dropdown]],MaterialData[#All],2,FALSE),"")</f>
        <v/>
      </c>
      <c r="J931" s="322">
        <f>IFERROR(((VLOOKUP(Calculations[[#This Row],[TransportSource]],TransportDistance[],2,FALSE)*'Stage assumptions'!$C$11)+VLOOKUP(Calculations[[#This Row],[TransportSource]],TransportDistance[],3,FALSE)*'Stage assumptions'!$C$12)*Calculations[[#This Row],[Total Kg]],0)</f>
        <v>0</v>
      </c>
      <c r="K931">
        <f>IFERROR(VLOOKUP(Calculations[[#This Row],[Material (choose from dropdown]], MaterialData[#All],3, FALSE),0)</f>
        <v>0</v>
      </c>
      <c r="L931" s="322">
        <f>IFERROR(VLOOKUP(Calculations[[#This Row],[A5type]],A5WastageRate[#All],2,FALSE)*Calculations[[#This Row],[A1-3]],0)</f>
        <v>0</v>
      </c>
      <c r="N931">
        <f>IFERROR(ROUNDUP(50/VLOOKUP(Calculations[[#This Row],[Scope Element]],B4referenceServiceLife[[Tier 2 element]:[Default Service Life]],2, FALSE)-1,0),0)</f>
        <v>0</v>
      </c>
      <c r="O931" s="322">
        <f>IFERROR((Calculations[[#This Row],[A1-3]]+Calculations[[#This Row],[A4]]+Calculations[[#This Row],[A5]]+Calculations[[#This Row],[C2 total]]+Calculations[[#This Row],[C3 total]]+Calculations[[#This Row],[C4 total]])*Calculations[[#This Row],[Replacements]],0)</f>
        <v>0</v>
      </c>
      <c r="S931" t="str">
        <f>IFERROR(VLOOKUP(Calculations[[#This Row],[Material (choose from dropdown]],MaterialData[#All],4,FALSE),"")</f>
        <v/>
      </c>
      <c r="T931" s="322" cm="1">
        <f t="array" ref="T931">IFERROR(VLOOKUP(Calculations[[#This Row],[Waste 1]],WasteScenario[#All],2,FALSE)*'Stage assumptions'!$C$225*WasteTransportMethod[Emissions Factor
kgCO2e/kg.km]*Calculations[[#This Row],[Total Kg]],0)</f>
        <v>0</v>
      </c>
      <c r="U931" s="322" cm="1">
        <f t="array" ref="U931">IFERROR(VLOOKUP(Calculations[[#This Row],[Waste 1]],WasteScenario[#All],3,FALSE)*'Stage assumptions'!$C$224*WasteTransportMethod[Emissions Factor
kgCO2e/kg.km]*Calculations[[#This Row],[Total Kg]],0)</f>
        <v>0</v>
      </c>
      <c r="V931" s="322" cm="1">
        <f t="array" ref="V931">IFERROR(VLOOKUP(Calculations[[#This Row],[Waste 1]],WasteScenario[#All],4,FALSE)*'Stage assumptions'!$C$223*WasteTransportMethod[Emissions Factor
kgCO2e/kg.km]*Calculations[[#This Row],[Total Kg]],0)</f>
        <v>0</v>
      </c>
      <c r="W931" s="322" cm="1">
        <f t="array" ref="W931">IFERROR(VLOOKUP(Calculations[[#This Row],[Waste 1]],WasteScenario[#All],5,FALSE)*'Stage assumptions'!$C$226*WasteTransportMethod[Emissions Factor
kgCO2e/kg.km]*Calculations[[#This Row],[Total Kg]],0)</f>
        <v>0</v>
      </c>
      <c r="X931" s="322">
        <f>SUM(Calculations[[#This Row],[C2 Recycle]:[C2 Reuse]])</f>
        <v>0</v>
      </c>
      <c r="Y931" t="str">
        <f>IFERROR(VLOOKUP(Calculations[[#This Row],[Material (choose from dropdown]],MaterialData[#All],5,FALSE),"")</f>
        <v/>
      </c>
      <c r="Z931" s="322">
        <f>IFERROR(((VLOOKUP(Calculations[[#This Row],[Waste type 2]],WasteDisposalEmissions[#All],2,FALSE))*Calculations[[#This Row],[Total Kg]])*VLOOKUP(Calculations[[#This Row],[Waste 1]],WasteScenario[#All],2,FALSE),0)</f>
        <v>0</v>
      </c>
      <c r="AA931" s="322">
        <f>IFERROR((VLOOKUP(Calculations[[#This Row],[Waste type 2]],WasteDisposalEmissions[#All],3,FALSE))*Calculations[[#This Row],[Total Kg]]*VLOOKUP(Calculations[[#This Row],[Waste 1]],WasteScenario[#All],3,FALSE),0)</f>
        <v>0</v>
      </c>
      <c r="AB931" s="322">
        <f>SUM(Calculations[[#This Row],[C3 recyc]:[C3 incin]])</f>
        <v>0</v>
      </c>
      <c r="AC931" s="334">
        <f>IFERROR((VLOOKUP(Calculations[[#This Row],[Waste type 2]],WasteLandfillEmissions[#All],2,FALSE))*Calculations[[#This Row],[Total Kg]]*VLOOKUP(Calculations[[#This Row],[Waste 1]],WasteScenario[#All],4,FALSE),0)</f>
        <v>0</v>
      </c>
      <c r="AD931" s="322">
        <f>IFERROR((VLOOKUP(Calculations[[#This Row],[Waste type 2]],WasteLandfillEmissions[#All],3,FALSE))*Calculations[[#This Row],[Total Kg]]*VLOOKUP(Calculations[[#This Row],[Waste 1]],WasteScenario[#All],4,FALSE),0)</f>
        <v>0</v>
      </c>
      <c r="AE931" s="322">
        <f>SUM(Calculations[[#This Row],[C4 landfill]:[C4 re-use]])</f>
        <v>0</v>
      </c>
      <c r="AF931" s="322">
        <f>IFERROR(VLOOKUP(Calculations[[#This Row],[Material (choose from dropdown]],MaterialData[#All],8,FALSE),0)</f>
        <v>0</v>
      </c>
      <c r="AG931" s="322">
        <f>IFERROR(Calculations[[#This Row],[Total Kg]]*Calculations[[#This Row],[Seq factor]],0)</f>
        <v>0</v>
      </c>
      <c r="AI931" s="322">
        <f>Calculations[[#This Row],[A1-3]]+Calculations[[#This Row],[A4]]+Calculations[[#This Row],[A5]]+Calculations[[#This Row],[B4]]+Calculations[[#This Row],[C2 total]]+Calculations[[#This Row],[C3 total]]+Calculations[[#This Row],[C4 total]]</f>
        <v>0</v>
      </c>
      <c r="AJ931" s="2">
        <f>IFERROR(VLOOKUP(Calculations[[#This Row],[Material (choose from dropdown]],MaterialData[[#Headers],[#Data]],9,FALSE),0)</f>
        <v>0</v>
      </c>
      <c r="AK931" s="4">
        <f>IFERROR(VLOOKUP(Calculations[[#This Row],[Material (choose from dropdown]],MaterialData[[#Headers],[#Data]],10,FALSE),0)</f>
        <v>0</v>
      </c>
      <c r="AL931" s="322">
        <f>IFERROR(Calculations[[#This Row],[Data Quality Score]]*Calculations[[#This Row],[Total Kg]],0)</f>
        <v>0</v>
      </c>
    </row>
    <row r="932" spans="1:38" x14ac:dyDescent="0.3">
      <c r="A932" s="6">
        <f>IFERROR(MaterialsBoQ[[#This Row],[Scope Element]],0)</f>
        <v>0</v>
      </c>
      <c r="B932" t="str">
        <f>IFERROR(MaterialsBoQ[[#This Row],[Material ]],"")</f>
        <v/>
      </c>
      <c r="C932" t="str">
        <f>IFERROR(MaterialsBoQ[[#This Row],[Unit]],"")</f>
        <v/>
      </c>
      <c r="D932" s="322">
        <f>IFERROR(MaterialsBoQ[[#This Row],[Number]],0)</f>
        <v>0</v>
      </c>
      <c r="E932" s="322">
        <f>IFERROR(MaterialsBoQ[[#This Row],[Kg per unit]],0)</f>
        <v>0</v>
      </c>
      <c r="F932" s="322">
        <f>IFERROR(Calculations[[#This Row],[Number]]*Calculations[[#This Row],[Conversion factor]],0)</f>
        <v>0</v>
      </c>
      <c r="G932" s="322">
        <f>IFERROR(VLOOKUP(Calculations[[#This Row],[Material (choose from dropdown]],MaterialData[#All],7,FALSE),0)</f>
        <v>0</v>
      </c>
      <c r="H932" s="322">
        <f>Calculations[[#This Row],[Total Kg]]*Calculations[[#This Row],[Carbon Factor]]</f>
        <v>0</v>
      </c>
      <c r="I932" t="str">
        <f>IFERROR(VLOOKUP(Calculations[[#This Row],[Material (choose from dropdown]],MaterialData[#All],2,FALSE),"")</f>
        <v/>
      </c>
      <c r="J932" s="322">
        <f>IFERROR(((VLOOKUP(Calculations[[#This Row],[TransportSource]],TransportDistance[],2,FALSE)*'Stage assumptions'!$C$11)+VLOOKUP(Calculations[[#This Row],[TransportSource]],TransportDistance[],3,FALSE)*'Stage assumptions'!$C$12)*Calculations[[#This Row],[Total Kg]],0)</f>
        <v>0</v>
      </c>
      <c r="K932">
        <f>IFERROR(VLOOKUP(Calculations[[#This Row],[Material (choose from dropdown]], MaterialData[#All],3, FALSE),0)</f>
        <v>0</v>
      </c>
      <c r="L932" s="322">
        <f>IFERROR(VLOOKUP(Calculations[[#This Row],[A5type]],A5WastageRate[#All],2,FALSE)*Calculations[[#This Row],[A1-3]],0)</f>
        <v>0</v>
      </c>
      <c r="N932">
        <f>IFERROR(ROUNDUP(50/VLOOKUP(Calculations[[#This Row],[Scope Element]],B4referenceServiceLife[[Tier 2 element]:[Default Service Life]],2, FALSE)-1,0),0)</f>
        <v>0</v>
      </c>
      <c r="O932" s="322">
        <f>IFERROR((Calculations[[#This Row],[A1-3]]+Calculations[[#This Row],[A4]]+Calculations[[#This Row],[A5]]+Calculations[[#This Row],[C2 total]]+Calculations[[#This Row],[C3 total]]+Calculations[[#This Row],[C4 total]])*Calculations[[#This Row],[Replacements]],0)</f>
        <v>0</v>
      </c>
      <c r="S932" t="str">
        <f>IFERROR(VLOOKUP(Calculations[[#This Row],[Material (choose from dropdown]],MaterialData[#All],4,FALSE),"")</f>
        <v/>
      </c>
      <c r="T932" s="322" cm="1">
        <f t="array" ref="T932">IFERROR(VLOOKUP(Calculations[[#This Row],[Waste 1]],WasteScenario[#All],2,FALSE)*'Stage assumptions'!$C$225*WasteTransportMethod[Emissions Factor
kgCO2e/kg.km]*Calculations[[#This Row],[Total Kg]],0)</f>
        <v>0</v>
      </c>
      <c r="U932" s="322" cm="1">
        <f t="array" ref="U932">IFERROR(VLOOKUP(Calculations[[#This Row],[Waste 1]],WasteScenario[#All],3,FALSE)*'Stage assumptions'!$C$224*WasteTransportMethod[Emissions Factor
kgCO2e/kg.km]*Calculations[[#This Row],[Total Kg]],0)</f>
        <v>0</v>
      </c>
      <c r="V932" s="322" cm="1">
        <f t="array" ref="V932">IFERROR(VLOOKUP(Calculations[[#This Row],[Waste 1]],WasteScenario[#All],4,FALSE)*'Stage assumptions'!$C$223*WasteTransportMethod[Emissions Factor
kgCO2e/kg.km]*Calculations[[#This Row],[Total Kg]],0)</f>
        <v>0</v>
      </c>
      <c r="W932" s="322" cm="1">
        <f t="array" ref="W932">IFERROR(VLOOKUP(Calculations[[#This Row],[Waste 1]],WasteScenario[#All],5,FALSE)*'Stage assumptions'!$C$226*WasteTransportMethod[Emissions Factor
kgCO2e/kg.km]*Calculations[[#This Row],[Total Kg]],0)</f>
        <v>0</v>
      </c>
      <c r="X932" s="322">
        <f>SUM(Calculations[[#This Row],[C2 Recycle]:[C2 Reuse]])</f>
        <v>0</v>
      </c>
      <c r="Y932" t="str">
        <f>IFERROR(VLOOKUP(Calculations[[#This Row],[Material (choose from dropdown]],MaterialData[#All],5,FALSE),"")</f>
        <v/>
      </c>
      <c r="Z932" s="322">
        <f>IFERROR(((VLOOKUP(Calculations[[#This Row],[Waste type 2]],WasteDisposalEmissions[#All],2,FALSE))*Calculations[[#This Row],[Total Kg]])*VLOOKUP(Calculations[[#This Row],[Waste 1]],WasteScenario[#All],2,FALSE),0)</f>
        <v>0</v>
      </c>
      <c r="AA932" s="322">
        <f>IFERROR((VLOOKUP(Calculations[[#This Row],[Waste type 2]],WasteDisposalEmissions[#All],3,FALSE))*Calculations[[#This Row],[Total Kg]]*VLOOKUP(Calculations[[#This Row],[Waste 1]],WasteScenario[#All],3,FALSE),0)</f>
        <v>0</v>
      </c>
      <c r="AB932" s="322">
        <f>SUM(Calculations[[#This Row],[C3 recyc]:[C3 incin]])</f>
        <v>0</v>
      </c>
      <c r="AC932" s="334">
        <f>IFERROR((VLOOKUP(Calculations[[#This Row],[Waste type 2]],WasteLandfillEmissions[#All],2,FALSE))*Calculations[[#This Row],[Total Kg]]*VLOOKUP(Calculations[[#This Row],[Waste 1]],WasteScenario[#All],4,FALSE),0)</f>
        <v>0</v>
      </c>
      <c r="AD932" s="322">
        <f>IFERROR((VLOOKUP(Calculations[[#This Row],[Waste type 2]],WasteLandfillEmissions[#All],3,FALSE))*Calculations[[#This Row],[Total Kg]]*VLOOKUP(Calculations[[#This Row],[Waste 1]],WasteScenario[#All],4,FALSE),0)</f>
        <v>0</v>
      </c>
      <c r="AE932" s="322">
        <f>SUM(Calculations[[#This Row],[C4 landfill]:[C4 re-use]])</f>
        <v>0</v>
      </c>
      <c r="AF932" s="322">
        <f>IFERROR(VLOOKUP(Calculations[[#This Row],[Material (choose from dropdown]],MaterialData[#All],8,FALSE),0)</f>
        <v>0</v>
      </c>
      <c r="AG932" s="322">
        <f>IFERROR(Calculations[[#This Row],[Total Kg]]*Calculations[[#This Row],[Seq factor]],0)</f>
        <v>0</v>
      </c>
      <c r="AI932" s="322">
        <f>Calculations[[#This Row],[A1-3]]+Calculations[[#This Row],[A4]]+Calculations[[#This Row],[A5]]+Calculations[[#This Row],[B4]]+Calculations[[#This Row],[C2 total]]+Calculations[[#This Row],[C3 total]]+Calculations[[#This Row],[C4 total]]</f>
        <v>0</v>
      </c>
      <c r="AJ932" s="2">
        <f>IFERROR(VLOOKUP(Calculations[[#This Row],[Material (choose from dropdown]],MaterialData[[#Headers],[#Data]],9,FALSE),0)</f>
        <v>0</v>
      </c>
      <c r="AK932" s="4">
        <f>IFERROR(VLOOKUP(Calculations[[#This Row],[Material (choose from dropdown]],MaterialData[[#Headers],[#Data]],10,FALSE),0)</f>
        <v>0</v>
      </c>
      <c r="AL932" s="322">
        <f>IFERROR(Calculations[[#This Row],[Data Quality Score]]*Calculations[[#This Row],[Total Kg]],0)</f>
        <v>0</v>
      </c>
    </row>
    <row r="933" spans="1:38" x14ac:dyDescent="0.3">
      <c r="A933" s="6">
        <f>IFERROR(MaterialsBoQ[[#This Row],[Scope Element]],0)</f>
        <v>0</v>
      </c>
      <c r="B933" t="str">
        <f>IFERROR(MaterialsBoQ[[#This Row],[Material ]],"")</f>
        <v/>
      </c>
      <c r="C933" t="str">
        <f>IFERROR(MaterialsBoQ[[#This Row],[Unit]],"")</f>
        <v/>
      </c>
      <c r="D933" s="322">
        <f>IFERROR(MaterialsBoQ[[#This Row],[Number]],0)</f>
        <v>0</v>
      </c>
      <c r="E933" s="322">
        <f>IFERROR(MaterialsBoQ[[#This Row],[Kg per unit]],0)</f>
        <v>0</v>
      </c>
      <c r="F933" s="322">
        <f>IFERROR(Calculations[[#This Row],[Number]]*Calculations[[#This Row],[Conversion factor]],0)</f>
        <v>0</v>
      </c>
      <c r="G933" s="322">
        <f>IFERROR(VLOOKUP(Calculations[[#This Row],[Material (choose from dropdown]],MaterialData[#All],7,FALSE),0)</f>
        <v>0</v>
      </c>
      <c r="H933" s="322">
        <f>Calculations[[#This Row],[Total Kg]]*Calculations[[#This Row],[Carbon Factor]]</f>
        <v>0</v>
      </c>
      <c r="I933" t="str">
        <f>IFERROR(VLOOKUP(Calculations[[#This Row],[Material (choose from dropdown]],MaterialData[#All],2,FALSE),"")</f>
        <v/>
      </c>
      <c r="J933" s="322">
        <f>IFERROR(((VLOOKUP(Calculations[[#This Row],[TransportSource]],TransportDistance[],2,FALSE)*'Stage assumptions'!$C$11)+VLOOKUP(Calculations[[#This Row],[TransportSource]],TransportDistance[],3,FALSE)*'Stage assumptions'!$C$12)*Calculations[[#This Row],[Total Kg]],0)</f>
        <v>0</v>
      </c>
      <c r="K933">
        <f>IFERROR(VLOOKUP(Calculations[[#This Row],[Material (choose from dropdown]], MaterialData[#All],3, FALSE),0)</f>
        <v>0</v>
      </c>
      <c r="L933" s="322">
        <f>IFERROR(VLOOKUP(Calculations[[#This Row],[A5type]],A5WastageRate[#All],2,FALSE)*Calculations[[#This Row],[A1-3]],0)</f>
        <v>0</v>
      </c>
      <c r="N933">
        <f>IFERROR(ROUNDUP(50/VLOOKUP(Calculations[[#This Row],[Scope Element]],B4referenceServiceLife[[Tier 2 element]:[Default Service Life]],2, FALSE)-1,0),0)</f>
        <v>0</v>
      </c>
      <c r="O933" s="322">
        <f>IFERROR((Calculations[[#This Row],[A1-3]]+Calculations[[#This Row],[A4]]+Calculations[[#This Row],[A5]]+Calculations[[#This Row],[C2 total]]+Calculations[[#This Row],[C3 total]]+Calculations[[#This Row],[C4 total]])*Calculations[[#This Row],[Replacements]],0)</f>
        <v>0</v>
      </c>
      <c r="S933" t="str">
        <f>IFERROR(VLOOKUP(Calculations[[#This Row],[Material (choose from dropdown]],MaterialData[#All],4,FALSE),"")</f>
        <v/>
      </c>
      <c r="T933" s="322" cm="1">
        <f t="array" ref="T933">IFERROR(VLOOKUP(Calculations[[#This Row],[Waste 1]],WasteScenario[#All],2,FALSE)*'Stage assumptions'!$C$225*WasteTransportMethod[Emissions Factor
kgCO2e/kg.km]*Calculations[[#This Row],[Total Kg]],0)</f>
        <v>0</v>
      </c>
      <c r="U933" s="322" cm="1">
        <f t="array" ref="U933">IFERROR(VLOOKUP(Calculations[[#This Row],[Waste 1]],WasteScenario[#All],3,FALSE)*'Stage assumptions'!$C$224*WasteTransportMethod[Emissions Factor
kgCO2e/kg.km]*Calculations[[#This Row],[Total Kg]],0)</f>
        <v>0</v>
      </c>
      <c r="V933" s="322" cm="1">
        <f t="array" ref="V933">IFERROR(VLOOKUP(Calculations[[#This Row],[Waste 1]],WasteScenario[#All],4,FALSE)*'Stage assumptions'!$C$223*WasteTransportMethod[Emissions Factor
kgCO2e/kg.km]*Calculations[[#This Row],[Total Kg]],0)</f>
        <v>0</v>
      </c>
      <c r="W933" s="322" cm="1">
        <f t="array" ref="W933">IFERROR(VLOOKUP(Calculations[[#This Row],[Waste 1]],WasteScenario[#All],5,FALSE)*'Stage assumptions'!$C$226*WasteTransportMethod[Emissions Factor
kgCO2e/kg.km]*Calculations[[#This Row],[Total Kg]],0)</f>
        <v>0</v>
      </c>
      <c r="X933" s="322">
        <f>SUM(Calculations[[#This Row],[C2 Recycle]:[C2 Reuse]])</f>
        <v>0</v>
      </c>
      <c r="Y933" t="str">
        <f>IFERROR(VLOOKUP(Calculations[[#This Row],[Material (choose from dropdown]],MaterialData[#All],5,FALSE),"")</f>
        <v/>
      </c>
      <c r="Z933" s="322">
        <f>IFERROR(((VLOOKUP(Calculations[[#This Row],[Waste type 2]],WasteDisposalEmissions[#All],2,FALSE))*Calculations[[#This Row],[Total Kg]])*VLOOKUP(Calculations[[#This Row],[Waste 1]],WasteScenario[#All],2,FALSE),0)</f>
        <v>0</v>
      </c>
      <c r="AA933" s="322">
        <f>IFERROR((VLOOKUP(Calculations[[#This Row],[Waste type 2]],WasteDisposalEmissions[#All],3,FALSE))*Calculations[[#This Row],[Total Kg]]*VLOOKUP(Calculations[[#This Row],[Waste 1]],WasteScenario[#All],3,FALSE),0)</f>
        <v>0</v>
      </c>
      <c r="AB933" s="322">
        <f>SUM(Calculations[[#This Row],[C3 recyc]:[C3 incin]])</f>
        <v>0</v>
      </c>
      <c r="AC933" s="334">
        <f>IFERROR((VLOOKUP(Calculations[[#This Row],[Waste type 2]],WasteLandfillEmissions[#All],2,FALSE))*Calculations[[#This Row],[Total Kg]]*VLOOKUP(Calculations[[#This Row],[Waste 1]],WasteScenario[#All],4,FALSE),0)</f>
        <v>0</v>
      </c>
      <c r="AD933" s="322">
        <f>IFERROR((VLOOKUP(Calculations[[#This Row],[Waste type 2]],WasteLandfillEmissions[#All],3,FALSE))*Calculations[[#This Row],[Total Kg]]*VLOOKUP(Calculations[[#This Row],[Waste 1]],WasteScenario[#All],4,FALSE),0)</f>
        <v>0</v>
      </c>
      <c r="AE933" s="322">
        <f>SUM(Calculations[[#This Row],[C4 landfill]:[C4 re-use]])</f>
        <v>0</v>
      </c>
      <c r="AF933" s="322">
        <f>IFERROR(VLOOKUP(Calculations[[#This Row],[Material (choose from dropdown]],MaterialData[#All],8,FALSE),0)</f>
        <v>0</v>
      </c>
      <c r="AG933" s="322">
        <f>IFERROR(Calculations[[#This Row],[Total Kg]]*Calculations[[#This Row],[Seq factor]],0)</f>
        <v>0</v>
      </c>
      <c r="AI933" s="322">
        <f>Calculations[[#This Row],[A1-3]]+Calculations[[#This Row],[A4]]+Calculations[[#This Row],[A5]]+Calculations[[#This Row],[B4]]+Calculations[[#This Row],[C2 total]]+Calculations[[#This Row],[C3 total]]+Calculations[[#This Row],[C4 total]]</f>
        <v>0</v>
      </c>
      <c r="AJ933" s="2">
        <f>IFERROR(VLOOKUP(Calculations[[#This Row],[Material (choose from dropdown]],MaterialData[[#Headers],[#Data]],9,FALSE),0)</f>
        <v>0</v>
      </c>
      <c r="AK933" s="4">
        <f>IFERROR(VLOOKUP(Calculations[[#This Row],[Material (choose from dropdown]],MaterialData[[#Headers],[#Data]],10,FALSE),0)</f>
        <v>0</v>
      </c>
      <c r="AL933" s="322">
        <f>IFERROR(Calculations[[#This Row],[Data Quality Score]]*Calculations[[#This Row],[Total Kg]],0)</f>
        <v>0</v>
      </c>
    </row>
    <row r="934" spans="1:38" x14ac:dyDescent="0.3">
      <c r="A934" s="6">
        <f>IFERROR(MaterialsBoQ[[#This Row],[Scope Element]],0)</f>
        <v>0</v>
      </c>
      <c r="B934" t="str">
        <f>IFERROR(MaterialsBoQ[[#This Row],[Material ]],"")</f>
        <v/>
      </c>
      <c r="C934" t="str">
        <f>IFERROR(MaterialsBoQ[[#This Row],[Unit]],"")</f>
        <v/>
      </c>
      <c r="D934" s="322">
        <f>IFERROR(MaterialsBoQ[[#This Row],[Number]],0)</f>
        <v>0</v>
      </c>
      <c r="E934" s="322">
        <f>IFERROR(MaterialsBoQ[[#This Row],[Kg per unit]],0)</f>
        <v>0</v>
      </c>
      <c r="F934" s="322">
        <f>IFERROR(Calculations[[#This Row],[Number]]*Calculations[[#This Row],[Conversion factor]],0)</f>
        <v>0</v>
      </c>
      <c r="G934" s="322">
        <f>IFERROR(VLOOKUP(Calculations[[#This Row],[Material (choose from dropdown]],MaterialData[#All],7,FALSE),0)</f>
        <v>0</v>
      </c>
      <c r="H934" s="322">
        <f>Calculations[[#This Row],[Total Kg]]*Calculations[[#This Row],[Carbon Factor]]</f>
        <v>0</v>
      </c>
      <c r="I934" t="str">
        <f>IFERROR(VLOOKUP(Calculations[[#This Row],[Material (choose from dropdown]],MaterialData[#All],2,FALSE),"")</f>
        <v/>
      </c>
      <c r="J934" s="322">
        <f>IFERROR(((VLOOKUP(Calculations[[#This Row],[TransportSource]],TransportDistance[],2,FALSE)*'Stage assumptions'!$C$11)+VLOOKUP(Calculations[[#This Row],[TransportSource]],TransportDistance[],3,FALSE)*'Stage assumptions'!$C$12)*Calculations[[#This Row],[Total Kg]],0)</f>
        <v>0</v>
      </c>
      <c r="K934">
        <f>IFERROR(VLOOKUP(Calculations[[#This Row],[Material (choose from dropdown]], MaterialData[#All],3, FALSE),0)</f>
        <v>0</v>
      </c>
      <c r="L934" s="322">
        <f>IFERROR(VLOOKUP(Calculations[[#This Row],[A5type]],A5WastageRate[#All],2,FALSE)*Calculations[[#This Row],[A1-3]],0)</f>
        <v>0</v>
      </c>
      <c r="N934">
        <f>IFERROR(ROUNDUP(50/VLOOKUP(Calculations[[#This Row],[Scope Element]],B4referenceServiceLife[[Tier 2 element]:[Default Service Life]],2, FALSE)-1,0),0)</f>
        <v>0</v>
      </c>
      <c r="O934" s="322">
        <f>IFERROR((Calculations[[#This Row],[A1-3]]+Calculations[[#This Row],[A4]]+Calculations[[#This Row],[A5]]+Calculations[[#This Row],[C2 total]]+Calculations[[#This Row],[C3 total]]+Calculations[[#This Row],[C4 total]])*Calculations[[#This Row],[Replacements]],0)</f>
        <v>0</v>
      </c>
      <c r="S934" t="str">
        <f>IFERROR(VLOOKUP(Calculations[[#This Row],[Material (choose from dropdown]],MaterialData[#All],4,FALSE),"")</f>
        <v/>
      </c>
      <c r="T934" s="322" cm="1">
        <f t="array" ref="T934">IFERROR(VLOOKUP(Calculations[[#This Row],[Waste 1]],WasteScenario[#All],2,FALSE)*'Stage assumptions'!$C$225*WasteTransportMethod[Emissions Factor
kgCO2e/kg.km]*Calculations[[#This Row],[Total Kg]],0)</f>
        <v>0</v>
      </c>
      <c r="U934" s="322" cm="1">
        <f t="array" ref="U934">IFERROR(VLOOKUP(Calculations[[#This Row],[Waste 1]],WasteScenario[#All],3,FALSE)*'Stage assumptions'!$C$224*WasteTransportMethod[Emissions Factor
kgCO2e/kg.km]*Calculations[[#This Row],[Total Kg]],0)</f>
        <v>0</v>
      </c>
      <c r="V934" s="322" cm="1">
        <f t="array" ref="V934">IFERROR(VLOOKUP(Calculations[[#This Row],[Waste 1]],WasteScenario[#All],4,FALSE)*'Stage assumptions'!$C$223*WasteTransportMethod[Emissions Factor
kgCO2e/kg.km]*Calculations[[#This Row],[Total Kg]],0)</f>
        <v>0</v>
      </c>
      <c r="W934" s="322" cm="1">
        <f t="array" ref="W934">IFERROR(VLOOKUP(Calculations[[#This Row],[Waste 1]],WasteScenario[#All],5,FALSE)*'Stage assumptions'!$C$226*WasteTransportMethod[Emissions Factor
kgCO2e/kg.km]*Calculations[[#This Row],[Total Kg]],0)</f>
        <v>0</v>
      </c>
      <c r="X934" s="322">
        <f>SUM(Calculations[[#This Row],[C2 Recycle]:[C2 Reuse]])</f>
        <v>0</v>
      </c>
      <c r="Y934" t="str">
        <f>IFERROR(VLOOKUP(Calculations[[#This Row],[Material (choose from dropdown]],MaterialData[#All],5,FALSE),"")</f>
        <v/>
      </c>
      <c r="Z934" s="322">
        <f>IFERROR(((VLOOKUP(Calculations[[#This Row],[Waste type 2]],WasteDisposalEmissions[#All],2,FALSE))*Calculations[[#This Row],[Total Kg]])*VLOOKUP(Calculations[[#This Row],[Waste 1]],WasteScenario[#All],2,FALSE),0)</f>
        <v>0</v>
      </c>
      <c r="AA934" s="322">
        <f>IFERROR((VLOOKUP(Calculations[[#This Row],[Waste type 2]],WasteDisposalEmissions[#All],3,FALSE))*Calculations[[#This Row],[Total Kg]]*VLOOKUP(Calculations[[#This Row],[Waste 1]],WasteScenario[#All],3,FALSE),0)</f>
        <v>0</v>
      </c>
      <c r="AB934" s="322">
        <f>SUM(Calculations[[#This Row],[C3 recyc]:[C3 incin]])</f>
        <v>0</v>
      </c>
      <c r="AC934" s="334">
        <f>IFERROR((VLOOKUP(Calculations[[#This Row],[Waste type 2]],WasteLandfillEmissions[#All],2,FALSE))*Calculations[[#This Row],[Total Kg]]*VLOOKUP(Calculations[[#This Row],[Waste 1]],WasteScenario[#All],4,FALSE),0)</f>
        <v>0</v>
      </c>
      <c r="AD934" s="322">
        <f>IFERROR((VLOOKUP(Calculations[[#This Row],[Waste type 2]],WasteLandfillEmissions[#All],3,FALSE))*Calculations[[#This Row],[Total Kg]]*VLOOKUP(Calculations[[#This Row],[Waste 1]],WasteScenario[#All],4,FALSE),0)</f>
        <v>0</v>
      </c>
      <c r="AE934" s="322">
        <f>SUM(Calculations[[#This Row],[C4 landfill]:[C4 re-use]])</f>
        <v>0</v>
      </c>
      <c r="AF934" s="322">
        <f>IFERROR(VLOOKUP(Calculations[[#This Row],[Material (choose from dropdown]],MaterialData[#All],8,FALSE),0)</f>
        <v>0</v>
      </c>
      <c r="AG934" s="322">
        <f>IFERROR(Calculations[[#This Row],[Total Kg]]*Calculations[[#This Row],[Seq factor]],0)</f>
        <v>0</v>
      </c>
      <c r="AI934" s="322">
        <f>Calculations[[#This Row],[A1-3]]+Calculations[[#This Row],[A4]]+Calculations[[#This Row],[A5]]+Calculations[[#This Row],[B4]]+Calculations[[#This Row],[C2 total]]+Calculations[[#This Row],[C3 total]]+Calculations[[#This Row],[C4 total]]</f>
        <v>0</v>
      </c>
      <c r="AJ934" s="2">
        <f>IFERROR(VLOOKUP(Calculations[[#This Row],[Material (choose from dropdown]],MaterialData[[#Headers],[#Data]],9,FALSE),0)</f>
        <v>0</v>
      </c>
      <c r="AK934" s="4">
        <f>IFERROR(VLOOKUP(Calculations[[#This Row],[Material (choose from dropdown]],MaterialData[[#Headers],[#Data]],10,FALSE),0)</f>
        <v>0</v>
      </c>
      <c r="AL934" s="322">
        <f>IFERROR(Calculations[[#This Row],[Data Quality Score]]*Calculations[[#This Row],[Total Kg]],0)</f>
        <v>0</v>
      </c>
    </row>
    <row r="935" spans="1:38" x14ac:dyDescent="0.3">
      <c r="A935" s="6">
        <f>IFERROR(MaterialsBoQ[[#This Row],[Scope Element]],0)</f>
        <v>0</v>
      </c>
      <c r="B935" t="str">
        <f>IFERROR(MaterialsBoQ[[#This Row],[Material ]],"")</f>
        <v/>
      </c>
      <c r="C935" t="str">
        <f>IFERROR(MaterialsBoQ[[#This Row],[Unit]],"")</f>
        <v/>
      </c>
      <c r="D935" s="322">
        <f>IFERROR(MaterialsBoQ[[#This Row],[Number]],0)</f>
        <v>0</v>
      </c>
      <c r="E935" s="322">
        <f>IFERROR(MaterialsBoQ[[#This Row],[Kg per unit]],0)</f>
        <v>0</v>
      </c>
      <c r="F935" s="322">
        <f>IFERROR(Calculations[[#This Row],[Number]]*Calculations[[#This Row],[Conversion factor]],0)</f>
        <v>0</v>
      </c>
      <c r="G935" s="322">
        <f>IFERROR(VLOOKUP(Calculations[[#This Row],[Material (choose from dropdown]],MaterialData[#All],7,FALSE),0)</f>
        <v>0</v>
      </c>
      <c r="H935" s="322">
        <f>Calculations[[#This Row],[Total Kg]]*Calculations[[#This Row],[Carbon Factor]]</f>
        <v>0</v>
      </c>
      <c r="I935" t="str">
        <f>IFERROR(VLOOKUP(Calculations[[#This Row],[Material (choose from dropdown]],MaterialData[#All],2,FALSE),"")</f>
        <v/>
      </c>
      <c r="J935" s="322">
        <f>IFERROR(((VLOOKUP(Calculations[[#This Row],[TransportSource]],TransportDistance[],2,FALSE)*'Stage assumptions'!$C$11)+VLOOKUP(Calculations[[#This Row],[TransportSource]],TransportDistance[],3,FALSE)*'Stage assumptions'!$C$12)*Calculations[[#This Row],[Total Kg]],0)</f>
        <v>0</v>
      </c>
      <c r="K935">
        <f>IFERROR(VLOOKUP(Calculations[[#This Row],[Material (choose from dropdown]], MaterialData[#All],3, FALSE),0)</f>
        <v>0</v>
      </c>
      <c r="L935" s="322">
        <f>IFERROR(VLOOKUP(Calculations[[#This Row],[A5type]],A5WastageRate[#All],2,FALSE)*Calculations[[#This Row],[A1-3]],0)</f>
        <v>0</v>
      </c>
      <c r="N935">
        <f>IFERROR(ROUNDUP(50/VLOOKUP(Calculations[[#This Row],[Scope Element]],B4referenceServiceLife[[Tier 2 element]:[Default Service Life]],2, FALSE)-1,0),0)</f>
        <v>0</v>
      </c>
      <c r="O935" s="322">
        <f>IFERROR((Calculations[[#This Row],[A1-3]]+Calculations[[#This Row],[A4]]+Calculations[[#This Row],[A5]]+Calculations[[#This Row],[C2 total]]+Calculations[[#This Row],[C3 total]]+Calculations[[#This Row],[C4 total]])*Calculations[[#This Row],[Replacements]],0)</f>
        <v>0</v>
      </c>
      <c r="S935" t="str">
        <f>IFERROR(VLOOKUP(Calculations[[#This Row],[Material (choose from dropdown]],MaterialData[#All],4,FALSE),"")</f>
        <v/>
      </c>
      <c r="T935" s="322" cm="1">
        <f t="array" ref="T935">IFERROR(VLOOKUP(Calculations[[#This Row],[Waste 1]],WasteScenario[#All],2,FALSE)*'Stage assumptions'!$C$225*WasteTransportMethod[Emissions Factor
kgCO2e/kg.km]*Calculations[[#This Row],[Total Kg]],0)</f>
        <v>0</v>
      </c>
      <c r="U935" s="322" cm="1">
        <f t="array" ref="U935">IFERROR(VLOOKUP(Calculations[[#This Row],[Waste 1]],WasteScenario[#All],3,FALSE)*'Stage assumptions'!$C$224*WasteTransportMethod[Emissions Factor
kgCO2e/kg.km]*Calculations[[#This Row],[Total Kg]],0)</f>
        <v>0</v>
      </c>
      <c r="V935" s="322" cm="1">
        <f t="array" ref="V935">IFERROR(VLOOKUP(Calculations[[#This Row],[Waste 1]],WasteScenario[#All],4,FALSE)*'Stage assumptions'!$C$223*WasteTransportMethod[Emissions Factor
kgCO2e/kg.km]*Calculations[[#This Row],[Total Kg]],0)</f>
        <v>0</v>
      </c>
      <c r="W935" s="322" cm="1">
        <f t="array" ref="W935">IFERROR(VLOOKUP(Calculations[[#This Row],[Waste 1]],WasteScenario[#All],5,FALSE)*'Stage assumptions'!$C$226*WasteTransportMethod[Emissions Factor
kgCO2e/kg.km]*Calculations[[#This Row],[Total Kg]],0)</f>
        <v>0</v>
      </c>
      <c r="X935" s="322">
        <f>SUM(Calculations[[#This Row],[C2 Recycle]:[C2 Reuse]])</f>
        <v>0</v>
      </c>
      <c r="Y935" t="str">
        <f>IFERROR(VLOOKUP(Calculations[[#This Row],[Material (choose from dropdown]],MaterialData[#All],5,FALSE),"")</f>
        <v/>
      </c>
      <c r="Z935" s="322">
        <f>IFERROR(((VLOOKUP(Calculations[[#This Row],[Waste type 2]],WasteDisposalEmissions[#All],2,FALSE))*Calculations[[#This Row],[Total Kg]])*VLOOKUP(Calculations[[#This Row],[Waste 1]],WasteScenario[#All],2,FALSE),0)</f>
        <v>0</v>
      </c>
      <c r="AA935" s="322">
        <f>IFERROR((VLOOKUP(Calculations[[#This Row],[Waste type 2]],WasteDisposalEmissions[#All],3,FALSE))*Calculations[[#This Row],[Total Kg]]*VLOOKUP(Calculations[[#This Row],[Waste 1]],WasteScenario[#All],3,FALSE),0)</f>
        <v>0</v>
      </c>
      <c r="AB935" s="322">
        <f>SUM(Calculations[[#This Row],[C3 recyc]:[C3 incin]])</f>
        <v>0</v>
      </c>
      <c r="AC935" s="334">
        <f>IFERROR((VLOOKUP(Calculations[[#This Row],[Waste type 2]],WasteLandfillEmissions[#All],2,FALSE))*Calculations[[#This Row],[Total Kg]]*VLOOKUP(Calculations[[#This Row],[Waste 1]],WasteScenario[#All],4,FALSE),0)</f>
        <v>0</v>
      </c>
      <c r="AD935" s="322">
        <f>IFERROR((VLOOKUP(Calculations[[#This Row],[Waste type 2]],WasteLandfillEmissions[#All],3,FALSE))*Calculations[[#This Row],[Total Kg]]*VLOOKUP(Calculations[[#This Row],[Waste 1]],WasteScenario[#All],4,FALSE),0)</f>
        <v>0</v>
      </c>
      <c r="AE935" s="322">
        <f>SUM(Calculations[[#This Row],[C4 landfill]:[C4 re-use]])</f>
        <v>0</v>
      </c>
      <c r="AF935" s="322">
        <f>IFERROR(VLOOKUP(Calculations[[#This Row],[Material (choose from dropdown]],MaterialData[#All],8,FALSE),0)</f>
        <v>0</v>
      </c>
      <c r="AG935" s="322">
        <f>IFERROR(Calculations[[#This Row],[Total Kg]]*Calculations[[#This Row],[Seq factor]],0)</f>
        <v>0</v>
      </c>
      <c r="AI935" s="322">
        <f>Calculations[[#This Row],[A1-3]]+Calculations[[#This Row],[A4]]+Calculations[[#This Row],[A5]]+Calculations[[#This Row],[B4]]+Calculations[[#This Row],[C2 total]]+Calculations[[#This Row],[C3 total]]+Calculations[[#This Row],[C4 total]]</f>
        <v>0</v>
      </c>
      <c r="AJ935" s="2">
        <f>IFERROR(VLOOKUP(Calculations[[#This Row],[Material (choose from dropdown]],MaterialData[[#Headers],[#Data]],9,FALSE),0)</f>
        <v>0</v>
      </c>
      <c r="AK935" s="4">
        <f>IFERROR(VLOOKUP(Calculations[[#This Row],[Material (choose from dropdown]],MaterialData[[#Headers],[#Data]],10,FALSE),0)</f>
        <v>0</v>
      </c>
      <c r="AL935" s="322">
        <f>IFERROR(Calculations[[#This Row],[Data Quality Score]]*Calculations[[#This Row],[Total Kg]],0)</f>
        <v>0</v>
      </c>
    </row>
    <row r="936" spans="1:38" x14ac:dyDescent="0.3">
      <c r="A936" s="6">
        <f>IFERROR(MaterialsBoQ[[#This Row],[Scope Element]],0)</f>
        <v>0</v>
      </c>
      <c r="B936" t="str">
        <f>IFERROR(MaterialsBoQ[[#This Row],[Material ]],"")</f>
        <v/>
      </c>
      <c r="C936" t="str">
        <f>IFERROR(MaterialsBoQ[[#This Row],[Unit]],"")</f>
        <v/>
      </c>
      <c r="D936" s="322">
        <f>IFERROR(MaterialsBoQ[[#This Row],[Number]],0)</f>
        <v>0</v>
      </c>
      <c r="E936" s="322">
        <f>IFERROR(MaterialsBoQ[[#This Row],[Kg per unit]],0)</f>
        <v>0</v>
      </c>
      <c r="F936" s="322">
        <f>IFERROR(Calculations[[#This Row],[Number]]*Calculations[[#This Row],[Conversion factor]],0)</f>
        <v>0</v>
      </c>
      <c r="G936" s="322">
        <f>IFERROR(VLOOKUP(Calculations[[#This Row],[Material (choose from dropdown]],MaterialData[#All],7,FALSE),0)</f>
        <v>0</v>
      </c>
      <c r="H936" s="322">
        <f>Calculations[[#This Row],[Total Kg]]*Calculations[[#This Row],[Carbon Factor]]</f>
        <v>0</v>
      </c>
      <c r="I936" t="str">
        <f>IFERROR(VLOOKUP(Calculations[[#This Row],[Material (choose from dropdown]],MaterialData[#All],2,FALSE),"")</f>
        <v/>
      </c>
      <c r="J936" s="322">
        <f>IFERROR(((VLOOKUP(Calculations[[#This Row],[TransportSource]],TransportDistance[],2,FALSE)*'Stage assumptions'!$C$11)+VLOOKUP(Calculations[[#This Row],[TransportSource]],TransportDistance[],3,FALSE)*'Stage assumptions'!$C$12)*Calculations[[#This Row],[Total Kg]],0)</f>
        <v>0</v>
      </c>
      <c r="K936">
        <f>IFERROR(VLOOKUP(Calculations[[#This Row],[Material (choose from dropdown]], MaterialData[#All],3, FALSE),0)</f>
        <v>0</v>
      </c>
      <c r="L936" s="322">
        <f>IFERROR(VLOOKUP(Calculations[[#This Row],[A5type]],A5WastageRate[#All],2,FALSE)*Calculations[[#This Row],[A1-3]],0)</f>
        <v>0</v>
      </c>
      <c r="N936">
        <f>IFERROR(ROUNDUP(50/VLOOKUP(Calculations[[#This Row],[Scope Element]],B4referenceServiceLife[[Tier 2 element]:[Default Service Life]],2, FALSE)-1,0),0)</f>
        <v>0</v>
      </c>
      <c r="O936" s="322">
        <f>IFERROR((Calculations[[#This Row],[A1-3]]+Calculations[[#This Row],[A4]]+Calculations[[#This Row],[A5]]+Calculations[[#This Row],[C2 total]]+Calculations[[#This Row],[C3 total]]+Calculations[[#This Row],[C4 total]])*Calculations[[#This Row],[Replacements]],0)</f>
        <v>0</v>
      </c>
      <c r="S936" t="str">
        <f>IFERROR(VLOOKUP(Calculations[[#This Row],[Material (choose from dropdown]],MaterialData[#All],4,FALSE),"")</f>
        <v/>
      </c>
      <c r="T936" s="322" cm="1">
        <f t="array" ref="T936">IFERROR(VLOOKUP(Calculations[[#This Row],[Waste 1]],WasteScenario[#All],2,FALSE)*'Stage assumptions'!$C$225*WasteTransportMethod[Emissions Factor
kgCO2e/kg.km]*Calculations[[#This Row],[Total Kg]],0)</f>
        <v>0</v>
      </c>
      <c r="U936" s="322" cm="1">
        <f t="array" ref="U936">IFERROR(VLOOKUP(Calculations[[#This Row],[Waste 1]],WasteScenario[#All],3,FALSE)*'Stage assumptions'!$C$224*WasteTransportMethod[Emissions Factor
kgCO2e/kg.km]*Calculations[[#This Row],[Total Kg]],0)</f>
        <v>0</v>
      </c>
      <c r="V936" s="322" cm="1">
        <f t="array" ref="V936">IFERROR(VLOOKUP(Calculations[[#This Row],[Waste 1]],WasteScenario[#All],4,FALSE)*'Stage assumptions'!$C$223*WasteTransportMethod[Emissions Factor
kgCO2e/kg.km]*Calculations[[#This Row],[Total Kg]],0)</f>
        <v>0</v>
      </c>
      <c r="W936" s="322" cm="1">
        <f t="array" ref="W936">IFERROR(VLOOKUP(Calculations[[#This Row],[Waste 1]],WasteScenario[#All],5,FALSE)*'Stage assumptions'!$C$226*WasteTransportMethod[Emissions Factor
kgCO2e/kg.km]*Calculations[[#This Row],[Total Kg]],0)</f>
        <v>0</v>
      </c>
      <c r="X936" s="322">
        <f>SUM(Calculations[[#This Row],[C2 Recycle]:[C2 Reuse]])</f>
        <v>0</v>
      </c>
      <c r="Y936" t="str">
        <f>IFERROR(VLOOKUP(Calculations[[#This Row],[Material (choose from dropdown]],MaterialData[#All],5,FALSE),"")</f>
        <v/>
      </c>
      <c r="Z936" s="322">
        <f>IFERROR(((VLOOKUP(Calculations[[#This Row],[Waste type 2]],WasteDisposalEmissions[#All],2,FALSE))*Calculations[[#This Row],[Total Kg]])*VLOOKUP(Calculations[[#This Row],[Waste 1]],WasteScenario[#All],2,FALSE),0)</f>
        <v>0</v>
      </c>
      <c r="AA936" s="322">
        <f>IFERROR((VLOOKUP(Calculations[[#This Row],[Waste type 2]],WasteDisposalEmissions[#All],3,FALSE))*Calculations[[#This Row],[Total Kg]]*VLOOKUP(Calculations[[#This Row],[Waste 1]],WasteScenario[#All],3,FALSE),0)</f>
        <v>0</v>
      </c>
      <c r="AB936" s="322">
        <f>SUM(Calculations[[#This Row],[C3 recyc]:[C3 incin]])</f>
        <v>0</v>
      </c>
      <c r="AC936" s="334">
        <f>IFERROR((VLOOKUP(Calculations[[#This Row],[Waste type 2]],WasteLandfillEmissions[#All],2,FALSE))*Calculations[[#This Row],[Total Kg]]*VLOOKUP(Calculations[[#This Row],[Waste 1]],WasteScenario[#All],4,FALSE),0)</f>
        <v>0</v>
      </c>
      <c r="AD936" s="322">
        <f>IFERROR((VLOOKUP(Calculations[[#This Row],[Waste type 2]],WasteLandfillEmissions[#All],3,FALSE))*Calculations[[#This Row],[Total Kg]]*VLOOKUP(Calculations[[#This Row],[Waste 1]],WasteScenario[#All],4,FALSE),0)</f>
        <v>0</v>
      </c>
      <c r="AE936" s="322">
        <f>SUM(Calculations[[#This Row],[C4 landfill]:[C4 re-use]])</f>
        <v>0</v>
      </c>
      <c r="AF936" s="322">
        <f>IFERROR(VLOOKUP(Calculations[[#This Row],[Material (choose from dropdown]],MaterialData[#All],8,FALSE),0)</f>
        <v>0</v>
      </c>
      <c r="AG936" s="322">
        <f>IFERROR(Calculations[[#This Row],[Total Kg]]*Calculations[[#This Row],[Seq factor]],0)</f>
        <v>0</v>
      </c>
      <c r="AI936" s="322">
        <f>Calculations[[#This Row],[A1-3]]+Calculations[[#This Row],[A4]]+Calculations[[#This Row],[A5]]+Calculations[[#This Row],[B4]]+Calculations[[#This Row],[C2 total]]+Calculations[[#This Row],[C3 total]]+Calculations[[#This Row],[C4 total]]</f>
        <v>0</v>
      </c>
      <c r="AJ936" s="2">
        <f>IFERROR(VLOOKUP(Calculations[[#This Row],[Material (choose from dropdown]],MaterialData[[#Headers],[#Data]],9,FALSE),0)</f>
        <v>0</v>
      </c>
      <c r="AK936" s="4">
        <f>IFERROR(VLOOKUP(Calculations[[#This Row],[Material (choose from dropdown]],MaterialData[[#Headers],[#Data]],10,FALSE),0)</f>
        <v>0</v>
      </c>
      <c r="AL936" s="322">
        <f>IFERROR(Calculations[[#This Row],[Data Quality Score]]*Calculations[[#This Row],[Total Kg]],0)</f>
        <v>0</v>
      </c>
    </row>
    <row r="937" spans="1:38" x14ac:dyDescent="0.3">
      <c r="A937" s="6">
        <f>IFERROR(MaterialsBoQ[[#This Row],[Scope Element]],0)</f>
        <v>0</v>
      </c>
      <c r="B937" t="str">
        <f>IFERROR(MaterialsBoQ[[#This Row],[Material ]],"")</f>
        <v/>
      </c>
      <c r="C937" t="str">
        <f>IFERROR(MaterialsBoQ[[#This Row],[Unit]],"")</f>
        <v/>
      </c>
      <c r="D937" s="322">
        <f>IFERROR(MaterialsBoQ[[#This Row],[Number]],0)</f>
        <v>0</v>
      </c>
      <c r="E937" s="322">
        <f>IFERROR(MaterialsBoQ[[#This Row],[Kg per unit]],0)</f>
        <v>0</v>
      </c>
      <c r="F937" s="322">
        <f>IFERROR(Calculations[[#This Row],[Number]]*Calculations[[#This Row],[Conversion factor]],0)</f>
        <v>0</v>
      </c>
      <c r="G937" s="322">
        <f>IFERROR(VLOOKUP(Calculations[[#This Row],[Material (choose from dropdown]],MaterialData[#All],7,FALSE),0)</f>
        <v>0</v>
      </c>
      <c r="H937" s="322">
        <f>Calculations[[#This Row],[Total Kg]]*Calculations[[#This Row],[Carbon Factor]]</f>
        <v>0</v>
      </c>
      <c r="I937" t="str">
        <f>IFERROR(VLOOKUP(Calculations[[#This Row],[Material (choose from dropdown]],MaterialData[#All],2,FALSE),"")</f>
        <v/>
      </c>
      <c r="J937" s="322">
        <f>IFERROR(((VLOOKUP(Calculations[[#This Row],[TransportSource]],TransportDistance[],2,FALSE)*'Stage assumptions'!$C$11)+VLOOKUP(Calculations[[#This Row],[TransportSource]],TransportDistance[],3,FALSE)*'Stage assumptions'!$C$12)*Calculations[[#This Row],[Total Kg]],0)</f>
        <v>0</v>
      </c>
      <c r="K937">
        <f>IFERROR(VLOOKUP(Calculations[[#This Row],[Material (choose from dropdown]], MaterialData[#All],3, FALSE),0)</f>
        <v>0</v>
      </c>
      <c r="L937" s="322">
        <f>IFERROR(VLOOKUP(Calculations[[#This Row],[A5type]],A5WastageRate[#All],2,FALSE)*Calculations[[#This Row],[A1-3]],0)</f>
        <v>0</v>
      </c>
      <c r="N937">
        <f>IFERROR(ROUNDUP(50/VLOOKUP(Calculations[[#This Row],[Scope Element]],B4referenceServiceLife[[Tier 2 element]:[Default Service Life]],2, FALSE)-1,0),0)</f>
        <v>0</v>
      </c>
      <c r="O937" s="322">
        <f>IFERROR((Calculations[[#This Row],[A1-3]]+Calculations[[#This Row],[A4]]+Calculations[[#This Row],[A5]]+Calculations[[#This Row],[C2 total]]+Calculations[[#This Row],[C3 total]]+Calculations[[#This Row],[C4 total]])*Calculations[[#This Row],[Replacements]],0)</f>
        <v>0</v>
      </c>
      <c r="S937" t="str">
        <f>IFERROR(VLOOKUP(Calculations[[#This Row],[Material (choose from dropdown]],MaterialData[#All],4,FALSE),"")</f>
        <v/>
      </c>
      <c r="T937" s="322" cm="1">
        <f t="array" ref="T937">IFERROR(VLOOKUP(Calculations[[#This Row],[Waste 1]],WasteScenario[#All],2,FALSE)*'Stage assumptions'!$C$225*WasteTransportMethod[Emissions Factor
kgCO2e/kg.km]*Calculations[[#This Row],[Total Kg]],0)</f>
        <v>0</v>
      </c>
      <c r="U937" s="322" cm="1">
        <f t="array" ref="U937">IFERROR(VLOOKUP(Calculations[[#This Row],[Waste 1]],WasteScenario[#All],3,FALSE)*'Stage assumptions'!$C$224*WasteTransportMethod[Emissions Factor
kgCO2e/kg.km]*Calculations[[#This Row],[Total Kg]],0)</f>
        <v>0</v>
      </c>
      <c r="V937" s="322" cm="1">
        <f t="array" ref="V937">IFERROR(VLOOKUP(Calculations[[#This Row],[Waste 1]],WasteScenario[#All],4,FALSE)*'Stage assumptions'!$C$223*WasteTransportMethod[Emissions Factor
kgCO2e/kg.km]*Calculations[[#This Row],[Total Kg]],0)</f>
        <v>0</v>
      </c>
      <c r="W937" s="322" cm="1">
        <f t="array" ref="W937">IFERROR(VLOOKUP(Calculations[[#This Row],[Waste 1]],WasteScenario[#All],5,FALSE)*'Stage assumptions'!$C$226*WasteTransportMethod[Emissions Factor
kgCO2e/kg.km]*Calculations[[#This Row],[Total Kg]],0)</f>
        <v>0</v>
      </c>
      <c r="X937" s="322">
        <f>SUM(Calculations[[#This Row],[C2 Recycle]:[C2 Reuse]])</f>
        <v>0</v>
      </c>
      <c r="Y937" t="str">
        <f>IFERROR(VLOOKUP(Calculations[[#This Row],[Material (choose from dropdown]],MaterialData[#All],5,FALSE),"")</f>
        <v/>
      </c>
      <c r="Z937" s="322">
        <f>IFERROR(((VLOOKUP(Calculations[[#This Row],[Waste type 2]],WasteDisposalEmissions[#All],2,FALSE))*Calculations[[#This Row],[Total Kg]])*VLOOKUP(Calculations[[#This Row],[Waste 1]],WasteScenario[#All],2,FALSE),0)</f>
        <v>0</v>
      </c>
      <c r="AA937" s="322">
        <f>IFERROR((VLOOKUP(Calculations[[#This Row],[Waste type 2]],WasteDisposalEmissions[#All],3,FALSE))*Calculations[[#This Row],[Total Kg]]*VLOOKUP(Calculations[[#This Row],[Waste 1]],WasteScenario[#All],3,FALSE),0)</f>
        <v>0</v>
      </c>
      <c r="AB937" s="322">
        <f>SUM(Calculations[[#This Row],[C3 recyc]:[C3 incin]])</f>
        <v>0</v>
      </c>
      <c r="AC937" s="334">
        <f>IFERROR((VLOOKUP(Calculations[[#This Row],[Waste type 2]],WasteLandfillEmissions[#All],2,FALSE))*Calculations[[#This Row],[Total Kg]]*VLOOKUP(Calculations[[#This Row],[Waste 1]],WasteScenario[#All],4,FALSE),0)</f>
        <v>0</v>
      </c>
      <c r="AD937" s="322">
        <f>IFERROR((VLOOKUP(Calculations[[#This Row],[Waste type 2]],WasteLandfillEmissions[#All],3,FALSE))*Calculations[[#This Row],[Total Kg]]*VLOOKUP(Calculations[[#This Row],[Waste 1]],WasteScenario[#All],4,FALSE),0)</f>
        <v>0</v>
      </c>
      <c r="AE937" s="322">
        <f>SUM(Calculations[[#This Row],[C4 landfill]:[C4 re-use]])</f>
        <v>0</v>
      </c>
      <c r="AF937" s="322">
        <f>IFERROR(VLOOKUP(Calculations[[#This Row],[Material (choose from dropdown]],MaterialData[#All],8,FALSE),0)</f>
        <v>0</v>
      </c>
      <c r="AG937" s="322">
        <f>IFERROR(Calculations[[#This Row],[Total Kg]]*Calculations[[#This Row],[Seq factor]],0)</f>
        <v>0</v>
      </c>
      <c r="AI937" s="322">
        <f>Calculations[[#This Row],[A1-3]]+Calculations[[#This Row],[A4]]+Calculations[[#This Row],[A5]]+Calculations[[#This Row],[B4]]+Calculations[[#This Row],[C2 total]]+Calculations[[#This Row],[C3 total]]+Calculations[[#This Row],[C4 total]]</f>
        <v>0</v>
      </c>
      <c r="AJ937" s="2">
        <f>IFERROR(VLOOKUP(Calculations[[#This Row],[Material (choose from dropdown]],MaterialData[[#Headers],[#Data]],9,FALSE),0)</f>
        <v>0</v>
      </c>
      <c r="AK937" s="4">
        <f>IFERROR(VLOOKUP(Calculations[[#This Row],[Material (choose from dropdown]],MaterialData[[#Headers],[#Data]],10,FALSE),0)</f>
        <v>0</v>
      </c>
      <c r="AL937" s="322">
        <f>IFERROR(Calculations[[#This Row],[Data Quality Score]]*Calculations[[#This Row],[Total Kg]],0)</f>
        <v>0</v>
      </c>
    </row>
    <row r="938" spans="1:38" x14ac:dyDescent="0.3">
      <c r="A938" s="6">
        <f>IFERROR(MaterialsBoQ[[#This Row],[Scope Element]],0)</f>
        <v>0</v>
      </c>
      <c r="B938" t="str">
        <f>IFERROR(MaterialsBoQ[[#This Row],[Material ]],"")</f>
        <v/>
      </c>
      <c r="C938" t="str">
        <f>IFERROR(MaterialsBoQ[[#This Row],[Unit]],"")</f>
        <v/>
      </c>
      <c r="D938" s="322">
        <f>IFERROR(MaterialsBoQ[[#This Row],[Number]],0)</f>
        <v>0</v>
      </c>
      <c r="E938" s="322">
        <f>IFERROR(MaterialsBoQ[[#This Row],[Kg per unit]],0)</f>
        <v>0</v>
      </c>
      <c r="F938" s="322">
        <f>IFERROR(Calculations[[#This Row],[Number]]*Calculations[[#This Row],[Conversion factor]],0)</f>
        <v>0</v>
      </c>
      <c r="G938" s="322">
        <f>IFERROR(VLOOKUP(Calculations[[#This Row],[Material (choose from dropdown]],MaterialData[#All],7,FALSE),0)</f>
        <v>0</v>
      </c>
      <c r="H938" s="322">
        <f>Calculations[[#This Row],[Total Kg]]*Calculations[[#This Row],[Carbon Factor]]</f>
        <v>0</v>
      </c>
      <c r="I938" t="str">
        <f>IFERROR(VLOOKUP(Calculations[[#This Row],[Material (choose from dropdown]],MaterialData[#All],2,FALSE),"")</f>
        <v/>
      </c>
      <c r="J938" s="322">
        <f>IFERROR(((VLOOKUP(Calculations[[#This Row],[TransportSource]],TransportDistance[],2,FALSE)*'Stage assumptions'!$C$11)+VLOOKUP(Calculations[[#This Row],[TransportSource]],TransportDistance[],3,FALSE)*'Stage assumptions'!$C$12)*Calculations[[#This Row],[Total Kg]],0)</f>
        <v>0</v>
      </c>
      <c r="K938">
        <f>IFERROR(VLOOKUP(Calculations[[#This Row],[Material (choose from dropdown]], MaterialData[#All],3, FALSE),0)</f>
        <v>0</v>
      </c>
      <c r="L938" s="322">
        <f>IFERROR(VLOOKUP(Calculations[[#This Row],[A5type]],A5WastageRate[#All],2,FALSE)*Calculations[[#This Row],[A1-3]],0)</f>
        <v>0</v>
      </c>
      <c r="N938">
        <f>IFERROR(ROUNDUP(50/VLOOKUP(Calculations[[#This Row],[Scope Element]],B4referenceServiceLife[[Tier 2 element]:[Default Service Life]],2, FALSE)-1,0),0)</f>
        <v>0</v>
      </c>
      <c r="O938" s="322">
        <f>IFERROR((Calculations[[#This Row],[A1-3]]+Calculations[[#This Row],[A4]]+Calculations[[#This Row],[A5]]+Calculations[[#This Row],[C2 total]]+Calculations[[#This Row],[C3 total]]+Calculations[[#This Row],[C4 total]])*Calculations[[#This Row],[Replacements]],0)</f>
        <v>0</v>
      </c>
      <c r="S938" t="str">
        <f>IFERROR(VLOOKUP(Calculations[[#This Row],[Material (choose from dropdown]],MaterialData[#All],4,FALSE),"")</f>
        <v/>
      </c>
      <c r="T938" s="322" cm="1">
        <f t="array" ref="T938">IFERROR(VLOOKUP(Calculations[[#This Row],[Waste 1]],WasteScenario[#All],2,FALSE)*'Stage assumptions'!$C$225*WasteTransportMethod[Emissions Factor
kgCO2e/kg.km]*Calculations[[#This Row],[Total Kg]],0)</f>
        <v>0</v>
      </c>
      <c r="U938" s="322" cm="1">
        <f t="array" ref="U938">IFERROR(VLOOKUP(Calculations[[#This Row],[Waste 1]],WasteScenario[#All],3,FALSE)*'Stage assumptions'!$C$224*WasteTransportMethod[Emissions Factor
kgCO2e/kg.km]*Calculations[[#This Row],[Total Kg]],0)</f>
        <v>0</v>
      </c>
      <c r="V938" s="322" cm="1">
        <f t="array" ref="V938">IFERROR(VLOOKUP(Calculations[[#This Row],[Waste 1]],WasteScenario[#All],4,FALSE)*'Stage assumptions'!$C$223*WasteTransportMethod[Emissions Factor
kgCO2e/kg.km]*Calculations[[#This Row],[Total Kg]],0)</f>
        <v>0</v>
      </c>
      <c r="W938" s="322" cm="1">
        <f t="array" ref="W938">IFERROR(VLOOKUP(Calculations[[#This Row],[Waste 1]],WasteScenario[#All],5,FALSE)*'Stage assumptions'!$C$226*WasteTransportMethod[Emissions Factor
kgCO2e/kg.km]*Calculations[[#This Row],[Total Kg]],0)</f>
        <v>0</v>
      </c>
      <c r="X938" s="322">
        <f>SUM(Calculations[[#This Row],[C2 Recycle]:[C2 Reuse]])</f>
        <v>0</v>
      </c>
      <c r="Y938" t="str">
        <f>IFERROR(VLOOKUP(Calculations[[#This Row],[Material (choose from dropdown]],MaterialData[#All],5,FALSE),"")</f>
        <v/>
      </c>
      <c r="Z938" s="322">
        <f>IFERROR(((VLOOKUP(Calculations[[#This Row],[Waste type 2]],WasteDisposalEmissions[#All],2,FALSE))*Calculations[[#This Row],[Total Kg]])*VLOOKUP(Calculations[[#This Row],[Waste 1]],WasteScenario[#All],2,FALSE),0)</f>
        <v>0</v>
      </c>
      <c r="AA938" s="322">
        <f>IFERROR((VLOOKUP(Calculations[[#This Row],[Waste type 2]],WasteDisposalEmissions[#All],3,FALSE))*Calculations[[#This Row],[Total Kg]]*VLOOKUP(Calculations[[#This Row],[Waste 1]],WasteScenario[#All],3,FALSE),0)</f>
        <v>0</v>
      </c>
      <c r="AB938" s="322">
        <f>SUM(Calculations[[#This Row],[C3 recyc]:[C3 incin]])</f>
        <v>0</v>
      </c>
      <c r="AC938" s="334">
        <f>IFERROR((VLOOKUP(Calculations[[#This Row],[Waste type 2]],WasteLandfillEmissions[#All],2,FALSE))*Calculations[[#This Row],[Total Kg]]*VLOOKUP(Calculations[[#This Row],[Waste 1]],WasteScenario[#All],4,FALSE),0)</f>
        <v>0</v>
      </c>
      <c r="AD938" s="322">
        <f>IFERROR((VLOOKUP(Calculations[[#This Row],[Waste type 2]],WasteLandfillEmissions[#All],3,FALSE))*Calculations[[#This Row],[Total Kg]]*VLOOKUP(Calculations[[#This Row],[Waste 1]],WasteScenario[#All],4,FALSE),0)</f>
        <v>0</v>
      </c>
      <c r="AE938" s="322">
        <f>SUM(Calculations[[#This Row],[C4 landfill]:[C4 re-use]])</f>
        <v>0</v>
      </c>
      <c r="AF938" s="322">
        <f>IFERROR(VLOOKUP(Calculations[[#This Row],[Material (choose from dropdown]],MaterialData[#All],8,FALSE),0)</f>
        <v>0</v>
      </c>
      <c r="AG938" s="322">
        <f>IFERROR(Calculations[[#This Row],[Total Kg]]*Calculations[[#This Row],[Seq factor]],0)</f>
        <v>0</v>
      </c>
      <c r="AI938" s="322">
        <f>Calculations[[#This Row],[A1-3]]+Calculations[[#This Row],[A4]]+Calculations[[#This Row],[A5]]+Calculations[[#This Row],[B4]]+Calculations[[#This Row],[C2 total]]+Calculations[[#This Row],[C3 total]]+Calculations[[#This Row],[C4 total]]</f>
        <v>0</v>
      </c>
      <c r="AJ938" s="2">
        <f>IFERROR(VLOOKUP(Calculations[[#This Row],[Material (choose from dropdown]],MaterialData[[#Headers],[#Data]],9,FALSE),0)</f>
        <v>0</v>
      </c>
      <c r="AK938" s="4">
        <f>IFERROR(VLOOKUP(Calculations[[#This Row],[Material (choose from dropdown]],MaterialData[[#Headers],[#Data]],10,FALSE),0)</f>
        <v>0</v>
      </c>
      <c r="AL938" s="322">
        <f>IFERROR(Calculations[[#This Row],[Data Quality Score]]*Calculations[[#This Row],[Total Kg]],0)</f>
        <v>0</v>
      </c>
    </row>
    <row r="939" spans="1:38" x14ac:dyDescent="0.3">
      <c r="A939" s="6">
        <f>IFERROR(MaterialsBoQ[[#This Row],[Scope Element]],0)</f>
        <v>0</v>
      </c>
      <c r="B939" t="str">
        <f>IFERROR(MaterialsBoQ[[#This Row],[Material ]],"")</f>
        <v/>
      </c>
      <c r="C939" t="str">
        <f>IFERROR(MaterialsBoQ[[#This Row],[Unit]],"")</f>
        <v/>
      </c>
      <c r="D939" s="322">
        <f>IFERROR(MaterialsBoQ[[#This Row],[Number]],0)</f>
        <v>0</v>
      </c>
      <c r="E939" s="322">
        <f>IFERROR(MaterialsBoQ[[#This Row],[Kg per unit]],0)</f>
        <v>0</v>
      </c>
      <c r="F939" s="322">
        <f>IFERROR(Calculations[[#This Row],[Number]]*Calculations[[#This Row],[Conversion factor]],0)</f>
        <v>0</v>
      </c>
      <c r="G939" s="322">
        <f>IFERROR(VLOOKUP(Calculations[[#This Row],[Material (choose from dropdown]],MaterialData[#All],7,FALSE),0)</f>
        <v>0</v>
      </c>
      <c r="H939" s="322">
        <f>Calculations[[#This Row],[Total Kg]]*Calculations[[#This Row],[Carbon Factor]]</f>
        <v>0</v>
      </c>
      <c r="I939" t="str">
        <f>IFERROR(VLOOKUP(Calculations[[#This Row],[Material (choose from dropdown]],MaterialData[#All],2,FALSE),"")</f>
        <v/>
      </c>
      <c r="J939" s="322">
        <f>IFERROR(((VLOOKUP(Calculations[[#This Row],[TransportSource]],TransportDistance[],2,FALSE)*'Stage assumptions'!$C$11)+VLOOKUP(Calculations[[#This Row],[TransportSource]],TransportDistance[],3,FALSE)*'Stage assumptions'!$C$12)*Calculations[[#This Row],[Total Kg]],0)</f>
        <v>0</v>
      </c>
      <c r="K939">
        <f>IFERROR(VLOOKUP(Calculations[[#This Row],[Material (choose from dropdown]], MaterialData[#All],3, FALSE),0)</f>
        <v>0</v>
      </c>
      <c r="L939" s="322">
        <f>IFERROR(VLOOKUP(Calculations[[#This Row],[A5type]],A5WastageRate[#All],2,FALSE)*Calculations[[#This Row],[A1-3]],0)</f>
        <v>0</v>
      </c>
      <c r="N939">
        <f>IFERROR(ROUNDUP(50/VLOOKUP(Calculations[[#This Row],[Scope Element]],B4referenceServiceLife[[Tier 2 element]:[Default Service Life]],2, FALSE)-1,0),0)</f>
        <v>0</v>
      </c>
      <c r="O939" s="322">
        <f>IFERROR((Calculations[[#This Row],[A1-3]]+Calculations[[#This Row],[A4]]+Calculations[[#This Row],[A5]]+Calculations[[#This Row],[C2 total]]+Calculations[[#This Row],[C3 total]]+Calculations[[#This Row],[C4 total]])*Calculations[[#This Row],[Replacements]],0)</f>
        <v>0</v>
      </c>
      <c r="S939" t="str">
        <f>IFERROR(VLOOKUP(Calculations[[#This Row],[Material (choose from dropdown]],MaterialData[#All],4,FALSE),"")</f>
        <v/>
      </c>
      <c r="T939" s="322" cm="1">
        <f t="array" ref="T939">IFERROR(VLOOKUP(Calculations[[#This Row],[Waste 1]],WasteScenario[#All],2,FALSE)*'Stage assumptions'!$C$225*WasteTransportMethod[Emissions Factor
kgCO2e/kg.km]*Calculations[[#This Row],[Total Kg]],0)</f>
        <v>0</v>
      </c>
      <c r="U939" s="322" cm="1">
        <f t="array" ref="U939">IFERROR(VLOOKUP(Calculations[[#This Row],[Waste 1]],WasteScenario[#All],3,FALSE)*'Stage assumptions'!$C$224*WasteTransportMethod[Emissions Factor
kgCO2e/kg.km]*Calculations[[#This Row],[Total Kg]],0)</f>
        <v>0</v>
      </c>
      <c r="V939" s="322" cm="1">
        <f t="array" ref="V939">IFERROR(VLOOKUP(Calculations[[#This Row],[Waste 1]],WasteScenario[#All],4,FALSE)*'Stage assumptions'!$C$223*WasteTransportMethod[Emissions Factor
kgCO2e/kg.km]*Calculations[[#This Row],[Total Kg]],0)</f>
        <v>0</v>
      </c>
      <c r="W939" s="322" cm="1">
        <f t="array" ref="W939">IFERROR(VLOOKUP(Calculations[[#This Row],[Waste 1]],WasteScenario[#All],5,FALSE)*'Stage assumptions'!$C$226*WasteTransportMethod[Emissions Factor
kgCO2e/kg.km]*Calculations[[#This Row],[Total Kg]],0)</f>
        <v>0</v>
      </c>
      <c r="X939" s="322">
        <f>SUM(Calculations[[#This Row],[C2 Recycle]:[C2 Reuse]])</f>
        <v>0</v>
      </c>
      <c r="Y939" t="str">
        <f>IFERROR(VLOOKUP(Calculations[[#This Row],[Material (choose from dropdown]],MaterialData[#All],5,FALSE),"")</f>
        <v/>
      </c>
      <c r="Z939" s="322">
        <f>IFERROR(((VLOOKUP(Calculations[[#This Row],[Waste type 2]],WasteDisposalEmissions[#All],2,FALSE))*Calculations[[#This Row],[Total Kg]])*VLOOKUP(Calculations[[#This Row],[Waste 1]],WasteScenario[#All],2,FALSE),0)</f>
        <v>0</v>
      </c>
      <c r="AA939" s="322">
        <f>IFERROR((VLOOKUP(Calculations[[#This Row],[Waste type 2]],WasteDisposalEmissions[#All],3,FALSE))*Calculations[[#This Row],[Total Kg]]*VLOOKUP(Calculations[[#This Row],[Waste 1]],WasteScenario[#All],3,FALSE),0)</f>
        <v>0</v>
      </c>
      <c r="AB939" s="322">
        <f>SUM(Calculations[[#This Row],[C3 recyc]:[C3 incin]])</f>
        <v>0</v>
      </c>
      <c r="AC939" s="334">
        <f>IFERROR((VLOOKUP(Calculations[[#This Row],[Waste type 2]],WasteLandfillEmissions[#All],2,FALSE))*Calculations[[#This Row],[Total Kg]]*VLOOKUP(Calculations[[#This Row],[Waste 1]],WasteScenario[#All],4,FALSE),0)</f>
        <v>0</v>
      </c>
      <c r="AD939" s="322">
        <f>IFERROR((VLOOKUP(Calculations[[#This Row],[Waste type 2]],WasteLandfillEmissions[#All],3,FALSE))*Calculations[[#This Row],[Total Kg]]*VLOOKUP(Calculations[[#This Row],[Waste 1]],WasteScenario[#All],4,FALSE),0)</f>
        <v>0</v>
      </c>
      <c r="AE939" s="322">
        <f>SUM(Calculations[[#This Row],[C4 landfill]:[C4 re-use]])</f>
        <v>0</v>
      </c>
      <c r="AF939" s="322">
        <f>IFERROR(VLOOKUP(Calculations[[#This Row],[Material (choose from dropdown]],MaterialData[#All],8,FALSE),0)</f>
        <v>0</v>
      </c>
      <c r="AG939" s="322">
        <f>IFERROR(Calculations[[#This Row],[Total Kg]]*Calculations[[#This Row],[Seq factor]],0)</f>
        <v>0</v>
      </c>
      <c r="AI939" s="322">
        <f>Calculations[[#This Row],[A1-3]]+Calculations[[#This Row],[A4]]+Calculations[[#This Row],[A5]]+Calculations[[#This Row],[B4]]+Calculations[[#This Row],[C2 total]]+Calculations[[#This Row],[C3 total]]+Calculations[[#This Row],[C4 total]]</f>
        <v>0</v>
      </c>
      <c r="AJ939" s="2">
        <f>IFERROR(VLOOKUP(Calculations[[#This Row],[Material (choose from dropdown]],MaterialData[[#Headers],[#Data]],9,FALSE),0)</f>
        <v>0</v>
      </c>
      <c r="AK939" s="4">
        <f>IFERROR(VLOOKUP(Calculations[[#This Row],[Material (choose from dropdown]],MaterialData[[#Headers],[#Data]],10,FALSE),0)</f>
        <v>0</v>
      </c>
      <c r="AL939" s="322">
        <f>IFERROR(Calculations[[#This Row],[Data Quality Score]]*Calculations[[#This Row],[Total Kg]],0)</f>
        <v>0</v>
      </c>
    </row>
    <row r="940" spans="1:38" x14ac:dyDescent="0.3">
      <c r="A940" s="6">
        <f>IFERROR(MaterialsBoQ[[#This Row],[Scope Element]],0)</f>
        <v>0</v>
      </c>
      <c r="B940" t="str">
        <f>IFERROR(MaterialsBoQ[[#This Row],[Material ]],"")</f>
        <v/>
      </c>
      <c r="C940" t="str">
        <f>IFERROR(MaterialsBoQ[[#This Row],[Unit]],"")</f>
        <v/>
      </c>
      <c r="D940" s="322">
        <f>IFERROR(MaterialsBoQ[[#This Row],[Number]],0)</f>
        <v>0</v>
      </c>
      <c r="E940" s="322">
        <f>IFERROR(MaterialsBoQ[[#This Row],[Kg per unit]],0)</f>
        <v>0</v>
      </c>
      <c r="F940" s="322">
        <f>IFERROR(Calculations[[#This Row],[Number]]*Calculations[[#This Row],[Conversion factor]],0)</f>
        <v>0</v>
      </c>
      <c r="G940" s="322">
        <f>IFERROR(VLOOKUP(Calculations[[#This Row],[Material (choose from dropdown]],MaterialData[#All],7,FALSE),0)</f>
        <v>0</v>
      </c>
      <c r="H940" s="322">
        <f>Calculations[[#This Row],[Total Kg]]*Calculations[[#This Row],[Carbon Factor]]</f>
        <v>0</v>
      </c>
      <c r="I940" t="str">
        <f>IFERROR(VLOOKUP(Calculations[[#This Row],[Material (choose from dropdown]],MaterialData[#All],2,FALSE),"")</f>
        <v/>
      </c>
      <c r="J940" s="322">
        <f>IFERROR(((VLOOKUP(Calculations[[#This Row],[TransportSource]],TransportDistance[],2,FALSE)*'Stage assumptions'!$C$11)+VLOOKUP(Calculations[[#This Row],[TransportSource]],TransportDistance[],3,FALSE)*'Stage assumptions'!$C$12)*Calculations[[#This Row],[Total Kg]],0)</f>
        <v>0</v>
      </c>
      <c r="K940">
        <f>IFERROR(VLOOKUP(Calculations[[#This Row],[Material (choose from dropdown]], MaterialData[#All],3, FALSE),0)</f>
        <v>0</v>
      </c>
      <c r="L940" s="322">
        <f>IFERROR(VLOOKUP(Calculations[[#This Row],[A5type]],A5WastageRate[#All],2,FALSE)*Calculations[[#This Row],[A1-3]],0)</f>
        <v>0</v>
      </c>
      <c r="N940">
        <f>IFERROR(ROUNDUP(50/VLOOKUP(Calculations[[#This Row],[Scope Element]],B4referenceServiceLife[[Tier 2 element]:[Default Service Life]],2, FALSE)-1,0),0)</f>
        <v>0</v>
      </c>
      <c r="O940" s="322">
        <f>IFERROR((Calculations[[#This Row],[A1-3]]+Calculations[[#This Row],[A4]]+Calculations[[#This Row],[A5]]+Calculations[[#This Row],[C2 total]]+Calculations[[#This Row],[C3 total]]+Calculations[[#This Row],[C4 total]])*Calculations[[#This Row],[Replacements]],0)</f>
        <v>0</v>
      </c>
      <c r="S940" t="str">
        <f>IFERROR(VLOOKUP(Calculations[[#This Row],[Material (choose from dropdown]],MaterialData[#All],4,FALSE),"")</f>
        <v/>
      </c>
      <c r="T940" s="322" cm="1">
        <f t="array" ref="T940">IFERROR(VLOOKUP(Calculations[[#This Row],[Waste 1]],WasteScenario[#All],2,FALSE)*'Stage assumptions'!$C$225*WasteTransportMethod[Emissions Factor
kgCO2e/kg.km]*Calculations[[#This Row],[Total Kg]],0)</f>
        <v>0</v>
      </c>
      <c r="U940" s="322" cm="1">
        <f t="array" ref="U940">IFERROR(VLOOKUP(Calculations[[#This Row],[Waste 1]],WasteScenario[#All],3,FALSE)*'Stage assumptions'!$C$224*WasteTransportMethod[Emissions Factor
kgCO2e/kg.km]*Calculations[[#This Row],[Total Kg]],0)</f>
        <v>0</v>
      </c>
      <c r="V940" s="322" cm="1">
        <f t="array" ref="V940">IFERROR(VLOOKUP(Calculations[[#This Row],[Waste 1]],WasteScenario[#All],4,FALSE)*'Stage assumptions'!$C$223*WasteTransportMethod[Emissions Factor
kgCO2e/kg.km]*Calculations[[#This Row],[Total Kg]],0)</f>
        <v>0</v>
      </c>
      <c r="W940" s="322" cm="1">
        <f t="array" ref="W940">IFERROR(VLOOKUP(Calculations[[#This Row],[Waste 1]],WasteScenario[#All],5,FALSE)*'Stage assumptions'!$C$226*WasteTransportMethod[Emissions Factor
kgCO2e/kg.km]*Calculations[[#This Row],[Total Kg]],0)</f>
        <v>0</v>
      </c>
      <c r="X940" s="322">
        <f>SUM(Calculations[[#This Row],[C2 Recycle]:[C2 Reuse]])</f>
        <v>0</v>
      </c>
      <c r="Y940" t="str">
        <f>IFERROR(VLOOKUP(Calculations[[#This Row],[Material (choose from dropdown]],MaterialData[#All],5,FALSE),"")</f>
        <v/>
      </c>
      <c r="Z940" s="322">
        <f>IFERROR(((VLOOKUP(Calculations[[#This Row],[Waste type 2]],WasteDisposalEmissions[#All],2,FALSE))*Calculations[[#This Row],[Total Kg]])*VLOOKUP(Calculations[[#This Row],[Waste 1]],WasteScenario[#All],2,FALSE),0)</f>
        <v>0</v>
      </c>
      <c r="AA940" s="322">
        <f>IFERROR((VLOOKUP(Calculations[[#This Row],[Waste type 2]],WasteDisposalEmissions[#All],3,FALSE))*Calculations[[#This Row],[Total Kg]]*VLOOKUP(Calculations[[#This Row],[Waste 1]],WasteScenario[#All],3,FALSE),0)</f>
        <v>0</v>
      </c>
      <c r="AB940" s="322">
        <f>SUM(Calculations[[#This Row],[C3 recyc]:[C3 incin]])</f>
        <v>0</v>
      </c>
      <c r="AC940" s="334">
        <f>IFERROR((VLOOKUP(Calculations[[#This Row],[Waste type 2]],WasteLandfillEmissions[#All],2,FALSE))*Calculations[[#This Row],[Total Kg]]*VLOOKUP(Calculations[[#This Row],[Waste 1]],WasteScenario[#All],4,FALSE),0)</f>
        <v>0</v>
      </c>
      <c r="AD940" s="322">
        <f>IFERROR((VLOOKUP(Calculations[[#This Row],[Waste type 2]],WasteLandfillEmissions[#All],3,FALSE))*Calculations[[#This Row],[Total Kg]]*VLOOKUP(Calculations[[#This Row],[Waste 1]],WasteScenario[#All],4,FALSE),0)</f>
        <v>0</v>
      </c>
      <c r="AE940" s="322">
        <f>SUM(Calculations[[#This Row],[C4 landfill]:[C4 re-use]])</f>
        <v>0</v>
      </c>
      <c r="AF940" s="322">
        <f>IFERROR(VLOOKUP(Calculations[[#This Row],[Material (choose from dropdown]],MaterialData[#All],8,FALSE),0)</f>
        <v>0</v>
      </c>
      <c r="AG940" s="322">
        <f>IFERROR(Calculations[[#This Row],[Total Kg]]*Calculations[[#This Row],[Seq factor]],0)</f>
        <v>0</v>
      </c>
      <c r="AI940" s="322">
        <f>Calculations[[#This Row],[A1-3]]+Calculations[[#This Row],[A4]]+Calculations[[#This Row],[A5]]+Calculations[[#This Row],[B4]]+Calculations[[#This Row],[C2 total]]+Calculations[[#This Row],[C3 total]]+Calculations[[#This Row],[C4 total]]</f>
        <v>0</v>
      </c>
      <c r="AJ940" s="2">
        <f>IFERROR(VLOOKUP(Calculations[[#This Row],[Material (choose from dropdown]],MaterialData[[#Headers],[#Data]],9,FALSE),0)</f>
        <v>0</v>
      </c>
      <c r="AK940" s="4">
        <f>IFERROR(VLOOKUP(Calculations[[#This Row],[Material (choose from dropdown]],MaterialData[[#Headers],[#Data]],10,FALSE),0)</f>
        <v>0</v>
      </c>
      <c r="AL940" s="322">
        <f>IFERROR(Calculations[[#This Row],[Data Quality Score]]*Calculations[[#This Row],[Total Kg]],0)</f>
        <v>0</v>
      </c>
    </row>
    <row r="941" spans="1:38" x14ac:dyDescent="0.3">
      <c r="A941" s="6">
        <f>IFERROR(MaterialsBoQ[[#This Row],[Scope Element]],0)</f>
        <v>0</v>
      </c>
      <c r="B941" t="str">
        <f>IFERROR(MaterialsBoQ[[#This Row],[Material ]],"")</f>
        <v/>
      </c>
      <c r="C941" t="str">
        <f>IFERROR(MaterialsBoQ[[#This Row],[Unit]],"")</f>
        <v/>
      </c>
      <c r="D941" s="322">
        <f>IFERROR(MaterialsBoQ[[#This Row],[Number]],0)</f>
        <v>0</v>
      </c>
      <c r="E941" s="322">
        <f>IFERROR(MaterialsBoQ[[#This Row],[Kg per unit]],0)</f>
        <v>0</v>
      </c>
      <c r="F941" s="322">
        <f>IFERROR(Calculations[[#This Row],[Number]]*Calculations[[#This Row],[Conversion factor]],0)</f>
        <v>0</v>
      </c>
      <c r="G941" s="322">
        <f>IFERROR(VLOOKUP(Calculations[[#This Row],[Material (choose from dropdown]],MaterialData[#All],7,FALSE),0)</f>
        <v>0</v>
      </c>
      <c r="H941" s="322">
        <f>Calculations[[#This Row],[Total Kg]]*Calculations[[#This Row],[Carbon Factor]]</f>
        <v>0</v>
      </c>
      <c r="I941" t="str">
        <f>IFERROR(VLOOKUP(Calculations[[#This Row],[Material (choose from dropdown]],MaterialData[#All],2,FALSE),"")</f>
        <v/>
      </c>
      <c r="J941" s="322">
        <f>IFERROR(((VLOOKUP(Calculations[[#This Row],[TransportSource]],TransportDistance[],2,FALSE)*'Stage assumptions'!$C$11)+VLOOKUP(Calculations[[#This Row],[TransportSource]],TransportDistance[],3,FALSE)*'Stage assumptions'!$C$12)*Calculations[[#This Row],[Total Kg]],0)</f>
        <v>0</v>
      </c>
      <c r="K941">
        <f>IFERROR(VLOOKUP(Calculations[[#This Row],[Material (choose from dropdown]], MaterialData[#All],3, FALSE),0)</f>
        <v>0</v>
      </c>
      <c r="L941" s="322">
        <f>IFERROR(VLOOKUP(Calculations[[#This Row],[A5type]],A5WastageRate[#All],2,FALSE)*Calculations[[#This Row],[A1-3]],0)</f>
        <v>0</v>
      </c>
      <c r="N941">
        <f>IFERROR(ROUNDUP(50/VLOOKUP(Calculations[[#This Row],[Scope Element]],B4referenceServiceLife[[Tier 2 element]:[Default Service Life]],2, FALSE)-1,0),0)</f>
        <v>0</v>
      </c>
      <c r="O941" s="322">
        <f>IFERROR((Calculations[[#This Row],[A1-3]]+Calculations[[#This Row],[A4]]+Calculations[[#This Row],[A5]]+Calculations[[#This Row],[C2 total]]+Calculations[[#This Row],[C3 total]]+Calculations[[#This Row],[C4 total]])*Calculations[[#This Row],[Replacements]],0)</f>
        <v>0</v>
      </c>
      <c r="S941" t="str">
        <f>IFERROR(VLOOKUP(Calculations[[#This Row],[Material (choose from dropdown]],MaterialData[#All],4,FALSE),"")</f>
        <v/>
      </c>
      <c r="T941" s="322" cm="1">
        <f t="array" ref="T941">IFERROR(VLOOKUP(Calculations[[#This Row],[Waste 1]],WasteScenario[#All],2,FALSE)*'Stage assumptions'!$C$225*WasteTransportMethod[Emissions Factor
kgCO2e/kg.km]*Calculations[[#This Row],[Total Kg]],0)</f>
        <v>0</v>
      </c>
      <c r="U941" s="322" cm="1">
        <f t="array" ref="U941">IFERROR(VLOOKUP(Calculations[[#This Row],[Waste 1]],WasteScenario[#All],3,FALSE)*'Stage assumptions'!$C$224*WasteTransportMethod[Emissions Factor
kgCO2e/kg.km]*Calculations[[#This Row],[Total Kg]],0)</f>
        <v>0</v>
      </c>
      <c r="V941" s="322" cm="1">
        <f t="array" ref="V941">IFERROR(VLOOKUP(Calculations[[#This Row],[Waste 1]],WasteScenario[#All],4,FALSE)*'Stage assumptions'!$C$223*WasteTransportMethod[Emissions Factor
kgCO2e/kg.km]*Calculations[[#This Row],[Total Kg]],0)</f>
        <v>0</v>
      </c>
      <c r="W941" s="322" cm="1">
        <f t="array" ref="W941">IFERROR(VLOOKUP(Calculations[[#This Row],[Waste 1]],WasteScenario[#All],5,FALSE)*'Stage assumptions'!$C$226*WasteTransportMethod[Emissions Factor
kgCO2e/kg.km]*Calculations[[#This Row],[Total Kg]],0)</f>
        <v>0</v>
      </c>
      <c r="X941" s="322">
        <f>SUM(Calculations[[#This Row],[C2 Recycle]:[C2 Reuse]])</f>
        <v>0</v>
      </c>
      <c r="Y941" t="str">
        <f>IFERROR(VLOOKUP(Calculations[[#This Row],[Material (choose from dropdown]],MaterialData[#All],5,FALSE),"")</f>
        <v/>
      </c>
      <c r="Z941" s="322">
        <f>IFERROR(((VLOOKUP(Calculations[[#This Row],[Waste type 2]],WasteDisposalEmissions[#All],2,FALSE))*Calculations[[#This Row],[Total Kg]])*VLOOKUP(Calculations[[#This Row],[Waste 1]],WasteScenario[#All],2,FALSE),0)</f>
        <v>0</v>
      </c>
      <c r="AA941" s="322">
        <f>IFERROR((VLOOKUP(Calculations[[#This Row],[Waste type 2]],WasteDisposalEmissions[#All],3,FALSE))*Calculations[[#This Row],[Total Kg]]*VLOOKUP(Calculations[[#This Row],[Waste 1]],WasteScenario[#All],3,FALSE),0)</f>
        <v>0</v>
      </c>
      <c r="AB941" s="322">
        <f>SUM(Calculations[[#This Row],[C3 recyc]:[C3 incin]])</f>
        <v>0</v>
      </c>
      <c r="AC941" s="334">
        <f>IFERROR((VLOOKUP(Calculations[[#This Row],[Waste type 2]],WasteLandfillEmissions[#All],2,FALSE))*Calculations[[#This Row],[Total Kg]]*VLOOKUP(Calculations[[#This Row],[Waste 1]],WasteScenario[#All],4,FALSE),0)</f>
        <v>0</v>
      </c>
      <c r="AD941" s="322">
        <f>IFERROR((VLOOKUP(Calculations[[#This Row],[Waste type 2]],WasteLandfillEmissions[#All],3,FALSE))*Calculations[[#This Row],[Total Kg]]*VLOOKUP(Calculations[[#This Row],[Waste 1]],WasteScenario[#All],4,FALSE),0)</f>
        <v>0</v>
      </c>
      <c r="AE941" s="322">
        <f>SUM(Calculations[[#This Row],[C4 landfill]:[C4 re-use]])</f>
        <v>0</v>
      </c>
      <c r="AF941" s="322">
        <f>IFERROR(VLOOKUP(Calculations[[#This Row],[Material (choose from dropdown]],MaterialData[#All],8,FALSE),0)</f>
        <v>0</v>
      </c>
      <c r="AG941" s="322">
        <f>IFERROR(Calculations[[#This Row],[Total Kg]]*Calculations[[#This Row],[Seq factor]],0)</f>
        <v>0</v>
      </c>
      <c r="AI941" s="322">
        <f>Calculations[[#This Row],[A1-3]]+Calculations[[#This Row],[A4]]+Calculations[[#This Row],[A5]]+Calculations[[#This Row],[B4]]+Calculations[[#This Row],[C2 total]]+Calculations[[#This Row],[C3 total]]+Calculations[[#This Row],[C4 total]]</f>
        <v>0</v>
      </c>
      <c r="AJ941" s="2">
        <f>IFERROR(VLOOKUP(Calculations[[#This Row],[Material (choose from dropdown]],MaterialData[[#Headers],[#Data]],9,FALSE),0)</f>
        <v>0</v>
      </c>
      <c r="AK941" s="4">
        <f>IFERROR(VLOOKUP(Calculations[[#This Row],[Material (choose from dropdown]],MaterialData[[#Headers],[#Data]],10,FALSE),0)</f>
        <v>0</v>
      </c>
      <c r="AL941" s="322">
        <f>IFERROR(Calculations[[#This Row],[Data Quality Score]]*Calculations[[#This Row],[Total Kg]],0)</f>
        <v>0</v>
      </c>
    </row>
    <row r="942" spans="1:38" x14ac:dyDescent="0.3">
      <c r="A942" s="6">
        <f>IFERROR(MaterialsBoQ[[#This Row],[Scope Element]],0)</f>
        <v>0</v>
      </c>
      <c r="B942" t="str">
        <f>IFERROR(MaterialsBoQ[[#This Row],[Material ]],"")</f>
        <v/>
      </c>
      <c r="C942" t="str">
        <f>IFERROR(MaterialsBoQ[[#This Row],[Unit]],"")</f>
        <v/>
      </c>
      <c r="D942" s="322">
        <f>IFERROR(MaterialsBoQ[[#This Row],[Number]],0)</f>
        <v>0</v>
      </c>
      <c r="E942" s="322">
        <f>IFERROR(MaterialsBoQ[[#This Row],[Kg per unit]],0)</f>
        <v>0</v>
      </c>
      <c r="F942" s="322">
        <f>IFERROR(Calculations[[#This Row],[Number]]*Calculations[[#This Row],[Conversion factor]],0)</f>
        <v>0</v>
      </c>
      <c r="G942" s="322">
        <f>IFERROR(VLOOKUP(Calculations[[#This Row],[Material (choose from dropdown]],MaterialData[#All],7,FALSE),0)</f>
        <v>0</v>
      </c>
      <c r="H942" s="322">
        <f>Calculations[[#This Row],[Total Kg]]*Calculations[[#This Row],[Carbon Factor]]</f>
        <v>0</v>
      </c>
      <c r="I942" t="str">
        <f>IFERROR(VLOOKUP(Calculations[[#This Row],[Material (choose from dropdown]],MaterialData[#All],2,FALSE),"")</f>
        <v/>
      </c>
      <c r="J942" s="322">
        <f>IFERROR(((VLOOKUP(Calculations[[#This Row],[TransportSource]],TransportDistance[],2,FALSE)*'Stage assumptions'!$C$11)+VLOOKUP(Calculations[[#This Row],[TransportSource]],TransportDistance[],3,FALSE)*'Stage assumptions'!$C$12)*Calculations[[#This Row],[Total Kg]],0)</f>
        <v>0</v>
      </c>
      <c r="K942">
        <f>IFERROR(VLOOKUP(Calculations[[#This Row],[Material (choose from dropdown]], MaterialData[#All],3, FALSE),0)</f>
        <v>0</v>
      </c>
      <c r="L942" s="322">
        <f>IFERROR(VLOOKUP(Calculations[[#This Row],[A5type]],A5WastageRate[#All],2,FALSE)*Calculations[[#This Row],[A1-3]],0)</f>
        <v>0</v>
      </c>
      <c r="N942">
        <f>IFERROR(ROUNDUP(50/VLOOKUP(Calculations[[#This Row],[Scope Element]],B4referenceServiceLife[[Tier 2 element]:[Default Service Life]],2, FALSE)-1,0),0)</f>
        <v>0</v>
      </c>
      <c r="O942" s="322">
        <f>IFERROR((Calculations[[#This Row],[A1-3]]+Calculations[[#This Row],[A4]]+Calculations[[#This Row],[A5]]+Calculations[[#This Row],[C2 total]]+Calculations[[#This Row],[C3 total]]+Calculations[[#This Row],[C4 total]])*Calculations[[#This Row],[Replacements]],0)</f>
        <v>0</v>
      </c>
      <c r="S942" t="str">
        <f>IFERROR(VLOOKUP(Calculations[[#This Row],[Material (choose from dropdown]],MaterialData[#All],4,FALSE),"")</f>
        <v/>
      </c>
      <c r="T942" s="322" cm="1">
        <f t="array" ref="T942">IFERROR(VLOOKUP(Calculations[[#This Row],[Waste 1]],WasteScenario[#All],2,FALSE)*'Stage assumptions'!$C$225*WasteTransportMethod[Emissions Factor
kgCO2e/kg.km]*Calculations[[#This Row],[Total Kg]],0)</f>
        <v>0</v>
      </c>
      <c r="U942" s="322" cm="1">
        <f t="array" ref="U942">IFERROR(VLOOKUP(Calculations[[#This Row],[Waste 1]],WasteScenario[#All],3,FALSE)*'Stage assumptions'!$C$224*WasteTransportMethod[Emissions Factor
kgCO2e/kg.km]*Calculations[[#This Row],[Total Kg]],0)</f>
        <v>0</v>
      </c>
      <c r="V942" s="322" cm="1">
        <f t="array" ref="V942">IFERROR(VLOOKUP(Calculations[[#This Row],[Waste 1]],WasteScenario[#All],4,FALSE)*'Stage assumptions'!$C$223*WasteTransportMethod[Emissions Factor
kgCO2e/kg.km]*Calculations[[#This Row],[Total Kg]],0)</f>
        <v>0</v>
      </c>
      <c r="W942" s="322" cm="1">
        <f t="array" ref="W942">IFERROR(VLOOKUP(Calculations[[#This Row],[Waste 1]],WasteScenario[#All],5,FALSE)*'Stage assumptions'!$C$226*WasteTransportMethod[Emissions Factor
kgCO2e/kg.km]*Calculations[[#This Row],[Total Kg]],0)</f>
        <v>0</v>
      </c>
      <c r="X942" s="322">
        <f>SUM(Calculations[[#This Row],[C2 Recycle]:[C2 Reuse]])</f>
        <v>0</v>
      </c>
      <c r="Y942" t="str">
        <f>IFERROR(VLOOKUP(Calculations[[#This Row],[Material (choose from dropdown]],MaterialData[#All],5,FALSE),"")</f>
        <v/>
      </c>
      <c r="Z942" s="322">
        <f>IFERROR(((VLOOKUP(Calculations[[#This Row],[Waste type 2]],WasteDisposalEmissions[#All],2,FALSE))*Calculations[[#This Row],[Total Kg]])*VLOOKUP(Calculations[[#This Row],[Waste 1]],WasteScenario[#All],2,FALSE),0)</f>
        <v>0</v>
      </c>
      <c r="AA942" s="322">
        <f>IFERROR((VLOOKUP(Calculations[[#This Row],[Waste type 2]],WasteDisposalEmissions[#All],3,FALSE))*Calculations[[#This Row],[Total Kg]]*VLOOKUP(Calculations[[#This Row],[Waste 1]],WasteScenario[#All],3,FALSE),0)</f>
        <v>0</v>
      </c>
      <c r="AB942" s="322">
        <f>SUM(Calculations[[#This Row],[C3 recyc]:[C3 incin]])</f>
        <v>0</v>
      </c>
      <c r="AC942" s="334">
        <f>IFERROR((VLOOKUP(Calculations[[#This Row],[Waste type 2]],WasteLandfillEmissions[#All],2,FALSE))*Calculations[[#This Row],[Total Kg]]*VLOOKUP(Calculations[[#This Row],[Waste 1]],WasteScenario[#All],4,FALSE),0)</f>
        <v>0</v>
      </c>
      <c r="AD942" s="322">
        <f>IFERROR((VLOOKUP(Calculations[[#This Row],[Waste type 2]],WasteLandfillEmissions[#All],3,FALSE))*Calculations[[#This Row],[Total Kg]]*VLOOKUP(Calculations[[#This Row],[Waste 1]],WasteScenario[#All],4,FALSE),0)</f>
        <v>0</v>
      </c>
      <c r="AE942" s="322">
        <f>SUM(Calculations[[#This Row],[C4 landfill]:[C4 re-use]])</f>
        <v>0</v>
      </c>
      <c r="AF942" s="322">
        <f>IFERROR(VLOOKUP(Calculations[[#This Row],[Material (choose from dropdown]],MaterialData[#All],8,FALSE),0)</f>
        <v>0</v>
      </c>
      <c r="AG942" s="322">
        <f>IFERROR(Calculations[[#This Row],[Total Kg]]*Calculations[[#This Row],[Seq factor]],0)</f>
        <v>0</v>
      </c>
      <c r="AI942" s="322">
        <f>Calculations[[#This Row],[A1-3]]+Calculations[[#This Row],[A4]]+Calculations[[#This Row],[A5]]+Calculations[[#This Row],[B4]]+Calculations[[#This Row],[C2 total]]+Calculations[[#This Row],[C3 total]]+Calculations[[#This Row],[C4 total]]</f>
        <v>0</v>
      </c>
      <c r="AJ942" s="2">
        <f>IFERROR(VLOOKUP(Calculations[[#This Row],[Material (choose from dropdown]],MaterialData[[#Headers],[#Data]],9,FALSE),0)</f>
        <v>0</v>
      </c>
      <c r="AK942" s="4">
        <f>IFERROR(VLOOKUP(Calculations[[#This Row],[Material (choose from dropdown]],MaterialData[[#Headers],[#Data]],10,FALSE),0)</f>
        <v>0</v>
      </c>
      <c r="AL942" s="322">
        <f>IFERROR(Calculations[[#This Row],[Data Quality Score]]*Calculations[[#This Row],[Total Kg]],0)</f>
        <v>0</v>
      </c>
    </row>
    <row r="943" spans="1:38" x14ac:dyDescent="0.3">
      <c r="A943" s="6">
        <f>IFERROR(MaterialsBoQ[[#This Row],[Scope Element]],0)</f>
        <v>0</v>
      </c>
      <c r="B943" t="str">
        <f>IFERROR(MaterialsBoQ[[#This Row],[Material ]],"")</f>
        <v/>
      </c>
      <c r="C943" t="str">
        <f>IFERROR(MaterialsBoQ[[#This Row],[Unit]],"")</f>
        <v/>
      </c>
      <c r="D943" s="322">
        <f>IFERROR(MaterialsBoQ[[#This Row],[Number]],0)</f>
        <v>0</v>
      </c>
      <c r="E943" s="322">
        <f>IFERROR(MaterialsBoQ[[#This Row],[Kg per unit]],0)</f>
        <v>0</v>
      </c>
      <c r="F943" s="322">
        <f>IFERROR(Calculations[[#This Row],[Number]]*Calculations[[#This Row],[Conversion factor]],0)</f>
        <v>0</v>
      </c>
      <c r="G943" s="322">
        <f>IFERROR(VLOOKUP(Calculations[[#This Row],[Material (choose from dropdown]],MaterialData[#All],7,FALSE),0)</f>
        <v>0</v>
      </c>
      <c r="H943" s="322">
        <f>Calculations[[#This Row],[Total Kg]]*Calculations[[#This Row],[Carbon Factor]]</f>
        <v>0</v>
      </c>
      <c r="I943" t="str">
        <f>IFERROR(VLOOKUP(Calculations[[#This Row],[Material (choose from dropdown]],MaterialData[#All],2,FALSE),"")</f>
        <v/>
      </c>
      <c r="J943" s="322">
        <f>IFERROR(((VLOOKUP(Calculations[[#This Row],[TransportSource]],TransportDistance[],2,FALSE)*'Stage assumptions'!$C$11)+VLOOKUP(Calculations[[#This Row],[TransportSource]],TransportDistance[],3,FALSE)*'Stage assumptions'!$C$12)*Calculations[[#This Row],[Total Kg]],0)</f>
        <v>0</v>
      </c>
      <c r="K943">
        <f>IFERROR(VLOOKUP(Calculations[[#This Row],[Material (choose from dropdown]], MaterialData[#All],3, FALSE),0)</f>
        <v>0</v>
      </c>
      <c r="L943" s="322">
        <f>IFERROR(VLOOKUP(Calculations[[#This Row],[A5type]],A5WastageRate[#All],2,FALSE)*Calculations[[#This Row],[A1-3]],0)</f>
        <v>0</v>
      </c>
      <c r="N943">
        <f>IFERROR(ROUNDUP(50/VLOOKUP(Calculations[[#This Row],[Scope Element]],B4referenceServiceLife[[Tier 2 element]:[Default Service Life]],2, FALSE)-1,0),0)</f>
        <v>0</v>
      </c>
      <c r="O943" s="322">
        <f>IFERROR((Calculations[[#This Row],[A1-3]]+Calculations[[#This Row],[A4]]+Calculations[[#This Row],[A5]]+Calculations[[#This Row],[C2 total]]+Calculations[[#This Row],[C3 total]]+Calculations[[#This Row],[C4 total]])*Calculations[[#This Row],[Replacements]],0)</f>
        <v>0</v>
      </c>
      <c r="S943" t="str">
        <f>IFERROR(VLOOKUP(Calculations[[#This Row],[Material (choose from dropdown]],MaterialData[#All],4,FALSE),"")</f>
        <v/>
      </c>
      <c r="T943" s="322" cm="1">
        <f t="array" ref="T943">IFERROR(VLOOKUP(Calculations[[#This Row],[Waste 1]],WasteScenario[#All],2,FALSE)*'Stage assumptions'!$C$225*WasteTransportMethod[Emissions Factor
kgCO2e/kg.km]*Calculations[[#This Row],[Total Kg]],0)</f>
        <v>0</v>
      </c>
      <c r="U943" s="322" cm="1">
        <f t="array" ref="U943">IFERROR(VLOOKUP(Calculations[[#This Row],[Waste 1]],WasteScenario[#All],3,FALSE)*'Stage assumptions'!$C$224*WasteTransportMethod[Emissions Factor
kgCO2e/kg.km]*Calculations[[#This Row],[Total Kg]],0)</f>
        <v>0</v>
      </c>
      <c r="V943" s="322" cm="1">
        <f t="array" ref="V943">IFERROR(VLOOKUP(Calculations[[#This Row],[Waste 1]],WasteScenario[#All],4,FALSE)*'Stage assumptions'!$C$223*WasteTransportMethod[Emissions Factor
kgCO2e/kg.km]*Calculations[[#This Row],[Total Kg]],0)</f>
        <v>0</v>
      </c>
      <c r="W943" s="322" cm="1">
        <f t="array" ref="W943">IFERROR(VLOOKUP(Calculations[[#This Row],[Waste 1]],WasteScenario[#All],5,FALSE)*'Stage assumptions'!$C$226*WasteTransportMethod[Emissions Factor
kgCO2e/kg.km]*Calculations[[#This Row],[Total Kg]],0)</f>
        <v>0</v>
      </c>
      <c r="X943" s="322">
        <f>SUM(Calculations[[#This Row],[C2 Recycle]:[C2 Reuse]])</f>
        <v>0</v>
      </c>
      <c r="Y943" t="str">
        <f>IFERROR(VLOOKUP(Calculations[[#This Row],[Material (choose from dropdown]],MaterialData[#All],5,FALSE),"")</f>
        <v/>
      </c>
      <c r="Z943" s="322">
        <f>IFERROR(((VLOOKUP(Calculations[[#This Row],[Waste type 2]],WasteDisposalEmissions[#All],2,FALSE))*Calculations[[#This Row],[Total Kg]])*VLOOKUP(Calculations[[#This Row],[Waste 1]],WasteScenario[#All],2,FALSE),0)</f>
        <v>0</v>
      </c>
      <c r="AA943" s="322">
        <f>IFERROR((VLOOKUP(Calculations[[#This Row],[Waste type 2]],WasteDisposalEmissions[#All],3,FALSE))*Calculations[[#This Row],[Total Kg]]*VLOOKUP(Calculations[[#This Row],[Waste 1]],WasteScenario[#All],3,FALSE),0)</f>
        <v>0</v>
      </c>
      <c r="AB943" s="322">
        <f>SUM(Calculations[[#This Row],[C3 recyc]:[C3 incin]])</f>
        <v>0</v>
      </c>
      <c r="AC943" s="334">
        <f>IFERROR((VLOOKUP(Calculations[[#This Row],[Waste type 2]],WasteLandfillEmissions[#All],2,FALSE))*Calculations[[#This Row],[Total Kg]]*VLOOKUP(Calculations[[#This Row],[Waste 1]],WasteScenario[#All],4,FALSE),0)</f>
        <v>0</v>
      </c>
      <c r="AD943" s="322">
        <f>IFERROR((VLOOKUP(Calculations[[#This Row],[Waste type 2]],WasteLandfillEmissions[#All],3,FALSE))*Calculations[[#This Row],[Total Kg]]*VLOOKUP(Calculations[[#This Row],[Waste 1]],WasteScenario[#All],4,FALSE),0)</f>
        <v>0</v>
      </c>
      <c r="AE943" s="322">
        <f>SUM(Calculations[[#This Row],[C4 landfill]:[C4 re-use]])</f>
        <v>0</v>
      </c>
      <c r="AF943" s="322">
        <f>IFERROR(VLOOKUP(Calculations[[#This Row],[Material (choose from dropdown]],MaterialData[#All],8,FALSE),0)</f>
        <v>0</v>
      </c>
      <c r="AG943" s="322">
        <f>IFERROR(Calculations[[#This Row],[Total Kg]]*Calculations[[#This Row],[Seq factor]],0)</f>
        <v>0</v>
      </c>
      <c r="AI943" s="322">
        <f>Calculations[[#This Row],[A1-3]]+Calculations[[#This Row],[A4]]+Calculations[[#This Row],[A5]]+Calculations[[#This Row],[B4]]+Calculations[[#This Row],[C2 total]]+Calculations[[#This Row],[C3 total]]+Calculations[[#This Row],[C4 total]]</f>
        <v>0</v>
      </c>
      <c r="AJ943" s="2">
        <f>IFERROR(VLOOKUP(Calculations[[#This Row],[Material (choose from dropdown]],MaterialData[[#Headers],[#Data]],9,FALSE),0)</f>
        <v>0</v>
      </c>
      <c r="AK943" s="4">
        <f>IFERROR(VLOOKUP(Calculations[[#This Row],[Material (choose from dropdown]],MaterialData[[#Headers],[#Data]],10,FALSE),0)</f>
        <v>0</v>
      </c>
      <c r="AL943" s="322">
        <f>IFERROR(Calculations[[#This Row],[Data Quality Score]]*Calculations[[#This Row],[Total Kg]],0)</f>
        <v>0</v>
      </c>
    </row>
    <row r="944" spans="1:38" x14ac:dyDescent="0.3">
      <c r="A944" s="6">
        <f>IFERROR(MaterialsBoQ[[#This Row],[Scope Element]],0)</f>
        <v>0</v>
      </c>
      <c r="B944" t="str">
        <f>IFERROR(MaterialsBoQ[[#This Row],[Material ]],"")</f>
        <v/>
      </c>
      <c r="C944" t="str">
        <f>IFERROR(MaterialsBoQ[[#This Row],[Unit]],"")</f>
        <v/>
      </c>
      <c r="D944" s="322">
        <f>IFERROR(MaterialsBoQ[[#This Row],[Number]],0)</f>
        <v>0</v>
      </c>
      <c r="E944" s="322">
        <f>IFERROR(MaterialsBoQ[[#This Row],[Kg per unit]],0)</f>
        <v>0</v>
      </c>
      <c r="F944" s="322">
        <f>IFERROR(Calculations[[#This Row],[Number]]*Calculations[[#This Row],[Conversion factor]],0)</f>
        <v>0</v>
      </c>
      <c r="G944" s="322">
        <f>IFERROR(VLOOKUP(Calculations[[#This Row],[Material (choose from dropdown]],MaterialData[#All],7,FALSE),0)</f>
        <v>0</v>
      </c>
      <c r="H944" s="322">
        <f>Calculations[[#This Row],[Total Kg]]*Calculations[[#This Row],[Carbon Factor]]</f>
        <v>0</v>
      </c>
      <c r="I944" t="str">
        <f>IFERROR(VLOOKUP(Calculations[[#This Row],[Material (choose from dropdown]],MaterialData[#All],2,FALSE),"")</f>
        <v/>
      </c>
      <c r="J944" s="322">
        <f>IFERROR(((VLOOKUP(Calculations[[#This Row],[TransportSource]],TransportDistance[],2,FALSE)*'Stage assumptions'!$C$11)+VLOOKUP(Calculations[[#This Row],[TransportSource]],TransportDistance[],3,FALSE)*'Stage assumptions'!$C$12)*Calculations[[#This Row],[Total Kg]],0)</f>
        <v>0</v>
      </c>
      <c r="K944">
        <f>IFERROR(VLOOKUP(Calculations[[#This Row],[Material (choose from dropdown]], MaterialData[#All],3, FALSE),0)</f>
        <v>0</v>
      </c>
      <c r="L944" s="322">
        <f>IFERROR(VLOOKUP(Calculations[[#This Row],[A5type]],A5WastageRate[#All],2,FALSE)*Calculations[[#This Row],[A1-3]],0)</f>
        <v>0</v>
      </c>
      <c r="N944">
        <f>IFERROR(ROUNDUP(50/VLOOKUP(Calculations[[#This Row],[Scope Element]],B4referenceServiceLife[[Tier 2 element]:[Default Service Life]],2, FALSE)-1,0),0)</f>
        <v>0</v>
      </c>
      <c r="O944" s="322">
        <f>IFERROR((Calculations[[#This Row],[A1-3]]+Calculations[[#This Row],[A4]]+Calculations[[#This Row],[A5]]+Calculations[[#This Row],[C2 total]]+Calculations[[#This Row],[C3 total]]+Calculations[[#This Row],[C4 total]])*Calculations[[#This Row],[Replacements]],0)</f>
        <v>0</v>
      </c>
      <c r="S944" t="str">
        <f>IFERROR(VLOOKUP(Calculations[[#This Row],[Material (choose from dropdown]],MaterialData[#All],4,FALSE),"")</f>
        <v/>
      </c>
      <c r="T944" s="322" cm="1">
        <f t="array" ref="T944">IFERROR(VLOOKUP(Calculations[[#This Row],[Waste 1]],WasteScenario[#All],2,FALSE)*'Stage assumptions'!$C$225*WasteTransportMethod[Emissions Factor
kgCO2e/kg.km]*Calculations[[#This Row],[Total Kg]],0)</f>
        <v>0</v>
      </c>
      <c r="U944" s="322" cm="1">
        <f t="array" ref="U944">IFERROR(VLOOKUP(Calculations[[#This Row],[Waste 1]],WasteScenario[#All],3,FALSE)*'Stage assumptions'!$C$224*WasteTransportMethod[Emissions Factor
kgCO2e/kg.km]*Calculations[[#This Row],[Total Kg]],0)</f>
        <v>0</v>
      </c>
      <c r="V944" s="322" cm="1">
        <f t="array" ref="V944">IFERROR(VLOOKUP(Calculations[[#This Row],[Waste 1]],WasteScenario[#All],4,FALSE)*'Stage assumptions'!$C$223*WasteTransportMethod[Emissions Factor
kgCO2e/kg.km]*Calculations[[#This Row],[Total Kg]],0)</f>
        <v>0</v>
      </c>
      <c r="W944" s="322" cm="1">
        <f t="array" ref="W944">IFERROR(VLOOKUP(Calculations[[#This Row],[Waste 1]],WasteScenario[#All],5,FALSE)*'Stage assumptions'!$C$226*WasteTransportMethod[Emissions Factor
kgCO2e/kg.km]*Calculations[[#This Row],[Total Kg]],0)</f>
        <v>0</v>
      </c>
      <c r="X944" s="322">
        <f>SUM(Calculations[[#This Row],[C2 Recycle]:[C2 Reuse]])</f>
        <v>0</v>
      </c>
      <c r="Y944" t="str">
        <f>IFERROR(VLOOKUP(Calculations[[#This Row],[Material (choose from dropdown]],MaterialData[#All],5,FALSE),"")</f>
        <v/>
      </c>
      <c r="Z944" s="322">
        <f>IFERROR(((VLOOKUP(Calculations[[#This Row],[Waste type 2]],WasteDisposalEmissions[#All],2,FALSE))*Calculations[[#This Row],[Total Kg]])*VLOOKUP(Calculations[[#This Row],[Waste 1]],WasteScenario[#All],2,FALSE),0)</f>
        <v>0</v>
      </c>
      <c r="AA944" s="322">
        <f>IFERROR((VLOOKUP(Calculations[[#This Row],[Waste type 2]],WasteDisposalEmissions[#All],3,FALSE))*Calculations[[#This Row],[Total Kg]]*VLOOKUP(Calculations[[#This Row],[Waste 1]],WasteScenario[#All],3,FALSE),0)</f>
        <v>0</v>
      </c>
      <c r="AB944" s="322">
        <f>SUM(Calculations[[#This Row],[C3 recyc]:[C3 incin]])</f>
        <v>0</v>
      </c>
      <c r="AC944" s="334">
        <f>IFERROR((VLOOKUP(Calculations[[#This Row],[Waste type 2]],WasteLandfillEmissions[#All],2,FALSE))*Calculations[[#This Row],[Total Kg]]*VLOOKUP(Calculations[[#This Row],[Waste 1]],WasteScenario[#All],4,FALSE),0)</f>
        <v>0</v>
      </c>
      <c r="AD944" s="322">
        <f>IFERROR((VLOOKUP(Calculations[[#This Row],[Waste type 2]],WasteLandfillEmissions[#All],3,FALSE))*Calculations[[#This Row],[Total Kg]]*VLOOKUP(Calculations[[#This Row],[Waste 1]],WasteScenario[#All],4,FALSE),0)</f>
        <v>0</v>
      </c>
      <c r="AE944" s="322">
        <f>SUM(Calculations[[#This Row],[C4 landfill]:[C4 re-use]])</f>
        <v>0</v>
      </c>
      <c r="AF944" s="322">
        <f>IFERROR(VLOOKUP(Calculations[[#This Row],[Material (choose from dropdown]],MaterialData[#All],8,FALSE),0)</f>
        <v>0</v>
      </c>
      <c r="AG944" s="322">
        <f>IFERROR(Calculations[[#This Row],[Total Kg]]*Calculations[[#This Row],[Seq factor]],0)</f>
        <v>0</v>
      </c>
      <c r="AI944" s="322">
        <f>Calculations[[#This Row],[A1-3]]+Calculations[[#This Row],[A4]]+Calculations[[#This Row],[A5]]+Calculations[[#This Row],[B4]]+Calculations[[#This Row],[C2 total]]+Calculations[[#This Row],[C3 total]]+Calculations[[#This Row],[C4 total]]</f>
        <v>0</v>
      </c>
      <c r="AJ944" s="2">
        <f>IFERROR(VLOOKUP(Calculations[[#This Row],[Material (choose from dropdown]],MaterialData[[#Headers],[#Data]],9,FALSE),0)</f>
        <v>0</v>
      </c>
      <c r="AK944" s="4">
        <f>IFERROR(VLOOKUP(Calculations[[#This Row],[Material (choose from dropdown]],MaterialData[[#Headers],[#Data]],10,FALSE),0)</f>
        <v>0</v>
      </c>
      <c r="AL944" s="322">
        <f>IFERROR(Calculations[[#This Row],[Data Quality Score]]*Calculations[[#This Row],[Total Kg]],0)</f>
        <v>0</v>
      </c>
    </row>
    <row r="945" spans="1:38" x14ac:dyDescent="0.3">
      <c r="A945" s="6">
        <f>IFERROR(MaterialsBoQ[[#This Row],[Scope Element]],0)</f>
        <v>0</v>
      </c>
      <c r="B945" t="str">
        <f>IFERROR(MaterialsBoQ[[#This Row],[Material ]],"")</f>
        <v/>
      </c>
      <c r="C945" t="str">
        <f>IFERROR(MaterialsBoQ[[#This Row],[Unit]],"")</f>
        <v/>
      </c>
      <c r="D945" s="322">
        <f>IFERROR(MaterialsBoQ[[#This Row],[Number]],0)</f>
        <v>0</v>
      </c>
      <c r="E945" s="322">
        <f>IFERROR(MaterialsBoQ[[#This Row],[Kg per unit]],0)</f>
        <v>0</v>
      </c>
      <c r="F945" s="322">
        <f>IFERROR(Calculations[[#This Row],[Number]]*Calculations[[#This Row],[Conversion factor]],0)</f>
        <v>0</v>
      </c>
      <c r="G945" s="322">
        <f>IFERROR(VLOOKUP(Calculations[[#This Row],[Material (choose from dropdown]],MaterialData[#All],7,FALSE),0)</f>
        <v>0</v>
      </c>
      <c r="H945" s="322">
        <f>Calculations[[#This Row],[Total Kg]]*Calculations[[#This Row],[Carbon Factor]]</f>
        <v>0</v>
      </c>
      <c r="I945" t="str">
        <f>IFERROR(VLOOKUP(Calculations[[#This Row],[Material (choose from dropdown]],MaterialData[#All],2,FALSE),"")</f>
        <v/>
      </c>
      <c r="J945" s="322">
        <f>IFERROR(((VLOOKUP(Calculations[[#This Row],[TransportSource]],TransportDistance[],2,FALSE)*'Stage assumptions'!$C$11)+VLOOKUP(Calculations[[#This Row],[TransportSource]],TransportDistance[],3,FALSE)*'Stage assumptions'!$C$12)*Calculations[[#This Row],[Total Kg]],0)</f>
        <v>0</v>
      </c>
      <c r="K945">
        <f>IFERROR(VLOOKUP(Calculations[[#This Row],[Material (choose from dropdown]], MaterialData[#All],3, FALSE),0)</f>
        <v>0</v>
      </c>
      <c r="L945" s="322">
        <f>IFERROR(VLOOKUP(Calculations[[#This Row],[A5type]],A5WastageRate[#All],2,FALSE)*Calculations[[#This Row],[A1-3]],0)</f>
        <v>0</v>
      </c>
      <c r="N945">
        <f>IFERROR(ROUNDUP(50/VLOOKUP(Calculations[[#This Row],[Scope Element]],B4referenceServiceLife[[Tier 2 element]:[Default Service Life]],2, FALSE)-1,0),0)</f>
        <v>0</v>
      </c>
      <c r="O945" s="322">
        <f>IFERROR((Calculations[[#This Row],[A1-3]]+Calculations[[#This Row],[A4]]+Calculations[[#This Row],[A5]]+Calculations[[#This Row],[C2 total]]+Calculations[[#This Row],[C3 total]]+Calculations[[#This Row],[C4 total]])*Calculations[[#This Row],[Replacements]],0)</f>
        <v>0</v>
      </c>
      <c r="S945" t="str">
        <f>IFERROR(VLOOKUP(Calculations[[#This Row],[Material (choose from dropdown]],MaterialData[#All],4,FALSE),"")</f>
        <v/>
      </c>
      <c r="T945" s="322" cm="1">
        <f t="array" ref="T945">IFERROR(VLOOKUP(Calculations[[#This Row],[Waste 1]],WasteScenario[#All],2,FALSE)*'Stage assumptions'!$C$225*WasteTransportMethod[Emissions Factor
kgCO2e/kg.km]*Calculations[[#This Row],[Total Kg]],0)</f>
        <v>0</v>
      </c>
      <c r="U945" s="322" cm="1">
        <f t="array" ref="U945">IFERROR(VLOOKUP(Calculations[[#This Row],[Waste 1]],WasteScenario[#All],3,FALSE)*'Stage assumptions'!$C$224*WasteTransportMethod[Emissions Factor
kgCO2e/kg.km]*Calculations[[#This Row],[Total Kg]],0)</f>
        <v>0</v>
      </c>
      <c r="V945" s="322" cm="1">
        <f t="array" ref="V945">IFERROR(VLOOKUP(Calculations[[#This Row],[Waste 1]],WasteScenario[#All],4,FALSE)*'Stage assumptions'!$C$223*WasteTransportMethod[Emissions Factor
kgCO2e/kg.km]*Calculations[[#This Row],[Total Kg]],0)</f>
        <v>0</v>
      </c>
      <c r="W945" s="322" cm="1">
        <f t="array" ref="W945">IFERROR(VLOOKUP(Calculations[[#This Row],[Waste 1]],WasteScenario[#All],5,FALSE)*'Stage assumptions'!$C$226*WasteTransportMethod[Emissions Factor
kgCO2e/kg.km]*Calculations[[#This Row],[Total Kg]],0)</f>
        <v>0</v>
      </c>
      <c r="X945" s="322">
        <f>SUM(Calculations[[#This Row],[C2 Recycle]:[C2 Reuse]])</f>
        <v>0</v>
      </c>
      <c r="Y945" t="str">
        <f>IFERROR(VLOOKUP(Calculations[[#This Row],[Material (choose from dropdown]],MaterialData[#All],5,FALSE),"")</f>
        <v/>
      </c>
      <c r="Z945" s="322">
        <f>IFERROR(((VLOOKUP(Calculations[[#This Row],[Waste type 2]],WasteDisposalEmissions[#All],2,FALSE))*Calculations[[#This Row],[Total Kg]])*VLOOKUP(Calculations[[#This Row],[Waste 1]],WasteScenario[#All],2,FALSE),0)</f>
        <v>0</v>
      </c>
      <c r="AA945" s="322">
        <f>IFERROR((VLOOKUP(Calculations[[#This Row],[Waste type 2]],WasteDisposalEmissions[#All],3,FALSE))*Calculations[[#This Row],[Total Kg]]*VLOOKUP(Calculations[[#This Row],[Waste 1]],WasteScenario[#All],3,FALSE),0)</f>
        <v>0</v>
      </c>
      <c r="AB945" s="322">
        <f>SUM(Calculations[[#This Row],[C3 recyc]:[C3 incin]])</f>
        <v>0</v>
      </c>
      <c r="AC945" s="334">
        <f>IFERROR((VLOOKUP(Calculations[[#This Row],[Waste type 2]],WasteLandfillEmissions[#All],2,FALSE))*Calculations[[#This Row],[Total Kg]]*VLOOKUP(Calculations[[#This Row],[Waste 1]],WasteScenario[#All],4,FALSE),0)</f>
        <v>0</v>
      </c>
      <c r="AD945" s="322">
        <f>IFERROR((VLOOKUP(Calculations[[#This Row],[Waste type 2]],WasteLandfillEmissions[#All],3,FALSE))*Calculations[[#This Row],[Total Kg]]*VLOOKUP(Calculations[[#This Row],[Waste 1]],WasteScenario[#All],4,FALSE),0)</f>
        <v>0</v>
      </c>
      <c r="AE945" s="322">
        <f>SUM(Calculations[[#This Row],[C4 landfill]:[C4 re-use]])</f>
        <v>0</v>
      </c>
      <c r="AF945" s="322">
        <f>IFERROR(VLOOKUP(Calculations[[#This Row],[Material (choose from dropdown]],MaterialData[#All],8,FALSE),0)</f>
        <v>0</v>
      </c>
      <c r="AG945" s="322">
        <f>IFERROR(Calculations[[#This Row],[Total Kg]]*Calculations[[#This Row],[Seq factor]],0)</f>
        <v>0</v>
      </c>
      <c r="AI945" s="322">
        <f>Calculations[[#This Row],[A1-3]]+Calculations[[#This Row],[A4]]+Calculations[[#This Row],[A5]]+Calculations[[#This Row],[B4]]+Calculations[[#This Row],[C2 total]]+Calculations[[#This Row],[C3 total]]+Calculations[[#This Row],[C4 total]]</f>
        <v>0</v>
      </c>
      <c r="AJ945" s="2">
        <f>IFERROR(VLOOKUP(Calculations[[#This Row],[Material (choose from dropdown]],MaterialData[[#Headers],[#Data]],9,FALSE),0)</f>
        <v>0</v>
      </c>
      <c r="AK945" s="4">
        <f>IFERROR(VLOOKUP(Calculations[[#This Row],[Material (choose from dropdown]],MaterialData[[#Headers],[#Data]],10,FALSE),0)</f>
        <v>0</v>
      </c>
      <c r="AL945" s="322">
        <f>IFERROR(Calculations[[#This Row],[Data Quality Score]]*Calculations[[#This Row],[Total Kg]],0)</f>
        <v>0</v>
      </c>
    </row>
    <row r="946" spans="1:38" x14ac:dyDescent="0.3">
      <c r="A946" s="6">
        <f>IFERROR(MaterialsBoQ[[#This Row],[Scope Element]],0)</f>
        <v>0</v>
      </c>
      <c r="B946" t="str">
        <f>IFERROR(MaterialsBoQ[[#This Row],[Material ]],"")</f>
        <v/>
      </c>
      <c r="C946" t="str">
        <f>IFERROR(MaterialsBoQ[[#This Row],[Unit]],"")</f>
        <v/>
      </c>
      <c r="D946" s="322">
        <f>IFERROR(MaterialsBoQ[[#This Row],[Number]],0)</f>
        <v>0</v>
      </c>
      <c r="E946" s="322">
        <f>IFERROR(MaterialsBoQ[[#This Row],[Kg per unit]],0)</f>
        <v>0</v>
      </c>
      <c r="F946" s="322">
        <f>IFERROR(Calculations[[#This Row],[Number]]*Calculations[[#This Row],[Conversion factor]],0)</f>
        <v>0</v>
      </c>
      <c r="G946" s="322">
        <f>IFERROR(VLOOKUP(Calculations[[#This Row],[Material (choose from dropdown]],MaterialData[#All],7,FALSE),0)</f>
        <v>0</v>
      </c>
      <c r="H946" s="322">
        <f>Calculations[[#This Row],[Total Kg]]*Calculations[[#This Row],[Carbon Factor]]</f>
        <v>0</v>
      </c>
      <c r="I946" t="str">
        <f>IFERROR(VLOOKUP(Calculations[[#This Row],[Material (choose from dropdown]],MaterialData[#All],2,FALSE),"")</f>
        <v/>
      </c>
      <c r="J946" s="322">
        <f>IFERROR(((VLOOKUP(Calculations[[#This Row],[TransportSource]],TransportDistance[],2,FALSE)*'Stage assumptions'!$C$11)+VLOOKUP(Calculations[[#This Row],[TransportSource]],TransportDistance[],3,FALSE)*'Stage assumptions'!$C$12)*Calculations[[#This Row],[Total Kg]],0)</f>
        <v>0</v>
      </c>
      <c r="K946">
        <f>IFERROR(VLOOKUP(Calculations[[#This Row],[Material (choose from dropdown]], MaterialData[#All],3, FALSE),0)</f>
        <v>0</v>
      </c>
      <c r="L946" s="322">
        <f>IFERROR(VLOOKUP(Calculations[[#This Row],[A5type]],A5WastageRate[#All],2,FALSE)*Calculations[[#This Row],[A1-3]],0)</f>
        <v>0</v>
      </c>
      <c r="N946">
        <f>IFERROR(ROUNDUP(50/VLOOKUP(Calculations[[#This Row],[Scope Element]],B4referenceServiceLife[[Tier 2 element]:[Default Service Life]],2, FALSE)-1,0),0)</f>
        <v>0</v>
      </c>
      <c r="O946" s="322">
        <f>IFERROR((Calculations[[#This Row],[A1-3]]+Calculations[[#This Row],[A4]]+Calculations[[#This Row],[A5]]+Calculations[[#This Row],[C2 total]]+Calculations[[#This Row],[C3 total]]+Calculations[[#This Row],[C4 total]])*Calculations[[#This Row],[Replacements]],0)</f>
        <v>0</v>
      </c>
      <c r="S946" t="str">
        <f>IFERROR(VLOOKUP(Calculations[[#This Row],[Material (choose from dropdown]],MaterialData[#All],4,FALSE),"")</f>
        <v/>
      </c>
      <c r="T946" s="322" cm="1">
        <f t="array" ref="T946">IFERROR(VLOOKUP(Calculations[[#This Row],[Waste 1]],WasteScenario[#All],2,FALSE)*'Stage assumptions'!$C$225*WasteTransportMethod[Emissions Factor
kgCO2e/kg.km]*Calculations[[#This Row],[Total Kg]],0)</f>
        <v>0</v>
      </c>
      <c r="U946" s="322" cm="1">
        <f t="array" ref="U946">IFERROR(VLOOKUP(Calculations[[#This Row],[Waste 1]],WasteScenario[#All],3,FALSE)*'Stage assumptions'!$C$224*WasteTransportMethod[Emissions Factor
kgCO2e/kg.km]*Calculations[[#This Row],[Total Kg]],0)</f>
        <v>0</v>
      </c>
      <c r="V946" s="322" cm="1">
        <f t="array" ref="V946">IFERROR(VLOOKUP(Calculations[[#This Row],[Waste 1]],WasteScenario[#All],4,FALSE)*'Stage assumptions'!$C$223*WasteTransportMethod[Emissions Factor
kgCO2e/kg.km]*Calculations[[#This Row],[Total Kg]],0)</f>
        <v>0</v>
      </c>
      <c r="W946" s="322" cm="1">
        <f t="array" ref="W946">IFERROR(VLOOKUP(Calculations[[#This Row],[Waste 1]],WasteScenario[#All],5,FALSE)*'Stage assumptions'!$C$226*WasteTransportMethod[Emissions Factor
kgCO2e/kg.km]*Calculations[[#This Row],[Total Kg]],0)</f>
        <v>0</v>
      </c>
      <c r="X946" s="322">
        <f>SUM(Calculations[[#This Row],[C2 Recycle]:[C2 Reuse]])</f>
        <v>0</v>
      </c>
      <c r="Y946" t="str">
        <f>IFERROR(VLOOKUP(Calculations[[#This Row],[Material (choose from dropdown]],MaterialData[#All],5,FALSE),"")</f>
        <v/>
      </c>
      <c r="Z946" s="322">
        <f>IFERROR(((VLOOKUP(Calculations[[#This Row],[Waste type 2]],WasteDisposalEmissions[#All],2,FALSE))*Calculations[[#This Row],[Total Kg]])*VLOOKUP(Calculations[[#This Row],[Waste 1]],WasteScenario[#All],2,FALSE),0)</f>
        <v>0</v>
      </c>
      <c r="AA946" s="322">
        <f>IFERROR((VLOOKUP(Calculations[[#This Row],[Waste type 2]],WasteDisposalEmissions[#All],3,FALSE))*Calculations[[#This Row],[Total Kg]]*VLOOKUP(Calculations[[#This Row],[Waste 1]],WasteScenario[#All],3,FALSE),0)</f>
        <v>0</v>
      </c>
      <c r="AB946" s="322">
        <f>SUM(Calculations[[#This Row],[C3 recyc]:[C3 incin]])</f>
        <v>0</v>
      </c>
      <c r="AC946" s="334">
        <f>IFERROR((VLOOKUP(Calculations[[#This Row],[Waste type 2]],WasteLandfillEmissions[#All],2,FALSE))*Calculations[[#This Row],[Total Kg]]*VLOOKUP(Calculations[[#This Row],[Waste 1]],WasteScenario[#All],4,FALSE),0)</f>
        <v>0</v>
      </c>
      <c r="AD946" s="322">
        <f>IFERROR((VLOOKUP(Calculations[[#This Row],[Waste type 2]],WasteLandfillEmissions[#All],3,FALSE))*Calculations[[#This Row],[Total Kg]]*VLOOKUP(Calculations[[#This Row],[Waste 1]],WasteScenario[#All],4,FALSE),0)</f>
        <v>0</v>
      </c>
      <c r="AE946" s="322">
        <f>SUM(Calculations[[#This Row],[C4 landfill]:[C4 re-use]])</f>
        <v>0</v>
      </c>
      <c r="AF946" s="322">
        <f>IFERROR(VLOOKUP(Calculations[[#This Row],[Material (choose from dropdown]],MaterialData[#All],8,FALSE),0)</f>
        <v>0</v>
      </c>
      <c r="AG946" s="322">
        <f>IFERROR(Calculations[[#This Row],[Total Kg]]*Calculations[[#This Row],[Seq factor]],0)</f>
        <v>0</v>
      </c>
      <c r="AI946" s="322">
        <f>Calculations[[#This Row],[A1-3]]+Calculations[[#This Row],[A4]]+Calculations[[#This Row],[A5]]+Calculations[[#This Row],[B4]]+Calculations[[#This Row],[C2 total]]+Calculations[[#This Row],[C3 total]]+Calculations[[#This Row],[C4 total]]</f>
        <v>0</v>
      </c>
      <c r="AJ946" s="2">
        <f>IFERROR(VLOOKUP(Calculations[[#This Row],[Material (choose from dropdown]],MaterialData[[#Headers],[#Data]],9,FALSE),0)</f>
        <v>0</v>
      </c>
      <c r="AK946" s="4">
        <f>IFERROR(VLOOKUP(Calculations[[#This Row],[Material (choose from dropdown]],MaterialData[[#Headers],[#Data]],10,FALSE),0)</f>
        <v>0</v>
      </c>
      <c r="AL946" s="322">
        <f>IFERROR(Calculations[[#This Row],[Data Quality Score]]*Calculations[[#This Row],[Total Kg]],0)</f>
        <v>0</v>
      </c>
    </row>
    <row r="947" spans="1:38" x14ac:dyDescent="0.3">
      <c r="A947" s="6">
        <f>IFERROR(MaterialsBoQ[[#This Row],[Scope Element]],0)</f>
        <v>0</v>
      </c>
      <c r="B947" t="str">
        <f>IFERROR(MaterialsBoQ[[#This Row],[Material ]],"")</f>
        <v/>
      </c>
      <c r="C947" t="str">
        <f>IFERROR(MaterialsBoQ[[#This Row],[Unit]],"")</f>
        <v/>
      </c>
      <c r="D947" s="322">
        <f>IFERROR(MaterialsBoQ[[#This Row],[Number]],0)</f>
        <v>0</v>
      </c>
      <c r="E947" s="322">
        <f>IFERROR(MaterialsBoQ[[#This Row],[Kg per unit]],0)</f>
        <v>0</v>
      </c>
      <c r="F947" s="322">
        <f>IFERROR(Calculations[[#This Row],[Number]]*Calculations[[#This Row],[Conversion factor]],0)</f>
        <v>0</v>
      </c>
      <c r="G947" s="322">
        <f>IFERROR(VLOOKUP(Calculations[[#This Row],[Material (choose from dropdown]],MaterialData[#All],7,FALSE),0)</f>
        <v>0</v>
      </c>
      <c r="H947" s="322">
        <f>Calculations[[#This Row],[Total Kg]]*Calculations[[#This Row],[Carbon Factor]]</f>
        <v>0</v>
      </c>
      <c r="I947" t="str">
        <f>IFERROR(VLOOKUP(Calculations[[#This Row],[Material (choose from dropdown]],MaterialData[#All],2,FALSE),"")</f>
        <v/>
      </c>
      <c r="J947" s="322">
        <f>IFERROR(((VLOOKUP(Calculations[[#This Row],[TransportSource]],TransportDistance[],2,FALSE)*'Stage assumptions'!$C$11)+VLOOKUP(Calculations[[#This Row],[TransportSource]],TransportDistance[],3,FALSE)*'Stage assumptions'!$C$12)*Calculations[[#This Row],[Total Kg]],0)</f>
        <v>0</v>
      </c>
      <c r="K947">
        <f>IFERROR(VLOOKUP(Calculations[[#This Row],[Material (choose from dropdown]], MaterialData[#All],3, FALSE),0)</f>
        <v>0</v>
      </c>
      <c r="L947" s="322">
        <f>IFERROR(VLOOKUP(Calculations[[#This Row],[A5type]],A5WastageRate[#All],2,FALSE)*Calculations[[#This Row],[A1-3]],0)</f>
        <v>0</v>
      </c>
      <c r="N947">
        <f>IFERROR(ROUNDUP(50/VLOOKUP(Calculations[[#This Row],[Scope Element]],B4referenceServiceLife[[Tier 2 element]:[Default Service Life]],2, FALSE)-1,0),0)</f>
        <v>0</v>
      </c>
      <c r="O947" s="322">
        <f>IFERROR((Calculations[[#This Row],[A1-3]]+Calculations[[#This Row],[A4]]+Calculations[[#This Row],[A5]]+Calculations[[#This Row],[C2 total]]+Calculations[[#This Row],[C3 total]]+Calculations[[#This Row],[C4 total]])*Calculations[[#This Row],[Replacements]],0)</f>
        <v>0</v>
      </c>
      <c r="S947" t="str">
        <f>IFERROR(VLOOKUP(Calculations[[#This Row],[Material (choose from dropdown]],MaterialData[#All],4,FALSE),"")</f>
        <v/>
      </c>
      <c r="T947" s="322" cm="1">
        <f t="array" ref="T947">IFERROR(VLOOKUP(Calculations[[#This Row],[Waste 1]],WasteScenario[#All],2,FALSE)*'Stage assumptions'!$C$225*WasteTransportMethod[Emissions Factor
kgCO2e/kg.km]*Calculations[[#This Row],[Total Kg]],0)</f>
        <v>0</v>
      </c>
      <c r="U947" s="322" cm="1">
        <f t="array" ref="U947">IFERROR(VLOOKUP(Calculations[[#This Row],[Waste 1]],WasteScenario[#All],3,FALSE)*'Stage assumptions'!$C$224*WasteTransportMethod[Emissions Factor
kgCO2e/kg.km]*Calculations[[#This Row],[Total Kg]],0)</f>
        <v>0</v>
      </c>
      <c r="V947" s="322" cm="1">
        <f t="array" ref="V947">IFERROR(VLOOKUP(Calculations[[#This Row],[Waste 1]],WasteScenario[#All],4,FALSE)*'Stage assumptions'!$C$223*WasteTransportMethod[Emissions Factor
kgCO2e/kg.km]*Calculations[[#This Row],[Total Kg]],0)</f>
        <v>0</v>
      </c>
      <c r="W947" s="322" cm="1">
        <f t="array" ref="W947">IFERROR(VLOOKUP(Calculations[[#This Row],[Waste 1]],WasteScenario[#All],5,FALSE)*'Stage assumptions'!$C$226*WasteTransportMethod[Emissions Factor
kgCO2e/kg.km]*Calculations[[#This Row],[Total Kg]],0)</f>
        <v>0</v>
      </c>
      <c r="X947" s="322">
        <f>SUM(Calculations[[#This Row],[C2 Recycle]:[C2 Reuse]])</f>
        <v>0</v>
      </c>
      <c r="Y947" t="str">
        <f>IFERROR(VLOOKUP(Calculations[[#This Row],[Material (choose from dropdown]],MaterialData[#All],5,FALSE),"")</f>
        <v/>
      </c>
      <c r="Z947" s="322">
        <f>IFERROR(((VLOOKUP(Calculations[[#This Row],[Waste type 2]],WasteDisposalEmissions[#All],2,FALSE))*Calculations[[#This Row],[Total Kg]])*VLOOKUP(Calculations[[#This Row],[Waste 1]],WasteScenario[#All],2,FALSE),0)</f>
        <v>0</v>
      </c>
      <c r="AA947" s="322">
        <f>IFERROR((VLOOKUP(Calculations[[#This Row],[Waste type 2]],WasteDisposalEmissions[#All],3,FALSE))*Calculations[[#This Row],[Total Kg]]*VLOOKUP(Calculations[[#This Row],[Waste 1]],WasteScenario[#All],3,FALSE),0)</f>
        <v>0</v>
      </c>
      <c r="AB947" s="322">
        <f>SUM(Calculations[[#This Row],[C3 recyc]:[C3 incin]])</f>
        <v>0</v>
      </c>
      <c r="AC947" s="334">
        <f>IFERROR((VLOOKUP(Calculations[[#This Row],[Waste type 2]],WasteLandfillEmissions[#All],2,FALSE))*Calculations[[#This Row],[Total Kg]]*VLOOKUP(Calculations[[#This Row],[Waste 1]],WasteScenario[#All],4,FALSE),0)</f>
        <v>0</v>
      </c>
      <c r="AD947" s="322">
        <f>IFERROR((VLOOKUP(Calculations[[#This Row],[Waste type 2]],WasteLandfillEmissions[#All],3,FALSE))*Calculations[[#This Row],[Total Kg]]*VLOOKUP(Calculations[[#This Row],[Waste 1]],WasteScenario[#All],4,FALSE),0)</f>
        <v>0</v>
      </c>
      <c r="AE947" s="322">
        <f>SUM(Calculations[[#This Row],[C4 landfill]:[C4 re-use]])</f>
        <v>0</v>
      </c>
      <c r="AF947" s="322">
        <f>IFERROR(VLOOKUP(Calculations[[#This Row],[Material (choose from dropdown]],MaterialData[#All],8,FALSE),0)</f>
        <v>0</v>
      </c>
      <c r="AG947" s="322">
        <f>IFERROR(Calculations[[#This Row],[Total Kg]]*Calculations[[#This Row],[Seq factor]],0)</f>
        <v>0</v>
      </c>
      <c r="AI947" s="322">
        <f>Calculations[[#This Row],[A1-3]]+Calculations[[#This Row],[A4]]+Calculations[[#This Row],[A5]]+Calculations[[#This Row],[B4]]+Calculations[[#This Row],[C2 total]]+Calculations[[#This Row],[C3 total]]+Calculations[[#This Row],[C4 total]]</f>
        <v>0</v>
      </c>
      <c r="AJ947" s="2">
        <f>IFERROR(VLOOKUP(Calculations[[#This Row],[Material (choose from dropdown]],MaterialData[[#Headers],[#Data]],9,FALSE),0)</f>
        <v>0</v>
      </c>
      <c r="AK947" s="4">
        <f>IFERROR(VLOOKUP(Calculations[[#This Row],[Material (choose from dropdown]],MaterialData[[#Headers],[#Data]],10,FALSE),0)</f>
        <v>0</v>
      </c>
      <c r="AL947" s="322">
        <f>IFERROR(Calculations[[#This Row],[Data Quality Score]]*Calculations[[#This Row],[Total Kg]],0)</f>
        <v>0</v>
      </c>
    </row>
    <row r="948" spans="1:38" x14ac:dyDescent="0.3">
      <c r="A948" s="6">
        <f>IFERROR(MaterialsBoQ[[#This Row],[Scope Element]],0)</f>
        <v>0</v>
      </c>
      <c r="B948" t="str">
        <f>IFERROR(MaterialsBoQ[[#This Row],[Material ]],"")</f>
        <v/>
      </c>
      <c r="C948" t="str">
        <f>IFERROR(MaterialsBoQ[[#This Row],[Unit]],"")</f>
        <v/>
      </c>
      <c r="D948" s="322">
        <f>IFERROR(MaterialsBoQ[[#This Row],[Number]],0)</f>
        <v>0</v>
      </c>
      <c r="E948" s="322">
        <f>IFERROR(MaterialsBoQ[[#This Row],[Kg per unit]],0)</f>
        <v>0</v>
      </c>
      <c r="F948" s="322">
        <f>IFERROR(Calculations[[#This Row],[Number]]*Calculations[[#This Row],[Conversion factor]],0)</f>
        <v>0</v>
      </c>
      <c r="G948" s="322">
        <f>IFERROR(VLOOKUP(Calculations[[#This Row],[Material (choose from dropdown]],MaterialData[#All],7,FALSE),0)</f>
        <v>0</v>
      </c>
      <c r="H948" s="322">
        <f>Calculations[[#This Row],[Total Kg]]*Calculations[[#This Row],[Carbon Factor]]</f>
        <v>0</v>
      </c>
      <c r="I948" t="str">
        <f>IFERROR(VLOOKUP(Calculations[[#This Row],[Material (choose from dropdown]],MaterialData[#All],2,FALSE),"")</f>
        <v/>
      </c>
      <c r="J948" s="322">
        <f>IFERROR(((VLOOKUP(Calculations[[#This Row],[TransportSource]],TransportDistance[],2,FALSE)*'Stage assumptions'!$C$11)+VLOOKUP(Calculations[[#This Row],[TransportSource]],TransportDistance[],3,FALSE)*'Stage assumptions'!$C$12)*Calculations[[#This Row],[Total Kg]],0)</f>
        <v>0</v>
      </c>
      <c r="K948">
        <f>IFERROR(VLOOKUP(Calculations[[#This Row],[Material (choose from dropdown]], MaterialData[#All],3, FALSE),0)</f>
        <v>0</v>
      </c>
      <c r="L948" s="322">
        <f>IFERROR(VLOOKUP(Calculations[[#This Row],[A5type]],A5WastageRate[#All],2,FALSE)*Calculations[[#This Row],[A1-3]],0)</f>
        <v>0</v>
      </c>
      <c r="N948">
        <f>IFERROR(ROUNDUP(50/VLOOKUP(Calculations[[#This Row],[Scope Element]],B4referenceServiceLife[[Tier 2 element]:[Default Service Life]],2, FALSE)-1,0),0)</f>
        <v>0</v>
      </c>
      <c r="O948" s="322">
        <f>IFERROR((Calculations[[#This Row],[A1-3]]+Calculations[[#This Row],[A4]]+Calculations[[#This Row],[A5]]+Calculations[[#This Row],[C2 total]]+Calculations[[#This Row],[C3 total]]+Calculations[[#This Row],[C4 total]])*Calculations[[#This Row],[Replacements]],0)</f>
        <v>0</v>
      </c>
      <c r="S948" t="str">
        <f>IFERROR(VLOOKUP(Calculations[[#This Row],[Material (choose from dropdown]],MaterialData[#All],4,FALSE),"")</f>
        <v/>
      </c>
      <c r="T948" s="322" cm="1">
        <f t="array" ref="T948">IFERROR(VLOOKUP(Calculations[[#This Row],[Waste 1]],WasteScenario[#All],2,FALSE)*'Stage assumptions'!$C$225*WasteTransportMethod[Emissions Factor
kgCO2e/kg.km]*Calculations[[#This Row],[Total Kg]],0)</f>
        <v>0</v>
      </c>
      <c r="U948" s="322" cm="1">
        <f t="array" ref="U948">IFERROR(VLOOKUP(Calculations[[#This Row],[Waste 1]],WasteScenario[#All],3,FALSE)*'Stage assumptions'!$C$224*WasteTransportMethod[Emissions Factor
kgCO2e/kg.km]*Calculations[[#This Row],[Total Kg]],0)</f>
        <v>0</v>
      </c>
      <c r="V948" s="322" cm="1">
        <f t="array" ref="V948">IFERROR(VLOOKUP(Calculations[[#This Row],[Waste 1]],WasteScenario[#All],4,FALSE)*'Stage assumptions'!$C$223*WasteTransportMethod[Emissions Factor
kgCO2e/kg.km]*Calculations[[#This Row],[Total Kg]],0)</f>
        <v>0</v>
      </c>
      <c r="W948" s="322" cm="1">
        <f t="array" ref="W948">IFERROR(VLOOKUP(Calculations[[#This Row],[Waste 1]],WasteScenario[#All],5,FALSE)*'Stage assumptions'!$C$226*WasteTransportMethod[Emissions Factor
kgCO2e/kg.km]*Calculations[[#This Row],[Total Kg]],0)</f>
        <v>0</v>
      </c>
      <c r="X948" s="322">
        <f>SUM(Calculations[[#This Row],[C2 Recycle]:[C2 Reuse]])</f>
        <v>0</v>
      </c>
      <c r="Y948" t="str">
        <f>IFERROR(VLOOKUP(Calculations[[#This Row],[Material (choose from dropdown]],MaterialData[#All],5,FALSE),"")</f>
        <v/>
      </c>
      <c r="Z948" s="322">
        <f>IFERROR(((VLOOKUP(Calculations[[#This Row],[Waste type 2]],WasteDisposalEmissions[#All],2,FALSE))*Calculations[[#This Row],[Total Kg]])*VLOOKUP(Calculations[[#This Row],[Waste 1]],WasteScenario[#All],2,FALSE),0)</f>
        <v>0</v>
      </c>
      <c r="AA948" s="322">
        <f>IFERROR((VLOOKUP(Calculations[[#This Row],[Waste type 2]],WasteDisposalEmissions[#All],3,FALSE))*Calculations[[#This Row],[Total Kg]]*VLOOKUP(Calculations[[#This Row],[Waste 1]],WasteScenario[#All],3,FALSE),0)</f>
        <v>0</v>
      </c>
      <c r="AB948" s="322">
        <f>SUM(Calculations[[#This Row],[C3 recyc]:[C3 incin]])</f>
        <v>0</v>
      </c>
      <c r="AC948" s="334">
        <f>IFERROR((VLOOKUP(Calculations[[#This Row],[Waste type 2]],WasteLandfillEmissions[#All],2,FALSE))*Calculations[[#This Row],[Total Kg]]*VLOOKUP(Calculations[[#This Row],[Waste 1]],WasteScenario[#All],4,FALSE),0)</f>
        <v>0</v>
      </c>
      <c r="AD948" s="322">
        <f>IFERROR((VLOOKUP(Calculations[[#This Row],[Waste type 2]],WasteLandfillEmissions[#All],3,FALSE))*Calculations[[#This Row],[Total Kg]]*VLOOKUP(Calculations[[#This Row],[Waste 1]],WasteScenario[#All],4,FALSE),0)</f>
        <v>0</v>
      </c>
      <c r="AE948" s="322">
        <f>SUM(Calculations[[#This Row],[C4 landfill]:[C4 re-use]])</f>
        <v>0</v>
      </c>
      <c r="AF948" s="322">
        <f>IFERROR(VLOOKUP(Calculations[[#This Row],[Material (choose from dropdown]],MaterialData[#All],8,FALSE),0)</f>
        <v>0</v>
      </c>
      <c r="AG948" s="322">
        <f>IFERROR(Calculations[[#This Row],[Total Kg]]*Calculations[[#This Row],[Seq factor]],0)</f>
        <v>0</v>
      </c>
      <c r="AI948" s="322">
        <f>Calculations[[#This Row],[A1-3]]+Calculations[[#This Row],[A4]]+Calculations[[#This Row],[A5]]+Calculations[[#This Row],[B4]]+Calculations[[#This Row],[C2 total]]+Calculations[[#This Row],[C3 total]]+Calculations[[#This Row],[C4 total]]</f>
        <v>0</v>
      </c>
      <c r="AJ948" s="2">
        <f>IFERROR(VLOOKUP(Calculations[[#This Row],[Material (choose from dropdown]],MaterialData[[#Headers],[#Data]],9,FALSE),0)</f>
        <v>0</v>
      </c>
      <c r="AK948" s="4">
        <f>IFERROR(VLOOKUP(Calculations[[#This Row],[Material (choose from dropdown]],MaterialData[[#Headers],[#Data]],10,FALSE),0)</f>
        <v>0</v>
      </c>
      <c r="AL948" s="322">
        <f>IFERROR(Calculations[[#This Row],[Data Quality Score]]*Calculations[[#This Row],[Total Kg]],0)</f>
        <v>0</v>
      </c>
    </row>
    <row r="949" spans="1:38" x14ac:dyDescent="0.3">
      <c r="A949" s="6">
        <f>IFERROR(MaterialsBoQ[[#This Row],[Scope Element]],0)</f>
        <v>0</v>
      </c>
      <c r="B949" t="str">
        <f>IFERROR(MaterialsBoQ[[#This Row],[Material ]],"")</f>
        <v/>
      </c>
      <c r="C949" t="str">
        <f>IFERROR(MaterialsBoQ[[#This Row],[Unit]],"")</f>
        <v/>
      </c>
      <c r="D949" s="322">
        <f>IFERROR(MaterialsBoQ[[#This Row],[Number]],0)</f>
        <v>0</v>
      </c>
      <c r="E949" s="322">
        <f>IFERROR(MaterialsBoQ[[#This Row],[Kg per unit]],0)</f>
        <v>0</v>
      </c>
      <c r="F949" s="322">
        <f>IFERROR(Calculations[[#This Row],[Number]]*Calculations[[#This Row],[Conversion factor]],0)</f>
        <v>0</v>
      </c>
      <c r="G949" s="322">
        <f>IFERROR(VLOOKUP(Calculations[[#This Row],[Material (choose from dropdown]],MaterialData[#All],7,FALSE),0)</f>
        <v>0</v>
      </c>
      <c r="H949" s="322">
        <f>Calculations[[#This Row],[Total Kg]]*Calculations[[#This Row],[Carbon Factor]]</f>
        <v>0</v>
      </c>
      <c r="I949" t="str">
        <f>IFERROR(VLOOKUP(Calculations[[#This Row],[Material (choose from dropdown]],MaterialData[#All],2,FALSE),"")</f>
        <v/>
      </c>
      <c r="J949" s="322">
        <f>IFERROR(((VLOOKUP(Calculations[[#This Row],[TransportSource]],TransportDistance[],2,FALSE)*'Stage assumptions'!$C$11)+VLOOKUP(Calculations[[#This Row],[TransportSource]],TransportDistance[],3,FALSE)*'Stage assumptions'!$C$12)*Calculations[[#This Row],[Total Kg]],0)</f>
        <v>0</v>
      </c>
      <c r="K949">
        <f>IFERROR(VLOOKUP(Calculations[[#This Row],[Material (choose from dropdown]], MaterialData[#All],3, FALSE),0)</f>
        <v>0</v>
      </c>
      <c r="L949" s="322">
        <f>IFERROR(VLOOKUP(Calculations[[#This Row],[A5type]],A5WastageRate[#All],2,FALSE)*Calculations[[#This Row],[A1-3]],0)</f>
        <v>0</v>
      </c>
      <c r="N949">
        <f>IFERROR(ROUNDUP(50/VLOOKUP(Calculations[[#This Row],[Scope Element]],B4referenceServiceLife[[Tier 2 element]:[Default Service Life]],2, FALSE)-1,0),0)</f>
        <v>0</v>
      </c>
      <c r="O949" s="322">
        <f>IFERROR((Calculations[[#This Row],[A1-3]]+Calculations[[#This Row],[A4]]+Calculations[[#This Row],[A5]]+Calculations[[#This Row],[C2 total]]+Calculations[[#This Row],[C3 total]]+Calculations[[#This Row],[C4 total]])*Calculations[[#This Row],[Replacements]],0)</f>
        <v>0</v>
      </c>
      <c r="S949" t="str">
        <f>IFERROR(VLOOKUP(Calculations[[#This Row],[Material (choose from dropdown]],MaterialData[#All],4,FALSE),"")</f>
        <v/>
      </c>
      <c r="T949" s="322" cm="1">
        <f t="array" ref="T949">IFERROR(VLOOKUP(Calculations[[#This Row],[Waste 1]],WasteScenario[#All],2,FALSE)*'Stage assumptions'!$C$225*WasteTransportMethod[Emissions Factor
kgCO2e/kg.km]*Calculations[[#This Row],[Total Kg]],0)</f>
        <v>0</v>
      </c>
      <c r="U949" s="322" cm="1">
        <f t="array" ref="U949">IFERROR(VLOOKUP(Calculations[[#This Row],[Waste 1]],WasteScenario[#All],3,FALSE)*'Stage assumptions'!$C$224*WasteTransportMethod[Emissions Factor
kgCO2e/kg.km]*Calculations[[#This Row],[Total Kg]],0)</f>
        <v>0</v>
      </c>
      <c r="V949" s="322" cm="1">
        <f t="array" ref="V949">IFERROR(VLOOKUP(Calculations[[#This Row],[Waste 1]],WasteScenario[#All],4,FALSE)*'Stage assumptions'!$C$223*WasteTransportMethod[Emissions Factor
kgCO2e/kg.km]*Calculations[[#This Row],[Total Kg]],0)</f>
        <v>0</v>
      </c>
      <c r="W949" s="322" cm="1">
        <f t="array" ref="W949">IFERROR(VLOOKUP(Calculations[[#This Row],[Waste 1]],WasteScenario[#All],5,FALSE)*'Stage assumptions'!$C$226*WasteTransportMethod[Emissions Factor
kgCO2e/kg.km]*Calculations[[#This Row],[Total Kg]],0)</f>
        <v>0</v>
      </c>
      <c r="X949" s="322">
        <f>SUM(Calculations[[#This Row],[C2 Recycle]:[C2 Reuse]])</f>
        <v>0</v>
      </c>
      <c r="Y949" t="str">
        <f>IFERROR(VLOOKUP(Calculations[[#This Row],[Material (choose from dropdown]],MaterialData[#All],5,FALSE),"")</f>
        <v/>
      </c>
      <c r="Z949" s="322">
        <f>IFERROR(((VLOOKUP(Calculations[[#This Row],[Waste type 2]],WasteDisposalEmissions[#All],2,FALSE))*Calculations[[#This Row],[Total Kg]])*VLOOKUP(Calculations[[#This Row],[Waste 1]],WasteScenario[#All],2,FALSE),0)</f>
        <v>0</v>
      </c>
      <c r="AA949" s="322">
        <f>IFERROR((VLOOKUP(Calculations[[#This Row],[Waste type 2]],WasteDisposalEmissions[#All],3,FALSE))*Calculations[[#This Row],[Total Kg]]*VLOOKUP(Calculations[[#This Row],[Waste 1]],WasteScenario[#All],3,FALSE),0)</f>
        <v>0</v>
      </c>
      <c r="AB949" s="322">
        <f>SUM(Calculations[[#This Row],[C3 recyc]:[C3 incin]])</f>
        <v>0</v>
      </c>
      <c r="AC949" s="334">
        <f>IFERROR((VLOOKUP(Calculations[[#This Row],[Waste type 2]],WasteLandfillEmissions[#All],2,FALSE))*Calculations[[#This Row],[Total Kg]]*VLOOKUP(Calculations[[#This Row],[Waste 1]],WasteScenario[#All],4,FALSE),0)</f>
        <v>0</v>
      </c>
      <c r="AD949" s="322">
        <f>IFERROR((VLOOKUP(Calculations[[#This Row],[Waste type 2]],WasteLandfillEmissions[#All],3,FALSE))*Calculations[[#This Row],[Total Kg]]*VLOOKUP(Calculations[[#This Row],[Waste 1]],WasteScenario[#All],4,FALSE),0)</f>
        <v>0</v>
      </c>
      <c r="AE949" s="322">
        <f>SUM(Calculations[[#This Row],[C4 landfill]:[C4 re-use]])</f>
        <v>0</v>
      </c>
      <c r="AF949" s="322">
        <f>IFERROR(VLOOKUP(Calculations[[#This Row],[Material (choose from dropdown]],MaterialData[#All],8,FALSE),0)</f>
        <v>0</v>
      </c>
      <c r="AG949" s="322">
        <f>IFERROR(Calculations[[#This Row],[Total Kg]]*Calculations[[#This Row],[Seq factor]],0)</f>
        <v>0</v>
      </c>
      <c r="AI949" s="322">
        <f>Calculations[[#This Row],[A1-3]]+Calculations[[#This Row],[A4]]+Calculations[[#This Row],[A5]]+Calculations[[#This Row],[B4]]+Calculations[[#This Row],[C2 total]]+Calculations[[#This Row],[C3 total]]+Calculations[[#This Row],[C4 total]]</f>
        <v>0</v>
      </c>
      <c r="AJ949" s="2">
        <f>IFERROR(VLOOKUP(Calculations[[#This Row],[Material (choose from dropdown]],MaterialData[[#Headers],[#Data]],9,FALSE),0)</f>
        <v>0</v>
      </c>
      <c r="AK949" s="4">
        <f>IFERROR(VLOOKUP(Calculations[[#This Row],[Material (choose from dropdown]],MaterialData[[#Headers],[#Data]],10,FALSE),0)</f>
        <v>0</v>
      </c>
      <c r="AL949" s="322">
        <f>IFERROR(Calculations[[#This Row],[Data Quality Score]]*Calculations[[#This Row],[Total Kg]],0)</f>
        <v>0</v>
      </c>
    </row>
    <row r="950" spans="1:38" x14ac:dyDescent="0.3">
      <c r="A950" s="6">
        <f>IFERROR(MaterialsBoQ[[#This Row],[Scope Element]],0)</f>
        <v>0</v>
      </c>
      <c r="B950" t="str">
        <f>IFERROR(MaterialsBoQ[[#This Row],[Material ]],"")</f>
        <v/>
      </c>
      <c r="C950" t="str">
        <f>IFERROR(MaterialsBoQ[[#This Row],[Unit]],"")</f>
        <v/>
      </c>
      <c r="D950" s="322">
        <f>IFERROR(MaterialsBoQ[[#This Row],[Number]],0)</f>
        <v>0</v>
      </c>
      <c r="E950" s="322">
        <f>IFERROR(MaterialsBoQ[[#This Row],[Kg per unit]],0)</f>
        <v>0</v>
      </c>
      <c r="F950" s="322">
        <f>IFERROR(Calculations[[#This Row],[Number]]*Calculations[[#This Row],[Conversion factor]],0)</f>
        <v>0</v>
      </c>
      <c r="G950" s="322">
        <f>IFERROR(VLOOKUP(Calculations[[#This Row],[Material (choose from dropdown]],MaterialData[#All],7,FALSE),0)</f>
        <v>0</v>
      </c>
      <c r="H950" s="322">
        <f>Calculations[[#This Row],[Total Kg]]*Calculations[[#This Row],[Carbon Factor]]</f>
        <v>0</v>
      </c>
      <c r="I950" t="str">
        <f>IFERROR(VLOOKUP(Calculations[[#This Row],[Material (choose from dropdown]],MaterialData[#All],2,FALSE),"")</f>
        <v/>
      </c>
      <c r="J950" s="322">
        <f>IFERROR(((VLOOKUP(Calculations[[#This Row],[TransportSource]],TransportDistance[],2,FALSE)*'Stage assumptions'!$C$11)+VLOOKUP(Calculations[[#This Row],[TransportSource]],TransportDistance[],3,FALSE)*'Stage assumptions'!$C$12)*Calculations[[#This Row],[Total Kg]],0)</f>
        <v>0</v>
      </c>
      <c r="K950">
        <f>IFERROR(VLOOKUP(Calculations[[#This Row],[Material (choose from dropdown]], MaterialData[#All],3, FALSE),0)</f>
        <v>0</v>
      </c>
      <c r="L950" s="322">
        <f>IFERROR(VLOOKUP(Calculations[[#This Row],[A5type]],A5WastageRate[#All],2,FALSE)*Calculations[[#This Row],[A1-3]],0)</f>
        <v>0</v>
      </c>
      <c r="N950">
        <f>IFERROR(ROUNDUP(50/VLOOKUP(Calculations[[#This Row],[Scope Element]],B4referenceServiceLife[[Tier 2 element]:[Default Service Life]],2, FALSE)-1,0),0)</f>
        <v>0</v>
      </c>
      <c r="O950" s="322">
        <f>IFERROR((Calculations[[#This Row],[A1-3]]+Calculations[[#This Row],[A4]]+Calculations[[#This Row],[A5]]+Calculations[[#This Row],[C2 total]]+Calculations[[#This Row],[C3 total]]+Calculations[[#This Row],[C4 total]])*Calculations[[#This Row],[Replacements]],0)</f>
        <v>0</v>
      </c>
      <c r="S950" t="str">
        <f>IFERROR(VLOOKUP(Calculations[[#This Row],[Material (choose from dropdown]],MaterialData[#All],4,FALSE),"")</f>
        <v/>
      </c>
      <c r="T950" s="322" cm="1">
        <f t="array" ref="T950">IFERROR(VLOOKUP(Calculations[[#This Row],[Waste 1]],WasteScenario[#All],2,FALSE)*'Stage assumptions'!$C$225*WasteTransportMethod[Emissions Factor
kgCO2e/kg.km]*Calculations[[#This Row],[Total Kg]],0)</f>
        <v>0</v>
      </c>
      <c r="U950" s="322" cm="1">
        <f t="array" ref="U950">IFERROR(VLOOKUP(Calculations[[#This Row],[Waste 1]],WasteScenario[#All],3,FALSE)*'Stage assumptions'!$C$224*WasteTransportMethod[Emissions Factor
kgCO2e/kg.km]*Calculations[[#This Row],[Total Kg]],0)</f>
        <v>0</v>
      </c>
      <c r="V950" s="322" cm="1">
        <f t="array" ref="V950">IFERROR(VLOOKUP(Calculations[[#This Row],[Waste 1]],WasteScenario[#All],4,FALSE)*'Stage assumptions'!$C$223*WasteTransportMethod[Emissions Factor
kgCO2e/kg.km]*Calculations[[#This Row],[Total Kg]],0)</f>
        <v>0</v>
      </c>
      <c r="W950" s="322" cm="1">
        <f t="array" ref="W950">IFERROR(VLOOKUP(Calculations[[#This Row],[Waste 1]],WasteScenario[#All],5,FALSE)*'Stage assumptions'!$C$226*WasteTransportMethod[Emissions Factor
kgCO2e/kg.km]*Calculations[[#This Row],[Total Kg]],0)</f>
        <v>0</v>
      </c>
      <c r="X950" s="322">
        <f>SUM(Calculations[[#This Row],[C2 Recycle]:[C2 Reuse]])</f>
        <v>0</v>
      </c>
      <c r="Y950" t="str">
        <f>IFERROR(VLOOKUP(Calculations[[#This Row],[Material (choose from dropdown]],MaterialData[#All],5,FALSE),"")</f>
        <v/>
      </c>
      <c r="Z950" s="322">
        <f>IFERROR(((VLOOKUP(Calculations[[#This Row],[Waste type 2]],WasteDisposalEmissions[#All],2,FALSE))*Calculations[[#This Row],[Total Kg]])*VLOOKUP(Calculations[[#This Row],[Waste 1]],WasteScenario[#All],2,FALSE),0)</f>
        <v>0</v>
      </c>
      <c r="AA950" s="322">
        <f>IFERROR((VLOOKUP(Calculations[[#This Row],[Waste type 2]],WasteDisposalEmissions[#All],3,FALSE))*Calculations[[#This Row],[Total Kg]]*VLOOKUP(Calculations[[#This Row],[Waste 1]],WasteScenario[#All],3,FALSE),0)</f>
        <v>0</v>
      </c>
      <c r="AB950" s="322">
        <f>SUM(Calculations[[#This Row],[C3 recyc]:[C3 incin]])</f>
        <v>0</v>
      </c>
      <c r="AC950" s="334">
        <f>IFERROR((VLOOKUP(Calculations[[#This Row],[Waste type 2]],WasteLandfillEmissions[#All],2,FALSE))*Calculations[[#This Row],[Total Kg]]*VLOOKUP(Calculations[[#This Row],[Waste 1]],WasteScenario[#All],4,FALSE),0)</f>
        <v>0</v>
      </c>
      <c r="AD950" s="322">
        <f>IFERROR((VLOOKUP(Calculations[[#This Row],[Waste type 2]],WasteLandfillEmissions[#All],3,FALSE))*Calculations[[#This Row],[Total Kg]]*VLOOKUP(Calculations[[#This Row],[Waste 1]],WasteScenario[#All],4,FALSE),0)</f>
        <v>0</v>
      </c>
      <c r="AE950" s="322">
        <f>SUM(Calculations[[#This Row],[C4 landfill]:[C4 re-use]])</f>
        <v>0</v>
      </c>
      <c r="AF950" s="322">
        <f>IFERROR(VLOOKUP(Calculations[[#This Row],[Material (choose from dropdown]],MaterialData[#All],8,FALSE),0)</f>
        <v>0</v>
      </c>
      <c r="AG950" s="322">
        <f>IFERROR(Calculations[[#This Row],[Total Kg]]*Calculations[[#This Row],[Seq factor]],0)</f>
        <v>0</v>
      </c>
      <c r="AI950" s="322">
        <f>Calculations[[#This Row],[A1-3]]+Calculations[[#This Row],[A4]]+Calculations[[#This Row],[A5]]+Calculations[[#This Row],[B4]]+Calculations[[#This Row],[C2 total]]+Calculations[[#This Row],[C3 total]]+Calculations[[#This Row],[C4 total]]</f>
        <v>0</v>
      </c>
      <c r="AJ950" s="2">
        <f>IFERROR(VLOOKUP(Calculations[[#This Row],[Material (choose from dropdown]],MaterialData[[#Headers],[#Data]],9,FALSE),0)</f>
        <v>0</v>
      </c>
      <c r="AK950" s="4">
        <f>IFERROR(VLOOKUP(Calculations[[#This Row],[Material (choose from dropdown]],MaterialData[[#Headers],[#Data]],10,FALSE),0)</f>
        <v>0</v>
      </c>
      <c r="AL950" s="322">
        <f>IFERROR(Calculations[[#This Row],[Data Quality Score]]*Calculations[[#This Row],[Total Kg]],0)</f>
        <v>0</v>
      </c>
    </row>
    <row r="951" spans="1:38" x14ac:dyDescent="0.3">
      <c r="A951" s="6">
        <f>IFERROR(MaterialsBoQ[[#This Row],[Scope Element]],0)</f>
        <v>0</v>
      </c>
      <c r="B951" t="str">
        <f>IFERROR(MaterialsBoQ[[#This Row],[Material ]],"")</f>
        <v/>
      </c>
      <c r="C951" t="str">
        <f>IFERROR(MaterialsBoQ[[#This Row],[Unit]],"")</f>
        <v/>
      </c>
      <c r="D951" s="322">
        <f>IFERROR(MaterialsBoQ[[#This Row],[Number]],0)</f>
        <v>0</v>
      </c>
      <c r="E951" s="322">
        <f>IFERROR(MaterialsBoQ[[#This Row],[Kg per unit]],0)</f>
        <v>0</v>
      </c>
      <c r="F951" s="322">
        <f>IFERROR(Calculations[[#This Row],[Number]]*Calculations[[#This Row],[Conversion factor]],0)</f>
        <v>0</v>
      </c>
      <c r="G951" s="322">
        <f>IFERROR(VLOOKUP(Calculations[[#This Row],[Material (choose from dropdown]],MaterialData[#All],7,FALSE),0)</f>
        <v>0</v>
      </c>
      <c r="H951" s="322">
        <f>Calculations[[#This Row],[Total Kg]]*Calculations[[#This Row],[Carbon Factor]]</f>
        <v>0</v>
      </c>
      <c r="I951" t="str">
        <f>IFERROR(VLOOKUP(Calculations[[#This Row],[Material (choose from dropdown]],MaterialData[#All],2,FALSE),"")</f>
        <v/>
      </c>
      <c r="J951" s="322">
        <f>IFERROR(((VLOOKUP(Calculations[[#This Row],[TransportSource]],TransportDistance[],2,FALSE)*'Stage assumptions'!$C$11)+VLOOKUP(Calculations[[#This Row],[TransportSource]],TransportDistance[],3,FALSE)*'Stage assumptions'!$C$12)*Calculations[[#This Row],[Total Kg]],0)</f>
        <v>0</v>
      </c>
      <c r="K951">
        <f>IFERROR(VLOOKUP(Calculations[[#This Row],[Material (choose from dropdown]], MaterialData[#All],3, FALSE),0)</f>
        <v>0</v>
      </c>
      <c r="L951" s="322">
        <f>IFERROR(VLOOKUP(Calculations[[#This Row],[A5type]],A5WastageRate[#All],2,FALSE)*Calculations[[#This Row],[A1-3]],0)</f>
        <v>0</v>
      </c>
      <c r="N951">
        <f>IFERROR(ROUNDUP(50/VLOOKUP(Calculations[[#This Row],[Scope Element]],B4referenceServiceLife[[Tier 2 element]:[Default Service Life]],2, FALSE)-1,0),0)</f>
        <v>0</v>
      </c>
      <c r="O951" s="322">
        <f>IFERROR((Calculations[[#This Row],[A1-3]]+Calculations[[#This Row],[A4]]+Calculations[[#This Row],[A5]]+Calculations[[#This Row],[C2 total]]+Calculations[[#This Row],[C3 total]]+Calculations[[#This Row],[C4 total]])*Calculations[[#This Row],[Replacements]],0)</f>
        <v>0</v>
      </c>
      <c r="S951" t="str">
        <f>IFERROR(VLOOKUP(Calculations[[#This Row],[Material (choose from dropdown]],MaterialData[#All],4,FALSE),"")</f>
        <v/>
      </c>
      <c r="T951" s="322" cm="1">
        <f t="array" ref="T951">IFERROR(VLOOKUP(Calculations[[#This Row],[Waste 1]],WasteScenario[#All],2,FALSE)*'Stage assumptions'!$C$225*WasteTransportMethod[Emissions Factor
kgCO2e/kg.km]*Calculations[[#This Row],[Total Kg]],0)</f>
        <v>0</v>
      </c>
      <c r="U951" s="322" cm="1">
        <f t="array" ref="U951">IFERROR(VLOOKUP(Calculations[[#This Row],[Waste 1]],WasteScenario[#All],3,FALSE)*'Stage assumptions'!$C$224*WasteTransportMethod[Emissions Factor
kgCO2e/kg.km]*Calculations[[#This Row],[Total Kg]],0)</f>
        <v>0</v>
      </c>
      <c r="V951" s="322" cm="1">
        <f t="array" ref="V951">IFERROR(VLOOKUP(Calculations[[#This Row],[Waste 1]],WasteScenario[#All],4,FALSE)*'Stage assumptions'!$C$223*WasteTransportMethod[Emissions Factor
kgCO2e/kg.km]*Calculations[[#This Row],[Total Kg]],0)</f>
        <v>0</v>
      </c>
      <c r="W951" s="322" cm="1">
        <f t="array" ref="W951">IFERROR(VLOOKUP(Calculations[[#This Row],[Waste 1]],WasteScenario[#All],5,FALSE)*'Stage assumptions'!$C$226*WasteTransportMethod[Emissions Factor
kgCO2e/kg.km]*Calculations[[#This Row],[Total Kg]],0)</f>
        <v>0</v>
      </c>
      <c r="X951" s="322">
        <f>SUM(Calculations[[#This Row],[C2 Recycle]:[C2 Reuse]])</f>
        <v>0</v>
      </c>
      <c r="Y951" t="str">
        <f>IFERROR(VLOOKUP(Calculations[[#This Row],[Material (choose from dropdown]],MaterialData[#All],5,FALSE),"")</f>
        <v/>
      </c>
      <c r="Z951" s="322">
        <f>IFERROR(((VLOOKUP(Calculations[[#This Row],[Waste type 2]],WasteDisposalEmissions[#All],2,FALSE))*Calculations[[#This Row],[Total Kg]])*VLOOKUP(Calculations[[#This Row],[Waste 1]],WasteScenario[#All],2,FALSE),0)</f>
        <v>0</v>
      </c>
      <c r="AA951" s="322">
        <f>IFERROR((VLOOKUP(Calculations[[#This Row],[Waste type 2]],WasteDisposalEmissions[#All],3,FALSE))*Calculations[[#This Row],[Total Kg]]*VLOOKUP(Calculations[[#This Row],[Waste 1]],WasteScenario[#All],3,FALSE),0)</f>
        <v>0</v>
      </c>
      <c r="AB951" s="322">
        <f>SUM(Calculations[[#This Row],[C3 recyc]:[C3 incin]])</f>
        <v>0</v>
      </c>
      <c r="AC951" s="334">
        <f>IFERROR((VLOOKUP(Calculations[[#This Row],[Waste type 2]],WasteLandfillEmissions[#All],2,FALSE))*Calculations[[#This Row],[Total Kg]]*VLOOKUP(Calculations[[#This Row],[Waste 1]],WasteScenario[#All],4,FALSE),0)</f>
        <v>0</v>
      </c>
      <c r="AD951" s="322">
        <f>IFERROR((VLOOKUP(Calculations[[#This Row],[Waste type 2]],WasteLandfillEmissions[#All],3,FALSE))*Calculations[[#This Row],[Total Kg]]*VLOOKUP(Calculations[[#This Row],[Waste 1]],WasteScenario[#All],4,FALSE),0)</f>
        <v>0</v>
      </c>
      <c r="AE951" s="322">
        <f>SUM(Calculations[[#This Row],[C4 landfill]:[C4 re-use]])</f>
        <v>0</v>
      </c>
      <c r="AF951" s="322">
        <f>IFERROR(VLOOKUP(Calculations[[#This Row],[Material (choose from dropdown]],MaterialData[#All],8,FALSE),0)</f>
        <v>0</v>
      </c>
      <c r="AG951" s="322">
        <f>IFERROR(Calculations[[#This Row],[Total Kg]]*Calculations[[#This Row],[Seq factor]],0)</f>
        <v>0</v>
      </c>
      <c r="AI951" s="322">
        <f>Calculations[[#This Row],[A1-3]]+Calculations[[#This Row],[A4]]+Calculations[[#This Row],[A5]]+Calculations[[#This Row],[B4]]+Calculations[[#This Row],[C2 total]]+Calculations[[#This Row],[C3 total]]+Calculations[[#This Row],[C4 total]]</f>
        <v>0</v>
      </c>
      <c r="AJ951" s="2">
        <f>IFERROR(VLOOKUP(Calculations[[#This Row],[Material (choose from dropdown]],MaterialData[[#Headers],[#Data]],9,FALSE),0)</f>
        <v>0</v>
      </c>
      <c r="AK951" s="4">
        <f>IFERROR(VLOOKUP(Calculations[[#This Row],[Material (choose from dropdown]],MaterialData[[#Headers],[#Data]],10,FALSE),0)</f>
        <v>0</v>
      </c>
      <c r="AL951" s="322">
        <f>IFERROR(Calculations[[#This Row],[Data Quality Score]]*Calculations[[#This Row],[Total Kg]],0)</f>
        <v>0</v>
      </c>
    </row>
    <row r="952" spans="1:38" x14ac:dyDescent="0.3">
      <c r="A952" s="6">
        <f>IFERROR(MaterialsBoQ[[#This Row],[Scope Element]],0)</f>
        <v>0</v>
      </c>
      <c r="B952" t="str">
        <f>IFERROR(MaterialsBoQ[[#This Row],[Material ]],"")</f>
        <v/>
      </c>
      <c r="C952" t="str">
        <f>IFERROR(MaterialsBoQ[[#This Row],[Unit]],"")</f>
        <v/>
      </c>
      <c r="D952" s="322">
        <f>IFERROR(MaterialsBoQ[[#This Row],[Number]],0)</f>
        <v>0</v>
      </c>
      <c r="E952" s="322">
        <f>IFERROR(MaterialsBoQ[[#This Row],[Kg per unit]],0)</f>
        <v>0</v>
      </c>
      <c r="F952" s="322">
        <f>IFERROR(Calculations[[#This Row],[Number]]*Calculations[[#This Row],[Conversion factor]],0)</f>
        <v>0</v>
      </c>
      <c r="G952" s="322">
        <f>IFERROR(VLOOKUP(Calculations[[#This Row],[Material (choose from dropdown]],MaterialData[#All],7,FALSE),0)</f>
        <v>0</v>
      </c>
      <c r="H952" s="322">
        <f>Calculations[[#This Row],[Total Kg]]*Calculations[[#This Row],[Carbon Factor]]</f>
        <v>0</v>
      </c>
      <c r="I952" t="str">
        <f>IFERROR(VLOOKUP(Calculations[[#This Row],[Material (choose from dropdown]],MaterialData[#All],2,FALSE),"")</f>
        <v/>
      </c>
      <c r="J952" s="322">
        <f>IFERROR(((VLOOKUP(Calculations[[#This Row],[TransportSource]],TransportDistance[],2,FALSE)*'Stage assumptions'!$C$11)+VLOOKUP(Calculations[[#This Row],[TransportSource]],TransportDistance[],3,FALSE)*'Stage assumptions'!$C$12)*Calculations[[#This Row],[Total Kg]],0)</f>
        <v>0</v>
      </c>
      <c r="K952">
        <f>IFERROR(VLOOKUP(Calculations[[#This Row],[Material (choose from dropdown]], MaterialData[#All],3, FALSE),0)</f>
        <v>0</v>
      </c>
      <c r="L952" s="322">
        <f>IFERROR(VLOOKUP(Calculations[[#This Row],[A5type]],A5WastageRate[#All],2,FALSE)*Calculations[[#This Row],[A1-3]],0)</f>
        <v>0</v>
      </c>
      <c r="N952">
        <f>IFERROR(ROUNDUP(50/VLOOKUP(Calculations[[#This Row],[Scope Element]],B4referenceServiceLife[[Tier 2 element]:[Default Service Life]],2, FALSE)-1,0),0)</f>
        <v>0</v>
      </c>
      <c r="O952" s="322">
        <f>IFERROR((Calculations[[#This Row],[A1-3]]+Calculations[[#This Row],[A4]]+Calculations[[#This Row],[A5]]+Calculations[[#This Row],[C2 total]]+Calculations[[#This Row],[C3 total]]+Calculations[[#This Row],[C4 total]])*Calculations[[#This Row],[Replacements]],0)</f>
        <v>0</v>
      </c>
      <c r="S952" t="str">
        <f>IFERROR(VLOOKUP(Calculations[[#This Row],[Material (choose from dropdown]],MaterialData[#All],4,FALSE),"")</f>
        <v/>
      </c>
      <c r="T952" s="322" cm="1">
        <f t="array" ref="T952">IFERROR(VLOOKUP(Calculations[[#This Row],[Waste 1]],WasteScenario[#All],2,FALSE)*'Stage assumptions'!$C$225*WasteTransportMethod[Emissions Factor
kgCO2e/kg.km]*Calculations[[#This Row],[Total Kg]],0)</f>
        <v>0</v>
      </c>
      <c r="U952" s="322" cm="1">
        <f t="array" ref="U952">IFERROR(VLOOKUP(Calculations[[#This Row],[Waste 1]],WasteScenario[#All],3,FALSE)*'Stage assumptions'!$C$224*WasteTransportMethod[Emissions Factor
kgCO2e/kg.km]*Calculations[[#This Row],[Total Kg]],0)</f>
        <v>0</v>
      </c>
      <c r="V952" s="322" cm="1">
        <f t="array" ref="V952">IFERROR(VLOOKUP(Calculations[[#This Row],[Waste 1]],WasteScenario[#All],4,FALSE)*'Stage assumptions'!$C$223*WasteTransportMethod[Emissions Factor
kgCO2e/kg.km]*Calculations[[#This Row],[Total Kg]],0)</f>
        <v>0</v>
      </c>
      <c r="W952" s="322" cm="1">
        <f t="array" ref="W952">IFERROR(VLOOKUP(Calculations[[#This Row],[Waste 1]],WasteScenario[#All],5,FALSE)*'Stage assumptions'!$C$226*WasteTransportMethod[Emissions Factor
kgCO2e/kg.km]*Calculations[[#This Row],[Total Kg]],0)</f>
        <v>0</v>
      </c>
      <c r="X952" s="322">
        <f>SUM(Calculations[[#This Row],[C2 Recycle]:[C2 Reuse]])</f>
        <v>0</v>
      </c>
      <c r="Y952" t="str">
        <f>IFERROR(VLOOKUP(Calculations[[#This Row],[Material (choose from dropdown]],MaterialData[#All],5,FALSE),"")</f>
        <v/>
      </c>
      <c r="Z952" s="322">
        <f>IFERROR(((VLOOKUP(Calculations[[#This Row],[Waste type 2]],WasteDisposalEmissions[#All],2,FALSE))*Calculations[[#This Row],[Total Kg]])*VLOOKUP(Calculations[[#This Row],[Waste 1]],WasteScenario[#All],2,FALSE),0)</f>
        <v>0</v>
      </c>
      <c r="AA952" s="322">
        <f>IFERROR((VLOOKUP(Calculations[[#This Row],[Waste type 2]],WasteDisposalEmissions[#All],3,FALSE))*Calculations[[#This Row],[Total Kg]]*VLOOKUP(Calculations[[#This Row],[Waste 1]],WasteScenario[#All],3,FALSE),0)</f>
        <v>0</v>
      </c>
      <c r="AB952" s="322">
        <f>SUM(Calculations[[#This Row],[C3 recyc]:[C3 incin]])</f>
        <v>0</v>
      </c>
      <c r="AC952" s="334">
        <f>IFERROR((VLOOKUP(Calculations[[#This Row],[Waste type 2]],WasteLandfillEmissions[#All],2,FALSE))*Calculations[[#This Row],[Total Kg]]*VLOOKUP(Calculations[[#This Row],[Waste 1]],WasteScenario[#All],4,FALSE),0)</f>
        <v>0</v>
      </c>
      <c r="AD952" s="322">
        <f>IFERROR((VLOOKUP(Calculations[[#This Row],[Waste type 2]],WasteLandfillEmissions[#All],3,FALSE))*Calculations[[#This Row],[Total Kg]]*VLOOKUP(Calculations[[#This Row],[Waste 1]],WasteScenario[#All],4,FALSE),0)</f>
        <v>0</v>
      </c>
      <c r="AE952" s="322">
        <f>SUM(Calculations[[#This Row],[C4 landfill]:[C4 re-use]])</f>
        <v>0</v>
      </c>
      <c r="AF952" s="322">
        <f>IFERROR(VLOOKUP(Calculations[[#This Row],[Material (choose from dropdown]],MaterialData[#All],8,FALSE),0)</f>
        <v>0</v>
      </c>
      <c r="AG952" s="322">
        <f>IFERROR(Calculations[[#This Row],[Total Kg]]*Calculations[[#This Row],[Seq factor]],0)</f>
        <v>0</v>
      </c>
      <c r="AI952" s="322">
        <f>Calculations[[#This Row],[A1-3]]+Calculations[[#This Row],[A4]]+Calculations[[#This Row],[A5]]+Calculations[[#This Row],[B4]]+Calculations[[#This Row],[C2 total]]+Calculations[[#This Row],[C3 total]]+Calculations[[#This Row],[C4 total]]</f>
        <v>0</v>
      </c>
      <c r="AJ952" s="2">
        <f>IFERROR(VLOOKUP(Calculations[[#This Row],[Material (choose from dropdown]],MaterialData[[#Headers],[#Data]],9,FALSE),0)</f>
        <v>0</v>
      </c>
      <c r="AK952" s="4">
        <f>IFERROR(VLOOKUP(Calculations[[#This Row],[Material (choose from dropdown]],MaterialData[[#Headers],[#Data]],10,FALSE),0)</f>
        <v>0</v>
      </c>
      <c r="AL952" s="322">
        <f>IFERROR(Calculations[[#This Row],[Data Quality Score]]*Calculations[[#This Row],[Total Kg]],0)</f>
        <v>0</v>
      </c>
    </row>
    <row r="953" spans="1:38" x14ac:dyDescent="0.3">
      <c r="A953" s="6">
        <f>IFERROR(MaterialsBoQ[[#This Row],[Scope Element]],0)</f>
        <v>0</v>
      </c>
      <c r="B953" t="str">
        <f>IFERROR(MaterialsBoQ[[#This Row],[Material ]],"")</f>
        <v/>
      </c>
      <c r="C953" t="str">
        <f>IFERROR(MaterialsBoQ[[#This Row],[Unit]],"")</f>
        <v/>
      </c>
      <c r="D953" s="322">
        <f>IFERROR(MaterialsBoQ[[#This Row],[Number]],0)</f>
        <v>0</v>
      </c>
      <c r="E953" s="322">
        <f>IFERROR(MaterialsBoQ[[#This Row],[Kg per unit]],0)</f>
        <v>0</v>
      </c>
      <c r="F953" s="322">
        <f>IFERROR(Calculations[[#This Row],[Number]]*Calculations[[#This Row],[Conversion factor]],0)</f>
        <v>0</v>
      </c>
      <c r="G953" s="322">
        <f>IFERROR(VLOOKUP(Calculations[[#This Row],[Material (choose from dropdown]],MaterialData[#All],7,FALSE),0)</f>
        <v>0</v>
      </c>
      <c r="H953" s="322">
        <f>Calculations[[#This Row],[Total Kg]]*Calculations[[#This Row],[Carbon Factor]]</f>
        <v>0</v>
      </c>
      <c r="I953" t="str">
        <f>IFERROR(VLOOKUP(Calculations[[#This Row],[Material (choose from dropdown]],MaterialData[#All],2,FALSE),"")</f>
        <v/>
      </c>
      <c r="J953" s="322">
        <f>IFERROR(((VLOOKUP(Calculations[[#This Row],[TransportSource]],TransportDistance[],2,FALSE)*'Stage assumptions'!$C$11)+VLOOKUP(Calculations[[#This Row],[TransportSource]],TransportDistance[],3,FALSE)*'Stage assumptions'!$C$12)*Calculations[[#This Row],[Total Kg]],0)</f>
        <v>0</v>
      </c>
      <c r="K953">
        <f>IFERROR(VLOOKUP(Calculations[[#This Row],[Material (choose from dropdown]], MaterialData[#All],3, FALSE),0)</f>
        <v>0</v>
      </c>
      <c r="L953" s="322">
        <f>IFERROR(VLOOKUP(Calculations[[#This Row],[A5type]],A5WastageRate[#All],2,FALSE)*Calculations[[#This Row],[A1-3]],0)</f>
        <v>0</v>
      </c>
      <c r="N953">
        <f>IFERROR(ROUNDUP(50/VLOOKUP(Calculations[[#This Row],[Scope Element]],B4referenceServiceLife[[Tier 2 element]:[Default Service Life]],2, FALSE)-1,0),0)</f>
        <v>0</v>
      </c>
      <c r="O953" s="322">
        <f>IFERROR((Calculations[[#This Row],[A1-3]]+Calculations[[#This Row],[A4]]+Calculations[[#This Row],[A5]]+Calculations[[#This Row],[C2 total]]+Calculations[[#This Row],[C3 total]]+Calculations[[#This Row],[C4 total]])*Calculations[[#This Row],[Replacements]],0)</f>
        <v>0</v>
      </c>
      <c r="S953" t="str">
        <f>IFERROR(VLOOKUP(Calculations[[#This Row],[Material (choose from dropdown]],MaterialData[#All],4,FALSE),"")</f>
        <v/>
      </c>
      <c r="T953" s="322" cm="1">
        <f t="array" ref="T953">IFERROR(VLOOKUP(Calculations[[#This Row],[Waste 1]],WasteScenario[#All],2,FALSE)*'Stage assumptions'!$C$225*WasteTransportMethod[Emissions Factor
kgCO2e/kg.km]*Calculations[[#This Row],[Total Kg]],0)</f>
        <v>0</v>
      </c>
      <c r="U953" s="322" cm="1">
        <f t="array" ref="U953">IFERROR(VLOOKUP(Calculations[[#This Row],[Waste 1]],WasteScenario[#All],3,FALSE)*'Stage assumptions'!$C$224*WasteTransportMethod[Emissions Factor
kgCO2e/kg.km]*Calculations[[#This Row],[Total Kg]],0)</f>
        <v>0</v>
      </c>
      <c r="V953" s="322" cm="1">
        <f t="array" ref="V953">IFERROR(VLOOKUP(Calculations[[#This Row],[Waste 1]],WasteScenario[#All],4,FALSE)*'Stage assumptions'!$C$223*WasteTransportMethod[Emissions Factor
kgCO2e/kg.km]*Calculations[[#This Row],[Total Kg]],0)</f>
        <v>0</v>
      </c>
      <c r="W953" s="322" cm="1">
        <f t="array" ref="W953">IFERROR(VLOOKUP(Calculations[[#This Row],[Waste 1]],WasteScenario[#All],5,FALSE)*'Stage assumptions'!$C$226*WasteTransportMethod[Emissions Factor
kgCO2e/kg.km]*Calculations[[#This Row],[Total Kg]],0)</f>
        <v>0</v>
      </c>
      <c r="X953" s="322">
        <f>SUM(Calculations[[#This Row],[C2 Recycle]:[C2 Reuse]])</f>
        <v>0</v>
      </c>
      <c r="Y953" t="str">
        <f>IFERROR(VLOOKUP(Calculations[[#This Row],[Material (choose from dropdown]],MaterialData[#All],5,FALSE),"")</f>
        <v/>
      </c>
      <c r="Z953" s="322">
        <f>IFERROR(((VLOOKUP(Calculations[[#This Row],[Waste type 2]],WasteDisposalEmissions[#All],2,FALSE))*Calculations[[#This Row],[Total Kg]])*VLOOKUP(Calculations[[#This Row],[Waste 1]],WasteScenario[#All],2,FALSE),0)</f>
        <v>0</v>
      </c>
      <c r="AA953" s="322">
        <f>IFERROR((VLOOKUP(Calculations[[#This Row],[Waste type 2]],WasteDisposalEmissions[#All],3,FALSE))*Calculations[[#This Row],[Total Kg]]*VLOOKUP(Calculations[[#This Row],[Waste 1]],WasteScenario[#All],3,FALSE),0)</f>
        <v>0</v>
      </c>
      <c r="AB953" s="322">
        <f>SUM(Calculations[[#This Row],[C3 recyc]:[C3 incin]])</f>
        <v>0</v>
      </c>
      <c r="AC953" s="334">
        <f>IFERROR((VLOOKUP(Calculations[[#This Row],[Waste type 2]],WasteLandfillEmissions[#All],2,FALSE))*Calculations[[#This Row],[Total Kg]]*VLOOKUP(Calculations[[#This Row],[Waste 1]],WasteScenario[#All],4,FALSE),0)</f>
        <v>0</v>
      </c>
      <c r="AD953" s="322">
        <f>IFERROR((VLOOKUP(Calculations[[#This Row],[Waste type 2]],WasteLandfillEmissions[#All],3,FALSE))*Calculations[[#This Row],[Total Kg]]*VLOOKUP(Calculations[[#This Row],[Waste 1]],WasteScenario[#All],4,FALSE),0)</f>
        <v>0</v>
      </c>
      <c r="AE953" s="322">
        <f>SUM(Calculations[[#This Row],[C4 landfill]:[C4 re-use]])</f>
        <v>0</v>
      </c>
      <c r="AF953" s="322">
        <f>IFERROR(VLOOKUP(Calculations[[#This Row],[Material (choose from dropdown]],MaterialData[#All],8,FALSE),0)</f>
        <v>0</v>
      </c>
      <c r="AG953" s="322">
        <f>IFERROR(Calculations[[#This Row],[Total Kg]]*Calculations[[#This Row],[Seq factor]],0)</f>
        <v>0</v>
      </c>
      <c r="AI953" s="322">
        <f>Calculations[[#This Row],[A1-3]]+Calculations[[#This Row],[A4]]+Calculations[[#This Row],[A5]]+Calculations[[#This Row],[B4]]+Calculations[[#This Row],[C2 total]]+Calculations[[#This Row],[C3 total]]+Calculations[[#This Row],[C4 total]]</f>
        <v>0</v>
      </c>
      <c r="AJ953" s="2">
        <f>IFERROR(VLOOKUP(Calculations[[#This Row],[Material (choose from dropdown]],MaterialData[[#Headers],[#Data]],9,FALSE),0)</f>
        <v>0</v>
      </c>
      <c r="AK953" s="4">
        <f>IFERROR(VLOOKUP(Calculations[[#This Row],[Material (choose from dropdown]],MaterialData[[#Headers],[#Data]],10,FALSE),0)</f>
        <v>0</v>
      </c>
      <c r="AL953" s="322">
        <f>IFERROR(Calculations[[#This Row],[Data Quality Score]]*Calculations[[#This Row],[Total Kg]],0)</f>
        <v>0</v>
      </c>
    </row>
    <row r="954" spans="1:38" x14ac:dyDescent="0.3">
      <c r="A954" s="6">
        <f>IFERROR(MaterialsBoQ[[#This Row],[Scope Element]],0)</f>
        <v>0</v>
      </c>
      <c r="B954" t="str">
        <f>IFERROR(MaterialsBoQ[[#This Row],[Material ]],"")</f>
        <v/>
      </c>
      <c r="C954" t="str">
        <f>IFERROR(MaterialsBoQ[[#This Row],[Unit]],"")</f>
        <v/>
      </c>
      <c r="D954" s="322">
        <f>IFERROR(MaterialsBoQ[[#This Row],[Number]],0)</f>
        <v>0</v>
      </c>
      <c r="E954" s="322">
        <f>IFERROR(MaterialsBoQ[[#This Row],[Kg per unit]],0)</f>
        <v>0</v>
      </c>
      <c r="F954" s="322">
        <f>IFERROR(Calculations[[#This Row],[Number]]*Calculations[[#This Row],[Conversion factor]],0)</f>
        <v>0</v>
      </c>
      <c r="G954" s="322">
        <f>IFERROR(VLOOKUP(Calculations[[#This Row],[Material (choose from dropdown]],MaterialData[#All],7,FALSE),0)</f>
        <v>0</v>
      </c>
      <c r="H954" s="322">
        <f>Calculations[[#This Row],[Total Kg]]*Calculations[[#This Row],[Carbon Factor]]</f>
        <v>0</v>
      </c>
      <c r="I954" t="str">
        <f>IFERROR(VLOOKUP(Calculations[[#This Row],[Material (choose from dropdown]],MaterialData[#All],2,FALSE),"")</f>
        <v/>
      </c>
      <c r="J954" s="322">
        <f>IFERROR(((VLOOKUP(Calculations[[#This Row],[TransportSource]],TransportDistance[],2,FALSE)*'Stage assumptions'!$C$11)+VLOOKUP(Calculations[[#This Row],[TransportSource]],TransportDistance[],3,FALSE)*'Stage assumptions'!$C$12)*Calculations[[#This Row],[Total Kg]],0)</f>
        <v>0</v>
      </c>
      <c r="K954">
        <f>IFERROR(VLOOKUP(Calculations[[#This Row],[Material (choose from dropdown]], MaterialData[#All],3, FALSE),0)</f>
        <v>0</v>
      </c>
      <c r="L954" s="322">
        <f>IFERROR(VLOOKUP(Calculations[[#This Row],[A5type]],A5WastageRate[#All],2,FALSE)*Calculations[[#This Row],[A1-3]],0)</f>
        <v>0</v>
      </c>
      <c r="N954">
        <f>IFERROR(ROUNDUP(50/VLOOKUP(Calculations[[#This Row],[Scope Element]],B4referenceServiceLife[[Tier 2 element]:[Default Service Life]],2, FALSE)-1,0),0)</f>
        <v>0</v>
      </c>
      <c r="O954" s="322">
        <f>IFERROR((Calculations[[#This Row],[A1-3]]+Calculations[[#This Row],[A4]]+Calculations[[#This Row],[A5]]+Calculations[[#This Row],[C2 total]]+Calculations[[#This Row],[C3 total]]+Calculations[[#This Row],[C4 total]])*Calculations[[#This Row],[Replacements]],0)</f>
        <v>0</v>
      </c>
      <c r="S954" t="str">
        <f>IFERROR(VLOOKUP(Calculations[[#This Row],[Material (choose from dropdown]],MaterialData[#All],4,FALSE),"")</f>
        <v/>
      </c>
      <c r="T954" s="322" cm="1">
        <f t="array" ref="T954">IFERROR(VLOOKUP(Calculations[[#This Row],[Waste 1]],WasteScenario[#All],2,FALSE)*'Stage assumptions'!$C$225*WasteTransportMethod[Emissions Factor
kgCO2e/kg.km]*Calculations[[#This Row],[Total Kg]],0)</f>
        <v>0</v>
      </c>
      <c r="U954" s="322" cm="1">
        <f t="array" ref="U954">IFERROR(VLOOKUP(Calculations[[#This Row],[Waste 1]],WasteScenario[#All],3,FALSE)*'Stage assumptions'!$C$224*WasteTransportMethod[Emissions Factor
kgCO2e/kg.km]*Calculations[[#This Row],[Total Kg]],0)</f>
        <v>0</v>
      </c>
      <c r="V954" s="322" cm="1">
        <f t="array" ref="V954">IFERROR(VLOOKUP(Calculations[[#This Row],[Waste 1]],WasteScenario[#All],4,FALSE)*'Stage assumptions'!$C$223*WasteTransportMethod[Emissions Factor
kgCO2e/kg.km]*Calculations[[#This Row],[Total Kg]],0)</f>
        <v>0</v>
      </c>
      <c r="W954" s="322" cm="1">
        <f t="array" ref="W954">IFERROR(VLOOKUP(Calculations[[#This Row],[Waste 1]],WasteScenario[#All],5,FALSE)*'Stage assumptions'!$C$226*WasteTransportMethod[Emissions Factor
kgCO2e/kg.km]*Calculations[[#This Row],[Total Kg]],0)</f>
        <v>0</v>
      </c>
      <c r="X954" s="322">
        <f>SUM(Calculations[[#This Row],[C2 Recycle]:[C2 Reuse]])</f>
        <v>0</v>
      </c>
      <c r="Y954" t="str">
        <f>IFERROR(VLOOKUP(Calculations[[#This Row],[Material (choose from dropdown]],MaterialData[#All],5,FALSE),"")</f>
        <v/>
      </c>
      <c r="Z954" s="322">
        <f>IFERROR(((VLOOKUP(Calculations[[#This Row],[Waste type 2]],WasteDisposalEmissions[#All],2,FALSE))*Calculations[[#This Row],[Total Kg]])*VLOOKUP(Calculations[[#This Row],[Waste 1]],WasteScenario[#All],2,FALSE),0)</f>
        <v>0</v>
      </c>
      <c r="AA954" s="322">
        <f>IFERROR((VLOOKUP(Calculations[[#This Row],[Waste type 2]],WasteDisposalEmissions[#All],3,FALSE))*Calculations[[#This Row],[Total Kg]]*VLOOKUP(Calculations[[#This Row],[Waste 1]],WasteScenario[#All],3,FALSE),0)</f>
        <v>0</v>
      </c>
      <c r="AB954" s="322">
        <f>SUM(Calculations[[#This Row],[C3 recyc]:[C3 incin]])</f>
        <v>0</v>
      </c>
      <c r="AC954" s="334">
        <f>IFERROR((VLOOKUP(Calculations[[#This Row],[Waste type 2]],WasteLandfillEmissions[#All],2,FALSE))*Calculations[[#This Row],[Total Kg]]*VLOOKUP(Calculations[[#This Row],[Waste 1]],WasteScenario[#All],4,FALSE),0)</f>
        <v>0</v>
      </c>
      <c r="AD954" s="322">
        <f>IFERROR((VLOOKUP(Calculations[[#This Row],[Waste type 2]],WasteLandfillEmissions[#All],3,FALSE))*Calculations[[#This Row],[Total Kg]]*VLOOKUP(Calculations[[#This Row],[Waste 1]],WasteScenario[#All],4,FALSE),0)</f>
        <v>0</v>
      </c>
      <c r="AE954" s="322">
        <f>SUM(Calculations[[#This Row],[C4 landfill]:[C4 re-use]])</f>
        <v>0</v>
      </c>
      <c r="AF954" s="322">
        <f>IFERROR(VLOOKUP(Calculations[[#This Row],[Material (choose from dropdown]],MaterialData[#All],8,FALSE),0)</f>
        <v>0</v>
      </c>
      <c r="AG954" s="322">
        <f>IFERROR(Calculations[[#This Row],[Total Kg]]*Calculations[[#This Row],[Seq factor]],0)</f>
        <v>0</v>
      </c>
      <c r="AI954" s="322">
        <f>Calculations[[#This Row],[A1-3]]+Calculations[[#This Row],[A4]]+Calculations[[#This Row],[A5]]+Calculations[[#This Row],[B4]]+Calculations[[#This Row],[C2 total]]+Calculations[[#This Row],[C3 total]]+Calculations[[#This Row],[C4 total]]</f>
        <v>0</v>
      </c>
      <c r="AJ954" s="2">
        <f>IFERROR(VLOOKUP(Calculations[[#This Row],[Material (choose from dropdown]],MaterialData[[#Headers],[#Data]],9,FALSE),0)</f>
        <v>0</v>
      </c>
      <c r="AK954" s="4">
        <f>IFERROR(VLOOKUP(Calculations[[#This Row],[Material (choose from dropdown]],MaterialData[[#Headers],[#Data]],10,FALSE),0)</f>
        <v>0</v>
      </c>
      <c r="AL954" s="322">
        <f>IFERROR(Calculations[[#This Row],[Data Quality Score]]*Calculations[[#This Row],[Total Kg]],0)</f>
        <v>0</v>
      </c>
    </row>
    <row r="955" spans="1:38" x14ac:dyDescent="0.3">
      <c r="A955" s="6">
        <f>IFERROR(MaterialsBoQ[[#This Row],[Scope Element]],0)</f>
        <v>0</v>
      </c>
      <c r="B955" t="str">
        <f>IFERROR(MaterialsBoQ[[#This Row],[Material ]],"")</f>
        <v/>
      </c>
      <c r="C955" t="str">
        <f>IFERROR(MaterialsBoQ[[#This Row],[Unit]],"")</f>
        <v/>
      </c>
      <c r="D955" s="322">
        <f>IFERROR(MaterialsBoQ[[#This Row],[Number]],0)</f>
        <v>0</v>
      </c>
      <c r="E955" s="322">
        <f>IFERROR(MaterialsBoQ[[#This Row],[Kg per unit]],0)</f>
        <v>0</v>
      </c>
      <c r="F955" s="322">
        <f>IFERROR(Calculations[[#This Row],[Number]]*Calculations[[#This Row],[Conversion factor]],0)</f>
        <v>0</v>
      </c>
      <c r="G955" s="322">
        <f>IFERROR(VLOOKUP(Calculations[[#This Row],[Material (choose from dropdown]],MaterialData[#All],7,FALSE),0)</f>
        <v>0</v>
      </c>
      <c r="H955" s="322">
        <f>Calculations[[#This Row],[Total Kg]]*Calculations[[#This Row],[Carbon Factor]]</f>
        <v>0</v>
      </c>
      <c r="I955" t="str">
        <f>IFERROR(VLOOKUP(Calculations[[#This Row],[Material (choose from dropdown]],MaterialData[#All],2,FALSE),"")</f>
        <v/>
      </c>
      <c r="J955" s="322">
        <f>IFERROR(((VLOOKUP(Calculations[[#This Row],[TransportSource]],TransportDistance[],2,FALSE)*'Stage assumptions'!$C$11)+VLOOKUP(Calculations[[#This Row],[TransportSource]],TransportDistance[],3,FALSE)*'Stage assumptions'!$C$12)*Calculations[[#This Row],[Total Kg]],0)</f>
        <v>0</v>
      </c>
      <c r="K955">
        <f>IFERROR(VLOOKUP(Calculations[[#This Row],[Material (choose from dropdown]], MaterialData[#All],3, FALSE),0)</f>
        <v>0</v>
      </c>
      <c r="L955" s="322">
        <f>IFERROR(VLOOKUP(Calculations[[#This Row],[A5type]],A5WastageRate[#All],2,FALSE)*Calculations[[#This Row],[A1-3]],0)</f>
        <v>0</v>
      </c>
      <c r="N955">
        <f>IFERROR(ROUNDUP(50/VLOOKUP(Calculations[[#This Row],[Scope Element]],B4referenceServiceLife[[Tier 2 element]:[Default Service Life]],2, FALSE)-1,0),0)</f>
        <v>0</v>
      </c>
      <c r="O955" s="322">
        <f>IFERROR((Calculations[[#This Row],[A1-3]]+Calculations[[#This Row],[A4]]+Calculations[[#This Row],[A5]]+Calculations[[#This Row],[C2 total]]+Calculations[[#This Row],[C3 total]]+Calculations[[#This Row],[C4 total]])*Calculations[[#This Row],[Replacements]],0)</f>
        <v>0</v>
      </c>
      <c r="S955" t="str">
        <f>IFERROR(VLOOKUP(Calculations[[#This Row],[Material (choose from dropdown]],MaterialData[#All],4,FALSE),"")</f>
        <v/>
      </c>
      <c r="T955" s="322" cm="1">
        <f t="array" ref="T955">IFERROR(VLOOKUP(Calculations[[#This Row],[Waste 1]],WasteScenario[#All],2,FALSE)*'Stage assumptions'!$C$225*WasteTransportMethod[Emissions Factor
kgCO2e/kg.km]*Calculations[[#This Row],[Total Kg]],0)</f>
        <v>0</v>
      </c>
      <c r="U955" s="322" cm="1">
        <f t="array" ref="U955">IFERROR(VLOOKUP(Calculations[[#This Row],[Waste 1]],WasteScenario[#All],3,FALSE)*'Stage assumptions'!$C$224*WasteTransportMethod[Emissions Factor
kgCO2e/kg.km]*Calculations[[#This Row],[Total Kg]],0)</f>
        <v>0</v>
      </c>
      <c r="V955" s="322" cm="1">
        <f t="array" ref="V955">IFERROR(VLOOKUP(Calculations[[#This Row],[Waste 1]],WasteScenario[#All],4,FALSE)*'Stage assumptions'!$C$223*WasteTransportMethod[Emissions Factor
kgCO2e/kg.km]*Calculations[[#This Row],[Total Kg]],0)</f>
        <v>0</v>
      </c>
      <c r="W955" s="322" cm="1">
        <f t="array" ref="W955">IFERROR(VLOOKUP(Calculations[[#This Row],[Waste 1]],WasteScenario[#All],5,FALSE)*'Stage assumptions'!$C$226*WasteTransportMethod[Emissions Factor
kgCO2e/kg.km]*Calculations[[#This Row],[Total Kg]],0)</f>
        <v>0</v>
      </c>
      <c r="X955" s="322">
        <f>SUM(Calculations[[#This Row],[C2 Recycle]:[C2 Reuse]])</f>
        <v>0</v>
      </c>
      <c r="Y955" t="str">
        <f>IFERROR(VLOOKUP(Calculations[[#This Row],[Material (choose from dropdown]],MaterialData[#All],5,FALSE),"")</f>
        <v/>
      </c>
      <c r="Z955" s="322">
        <f>IFERROR(((VLOOKUP(Calculations[[#This Row],[Waste type 2]],WasteDisposalEmissions[#All],2,FALSE))*Calculations[[#This Row],[Total Kg]])*VLOOKUP(Calculations[[#This Row],[Waste 1]],WasteScenario[#All],2,FALSE),0)</f>
        <v>0</v>
      </c>
      <c r="AA955" s="322">
        <f>IFERROR((VLOOKUP(Calculations[[#This Row],[Waste type 2]],WasteDisposalEmissions[#All],3,FALSE))*Calculations[[#This Row],[Total Kg]]*VLOOKUP(Calculations[[#This Row],[Waste 1]],WasteScenario[#All],3,FALSE),0)</f>
        <v>0</v>
      </c>
      <c r="AB955" s="322">
        <f>SUM(Calculations[[#This Row],[C3 recyc]:[C3 incin]])</f>
        <v>0</v>
      </c>
      <c r="AC955" s="334">
        <f>IFERROR((VLOOKUP(Calculations[[#This Row],[Waste type 2]],WasteLandfillEmissions[#All],2,FALSE))*Calculations[[#This Row],[Total Kg]]*VLOOKUP(Calculations[[#This Row],[Waste 1]],WasteScenario[#All],4,FALSE),0)</f>
        <v>0</v>
      </c>
      <c r="AD955" s="322">
        <f>IFERROR((VLOOKUP(Calculations[[#This Row],[Waste type 2]],WasteLandfillEmissions[#All],3,FALSE))*Calculations[[#This Row],[Total Kg]]*VLOOKUP(Calculations[[#This Row],[Waste 1]],WasteScenario[#All],4,FALSE),0)</f>
        <v>0</v>
      </c>
      <c r="AE955" s="322">
        <f>SUM(Calculations[[#This Row],[C4 landfill]:[C4 re-use]])</f>
        <v>0</v>
      </c>
      <c r="AF955" s="322">
        <f>IFERROR(VLOOKUP(Calculations[[#This Row],[Material (choose from dropdown]],MaterialData[#All],8,FALSE),0)</f>
        <v>0</v>
      </c>
      <c r="AG955" s="322">
        <f>IFERROR(Calculations[[#This Row],[Total Kg]]*Calculations[[#This Row],[Seq factor]],0)</f>
        <v>0</v>
      </c>
      <c r="AI955" s="322">
        <f>Calculations[[#This Row],[A1-3]]+Calculations[[#This Row],[A4]]+Calculations[[#This Row],[A5]]+Calculations[[#This Row],[B4]]+Calculations[[#This Row],[C2 total]]+Calculations[[#This Row],[C3 total]]+Calculations[[#This Row],[C4 total]]</f>
        <v>0</v>
      </c>
      <c r="AJ955" s="2">
        <f>IFERROR(VLOOKUP(Calculations[[#This Row],[Material (choose from dropdown]],MaterialData[[#Headers],[#Data]],9,FALSE),0)</f>
        <v>0</v>
      </c>
      <c r="AK955" s="4">
        <f>IFERROR(VLOOKUP(Calculations[[#This Row],[Material (choose from dropdown]],MaterialData[[#Headers],[#Data]],10,FALSE),0)</f>
        <v>0</v>
      </c>
      <c r="AL955" s="322">
        <f>IFERROR(Calculations[[#This Row],[Data Quality Score]]*Calculations[[#This Row],[Total Kg]],0)</f>
        <v>0</v>
      </c>
    </row>
    <row r="956" spans="1:38" x14ac:dyDescent="0.3">
      <c r="A956" s="6">
        <f>IFERROR(MaterialsBoQ[[#This Row],[Scope Element]],0)</f>
        <v>0</v>
      </c>
      <c r="B956" t="str">
        <f>IFERROR(MaterialsBoQ[[#This Row],[Material ]],"")</f>
        <v/>
      </c>
      <c r="C956" t="str">
        <f>IFERROR(MaterialsBoQ[[#This Row],[Unit]],"")</f>
        <v/>
      </c>
      <c r="D956" s="322">
        <f>IFERROR(MaterialsBoQ[[#This Row],[Number]],0)</f>
        <v>0</v>
      </c>
      <c r="E956" s="322">
        <f>IFERROR(MaterialsBoQ[[#This Row],[Kg per unit]],0)</f>
        <v>0</v>
      </c>
      <c r="F956" s="322">
        <f>IFERROR(Calculations[[#This Row],[Number]]*Calculations[[#This Row],[Conversion factor]],0)</f>
        <v>0</v>
      </c>
      <c r="G956" s="322">
        <f>IFERROR(VLOOKUP(Calculations[[#This Row],[Material (choose from dropdown]],MaterialData[#All],7,FALSE),0)</f>
        <v>0</v>
      </c>
      <c r="H956" s="322">
        <f>Calculations[[#This Row],[Total Kg]]*Calculations[[#This Row],[Carbon Factor]]</f>
        <v>0</v>
      </c>
      <c r="I956" t="str">
        <f>IFERROR(VLOOKUP(Calculations[[#This Row],[Material (choose from dropdown]],MaterialData[#All],2,FALSE),"")</f>
        <v/>
      </c>
      <c r="J956" s="322">
        <f>IFERROR(((VLOOKUP(Calculations[[#This Row],[TransportSource]],TransportDistance[],2,FALSE)*'Stage assumptions'!$C$11)+VLOOKUP(Calculations[[#This Row],[TransportSource]],TransportDistance[],3,FALSE)*'Stage assumptions'!$C$12)*Calculations[[#This Row],[Total Kg]],0)</f>
        <v>0</v>
      </c>
      <c r="K956">
        <f>IFERROR(VLOOKUP(Calculations[[#This Row],[Material (choose from dropdown]], MaterialData[#All],3, FALSE),0)</f>
        <v>0</v>
      </c>
      <c r="L956" s="322">
        <f>IFERROR(VLOOKUP(Calculations[[#This Row],[A5type]],A5WastageRate[#All],2,FALSE)*Calculations[[#This Row],[A1-3]],0)</f>
        <v>0</v>
      </c>
      <c r="N956">
        <f>IFERROR(ROUNDUP(50/VLOOKUP(Calculations[[#This Row],[Scope Element]],B4referenceServiceLife[[Tier 2 element]:[Default Service Life]],2, FALSE)-1,0),0)</f>
        <v>0</v>
      </c>
      <c r="O956" s="322">
        <f>IFERROR((Calculations[[#This Row],[A1-3]]+Calculations[[#This Row],[A4]]+Calculations[[#This Row],[A5]]+Calculations[[#This Row],[C2 total]]+Calculations[[#This Row],[C3 total]]+Calculations[[#This Row],[C4 total]])*Calculations[[#This Row],[Replacements]],0)</f>
        <v>0</v>
      </c>
      <c r="S956" t="str">
        <f>IFERROR(VLOOKUP(Calculations[[#This Row],[Material (choose from dropdown]],MaterialData[#All],4,FALSE),"")</f>
        <v/>
      </c>
      <c r="T956" s="322" cm="1">
        <f t="array" ref="T956">IFERROR(VLOOKUP(Calculations[[#This Row],[Waste 1]],WasteScenario[#All],2,FALSE)*'Stage assumptions'!$C$225*WasteTransportMethod[Emissions Factor
kgCO2e/kg.km]*Calculations[[#This Row],[Total Kg]],0)</f>
        <v>0</v>
      </c>
      <c r="U956" s="322" cm="1">
        <f t="array" ref="U956">IFERROR(VLOOKUP(Calculations[[#This Row],[Waste 1]],WasteScenario[#All],3,FALSE)*'Stage assumptions'!$C$224*WasteTransportMethod[Emissions Factor
kgCO2e/kg.km]*Calculations[[#This Row],[Total Kg]],0)</f>
        <v>0</v>
      </c>
      <c r="V956" s="322" cm="1">
        <f t="array" ref="V956">IFERROR(VLOOKUP(Calculations[[#This Row],[Waste 1]],WasteScenario[#All],4,FALSE)*'Stage assumptions'!$C$223*WasteTransportMethod[Emissions Factor
kgCO2e/kg.km]*Calculations[[#This Row],[Total Kg]],0)</f>
        <v>0</v>
      </c>
      <c r="W956" s="322" cm="1">
        <f t="array" ref="W956">IFERROR(VLOOKUP(Calculations[[#This Row],[Waste 1]],WasteScenario[#All],5,FALSE)*'Stage assumptions'!$C$226*WasteTransportMethod[Emissions Factor
kgCO2e/kg.km]*Calculations[[#This Row],[Total Kg]],0)</f>
        <v>0</v>
      </c>
      <c r="X956" s="322">
        <f>SUM(Calculations[[#This Row],[C2 Recycle]:[C2 Reuse]])</f>
        <v>0</v>
      </c>
      <c r="Y956" t="str">
        <f>IFERROR(VLOOKUP(Calculations[[#This Row],[Material (choose from dropdown]],MaterialData[#All],5,FALSE),"")</f>
        <v/>
      </c>
      <c r="Z956" s="322">
        <f>IFERROR(((VLOOKUP(Calculations[[#This Row],[Waste type 2]],WasteDisposalEmissions[#All],2,FALSE))*Calculations[[#This Row],[Total Kg]])*VLOOKUP(Calculations[[#This Row],[Waste 1]],WasteScenario[#All],2,FALSE),0)</f>
        <v>0</v>
      </c>
      <c r="AA956" s="322">
        <f>IFERROR((VLOOKUP(Calculations[[#This Row],[Waste type 2]],WasteDisposalEmissions[#All],3,FALSE))*Calculations[[#This Row],[Total Kg]]*VLOOKUP(Calculations[[#This Row],[Waste 1]],WasteScenario[#All],3,FALSE),0)</f>
        <v>0</v>
      </c>
      <c r="AB956" s="322">
        <f>SUM(Calculations[[#This Row],[C3 recyc]:[C3 incin]])</f>
        <v>0</v>
      </c>
      <c r="AC956" s="334">
        <f>IFERROR((VLOOKUP(Calculations[[#This Row],[Waste type 2]],WasteLandfillEmissions[#All],2,FALSE))*Calculations[[#This Row],[Total Kg]]*VLOOKUP(Calculations[[#This Row],[Waste 1]],WasteScenario[#All],4,FALSE),0)</f>
        <v>0</v>
      </c>
      <c r="AD956" s="322">
        <f>IFERROR((VLOOKUP(Calculations[[#This Row],[Waste type 2]],WasteLandfillEmissions[#All],3,FALSE))*Calculations[[#This Row],[Total Kg]]*VLOOKUP(Calculations[[#This Row],[Waste 1]],WasteScenario[#All],4,FALSE),0)</f>
        <v>0</v>
      </c>
      <c r="AE956" s="322">
        <f>SUM(Calculations[[#This Row],[C4 landfill]:[C4 re-use]])</f>
        <v>0</v>
      </c>
      <c r="AF956" s="322">
        <f>IFERROR(VLOOKUP(Calculations[[#This Row],[Material (choose from dropdown]],MaterialData[#All],8,FALSE),0)</f>
        <v>0</v>
      </c>
      <c r="AG956" s="322">
        <f>IFERROR(Calculations[[#This Row],[Total Kg]]*Calculations[[#This Row],[Seq factor]],0)</f>
        <v>0</v>
      </c>
      <c r="AI956" s="322">
        <f>Calculations[[#This Row],[A1-3]]+Calculations[[#This Row],[A4]]+Calculations[[#This Row],[A5]]+Calculations[[#This Row],[B4]]+Calculations[[#This Row],[C2 total]]+Calculations[[#This Row],[C3 total]]+Calculations[[#This Row],[C4 total]]</f>
        <v>0</v>
      </c>
      <c r="AJ956" s="2">
        <f>IFERROR(VLOOKUP(Calculations[[#This Row],[Material (choose from dropdown]],MaterialData[[#Headers],[#Data]],9,FALSE),0)</f>
        <v>0</v>
      </c>
      <c r="AK956" s="4">
        <f>IFERROR(VLOOKUP(Calculations[[#This Row],[Material (choose from dropdown]],MaterialData[[#Headers],[#Data]],10,FALSE),0)</f>
        <v>0</v>
      </c>
      <c r="AL956" s="322">
        <f>IFERROR(Calculations[[#This Row],[Data Quality Score]]*Calculations[[#This Row],[Total Kg]],0)</f>
        <v>0</v>
      </c>
    </row>
    <row r="957" spans="1:38" x14ac:dyDescent="0.3">
      <c r="A957" s="6">
        <f>IFERROR(MaterialsBoQ[[#This Row],[Scope Element]],0)</f>
        <v>0</v>
      </c>
      <c r="B957" t="str">
        <f>IFERROR(MaterialsBoQ[[#This Row],[Material ]],"")</f>
        <v/>
      </c>
      <c r="C957" t="str">
        <f>IFERROR(MaterialsBoQ[[#This Row],[Unit]],"")</f>
        <v/>
      </c>
      <c r="D957" s="322">
        <f>IFERROR(MaterialsBoQ[[#This Row],[Number]],0)</f>
        <v>0</v>
      </c>
      <c r="E957" s="322">
        <f>IFERROR(MaterialsBoQ[[#This Row],[Kg per unit]],0)</f>
        <v>0</v>
      </c>
      <c r="F957" s="322">
        <f>IFERROR(Calculations[[#This Row],[Number]]*Calculations[[#This Row],[Conversion factor]],0)</f>
        <v>0</v>
      </c>
      <c r="G957" s="322">
        <f>IFERROR(VLOOKUP(Calculations[[#This Row],[Material (choose from dropdown]],MaterialData[#All],7,FALSE),0)</f>
        <v>0</v>
      </c>
      <c r="H957" s="322">
        <f>Calculations[[#This Row],[Total Kg]]*Calculations[[#This Row],[Carbon Factor]]</f>
        <v>0</v>
      </c>
      <c r="I957" t="str">
        <f>IFERROR(VLOOKUP(Calculations[[#This Row],[Material (choose from dropdown]],MaterialData[#All],2,FALSE),"")</f>
        <v/>
      </c>
      <c r="J957" s="322">
        <f>IFERROR(((VLOOKUP(Calculations[[#This Row],[TransportSource]],TransportDistance[],2,FALSE)*'Stage assumptions'!$C$11)+VLOOKUP(Calculations[[#This Row],[TransportSource]],TransportDistance[],3,FALSE)*'Stage assumptions'!$C$12)*Calculations[[#This Row],[Total Kg]],0)</f>
        <v>0</v>
      </c>
      <c r="K957">
        <f>IFERROR(VLOOKUP(Calculations[[#This Row],[Material (choose from dropdown]], MaterialData[#All],3, FALSE),0)</f>
        <v>0</v>
      </c>
      <c r="L957" s="322">
        <f>IFERROR(VLOOKUP(Calculations[[#This Row],[A5type]],A5WastageRate[#All],2,FALSE)*Calculations[[#This Row],[A1-3]],0)</f>
        <v>0</v>
      </c>
      <c r="N957">
        <f>IFERROR(ROUNDUP(50/VLOOKUP(Calculations[[#This Row],[Scope Element]],B4referenceServiceLife[[Tier 2 element]:[Default Service Life]],2, FALSE)-1,0),0)</f>
        <v>0</v>
      </c>
      <c r="O957" s="322">
        <f>IFERROR((Calculations[[#This Row],[A1-3]]+Calculations[[#This Row],[A4]]+Calculations[[#This Row],[A5]]+Calculations[[#This Row],[C2 total]]+Calculations[[#This Row],[C3 total]]+Calculations[[#This Row],[C4 total]])*Calculations[[#This Row],[Replacements]],0)</f>
        <v>0</v>
      </c>
      <c r="S957" t="str">
        <f>IFERROR(VLOOKUP(Calculations[[#This Row],[Material (choose from dropdown]],MaterialData[#All],4,FALSE),"")</f>
        <v/>
      </c>
      <c r="T957" s="322" cm="1">
        <f t="array" ref="T957">IFERROR(VLOOKUP(Calculations[[#This Row],[Waste 1]],WasteScenario[#All],2,FALSE)*'Stage assumptions'!$C$225*WasteTransportMethod[Emissions Factor
kgCO2e/kg.km]*Calculations[[#This Row],[Total Kg]],0)</f>
        <v>0</v>
      </c>
      <c r="U957" s="322" cm="1">
        <f t="array" ref="U957">IFERROR(VLOOKUP(Calculations[[#This Row],[Waste 1]],WasteScenario[#All],3,FALSE)*'Stage assumptions'!$C$224*WasteTransportMethod[Emissions Factor
kgCO2e/kg.km]*Calculations[[#This Row],[Total Kg]],0)</f>
        <v>0</v>
      </c>
      <c r="V957" s="322" cm="1">
        <f t="array" ref="V957">IFERROR(VLOOKUP(Calculations[[#This Row],[Waste 1]],WasteScenario[#All],4,FALSE)*'Stage assumptions'!$C$223*WasteTransportMethod[Emissions Factor
kgCO2e/kg.km]*Calculations[[#This Row],[Total Kg]],0)</f>
        <v>0</v>
      </c>
      <c r="W957" s="322" cm="1">
        <f t="array" ref="W957">IFERROR(VLOOKUP(Calculations[[#This Row],[Waste 1]],WasteScenario[#All],5,FALSE)*'Stage assumptions'!$C$226*WasteTransportMethod[Emissions Factor
kgCO2e/kg.km]*Calculations[[#This Row],[Total Kg]],0)</f>
        <v>0</v>
      </c>
      <c r="X957" s="322">
        <f>SUM(Calculations[[#This Row],[C2 Recycle]:[C2 Reuse]])</f>
        <v>0</v>
      </c>
      <c r="Y957" t="str">
        <f>IFERROR(VLOOKUP(Calculations[[#This Row],[Material (choose from dropdown]],MaterialData[#All],5,FALSE),"")</f>
        <v/>
      </c>
      <c r="Z957" s="322">
        <f>IFERROR(((VLOOKUP(Calculations[[#This Row],[Waste type 2]],WasteDisposalEmissions[#All],2,FALSE))*Calculations[[#This Row],[Total Kg]])*VLOOKUP(Calculations[[#This Row],[Waste 1]],WasteScenario[#All],2,FALSE),0)</f>
        <v>0</v>
      </c>
      <c r="AA957" s="322">
        <f>IFERROR((VLOOKUP(Calculations[[#This Row],[Waste type 2]],WasteDisposalEmissions[#All],3,FALSE))*Calculations[[#This Row],[Total Kg]]*VLOOKUP(Calculations[[#This Row],[Waste 1]],WasteScenario[#All],3,FALSE),0)</f>
        <v>0</v>
      </c>
      <c r="AB957" s="322">
        <f>SUM(Calculations[[#This Row],[C3 recyc]:[C3 incin]])</f>
        <v>0</v>
      </c>
      <c r="AC957" s="334">
        <f>IFERROR((VLOOKUP(Calculations[[#This Row],[Waste type 2]],WasteLandfillEmissions[#All],2,FALSE))*Calculations[[#This Row],[Total Kg]]*VLOOKUP(Calculations[[#This Row],[Waste 1]],WasteScenario[#All],4,FALSE),0)</f>
        <v>0</v>
      </c>
      <c r="AD957" s="322">
        <f>IFERROR((VLOOKUP(Calculations[[#This Row],[Waste type 2]],WasteLandfillEmissions[#All],3,FALSE))*Calculations[[#This Row],[Total Kg]]*VLOOKUP(Calculations[[#This Row],[Waste 1]],WasteScenario[#All],4,FALSE),0)</f>
        <v>0</v>
      </c>
      <c r="AE957" s="322">
        <f>SUM(Calculations[[#This Row],[C4 landfill]:[C4 re-use]])</f>
        <v>0</v>
      </c>
      <c r="AF957" s="322">
        <f>IFERROR(VLOOKUP(Calculations[[#This Row],[Material (choose from dropdown]],MaterialData[#All],8,FALSE),0)</f>
        <v>0</v>
      </c>
      <c r="AG957" s="322">
        <f>IFERROR(Calculations[[#This Row],[Total Kg]]*Calculations[[#This Row],[Seq factor]],0)</f>
        <v>0</v>
      </c>
      <c r="AI957" s="322">
        <f>Calculations[[#This Row],[A1-3]]+Calculations[[#This Row],[A4]]+Calculations[[#This Row],[A5]]+Calculations[[#This Row],[B4]]+Calculations[[#This Row],[C2 total]]+Calculations[[#This Row],[C3 total]]+Calculations[[#This Row],[C4 total]]</f>
        <v>0</v>
      </c>
      <c r="AJ957" s="2">
        <f>IFERROR(VLOOKUP(Calculations[[#This Row],[Material (choose from dropdown]],MaterialData[[#Headers],[#Data]],9,FALSE),0)</f>
        <v>0</v>
      </c>
      <c r="AK957" s="4">
        <f>IFERROR(VLOOKUP(Calculations[[#This Row],[Material (choose from dropdown]],MaterialData[[#Headers],[#Data]],10,FALSE),0)</f>
        <v>0</v>
      </c>
      <c r="AL957" s="322">
        <f>IFERROR(Calculations[[#This Row],[Data Quality Score]]*Calculations[[#This Row],[Total Kg]],0)</f>
        <v>0</v>
      </c>
    </row>
    <row r="958" spans="1:38" x14ac:dyDescent="0.3">
      <c r="A958" s="6">
        <f>IFERROR(MaterialsBoQ[[#This Row],[Scope Element]],0)</f>
        <v>0</v>
      </c>
      <c r="B958" t="str">
        <f>IFERROR(MaterialsBoQ[[#This Row],[Material ]],"")</f>
        <v/>
      </c>
      <c r="C958" t="str">
        <f>IFERROR(MaterialsBoQ[[#This Row],[Unit]],"")</f>
        <v/>
      </c>
      <c r="D958" s="322">
        <f>IFERROR(MaterialsBoQ[[#This Row],[Number]],0)</f>
        <v>0</v>
      </c>
      <c r="E958" s="322">
        <f>IFERROR(MaterialsBoQ[[#This Row],[Kg per unit]],0)</f>
        <v>0</v>
      </c>
      <c r="F958" s="322">
        <f>IFERROR(Calculations[[#This Row],[Number]]*Calculations[[#This Row],[Conversion factor]],0)</f>
        <v>0</v>
      </c>
      <c r="G958" s="322">
        <f>IFERROR(VLOOKUP(Calculations[[#This Row],[Material (choose from dropdown]],MaterialData[#All],7,FALSE),0)</f>
        <v>0</v>
      </c>
      <c r="H958" s="322">
        <f>Calculations[[#This Row],[Total Kg]]*Calculations[[#This Row],[Carbon Factor]]</f>
        <v>0</v>
      </c>
      <c r="I958" t="str">
        <f>IFERROR(VLOOKUP(Calculations[[#This Row],[Material (choose from dropdown]],MaterialData[#All],2,FALSE),"")</f>
        <v/>
      </c>
      <c r="J958" s="322">
        <f>IFERROR(((VLOOKUP(Calculations[[#This Row],[TransportSource]],TransportDistance[],2,FALSE)*'Stage assumptions'!$C$11)+VLOOKUP(Calculations[[#This Row],[TransportSource]],TransportDistance[],3,FALSE)*'Stage assumptions'!$C$12)*Calculations[[#This Row],[Total Kg]],0)</f>
        <v>0</v>
      </c>
      <c r="K958">
        <f>IFERROR(VLOOKUP(Calculations[[#This Row],[Material (choose from dropdown]], MaterialData[#All],3, FALSE),0)</f>
        <v>0</v>
      </c>
      <c r="L958" s="322">
        <f>IFERROR(VLOOKUP(Calculations[[#This Row],[A5type]],A5WastageRate[#All],2,FALSE)*Calculations[[#This Row],[A1-3]],0)</f>
        <v>0</v>
      </c>
      <c r="N958">
        <f>IFERROR(ROUNDUP(50/VLOOKUP(Calculations[[#This Row],[Scope Element]],B4referenceServiceLife[[Tier 2 element]:[Default Service Life]],2, FALSE)-1,0),0)</f>
        <v>0</v>
      </c>
      <c r="O958" s="322">
        <f>IFERROR((Calculations[[#This Row],[A1-3]]+Calculations[[#This Row],[A4]]+Calculations[[#This Row],[A5]]+Calculations[[#This Row],[C2 total]]+Calculations[[#This Row],[C3 total]]+Calculations[[#This Row],[C4 total]])*Calculations[[#This Row],[Replacements]],0)</f>
        <v>0</v>
      </c>
      <c r="S958" t="str">
        <f>IFERROR(VLOOKUP(Calculations[[#This Row],[Material (choose from dropdown]],MaterialData[#All],4,FALSE),"")</f>
        <v/>
      </c>
      <c r="T958" s="322" cm="1">
        <f t="array" ref="T958">IFERROR(VLOOKUP(Calculations[[#This Row],[Waste 1]],WasteScenario[#All],2,FALSE)*'Stage assumptions'!$C$225*WasteTransportMethod[Emissions Factor
kgCO2e/kg.km]*Calculations[[#This Row],[Total Kg]],0)</f>
        <v>0</v>
      </c>
      <c r="U958" s="322" cm="1">
        <f t="array" ref="U958">IFERROR(VLOOKUP(Calculations[[#This Row],[Waste 1]],WasteScenario[#All],3,FALSE)*'Stage assumptions'!$C$224*WasteTransportMethod[Emissions Factor
kgCO2e/kg.km]*Calculations[[#This Row],[Total Kg]],0)</f>
        <v>0</v>
      </c>
      <c r="V958" s="322" cm="1">
        <f t="array" ref="V958">IFERROR(VLOOKUP(Calculations[[#This Row],[Waste 1]],WasteScenario[#All],4,FALSE)*'Stage assumptions'!$C$223*WasteTransportMethod[Emissions Factor
kgCO2e/kg.km]*Calculations[[#This Row],[Total Kg]],0)</f>
        <v>0</v>
      </c>
      <c r="W958" s="322" cm="1">
        <f t="array" ref="W958">IFERROR(VLOOKUP(Calculations[[#This Row],[Waste 1]],WasteScenario[#All],5,FALSE)*'Stage assumptions'!$C$226*WasteTransportMethod[Emissions Factor
kgCO2e/kg.km]*Calculations[[#This Row],[Total Kg]],0)</f>
        <v>0</v>
      </c>
      <c r="X958" s="322">
        <f>SUM(Calculations[[#This Row],[C2 Recycle]:[C2 Reuse]])</f>
        <v>0</v>
      </c>
      <c r="Y958" t="str">
        <f>IFERROR(VLOOKUP(Calculations[[#This Row],[Material (choose from dropdown]],MaterialData[#All],5,FALSE),"")</f>
        <v/>
      </c>
      <c r="Z958" s="322">
        <f>IFERROR(((VLOOKUP(Calculations[[#This Row],[Waste type 2]],WasteDisposalEmissions[#All],2,FALSE))*Calculations[[#This Row],[Total Kg]])*VLOOKUP(Calculations[[#This Row],[Waste 1]],WasteScenario[#All],2,FALSE),0)</f>
        <v>0</v>
      </c>
      <c r="AA958" s="322">
        <f>IFERROR((VLOOKUP(Calculations[[#This Row],[Waste type 2]],WasteDisposalEmissions[#All],3,FALSE))*Calculations[[#This Row],[Total Kg]]*VLOOKUP(Calculations[[#This Row],[Waste 1]],WasteScenario[#All],3,FALSE),0)</f>
        <v>0</v>
      </c>
      <c r="AB958" s="322">
        <f>SUM(Calculations[[#This Row],[C3 recyc]:[C3 incin]])</f>
        <v>0</v>
      </c>
      <c r="AC958" s="334">
        <f>IFERROR((VLOOKUP(Calculations[[#This Row],[Waste type 2]],WasteLandfillEmissions[#All],2,FALSE))*Calculations[[#This Row],[Total Kg]]*VLOOKUP(Calculations[[#This Row],[Waste 1]],WasteScenario[#All],4,FALSE),0)</f>
        <v>0</v>
      </c>
      <c r="AD958" s="322">
        <f>IFERROR((VLOOKUP(Calculations[[#This Row],[Waste type 2]],WasteLandfillEmissions[#All],3,FALSE))*Calculations[[#This Row],[Total Kg]]*VLOOKUP(Calculations[[#This Row],[Waste 1]],WasteScenario[#All],4,FALSE),0)</f>
        <v>0</v>
      </c>
      <c r="AE958" s="322">
        <f>SUM(Calculations[[#This Row],[C4 landfill]:[C4 re-use]])</f>
        <v>0</v>
      </c>
      <c r="AF958" s="322">
        <f>IFERROR(VLOOKUP(Calculations[[#This Row],[Material (choose from dropdown]],MaterialData[#All],8,FALSE),0)</f>
        <v>0</v>
      </c>
      <c r="AG958" s="322">
        <f>IFERROR(Calculations[[#This Row],[Total Kg]]*Calculations[[#This Row],[Seq factor]],0)</f>
        <v>0</v>
      </c>
      <c r="AI958" s="322">
        <f>Calculations[[#This Row],[A1-3]]+Calculations[[#This Row],[A4]]+Calculations[[#This Row],[A5]]+Calculations[[#This Row],[B4]]+Calculations[[#This Row],[C2 total]]+Calculations[[#This Row],[C3 total]]+Calculations[[#This Row],[C4 total]]</f>
        <v>0</v>
      </c>
      <c r="AJ958" s="2">
        <f>IFERROR(VLOOKUP(Calculations[[#This Row],[Material (choose from dropdown]],MaterialData[[#Headers],[#Data]],9,FALSE),0)</f>
        <v>0</v>
      </c>
      <c r="AK958" s="4">
        <f>IFERROR(VLOOKUP(Calculations[[#This Row],[Material (choose from dropdown]],MaterialData[[#Headers],[#Data]],10,FALSE),0)</f>
        <v>0</v>
      </c>
      <c r="AL958" s="322">
        <f>IFERROR(Calculations[[#This Row],[Data Quality Score]]*Calculations[[#This Row],[Total Kg]],0)</f>
        <v>0</v>
      </c>
    </row>
    <row r="959" spans="1:38" x14ac:dyDescent="0.3">
      <c r="A959" s="6">
        <f>IFERROR(MaterialsBoQ[[#This Row],[Scope Element]],0)</f>
        <v>0</v>
      </c>
      <c r="B959" t="str">
        <f>IFERROR(MaterialsBoQ[[#This Row],[Material ]],"")</f>
        <v/>
      </c>
      <c r="C959" t="str">
        <f>IFERROR(MaterialsBoQ[[#This Row],[Unit]],"")</f>
        <v/>
      </c>
      <c r="D959" s="322">
        <f>IFERROR(MaterialsBoQ[[#This Row],[Number]],0)</f>
        <v>0</v>
      </c>
      <c r="E959" s="322">
        <f>IFERROR(MaterialsBoQ[[#This Row],[Kg per unit]],0)</f>
        <v>0</v>
      </c>
      <c r="F959" s="322">
        <f>IFERROR(Calculations[[#This Row],[Number]]*Calculations[[#This Row],[Conversion factor]],0)</f>
        <v>0</v>
      </c>
      <c r="G959" s="322">
        <f>IFERROR(VLOOKUP(Calculations[[#This Row],[Material (choose from dropdown]],MaterialData[#All],7,FALSE),0)</f>
        <v>0</v>
      </c>
      <c r="H959" s="322">
        <f>Calculations[[#This Row],[Total Kg]]*Calculations[[#This Row],[Carbon Factor]]</f>
        <v>0</v>
      </c>
      <c r="I959" t="str">
        <f>IFERROR(VLOOKUP(Calculations[[#This Row],[Material (choose from dropdown]],MaterialData[#All],2,FALSE),"")</f>
        <v/>
      </c>
      <c r="J959" s="322">
        <f>IFERROR(((VLOOKUP(Calculations[[#This Row],[TransportSource]],TransportDistance[],2,FALSE)*'Stage assumptions'!$C$11)+VLOOKUP(Calculations[[#This Row],[TransportSource]],TransportDistance[],3,FALSE)*'Stage assumptions'!$C$12)*Calculations[[#This Row],[Total Kg]],0)</f>
        <v>0</v>
      </c>
      <c r="K959">
        <f>IFERROR(VLOOKUP(Calculations[[#This Row],[Material (choose from dropdown]], MaterialData[#All],3, FALSE),0)</f>
        <v>0</v>
      </c>
      <c r="L959" s="322">
        <f>IFERROR(VLOOKUP(Calculations[[#This Row],[A5type]],A5WastageRate[#All],2,FALSE)*Calculations[[#This Row],[A1-3]],0)</f>
        <v>0</v>
      </c>
      <c r="N959">
        <f>IFERROR(ROUNDUP(50/VLOOKUP(Calculations[[#This Row],[Scope Element]],B4referenceServiceLife[[Tier 2 element]:[Default Service Life]],2, FALSE)-1,0),0)</f>
        <v>0</v>
      </c>
      <c r="O959" s="322">
        <f>IFERROR((Calculations[[#This Row],[A1-3]]+Calculations[[#This Row],[A4]]+Calculations[[#This Row],[A5]]+Calculations[[#This Row],[C2 total]]+Calculations[[#This Row],[C3 total]]+Calculations[[#This Row],[C4 total]])*Calculations[[#This Row],[Replacements]],0)</f>
        <v>0</v>
      </c>
      <c r="S959" t="str">
        <f>IFERROR(VLOOKUP(Calculations[[#This Row],[Material (choose from dropdown]],MaterialData[#All],4,FALSE),"")</f>
        <v/>
      </c>
      <c r="T959" s="322" cm="1">
        <f t="array" ref="T959">IFERROR(VLOOKUP(Calculations[[#This Row],[Waste 1]],WasteScenario[#All],2,FALSE)*'Stage assumptions'!$C$225*WasteTransportMethod[Emissions Factor
kgCO2e/kg.km]*Calculations[[#This Row],[Total Kg]],0)</f>
        <v>0</v>
      </c>
      <c r="U959" s="322" cm="1">
        <f t="array" ref="U959">IFERROR(VLOOKUP(Calculations[[#This Row],[Waste 1]],WasteScenario[#All],3,FALSE)*'Stage assumptions'!$C$224*WasteTransportMethod[Emissions Factor
kgCO2e/kg.km]*Calculations[[#This Row],[Total Kg]],0)</f>
        <v>0</v>
      </c>
      <c r="V959" s="322" cm="1">
        <f t="array" ref="V959">IFERROR(VLOOKUP(Calculations[[#This Row],[Waste 1]],WasteScenario[#All],4,FALSE)*'Stage assumptions'!$C$223*WasteTransportMethod[Emissions Factor
kgCO2e/kg.km]*Calculations[[#This Row],[Total Kg]],0)</f>
        <v>0</v>
      </c>
      <c r="W959" s="322" cm="1">
        <f t="array" ref="W959">IFERROR(VLOOKUP(Calculations[[#This Row],[Waste 1]],WasteScenario[#All],5,FALSE)*'Stage assumptions'!$C$226*WasteTransportMethod[Emissions Factor
kgCO2e/kg.km]*Calculations[[#This Row],[Total Kg]],0)</f>
        <v>0</v>
      </c>
      <c r="X959" s="322">
        <f>SUM(Calculations[[#This Row],[C2 Recycle]:[C2 Reuse]])</f>
        <v>0</v>
      </c>
      <c r="Y959" t="str">
        <f>IFERROR(VLOOKUP(Calculations[[#This Row],[Material (choose from dropdown]],MaterialData[#All],5,FALSE),"")</f>
        <v/>
      </c>
      <c r="Z959" s="322">
        <f>IFERROR(((VLOOKUP(Calculations[[#This Row],[Waste type 2]],WasteDisposalEmissions[#All],2,FALSE))*Calculations[[#This Row],[Total Kg]])*VLOOKUP(Calculations[[#This Row],[Waste 1]],WasteScenario[#All],2,FALSE),0)</f>
        <v>0</v>
      </c>
      <c r="AA959" s="322">
        <f>IFERROR((VLOOKUP(Calculations[[#This Row],[Waste type 2]],WasteDisposalEmissions[#All],3,FALSE))*Calculations[[#This Row],[Total Kg]]*VLOOKUP(Calculations[[#This Row],[Waste 1]],WasteScenario[#All],3,FALSE),0)</f>
        <v>0</v>
      </c>
      <c r="AB959" s="322">
        <f>SUM(Calculations[[#This Row],[C3 recyc]:[C3 incin]])</f>
        <v>0</v>
      </c>
      <c r="AC959" s="334">
        <f>IFERROR((VLOOKUP(Calculations[[#This Row],[Waste type 2]],WasteLandfillEmissions[#All],2,FALSE))*Calculations[[#This Row],[Total Kg]]*VLOOKUP(Calculations[[#This Row],[Waste 1]],WasteScenario[#All],4,FALSE),0)</f>
        <v>0</v>
      </c>
      <c r="AD959" s="322">
        <f>IFERROR((VLOOKUP(Calculations[[#This Row],[Waste type 2]],WasteLandfillEmissions[#All],3,FALSE))*Calculations[[#This Row],[Total Kg]]*VLOOKUP(Calculations[[#This Row],[Waste 1]],WasteScenario[#All],4,FALSE),0)</f>
        <v>0</v>
      </c>
      <c r="AE959" s="322">
        <f>SUM(Calculations[[#This Row],[C4 landfill]:[C4 re-use]])</f>
        <v>0</v>
      </c>
      <c r="AF959" s="322">
        <f>IFERROR(VLOOKUP(Calculations[[#This Row],[Material (choose from dropdown]],MaterialData[#All],8,FALSE),0)</f>
        <v>0</v>
      </c>
      <c r="AG959" s="322">
        <f>IFERROR(Calculations[[#This Row],[Total Kg]]*Calculations[[#This Row],[Seq factor]],0)</f>
        <v>0</v>
      </c>
      <c r="AI959" s="322">
        <f>Calculations[[#This Row],[A1-3]]+Calculations[[#This Row],[A4]]+Calculations[[#This Row],[A5]]+Calculations[[#This Row],[B4]]+Calculations[[#This Row],[C2 total]]+Calculations[[#This Row],[C3 total]]+Calculations[[#This Row],[C4 total]]</f>
        <v>0</v>
      </c>
      <c r="AJ959" s="2">
        <f>IFERROR(VLOOKUP(Calculations[[#This Row],[Material (choose from dropdown]],MaterialData[[#Headers],[#Data]],9,FALSE),0)</f>
        <v>0</v>
      </c>
      <c r="AK959" s="4">
        <f>IFERROR(VLOOKUP(Calculations[[#This Row],[Material (choose from dropdown]],MaterialData[[#Headers],[#Data]],10,FALSE),0)</f>
        <v>0</v>
      </c>
      <c r="AL959" s="322">
        <f>IFERROR(Calculations[[#This Row],[Data Quality Score]]*Calculations[[#This Row],[Total Kg]],0)</f>
        <v>0</v>
      </c>
    </row>
    <row r="960" spans="1:38" x14ac:dyDescent="0.3">
      <c r="A960" s="6">
        <f>IFERROR(MaterialsBoQ[[#This Row],[Scope Element]],0)</f>
        <v>0</v>
      </c>
      <c r="B960" t="str">
        <f>IFERROR(MaterialsBoQ[[#This Row],[Material ]],"")</f>
        <v/>
      </c>
      <c r="C960" t="str">
        <f>IFERROR(MaterialsBoQ[[#This Row],[Unit]],"")</f>
        <v/>
      </c>
      <c r="D960" s="322">
        <f>IFERROR(MaterialsBoQ[[#This Row],[Number]],0)</f>
        <v>0</v>
      </c>
      <c r="E960" s="322">
        <f>IFERROR(MaterialsBoQ[[#This Row],[Kg per unit]],0)</f>
        <v>0</v>
      </c>
      <c r="F960" s="322">
        <f>IFERROR(Calculations[[#This Row],[Number]]*Calculations[[#This Row],[Conversion factor]],0)</f>
        <v>0</v>
      </c>
      <c r="G960" s="322">
        <f>IFERROR(VLOOKUP(Calculations[[#This Row],[Material (choose from dropdown]],MaterialData[#All],7,FALSE),0)</f>
        <v>0</v>
      </c>
      <c r="H960" s="322">
        <f>Calculations[[#This Row],[Total Kg]]*Calculations[[#This Row],[Carbon Factor]]</f>
        <v>0</v>
      </c>
      <c r="I960" t="str">
        <f>IFERROR(VLOOKUP(Calculations[[#This Row],[Material (choose from dropdown]],MaterialData[#All],2,FALSE),"")</f>
        <v/>
      </c>
      <c r="J960" s="322">
        <f>IFERROR(((VLOOKUP(Calculations[[#This Row],[TransportSource]],TransportDistance[],2,FALSE)*'Stage assumptions'!$C$11)+VLOOKUP(Calculations[[#This Row],[TransportSource]],TransportDistance[],3,FALSE)*'Stage assumptions'!$C$12)*Calculations[[#This Row],[Total Kg]],0)</f>
        <v>0</v>
      </c>
      <c r="K960">
        <f>IFERROR(VLOOKUP(Calculations[[#This Row],[Material (choose from dropdown]], MaterialData[#All],3, FALSE),0)</f>
        <v>0</v>
      </c>
      <c r="L960" s="322">
        <f>IFERROR(VLOOKUP(Calculations[[#This Row],[A5type]],A5WastageRate[#All],2,FALSE)*Calculations[[#This Row],[A1-3]],0)</f>
        <v>0</v>
      </c>
      <c r="N960">
        <f>IFERROR(ROUNDUP(50/VLOOKUP(Calculations[[#This Row],[Scope Element]],B4referenceServiceLife[[Tier 2 element]:[Default Service Life]],2, FALSE)-1,0),0)</f>
        <v>0</v>
      </c>
      <c r="O960" s="322">
        <f>IFERROR((Calculations[[#This Row],[A1-3]]+Calculations[[#This Row],[A4]]+Calculations[[#This Row],[A5]]+Calculations[[#This Row],[C2 total]]+Calculations[[#This Row],[C3 total]]+Calculations[[#This Row],[C4 total]])*Calculations[[#This Row],[Replacements]],0)</f>
        <v>0</v>
      </c>
      <c r="S960" t="str">
        <f>IFERROR(VLOOKUP(Calculations[[#This Row],[Material (choose from dropdown]],MaterialData[#All],4,FALSE),"")</f>
        <v/>
      </c>
      <c r="T960" s="322" cm="1">
        <f t="array" ref="T960">IFERROR(VLOOKUP(Calculations[[#This Row],[Waste 1]],WasteScenario[#All],2,FALSE)*'Stage assumptions'!$C$225*WasteTransportMethod[Emissions Factor
kgCO2e/kg.km]*Calculations[[#This Row],[Total Kg]],0)</f>
        <v>0</v>
      </c>
      <c r="U960" s="322" cm="1">
        <f t="array" ref="U960">IFERROR(VLOOKUP(Calculations[[#This Row],[Waste 1]],WasteScenario[#All],3,FALSE)*'Stage assumptions'!$C$224*WasteTransportMethod[Emissions Factor
kgCO2e/kg.km]*Calculations[[#This Row],[Total Kg]],0)</f>
        <v>0</v>
      </c>
      <c r="V960" s="322" cm="1">
        <f t="array" ref="V960">IFERROR(VLOOKUP(Calculations[[#This Row],[Waste 1]],WasteScenario[#All],4,FALSE)*'Stage assumptions'!$C$223*WasteTransportMethod[Emissions Factor
kgCO2e/kg.km]*Calculations[[#This Row],[Total Kg]],0)</f>
        <v>0</v>
      </c>
      <c r="W960" s="322" cm="1">
        <f t="array" ref="W960">IFERROR(VLOOKUP(Calculations[[#This Row],[Waste 1]],WasteScenario[#All],5,FALSE)*'Stage assumptions'!$C$226*WasteTransportMethod[Emissions Factor
kgCO2e/kg.km]*Calculations[[#This Row],[Total Kg]],0)</f>
        <v>0</v>
      </c>
      <c r="X960" s="322">
        <f>SUM(Calculations[[#This Row],[C2 Recycle]:[C2 Reuse]])</f>
        <v>0</v>
      </c>
      <c r="Y960" t="str">
        <f>IFERROR(VLOOKUP(Calculations[[#This Row],[Material (choose from dropdown]],MaterialData[#All],5,FALSE),"")</f>
        <v/>
      </c>
      <c r="Z960" s="322">
        <f>IFERROR(((VLOOKUP(Calculations[[#This Row],[Waste type 2]],WasteDisposalEmissions[#All],2,FALSE))*Calculations[[#This Row],[Total Kg]])*VLOOKUP(Calculations[[#This Row],[Waste 1]],WasteScenario[#All],2,FALSE),0)</f>
        <v>0</v>
      </c>
      <c r="AA960" s="322">
        <f>IFERROR((VLOOKUP(Calculations[[#This Row],[Waste type 2]],WasteDisposalEmissions[#All],3,FALSE))*Calculations[[#This Row],[Total Kg]]*VLOOKUP(Calculations[[#This Row],[Waste 1]],WasteScenario[#All],3,FALSE),0)</f>
        <v>0</v>
      </c>
      <c r="AB960" s="322">
        <f>SUM(Calculations[[#This Row],[C3 recyc]:[C3 incin]])</f>
        <v>0</v>
      </c>
      <c r="AC960" s="334">
        <f>IFERROR((VLOOKUP(Calculations[[#This Row],[Waste type 2]],WasteLandfillEmissions[#All],2,FALSE))*Calculations[[#This Row],[Total Kg]]*VLOOKUP(Calculations[[#This Row],[Waste 1]],WasteScenario[#All],4,FALSE),0)</f>
        <v>0</v>
      </c>
      <c r="AD960" s="322">
        <f>IFERROR((VLOOKUP(Calculations[[#This Row],[Waste type 2]],WasteLandfillEmissions[#All],3,FALSE))*Calculations[[#This Row],[Total Kg]]*VLOOKUP(Calculations[[#This Row],[Waste 1]],WasteScenario[#All],4,FALSE),0)</f>
        <v>0</v>
      </c>
      <c r="AE960" s="322">
        <f>SUM(Calculations[[#This Row],[C4 landfill]:[C4 re-use]])</f>
        <v>0</v>
      </c>
      <c r="AF960" s="322">
        <f>IFERROR(VLOOKUP(Calculations[[#This Row],[Material (choose from dropdown]],MaterialData[#All],8,FALSE),0)</f>
        <v>0</v>
      </c>
      <c r="AG960" s="322">
        <f>IFERROR(Calculations[[#This Row],[Total Kg]]*Calculations[[#This Row],[Seq factor]],0)</f>
        <v>0</v>
      </c>
      <c r="AI960" s="322">
        <f>Calculations[[#This Row],[A1-3]]+Calculations[[#This Row],[A4]]+Calculations[[#This Row],[A5]]+Calculations[[#This Row],[B4]]+Calculations[[#This Row],[C2 total]]+Calculations[[#This Row],[C3 total]]+Calculations[[#This Row],[C4 total]]</f>
        <v>0</v>
      </c>
      <c r="AJ960" s="2">
        <f>IFERROR(VLOOKUP(Calculations[[#This Row],[Material (choose from dropdown]],MaterialData[[#Headers],[#Data]],9,FALSE),0)</f>
        <v>0</v>
      </c>
      <c r="AK960" s="4">
        <f>IFERROR(VLOOKUP(Calculations[[#This Row],[Material (choose from dropdown]],MaterialData[[#Headers],[#Data]],10,FALSE),0)</f>
        <v>0</v>
      </c>
      <c r="AL960" s="322">
        <f>IFERROR(Calculations[[#This Row],[Data Quality Score]]*Calculations[[#This Row],[Total Kg]],0)</f>
        <v>0</v>
      </c>
    </row>
    <row r="961" spans="1:38" x14ac:dyDescent="0.3">
      <c r="A961" s="6">
        <f>IFERROR(MaterialsBoQ[[#This Row],[Scope Element]],0)</f>
        <v>0</v>
      </c>
      <c r="B961" t="str">
        <f>IFERROR(MaterialsBoQ[[#This Row],[Material ]],"")</f>
        <v/>
      </c>
      <c r="C961" t="str">
        <f>IFERROR(MaterialsBoQ[[#This Row],[Unit]],"")</f>
        <v/>
      </c>
      <c r="D961" s="322">
        <f>IFERROR(MaterialsBoQ[[#This Row],[Number]],0)</f>
        <v>0</v>
      </c>
      <c r="E961" s="322">
        <f>IFERROR(MaterialsBoQ[[#This Row],[Kg per unit]],0)</f>
        <v>0</v>
      </c>
      <c r="F961" s="322">
        <f>IFERROR(Calculations[[#This Row],[Number]]*Calculations[[#This Row],[Conversion factor]],0)</f>
        <v>0</v>
      </c>
      <c r="G961" s="322">
        <f>IFERROR(VLOOKUP(Calculations[[#This Row],[Material (choose from dropdown]],MaterialData[#All],7,FALSE),0)</f>
        <v>0</v>
      </c>
      <c r="H961" s="322">
        <f>Calculations[[#This Row],[Total Kg]]*Calculations[[#This Row],[Carbon Factor]]</f>
        <v>0</v>
      </c>
      <c r="I961" t="str">
        <f>IFERROR(VLOOKUP(Calculations[[#This Row],[Material (choose from dropdown]],MaterialData[#All],2,FALSE),"")</f>
        <v/>
      </c>
      <c r="J961" s="322">
        <f>IFERROR(((VLOOKUP(Calculations[[#This Row],[TransportSource]],TransportDistance[],2,FALSE)*'Stage assumptions'!$C$11)+VLOOKUP(Calculations[[#This Row],[TransportSource]],TransportDistance[],3,FALSE)*'Stage assumptions'!$C$12)*Calculations[[#This Row],[Total Kg]],0)</f>
        <v>0</v>
      </c>
      <c r="K961">
        <f>IFERROR(VLOOKUP(Calculations[[#This Row],[Material (choose from dropdown]], MaterialData[#All],3, FALSE),0)</f>
        <v>0</v>
      </c>
      <c r="L961" s="322">
        <f>IFERROR(VLOOKUP(Calculations[[#This Row],[A5type]],A5WastageRate[#All],2,FALSE)*Calculations[[#This Row],[A1-3]],0)</f>
        <v>0</v>
      </c>
      <c r="N961">
        <f>IFERROR(ROUNDUP(50/VLOOKUP(Calculations[[#This Row],[Scope Element]],B4referenceServiceLife[[Tier 2 element]:[Default Service Life]],2, FALSE)-1,0),0)</f>
        <v>0</v>
      </c>
      <c r="O961" s="322">
        <f>IFERROR((Calculations[[#This Row],[A1-3]]+Calculations[[#This Row],[A4]]+Calculations[[#This Row],[A5]]+Calculations[[#This Row],[C2 total]]+Calculations[[#This Row],[C3 total]]+Calculations[[#This Row],[C4 total]])*Calculations[[#This Row],[Replacements]],0)</f>
        <v>0</v>
      </c>
      <c r="S961" t="str">
        <f>IFERROR(VLOOKUP(Calculations[[#This Row],[Material (choose from dropdown]],MaterialData[#All],4,FALSE),"")</f>
        <v/>
      </c>
      <c r="T961" s="322" cm="1">
        <f t="array" ref="T961">IFERROR(VLOOKUP(Calculations[[#This Row],[Waste 1]],WasteScenario[#All],2,FALSE)*'Stage assumptions'!$C$225*WasteTransportMethod[Emissions Factor
kgCO2e/kg.km]*Calculations[[#This Row],[Total Kg]],0)</f>
        <v>0</v>
      </c>
      <c r="U961" s="322" cm="1">
        <f t="array" ref="U961">IFERROR(VLOOKUP(Calculations[[#This Row],[Waste 1]],WasteScenario[#All],3,FALSE)*'Stage assumptions'!$C$224*WasteTransportMethod[Emissions Factor
kgCO2e/kg.km]*Calculations[[#This Row],[Total Kg]],0)</f>
        <v>0</v>
      </c>
      <c r="V961" s="322" cm="1">
        <f t="array" ref="V961">IFERROR(VLOOKUP(Calculations[[#This Row],[Waste 1]],WasteScenario[#All],4,FALSE)*'Stage assumptions'!$C$223*WasteTransportMethod[Emissions Factor
kgCO2e/kg.km]*Calculations[[#This Row],[Total Kg]],0)</f>
        <v>0</v>
      </c>
      <c r="W961" s="322" cm="1">
        <f t="array" ref="W961">IFERROR(VLOOKUP(Calculations[[#This Row],[Waste 1]],WasteScenario[#All],5,FALSE)*'Stage assumptions'!$C$226*WasteTransportMethod[Emissions Factor
kgCO2e/kg.km]*Calculations[[#This Row],[Total Kg]],0)</f>
        <v>0</v>
      </c>
      <c r="X961" s="322">
        <f>SUM(Calculations[[#This Row],[C2 Recycle]:[C2 Reuse]])</f>
        <v>0</v>
      </c>
      <c r="Y961" t="str">
        <f>IFERROR(VLOOKUP(Calculations[[#This Row],[Material (choose from dropdown]],MaterialData[#All],5,FALSE),"")</f>
        <v/>
      </c>
      <c r="Z961" s="322">
        <f>IFERROR(((VLOOKUP(Calculations[[#This Row],[Waste type 2]],WasteDisposalEmissions[#All],2,FALSE))*Calculations[[#This Row],[Total Kg]])*VLOOKUP(Calculations[[#This Row],[Waste 1]],WasteScenario[#All],2,FALSE),0)</f>
        <v>0</v>
      </c>
      <c r="AA961" s="322">
        <f>IFERROR((VLOOKUP(Calculations[[#This Row],[Waste type 2]],WasteDisposalEmissions[#All],3,FALSE))*Calculations[[#This Row],[Total Kg]]*VLOOKUP(Calculations[[#This Row],[Waste 1]],WasteScenario[#All],3,FALSE),0)</f>
        <v>0</v>
      </c>
      <c r="AB961" s="322">
        <f>SUM(Calculations[[#This Row],[C3 recyc]:[C3 incin]])</f>
        <v>0</v>
      </c>
      <c r="AC961" s="334">
        <f>IFERROR((VLOOKUP(Calculations[[#This Row],[Waste type 2]],WasteLandfillEmissions[#All],2,FALSE))*Calculations[[#This Row],[Total Kg]]*VLOOKUP(Calculations[[#This Row],[Waste 1]],WasteScenario[#All],4,FALSE),0)</f>
        <v>0</v>
      </c>
      <c r="AD961" s="322">
        <f>IFERROR((VLOOKUP(Calculations[[#This Row],[Waste type 2]],WasteLandfillEmissions[#All],3,FALSE))*Calculations[[#This Row],[Total Kg]]*VLOOKUP(Calculations[[#This Row],[Waste 1]],WasteScenario[#All],4,FALSE),0)</f>
        <v>0</v>
      </c>
      <c r="AE961" s="322">
        <f>SUM(Calculations[[#This Row],[C4 landfill]:[C4 re-use]])</f>
        <v>0</v>
      </c>
      <c r="AF961" s="322">
        <f>IFERROR(VLOOKUP(Calculations[[#This Row],[Material (choose from dropdown]],MaterialData[#All],8,FALSE),0)</f>
        <v>0</v>
      </c>
      <c r="AG961" s="322">
        <f>IFERROR(Calculations[[#This Row],[Total Kg]]*Calculations[[#This Row],[Seq factor]],0)</f>
        <v>0</v>
      </c>
      <c r="AI961" s="322">
        <f>Calculations[[#This Row],[A1-3]]+Calculations[[#This Row],[A4]]+Calculations[[#This Row],[A5]]+Calculations[[#This Row],[B4]]+Calculations[[#This Row],[C2 total]]+Calculations[[#This Row],[C3 total]]+Calculations[[#This Row],[C4 total]]</f>
        <v>0</v>
      </c>
      <c r="AJ961" s="2">
        <f>IFERROR(VLOOKUP(Calculations[[#This Row],[Material (choose from dropdown]],MaterialData[[#Headers],[#Data]],9,FALSE),0)</f>
        <v>0</v>
      </c>
      <c r="AK961" s="4">
        <f>IFERROR(VLOOKUP(Calculations[[#This Row],[Material (choose from dropdown]],MaterialData[[#Headers],[#Data]],10,FALSE),0)</f>
        <v>0</v>
      </c>
      <c r="AL961" s="322">
        <f>IFERROR(Calculations[[#This Row],[Data Quality Score]]*Calculations[[#This Row],[Total Kg]],0)</f>
        <v>0</v>
      </c>
    </row>
    <row r="962" spans="1:38" x14ac:dyDescent="0.3">
      <c r="A962" s="6">
        <f>IFERROR(MaterialsBoQ[[#This Row],[Scope Element]],0)</f>
        <v>0</v>
      </c>
      <c r="B962" t="str">
        <f>IFERROR(MaterialsBoQ[[#This Row],[Material ]],"")</f>
        <v/>
      </c>
      <c r="C962" t="str">
        <f>IFERROR(MaterialsBoQ[[#This Row],[Unit]],"")</f>
        <v/>
      </c>
      <c r="D962" s="322">
        <f>IFERROR(MaterialsBoQ[[#This Row],[Number]],0)</f>
        <v>0</v>
      </c>
      <c r="E962" s="322">
        <f>IFERROR(MaterialsBoQ[[#This Row],[Kg per unit]],0)</f>
        <v>0</v>
      </c>
      <c r="F962" s="322">
        <f>IFERROR(Calculations[[#This Row],[Number]]*Calculations[[#This Row],[Conversion factor]],0)</f>
        <v>0</v>
      </c>
      <c r="G962" s="322">
        <f>IFERROR(VLOOKUP(Calculations[[#This Row],[Material (choose from dropdown]],MaterialData[#All],7,FALSE),0)</f>
        <v>0</v>
      </c>
      <c r="H962" s="322">
        <f>Calculations[[#This Row],[Total Kg]]*Calculations[[#This Row],[Carbon Factor]]</f>
        <v>0</v>
      </c>
      <c r="I962" t="str">
        <f>IFERROR(VLOOKUP(Calculations[[#This Row],[Material (choose from dropdown]],MaterialData[#All],2,FALSE),"")</f>
        <v/>
      </c>
      <c r="J962" s="322">
        <f>IFERROR(((VLOOKUP(Calculations[[#This Row],[TransportSource]],TransportDistance[],2,FALSE)*'Stage assumptions'!$C$11)+VLOOKUP(Calculations[[#This Row],[TransportSource]],TransportDistance[],3,FALSE)*'Stage assumptions'!$C$12)*Calculations[[#This Row],[Total Kg]],0)</f>
        <v>0</v>
      </c>
      <c r="K962">
        <f>IFERROR(VLOOKUP(Calculations[[#This Row],[Material (choose from dropdown]], MaterialData[#All],3, FALSE),0)</f>
        <v>0</v>
      </c>
      <c r="L962" s="322">
        <f>IFERROR(VLOOKUP(Calculations[[#This Row],[A5type]],A5WastageRate[#All],2,FALSE)*Calculations[[#This Row],[A1-3]],0)</f>
        <v>0</v>
      </c>
      <c r="N962">
        <f>IFERROR(ROUNDUP(50/VLOOKUP(Calculations[[#This Row],[Scope Element]],B4referenceServiceLife[[Tier 2 element]:[Default Service Life]],2, FALSE)-1,0),0)</f>
        <v>0</v>
      </c>
      <c r="O962" s="322">
        <f>IFERROR((Calculations[[#This Row],[A1-3]]+Calculations[[#This Row],[A4]]+Calculations[[#This Row],[A5]]+Calculations[[#This Row],[C2 total]]+Calculations[[#This Row],[C3 total]]+Calculations[[#This Row],[C4 total]])*Calculations[[#This Row],[Replacements]],0)</f>
        <v>0</v>
      </c>
      <c r="S962" t="str">
        <f>IFERROR(VLOOKUP(Calculations[[#This Row],[Material (choose from dropdown]],MaterialData[#All],4,FALSE),"")</f>
        <v/>
      </c>
      <c r="T962" s="322" cm="1">
        <f t="array" ref="T962">IFERROR(VLOOKUP(Calculations[[#This Row],[Waste 1]],WasteScenario[#All],2,FALSE)*'Stage assumptions'!$C$225*WasteTransportMethod[Emissions Factor
kgCO2e/kg.km]*Calculations[[#This Row],[Total Kg]],0)</f>
        <v>0</v>
      </c>
      <c r="U962" s="322" cm="1">
        <f t="array" ref="U962">IFERROR(VLOOKUP(Calculations[[#This Row],[Waste 1]],WasteScenario[#All],3,FALSE)*'Stage assumptions'!$C$224*WasteTransportMethod[Emissions Factor
kgCO2e/kg.km]*Calculations[[#This Row],[Total Kg]],0)</f>
        <v>0</v>
      </c>
      <c r="V962" s="322" cm="1">
        <f t="array" ref="V962">IFERROR(VLOOKUP(Calculations[[#This Row],[Waste 1]],WasteScenario[#All],4,FALSE)*'Stage assumptions'!$C$223*WasteTransportMethod[Emissions Factor
kgCO2e/kg.km]*Calculations[[#This Row],[Total Kg]],0)</f>
        <v>0</v>
      </c>
      <c r="W962" s="322" cm="1">
        <f t="array" ref="W962">IFERROR(VLOOKUP(Calculations[[#This Row],[Waste 1]],WasteScenario[#All],5,FALSE)*'Stage assumptions'!$C$226*WasteTransportMethod[Emissions Factor
kgCO2e/kg.km]*Calculations[[#This Row],[Total Kg]],0)</f>
        <v>0</v>
      </c>
      <c r="X962" s="322">
        <f>SUM(Calculations[[#This Row],[C2 Recycle]:[C2 Reuse]])</f>
        <v>0</v>
      </c>
      <c r="Y962" t="str">
        <f>IFERROR(VLOOKUP(Calculations[[#This Row],[Material (choose from dropdown]],MaterialData[#All],5,FALSE),"")</f>
        <v/>
      </c>
      <c r="Z962" s="322">
        <f>IFERROR(((VLOOKUP(Calculations[[#This Row],[Waste type 2]],WasteDisposalEmissions[#All],2,FALSE))*Calculations[[#This Row],[Total Kg]])*VLOOKUP(Calculations[[#This Row],[Waste 1]],WasteScenario[#All],2,FALSE),0)</f>
        <v>0</v>
      </c>
      <c r="AA962" s="322">
        <f>IFERROR((VLOOKUP(Calculations[[#This Row],[Waste type 2]],WasteDisposalEmissions[#All],3,FALSE))*Calculations[[#This Row],[Total Kg]]*VLOOKUP(Calculations[[#This Row],[Waste 1]],WasteScenario[#All],3,FALSE),0)</f>
        <v>0</v>
      </c>
      <c r="AB962" s="322">
        <f>SUM(Calculations[[#This Row],[C3 recyc]:[C3 incin]])</f>
        <v>0</v>
      </c>
      <c r="AC962" s="334">
        <f>IFERROR((VLOOKUP(Calculations[[#This Row],[Waste type 2]],WasteLandfillEmissions[#All],2,FALSE))*Calculations[[#This Row],[Total Kg]]*VLOOKUP(Calculations[[#This Row],[Waste 1]],WasteScenario[#All],4,FALSE),0)</f>
        <v>0</v>
      </c>
      <c r="AD962" s="322">
        <f>IFERROR((VLOOKUP(Calculations[[#This Row],[Waste type 2]],WasteLandfillEmissions[#All],3,FALSE))*Calculations[[#This Row],[Total Kg]]*VLOOKUP(Calculations[[#This Row],[Waste 1]],WasteScenario[#All],4,FALSE),0)</f>
        <v>0</v>
      </c>
      <c r="AE962" s="322">
        <f>SUM(Calculations[[#This Row],[C4 landfill]:[C4 re-use]])</f>
        <v>0</v>
      </c>
      <c r="AF962" s="322">
        <f>IFERROR(VLOOKUP(Calculations[[#This Row],[Material (choose from dropdown]],MaterialData[#All],8,FALSE),0)</f>
        <v>0</v>
      </c>
      <c r="AG962" s="322">
        <f>IFERROR(Calculations[[#This Row],[Total Kg]]*Calculations[[#This Row],[Seq factor]],0)</f>
        <v>0</v>
      </c>
      <c r="AI962" s="322">
        <f>Calculations[[#This Row],[A1-3]]+Calculations[[#This Row],[A4]]+Calculations[[#This Row],[A5]]+Calculations[[#This Row],[B4]]+Calculations[[#This Row],[C2 total]]+Calculations[[#This Row],[C3 total]]+Calculations[[#This Row],[C4 total]]</f>
        <v>0</v>
      </c>
      <c r="AJ962" s="2">
        <f>IFERROR(VLOOKUP(Calculations[[#This Row],[Material (choose from dropdown]],MaterialData[[#Headers],[#Data]],9,FALSE),0)</f>
        <v>0</v>
      </c>
      <c r="AK962" s="4">
        <f>IFERROR(VLOOKUP(Calculations[[#This Row],[Material (choose from dropdown]],MaterialData[[#Headers],[#Data]],10,FALSE),0)</f>
        <v>0</v>
      </c>
      <c r="AL962" s="322">
        <f>IFERROR(Calculations[[#This Row],[Data Quality Score]]*Calculations[[#This Row],[Total Kg]],0)</f>
        <v>0</v>
      </c>
    </row>
    <row r="963" spans="1:38" x14ac:dyDescent="0.3">
      <c r="A963" s="6">
        <f>IFERROR(MaterialsBoQ[[#This Row],[Scope Element]],0)</f>
        <v>0</v>
      </c>
      <c r="B963" t="str">
        <f>IFERROR(MaterialsBoQ[[#This Row],[Material ]],"")</f>
        <v/>
      </c>
      <c r="C963" t="str">
        <f>IFERROR(MaterialsBoQ[[#This Row],[Unit]],"")</f>
        <v/>
      </c>
      <c r="D963" s="322">
        <f>IFERROR(MaterialsBoQ[[#This Row],[Number]],0)</f>
        <v>0</v>
      </c>
      <c r="E963" s="322">
        <f>IFERROR(MaterialsBoQ[[#This Row],[Kg per unit]],0)</f>
        <v>0</v>
      </c>
      <c r="F963" s="322">
        <f>IFERROR(Calculations[[#This Row],[Number]]*Calculations[[#This Row],[Conversion factor]],0)</f>
        <v>0</v>
      </c>
      <c r="G963" s="322">
        <f>IFERROR(VLOOKUP(Calculations[[#This Row],[Material (choose from dropdown]],MaterialData[#All],7,FALSE),0)</f>
        <v>0</v>
      </c>
      <c r="H963" s="322">
        <f>Calculations[[#This Row],[Total Kg]]*Calculations[[#This Row],[Carbon Factor]]</f>
        <v>0</v>
      </c>
      <c r="I963" t="str">
        <f>IFERROR(VLOOKUP(Calculations[[#This Row],[Material (choose from dropdown]],MaterialData[#All],2,FALSE),"")</f>
        <v/>
      </c>
      <c r="J963" s="322">
        <f>IFERROR(((VLOOKUP(Calculations[[#This Row],[TransportSource]],TransportDistance[],2,FALSE)*'Stage assumptions'!$C$11)+VLOOKUP(Calculations[[#This Row],[TransportSource]],TransportDistance[],3,FALSE)*'Stage assumptions'!$C$12)*Calculations[[#This Row],[Total Kg]],0)</f>
        <v>0</v>
      </c>
      <c r="K963">
        <f>IFERROR(VLOOKUP(Calculations[[#This Row],[Material (choose from dropdown]], MaterialData[#All],3, FALSE),0)</f>
        <v>0</v>
      </c>
      <c r="L963" s="322">
        <f>IFERROR(VLOOKUP(Calculations[[#This Row],[A5type]],A5WastageRate[#All],2,FALSE)*Calculations[[#This Row],[A1-3]],0)</f>
        <v>0</v>
      </c>
      <c r="N963">
        <f>IFERROR(ROUNDUP(50/VLOOKUP(Calculations[[#This Row],[Scope Element]],B4referenceServiceLife[[Tier 2 element]:[Default Service Life]],2, FALSE)-1,0),0)</f>
        <v>0</v>
      </c>
      <c r="O963" s="322">
        <f>IFERROR((Calculations[[#This Row],[A1-3]]+Calculations[[#This Row],[A4]]+Calculations[[#This Row],[A5]]+Calculations[[#This Row],[C2 total]]+Calculations[[#This Row],[C3 total]]+Calculations[[#This Row],[C4 total]])*Calculations[[#This Row],[Replacements]],0)</f>
        <v>0</v>
      </c>
      <c r="S963" t="str">
        <f>IFERROR(VLOOKUP(Calculations[[#This Row],[Material (choose from dropdown]],MaterialData[#All],4,FALSE),"")</f>
        <v/>
      </c>
      <c r="T963" s="322" cm="1">
        <f t="array" ref="T963">IFERROR(VLOOKUP(Calculations[[#This Row],[Waste 1]],WasteScenario[#All],2,FALSE)*'Stage assumptions'!$C$225*WasteTransportMethod[Emissions Factor
kgCO2e/kg.km]*Calculations[[#This Row],[Total Kg]],0)</f>
        <v>0</v>
      </c>
      <c r="U963" s="322" cm="1">
        <f t="array" ref="U963">IFERROR(VLOOKUP(Calculations[[#This Row],[Waste 1]],WasteScenario[#All],3,FALSE)*'Stage assumptions'!$C$224*WasteTransportMethod[Emissions Factor
kgCO2e/kg.km]*Calculations[[#This Row],[Total Kg]],0)</f>
        <v>0</v>
      </c>
      <c r="V963" s="322" cm="1">
        <f t="array" ref="V963">IFERROR(VLOOKUP(Calculations[[#This Row],[Waste 1]],WasteScenario[#All],4,FALSE)*'Stage assumptions'!$C$223*WasteTransportMethod[Emissions Factor
kgCO2e/kg.km]*Calculations[[#This Row],[Total Kg]],0)</f>
        <v>0</v>
      </c>
      <c r="W963" s="322" cm="1">
        <f t="array" ref="W963">IFERROR(VLOOKUP(Calculations[[#This Row],[Waste 1]],WasteScenario[#All],5,FALSE)*'Stage assumptions'!$C$226*WasteTransportMethod[Emissions Factor
kgCO2e/kg.km]*Calculations[[#This Row],[Total Kg]],0)</f>
        <v>0</v>
      </c>
      <c r="X963" s="322">
        <f>SUM(Calculations[[#This Row],[C2 Recycle]:[C2 Reuse]])</f>
        <v>0</v>
      </c>
      <c r="Y963" t="str">
        <f>IFERROR(VLOOKUP(Calculations[[#This Row],[Material (choose from dropdown]],MaterialData[#All],5,FALSE),"")</f>
        <v/>
      </c>
      <c r="Z963" s="322">
        <f>IFERROR(((VLOOKUP(Calculations[[#This Row],[Waste type 2]],WasteDisposalEmissions[#All],2,FALSE))*Calculations[[#This Row],[Total Kg]])*VLOOKUP(Calculations[[#This Row],[Waste 1]],WasteScenario[#All],2,FALSE),0)</f>
        <v>0</v>
      </c>
      <c r="AA963" s="322">
        <f>IFERROR((VLOOKUP(Calculations[[#This Row],[Waste type 2]],WasteDisposalEmissions[#All],3,FALSE))*Calculations[[#This Row],[Total Kg]]*VLOOKUP(Calculations[[#This Row],[Waste 1]],WasteScenario[#All],3,FALSE),0)</f>
        <v>0</v>
      </c>
      <c r="AB963" s="322">
        <f>SUM(Calculations[[#This Row],[C3 recyc]:[C3 incin]])</f>
        <v>0</v>
      </c>
      <c r="AC963" s="334">
        <f>IFERROR((VLOOKUP(Calculations[[#This Row],[Waste type 2]],WasteLandfillEmissions[#All],2,FALSE))*Calculations[[#This Row],[Total Kg]]*VLOOKUP(Calculations[[#This Row],[Waste 1]],WasteScenario[#All],4,FALSE),0)</f>
        <v>0</v>
      </c>
      <c r="AD963" s="322">
        <f>IFERROR((VLOOKUP(Calculations[[#This Row],[Waste type 2]],WasteLandfillEmissions[#All],3,FALSE))*Calculations[[#This Row],[Total Kg]]*VLOOKUP(Calculations[[#This Row],[Waste 1]],WasteScenario[#All],4,FALSE),0)</f>
        <v>0</v>
      </c>
      <c r="AE963" s="322">
        <f>SUM(Calculations[[#This Row],[C4 landfill]:[C4 re-use]])</f>
        <v>0</v>
      </c>
      <c r="AF963" s="322">
        <f>IFERROR(VLOOKUP(Calculations[[#This Row],[Material (choose from dropdown]],MaterialData[#All],8,FALSE),0)</f>
        <v>0</v>
      </c>
      <c r="AG963" s="322">
        <f>IFERROR(Calculations[[#This Row],[Total Kg]]*Calculations[[#This Row],[Seq factor]],0)</f>
        <v>0</v>
      </c>
      <c r="AI963" s="322">
        <f>Calculations[[#This Row],[A1-3]]+Calculations[[#This Row],[A4]]+Calculations[[#This Row],[A5]]+Calculations[[#This Row],[B4]]+Calculations[[#This Row],[C2 total]]+Calculations[[#This Row],[C3 total]]+Calculations[[#This Row],[C4 total]]</f>
        <v>0</v>
      </c>
      <c r="AJ963" s="2">
        <f>IFERROR(VLOOKUP(Calculations[[#This Row],[Material (choose from dropdown]],MaterialData[[#Headers],[#Data]],9,FALSE),0)</f>
        <v>0</v>
      </c>
      <c r="AK963" s="4">
        <f>IFERROR(VLOOKUP(Calculations[[#This Row],[Material (choose from dropdown]],MaterialData[[#Headers],[#Data]],10,FALSE),0)</f>
        <v>0</v>
      </c>
      <c r="AL963" s="322">
        <f>IFERROR(Calculations[[#This Row],[Data Quality Score]]*Calculations[[#This Row],[Total Kg]],0)</f>
        <v>0</v>
      </c>
    </row>
    <row r="964" spans="1:38" x14ac:dyDescent="0.3">
      <c r="A964" s="6">
        <f>IFERROR(MaterialsBoQ[[#This Row],[Scope Element]],0)</f>
        <v>0</v>
      </c>
      <c r="B964" t="str">
        <f>IFERROR(MaterialsBoQ[[#This Row],[Material ]],"")</f>
        <v/>
      </c>
      <c r="C964" t="str">
        <f>IFERROR(MaterialsBoQ[[#This Row],[Unit]],"")</f>
        <v/>
      </c>
      <c r="D964" s="322">
        <f>IFERROR(MaterialsBoQ[[#This Row],[Number]],0)</f>
        <v>0</v>
      </c>
      <c r="E964" s="322">
        <f>IFERROR(MaterialsBoQ[[#This Row],[Kg per unit]],0)</f>
        <v>0</v>
      </c>
      <c r="F964" s="322">
        <f>IFERROR(Calculations[[#This Row],[Number]]*Calculations[[#This Row],[Conversion factor]],0)</f>
        <v>0</v>
      </c>
      <c r="G964" s="322">
        <f>IFERROR(VLOOKUP(Calculations[[#This Row],[Material (choose from dropdown]],MaterialData[#All],7,FALSE),0)</f>
        <v>0</v>
      </c>
      <c r="H964" s="322">
        <f>Calculations[[#This Row],[Total Kg]]*Calculations[[#This Row],[Carbon Factor]]</f>
        <v>0</v>
      </c>
      <c r="I964" t="str">
        <f>IFERROR(VLOOKUP(Calculations[[#This Row],[Material (choose from dropdown]],MaterialData[#All],2,FALSE),"")</f>
        <v/>
      </c>
      <c r="J964" s="322">
        <f>IFERROR(((VLOOKUP(Calculations[[#This Row],[TransportSource]],TransportDistance[],2,FALSE)*'Stage assumptions'!$C$11)+VLOOKUP(Calculations[[#This Row],[TransportSource]],TransportDistance[],3,FALSE)*'Stage assumptions'!$C$12)*Calculations[[#This Row],[Total Kg]],0)</f>
        <v>0</v>
      </c>
      <c r="K964">
        <f>IFERROR(VLOOKUP(Calculations[[#This Row],[Material (choose from dropdown]], MaterialData[#All],3, FALSE),0)</f>
        <v>0</v>
      </c>
      <c r="L964" s="322">
        <f>IFERROR(VLOOKUP(Calculations[[#This Row],[A5type]],A5WastageRate[#All],2,FALSE)*Calculations[[#This Row],[A1-3]],0)</f>
        <v>0</v>
      </c>
      <c r="N964">
        <f>IFERROR(ROUNDUP(50/VLOOKUP(Calculations[[#This Row],[Scope Element]],B4referenceServiceLife[[Tier 2 element]:[Default Service Life]],2, FALSE)-1,0),0)</f>
        <v>0</v>
      </c>
      <c r="O964" s="322">
        <f>IFERROR((Calculations[[#This Row],[A1-3]]+Calculations[[#This Row],[A4]]+Calculations[[#This Row],[A5]]+Calculations[[#This Row],[C2 total]]+Calculations[[#This Row],[C3 total]]+Calculations[[#This Row],[C4 total]])*Calculations[[#This Row],[Replacements]],0)</f>
        <v>0</v>
      </c>
      <c r="S964" t="str">
        <f>IFERROR(VLOOKUP(Calculations[[#This Row],[Material (choose from dropdown]],MaterialData[#All],4,FALSE),"")</f>
        <v/>
      </c>
      <c r="T964" s="322" cm="1">
        <f t="array" ref="T964">IFERROR(VLOOKUP(Calculations[[#This Row],[Waste 1]],WasteScenario[#All],2,FALSE)*'Stage assumptions'!$C$225*WasteTransportMethod[Emissions Factor
kgCO2e/kg.km]*Calculations[[#This Row],[Total Kg]],0)</f>
        <v>0</v>
      </c>
      <c r="U964" s="322" cm="1">
        <f t="array" ref="U964">IFERROR(VLOOKUP(Calculations[[#This Row],[Waste 1]],WasteScenario[#All],3,FALSE)*'Stage assumptions'!$C$224*WasteTransportMethod[Emissions Factor
kgCO2e/kg.km]*Calculations[[#This Row],[Total Kg]],0)</f>
        <v>0</v>
      </c>
      <c r="V964" s="322" cm="1">
        <f t="array" ref="V964">IFERROR(VLOOKUP(Calculations[[#This Row],[Waste 1]],WasteScenario[#All],4,FALSE)*'Stage assumptions'!$C$223*WasteTransportMethod[Emissions Factor
kgCO2e/kg.km]*Calculations[[#This Row],[Total Kg]],0)</f>
        <v>0</v>
      </c>
      <c r="W964" s="322" cm="1">
        <f t="array" ref="W964">IFERROR(VLOOKUP(Calculations[[#This Row],[Waste 1]],WasteScenario[#All],5,FALSE)*'Stage assumptions'!$C$226*WasteTransportMethod[Emissions Factor
kgCO2e/kg.km]*Calculations[[#This Row],[Total Kg]],0)</f>
        <v>0</v>
      </c>
      <c r="X964" s="322">
        <f>SUM(Calculations[[#This Row],[C2 Recycle]:[C2 Reuse]])</f>
        <v>0</v>
      </c>
      <c r="Y964" t="str">
        <f>IFERROR(VLOOKUP(Calculations[[#This Row],[Material (choose from dropdown]],MaterialData[#All],5,FALSE),"")</f>
        <v/>
      </c>
      <c r="Z964" s="322">
        <f>IFERROR(((VLOOKUP(Calculations[[#This Row],[Waste type 2]],WasteDisposalEmissions[#All],2,FALSE))*Calculations[[#This Row],[Total Kg]])*VLOOKUP(Calculations[[#This Row],[Waste 1]],WasteScenario[#All],2,FALSE),0)</f>
        <v>0</v>
      </c>
      <c r="AA964" s="322">
        <f>IFERROR((VLOOKUP(Calculations[[#This Row],[Waste type 2]],WasteDisposalEmissions[#All],3,FALSE))*Calculations[[#This Row],[Total Kg]]*VLOOKUP(Calculations[[#This Row],[Waste 1]],WasteScenario[#All],3,FALSE),0)</f>
        <v>0</v>
      </c>
      <c r="AB964" s="322">
        <f>SUM(Calculations[[#This Row],[C3 recyc]:[C3 incin]])</f>
        <v>0</v>
      </c>
      <c r="AC964" s="334">
        <f>IFERROR((VLOOKUP(Calculations[[#This Row],[Waste type 2]],WasteLandfillEmissions[#All],2,FALSE))*Calculations[[#This Row],[Total Kg]]*VLOOKUP(Calculations[[#This Row],[Waste 1]],WasteScenario[#All],4,FALSE),0)</f>
        <v>0</v>
      </c>
      <c r="AD964" s="322">
        <f>IFERROR((VLOOKUP(Calculations[[#This Row],[Waste type 2]],WasteLandfillEmissions[#All],3,FALSE))*Calculations[[#This Row],[Total Kg]]*VLOOKUP(Calculations[[#This Row],[Waste 1]],WasteScenario[#All],4,FALSE),0)</f>
        <v>0</v>
      </c>
      <c r="AE964" s="322">
        <f>SUM(Calculations[[#This Row],[C4 landfill]:[C4 re-use]])</f>
        <v>0</v>
      </c>
      <c r="AF964" s="322">
        <f>IFERROR(VLOOKUP(Calculations[[#This Row],[Material (choose from dropdown]],MaterialData[#All],8,FALSE),0)</f>
        <v>0</v>
      </c>
      <c r="AG964" s="322">
        <f>IFERROR(Calculations[[#This Row],[Total Kg]]*Calculations[[#This Row],[Seq factor]],0)</f>
        <v>0</v>
      </c>
      <c r="AI964" s="322">
        <f>Calculations[[#This Row],[A1-3]]+Calculations[[#This Row],[A4]]+Calculations[[#This Row],[A5]]+Calculations[[#This Row],[B4]]+Calculations[[#This Row],[C2 total]]+Calculations[[#This Row],[C3 total]]+Calculations[[#This Row],[C4 total]]</f>
        <v>0</v>
      </c>
      <c r="AJ964" s="2">
        <f>IFERROR(VLOOKUP(Calculations[[#This Row],[Material (choose from dropdown]],MaterialData[[#Headers],[#Data]],9,FALSE),0)</f>
        <v>0</v>
      </c>
      <c r="AK964" s="4">
        <f>IFERROR(VLOOKUP(Calculations[[#This Row],[Material (choose from dropdown]],MaterialData[[#Headers],[#Data]],10,FALSE),0)</f>
        <v>0</v>
      </c>
      <c r="AL964" s="322">
        <f>IFERROR(Calculations[[#This Row],[Data Quality Score]]*Calculations[[#This Row],[Total Kg]],0)</f>
        <v>0</v>
      </c>
    </row>
    <row r="965" spans="1:38" x14ac:dyDescent="0.3">
      <c r="A965" s="6">
        <f>IFERROR(MaterialsBoQ[[#This Row],[Scope Element]],0)</f>
        <v>0</v>
      </c>
      <c r="B965" t="str">
        <f>IFERROR(MaterialsBoQ[[#This Row],[Material ]],"")</f>
        <v/>
      </c>
      <c r="C965" t="str">
        <f>IFERROR(MaterialsBoQ[[#This Row],[Unit]],"")</f>
        <v/>
      </c>
      <c r="D965" s="322">
        <f>IFERROR(MaterialsBoQ[[#This Row],[Number]],0)</f>
        <v>0</v>
      </c>
      <c r="E965" s="322">
        <f>IFERROR(MaterialsBoQ[[#This Row],[Kg per unit]],0)</f>
        <v>0</v>
      </c>
      <c r="F965" s="322">
        <f>IFERROR(Calculations[[#This Row],[Number]]*Calculations[[#This Row],[Conversion factor]],0)</f>
        <v>0</v>
      </c>
      <c r="G965" s="322">
        <f>IFERROR(VLOOKUP(Calculations[[#This Row],[Material (choose from dropdown]],MaterialData[#All],7,FALSE),0)</f>
        <v>0</v>
      </c>
      <c r="H965" s="322">
        <f>Calculations[[#This Row],[Total Kg]]*Calculations[[#This Row],[Carbon Factor]]</f>
        <v>0</v>
      </c>
      <c r="I965" t="str">
        <f>IFERROR(VLOOKUP(Calculations[[#This Row],[Material (choose from dropdown]],MaterialData[#All],2,FALSE),"")</f>
        <v/>
      </c>
      <c r="J965" s="322">
        <f>IFERROR(((VLOOKUP(Calculations[[#This Row],[TransportSource]],TransportDistance[],2,FALSE)*'Stage assumptions'!$C$11)+VLOOKUP(Calculations[[#This Row],[TransportSource]],TransportDistance[],3,FALSE)*'Stage assumptions'!$C$12)*Calculations[[#This Row],[Total Kg]],0)</f>
        <v>0</v>
      </c>
      <c r="K965">
        <f>IFERROR(VLOOKUP(Calculations[[#This Row],[Material (choose from dropdown]], MaterialData[#All],3, FALSE),0)</f>
        <v>0</v>
      </c>
      <c r="L965" s="322">
        <f>IFERROR(VLOOKUP(Calculations[[#This Row],[A5type]],A5WastageRate[#All],2,FALSE)*Calculations[[#This Row],[A1-3]],0)</f>
        <v>0</v>
      </c>
      <c r="N965">
        <f>IFERROR(ROUNDUP(50/VLOOKUP(Calculations[[#This Row],[Scope Element]],B4referenceServiceLife[[Tier 2 element]:[Default Service Life]],2, FALSE)-1,0),0)</f>
        <v>0</v>
      </c>
      <c r="O965" s="322">
        <f>IFERROR((Calculations[[#This Row],[A1-3]]+Calculations[[#This Row],[A4]]+Calculations[[#This Row],[A5]]+Calculations[[#This Row],[C2 total]]+Calculations[[#This Row],[C3 total]]+Calculations[[#This Row],[C4 total]])*Calculations[[#This Row],[Replacements]],0)</f>
        <v>0</v>
      </c>
      <c r="S965" t="str">
        <f>IFERROR(VLOOKUP(Calculations[[#This Row],[Material (choose from dropdown]],MaterialData[#All],4,FALSE),"")</f>
        <v/>
      </c>
      <c r="T965" s="322" cm="1">
        <f t="array" ref="T965">IFERROR(VLOOKUP(Calculations[[#This Row],[Waste 1]],WasteScenario[#All],2,FALSE)*'Stage assumptions'!$C$225*WasteTransportMethod[Emissions Factor
kgCO2e/kg.km]*Calculations[[#This Row],[Total Kg]],0)</f>
        <v>0</v>
      </c>
      <c r="U965" s="322" cm="1">
        <f t="array" ref="U965">IFERROR(VLOOKUP(Calculations[[#This Row],[Waste 1]],WasteScenario[#All],3,FALSE)*'Stage assumptions'!$C$224*WasteTransportMethod[Emissions Factor
kgCO2e/kg.km]*Calculations[[#This Row],[Total Kg]],0)</f>
        <v>0</v>
      </c>
      <c r="V965" s="322" cm="1">
        <f t="array" ref="V965">IFERROR(VLOOKUP(Calculations[[#This Row],[Waste 1]],WasteScenario[#All],4,FALSE)*'Stage assumptions'!$C$223*WasteTransportMethod[Emissions Factor
kgCO2e/kg.km]*Calculations[[#This Row],[Total Kg]],0)</f>
        <v>0</v>
      </c>
      <c r="W965" s="322" cm="1">
        <f t="array" ref="W965">IFERROR(VLOOKUP(Calculations[[#This Row],[Waste 1]],WasteScenario[#All],5,FALSE)*'Stage assumptions'!$C$226*WasteTransportMethod[Emissions Factor
kgCO2e/kg.km]*Calculations[[#This Row],[Total Kg]],0)</f>
        <v>0</v>
      </c>
      <c r="X965" s="322">
        <f>SUM(Calculations[[#This Row],[C2 Recycle]:[C2 Reuse]])</f>
        <v>0</v>
      </c>
      <c r="Y965" t="str">
        <f>IFERROR(VLOOKUP(Calculations[[#This Row],[Material (choose from dropdown]],MaterialData[#All],5,FALSE),"")</f>
        <v/>
      </c>
      <c r="Z965" s="322">
        <f>IFERROR(((VLOOKUP(Calculations[[#This Row],[Waste type 2]],WasteDisposalEmissions[#All],2,FALSE))*Calculations[[#This Row],[Total Kg]])*VLOOKUP(Calculations[[#This Row],[Waste 1]],WasteScenario[#All],2,FALSE),0)</f>
        <v>0</v>
      </c>
      <c r="AA965" s="322">
        <f>IFERROR((VLOOKUP(Calculations[[#This Row],[Waste type 2]],WasteDisposalEmissions[#All],3,FALSE))*Calculations[[#This Row],[Total Kg]]*VLOOKUP(Calculations[[#This Row],[Waste 1]],WasteScenario[#All],3,FALSE),0)</f>
        <v>0</v>
      </c>
      <c r="AB965" s="322">
        <f>SUM(Calculations[[#This Row],[C3 recyc]:[C3 incin]])</f>
        <v>0</v>
      </c>
      <c r="AC965" s="334">
        <f>IFERROR((VLOOKUP(Calculations[[#This Row],[Waste type 2]],WasteLandfillEmissions[#All],2,FALSE))*Calculations[[#This Row],[Total Kg]]*VLOOKUP(Calculations[[#This Row],[Waste 1]],WasteScenario[#All],4,FALSE),0)</f>
        <v>0</v>
      </c>
      <c r="AD965" s="322">
        <f>IFERROR((VLOOKUP(Calculations[[#This Row],[Waste type 2]],WasteLandfillEmissions[#All],3,FALSE))*Calculations[[#This Row],[Total Kg]]*VLOOKUP(Calculations[[#This Row],[Waste 1]],WasteScenario[#All],4,FALSE),0)</f>
        <v>0</v>
      </c>
      <c r="AE965" s="322">
        <f>SUM(Calculations[[#This Row],[C4 landfill]:[C4 re-use]])</f>
        <v>0</v>
      </c>
      <c r="AF965" s="322">
        <f>IFERROR(VLOOKUP(Calculations[[#This Row],[Material (choose from dropdown]],MaterialData[#All],8,FALSE),0)</f>
        <v>0</v>
      </c>
      <c r="AG965" s="322">
        <f>IFERROR(Calculations[[#This Row],[Total Kg]]*Calculations[[#This Row],[Seq factor]],0)</f>
        <v>0</v>
      </c>
      <c r="AI965" s="322">
        <f>Calculations[[#This Row],[A1-3]]+Calculations[[#This Row],[A4]]+Calculations[[#This Row],[A5]]+Calculations[[#This Row],[B4]]+Calculations[[#This Row],[C2 total]]+Calculations[[#This Row],[C3 total]]+Calculations[[#This Row],[C4 total]]</f>
        <v>0</v>
      </c>
      <c r="AJ965" s="2">
        <f>IFERROR(VLOOKUP(Calculations[[#This Row],[Material (choose from dropdown]],MaterialData[[#Headers],[#Data]],9,FALSE),0)</f>
        <v>0</v>
      </c>
      <c r="AK965" s="4">
        <f>IFERROR(VLOOKUP(Calculations[[#This Row],[Material (choose from dropdown]],MaterialData[[#Headers],[#Data]],10,FALSE),0)</f>
        <v>0</v>
      </c>
      <c r="AL965" s="322">
        <f>IFERROR(Calculations[[#This Row],[Data Quality Score]]*Calculations[[#This Row],[Total Kg]],0)</f>
        <v>0</v>
      </c>
    </row>
    <row r="966" spans="1:38" x14ac:dyDescent="0.3">
      <c r="A966" s="6">
        <f>IFERROR(MaterialsBoQ[[#This Row],[Scope Element]],0)</f>
        <v>0</v>
      </c>
      <c r="B966" t="str">
        <f>IFERROR(MaterialsBoQ[[#This Row],[Material ]],"")</f>
        <v/>
      </c>
      <c r="C966" t="str">
        <f>IFERROR(MaterialsBoQ[[#This Row],[Unit]],"")</f>
        <v/>
      </c>
      <c r="D966" s="322">
        <f>IFERROR(MaterialsBoQ[[#This Row],[Number]],0)</f>
        <v>0</v>
      </c>
      <c r="E966" s="322">
        <f>IFERROR(MaterialsBoQ[[#This Row],[Kg per unit]],0)</f>
        <v>0</v>
      </c>
      <c r="F966" s="322">
        <f>IFERROR(Calculations[[#This Row],[Number]]*Calculations[[#This Row],[Conversion factor]],0)</f>
        <v>0</v>
      </c>
      <c r="G966" s="322">
        <f>IFERROR(VLOOKUP(Calculations[[#This Row],[Material (choose from dropdown]],MaterialData[#All],7,FALSE),0)</f>
        <v>0</v>
      </c>
      <c r="H966" s="322">
        <f>Calculations[[#This Row],[Total Kg]]*Calculations[[#This Row],[Carbon Factor]]</f>
        <v>0</v>
      </c>
      <c r="I966" t="str">
        <f>IFERROR(VLOOKUP(Calculations[[#This Row],[Material (choose from dropdown]],MaterialData[#All],2,FALSE),"")</f>
        <v/>
      </c>
      <c r="J966" s="322">
        <f>IFERROR(((VLOOKUP(Calculations[[#This Row],[TransportSource]],TransportDistance[],2,FALSE)*'Stage assumptions'!$C$11)+VLOOKUP(Calculations[[#This Row],[TransportSource]],TransportDistance[],3,FALSE)*'Stage assumptions'!$C$12)*Calculations[[#This Row],[Total Kg]],0)</f>
        <v>0</v>
      </c>
      <c r="K966">
        <f>IFERROR(VLOOKUP(Calculations[[#This Row],[Material (choose from dropdown]], MaterialData[#All],3, FALSE),0)</f>
        <v>0</v>
      </c>
      <c r="L966" s="322">
        <f>IFERROR(VLOOKUP(Calculations[[#This Row],[A5type]],A5WastageRate[#All],2,FALSE)*Calculations[[#This Row],[A1-3]],0)</f>
        <v>0</v>
      </c>
      <c r="N966">
        <f>IFERROR(ROUNDUP(50/VLOOKUP(Calculations[[#This Row],[Scope Element]],B4referenceServiceLife[[Tier 2 element]:[Default Service Life]],2, FALSE)-1,0),0)</f>
        <v>0</v>
      </c>
      <c r="O966" s="322">
        <f>IFERROR((Calculations[[#This Row],[A1-3]]+Calculations[[#This Row],[A4]]+Calculations[[#This Row],[A5]]+Calculations[[#This Row],[C2 total]]+Calculations[[#This Row],[C3 total]]+Calculations[[#This Row],[C4 total]])*Calculations[[#This Row],[Replacements]],0)</f>
        <v>0</v>
      </c>
      <c r="S966" t="str">
        <f>IFERROR(VLOOKUP(Calculations[[#This Row],[Material (choose from dropdown]],MaterialData[#All],4,FALSE),"")</f>
        <v/>
      </c>
      <c r="T966" s="322" cm="1">
        <f t="array" ref="T966">IFERROR(VLOOKUP(Calculations[[#This Row],[Waste 1]],WasteScenario[#All],2,FALSE)*'Stage assumptions'!$C$225*WasteTransportMethod[Emissions Factor
kgCO2e/kg.km]*Calculations[[#This Row],[Total Kg]],0)</f>
        <v>0</v>
      </c>
      <c r="U966" s="322" cm="1">
        <f t="array" ref="U966">IFERROR(VLOOKUP(Calculations[[#This Row],[Waste 1]],WasteScenario[#All],3,FALSE)*'Stage assumptions'!$C$224*WasteTransportMethod[Emissions Factor
kgCO2e/kg.km]*Calculations[[#This Row],[Total Kg]],0)</f>
        <v>0</v>
      </c>
      <c r="V966" s="322" cm="1">
        <f t="array" ref="V966">IFERROR(VLOOKUP(Calculations[[#This Row],[Waste 1]],WasteScenario[#All],4,FALSE)*'Stage assumptions'!$C$223*WasteTransportMethod[Emissions Factor
kgCO2e/kg.km]*Calculations[[#This Row],[Total Kg]],0)</f>
        <v>0</v>
      </c>
      <c r="W966" s="322" cm="1">
        <f t="array" ref="W966">IFERROR(VLOOKUP(Calculations[[#This Row],[Waste 1]],WasteScenario[#All],5,FALSE)*'Stage assumptions'!$C$226*WasteTransportMethod[Emissions Factor
kgCO2e/kg.km]*Calculations[[#This Row],[Total Kg]],0)</f>
        <v>0</v>
      </c>
      <c r="X966" s="322">
        <f>SUM(Calculations[[#This Row],[C2 Recycle]:[C2 Reuse]])</f>
        <v>0</v>
      </c>
      <c r="Y966" t="str">
        <f>IFERROR(VLOOKUP(Calculations[[#This Row],[Material (choose from dropdown]],MaterialData[#All],5,FALSE),"")</f>
        <v/>
      </c>
      <c r="Z966" s="322">
        <f>IFERROR(((VLOOKUP(Calculations[[#This Row],[Waste type 2]],WasteDisposalEmissions[#All],2,FALSE))*Calculations[[#This Row],[Total Kg]])*VLOOKUP(Calculations[[#This Row],[Waste 1]],WasteScenario[#All],2,FALSE),0)</f>
        <v>0</v>
      </c>
      <c r="AA966" s="322">
        <f>IFERROR((VLOOKUP(Calculations[[#This Row],[Waste type 2]],WasteDisposalEmissions[#All],3,FALSE))*Calculations[[#This Row],[Total Kg]]*VLOOKUP(Calculations[[#This Row],[Waste 1]],WasteScenario[#All],3,FALSE),0)</f>
        <v>0</v>
      </c>
      <c r="AB966" s="322">
        <f>SUM(Calculations[[#This Row],[C3 recyc]:[C3 incin]])</f>
        <v>0</v>
      </c>
      <c r="AC966" s="334">
        <f>IFERROR((VLOOKUP(Calculations[[#This Row],[Waste type 2]],WasteLandfillEmissions[#All],2,FALSE))*Calculations[[#This Row],[Total Kg]]*VLOOKUP(Calculations[[#This Row],[Waste 1]],WasteScenario[#All],4,FALSE),0)</f>
        <v>0</v>
      </c>
      <c r="AD966" s="322">
        <f>IFERROR((VLOOKUP(Calculations[[#This Row],[Waste type 2]],WasteLandfillEmissions[#All],3,FALSE))*Calculations[[#This Row],[Total Kg]]*VLOOKUP(Calculations[[#This Row],[Waste 1]],WasteScenario[#All],4,FALSE),0)</f>
        <v>0</v>
      </c>
      <c r="AE966" s="322">
        <f>SUM(Calculations[[#This Row],[C4 landfill]:[C4 re-use]])</f>
        <v>0</v>
      </c>
      <c r="AF966" s="322">
        <f>IFERROR(VLOOKUP(Calculations[[#This Row],[Material (choose from dropdown]],MaterialData[#All],8,FALSE),0)</f>
        <v>0</v>
      </c>
      <c r="AG966" s="322">
        <f>IFERROR(Calculations[[#This Row],[Total Kg]]*Calculations[[#This Row],[Seq factor]],0)</f>
        <v>0</v>
      </c>
      <c r="AI966" s="322">
        <f>Calculations[[#This Row],[A1-3]]+Calculations[[#This Row],[A4]]+Calculations[[#This Row],[A5]]+Calculations[[#This Row],[B4]]+Calculations[[#This Row],[C2 total]]+Calculations[[#This Row],[C3 total]]+Calculations[[#This Row],[C4 total]]</f>
        <v>0</v>
      </c>
      <c r="AJ966" s="2">
        <f>IFERROR(VLOOKUP(Calculations[[#This Row],[Material (choose from dropdown]],MaterialData[[#Headers],[#Data]],9,FALSE),0)</f>
        <v>0</v>
      </c>
      <c r="AK966" s="4">
        <f>IFERROR(VLOOKUP(Calculations[[#This Row],[Material (choose from dropdown]],MaterialData[[#Headers],[#Data]],10,FALSE),0)</f>
        <v>0</v>
      </c>
      <c r="AL966" s="322">
        <f>IFERROR(Calculations[[#This Row],[Data Quality Score]]*Calculations[[#This Row],[Total Kg]],0)</f>
        <v>0</v>
      </c>
    </row>
    <row r="967" spans="1:38" x14ac:dyDescent="0.3">
      <c r="A967" s="6">
        <f>IFERROR(MaterialsBoQ[[#This Row],[Scope Element]],0)</f>
        <v>0</v>
      </c>
      <c r="B967" t="str">
        <f>IFERROR(MaterialsBoQ[[#This Row],[Material ]],"")</f>
        <v/>
      </c>
      <c r="C967" t="str">
        <f>IFERROR(MaterialsBoQ[[#This Row],[Unit]],"")</f>
        <v/>
      </c>
      <c r="D967" s="322">
        <f>IFERROR(MaterialsBoQ[[#This Row],[Number]],0)</f>
        <v>0</v>
      </c>
      <c r="E967" s="322">
        <f>IFERROR(MaterialsBoQ[[#This Row],[Kg per unit]],0)</f>
        <v>0</v>
      </c>
      <c r="F967" s="322">
        <f>IFERROR(Calculations[[#This Row],[Number]]*Calculations[[#This Row],[Conversion factor]],0)</f>
        <v>0</v>
      </c>
      <c r="G967" s="322">
        <f>IFERROR(VLOOKUP(Calculations[[#This Row],[Material (choose from dropdown]],MaterialData[#All],7,FALSE),0)</f>
        <v>0</v>
      </c>
      <c r="H967" s="322">
        <f>Calculations[[#This Row],[Total Kg]]*Calculations[[#This Row],[Carbon Factor]]</f>
        <v>0</v>
      </c>
      <c r="I967" t="str">
        <f>IFERROR(VLOOKUP(Calculations[[#This Row],[Material (choose from dropdown]],MaterialData[#All],2,FALSE),"")</f>
        <v/>
      </c>
      <c r="J967" s="322">
        <f>IFERROR(((VLOOKUP(Calculations[[#This Row],[TransportSource]],TransportDistance[],2,FALSE)*'Stage assumptions'!$C$11)+VLOOKUP(Calculations[[#This Row],[TransportSource]],TransportDistance[],3,FALSE)*'Stage assumptions'!$C$12)*Calculations[[#This Row],[Total Kg]],0)</f>
        <v>0</v>
      </c>
      <c r="K967">
        <f>IFERROR(VLOOKUP(Calculations[[#This Row],[Material (choose from dropdown]], MaterialData[#All],3, FALSE),0)</f>
        <v>0</v>
      </c>
      <c r="L967" s="322">
        <f>IFERROR(VLOOKUP(Calculations[[#This Row],[A5type]],A5WastageRate[#All],2,FALSE)*Calculations[[#This Row],[A1-3]],0)</f>
        <v>0</v>
      </c>
      <c r="N967">
        <f>IFERROR(ROUNDUP(50/VLOOKUP(Calculations[[#This Row],[Scope Element]],B4referenceServiceLife[[Tier 2 element]:[Default Service Life]],2, FALSE)-1,0),0)</f>
        <v>0</v>
      </c>
      <c r="O967" s="322">
        <f>IFERROR((Calculations[[#This Row],[A1-3]]+Calculations[[#This Row],[A4]]+Calculations[[#This Row],[A5]]+Calculations[[#This Row],[C2 total]]+Calculations[[#This Row],[C3 total]]+Calculations[[#This Row],[C4 total]])*Calculations[[#This Row],[Replacements]],0)</f>
        <v>0</v>
      </c>
      <c r="S967" t="str">
        <f>IFERROR(VLOOKUP(Calculations[[#This Row],[Material (choose from dropdown]],MaterialData[#All],4,FALSE),"")</f>
        <v/>
      </c>
      <c r="T967" s="322" cm="1">
        <f t="array" ref="T967">IFERROR(VLOOKUP(Calculations[[#This Row],[Waste 1]],WasteScenario[#All],2,FALSE)*'Stage assumptions'!$C$225*WasteTransportMethod[Emissions Factor
kgCO2e/kg.km]*Calculations[[#This Row],[Total Kg]],0)</f>
        <v>0</v>
      </c>
      <c r="U967" s="322" cm="1">
        <f t="array" ref="U967">IFERROR(VLOOKUP(Calculations[[#This Row],[Waste 1]],WasteScenario[#All],3,FALSE)*'Stage assumptions'!$C$224*WasteTransportMethod[Emissions Factor
kgCO2e/kg.km]*Calculations[[#This Row],[Total Kg]],0)</f>
        <v>0</v>
      </c>
      <c r="V967" s="322" cm="1">
        <f t="array" ref="V967">IFERROR(VLOOKUP(Calculations[[#This Row],[Waste 1]],WasteScenario[#All],4,FALSE)*'Stage assumptions'!$C$223*WasteTransportMethod[Emissions Factor
kgCO2e/kg.km]*Calculations[[#This Row],[Total Kg]],0)</f>
        <v>0</v>
      </c>
      <c r="W967" s="322" cm="1">
        <f t="array" ref="W967">IFERROR(VLOOKUP(Calculations[[#This Row],[Waste 1]],WasteScenario[#All],5,FALSE)*'Stage assumptions'!$C$226*WasteTransportMethod[Emissions Factor
kgCO2e/kg.km]*Calculations[[#This Row],[Total Kg]],0)</f>
        <v>0</v>
      </c>
      <c r="X967" s="322">
        <f>SUM(Calculations[[#This Row],[C2 Recycle]:[C2 Reuse]])</f>
        <v>0</v>
      </c>
      <c r="Y967" t="str">
        <f>IFERROR(VLOOKUP(Calculations[[#This Row],[Material (choose from dropdown]],MaterialData[#All],5,FALSE),"")</f>
        <v/>
      </c>
      <c r="Z967" s="322">
        <f>IFERROR(((VLOOKUP(Calculations[[#This Row],[Waste type 2]],WasteDisposalEmissions[#All],2,FALSE))*Calculations[[#This Row],[Total Kg]])*VLOOKUP(Calculations[[#This Row],[Waste 1]],WasteScenario[#All],2,FALSE),0)</f>
        <v>0</v>
      </c>
      <c r="AA967" s="322">
        <f>IFERROR((VLOOKUP(Calculations[[#This Row],[Waste type 2]],WasteDisposalEmissions[#All],3,FALSE))*Calculations[[#This Row],[Total Kg]]*VLOOKUP(Calculations[[#This Row],[Waste 1]],WasteScenario[#All],3,FALSE),0)</f>
        <v>0</v>
      </c>
      <c r="AB967" s="322">
        <f>SUM(Calculations[[#This Row],[C3 recyc]:[C3 incin]])</f>
        <v>0</v>
      </c>
      <c r="AC967" s="334">
        <f>IFERROR((VLOOKUP(Calculations[[#This Row],[Waste type 2]],WasteLandfillEmissions[#All],2,FALSE))*Calculations[[#This Row],[Total Kg]]*VLOOKUP(Calculations[[#This Row],[Waste 1]],WasteScenario[#All],4,FALSE),0)</f>
        <v>0</v>
      </c>
      <c r="AD967" s="322">
        <f>IFERROR((VLOOKUP(Calculations[[#This Row],[Waste type 2]],WasteLandfillEmissions[#All],3,FALSE))*Calculations[[#This Row],[Total Kg]]*VLOOKUP(Calculations[[#This Row],[Waste 1]],WasteScenario[#All],4,FALSE),0)</f>
        <v>0</v>
      </c>
      <c r="AE967" s="322">
        <f>SUM(Calculations[[#This Row],[C4 landfill]:[C4 re-use]])</f>
        <v>0</v>
      </c>
      <c r="AF967" s="322">
        <f>IFERROR(VLOOKUP(Calculations[[#This Row],[Material (choose from dropdown]],MaterialData[#All],8,FALSE),0)</f>
        <v>0</v>
      </c>
      <c r="AG967" s="322">
        <f>IFERROR(Calculations[[#This Row],[Total Kg]]*Calculations[[#This Row],[Seq factor]],0)</f>
        <v>0</v>
      </c>
      <c r="AI967" s="322">
        <f>Calculations[[#This Row],[A1-3]]+Calculations[[#This Row],[A4]]+Calculations[[#This Row],[A5]]+Calculations[[#This Row],[B4]]+Calculations[[#This Row],[C2 total]]+Calculations[[#This Row],[C3 total]]+Calculations[[#This Row],[C4 total]]</f>
        <v>0</v>
      </c>
      <c r="AJ967" s="2">
        <f>IFERROR(VLOOKUP(Calculations[[#This Row],[Material (choose from dropdown]],MaterialData[[#Headers],[#Data]],9,FALSE),0)</f>
        <v>0</v>
      </c>
      <c r="AK967" s="4">
        <f>IFERROR(VLOOKUP(Calculations[[#This Row],[Material (choose from dropdown]],MaterialData[[#Headers],[#Data]],10,FALSE),0)</f>
        <v>0</v>
      </c>
      <c r="AL967" s="322">
        <f>IFERROR(Calculations[[#This Row],[Data Quality Score]]*Calculations[[#This Row],[Total Kg]],0)</f>
        <v>0</v>
      </c>
    </row>
    <row r="968" spans="1:38" x14ac:dyDescent="0.3">
      <c r="A968" s="6">
        <f>IFERROR(MaterialsBoQ[[#This Row],[Scope Element]],0)</f>
        <v>0</v>
      </c>
      <c r="B968" t="str">
        <f>IFERROR(MaterialsBoQ[[#This Row],[Material ]],"")</f>
        <v/>
      </c>
      <c r="C968" t="str">
        <f>IFERROR(MaterialsBoQ[[#This Row],[Unit]],"")</f>
        <v/>
      </c>
      <c r="D968" s="322">
        <f>IFERROR(MaterialsBoQ[[#This Row],[Number]],0)</f>
        <v>0</v>
      </c>
      <c r="E968" s="322">
        <f>IFERROR(MaterialsBoQ[[#This Row],[Kg per unit]],0)</f>
        <v>0</v>
      </c>
      <c r="F968" s="322">
        <f>IFERROR(Calculations[[#This Row],[Number]]*Calculations[[#This Row],[Conversion factor]],0)</f>
        <v>0</v>
      </c>
      <c r="G968" s="322">
        <f>IFERROR(VLOOKUP(Calculations[[#This Row],[Material (choose from dropdown]],MaterialData[#All],7,FALSE),0)</f>
        <v>0</v>
      </c>
      <c r="H968" s="322">
        <f>Calculations[[#This Row],[Total Kg]]*Calculations[[#This Row],[Carbon Factor]]</f>
        <v>0</v>
      </c>
      <c r="I968" t="str">
        <f>IFERROR(VLOOKUP(Calculations[[#This Row],[Material (choose from dropdown]],MaterialData[#All],2,FALSE),"")</f>
        <v/>
      </c>
      <c r="J968" s="322">
        <f>IFERROR(((VLOOKUP(Calculations[[#This Row],[TransportSource]],TransportDistance[],2,FALSE)*'Stage assumptions'!$C$11)+VLOOKUP(Calculations[[#This Row],[TransportSource]],TransportDistance[],3,FALSE)*'Stage assumptions'!$C$12)*Calculations[[#This Row],[Total Kg]],0)</f>
        <v>0</v>
      </c>
      <c r="K968">
        <f>IFERROR(VLOOKUP(Calculations[[#This Row],[Material (choose from dropdown]], MaterialData[#All],3, FALSE),0)</f>
        <v>0</v>
      </c>
      <c r="L968" s="322">
        <f>IFERROR(VLOOKUP(Calculations[[#This Row],[A5type]],A5WastageRate[#All],2,FALSE)*Calculations[[#This Row],[A1-3]],0)</f>
        <v>0</v>
      </c>
      <c r="N968">
        <f>IFERROR(ROUNDUP(50/VLOOKUP(Calculations[[#This Row],[Scope Element]],B4referenceServiceLife[[Tier 2 element]:[Default Service Life]],2, FALSE)-1,0),0)</f>
        <v>0</v>
      </c>
      <c r="O968" s="322">
        <f>IFERROR((Calculations[[#This Row],[A1-3]]+Calculations[[#This Row],[A4]]+Calculations[[#This Row],[A5]]+Calculations[[#This Row],[C2 total]]+Calculations[[#This Row],[C3 total]]+Calculations[[#This Row],[C4 total]])*Calculations[[#This Row],[Replacements]],0)</f>
        <v>0</v>
      </c>
      <c r="S968" t="str">
        <f>IFERROR(VLOOKUP(Calculations[[#This Row],[Material (choose from dropdown]],MaterialData[#All],4,FALSE),"")</f>
        <v/>
      </c>
      <c r="T968" s="322" cm="1">
        <f t="array" ref="T968">IFERROR(VLOOKUP(Calculations[[#This Row],[Waste 1]],WasteScenario[#All],2,FALSE)*'Stage assumptions'!$C$225*WasteTransportMethod[Emissions Factor
kgCO2e/kg.km]*Calculations[[#This Row],[Total Kg]],0)</f>
        <v>0</v>
      </c>
      <c r="U968" s="322" cm="1">
        <f t="array" ref="U968">IFERROR(VLOOKUP(Calculations[[#This Row],[Waste 1]],WasteScenario[#All],3,FALSE)*'Stage assumptions'!$C$224*WasteTransportMethod[Emissions Factor
kgCO2e/kg.km]*Calculations[[#This Row],[Total Kg]],0)</f>
        <v>0</v>
      </c>
      <c r="V968" s="322" cm="1">
        <f t="array" ref="V968">IFERROR(VLOOKUP(Calculations[[#This Row],[Waste 1]],WasteScenario[#All],4,FALSE)*'Stage assumptions'!$C$223*WasteTransportMethod[Emissions Factor
kgCO2e/kg.km]*Calculations[[#This Row],[Total Kg]],0)</f>
        <v>0</v>
      </c>
      <c r="W968" s="322" cm="1">
        <f t="array" ref="W968">IFERROR(VLOOKUP(Calculations[[#This Row],[Waste 1]],WasteScenario[#All],5,FALSE)*'Stage assumptions'!$C$226*WasteTransportMethod[Emissions Factor
kgCO2e/kg.km]*Calculations[[#This Row],[Total Kg]],0)</f>
        <v>0</v>
      </c>
      <c r="X968" s="322">
        <f>SUM(Calculations[[#This Row],[C2 Recycle]:[C2 Reuse]])</f>
        <v>0</v>
      </c>
      <c r="Y968" t="str">
        <f>IFERROR(VLOOKUP(Calculations[[#This Row],[Material (choose from dropdown]],MaterialData[#All],5,FALSE),"")</f>
        <v/>
      </c>
      <c r="Z968" s="322">
        <f>IFERROR(((VLOOKUP(Calculations[[#This Row],[Waste type 2]],WasteDisposalEmissions[#All],2,FALSE))*Calculations[[#This Row],[Total Kg]])*VLOOKUP(Calculations[[#This Row],[Waste 1]],WasteScenario[#All],2,FALSE),0)</f>
        <v>0</v>
      </c>
      <c r="AA968" s="322">
        <f>IFERROR((VLOOKUP(Calculations[[#This Row],[Waste type 2]],WasteDisposalEmissions[#All],3,FALSE))*Calculations[[#This Row],[Total Kg]]*VLOOKUP(Calculations[[#This Row],[Waste 1]],WasteScenario[#All],3,FALSE),0)</f>
        <v>0</v>
      </c>
      <c r="AB968" s="322">
        <f>SUM(Calculations[[#This Row],[C3 recyc]:[C3 incin]])</f>
        <v>0</v>
      </c>
      <c r="AC968" s="334">
        <f>IFERROR((VLOOKUP(Calculations[[#This Row],[Waste type 2]],WasteLandfillEmissions[#All],2,FALSE))*Calculations[[#This Row],[Total Kg]]*VLOOKUP(Calculations[[#This Row],[Waste 1]],WasteScenario[#All],4,FALSE),0)</f>
        <v>0</v>
      </c>
      <c r="AD968" s="322">
        <f>IFERROR((VLOOKUP(Calculations[[#This Row],[Waste type 2]],WasteLandfillEmissions[#All],3,FALSE))*Calculations[[#This Row],[Total Kg]]*VLOOKUP(Calculations[[#This Row],[Waste 1]],WasteScenario[#All],4,FALSE),0)</f>
        <v>0</v>
      </c>
      <c r="AE968" s="322">
        <f>SUM(Calculations[[#This Row],[C4 landfill]:[C4 re-use]])</f>
        <v>0</v>
      </c>
      <c r="AF968" s="322">
        <f>IFERROR(VLOOKUP(Calculations[[#This Row],[Material (choose from dropdown]],MaterialData[#All],8,FALSE),0)</f>
        <v>0</v>
      </c>
      <c r="AG968" s="322">
        <f>IFERROR(Calculations[[#This Row],[Total Kg]]*Calculations[[#This Row],[Seq factor]],0)</f>
        <v>0</v>
      </c>
      <c r="AI968" s="322">
        <f>Calculations[[#This Row],[A1-3]]+Calculations[[#This Row],[A4]]+Calculations[[#This Row],[A5]]+Calculations[[#This Row],[B4]]+Calculations[[#This Row],[C2 total]]+Calculations[[#This Row],[C3 total]]+Calculations[[#This Row],[C4 total]]</f>
        <v>0</v>
      </c>
      <c r="AJ968" s="2">
        <f>IFERROR(VLOOKUP(Calculations[[#This Row],[Material (choose from dropdown]],MaterialData[[#Headers],[#Data]],9,FALSE),0)</f>
        <v>0</v>
      </c>
      <c r="AK968" s="4">
        <f>IFERROR(VLOOKUP(Calculations[[#This Row],[Material (choose from dropdown]],MaterialData[[#Headers],[#Data]],10,FALSE),0)</f>
        <v>0</v>
      </c>
      <c r="AL968" s="322">
        <f>IFERROR(Calculations[[#This Row],[Data Quality Score]]*Calculations[[#This Row],[Total Kg]],0)</f>
        <v>0</v>
      </c>
    </row>
    <row r="969" spans="1:38" x14ac:dyDescent="0.3">
      <c r="A969" s="6">
        <f>IFERROR(MaterialsBoQ[[#This Row],[Scope Element]],0)</f>
        <v>0</v>
      </c>
      <c r="B969" t="str">
        <f>IFERROR(MaterialsBoQ[[#This Row],[Material ]],"")</f>
        <v/>
      </c>
      <c r="C969" t="str">
        <f>IFERROR(MaterialsBoQ[[#This Row],[Unit]],"")</f>
        <v/>
      </c>
      <c r="D969" s="322">
        <f>IFERROR(MaterialsBoQ[[#This Row],[Number]],0)</f>
        <v>0</v>
      </c>
      <c r="E969" s="322">
        <f>IFERROR(MaterialsBoQ[[#This Row],[Kg per unit]],0)</f>
        <v>0</v>
      </c>
      <c r="F969" s="322">
        <f>IFERROR(Calculations[[#This Row],[Number]]*Calculations[[#This Row],[Conversion factor]],0)</f>
        <v>0</v>
      </c>
      <c r="G969" s="322">
        <f>IFERROR(VLOOKUP(Calculations[[#This Row],[Material (choose from dropdown]],MaterialData[#All],7,FALSE),0)</f>
        <v>0</v>
      </c>
      <c r="H969" s="322">
        <f>Calculations[[#This Row],[Total Kg]]*Calculations[[#This Row],[Carbon Factor]]</f>
        <v>0</v>
      </c>
      <c r="I969" t="str">
        <f>IFERROR(VLOOKUP(Calculations[[#This Row],[Material (choose from dropdown]],MaterialData[#All],2,FALSE),"")</f>
        <v/>
      </c>
      <c r="J969" s="322">
        <f>IFERROR(((VLOOKUP(Calculations[[#This Row],[TransportSource]],TransportDistance[],2,FALSE)*'Stage assumptions'!$C$11)+VLOOKUP(Calculations[[#This Row],[TransportSource]],TransportDistance[],3,FALSE)*'Stage assumptions'!$C$12)*Calculations[[#This Row],[Total Kg]],0)</f>
        <v>0</v>
      </c>
      <c r="K969">
        <f>IFERROR(VLOOKUP(Calculations[[#This Row],[Material (choose from dropdown]], MaterialData[#All],3, FALSE),0)</f>
        <v>0</v>
      </c>
      <c r="L969" s="322">
        <f>IFERROR(VLOOKUP(Calculations[[#This Row],[A5type]],A5WastageRate[#All],2,FALSE)*Calculations[[#This Row],[A1-3]],0)</f>
        <v>0</v>
      </c>
      <c r="N969">
        <f>IFERROR(ROUNDUP(50/VLOOKUP(Calculations[[#This Row],[Scope Element]],B4referenceServiceLife[[Tier 2 element]:[Default Service Life]],2, FALSE)-1,0),0)</f>
        <v>0</v>
      </c>
      <c r="O969" s="322">
        <f>IFERROR((Calculations[[#This Row],[A1-3]]+Calculations[[#This Row],[A4]]+Calculations[[#This Row],[A5]]+Calculations[[#This Row],[C2 total]]+Calculations[[#This Row],[C3 total]]+Calculations[[#This Row],[C4 total]])*Calculations[[#This Row],[Replacements]],0)</f>
        <v>0</v>
      </c>
      <c r="S969" t="str">
        <f>IFERROR(VLOOKUP(Calculations[[#This Row],[Material (choose from dropdown]],MaterialData[#All],4,FALSE),"")</f>
        <v/>
      </c>
      <c r="T969" s="322" cm="1">
        <f t="array" ref="T969">IFERROR(VLOOKUP(Calculations[[#This Row],[Waste 1]],WasteScenario[#All],2,FALSE)*'Stage assumptions'!$C$225*WasteTransportMethod[Emissions Factor
kgCO2e/kg.km]*Calculations[[#This Row],[Total Kg]],0)</f>
        <v>0</v>
      </c>
      <c r="U969" s="322" cm="1">
        <f t="array" ref="U969">IFERROR(VLOOKUP(Calculations[[#This Row],[Waste 1]],WasteScenario[#All],3,FALSE)*'Stage assumptions'!$C$224*WasteTransportMethod[Emissions Factor
kgCO2e/kg.km]*Calculations[[#This Row],[Total Kg]],0)</f>
        <v>0</v>
      </c>
      <c r="V969" s="322" cm="1">
        <f t="array" ref="V969">IFERROR(VLOOKUP(Calculations[[#This Row],[Waste 1]],WasteScenario[#All],4,FALSE)*'Stage assumptions'!$C$223*WasteTransportMethod[Emissions Factor
kgCO2e/kg.km]*Calculations[[#This Row],[Total Kg]],0)</f>
        <v>0</v>
      </c>
      <c r="W969" s="322" cm="1">
        <f t="array" ref="W969">IFERROR(VLOOKUP(Calculations[[#This Row],[Waste 1]],WasteScenario[#All],5,FALSE)*'Stage assumptions'!$C$226*WasteTransportMethod[Emissions Factor
kgCO2e/kg.km]*Calculations[[#This Row],[Total Kg]],0)</f>
        <v>0</v>
      </c>
      <c r="X969" s="322">
        <f>SUM(Calculations[[#This Row],[C2 Recycle]:[C2 Reuse]])</f>
        <v>0</v>
      </c>
      <c r="Y969" t="str">
        <f>IFERROR(VLOOKUP(Calculations[[#This Row],[Material (choose from dropdown]],MaterialData[#All],5,FALSE),"")</f>
        <v/>
      </c>
      <c r="Z969" s="322">
        <f>IFERROR(((VLOOKUP(Calculations[[#This Row],[Waste type 2]],WasteDisposalEmissions[#All],2,FALSE))*Calculations[[#This Row],[Total Kg]])*VLOOKUP(Calculations[[#This Row],[Waste 1]],WasteScenario[#All],2,FALSE),0)</f>
        <v>0</v>
      </c>
      <c r="AA969" s="322">
        <f>IFERROR((VLOOKUP(Calculations[[#This Row],[Waste type 2]],WasteDisposalEmissions[#All],3,FALSE))*Calculations[[#This Row],[Total Kg]]*VLOOKUP(Calculations[[#This Row],[Waste 1]],WasteScenario[#All],3,FALSE),0)</f>
        <v>0</v>
      </c>
      <c r="AB969" s="322">
        <f>SUM(Calculations[[#This Row],[C3 recyc]:[C3 incin]])</f>
        <v>0</v>
      </c>
      <c r="AC969" s="334">
        <f>IFERROR((VLOOKUP(Calculations[[#This Row],[Waste type 2]],WasteLandfillEmissions[#All],2,FALSE))*Calculations[[#This Row],[Total Kg]]*VLOOKUP(Calculations[[#This Row],[Waste 1]],WasteScenario[#All],4,FALSE),0)</f>
        <v>0</v>
      </c>
      <c r="AD969" s="322">
        <f>IFERROR((VLOOKUP(Calculations[[#This Row],[Waste type 2]],WasteLandfillEmissions[#All],3,FALSE))*Calculations[[#This Row],[Total Kg]]*VLOOKUP(Calculations[[#This Row],[Waste 1]],WasteScenario[#All],4,FALSE),0)</f>
        <v>0</v>
      </c>
      <c r="AE969" s="322">
        <f>SUM(Calculations[[#This Row],[C4 landfill]:[C4 re-use]])</f>
        <v>0</v>
      </c>
      <c r="AF969" s="322">
        <f>IFERROR(VLOOKUP(Calculations[[#This Row],[Material (choose from dropdown]],MaterialData[#All],8,FALSE),0)</f>
        <v>0</v>
      </c>
      <c r="AG969" s="322">
        <f>IFERROR(Calculations[[#This Row],[Total Kg]]*Calculations[[#This Row],[Seq factor]],0)</f>
        <v>0</v>
      </c>
      <c r="AI969" s="322">
        <f>Calculations[[#This Row],[A1-3]]+Calculations[[#This Row],[A4]]+Calculations[[#This Row],[A5]]+Calculations[[#This Row],[B4]]+Calculations[[#This Row],[C2 total]]+Calculations[[#This Row],[C3 total]]+Calculations[[#This Row],[C4 total]]</f>
        <v>0</v>
      </c>
      <c r="AJ969" s="2">
        <f>IFERROR(VLOOKUP(Calculations[[#This Row],[Material (choose from dropdown]],MaterialData[[#Headers],[#Data]],9,FALSE),0)</f>
        <v>0</v>
      </c>
      <c r="AK969" s="4">
        <f>IFERROR(VLOOKUP(Calculations[[#This Row],[Material (choose from dropdown]],MaterialData[[#Headers],[#Data]],10,FALSE),0)</f>
        <v>0</v>
      </c>
      <c r="AL969" s="322">
        <f>IFERROR(Calculations[[#This Row],[Data Quality Score]]*Calculations[[#This Row],[Total Kg]],0)</f>
        <v>0</v>
      </c>
    </row>
    <row r="970" spans="1:38" x14ac:dyDescent="0.3">
      <c r="A970" s="6">
        <f>IFERROR(MaterialsBoQ[[#This Row],[Scope Element]],0)</f>
        <v>0</v>
      </c>
      <c r="B970" t="str">
        <f>IFERROR(MaterialsBoQ[[#This Row],[Material ]],"")</f>
        <v/>
      </c>
      <c r="C970" t="str">
        <f>IFERROR(MaterialsBoQ[[#This Row],[Unit]],"")</f>
        <v/>
      </c>
      <c r="D970" s="322">
        <f>IFERROR(MaterialsBoQ[[#This Row],[Number]],0)</f>
        <v>0</v>
      </c>
      <c r="E970" s="322">
        <f>IFERROR(MaterialsBoQ[[#This Row],[Kg per unit]],0)</f>
        <v>0</v>
      </c>
      <c r="F970" s="322">
        <f>IFERROR(Calculations[[#This Row],[Number]]*Calculations[[#This Row],[Conversion factor]],0)</f>
        <v>0</v>
      </c>
      <c r="G970" s="322">
        <f>IFERROR(VLOOKUP(Calculations[[#This Row],[Material (choose from dropdown]],MaterialData[#All],7,FALSE),0)</f>
        <v>0</v>
      </c>
      <c r="H970" s="322">
        <f>Calculations[[#This Row],[Total Kg]]*Calculations[[#This Row],[Carbon Factor]]</f>
        <v>0</v>
      </c>
      <c r="I970" t="str">
        <f>IFERROR(VLOOKUP(Calculations[[#This Row],[Material (choose from dropdown]],MaterialData[#All],2,FALSE),"")</f>
        <v/>
      </c>
      <c r="J970" s="322">
        <f>IFERROR(((VLOOKUP(Calculations[[#This Row],[TransportSource]],TransportDistance[],2,FALSE)*'Stage assumptions'!$C$11)+VLOOKUP(Calculations[[#This Row],[TransportSource]],TransportDistance[],3,FALSE)*'Stage assumptions'!$C$12)*Calculations[[#This Row],[Total Kg]],0)</f>
        <v>0</v>
      </c>
      <c r="K970">
        <f>IFERROR(VLOOKUP(Calculations[[#This Row],[Material (choose from dropdown]], MaterialData[#All],3, FALSE),0)</f>
        <v>0</v>
      </c>
      <c r="L970" s="322">
        <f>IFERROR(VLOOKUP(Calculations[[#This Row],[A5type]],A5WastageRate[#All],2,FALSE)*Calculations[[#This Row],[A1-3]],0)</f>
        <v>0</v>
      </c>
      <c r="N970">
        <f>IFERROR(ROUNDUP(50/VLOOKUP(Calculations[[#This Row],[Scope Element]],B4referenceServiceLife[[Tier 2 element]:[Default Service Life]],2, FALSE)-1,0),0)</f>
        <v>0</v>
      </c>
      <c r="O970" s="322">
        <f>IFERROR((Calculations[[#This Row],[A1-3]]+Calculations[[#This Row],[A4]]+Calculations[[#This Row],[A5]]+Calculations[[#This Row],[C2 total]]+Calculations[[#This Row],[C3 total]]+Calculations[[#This Row],[C4 total]])*Calculations[[#This Row],[Replacements]],0)</f>
        <v>0</v>
      </c>
      <c r="S970" t="str">
        <f>IFERROR(VLOOKUP(Calculations[[#This Row],[Material (choose from dropdown]],MaterialData[#All],4,FALSE),"")</f>
        <v/>
      </c>
      <c r="T970" s="322" cm="1">
        <f t="array" ref="T970">IFERROR(VLOOKUP(Calculations[[#This Row],[Waste 1]],WasteScenario[#All],2,FALSE)*'Stage assumptions'!$C$225*WasteTransportMethod[Emissions Factor
kgCO2e/kg.km]*Calculations[[#This Row],[Total Kg]],0)</f>
        <v>0</v>
      </c>
      <c r="U970" s="322" cm="1">
        <f t="array" ref="U970">IFERROR(VLOOKUP(Calculations[[#This Row],[Waste 1]],WasteScenario[#All],3,FALSE)*'Stage assumptions'!$C$224*WasteTransportMethod[Emissions Factor
kgCO2e/kg.km]*Calculations[[#This Row],[Total Kg]],0)</f>
        <v>0</v>
      </c>
      <c r="V970" s="322" cm="1">
        <f t="array" ref="V970">IFERROR(VLOOKUP(Calculations[[#This Row],[Waste 1]],WasteScenario[#All],4,FALSE)*'Stage assumptions'!$C$223*WasteTransportMethod[Emissions Factor
kgCO2e/kg.km]*Calculations[[#This Row],[Total Kg]],0)</f>
        <v>0</v>
      </c>
      <c r="W970" s="322" cm="1">
        <f t="array" ref="W970">IFERROR(VLOOKUP(Calculations[[#This Row],[Waste 1]],WasteScenario[#All],5,FALSE)*'Stage assumptions'!$C$226*WasteTransportMethod[Emissions Factor
kgCO2e/kg.km]*Calculations[[#This Row],[Total Kg]],0)</f>
        <v>0</v>
      </c>
      <c r="X970" s="322">
        <f>SUM(Calculations[[#This Row],[C2 Recycle]:[C2 Reuse]])</f>
        <v>0</v>
      </c>
      <c r="Y970" t="str">
        <f>IFERROR(VLOOKUP(Calculations[[#This Row],[Material (choose from dropdown]],MaterialData[#All],5,FALSE),"")</f>
        <v/>
      </c>
      <c r="Z970" s="322">
        <f>IFERROR(((VLOOKUP(Calculations[[#This Row],[Waste type 2]],WasteDisposalEmissions[#All],2,FALSE))*Calculations[[#This Row],[Total Kg]])*VLOOKUP(Calculations[[#This Row],[Waste 1]],WasteScenario[#All],2,FALSE),0)</f>
        <v>0</v>
      </c>
      <c r="AA970" s="322">
        <f>IFERROR((VLOOKUP(Calculations[[#This Row],[Waste type 2]],WasteDisposalEmissions[#All],3,FALSE))*Calculations[[#This Row],[Total Kg]]*VLOOKUP(Calculations[[#This Row],[Waste 1]],WasteScenario[#All],3,FALSE),0)</f>
        <v>0</v>
      </c>
      <c r="AB970" s="322">
        <f>SUM(Calculations[[#This Row],[C3 recyc]:[C3 incin]])</f>
        <v>0</v>
      </c>
      <c r="AC970" s="334">
        <f>IFERROR((VLOOKUP(Calculations[[#This Row],[Waste type 2]],WasteLandfillEmissions[#All],2,FALSE))*Calculations[[#This Row],[Total Kg]]*VLOOKUP(Calculations[[#This Row],[Waste 1]],WasteScenario[#All],4,FALSE),0)</f>
        <v>0</v>
      </c>
      <c r="AD970" s="322">
        <f>IFERROR((VLOOKUP(Calculations[[#This Row],[Waste type 2]],WasteLandfillEmissions[#All],3,FALSE))*Calculations[[#This Row],[Total Kg]]*VLOOKUP(Calculations[[#This Row],[Waste 1]],WasteScenario[#All],4,FALSE),0)</f>
        <v>0</v>
      </c>
      <c r="AE970" s="322">
        <f>SUM(Calculations[[#This Row],[C4 landfill]:[C4 re-use]])</f>
        <v>0</v>
      </c>
      <c r="AF970" s="322">
        <f>IFERROR(VLOOKUP(Calculations[[#This Row],[Material (choose from dropdown]],MaterialData[#All],8,FALSE),0)</f>
        <v>0</v>
      </c>
      <c r="AG970" s="322">
        <f>IFERROR(Calculations[[#This Row],[Total Kg]]*Calculations[[#This Row],[Seq factor]],0)</f>
        <v>0</v>
      </c>
      <c r="AI970" s="322">
        <f>Calculations[[#This Row],[A1-3]]+Calculations[[#This Row],[A4]]+Calculations[[#This Row],[A5]]+Calculations[[#This Row],[B4]]+Calculations[[#This Row],[C2 total]]+Calculations[[#This Row],[C3 total]]+Calculations[[#This Row],[C4 total]]</f>
        <v>0</v>
      </c>
      <c r="AJ970" s="2">
        <f>IFERROR(VLOOKUP(Calculations[[#This Row],[Material (choose from dropdown]],MaterialData[[#Headers],[#Data]],9,FALSE),0)</f>
        <v>0</v>
      </c>
      <c r="AK970" s="4">
        <f>IFERROR(VLOOKUP(Calculations[[#This Row],[Material (choose from dropdown]],MaterialData[[#Headers],[#Data]],10,FALSE),0)</f>
        <v>0</v>
      </c>
      <c r="AL970" s="322">
        <f>IFERROR(Calculations[[#This Row],[Data Quality Score]]*Calculations[[#This Row],[Total Kg]],0)</f>
        <v>0</v>
      </c>
    </row>
    <row r="971" spans="1:38" x14ac:dyDescent="0.3">
      <c r="A971" s="6">
        <f>IFERROR(MaterialsBoQ[[#This Row],[Scope Element]],0)</f>
        <v>0</v>
      </c>
      <c r="B971" t="str">
        <f>IFERROR(MaterialsBoQ[[#This Row],[Material ]],"")</f>
        <v/>
      </c>
      <c r="C971" t="str">
        <f>IFERROR(MaterialsBoQ[[#This Row],[Unit]],"")</f>
        <v/>
      </c>
      <c r="D971" s="322">
        <f>IFERROR(MaterialsBoQ[[#This Row],[Number]],0)</f>
        <v>0</v>
      </c>
      <c r="E971" s="322">
        <f>IFERROR(MaterialsBoQ[[#This Row],[Kg per unit]],0)</f>
        <v>0</v>
      </c>
      <c r="F971" s="322">
        <f>IFERROR(Calculations[[#This Row],[Number]]*Calculations[[#This Row],[Conversion factor]],0)</f>
        <v>0</v>
      </c>
      <c r="G971" s="322">
        <f>IFERROR(VLOOKUP(Calculations[[#This Row],[Material (choose from dropdown]],MaterialData[#All],7,FALSE),0)</f>
        <v>0</v>
      </c>
      <c r="H971" s="322">
        <f>Calculations[[#This Row],[Total Kg]]*Calculations[[#This Row],[Carbon Factor]]</f>
        <v>0</v>
      </c>
      <c r="I971" t="str">
        <f>IFERROR(VLOOKUP(Calculations[[#This Row],[Material (choose from dropdown]],MaterialData[#All],2,FALSE),"")</f>
        <v/>
      </c>
      <c r="J971" s="322">
        <f>IFERROR(((VLOOKUP(Calculations[[#This Row],[TransportSource]],TransportDistance[],2,FALSE)*'Stage assumptions'!$C$11)+VLOOKUP(Calculations[[#This Row],[TransportSource]],TransportDistance[],3,FALSE)*'Stage assumptions'!$C$12)*Calculations[[#This Row],[Total Kg]],0)</f>
        <v>0</v>
      </c>
      <c r="K971">
        <f>IFERROR(VLOOKUP(Calculations[[#This Row],[Material (choose from dropdown]], MaterialData[#All],3, FALSE),0)</f>
        <v>0</v>
      </c>
      <c r="L971" s="322">
        <f>IFERROR(VLOOKUP(Calculations[[#This Row],[A5type]],A5WastageRate[#All],2,FALSE)*Calculations[[#This Row],[A1-3]],0)</f>
        <v>0</v>
      </c>
      <c r="N971">
        <f>IFERROR(ROUNDUP(50/VLOOKUP(Calculations[[#This Row],[Scope Element]],B4referenceServiceLife[[Tier 2 element]:[Default Service Life]],2, FALSE)-1,0),0)</f>
        <v>0</v>
      </c>
      <c r="O971" s="322">
        <f>IFERROR((Calculations[[#This Row],[A1-3]]+Calculations[[#This Row],[A4]]+Calculations[[#This Row],[A5]]+Calculations[[#This Row],[C2 total]]+Calculations[[#This Row],[C3 total]]+Calculations[[#This Row],[C4 total]])*Calculations[[#This Row],[Replacements]],0)</f>
        <v>0</v>
      </c>
      <c r="S971" t="str">
        <f>IFERROR(VLOOKUP(Calculations[[#This Row],[Material (choose from dropdown]],MaterialData[#All],4,FALSE),"")</f>
        <v/>
      </c>
      <c r="T971" s="322" cm="1">
        <f t="array" ref="T971">IFERROR(VLOOKUP(Calculations[[#This Row],[Waste 1]],WasteScenario[#All],2,FALSE)*'Stage assumptions'!$C$225*WasteTransportMethod[Emissions Factor
kgCO2e/kg.km]*Calculations[[#This Row],[Total Kg]],0)</f>
        <v>0</v>
      </c>
      <c r="U971" s="322" cm="1">
        <f t="array" ref="U971">IFERROR(VLOOKUP(Calculations[[#This Row],[Waste 1]],WasteScenario[#All],3,FALSE)*'Stage assumptions'!$C$224*WasteTransportMethod[Emissions Factor
kgCO2e/kg.km]*Calculations[[#This Row],[Total Kg]],0)</f>
        <v>0</v>
      </c>
      <c r="V971" s="322" cm="1">
        <f t="array" ref="V971">IFERROR(VLOOKUP(Calculations[[#This Row],[Waste 1]],WasteScenario[#All],4,FALSE)*'Stage assumptions'!$C$223*WasteTransportMethod[Emissions Factor
kgCO2e/kg.km]*Calculations[[#This Row],[Total Kg]],0)</f>
        <v>0</v>
      </c>
      <c r="W971" s="322" cm="1">
        <f t="array" ref="W971">IFERROR(VLOOKUP(Calculations[[#This Row],[Waste 1]],WasteScenario[#All],5,FALSE)*'Stage assumptions'!$C$226*WasteTransportMethod[Emissions Factor
kgCO2e/kg.km]*Calculations[[#This Row],[Total Kg]],0)</f>
        <v>0</v>
      </c>
      <c r="X971" s="322">
        <f>SUM(Calculations[[#This Row],[C2 Recycle]:[C2 Reuse]])</f>
        <v>0</v>
      </c>
      <c r="Y971" t="str">
        <f>IFERROR(VLOOKUP(Calculations[[#This Row],[Material (choose from dropdown]],MaterialData[#All],5,FALSE),"")</f>
        <v/>
      </c>
      <c r="Z971" s="322">
        <f>IFERROR(((VLOOKUP(Calculations[[#This Row],[Waste type 2]],WasteDisposalEmissions[#All],2,FALSE))*Calculations[[#This Row],[Total Kg]])*VLOOKUP(Calculations[[#This Row],[Waste 1]],WasteScenario[#All],2,FALSE),0)</f>
        <v>0</v>
      </c>
      <c r="AA971" s="322">
        <f>IFERROR((VLOOKUP(Calculations[[#This Row],[Waste type 2]],WasteDisposalEmissions[#All],3,FALSE))*Calculations[[#This Row],[Total Kg]]*VLOOKUP(Calculations[[#This Row],[Waste 1]],WasteScenario[#All],3,FALSE),0)</f>
        <v>0</v>
      </c>
      <c r="AB971" s="322">
        <f>SUM(Calculations[[#This Row],[C3 recyc]:[C3 incin]])</f>
        <v>0</v>
      </c>
      <c r="AC971" s="334">
        <f>IFERROR((VLOOKUP(Calculations[[#This Row],[Waste type 2]],WasteLandfillEmissions[#All],2,FALSE))*Calculations[[#This Row],[Total Kg]]*VLOOKUP(Calculations[[#This Row],[Waste 1]],WasteScenario[#All],4,FALSE),0)</f>
        <v>0</v>
      </c>
      <c r="AD971" s="322">
        <f>IFERROR((VLOOKUP(Calculations[[#This Row],[Waste type 2]],WasteLandfillEmissions[#All],3,FALSE))*Calculations[[#This Row],[Total Kg]]*VLOOKUP(Calculations[[#This Row],[Waste 1]],WasteScenario[#All],4,FALSE),0)</f>
        <v>0</v>
      </c>
      <c r="AE971" s="322">
        <f>SUM(Calculations[[#This Row],[C4 landfill]:[C4 re-use]])</f>
        <v>0</v>
      </c>
      <c r="AF971" s="322">
        <f>IFERROR(VLOOKUP(Calculations[[#This Row],[Material (choose from dropdown]],MaterialData[#All],8,FALSE),0)</f>
        <v>0</v>
      </c>
      <c r="AG971" s="322">
        <f>IFERROR(Calculations[[#This Row],[Total Kg]]*Calculations[[#This Row],[Seq factor]],0)</f>
        <v>0</v>
      </c>
      <c r="AI971" s="322">
        <f>Calculations[[#This Row],[A1-3]]+Calculations[[#This Row],[A4]]+Calculations[[#This Row],[A5]]+Calculations[[#This Row],[B4]]+Calculations[[#This Row],[C2 total]]+Calculations[[#This Row],[C3 total]]+Calculations[[#This Row],[C4 total]]</f>
        <v>0</v>
      </c>
      <c r="AJ971" s="2">
        <f>IFERROR(VLOOKUP(Calculations[[#This Row],[Material (choose from dropdown]],MaterialData[[#Headers],[#Data]],9,FALSE),0)</f>
        <v>0</v>
      </c>
      <c r="AK971" s="4">
        <f>IFERROR(VLOOKUP(Calculations[[#This Row],[Material (choose from dropdown]],MaterialData[[#Headers],[#Data]],10,FALSE),0)</f>
        <v>0</v>
      </c>
      <c r="AL971" s="322">
        <f>IFERROR(Calculations[[#This Row],[Data Quality Score]]*Calculations[[#This Row],[Total Kg]],0)</f>
        <v>0</v>
      </c>
    </row>
    <row r="972" spans="1:38" x14ac:dyDescent="0.3">
      <c r="A972" s="6">
        <f>IFERROR(MaterialsBoQ[[#This Row],[Scope Element]],0)</f>
        <v>0</v>
      </c>
      <c r="B972" t="str">
        <f>IFERROR(MaterialsBoQ[[#This Row],[Material ]],"")</f>
        <v/>
      </c>
      <c r="C972" t="str">
        <f>IFERROR(MaterialsBoQ[[#This Row],[Unit]],"")</f>
        <v/>
      </c>
      <c r="D972" s="322">
        <f>IFERROR(MaterialsBoQ[[#This Row],[Number]],0)</f>
        <v>0</v>
      </c>
      <c r="E972" s="322">
        <f>IFERROR(MaterialsBoQ[[#This Row],[Kg per unit]],0)</f>
        <v>0</v>
      </c>
      <c r="F972" s="322">
        <f>IFERROR(Calculations[[#This Row],[Number]]*Calculations[[#This Row],[Conversion factor]],0)</f>
        <v>0</v>
      </c>
      <c r="G972" s="322">
        <f>IFERROR(VLOOKUP(Calculations[[#This Row],[Material (choose from dropdown]],MaterialData[#All],7,FALSE),0)</f>
        <v>0</v>
      </c>
      <c r="H972" s="322">
        <f>Calculations[[#This Row],[Total Kg]]*Calculations[[#This Row],[Carbon Factor]]</f>
        <v>0</v>
      </c>
      <c r="I972" t="str">
        <f>IFERROR(VLOOKUP(Calculations[[#This Row],[Material (choose from dropdown]],MaterialData[#All],2,FALSE),"")</f>
        <v/>
      </c>
      <c r="J972" s="322">
        <f>IFERROR(((VLOOKUP(Calculations[[#This Row],[TransportSource]],TransportDistance[],2,FALSE)*'Stage assumptions'!$C$11)+VLOOKUP(Calculations[[#This Row],[TransportSource]],TransportDistance[],3,FALSE)*'Stage assumptions'!$C$12)*Calculations[[#This Row],[Total Kg]],0)</f>
        <v>0</v>
      </c>
      <c r="K972">
        <f>IFERROR(VLOOKUP(Calculations[[#This Row],[Material (choose from dropdown]], MaterialData[#All],3, FALSE),0)</f>
        <v>0</v>
      </c>
      <c r="L972" s="322">
        <f>IFERROR(VLOOKUP(Calculations[[#This Row],[A5type]],A5WastageRate[#All],2,FALSE)*Calculations[[#This Row],[A1-3]],0)</f>
        <v>0</v>
      </c>
      <c r="N972">
        <f>IFERROR(ROUNDUP(50/VLOOKUP(Calculations[[#This Row],[Scope Element]],B4referenceServiceLife[[Tier 2 element]:[Default Service Life]],2, FALSE)-1,0),0)</f>
        <v>0</v>
      </c>
      <c r="O972" s="322">
        <f>IFERROR((Calculations[[#This Row],[A1-3]]+Calculations[[#This Row],[A4]]+Calculations[[#This Row],[A5]]+Calculations[[#This Row],[C2 total]]+Calculations[[#This Row],[C3 total]]+Calculations[[#This Row],[C4 total]])*Calculations[[#This Row],[Replacements]],0)</f>
        <v>0</v>
      </c>
      <c r="S972" t="str">
        <f>IFERROR(VLOOKUP(Calculations[[#This Row],[Material (choose from dropdown]],MaterialData[#All],4,FALSE),"")</f>
        <v/>
      </c>
      <c r="T972" s="322" cm="1">
        <f t="array" ref="T972">IFERROR(VLOOKUP(Calculations[[#This Row],[Waste 1]],WasteScenario[#All],2,FALSE)*'Stage assumptions'!$C$225*WasteTransportMethod[Emissions Factor
kgCO2e/kg.km]*Calculations[[#This Row],[Total Kg]],0)</f>
        <v>0</v>
      </c>
      <c r="U972" s="322" cm="1">
        <f t="array" ref="U972">IFERROR(VLOOKUP(Calculations[[#This Row],[Waste 1]],WasteScenario[#All],3,FALSE)*'Stage assumptions'!$C$224*WasteTransportMethod[Emissions Factor
kgCO2e/kg.km]*Calculations[[#This Row],[Total Kg]],0)</f>
        <v>0</v>
      </c>
      <c r="V972" s="322" cm="1">
        <f t="array" ref="V972">IFERROR(VLOOKUP(Calculations[[#This Row],[Waste 1]],WasteScenario[#All],4,FALSE)*'Stage assumptions'!$C$223*WasteTransportMethod[Emissions Factor
kgCO2e/kg.km]*Calculations[[#This Row],[Total Kg]],0)</f>
        <v>0</v>
      </c>
      <c r="W972" s="322" cm="1">
        <f t="array" ref="W972">IFERROR(VLOOKUP(Calculations[[#This Row],[Waste 1]],WasteScenario[#All],5,FALSE)*'Stage assumptions'!$C$226*WasteTransportMethod[Emissions Factor
kgCO2e/kg.km]*Calculations[[#This Row],[Total Kg]],0)</f>
        <v>0</v>
      </c>
      <c r="X972" s="322">
        <f>SUM(Calculations[[#This Row],[C2 Recycle]:[C2 Reuse]])</f>
        <v>0</v>
      </c>
      <c r="Y972" t="str">
        <f>IFERROR(VLOOKUP(Calculations[[#This Row],[Material (choose from dropdown]],MaterialData[#All],5,FALSE),"")</f>
        <v/>
      </c>
      <c r="Z972" s="322">
        <f>IFERROR(((VLOOKUP(Calculations[[#This Row],[Waste type 2]],WasteDisposalEmissions[#All],2,FALSE))*Calculations[[#This Row],[Total Kg]])*VLOOKUP(Calculations[[#This Row],[Waste 1]],WasteScenario[#All],2,FALSE),0)</f>
        <v>0</v>
      </c>
      <c r="AA972" s="322">
        <f>IFERROR((VLOOKUP(Calculations[[#This Row],[Waste type 2]],WasteDisposalEmissions[#All],3,FALSE))*Calculations[[#This Row],[Total Kg]]*VLOOKUP(Calculations[[#This Row],[Waste 1]],WasteScenario[#All],3,FALSE),0)</f>
        <v>0</v>
      </c>
      <c r="AB972" s="322">
        <f>SUM(Calculations[[#This Row],[C3 recyc]:[C3 incin]])</f>
        <v>0</v>
      </c>
      <c r="AC972" s="334">
        <f>IFERROR((VLOOKUP(Calculations[[#This Row],[Waste type 2]],WasteLandfillEmissions[#All],2,FALSE))*Calculations[[#This Row],[Total Kg]]*VLOOKUP(Calculations[[#This Row],[Waste 1]],WasteScenario[#All],4,FALSE),0)</f>
        <v>0</v>
      </c>
      <c r="AD972" s="322">
        <f>IFERROR((VLOOKUP(Calculations[[#This Row],[Waste type 2]],WasteLandfillEmissions[#All],3,FALSE))*Calculations[[#This Row],[Total Kg]]*VLOOKUP(Calculations[[#This Row],[Waste 1]],WasteScenario[#All],4,FALSE),0)</f>
        <v>0</v>
      </c>
      <c r="AE972" s="322">
        <f>SUM(Calculations[[#This Row],[C4 landfill]:[C4 re-use]])</f>
        <v>0</v>
      </c>
      <c r="AF972" s="322">
        <f>IFERROR(VLOOKUP(Calculations[[#This Row],[Material (choose from dropdown]],MaterialData[#All],8,FALSE),0)</f>
        <v>0</v>
      </c>
      <c r="AG972" s="322">
        <f>IFERROR(Calculations[[#This Row],[Total Kg]]*Calculations[[#This Row],[Seq factor]],0)</f>
        <v>0</v>
      </c>
      <c r="AI972" s="322">
        <f>Calculations[[#This Row],[A1-3]]+Calculations[[#This Row],[A4]]+Calculations[[#This Row],[A5]]+Calculations[[#This Row],[B4]]+Calculations[[#This Row],[C2 total]]+Calculations[[#This Row],[C3 total]]+Calculations[[#This Row],[C4 total]]</f>
        <v>0</v>
      </c>
      <c r="AJ972" s="2">
        <f>IFERROR(VLOOKUP(Calculations[[#This Row],[Material (choose from dropdown]],MaterialData[[#Headers],[#Data]],9,FALSE),0)</f>
        <v>0</v>
      </c>
      <c r="AK972" s="4">
        <f>IFERROR(VLOOKUP(Calculations[[#This Row],[Material (choose from dropdown]],MaterialData[[#Headers],[#Data]],10,FALSE),0)</f>
        <v>0</v>
      </c>
      <c r="AL972" s="322">
        <f>IFERROR(Calculations[[#This Row],[Data Quality Score]]*Calculations[[#This Row],[Total Kg]],0)</f>
        <v>0</v>
      </c>
    </row>
    <row r="973" spans="1:38" x14ac:dyDescent="0.3">
      <c r="A973" s="6">
        <f>IFERROR(MaterialsBoQ[[#This Row],[Scope Element]],0)</f>
        <v>0</v>
      </c>
      <c r="B973" t="str">
        <f>IFERROR(MaterialsBoQ[[#This Row],[Material ]],"")</f>
        <v/>
      </c>
      <c r="C973" t="str">
        <f>IFERROR(MaterialsBoQ[[#This Row],[Unit]],"")</f>
        <v/>
      </c>
      <c r="D973" s="322">
        <f>IFERROR(MaterialsBoQ[[#This Row],[Number]],0)</f>
        <v>0</v>
      </c>
      <c r="E973" s="322">
        <f>IFERROR(MaterialsBoQ[[#This Row],[Kg per unit]],0)</f>
        <v>0</v>
      </c>
      <c r="F973" s="322">
        <f>IFERROR(Calculations[[#This Row],[Number]]*Calculations[[#This Row],[Conversion factor]],0)</f>
        <v>0</v>
      </c>
      <c r="G973" s="322">
        <f>IFERROR(VLOOKUP(Calculations[[#This Row],[Material (choose from dropdown]],MaterialData[#All],7,FALSE),0)</f>
        <v>0</v>
      </c>
      <c r="H973" s="322">
        <f>Calculations[[#This Row],[Total Kg]]*Calculations[[#This Row],[Carbon Factor]]</f>
        <v>0</v>
      </c>
      <c r="I973" t="str">
        <f>IFERROR(VLOOKUP(Calculations[[#This Row],[Material (choose from dropdown]],MaterialData[#All],2,FALSE),"")</f>
        <v/>
      </c>
      <c r="J973" s="322">
        <f>IFERROR(((VLOOKUP(Calculations[[#This Row],[TransportSource]],TransportDistance[],2,FALSE)*'Stage assumptions'!$C$11)+VLOOKUP(Calculations[[#This Row],[TransportSource]],TransportDistance[],3,FALSE)*'Stage assumptions'!$C$12)*Calculations[[#This Row],[Total Kg]],0)</f>
        <v>0</v>
      </c>
      <c r="K973">
        <f>IFERROR(VLOOKUP(Calculations[[#This Row],[Material (choose from dropdown]], MaterialData[#All],3, FALSE),0)</f>
        <v>0</v>
      </c>
      <c r="L973" s="322">
        <f>IFERROR(VLOOKUP(Calculations[[#This Row],[A5type]],A5WastageRate[#All],2,FALSE)*Calculations[[#This Row],[A1-3]],0)</f>
        <v>0</v>
      </c>
      <c r="N973">
        <f>IFERROR(ROUNDUP(50/VLOOKUP(Calculations[[#This Row],[Scope Element]],B4referenceServiceLife[[Tier 2 element]:[Default Service Life]],2, FALSE)-1,0),0)</f>
        <v>0</v>
      </c>
      <c r="O973" s="322">
        <f>IFERROR((Calculations[[#This Row],[A1-3]]+Calculations[[#This Row],[A4]]+Calculations[[#This Row],[A5]]+Calculations[[#This Row],[C2 total]]+Calculations[[#This Row],[C3 total]]+Calculations[[#This Row],[C4 total]])*Calculations[[#This Row],[Replacements]],0)</f>
        <v>0</v>
      </c>
      <c r="S973" t="str">
        <f>IFERROR(VLOOKUP(Calculations[[#This Row],[Material (choose from dropdown]],MaterialData[#All],4,FALSE),"")</f>
        <v/>
      </c>
      <c r="T973" s="322" cm="1">
        <f t="array" ref="T973">IFERROR(VLOOKUP(Calculations[[#This Row],[Waste 1]],WasteScenario[#All],2,FALSE)*'Stage assumptions'!$C$225*WasteTransportMethod[Emissions Factor
kgCO2e/kg.km]*Calculations[[#This Row],[Total Kg]],0)</f>
        <v>0</v>
      </c>
      <c r="U973" s="322" cm="1">
        <f t="array" ref="U973">IFERROR(VLOOKUP(Calculations[[#This Row],[Waste 1]],WasteScenario[#All],3,FALSE)*'Stage assumptions'!$C$224*WasteTransportMethod[Emissions Factor
kgCO2e/kg.km]*Calculations[[#This Row],[Total Kg]],0)</f>
        <v>0</v>
      </c>
      <c r="V973" s="322" cm="1">
        <f t="array" ref="V973">IFERROR(VLOOKUP(Calculations[[#This Row],[Waste 1]],WasteScenario[#All],4,FALSE)*'Stage assumptions'!$C$223*WasteTransportMethod[Emissions Factor
kgCO2e/kg.km]*Calculations[[#This Row],[Total Kg]],0)</f>
        <v>0</v>
      </c>
      <c r="W973" s="322" cm="1">
        <f t="array" ref="W973">IFERROR(VLOOKUP(Calculations[[#This Row],[Waste 1]],WasteScenario[#All],5,FALSE)*'Stage assumptions'!$C$226*WasteTransportMethod[Emissions Factor
kgCO2e/kg.km]*Calculations[[#This Row],[Total Kg]],0)</f>
        <v>0</v>
      </c>
      <c r="X973" s="322">
        <f>SUM(Calculations[[#This Row],[C2 Recycle]:[C2 Reuse]])</f>
        <v>0</v>
      </c>
      <c r="Y973" t="str">
        <f>IFERROR(VLOOKUP(Calculations[[#This Row],[Material (choose from dropdown]],MaterialData[#All],5,FALSE),"")</f>
        <v/>
      </c>
      <c r="Z973" s="322">
        <f>IFERROR(((VLOOKUP(Calculations[[#This Row],[Waste type 2]],WasteDisposalEmissions[#All],2,FALSE))*Calculations[[#This Row],[Total Kg]])*VLOOKUP(Calculations[[#This Row],[Waste 1]],WasteScenario[#All],2,FALSE),0)</f>
        <v>0</v>
      </c>
      <c r="AA973" s="322">
        <f>IFERROR((VLOOKUP(Calculations[[#This Row],[Waste type 2]],WasteDisposalEmissions[#All],3,FALSE))*Calculations[[#This Row],[Total Kg]]*VLOOKUP(Calculations[[#This Row],[Waste 1]],WasteScenario[#All],3,FALSE),0)</f>
        <v>0</v>
      </c>
      <c r="AB973" s="322">
        <f>SUM(Calculations[[#This Row],[C3 recyc]:[C3 incin]])</f>
        <v>0</v>
      </c>
      <c r="AC973" s="334">
        <f>IFERROR((VLOOKUP(Calculations[[#This Row],[Waste type 2]],WasteLandfillEmissions[#All],2,FALSE))*Calculations[[#This Row],[Total Kg]]*VLOOKUP(Calculations[[#This Row],[Waste 1]],WasteScenario[#All],4,FALSE),0)</f>
        <v>0</v>
      </c>
      <c r="AD973" s="322">
        <f>IFERROR((VLOOKUP(Calculations[[#This Row],[Waste type 2]],WasteLandfillEmissions[#All],3,FALSE))*Calculations[[#This Row],[Total Kg]]*VLOOKUP(Calculations[[#This Row],[Waste 1]],WasteScenario[#All],4,FALSE),0)</f>
        <v>0</v>
      </c>
      <c r="AE973" s="322">
        <f>SUM(Calculations[[#This Row],[C4 landfill]:[C4 re-use]])</f>
        <v>0</v>
      </c>
      <c r="AF973" s="322">
        <f>IFERROR(VLOOKUP(Calculations[[#This Row],[Material (choose from dropdown]],MaterialData[#All],8,FALSE),0)</f>
        <v>0</v>
      </c>
      <c r="AG973" s="322">
        <f>IFERROR(Calculations[[#This Row],[Total Kg]]*Calculations[[#This Row],[Seq factor]],0)</f>
        <v>0</v>
      </c>
      <c r="AI973" s="322">
        <f>Calculations[[#This Row],[A1-3]]+Calculations[[#This Row],[A4]]+Calculations[[#This Row],[A5]]+Calculations[[#This Row],[B4]]+Calculations[[#This Row],[C2 total]]+Calculations[[#This Row],[C3 total]]+Calculations[[#This Row],[C4 total]]</f>
        <v>0</v>
      </c>
      <c r="AJ973" s="2">
        <f>IFERROR(VLOOKUP(Calculations[[#This Row],[Material (choose from dropdown]],MaterialData[[#Headers],[#Data]],9,FALSE),0)</f>
        <v>0</v>
      </c>
      <c r="AK973" s="4">
        <f>IFERROR(VLOOKUP(Calculations[[#This Row],[Material (choose from dropdown]],MaterialData[[#Headers],[#Data]],10,FALSE),0)</f>
        <v>0</v>
      </c>
      <c r="AL973" s="322">
        <f>IFERROR(Calculations[[#This Row],[Data Quality Score]]*Calculations[[#This Row],[Total Kg]],0)</f>
        <v>0</v>
      </c>
    </row>
    <row r="974" spans="1:38" x14ac:dyDescent="0.3">
      <c r="A974" s="6">
        <f>IFERROR(MaterialsBoQ[[#This Row],[Scope Element]],0)</f>
        <v>0</v>
      </c>
      <c r="B974" t="str">
        <f>IFERROR(MaterialsBoQ[[#This Row],[Material ]],"")</f>
        <v/>
      </c>
      <c r="C974" t="str">
        <f>IFERROR(MaterialsBoQ[[#This Row],[Unit]],"")</f>
        <v/>
      </c>
      <c r="D974" s="322">
        <f>IFERROR(MaterialsBoQ[[#This Row],[Number]],0)</f>
        <v>0</v>
      </c>
      <c r="E974" s="322">
        <f>IFERROR(MaterialsBoQ[[#This Row],[Kg per unit]],0)</f>
        <v>0</v>
      </c>
      <c r="F974" s="322">
        <f>IFERROR(Calculations[[#This Row],[Number]]*Calculations[[#This Row],[Conversion factor]],0)</f>
        <v>0</v>
      </c>
      <c r="G974" s="322">
        <f>IFERROR(VLOOKUP(Calculations[[#This Row],[Material (choose from dropdown]],MaterialData[#All],7,FALSE),0)</f>
        <v>0</v>
      </c>
      <c r="H974" s="322">
        <f>Calculations[[#This Row],[Total Kg]]*Calculations[[#This Row],[Carbon Factor]]</f>
        <v>0</v>
      </c>
      <c r="I974" t="str">
        <f>IFERROR(VLOOKUP(Calculations[[#This Row],[Material (choose from dropdown]],MaterialData[#All],2,FALSE),"")</f>
        <v/>
      </c>
      <c r="J974" s="322">
        <f>IFERROR(((VLOOKUP(Calculations[[#This Row],[TransportSource]],TransportDistance[],2,FALSE)*'Stage assumptions'!$C$11)+VLOOKUP(Calculations[[#This Row],[TransportSource]],TransportDistance[],3,FALSE)*'Stage assumptions'!$C$12)*Calculations[[#This Row],[Total Kg]],0)</f>
        <v>0</v>
      </c>
      <c r="K974">
        <f>IFERROR(VLOOKUP(Calculations[[#This Row],[Material (choose from dropdown]], MaterialData[#All],3, FALSE),0)</f>
        <v>0</v>
      </c>
      <c r="L974" s="322">
        <f>IFERROR(VLOOKUP(Calculations[[#This Row],[A5type]],A5WastageRate[#All],2,FALSE)*Calculations[[#This Row],[A1-3]],0)</f>
        <v>0</v>
      </c>
      <c r="N974">
        <f>IFERROR(ROUNDUP(50/VLOOKUP(Calculations[[#This Row],[Scope Element]],B4referenceServiceLife[[Tier 2 element]:[Default Service Life]],2, FALSE)-1,0),0)</f>
        <v>0</v>
      </c>
      <c r="O974" s="322">
        <f>IFERROR((Calculations[[#This Row],[A1-3]]+Calculations[[#This Row],[A4]]+Calculations[[#This Row],[A5]]+Calculations[[#This Row],[C2 total]]+Calculations[[#This Row],[C3 total]]+Calculations[[#This Row],[C4 total]])*Calculations[[#This Row],[Replacements]],0)</f>
        <v>0</v>
      </c>
      <c r="S974" t="str">
        <f>IFERROR(VLOOKUP(Calculations[[#This Row],[Material (choose from dropdown]],MaterialData[#All],4,FALSE),"")</f>
        <v/>
      </c>
      <c r="T974" s="322" cm="1">
        <f t="array" ref="T974">IFERROR(VLOOKUP(Calculations[[#This Row],[Waste 1]],WasteScenario[#All],2,FALSE)*'Stage assumptions'!$C$225*WasteTransportMethod[Emissions Factor
kgCO2e/kg.km]*Calculations[[#This Row],[Total Kg]],0)</f>
        <v>0</v>
      </c>
      <c r="U974" s="322" cm="1">
        <f t="array" ref="U974">IFERROR(VLOOKUP(Calculations[[#This Row],[Waste 1]],WasteScenario[#All],3,FALSE)*'Stage assumptions'!$C$224*WasteTransportMethod[Emissions Factor
kgCO2e/kg.km]*Calculations[[#This Row],[Total Kg]],0)</f>
        <v>0</v>
      </c>
      <c r="V974" s="322" cm="1">
        <f t="array" ref="V974">IFERROR(VLOOKUP(Calculations[[#This Row],[Waste 1]],WasteScenario[#All],4,FALSE)*'Stage assumptions'!$C$223*WasteTransportMethod[Emissions Factor
kgCO2e/kg.km]*Calculations[[#This Row],[Total Kg]],0)</f>
        <v>0</v>
      </c>
      <c r="W974" s="322" cm="1">
        <f t="array" ref="W974">IFERROR(VLOOKUP(Calculations[[#This Row],[Waste 1]],WasteScenario[#All],5,FALSE)*'Stage assumptions'!$C$226*WasteTransportMethod[Emissions Factor
kgCO2e/kg.km]*Calculations[[#This Row],[Total Kg]],0)</f>
        <v>0</v>
      </c>
      <c r="X974" s="322">
        <f>SUM(Calculations[[#This Row],[C2 Recycle]:[C2 Reuse]])</f>
        <v>0</v>
      </c>
      <c r="Y974" t="str">
        <f>IFERROR(VLOOKUP(Calculations[[#This Row],[Material (choose from dropdown]],MaterialData[#All],5,FALSE),"")</f>
        <v/>
      </c>
      <c r="Z974" s="322">
        <f>IFERROR(((VLOOKUP(Calculations[[#This Row],[Waste type 2]],WasteDisposalEmissions[#All],2,FALSE))*Calculations[[#This Row],[Total Kg]])*VLOOKUP(Calculations[[#This Row],[Waste 1]],WasteScenario[#All],2,FALSE),0)</f>
        <v>0</v>
      </c>
      <c r="AA974" s="322">
        <f>IFERROR((VLOOKUP(Calculations[[#This Row],[Waste type 2]],WasteDisposalEmissions[#All],3,FALSE))*Calculations[[#This Row],[Total Kg]]*VLOOKUP(Calculations[[#This Row],[Waste 1]],WasteScenario[#All],3,FALSE),0)</f>
        <v>0</v>
      </c>
      <c r="AB974" s="322">
        <f>SUM(Calculations[[#This Row],[C3 recyc]:[C3 incin]])</f>
        <v>0</v>
      </c>
      <c r="AC974" s="334">
        <f>IFERROR((VLOOKUP(Calculations[[#This Row],[Waste type 2]],WasteLandfillEmissions[#All],2,FALSE))*Calculations[[#This Row],[Total Kg]]*VLOOKUP(Calculations[[#This Row],[Waste 1]],WasteScenario[#All],4,FALSE),0)</f>
        <v>0</v>
      </c>
      <c r="AD974" s="322">
        <f>IFERROR((VLOOKUP(Calculations[[#This Row],[Waste type 2]],WasteLandfillEmissions[#All],3,FALSE))*Calculations[[#This Row],[Total Kg]]*VLOOKUP(Calculations[[#This Row],[Waste 1]],WasteScenario[#All],4,FALSE),0)</f>
        <v>0</v>
      </c>
      <c r="AE974" s="322">
        <f>SUM(Calculations[[#This Row],[C4 landfill]:[C4 re-use]])</f>
        <v>0</v>
      </c>
      <c r="AF974" s="322">
        <f>IFERROR(VLOOKUP(Calculations[[#This Row],[Material (choose from dropdown]],MaterialData[#All],8,FALSE),0)</f>
        <v>0</v>
      </c>
      <c r="AG974" s="322">
        <f>IFERROR(Calculations[[#This Row],[Total Kg]]*Calculations[[#This Row],[Seq factor]],0)</f>
        <v>0</v>
      </c>
      <c r="AI974" s="322">
        <f>Calculations[[#This Row],[A1-3]]+Calculations[[#This Row],[A4]]+Calculations[[#This Row],[A5]]+Calculations[[#This Row],[B4]]+Calculations[[#This Row],[C2 total]]+Calculations[[#This Row],[C3 total]]+Calculations[[#This Row],[C4 total]]</f>
        <v>0</v>
      </c>
      <c r="AJ974" s="2">
        <f>IFERROR(VLOOKUP(Calculations[[#This Row],[Material (choose from dropdown]],MaterialData[[#Headers],[#Data]],9,FALSE),0)</f>
        <v>0</v>
      </c>
      <c r="AK974" s="4">
        <f>IFERROR(VLOOKUP(Calculations[[#This Row],[Material (choose from dropdown]],MaterialData[[#Headers],[#Data]],10,FALSE),0)</f>
        <v>0</v>
      </c>
      <c r="AL974" s="322">
        <f>IFERROR(Calculations[[#This Row],[Data Quality Score]]*Calculations[[#This Row],[Total Kg]],0)</f>
        <v>0</v>
      </c>
    </row>
    <row r="975" spans="1:38" x14ac:dyDescent="0.3">
      <c r="A975" s="6">
        <f>IFERROR(MaterialsBoQ[[#This Row],[Scope Element]],0)</f>
        <v>0</v>
      </c>
      <c r="B975" t="str">
        <f>IFERROR(MaterialsBoQ[[#This Row],[Material ]],"")</f>
        <v/>
      </c>
      <c r="C975" t="str">
        <f>IFERROR(MaterialsBoQ[[#This Row],[Unit]],"")</f>
        <v/>
      </c>
      <c r="D975" s="322">
        <f>IFERROR(MaterialsBoQ[[#This Row],[Number]],0)</f>
        <v>0</v>
      </c>
      <c r="E975" s="322">
        <f>IFERROR(MaterialsBoQ[[#This Row],[Kg per unit]],0)</f>
        <v>0</v>
      </c>
      <c r="F975" s="322">
        <f>IFERROR(Calculations[[#This Row],[Number]]*Calculations[[#This Row],[Conversion factor]],0)</f>
        <v>0</v>
      </c>
      <c r="G975" s="322">
        <f>IFERROR(VLOOKUP(Calculations[[#This Row],[Material (choose from dropdown]],MaterialData[#All],7,FALSE),0)</f>
        <v>0</v>
      </c>
      <c r="H975" s="322">
        <f>Calculations[[#This Row],[Total Kg]]*Calculations[[#This Row],[Carbon Factor]]</f>
        <v>0</v>
      </c>
      <c r="I975" t="str">
        <f>IFERROR(VLOOKUP(Calculations[[#This Row],[Material (choose from dropdown]],MaterialData[#All],2,FALSE),"")</f>
        <v/>
      </c>
      <c r="J975" s="322">
        <f>IFERROR(((VLOOKUP(Calculations[[#This Row],[TransportSource]],TransportDistance[],2,FALSE)*'Stage assumptions'!$C$11)+VLOOKUP(Calculations[[#This Row],[TransportSource]],TransportDistance[],3,FALSE)*'Stage assumptions'!$C$12)*Calculations[[#This Row],[Total Kg]],0)</f>
        <v>0</v>
      </c>
      <c r="K975">
        <f>IFERROR(VLOOKUP(Calculations[[#This Row],[Material (choose from dropdown]], MaterialData[#All],3, FALSE),0)</f>
        <v>0</v>
      </c>
      <c r="L975" s="322">
        <f>IFERROR(VLOOKUP(Calculations[[#This Row],[A5type]],A5WastageRate[#All],2,FALSE)*Calculations[[#This Row],[A1-3]],0)</f>
        <v>0</v>
      </c>
      <c r="N975">
        <f>IFERROR(ROUNDUP(50/VLOOKUP(Calculations[[#This Row],[Scope Element]],B4referenceServiceLife[[Tier 2 element]:[Default Service Life]],2, FALSE)-1,0),0)</f>
        <v>0</v>
      </c>
      <c r="O975" s="322">
        <f>IFERROR((Calculations[[#This Row],[A1-3]]+Calculations[[#This Row],[A4]]+Calculations[[#This Row],[A5]]+Calculations[[#This Row],[C2 total]]+Calculations[[#This Row],[C3 total]]+Calculations[[#This Row],[C4 total]])*Calculations[[#This Row],[Replacements]],0)</f>
        <v>0</v>
      </c>
      <c r="S975" t="str">
        <f>IFERROR(VLOOKUP(Calculations[[#This Row],[Material (choose from dropdown]],MaterialData[#All],4,FALSE),"")</f>
        <v/>
      </c>
      <c r="T975" s="322" cm="1">
        <f t="array" ref="T975">IFERROR(VLOOKUP(Calculations[[#This Row],[Waste 1]],WasteScenario[#All],2,FALSE)*'Stage assumptions'!$C$225*WasteTransportMethod[Emissions Factor
kgCO2e/kg.km]*Calculations[[#This Row],[Total Kg]],0)</f>
        <v>0</v>
      </c>
      <c r="U975" s="322" cm="1">
        <f t="array" ref="U975">IFERROR(VLOOKUP(Calculations[[#This Row],[Waste 1]],WasteScenario[#All],3,FALSE)*'Stage assumptions'!$C$224*WasteTransportMethod[Emissions Factor
kgCO2e/kg.km]*Calculations[[#This Row],[Total Kg]],0)</f>
        <v>0</v>
      </c>
      <c r="V975" s="322" cm="1">
        <f t="array" ref="V975">IFERROR(VLOOKUP(Calculations[[#This Row],[Waste 1]],WasteScenario[#All],4,FALSE)*'Stage assumptions'!$C$223*WasteTransportMethod[Emissions Factor
kgCO2e/kg.km]*Calculations[[#This Row],[Total Kg]],0)</f>
        <v>0</v>
      </c>
      <c r="W975" s="322" cm="1">
        <f t="array" ref="W975">IFERROR(VLOOKUP(Calculations[[#This Row],[Waste 1]],WasteScenario[#All],5,FALSE)*'Stage assumptions'!$C$226*WasteTransportMethod[Emissions Factor
kgCO2e/kg.km]*Calculations[[#This Row],[Total Kg]],0)</f>
        <v>0</v>
      </c>
      <c r="X975" s="322">
        <f>SUM(Calculations[[#This Row],[C2 Recycle]:[C2 Reuse]])</f>
        <v>0</v>
      </c>
      <c r="Y975" t="str">
        <f>IFERROR(VLOOKUP(Calculations[[#This Row],[Material (choose from dropdown]],MaterialData[#All],5,FALSE),"")</f>
        <v/>
      </c>
      <c r="Z975" s="322">
        <f>IFERROR(((VLOOKUP(Calculations[[#This Row],[Waste type 2]],WasteDisposalEmissions[#All],2,FALSE))*Calculations[[#This Row],[Total Kg]])*VLOOKUP(Calculations[[#This Row],[Waste 1]],WasteScenario[#All],2,FALSE),0)</f>
        <v>0</v>
      </c>
      <c r="AA975" s="322">
        <f>IFERROR((VLOOKUP(Calculations[[#This Row],[Waste type 2]],WasteDisposalEmissions[#All],3,FALSE))*Calculations[[#This Row],[Total Kg]]*VLOOKUP(Calculations[[#This Row],[Waste 1]],WasteScenario[#All],3,FALSE),0)</f>
        <v>0</v>
      </c>
      <c r="AB975" s="322">
        <f>SUM(Calculations[[#This Row],[C3 recyc]:[C3 incin]])</f>
        <v>0</v>
      </c>
      <c r="AC975" s="334">
        <f>IFERROR((VLOOKUP(Calculations[[#This Row],[Waste type 2]],WasteLandfillEmissions[#All],2,FALSE))*Calculations[[#This Row],[Total Kg]]*VLOOKUP(Calculations[[#This Row],[Waste 1]],WasteScenario[#All],4,FALSE),0)</f>
        <v>0</v>
      </c>
      <c r="AD975" s="322">
        <f>IFERROR((VLOOKUP(Calculations[[#This Row],[Waste type 2]],WasteLandfillEmissions[#All],3,FALSE))*Calculations[[#This Row],[Total Kg]]*VLOOKUP(Calculations[[#This Row],[Waste 1]],WasteScenario[#All],4,FALSE),0)</f>
        <v>0</v>
      </c>
      <c r="AE975" s="322">
        <f>SUM(Calculations[[#This Row],[C4 landfill]:[C4 re-use]])</f>
        <v>0</v>
      </c>
      <c r="AF975" s="322">
        <f>IFERROR(VLOOKUP(Calculations[[#This Row],[Material (choose from dropdown]],MaterialData[#All],8,FALSE),0)</f>
        <v>0</v>
      </c>
      <c r="AG975" s="322">
        <f>IFERROR(Calculations[[#This Row],[Total Kg]]*Calculations[[#This Row],[Seq factor]],0)</f>
        <v>0</v>
      </c>
      <c r="AI975" s="322">
        <f>Calculations[[#This Row],[A1-3]]+Calculations[[#This Row],[A4]]+Calculations[[#This Row],[A5]]+Calculations[[#This Row],[B4]]+Calculations[[#This Row],[C2 total]]+Calculations[[#This Row],[C3 total]]+Calculations[[#This Row],[C4 total]]</f>
        <v>0</v>
      </c>
      <c r="AJ975" s="2">
        <f>IFERROR(VLOOKUP(Calculations[[#This Row],[Material (choose from dropdown]],MaterialData[[#Headers],[#Data]],9,FALSE),0)</f>
        <v>0</v>
      </c>
      <c r="AK975" s="4">
        <f>IFERROR(VLOOKUP(Calculations[[#This Row],[Material (choose from dropdown]],MaterialData[[#Headers],[#Data]],10,FALSE),0)</f>
        <v>0</v>
      </c>
      <c r="AL975" s="322">
        <f>IFERROR(Calculations[[#This Row],[Data Quality Score]]*Calculations[[#This Row],[Total Kg]],0)</f>
        <v>0</v>
      </c>
    </row>
    <row r="976" spans="1:38" x14ac:dyDescent="0.3">
      <c r="A976" s="6">
        <f>IFERROR(MaterialsBoQ[[#This Row],[Scope Element]],0)</f>
        <v>0</v>
      </c>
      <c r="B976" t="str">
        <f>IFERROR(MaterialsBoQ[[#This Row],[Material ]],"")</f>
        <v/>
      </c>
      <c r="C976" t="str">
        <f>IFERROR(MaterialsBoQ[[#This Row],[Unit]],"")</f>
        <v/>
      </c>
      <c r="D976" s="322">
        <f>IFERROR(MaterialsBoQ[[#This Row],[Number]],0)</f>
        <v>0</v>
      </c>
      <c r="E976" s="322">
        <f>IFERROR(MaterialsBoQ[[#This Row],[Kg per unit]],0)</f>
        <v>0</v>
      </c>
      <c r="F976" s="322">
        <f>IFERROR(Calculations[[#This Row],[Number]]*Calculations[[#This Row],[Conversion factor]],0)</f>
        <v>0</v>
      </c>
      <c r="G976" s="322">
        <f>IFERROR(VLOOKUP(Calculations[[#This Row],[Material (choose from dropdown]],MaterialData[#All],7,FALSE),0)</f>
        <v>0</v>
      </c>
      <c r="H976" s="322">
        <f>Calculations[[#This Row],[Total Kg]]*Calculations[[#This Row],[Carbon Factor]]</f>
        <v>0</v>
      </c>
      <c r="I976" t="str">
        <f>IFERROR(VLOOKUP(Calculations[[#This Row],[Material (choose from dropdown]],MaterialData[#All],2,FALSE),"")</f>
        <v/>
      </c>
      <c r="J976" s="322">
        <f>IFERROR(((VLOOKUP(Calculations[[#This Row],[TransportSource]],TransportDistance[],2,FALSE)*'Stage assumptions'!$C$11)+VLOOKUP(Calculations[[#This Row],[TransportSource]],TransportDistance[],3,FALSE)*'Stage assumptions'!$C$12)*Calculations[[#This Row],[Total Kg]],0)</f>
        <v>0</v>
      </c>
      <c r="K976">
        <f>IFERROR(VLOOKUP(Calculations[[#This Row],[Material (choose from dropdown]], MaterialData[#All],3, FALSE),0)</f>
        <v>0</v>
      </c>
      <c r="L976" s="322">
        <f>IFERROR(VLOOKUP(Calculations[[#This Row],[A5type]],A5WastageRate[#All],2,FALSE)*Calculations[[#This Row],[A1-3]],0)</f>
        <v>0</v>
      </c>
      <c r="N976">
        <f>IFERROR(ROUNDUP(50/VLOOKUP(Calculations[[#This Row],[Scope Element]],B4referenceServiceLife[[Tier 2 element]:[Default Service Life]],2, FALSE)-1,0),0)</f>
        <v>0</v>
      </c>
      <c r="O976" s="322">
        <f>IFERROR((Calculations[[#This Row],[A1-3]]+Calculations[[#This Row],[A4]]+Calculations[[#This Row],[A5]]+Calculations[[#This Row],[C2 total]]+Calculations[[#This Row],[C3 total]]+Calculations[[#This Row],[C4 total]])*Calculations[[#This Row],[Replacements]],0)</f>
        <v>0</v>
      </c>
      <c r="S976" t="str">
        <f>IFERROR(VLOOKUP(Calculations[[#This Row],[Material (choose from dropdown]],MaterialData[#All],4,FALSE),"")</f>
        <v/>
      </c>
      <c r="T976" s="322" cm="1">
        <f t="array" ref="T976">IFERROR(VLOOKUP(Calculations[[#This Row],[Waste 1]],WasteScenario[#All],2,FALSE)*'Stage assumptions'!$C$225*WasteTransportMethod[Emissions Factor
kgCO2e/kg.km]*Calculations[[#This Row],[Total Kg]],0)</f>
        <v>0</v>
      </c>
      <c r="U976" s="322" cm="1">
        <f t="array" ref="U976">IFERROR(VLOOKUP(Calculations[[#This Row],[Waste 1]],WasteScenario[#All],3,FALSE)*'Stage assumptions'!$C$224*WasteTransportMethod[Emissions Factor
kgCO2e/kg.km]*Calculations[[#This Row],[Total Kg]],0)</f>
        <v>0</v>
      </c>
      <c r="V976" s="322" cm="1">
        <f t="array" ref="V976">IFERROR(VLOOKUP(Calculations[[#This Row],[Waste 1]],WasteScenario[#All],4,FALSE)*'Stage assumptions'!$C$223*WasteTransportMethod[Emissions Factor
kgCO2e/kg.km]*Calculations[[#This Row],[Total Kg]],0)</f>
        <v>0</v>
      </c>
      <c r="W976" s="322" cm="1">
        <f t="array" ref="W976">IFERROR(VLOOKUP(Calculations[[#This Row],[Waste 1]],WasteScenario[#All],5,FALSE)*'Stage assumptions'!$C$226*WasteTransportMethod[Emissions Factor
kgCO2e/kg.km]*Calculations[[#This Row],[Total Kg]],0)</f>
        <v>0</v>
      </c>
      <c r="X976" s="322">
        <f>SUM(Calculations[[#This Row],[C2 Recycle]:[C2 Reuse]])</f>
        <v>0</v>
      </c>
      <c r="Y976" t="str">
        <f>IFERROR(VLOOKUP(Calculations[[#This Row],[Material (choose from dropdown]],MaterialData[#All],5,FALSE),"")</f>
        <v/>
      </c>
      <c r="Z976" s="322">
        <f>IFERROR(((VLOOKUP(Calculations[[#This Row],[Waste type 2]],WasteDisposalEmissions[#All],2,FALSE))*Calculations[[#This Row],[Total Kg]])*VLOOKUP(Calculations[[#This Row],[Waste 1]],WasteScenario[#All],2,FALSE),0)</f>
        <v>0</v>
      </c>
      <c r="AA976" s="322">
        <f>IFERROR((VLOOKUP(Calculations[[#This Row],[Waste type 2]],WasteDisposalEmissions[#All],3,FALSE))*Calculations[[#This Row],[Total Kg]]*VLOOKUP(Calculations[[#This Row],[Waste 1]],WasteScenario[#All],3,FALSE),0)</f>
        <v>0</v>
      </c>
      <c r="AB976" s="322">
        <f>SUM(Calculations[[#This Row],[C3 recyc]:[C3 incin]])</f>
        <v>0</v>
      </c>
      <c r="AC976" s="334">
        <f>IFERROR((VLOOKUP(Calculations[[#This Row],[Waste type 2]],WasteLandfillEmissions[#All],2,FALSE))*Calculations[[#This Row],[Total Kg]]*VLOOKUP(Calculations[[#This Row],[Waste 1]],WasteScenario[#All],4,FALSE),0)</f>
        <v>0</v>
      </c>
      <c r="AD976" s="322">
        <f>IFERROR((VLOOKUP(Calculations[[#This Row],[Waste type 2]],WasteLandfillEmissions[#All],3,FALSE))*Calculations[[#This Row],[Total Kg]]*VLOOKUP(Calculations[[#This Row],[Waste 1]],WasteScenario[#All],4,FALSE),0)</f>
        <v>0</v>
      </c>
      <c r="AE976" s="322">
        <f>SUM(Calculations[[#This Row],[C4 landfill]:[C4 re-use]])</f>
        <v>0</v>
      </c>
      <c r="AF976" s="322">
        <f>IFERROR(VLOOKUP(Calculations[[#This Row],[Material (choose from dropdown]],MaterialData[#All],8,FALSE),0)</f>
        <v>0</v>
      </c>
      <c r="AG976" s="322">
        <f>IFERROR(Calculations[[#This Row],[Total Kg]]*Calculations[[#This Row],[Seq factor]],0)</f>
        <v>0</v>
      </c>
      <c r="AI976" s="322">
        <f>Calculations[[#This Row],[A1-3]]+Calculations[[#This Row],[A4]]+Calculations[[#This Row],[A5]]+Calculations[[#This Row],[B4]]+Calculations[[#This Row],[C2 total]]+Calculations[[#This Row],[C3 total]]+Calculations[[#This Row],[C4 total]]</f>
        <v>0</v>
      </c>
      <c r="AJ976" s="2">
        <f>IFERROR(VLOOKUP(Calculations[[#This Row],[Material (choose from dropdown]],MaterialData[[#Headers],[#Data]],9,FALSE),0)</f>
        <v>0</v>
      </c>
      <c r="AK976" s="4">
        <f>IFERROR(VLOOKUP(Calculations[[#This Row],[Material (choose from dropdown]],MaterialData[[#Headers],[#Data]],10,FALSE),0)</f>
        <v>0</v>
      </c>
      <c r="AL976" s="322">
        <f>IFERROR(Calculations[[#This Row],[Data Quality Score]]*Calculations[[#This Row],[Total Kg]],0)</f>
        <v>0</v>
      </c>
    </row>
    <row r="977" spans="1:38" x14ac:dyDescent="0.3">
      <c r="A977" s="6">
        <f>IFERROR(MaterialsBoQ[[#This Row],[Scope Element]],0)</f>
        <v>0</v>
      </c>
      <c r="B977" t="str">
        <f>IFERROR(MaterialsBoQ[[#This Row],[Material ]],"")</f>
        <v/>
      </c>
      <c r="C977" t="str">
        <f>IFERROR(MaterialsBoQ[[#This Row],[Unit]],"")</f>
        <v/>
      </c>
      <c r="D977" s="322">
        <f>IFERROR(MaterialsBoQ[[#This Row],[Number]],0)</f>
        <v>0</v>
      </c>
      <c r="E977" s="322">
        <f>IFERROR(MaterialsBoQ[[#This Row],[Kg per unit]],0)</f>
        <v>0</v>
      </c>
      <c r="F977" s="322">
        <f>IFERROR(Calculations[[#This Row],[Number]]*Calculations[[#This Row],[Conversion factor]],0)</f>
        <v>0</v>
      </c>
      <c r="G977" s="322">
        <f>IFERROR(VLOOKUP(Calculations[[#This Row],[Material (choose from dropdown]],MaterialData[#All],7,FALSE),0)</f>
        <v>0</v>
      </c>
      <c r="H977" s="322">
        <f>Calculations[[#This Row],[Total Kg]]*Calculations[[#This Row],[Carbon Factor]]</f>
        <v>0</v>
      </c>
      <c r="I977" t="str">
        <f>IFERROR(VLOOKUP(Calculations[[#This Row],[Material (choose from dropdown]],MaterialData[#All],2,FALSE),"")</f>
        <v/>
      </c>
      <c r="J977" s="322">
        <f>IFERROR(((VLOOKUP(Calculations[[#This Row],[TransportSource]],TransportDistance[],2,FALSE)*'Stage assumptions'!$C$11)+VLOOKUP(Calculations[[#This Row],[TransportSource]],TransportDistance[],3,FALSE)*'Stage assumptions'!$C$12)*Calculations[[#This Row],[Total Kg]],0)</f>
        <v>0</v>
      </c>
      <c r="K977">
        <f>IFERROR(VLOOKUP(Calculations[[#This Row],[Material (choose from dropdown]], MaterialData[#All],3, FALSE),0)</f>
        <v>0</v>
      </c>
      <c r="L977" s="322">
        <f>IFERROR(VLOOKUP(Calculations[[#This Row],[A5type]],A5WastageRate[#All],2,FALSE)*Calculations[[#This Row],[A1-3]],0)</f>
        <v>0</v>
      </c>
      <c r="N977">
        <f>IFERROR(ROUNDUP(50/VLOOKUP(Calculations[[#This Row],[Scope Element]],B4referenceServiceLife[[Tier 2 element]:[Default Service Life]],2, FALSE)-1,0),0)</f>
        <v>0</v>
      </c>
      <c r="O977" s="322">
        <f>IFERROR((Calculations[[#This Row],[A1-3]]+Calculations[[#This Row],[A4]]+Calculations[[#This Row],[A5]]+Calculations[[#This Row],[C2 total]]+Calculations[[#This Row],[C3 total]]+Calculations[[#This Row],[C4 total]])*Calculations[[#This Row],[Replacements]],0)</f>
        <v>0</v>
      </c>
      <c r="S977" t="str">
        <f>IFERROR(VLOOKUP(Calculations[[#This Row],[Material (choose from dropdown]],MaterialData[#All],4,FALSE),"")</f>
        <v/>
      </c>
      <c r="T977" s="322" cm="1">
        <f t="array" ref="T977">IFERROR(VLOOKUP(Calculations[[#This Row],[Waste 1]],WasteScenario[#All],2,FALSE)*'Stage assumptions'!$C$225*WasteTransportMethod[Emissions Factor
kgCO2e/kg.km]*Calculations[[#This Row],[Total Kg]],0)</f>
        <v>0</v>
      </c>
      <c r="U977" s="322" cm="1">
        <f t="array" ref="U977">IFERROR(VLOOKUP(Calculations[[#This Row],[Waste 1]],WasteScenario[#All],3,FALSE)*'Stage assumptions'!$C$224*WasteTransportMethod[Emissions Factor
kgCO2e/kg.km]*Calculations[[#This Row],[Total Kg]],0)</f>
        <v>0</v>
      </c>
      <c r="V977" s="322" cm="1">
        <f t="array" ref="V977">IFERROR(VLOOKUP(Calculations[[#This Row],[Waste 1]],WasteScenario[#All],4,FALSE)*'Stage assumptions'!$C$223*WasteTransportMethod[Emissions Factor
kgCO2e/kg.km]*Calculations[[#This Row],[Total Kg]],0)</f>
        <v>0</v>
      </c>
      <c r="W977" s="322" cm="1">
        <f t="array" ref="W977">IFERROR(VLOOKUP(Calculations[[#This Row],[Waste 1]],WasteScenario[#All],5,FALSE)*'Stage assumptions'!$C$226*WasteTransportMethod[Emissions Factor
kgCO2e/kg.km]*Calculations[[#This Row],[Total Kg]],0)</f>
        <v>0</v>
      </c>
      <c r="X977" s="322">
        <f>SUM(Calculations[[#This Row],[C2 Recycle]:[C2 Reuse]])</f>
        <v>0</v>
      </c>
      <c r="Y977" t="str">
        <f>IFERROR(VLOOKUP(Calculations[[#This Row],[Material (choose from dropdown]],MaterialData[#All],5,FALSE),"")</f>
        <v/>
      </c>
      <c r="Z977" s="322">
        <f>IFERROR(((VLOOKUP(Calculations[[#This Row],[Waste type 2]],WasteDisposalEmissions[#All],2,FALSE))*Calculations[[#This Row],[Total Kg]])*VLOOKUP(Calculations[[#This Row],[Waste 1]],WasteScenario[#All],2,FALSE),0)</f>
        <v>0</v>
      </c>
      <c r="AA977" s="322">
        <f>IFERROR((VLOOKUP(Calculations[[#This Row],[Waste type 2]],WasteDisposalEmissions[#All],3,FALSE))*Calculations[[#This Row],[Total Kg]]*VLOOKUP(Calculations[[#This Row],[Waste 1]],WasteScenario[#All],3,FALSE),0)</f>
        <v>0</v>
      </c>
      <c r="AB977" s="322">
        <f>SUM(Calculations[[#This Row],[C3 recyc]:[C3 incin]])</f>
        <v>0</v>
      </c>
      <c r="AC977" s="334">
        <f>IFERROR((VLOOKUP(Calculations[[#This Row],[Waste type 2]],WasteLandfillEmissions[#All],2,FALSE))*Calculations[[#This Row],[Total Kg]]*VLOOKUP(Calculations[[#This Row],[Waste 1]],WasteScenario[#All],4,FALSE),0)</f>
        <v>0</v>
      </c>
      <c r="AD977" s="322">
        <f>IFERROR((VLOOKUP(Calculations[[#This Row],[Waste type 2]],WasteLandfillEmissions[#All],3,FALSE))*Calculations[[#This Row],[Total Kg]]*VLOOKUP(Calculations[[#This Row],[Waste 1]],WasteScenario[#All],4,FALSE),0)</f>
        <v>0</v>
      </c>
      <c r="AE977" s="322">
        <f>SUM(Calculations[[#This Row],[C4 landfill]:[C4 re-use]])</f>
        <v>0</v>
      </c>
      <c r="AF977" s="322">
        <f>IFERROR(VLOOKUP(Calculations[[#This Row],[Material (choose from dropdown]],MaterialData[#All],8,FALSE),0)</f>
        <v>0</v>
      </c>
      <c r="AG977" s="322">
        <f>IFERROR(Calculations[[#This Row],[Total Kg]]*Calculations[[#This Row],[Seq factor]],0)</f>
        <v>0</v>
      </c>
      <c r="AI977" s="322">
        <f>Calculations[[#This Row],[A1-3]]+Calculations[[#This Row],[A4]]+Calculations[[#This Row],[A5]]+Calculations[[#This Row],[B4]]+Calculations[[#This Row],[C2 total]]+Calculations[[#This Row],[C3 total]]+Calculations[[#This Row],[C4 total]]</f>
        <v>0</v>
      </c>
      <c r="AJ977" s="2">
        <f>IFERROR(VLOOKUP(Calculations[[#This Row],[Material (choose from dropdown]],MaterialData[[#Headers],[#Data]],9,FALSE),0)</f>
        <v>0</v>
      </c>
      <c r="AK977" s="4">
        <f>IFERROR(VLOOKUP(Calculations[[#This Row],[Material (choose from dropdown]],MaterialData[[#Headers],[#Data]],10,FALSE),0)</f>
        <v>0</v>
      </c>
      <c r="AL977" s="322">
        <f>IFERROR(Calculations[[#This Row],[Data Quality Score]]*Calculations[[#This Row],[Total Kg]],0)</f>
        <v>0</v>
      </c>
    </row>
    <row r="978" spans="1:38" x14ac:dyDescent="0.3">
      <c r="A978" s="6">
        <f>IFERROR(MaterialsBoQ[[#This Row],[Scope Element]],0)</f>
        <v>0</v>
      </c>
      <c r="B978" t="str">
        <f>IFERROR(MaterialsBoQ[[#This Row],[Material ]],"")</f>
        <v/>
      </c>
      <c r="C978" t="str">
        <f>IFERROR(MaterialsBoQ[[#This Row],[Unit]],"")</f>
        <v/>
      </c>
      <c r="D978" s="322">
        <f>IFERROR(MaterialsBoQ[[#This Row],[Number]],0)</f>
        <v>0</v>
      </c>
      <c r="E978" s="322">
        <f>IFERROR(MaterialsBoQ[[#This Row],[Kg per unit]],0)</f>
        <v>0</v>
      </c>
      <c r="F978" s="322">
        <f>IFERROR(Calculations[[#This Row],[Number]]*Calculations[[#This Row],[Conversion factor]],0)</f>
        <v>0</v>
      </c>
      <c r="G978" s="322">
        <f>IFERROR(VLOOKUP(Calculations[[#This Row],[Material (choose from dropdown]],MaterialData[#All],7,FALSE),0)</f>
        <v>0</v>
      </c>
      <c r="H978" s="322">
        <f>Calculations[[#This Row],[Total Kg]]*Calculations[[#This Row],[Carbon Factor]]</f>
        <v>0</v>
      </c>
      <c r="I978" t="str">
        <f>IFERROR(VLOOKUP(Calculations[[#This Row],[Material (choose from dropdown]],MaterialData[#All],2,FALSE),"")</f>
        <v/>
      </c>
      <c r="J978" s="322">
        <f>IFERROR(((VLOOKUP(Calculations[[#This Row],[TransportSource]],TransportDistance[],2,FALSE)*'Stage assumptions'!$C$11)+VLOOKUP(Calculations[[#This Row],[TransportSource]],TransportDistance[],3,FALSE)*'Stage assumptions'!$C$12)*Calculations[[#This Row],[Total Kg]],0)</f>
        <v>0</v>
      </c>
      <c r="K978">
        <f>IFERROR(VLOOKUP(Calculations[[#This Row],[Material (choose from dropdown]], MaterialData[#All],3, FALSE),0)</f>
        <v>0</v>
      </c>
      <c r="L978" s="322">
        <f>IFERROR(VLOOKUP(Calculations[[#This Row],[A5type]],A5WastageRate[#All],2,FALSE)*Calculations[[#This Row],[A1-3]],0)</f>
        <v>0</v>
      </c>
      <c r="N978">
        <f>IFERROR(ROUNDUP(50/VLOOKUP(Calculations[[#This Row],[Scope Element]],B4referenceServiceLife[[Tier 2 element]:[Default Service Life]],2, FALSE)-1,0),0)</f>
        <v>0</v>
      </c>
      <c r="O978" s="322">
        <f>IFERROR((Calculations[[#This Row],[A1-3]]+Calculations[[#This Row],[A4]]+Calculations[[#This Row],[A5]]+Calculations[[#This Row],[C2 total]]+Calculations[[#This Row],[C3 total]]+Calculations[[#This Row],[C4 total]])*Calculations[[#This Row],[Replacements]],0)</f>
        <v>0</v>
      </c>
      <c r="S978" t="str">
        <f>IFERROR(VLOOKUP(Calculations[[#This Row],[Material (choose from dropdown]],MaterialData[#All],4,FALSE),"")</f>
        <v/>
      </c>
      <c r="T978" s="322" cm="1">
        <f t="array" ref="T978">IFERROR(VLOOKUP(Calculations[[#This Row],[Waste 1]],WasteScenario[#All],2,FALSE)*'Stage assumptions'!$C$225*WasteTransportMethod[Emissions Factor
kgCO2e/kg.km]*Calculations[[#This Row],[Total Kg]],0)</f>
        <v>0</v>
      </c>
      <c r="U978" s="322" cm="1">
        <f t="array" ref="U978">IFERROR(VLOOKUP(Calculations[[#This Row],[Waste 1]],WasteScenario[#All],3,FALSE)*'Stage assumptions'!$C$224*WasteTransportMethod[Emissions Factor
kgCO2e/kg.km]*Calculations[[#This Row],[Total Kg]],0)</f>
        <v>0</v>
      </c>
      <c r="V978" s="322" cm="1">
        <f t="array" ref="V978">IFERROR(VLOOKUP(Calculations[[#This Row],[Waste 1]],WasteScenario[#All],4,FALSE)*'Stage assumptions'!$C$223*WasteTransportMethod[Emissions Factor
kgCO2e/kg.km]*Calculations[[#This Row],[Total Kg]],0)</f>
        <v>0</v>
      </c>
      <c r="W978" s="322" cm="1">
        <f t="array" ref="W978">IFERROR(VLOOKUP(Calculations[[#This Row],[Waste 1]],WasteScenario[#All],5,FALSE)*'Stage assumptions'!$C$226*WasteTransportMethod[Emissions Factor
kgCO2e/kg.km]*Calculations[[#This Row],[Total Kg]],0)</f>
        <v>0</v>
      </c>
      <c r="X978" s="322">
        <f>SUM(Calculations[[#This Row],[C2 Recycle]:[C2 Reuse]])</f>
        <v>0</v>
      </c>
      <c r="Y978" t="str">
        <f>IFERROR(VLOOKUP(Calculations[[#This Row],[Material (choose from dropdown]],MaterialData[#All],5,FALSE),"")</f>
        <v/>
      </c>
      <c r="Z978" s="322">
        <f>IFERROR(((VLOOKUP(Calculations[[#This Row],[Waste type 2]],WasteDisposalEmissions[#All],2,FALSE))*Calculations[[#This Row],[Total Kg]])*VLOOKUP(Calculations[[#This Row],[Waste 1]],WasteScenario[#All],2,FALSE),0)</f>
        <v>0</v>
      </c>
      <c r="AA978" s="322">
        <f>IFERROR((VLOOKUP(Calculations[[#This Row],[Waste type 2]],WasteDisposalEmissions[#All],3,FALSE))*Calculations[[#This Row],[Total Kg]]*VLOOKUP(Calculations[[#This Row],[Waste 1]],WasteScenario[#All],3,FALSE),0)</f>
        <v>0</v>
      </c>
      <c r="AB978" s="322">
        <f>SUM(Calculations[[#This Row],[C3 recyc]:[C3 incin]])</f>
        <v>0</v>
      </c>
      <c r="AC978" s="334">
        <f>IFERROR((VLOOKUP(Calculations[[#This Row],[Waste type 2]],WasteLandfillEmissions[#All],2,FALSE))*Calculations[[#This Row],[Total Kg]]*VLOOKUP(Calculations[[#This Row],[Waste 1]],WasteScenario[#All],4,FALSE),0)</f>
        <v>0</v>
      </c>
      <c r="AD978" s="322">
        <f>IFERROR((VLOOKUP(Calculations[[#This Row],[Waste type 2]],WasteLandfillEmissions[#All],3,FALSE))*Calculations[[#This Row],[Total Kg]]*VLOOKUP(Calculations[[#This Row],[Waste 1]],WasteScenario[#All],4,FALSE),0)</f>
        <v>0</v>
      </c>
      <c r="AE978" s="322">
        <f>SUM(Calculations[[#This Row],[C4 landfill]:[C4 re-use]])</f>
        <v>0</v>
      </c>
      <c r="AF978" s="322">
        <f>IFERROR(VLOOKUP(Calculations[[#This Row],[Material (choose from dropdown]],MaterialData[#All],8,FALSE),0)</f>
        <v>0</v>
      </c>
      <c r="AG978" s="322">
        <f>IFERROR(Calculations[[#This Row],[Total Kg]]*Calculations[[#This Row],[Seq factor]],0)</f>
        <v>0</v>
      </c>
      <c r="AI978" s="322">
        <f>Calculations[[#This Row],[A1-3]]+Calculations[[#This Row],[A4]]+Calculations[[#This Row],[A5]]+Calculations[[#This Row],[B4]]+Calculations[[#This Row],[C2 total]]+Calculations[[#This Row],[C3 total]]+Calculations[[#This Row],[C4 total]]</f>
        <v>0</v>
      </c>
      <c r="AJ978" s="2">
        <f>IFERROR(VLOOKUP(Calculations[[#This Row],[Material (choose from dropdown]],MaterialData[[#Headers],[#Data]],9,FALSE),0)</f>
        <v>0</v>
      </c>
      <c r="AK978" s="4">
        <f>IFERROR(VLOOKUP(Calculations[[#This Row],[Material (choose from dropdown]],MaterialData[[#Headers],[#Data]],10,FALSE),0)</f>
        <v>0</v>
      </c>
      <c r="AL978" s="322">
        <f>IFERROR(Calculations[[#This Row],[Data Quality Score]]*Calculations[[#This Row],[Total Kg]],0)</f>
        <v>0</v>
      </c>
    </row>
    <row r="979" spans="1:38" x14ac:dyDescent="0.3">
      <c r="A979" s="6">
        <f>IFERROR(MaterialsBoQ[[#This Row],[Scope Element]],0)</f>
        <v>0</v>
      </c>
      <c r="B979" t="str">
        <f>IFERROR(MaterialsBoQ[[#This Row],[Material ]],"")</f>
        <v/>
      </c>
      <c r="C979" t="str">
        <f>IFERROR(MaterialsBoQ[[#This Row],[Unit]],"")</f>
        <v/>
      </c>
      <c r="D979" s="322">
        <f>IFERROR(MaterialsBoQ[[#This Row],[Number]],0)</f>
        <v>0</v>
      </c>
      <c r="E979" s="322">
        <f>IFERROR(MaterialsBoQ[[#This Row],[Kg per unit]],0)</f>
        <v>0</v>
      </c>
      <c r="F979" s="322">
        <f>IFERROR(Calculations[[#This Row],[Number]]*Calculations[[#This Row],[Conversion factor]],0)</f>
        <v>0</v>
      </c>
      <c r="G979" s="322">
        <f>IFERROR(VLOOKUP(Calculations[[#This Row],[Material (choose from dropdown]],MaterialData[#All],7,FALSE),0)</f>
        <v>0</v>
      </c>
      <c r="H979" s="322">
        <f>Calculations[[#This Row],[Total Kg]]*Calculations[[#This Row],[Carbon Factor]]</f>
        <v>0</v>
      </c>
      <c r="I979" t="str">
        <f>IFERROR(VLOOKUP(Calculations[[#This Row],[Material (choose from dropdown]],MaterialData[#All],2,FALSE),"")</f>
        <v/>
      </c>
      <c r="J979" s="322">
        <f>IFERROR(((VLOOKUP(Calculations[[#This Row],[TransportSource]],TransportDistance[],2,FALSE)*'Stage assumptions'!$C$11)+VLOOKUP(Calculations[[#This Row],[TransportSource]],TransportDistance[],3,FALSE)*'Stage assumptions'!$C$12)*Calculations[[#This Row],[Total Kg]],0)</f>
        <v>0</v>
      </c>
      <c r="K979">
        <f>IFERROR(VLOOKUP(Calculations[[#This Row],[Material (choose from dropdown]], MaterialData[#All],3, FALSE),0)</f>
        <v>0</v>
      </c>
      <c r="L979" s="322">
        <f>IFERROR(VLOOKUP(Calculations[[#This Row],[A5type]],A5WastageRate[#All],2,FALSE)*Calculations[[#This Row],[A1-3]],0)</f>
        <v>0</v>
      </c>
      <c r="N979">
        <f>IFERROR(ROUNDUP(50/VLOOKUP(Calculations[[#This Row],[Scope Element]],B4referenceServiceLife[[Tier 2 element]:[Default Service Life]],2, FALSE)-1,0),0)</f>
        <v>0</v>
      </c>
      <c r="O979" s="322">
        <f>IFERROR((Calculations[[#This Row],[A1-3]]+Calculations[[#This Row],[A4]]+Calculations[[#This Row],[A5]]+Calculations[[#This Row],[C2 total]]+Calculations[[#This Row],[C3 total]]+Calculations[[#This Row],[C4 total]])*Calculations[[#This Row],[Replacements]],0)</f>
        <v>0</v>
      </c>
      <c r="S979" t="str">
        <f>IFERROR(VLOOKUP(Calculations[[#This Row],[Material (choose from dropdown]],MaterialData[#All],4,FALSE),"")</f>
        <v/>
      </c>
      <c r="T979" s="322" cm="1">
        <f t="array" ref="T979">IFERROR(VLOOKUP(Calculations[[#This Row],[Waste 1]],WasteScenario[#All],2,FALSE)*'Stage assumptions'!$C$225*WasteTransportMethod[Emissions Factor
kgCO2e/kg.km]*Calculations[[#This Row],[Total Kg]],0)</f>
        <v>0</v>
      </c>
      <c r="U979" s="322" cm="1">
        <f t="array" ref="U979">IFERROR(VLOOKUP(Calculations[[#This Row],[Waste 1]],WasteScenario[#All],3,FALSE)*'Stage assumptions'!$C$224*WasteTransportMethod[Emissions Factor
kgCO2e/kg.km]*Calculations[[#This Row],[Total Kg]],0)</f>
        <v>0</v>
      </c>
      <c r="V979" s="322" cm="1">
        <f t="array" ref="V979">IFERROR(VLOOKUP(Calculations[[#This Row],[Waste 1]],WasteScenario[#All],4,FALSE)*'Stage assumptions'!$C$223*WasteTransportMethod[Emissions Factor
kgCO2e/kg.km]*Calculations[[#This Row],[Total Kg]],0)</f>
        <v>0</v>
      </c>
      <c r="W979" s="322" cm="1">
        <f t="array" ref="W979">IFERROR(VLOOKUP(Calculations[[#This Row],[Waste 1]],WasteScenario[#All],5,FALSE)*'Stage assumptions'!$C$226*WasteTransportMethod[Emissions Factor
kgCO2e/kg.km]*Calculations[[#This Row],[Total Kg]],0)</f>
        <v>0</v>
      </c>
      <c r="X979" s="322">
        <f>SUM(Calculations[[#This Row],[C2 Recycle]:[C2 Reuse]])</f>
        <v>0</v>
      </c>
      <c r="Y979" t="str">
        <f>IFERROR(VLOOKUP(Calculations[[#This Row],[Material (choose from dropdown]],MaterialData[#All],5,FALSE),"")</f>
        <v/>
      </c>
      <c r="Z979" s="322">
        <f>IFERROR(((VLOOKUP(Calculations[[#This Row],[Waste type 2]],WasteDisposalEmissions[#All],2,FALSE))*Calculations[[#This Row],[Total Kg]])*VLOOKUP(Calculations[[#This Row],[Waste 1]],WasteScenario[#All],2,FALSE),0)</f>
        <v>0</v>
      </c>
      <c r="AA979" s="322">
        <f>IFERROR((VLOOKUP(Calculations[[#This Row],[Waste type 2]],WasteDisposalEmissions[#All],3,FALSE))*Calculations[[#This Row],[Total Kg]]*VLOOKUP(Calculations[[#This Row],[Waste 1]],WasteScenario[#All],3,FALSE),0)</f>
        <v>0</v>
      </c>
      <c r="AB979" s="322">
        <f>SUM(Calculations[[#This Row],[C3 recyc]:[C3 incin]])</f>
        <v>0</v>
      </c>
      <c r="AC979" s="334">
        <f>IFERROR((VLOOKUP(Calculations[[#This Row],[Waste type 2]],WasteLandfillEmissions[#All],2,FALSE))*Calculations[[#This Row],[Total Kg]]*VLOOKUP(Calculations[[#This Row],[Waste 1]],WasteScenario[#All],4,FALSE),0)</f>
        <v>0</v>
      </c>
      <c r="AD979" s="322">
        <f>IFERROR((VLOOKUP(Calculations[[#This Row],[Waste type 2]],WasteLandfillEmissions[#All],3,FALSE))*Calculations[[#This Row],[Total Kg]]*VLOOKUP(Calculations[[#This Row],[Waste 1]],WasteScenario[#All],4,FALSE),0)</f>
        <v>0</v>
      </c>
      <c r="AE979" s="322">
        <f>SUM(Calculations[[#This Row],[C4 landfill]:[C4 re-use]])</f>
        <v>0</v>
      </c>
      <c r="AF979" s="322">
        <f>IFERROR(VLOOKUP(Calculations[[#This Row],[Material (choose from dropdown]],MaterialData[#All],8,FALSE),0)</f>
        <v>0</v>
      </c>
      <c r="AG979" s="322">
        <f>IFERROR(Calculations[[#This Row],[Total Kg]]*Calculations[[#This Row],[Seq factor]],0)</f>
        <v>0</v>
      </c>
      <c r="AI979" s="322">
        <f>Calculations[[#This Row],[A1-3]]+Calculations[[#This Row],[A4]]+Calculations[[#This Row],[A5]]+Calculations[[#This Row],[B4]]+Calculations[[#This Row],[C2 total]]+Calculations[[#This Row],[C3 total]]+Calculations[[#This Row],[C4 total]]</f>
        <v>0</v>
      </c>
      <c r="AJ979" s="2">
        <f>IFERROR(VLOOKUP(Calculations[[#This Row],[Material (choose from dropdown]],MaterialData[[#Headers],[#Data]],9,FALSE),0)</f>
        <v>0</v>
      </c>
      <c r="AK979" s="4">
        <f>IFERROR(VLOOKUP(Calculations[[#This Row],[Material (choose from dropdown]],MaterialData[[#Headers],[#Data]],10,FALSE),0)</f>
        <v>0</v>
      </c>
      <c r="AL979" s="322">
        <f>IFERROR(Calculations[[#This Row],[Data Quality Score]]*Calculations[[#This Row],[Total Kg]],0)</f>
        <v>0</v>
      </c>
    </row>
    <row r="980" spans="1:38" x14ac:dyDescent="0.3">
      <c r="A980" s="6">
        <f>IFERROR(MaterialsBoQ[[#This Row],[Scope Element]],0)</f>
        <v>0</v>
      </c>
      <c r="B980" t="str">
        <f>IFERROR(MaterialsBoQ[[#This Row],[Material ]],"")</f>
        <v/>
      </c>
      <c r="C980" t="str">
        <f>IFERROR(MaterialsBoQ[[#This Row],[Unit]],"")</f>
        <v/>
      </c>
      <c r="D980" s="322">
        <f>IFERROR(MaterialsBoQ[[#This Row],[Number]],0)</f>
        <v>0</v>
      </c>
      <c r="E980" s="322">
        <f>IFERROR(MaterialsBoQ[[#This Row],[Kg per unit]],0)</f>
        <v>0</v>
      </c>
      <c r="F980" s="322">
        <f>IFERROR(Calculations[[#This Row],[Number]]*Calculations[[#This Row],[Conversion factor]],0)</f>
        <v>0</v>
      </c>
      <c r="G980" s="322">
        <f>IFERROR(VLOOKUP(Calculations[[#This Row],[Material (choose from dropdown]],MaterialData[#All],7,FALSE),0)</f>
        <v>0</v>
      </c>
      <c r="H980" s="322">
        <f>Calculations[[#This Row],[Total Kg]]*Calculations[[#This Row],[Carbon Factor]]</f>
        <v>0</v>
      </c>
      <c r="I980" t="str">
        <f>IFERROR(VLOOKUP(Calculations[[#This Row],[Material (choose from dropdown]],MaterialData[#All],2,FALSE),"")</f>
        <v/>
      </c>
      <c r="J980" s="322">
        <f>IFERROR(((VLOOKUP(Calculations[[#This Row],[TransportSource]],TransportDistance[],2,FALSE)*'Stage assumptions'!$C$11)+VLOOKUP(Calculations[[#This Row],[TransportSource]],TransportDistance[],3,FALSE)*'Stage assumptions'!$C$12)*Calculations[[#This Row],[Total Kg]],0)</f>
        <v>0</v>
      </c>
      <c r="K980">
        <f>IFERROR(VLOOKUP(Calculations[[#This Row],[Material (choose from dropdown]], MaterialData[#All],3, FALSE),0)</f>
        <v>0</v>
      </c>
      <c r="L980" s="322">
        <f>IFERROR(VLOOKUP(Calculations[[#This Row],[A5type]],A5WastageRate[#All],2,FALSE)*Calculations[[#This Row],[A1-3]],0)</f>
        <v>0</v>
      </c>
      <c r="N980">
        <f>IFERROR(ROUNDUP(50/VLOOKUP(Calculations[[#This Row],[Scope Element]],B4referenceServiceLife[[Tier 2 element]:[Default Service Life]],2, FALSE)-1,0),0)</f>
        <v>0</v>
      </c>
      <c r="O980" s="322">
        <f>IFERROR((Calculations[[#This Row],[A1-3]]+Calculations[[#This Row],[A4]]+Calculations[[#This Row],[A5]]+Calculations[[#This Row],[C2 total]]+Calculations[[#This Row],[C3 total]]+Calculations[[#This Row],[C4 total]])*Calculations[[#This Row],[Replacements]],0)</f>
        <v>0</v>
      </c>
      <c r="S980" t="str">
        <f>IFERROR(VLOOKUP(Calculations[[#This Row],[Material (choose from dropdown]],MaterialData[#All],4,FALSE),"")</f>
        <v/>
      </c>
      <c r="T980" s="322" cm="1">
        <f t="array" ref="T980">IFERROR(VLOOKUP(Calculations[[#This Row],[Waste 1]],WasteScenario[#All],2,FALSE)*'Stage assumptions'!$C$225*WasteTransportMethod[Emissions Factor
kgCO2e/kg.km]*Calculations[[#This Row],[Total Kg]],0)</f>
        <v>0</v>
      </c>
      <c r="U980" s="322" cm="1">
        <f t="array" ref="U980">IFERROR(VLOOKUP(Calculations[[#This Row],[Waste 1]],WasteScenario[#All],3,FALSE)*'Stage assumptions'!$C$224*WasteTransportMethod[Emissions Factor
kgCO2e/kg.km]*Calculations[[#This Row],[Total Kg]],0)</f>
        <v>0</v>
      </c>
      <c r="V980" s="322" cm="1">
        <f t="array" ref="V980">IFERROR(VLOOKUP(Calculations[[#This Row],[Waste 1]],WasteScenario[#All],4,FALSE)*'Stage assumptions'!$C$223*WasteTransportMethod[Emissions Factor
kgCO2e/kg.km]*Calculations[[#This Row],[Total Kg]],0)</f>
        <v>0</v>
      </c>
      <c r="W980" s="322" cm="1">
        <f t="array" ref="W980">IFERROR(VLOOKUP(Calculations[[#This Row],[Waste 1]],WasteScenario[#All],5,FALSE)*'Stage assumptions'!$C$226*WasteTransportMethod[Emissions Factor
kgCO2e/kg.km]*Calculations[[#This Row],[Total Kg]],0)</f>
        <v>0</v>
      </c>
      <c r="X980" s="322">
        <f>SUM(Calculations[[#This Row],[C2 Recycle]:[C2 Reuse]])</f>
        <v>0</v>
      </c>
      <c r="Y980" t="str">
        <f>IFERROR(VLOOKUP(Calculations[[#This Row],[Material (choose from dropdown]],MaterialData[#All],5,FALSE),"")</f>
        <v/>
      </c>
      <c r="Z980" s="322">
        <f>IFERROR(((VLOOKUP(Calculations[[#This Row],[Waste type 2]],WasteDisposalEmissions[#All],2,FALSE))*Calculations[[#This Row],[Total Kg]])*VLOOKUP(Calculations[[#This Row],[Waste 1]],WasteScenario[#All],2,FALSE),0)</f>
        <v>0</v>
      </c>
      <c r="AA980" s="322">
        <f>IFERROR((VLOOKUP(Calculations[[#This Row],[Waste type 2]],WasteDisposalEmissions[#All],3,FALSE))*Calculations[[#This Row],[Total Kg]]*VLOOKUP(Calculations[[#This Row],[Waste 1]],WasteScenario[#All],3,FALSE),0)</f>
        <v>0</v>
      </c>
      <c r="AB980" s="322">
        <f>SUM(Calculations[[#This Row],[C3 recyc]:[C3 incin]])</f>
        <v>0</v>
      </c>
      <c r="AC980" s="334">
        <f>IFERROR((VLOOKUP(Calculations[[#This Row],[Waste type 2]],WasteLandfillEmissions[#All],2,FALSE))*Calculations[[#This Row],[Total Kg]]*VLOOKUP(Calculations[[#This Row],[Waste 1]],WasteScenario[#All],4,FALSE),0)</f>
        <v>0</v>
      </c>
      <c r="AD980" s="322">
        <f>IFERROR((VLOOKUP(Calculations[[#This Row],[Waste type 2]],WasteLandfillEmissions[#All],3,FALSE))*Calculations[[#This Row],[Total Kg]]*VLOOKUP(Calculations[[#This Row],[Waste 1]],WasteScenario[#All],4,FALSE),0)</f>
        <v>0</v>
      </c>
      <c r="AE980" s="322">
        <f>SUM(Calculations[[#This Row],[C4 landfill]:[C4 re-use]])</f>
        <v>0</v>
      </c>
      <c r="AF980" s="322">
        <f>IFERROR(VLOOKUP(Calculations[[#This Row],[Material (choose from dropdown]],MaterialData[#All],8,FALSE),0)</f>
        <v>0</v>
      </c>
      <c r="AG980" s="322">
        <f>IFERROR(Calculations[[#This Row],[Total Kg]]*Calculations[[#This Row],[Seq factor]],0)</f>
        <v>0</v>
      </c>
      <c r="AI980" s="322">
        <f>Calculations[[#This Row],[A1-3]]+Calculations[[#This Row],[A4]]+Calculations[[#This Row],[A5]]+Calculations[[#This Row],[B4]]+Calculations[[#This Row],[C2 total]]+Calculations[[#This Row],[C3 total]]+Calculations[[#This Row],[C4 total]]</f>
        <v>0</v>
      </c>
      <c r="AJ980" s="2">
        <f>IFERROR(VLOOKUP(Calculations[[#This Row],[Material (choose from dropdown]],MaterialData[[#Headers],[#Data]],9,FALSE),0)</f>
        <v>0</v>
      </c>
      <c r="AK980" s="4">
        <f>IFERROR(VLOOKUP(Calculations[[#This Row],[Material (choose from dropdown]],MaterialData[[#Headers],[#Data]],10,FALSE),0)</f>
        <v>0</v>
      </c>
      <c r="AL980" s="322">
        <f>IFERROR(Calculations[[#This Row],[Data Quality Score]]*Calculations[[#This Row],[Total Kg]],0)</f>
        <v>0</v>
      </c>
    </row>
    <row r="981" spans="1:38" x14ac:dyDescent="0.3">
      <c r="A981" s="6">
        <f>IFERROR(MaterialsBoQ[[#This Row],[Scope Element]],0)</f>
        <v>0</v>
      </c>
      <c r="B981" t="str">
        <f>IFERROR(MaterialsBoQ[[#This Row],[Material ]],"")</f>
        <v/>
      </c>
      <c r="C981" t="str">
        <f>IFERROR(MaterialsBoQ[[#This Row],[Unit]],"")</f>
        <v/>
      </c>
      <c r="D981" s="322">
        <f>IFERROR(MaterialsBoQ[[#This Row],[Number]],0)</f>
        <v>0</v>
      </c>
      <c r="E981" s="322">
        <f>IFERROR(MaterialsBoQ[[#This Row],[Kg per unit]],0)</f>
        <v>0</v>
      </c>
      <c r="F981" s="322">
        <f>IFERROR(Calculations[[#This Row],[Number]]*Calculations[[#This Row],[Conversion factor]],0)</f>
        <v>0</v>
      </c>
      <c r="G981" s="322">
        <f>IFERROR(VLOOKUP(Calculations[[#This Row],[Material (choose from dropdown]],MaterialData[#All],7,FALSE),0)</f>
        <v>0</v>
      </c>
      <c r="H981" s="322">
        <f>Calculations[[#This Row],[Total Kg]]*Calculations[[#This Row],[Carbon Factor]]</f>
        <v>0</v>
      </c>
      <c r="I981" t="str">
        <f>IFERROR(VLOOKUP(Calculations[[#This Row],[Material (choose from dropdown]],MaterialData[#All],2,FALSE),"")</f>
        <v/>
      </c>
      <c r="J981" s="322">
        <f>IFERROR(((VLOOKUP(Calculations[[#This Row],[TransportSource]],TransportDistance[],2,FALSE)*'Stage assumptions'!$C$11)+VLOOKUP(Calculations[[#This Row],[TransportSource]],TransportDistance[],3,FALSE)*'Stage assumptions'!$C$12)*Calculations[[#This Row],[Total Kg]],0)</f>
        <v>0</v>
      </c>
      <c r="K981">
        <f>IFERROR(VLOOKUP(Calculations[[#This Row],[Material (choose from dropdown]], MaterialData[#All],3, FALSE),0)</f>
        <v>0</v>
      </c>
      <c r="L981" s="322">
        <f>IFERROR(VLOOKUP(Calculations[[#This Row],[A5type]],A5WastageRate[#All],2,FALSE)*Calculations[[#This Row],[A1-3]],0)</f>
        <v>0</v>
      </c>
      <c r="N981">
        <f>IFERROR(ROUNDUP(50/VLOOKUP(Calculations[[#This Row],[Scope Element]],B4referenceServiceLife[[Tier 2 element]:[Default Service Life]],2, FALSE)-1,0),0)</f>
        <v>0</v>
      </c>
      <c r="O981" s="322">
        <f>IFERROR((Calculations[[#This Row],[A1-3]]+Calculations[[#This Row],[A4]]+Calculations[[#This Row],[A5]]+Calculations[[#This Row],[C2 total]]+Calculations[[#This Row],[C3 total]]+Calculations[[#This Row],[C4 total]])*Calculations[[#This Row],[Replacements]],0)</f>
        <v>0</v>
      </c>
      <c r="S981" t="str">
        <f>IFERROR(VLOOKUP(Calculations[[#This Row],[Material (choose from dropdown]],MaterialData[#All],4,FALSE),"")</f>
        <v/>
      </c>
      <c r="T981" s="322" cm="1">
        <f t="array" ref="T981">IFERROR(VLOOKUP(Calculations[[#This Row],[Waste 1]],WasteScenario[#All],2,FALSE)*'Stage assumptions'!$C$225*WasteTransportMethod[Emissions Factor
kgCO2e/kg.km]*Calculations[[#This Row],[Total Kg]],0)</f>
        <v>0</v>
      </c>
      <c r="U981" s="322" cm="1">
        <f t="array" ref="U981">IFERROR(VLOOKUP(Calculations[[#This Row],[Waste 1]],WasteScenario[#All],3,FALSE)*'Stage assumptions'!$C$224*WasteTransportMethod[Emissions Factor
kgCO2e/kg.km]*Calculations[[#This Row],[Total Kg]],0)</f>
        <v>0</v>
      </c>
      <c r="V981" s="322" cm="1">
        <f t="array" ref="V981">IFERROR(VLOOKUP(Calculations[[#This Row],[Waste 1]],WasteScenario[#All],4,FALSE)*'Stage assumptions'!$C$223*WasteTransportMethod[Emissions Factor
kgCO2e/kg.km]*Calculations[[#This Row],[Total Kg]],0)</f>
        <v>0</v>
      </c>
      <c r="W981" s="322" cm="1">
        <f t="array" ref="W981">IFERROR(VLOOKUP(Calculations[[#This Row],[Waste 1]],WasteScenario[#All],5,FALSE)*'Stage assumptions'!$C$226*WasteTransportMethod[Emissions Factor
kgCO2e/kg.km]*Calculations[[#This Row],[Total Kg]],0)</f>
        <v>0</v>
      </c>
      <c r="X981" s="322">
        <f>SUM(Calculations[[#This Row],[C2 Recycle]:[C2 Reuse]])</f>
        <v>0</v>
      </c>
      <c r="Y981" t="str">
        <f>IFERROR(VLOOKUP(Calculations[[#This Row],[Material (choose from dropdown]],MaterialData[#All],5,FALSE),"")</f>
        <v/>
      </c>
      <c r="Z981" s="322">
        <f>IFERROR(((VLOOKUP(Calculations[[#This Row],[Waste type 2]],WasteDisposalEmissions[#All],2,FALSE))*Calculations[[#This Row],[Total Kg]])*VLOOKUP(Calculations[[#This Row],[Waste 1]],WasteScenario[#All],2,FALSE),0)</f>
        <v>0</v>
      </c>
      <c r="AA981" s="322">
        <f>IFERROR((VLOOKUP(Calculations[[#This Row],[Waste type 2]],WasteDisposalEmissions[#All],3,FALSE))*Calculations[[#This Row],[Total Kg]]*VLOOKUP(Calculations[[#This Row],[Waste 1]],WasteScenario[#All],3,FALSE),0)</f>
        <v>0</v>
      </c>
      <c r="AB981" s="322">
        <f>SUM(Calculations[[#This Row],[C3 recyc]:[C3 incin]])</f>
        <v>0</v>
      </c>
      <c r="AC981" s="334">
        <f>IFERROR((VLOOKUP(Calculations[[#This Row],[Waste type 2]],WasteLandfillEmissions[#All],2,FALSE))*Calculations[[#This Row],[Total Kg]]*VLOOKUP(Calculations[[#This Row],[Waste 1]],WasteScenario[#All],4,FALSE),0)</f>
        <v>0</v>
      </c>
      <c r="AD981" s="322">
        <f>IFERROR((VLOOKUP(Calculations[[#This Row],[Waste type 2]],WasteLandfillEmissions[#All],3,FALSE))*Calculations[[#This Row],[Total Kg]]*VLOOKUP(Calculations[[#This Row],[Waste 1]],WasteScenario[#All],4,FALSE),0)</f>
        <v>0</v>
      </c>
      <c r="AE981" s="322">
        <f>SUM(Calculations[[#This Row],[C4 landfill]:[C4 re-use]])</f>
        <v>0</v>
      </c>
      <c r="AF981" s="322">
        <f>IFERROR(VLOOKUP(Calculations[[#This Row],[Material (choose from dropdown]],MaterialData[#All],8,FALSE),0)</f>
        <v>0</v>
      </c>
      <c r="AG981" s="322">
        <f>IFERROR(Calculations[[#This Row],[Total Kg]]*Calculations[[#This Row],[Seq factor]],0)</f>
        <v>0</v>
      </c>
      <c r="AI981" s="322">
        <f>Calculations[[#This Row],[A1-3]]+Calculations[[#This Row],[A4]]+Calculations[[#This Row],[A5]]+Calculations[[#This Row],[B4]]+Calculations[[#This Row],[C2 total]]+Calculations[[#This Row],[C3 total]]+Calculations[[#This Row],[C4 total]]</f>
        <v>0</v>
      </c>
      <c r="AJ981" s="2">
        <f>IFERROR(VLOOKUP(Calculations[[#This Row],[Material (choose from dropdown]],MaterialData[[#Headers],[#Data]],9,FALSE),0)</f>
        <v>0</v>
      </c>
      <c r="AK981" s="4">
        <f>IFERROR(VLOOKUP(Calculations[[#This Row],[Material (choose from dropdown]],MaterialData[[#Headers],[#Data]],10,FALSE),0)</f>
        <v>0</v>
      </c>
      <c r="AL981" s="322">
        <f>IFERROR(Calculations[[#This Row],[Data Quality Score]]*Calculations[[#This Row],[Total Kg]],0)</f>
        <v>0</v>
      </c>
    </row>
    <row r="982" spans="1:38" x14ac:dyDescent="0.3">
      <c r="A982" s="6">
        <f>IFERROR(MaterialsBoQ[[#This Row],[Scope Element]],0)</f>
        <v>0</v>
      </c>
      <c r="B982" t="str">
        <f>IFERROR(MaterialsBoQ[[#This Row],[Material ]],"")</f>
        <v/>
      </c>
      <c r="C982" t="str">
        <f>IFERROR(MaterialsBoQ[[#This Row],[Unit]],"")</f>
        <v/>
      </c>
      <c r="D982" s="322">
        <f>IFERROR(MaterialsBoQ[[#This Row],[Number]],0)</f>
        <v>0</v>
      </c>
      <c r="E982" s="322">
        <f>IFERROR(MaterialsBoQ[[#This Row],[Kg per unit]],0)</f>
        <v>0</v>
      </c>
      <c r="F982" s="322">
        <f>IFERROR(Calculations[[#This Row],[Number]]*Calculations[[#This Row],[Conversion factor]],0)</f>
        <v>0</v>
      </c>
      <c r="G982" s="322">
        <f>IFERROR(VLOOKUP(Calculations[[#This Row],[Material (choose from dropdown]],MaterialData[#All],7,FALSE),0)</f>
        <v>0</v>
      </c>
      <c r="H982" s="322">
        <f>Calculations[[#This Row],[Total Kg]]*Calculations[[#This Row],[Carbon Factor]]</f>
        <v>0</v>
      </c>
      <c r="I982" t="str">
        <f>IFERROR(VLOOKUP(Calculations[[#This Row],[Material (choose from dropdown]],MaterialData[#All],2,FALSE),"")</f>
        <v/>
      </c>
      <c r="J982" s="322">
        <f>IFERROR(((VLOOKUP(Calculations[[#This Row],[TransportSource]],TransportDistance[],2,FALSE)*'Stage assumptions'!$C$11)+VLOOKUP(Calculations[[#This Row],[TransportSource]],TransportDistance[],3,FALSE)*'Stage assumptions'!$C$12)*Calculations[[#This Row],[Total Kg]],0)</f>
        <v>0</v>
      </c>
      <c r="K982">
        <f>IFERROR(VLOOKUP(Calculations[[#This Row],[Material (choose from dropdown]], MaterialData[#All],3, FALSE),0)</f>
        <v>0</v>
      </c>
      <c r="L982" s="322">
        <f>IFERROR(VLOOKUP(Calculations[[#This Row],[A5type]],A5WastageRate[#All],2,FALSE)*Calculations[[#This Row],[A1-3]],0)</f>
        <v>0</v>
      </c>
      <c r="N982">
        <f>IFERROR(ROUNDUP(50/VLOOKUP(Calculations[[#This Row],[Scope Element]],B4referenceServiceLife[[Tier 2 element]:[Default Service Life]],2, FALSE)-1,0),0)</f>
        <v>0</v>
      </c>
      <c r="O982" s="322">
        <f>IFERROR((Calculations[[#This Row],[A1-3]]+Calculations[[#This Row],[A4]]+Calculations[[#This Row],[A5]]+Calculations[[#This Row],[C2 total]]+Calculations[[#This Row],[C3 total]]+Calculations[[#This Row],[C4 total]])*Calculations[[#This Row],[Replacements]],0)</f>
        <v>0</v>
      </c>
      <c r="S982" t="str">
        <f>IFERROR(VLOOKUP(Calculations[[#This Row],[Material (choose from dropdown]],MaterialData[#All],4,FALSE),"")</f>
        <v/>
      </c>
      <c r="T982" s="322" cm="1">
        <f t="array" ref="T982">IFERROR(VLOOKUP(Calculations[[#This Row],[Waste 1]],WasteScenario[#All],2,FALSE)*'Stage assumptions'!$C$225*WasteTransportMethod[Emissions Factor
kgCO2e/kg.km]*Calculations[[#This Row],[Total Kg]],0)</f>
        <v>0</v>
      </c>
      <c r="U982" s="322" cm="1">
        <f t="array" ref="U982">IFERROR(VLOOKUP(Calculations[[#This Row],[Waste 1]],WasteScenario[#All],3,FALSE)*'Stage assumptions'!$C$224*WasteTransportMethod[Emissions Factor
kgCO2e/kg.km]*Calculations[[#This Row],[Total Kg]],0)</f>
        <v>0</v>
      </c>
      <c r="V982" s="322" cm="1">
        <f t="array" ref="V982">IFERROR(VLOOKUP(Calculations[[#This Row],[Waste 1]],WasteScenario[#All],4,FALSE)*'Stage assumptions'!$C$223*WasteTransportMethod[Emissions Factor
kgCO2e/kg.km]*Calculations[[#This Row],[Total Kg]],0)</f>
        <v>0</v>
      </c>
      <c r="W982" s="322" cm="1">
        <f t="array" ref="W982">IFERROR(VLOOKUP(Calculations[[#This Row],[Waste 1]],WasteScenario[#All],5,FALSE)*'Stage assumptions'!$C$226*WasteTransportMethod[Emissions Factor
kgCO2e/kg.km]*Calculations[[#This Row],[Total Kg]],0)</f>
        <v>0</v>
      </c>
      <c r="X982" s="322">
        <f>SUM(Calculations[[#This Row],[C2 Recycle]:[C2 Reuse]])</f>
        <v>0</v>
      </c>
      <c r="Y982" t="str">
        <f>IFERROR(VLOOKUP(Calculations[[#This Row],[Material (choose from dropdown]],MaterialData[#All],5,FALSE),"")</f>
        <v/>
      </c>
      <c r="Z982" s="322">
        <f>IFERROR(((VLOOKUP(Calculations[[#This Row],[Waste type 2]],WasteDisposalEmissions[#All],2,FALSE))*Calculations[[#This Row],[Total Kg]])*VLOOKUP(Calculations[[#This Row],[Waste 1]],WasteScenario[#All],2,FALSE),0)</f>
        <v>0</v>
      </c>
      <c r="AA982" s="322">
        <f>IFERROR((VLOOKUP(Calculations[[#This Row],[Waste type 2]],WasteDisposalEmissions[#All],3,FALSE))*Calculations[[#This Row],[Total Kg]]*VLOOKUP(Calculations[[#This Row],[Waste 1]],WasteScenario[#All],3,FALSE),0)</f>
        <v>0</v>
      </c>
      <c r="AB982" s="322">
        <f>SUM(Calculations[[#This Row],[C3 recyc]:[C3 incin]])</f>
        <v>0</v>
      </c>
      <c r="AC982" s="334">
        <f>IFERROR((VLOOKUP(Calculations[[#This Row],[Waste type 2]],WasteLandfillEmissions[#All],2,FALSE))*Calculations[[#This Row],[Total Kg]]*VLOOKUP(Calculations[[#This Row],[Waste 1]],WasteScenario[#All],4,FALSE),0)</f>
        <v>0</v>
      </c>
      <c r="AD982" s="322">
        <f>IFERROR((VLOOKUP(Calculations[[#This Row],[Waste type 2]],WasteLandfillEmissions[#All],3,FALSE))*Calculations[[#This Row],[Total Kg]]*VLOOKUP(Calculations[[#This Row],[Waste 1]],WasteScenario[#All],4,FALSE),0)</f>
        <v>0</v>
      </c>
      <c r="AE982" s="322">
        <f>SUM(Calculations[[#This Row],[C4 landfill]:[C4 re-use]])</f>
        <v>0</v>
      </c>
      <c r="AF982" s="322">
        <f>IFERROR(VLOOKUP(Calculations[[#This Row],[Material (choose from dropdown]],MaterialData[#All],8,FALSE),0)</f>
        <v>0</v>
      </c>
      <c r="AG982" s="322">
        <f>IFERROR(Calculations[[#This Row],[Total Kg]]*Calculations[[#This Row],[Seq factor]],0)</f>
        <v>0</v>
      </c>
      <c r="AI982" s="322">
        <f>Calculations[[#This Row],[A1-3]]+Calculations[[#This Row],[A4]]+Calculations[[#This Row],[A5]]+Calculations[[#This Row],[B4]]+Calculations[[#This Row],[C2 total]]+Calculations[[#This Row],[C3 total]]+Calculations[[#This Row],[C4 total]]</f>
        <v>0</v>
      </c>
      <c r="AJ982" s="2">
        <f>IFERROR(VLOOKUP(Calculations[[#This Row],[Material (choose from dropdown]],MaterialData[[#Headers],[#Data]],9,FALSE),0)</f>
        <v>0</v>
      </c>
      <c r="AK982" s="4">
        <f>IFERROR(VLOOKUP(Calculations[[#This Row],[Material (choose from dropdown]],MaterialData[[#Headers],[#Data]],10,FALSE),0)</f>
        <v>0</v>
      </c>
      <c r="AL982" s="322">
        <f>IFERROR(Calculations[[#This Row],[Data Quality Score]]*Calculations[[#This Row],[Total Kg]],0)</f>
        <v>0</v>
      </c>
    </row>
    <row r="983" spans="1:38" x14ac:dyDescent="0.3">
      <c r="A983" s="6">
        <f>IFERROR(MaterialsBoQ[[#This Row],[Scope Element]],0)</f>
        <v>0</v>
      </c>
      <c r="B983" t="str">
        <f>IFERROR(MaterialsBoQ[[#This Row],[Material ]],"")</f>
        <v/>
      </c>
      <c r="C983" t="str">
        <f>IFERROR(MaterialsBoQ[[#This Row],[Unit]],"")</f>
        <v/>
      </c>
      <c r="D983" s="322">
        <f>IFERROR(MaterialsBoQ[[#This Row],[Number]],0)</f>
        <v>0</v>
      </c>
      <c r="E983" s="322">
        <f>IFERROR(MaterialsBoQ[[#This Row],[Kg per unit]],0)</f>
        <v>0</v>
      </c>
      <c r="F983" s="322">
        <f>IFERROR(Calculations[[#This Row],[Number]]*Calculations[[#This Row],[Conversion factor]],0)</f>
        <v>0</v>
      </c>
      <c r="G983" s="322">
        <f>IFERROR(VLOOKUP(Calculations[[#This Row],[Material (choose from dropdown]],MaterialData[#All],7,FALSE),0)</f>
        <v>0</v>
      </c>
      <c r="H983" s="322">
        <f>Calculations[[#This Row],[Total Kg]]*Calculations[[#This Row],[Carbon Factor]]</f>
        <v>0</v>
      </c>
      <c r="I983" t="str">
        <f>IFERROR(VLOOKUP(Calculations[[#This Row],[Material (choose from dropdown]],MaterialData[#All],2,FALSE),"")</f>
        <v/>
      </c>
      <c r="J983" s="322">
        <f>IFERROR(((VLOOKUP(Calculations[[#This Row],[TransportSource]],TransportDistance[],2,FALSE)*'Stage assumptions'!$C$11)+VLOOKUP(Calculations[[#This Row],[TransportSource]],TransportDistance[],3,FALSE)*'Stage assumptions'!$C$12)*Calculations[[#This Row],[Total Kg]],0)</f>
        <v>0</v>
      </c>
      <c r="K983">
        <f>IFERROR(VLOOKUP(Calculations[[#This Row],[Material (choose from dropdown]], MaterialData[#All],3, FALSE),0)</f>
        <v>0</v>
      </c>
      <c r="L983" s="322">
        <f>IFERROR(VLOOKUP(Calculations[[#This Row],[A5type]],A5WastageRate[#All],2,FALSE)*Calculations[[#This Row],[A1-3]],0)</f>
        <v>0</v>
      </c>
      <c r="N983">
        <f>IFERROR(ROUNDUP(50/VLOOKUP(Calculations[[#This Row],[Scope Element]],B4referenceServiceLife[[Tier 2 element]:[Default Service Life]],2, FALSE)-1,0),0)</f>
        <v>0</v>
      </c>
      <c r="O983" s="322">
        <f>IFERROR((Calculations[[#This Row],[A1-3]]+Calculations[[#This Row],[A4]]+Calculations[[#This Row],[A5]]+Calculations[[#This Row],[C2 total]]+Calculations[[#This Row],[C3 total]]+Calculations[[#This Row],[C4 total]])*Calculations[[#This Row],[Replacements]],0)</f>
        <v>0</v>
      </c>
      <c r="S983" t="str">
        <f>IFERROR(VLOOKUP(Calculations[[#This Row],[Material (choose from dropdown]],MaterialData[#All],4,FALSE),"")</f>
        <v/>
      </c>
      <c r="T983" s="322" cm="1">
        <f t="array" ref="T983">IFERROR(VLOOKUP(Calculations[[#This Row],[Waste 1]],WasteScenario[#All],2,FALSE)*'Stage assumptions'!$C$225*WasteTransportMethod[Emissions Factor
kgCO2e/kg.km]*Calculations[[#This Row],[Total Kg]],0)</f>
        <v>0</v>
      </c>
      <c r="U983" s="322" cm="1">
        <f t="array" ref="U983">IFERROR(VLOOKUP(Calculations[[#This Row],[Waste 1]],WasteScenario[#All],3,FALSE)*'Stage assumptions'!$C$224*WasteTransportMethod[Emissions Factor
kgCO2e/kg.km]*Calculations[[#This Row],[Total Kg]],0)</f>
        <v>0</v>
      </c>
      <c r="V983" s="322" cm="1">
        <f t="array" ref="V983">IFERROR(VLOOKUP(Calculations[[#This Row],[Waste 1]],WasteScenario[#All],4,FALSE)*'Stage assumptions'!$C$223*WasteTransportMethod[Emissions Factor
kgCO2e/kg.km]*Calculations[[#This Row],[Total Kg]],0)</f>
        <v>0</v>
      </c>
      <c r="W983" s="322" cm="1">
        <f t="array" ref="W983">IFERROR(VLOOKUP(Calculations[[#This Row],[Waste 1]],WasteScenario[#All],5,FALSE)*'Stage assumptions'!$C$226*WasteTransportMethod[Emissions Factor
kgCO2e/kg.km]*Calculations[[#This Row],[Total Kg]],0)</f>
        <v>0</v>
      </c>
      <c r="X983" s="322">
        <f>SUM(Calculations[[#This Row],[C2 Recycle]:[C2 Reuse]])</f>
        <v>0</v>
      </c>
      <c r="Y983" t="str">
        <f>IFERROR(VLOOKUP(Calculations[[#This Row],[Material (choose from dropdown]],MaterialData[#All],5,FALSE),"")</f>
        <v/>
      </c>
      <c r="Z983" s="322">
        <f>IFERROR(((VLOOKUP(Calculations[[#This Row],[Waste type 2]],WasteDisposalEmissions[#All],2,FALSE))*Calculations[[#This Row],[Total Kg]])*VLOOKUP(Calculations[[#This Row],[Waste 1]],WasteScenario[#All],2,FALSE),0)</f>
        <v>0</v>
      </c>
      <c r="AA983" s="322">
        <f>IFERROR((VLOOKUP(Calculations[[#This Row],[Waste type 2]],WasteDisposalEmissions[#All],3,FALSE))*Calculations[[#This Row],[Total Kg]]*VLOOKUP(Calculations[[#This Row],[Waste 1]],WasteScenario[#All],3,FALSE),0)</f>
        <v>0</v>
      </c>
      <c r="AB983" s="322">
        <f>SUM(Calculations[[#This Row],[C3 recyc]:[C3 incin]])</f>
        <v>0</v>
      </c>
      <c r="AC983" s="334">
        <f>IFERROR((VLOOKUP(Calculations[[#This Row],[Waste type 2]],WasteLandfillEmissions[#All],2,FALSE))*Calculations[[#This Row],[Total Kg]]*VLOOKUP(Calculations[[#This Row],[Waste 1]],WasteScenario[#All],4,FALSE),0)</f>
        <v>0</v>
      </c>
      <c r="AD983" s="322">
        <f>IFERROR((VLOOKUP(Calculations[[#This Row],[Waste type 2]],WasteLandfillEmissions[#All],3,FALSE))*Calculations[[#This Row],[Total Kg]]*VLOOKUP(Calculations[[#This Row],[Waste 1]],WasteScenario[#All],4,FALSE),0)</f>
        <v>0</v>
      </c>
      <c r="AE983" s="322">
        <f>SUM(Calculations[[#This Row],[C4 landfill]:[C4 re-use]])</f>
        <v>0</v>
      </c>
      <c r="AF983" s="322">
        <f>IFERROR(VLOOKUP(Calculations[[#This Row],[Material (choose from dropdown]],MaterialData[#All],8,FALSE),0)</f>
        <v>0</v>
      </c>
      <c r="AG983" s="322">
        <f>IFERROR(Calculations[[#This Row],[Total Kg]]*Calculations[[#This Row],[Seq factor]],0)</f>
        <v>0</v>
      </c>
      <c r="AI983" s="322">
        <f>Calculations[[#This Row],[A1-3]]+Calculations[[#This Row],[A4]]+Calculations[[#This Row],[A5]]+Calculations[[#This Row],[B4]]+Calculations[[#This Row],[C2 total]]+Calculations[[#This Row],[C3 total]]+Calculations[[#This Row],[C4 total]]</f>
        <v>0</v>
      </c>
      <c r="AJ983" s="2">
        <f>IFERROR(VLOOKUP(Calculations[[#This Row],[Material (choose from dropdown]],MaterialData[[#Headers],[#Data]],9,FALSE),0)</f>
        <v>0</v>
      </c>
      <c r="AK983" s="4">
        <f>IFERROR(VLOOKUP(Calculations[[#This Row],[Material (choose from dropdown]],MaterialData[[#Headers],[#Data]],10,FALSE),0)</f>
        <v>0</v>
      </c>
      <c r="AL983" s="322">
        <f>IFERROR(Calculations[[#This Row],[Data Quality Score]]*Calculations[[#This Row],[Total Kg]],0)</f>
        <v>0</v>
      </c>
    </row>
    <row r="984" spans="1:38" x14ac:dyDescent="0.3">
      <c r="A984" s="6">
        <f>IFERROR(MaterialsBoQ[[#This Row],[Scope Element]],0)</f>
        <v>0</v>
      </c>
      <c r="B984" t="str">
        <f>IFERROR(MaterialsBoQ[[#This Row],[Material ]],"")</f>
        <v/>
      </c>
      <c r="C984" t="str">
        <f>IFERROR(MaterialsBoQ[[#This Row],[Unit]],"")</f>
        <v/>
      </c>
      <c r="D984" s="322">
        <f>IFERROR(MaterialsBoQ[[#This Row],[Number]],0)</f>
        <v>0</v>
      </c>
      <c r="E984" s="322">
        <f>IFERROR(MaterialsBoQ[[#This Row],[Kg per unit]],0)</f>
        <v>0</v>
      </c>
      <c r="F984" s="322">
        <f>IFERROR(Calculations[[#This Row],[Number]]*Calculations[[#This Row],[Conversion factor]],0)</f>
        <v>0</v>
      </c>
      <c r="G984" s="322">
        <f>IFERROR(VLOOKUP(Calculations[[#This Row],[Material (choose from dropdown]],MaterialData[#All],7,FALSE),0)</f>
        <v>0</v>
      </c>
      <c r="H984" s="322">
        <f>Calculations[[#This Row],[Total Kg]]*Calculations[[#This Row],[Carbon Factor]]</f>
        <v>0</v>
      </c>
      <c r="I984" t="str">
        <f>IFERROR(VLOOKUP(Calculations[[#This Row],[Material (choose from dropdown]],MaterialData[#All],2,FALSE),"")</f>
        <v/>
      </c>
      <c r="J984" s="322">
        <f>IFERROR(((VLOOKUP(Calculations[[#This Row],[TransportSource]],TransportDistance[],2,FALSE)*'Stage assumptions'!$C$11)+VLOOKUP(Calculations[[#This Row],[TransportSource]],TransportDistance[],3,FALSE)*'Stage assumptions'!$C$12)*Calculations[[#This Row],[Total Kg]],0)</f>
        <v>0</v>
      </c>
      <c r="K984">
        <f>IFERROR(VLOOKUP(Calculations[[#This Row],[Material (choose from dropdown]], MaterialData[#All],3, FALSE),0)</f>
        <v>0</v>
      </c>
      <c r="L984" s="322">
        <f>IFERROR(VLOOKUP(Calculations[[#This Row],[A5type]],A5WastageRate[#All],2,FALSE)*Calculations[[#This Row],[A1-3]],0)</f>
        <v>0</v>
      </c>
      <c r="N984">
        <f>IFERROR(ROUNDUP(50/VLOOKUP(Calculations[[#This Row],[Scope Element]],B4referenceServiceLife[[Tier 2 element]:[Default Service Life]],2, FALSE)-1,0),0)</f>
        <v>0</v>
      </c>
      <c r="O984" s="322">
        <f>IFERROR((Calculations[[#This Row],[A1-3]]+Calculations[[#This Row],[A4]]+Calculations[[#This Row],[A5]]+Calculations[[#This Row],[C2 total]]+Calculations[[#This Row],[C3 total]]+Calculations[[#This Row],[C4 total]])*Calculations[[#This Row],[Replacements]],0)</f>
        <v>0</v>
      </c>
      <c r="S984" t="str">
        <f>IFERROR(VLOOKUP(Calculations[[#This Row],[Material (choose from dropdown]],MaterialData[#All],4,FALSE),"")</f>
        <v/>
      </c>
      <c r="T984" s="322" cm="1">
        <f t="array" ref="T984">IFERROR(VLOOKUP(Calculations[[#This Row],[Waste 1]],WasteScenario[#All],2,FALSE)*'Stage assumptions'!$C$225*WasteTransportMethod[Emissions Factor
kgCO2e/kg.km]*Calculations[[#This Row],[Total Kg]],0)</f>
        <v>0</v>
      </c>
      <c r="U984" s="322" cm="1">
        <f t="array" ref="U984">IFERROR(VLOOKUP(Calculations[[#This Row],[Waste 1]],WasteScenario[#All],3,FALSE)*'Stage assumptions'!$C$224*WasteTransportMethod[Emissions Factor
kgCO2e/kg.km]*Calculations[[#This Row],[Total Kg]],0)</f>
        <v>0</v>
      </c>
      <c r="V984" s="322" cm="1">
        <f t="array" ref="V984">IFERROR(VLOOKUP(Calculations[[#This Row],[Waste 1]],WasteScenario[#All],4,FALSE)*'Stage assumptions'!$C$223*WasteTransportMethod[Emissions Factor
kgCO2e/kg.km]*Calculations[[#This Row],[Total Kg]],0)</f>
        <v>0</v>
      </c>
      <c r="W984" s="322" cm="1">
        <f t="array" ref="W984">IFERROR(VLOOKUP(Calculations[[#This Row],[Waste 1]],WasteScenario[#All],5,FALSE)*'Stage assumptions'!$C$226*WasteTransportMethod[Emissions Factor
kgCO2e/kg.km]*Calculations[[#This Row],[Total Kg]],0)</f>
        <v>0</v>
      </c>
      <c r="X984" s="322">
        <f>SUM(Calculations[[#This Row],[C2 Recycle]:[C2 Reuse]])</f>
        <v>0</v>
      </c>
      <c r="Y984" t="str">
        <f>IFERROR(VLOOKUP(Calculations[[#This Row],[Material (choose from dropdown]],MaterialData[#All],5,FALSE),"")</f>
        <v/>
      </c>
      <c r="Z984" s="322">
        <f>IFERROR(((VLOOKUP(Calculations[[#This Row],[Waste type 2]],WasteDisposalEmissions[#All],2,FALSE))*Calculations[[#This Row],[Total Kg]])*VLOOKUP(Calculations[[#This Row],[Waste 1]],WasteScenario[#All],2,FALSE),0)</f>
        <v>0</v>
      </c>
      <c r="AA984" s="322">
        <f>IFERROR((VLOOKUP(Calculations[[#This Row],[Waste type 2]],WasteDisposalEmissions[#All],3,FALSE))*Calculations[[#This Row],[Total Kg]]*VLOOKUP(Calculations[[#This Row],[Waste 1]],WasteScenario[#All],3,FALSE),0)</f>
        <v>0</v>
      </c>
      <c r="AB984" s="322">
        <f>SUM(Calculations[[#This Row],[C3 recyc]:[C3 incin]])</f>
        <v>0</v>
      </c>
      <c r="AC984" s="334">
        <f>IFERROR((VLOOKUP(Calculations[[#This Row],[Waste type 2]],WasteLandfillEmissions[#All],2,FALSE))*Calculations[[#This Row],[Total Kg]]*VLOOKUP(Calculations[[#This Row],[Waste 1]],WasteScenario[#All],4,FALSE),0)</f>
        <v>0</v>
      </c>
      <c r="AD984" s="322">
        <f>IFERROR((VLOOKUP(Calculations[[#This Row],[Waste type 2]],WasteLandfillEmissions[#All],3,FALSE))*Calculations[[#This Row],[Total Kg]]*VLOOKUP(Calculations[[#This Row],[Waste 1]],WasteScenario[#All],4,FALSE),0)</f>
        <v>0</v>
      </c>
      <c r="AE984" s="322">
        <f>SUM(Calculations[[#This Row],[C4 landfill]:[C4 re-use]])</f>
        <v>0</v>
      </c>
      <c r="AF984" s="322">
        <f>IFERROR(VLOOKUP(Calculations[[#This Row],[Material (choose from dropdown]],MaterialData[#All],8,FALSE),0)</f>
        <v>0</v>
      </c>
      <c r="AG984" s="322">
        <f>IFERROR(Calculations[[#This Row],[Total Kg]]*Calculations[[#This Row],[Seq factor]],0)</f>
        <v>0</v>
      </c>
      <c r="AI984" s="322">
        <f>Calculations[[#This Row],[A1-3]]+Calculations[[#This Row],[A4]]+Calculations[[#This Row],[A5]]+Calculations[[#This Row],[B4]]+Calculations[[#This Row],[C2 total]]+Calculations[[#This Row],[C3 total]]+Calculations[[#This Row],[C4 total]]</f>
        <v>0</v>
      </c>
      <c r="AJ984" s="2">
        <f>IFERROR(VLOOKUP(Calculations[[#This Row],[Material (choose from dropdown]],MaterialData[[#Headers],[#Data]],9,FALSE),0)</f>
        <v>0</v>
      </c>
      <c r="AK984" s="4">
        <f>IFERROR(VLOOKUP(Calculations[[#This Row],[Material (choose from dropdown]],MaterialData[[#Headers],[#Data]],10,FALSE),0)</f>
        <v>0</v>
      </c>
      <c r="AL984" s="322">
        <f>IFERROR(Calculations[[#This Row],[Data Quality Score]]*Calculations[[#This Row],[Total Kg]],0)</f>
        <v>0</v>
      </c>
    </row>
    <row r="985" spans="1:38" x14ac:dyDescent="0.3">
      <c r="A985" s="6">
        <f>IFERROR(MaterialsBoQ[[#This Row],[Scope Element]],0)</f>
        <v>0</v>
      </c>
      <c r="B985" t="str">
        <f>IFERROR(MaterialsBoQ[[#This Row],[Material ]],"")</f>
        <v/>
      </c>
      <c r="C985" t="str">
        <f>IFERROR(MaterialsBoQ[[#This Row],[Unit]],"")</f>
        <v/>
      </c>
      <c r="D985" s="322">
        <f>IFERROR(MaterialsBoQ[[#This Row],[Number]],0)</f>
        <v>0</v>
      </c>
      <c r="E985" s="322">
        <f>IFERROR(MaterialsBoQ[[#This Row],[Kg per unit]],0)</f>
        <v>0</v>
      </c>
      <c r="F985" s="322">
        <f>IFERROR(Calculations[[#This Row],[Number]]*Calculations[[#This Row],[Conversion factor]],0)</f>
        <v>0</v>
      </c>
      <c r="G985" s="322">
        <f>IFERROR(VLOOKUP(Calculations[[#This Row],[Material (choose from dropdown]],MaterialData[#All],7,FALSE),0)</f>
        <v>0</v>
      </c>
      <c r="H985" s="322">
        <f>Calculations[[#This Row],[Total Kg]]*Calculations[[#This Row],[Carbon Factor]]</f>
        <v>0</v>
      </c>
      <c r="I985" t="str">
        <f>IFERROR(VLOOKUP(Calculations[[#This Row],[Material (choose from dropdown]],MaterialData[#All],2,FALSE),"")</f>
        <v/>
      </c>
      <c r="J985" s="322">
        <f>IFERROR(((VLOOKUP(Calculations[[#This Row],[TransportSource]],TransportDistance[],2,FALSE)*'Stage assumptions'!$C$11)+VLOOKUP(Calculations[[#This Row],[TransportSource]],TransportDistance[],3,FALSE)*'Stage assumptions'!$C$12)*Calculations[[#This Row],[Total Kg]],0)</f>
        <v>0</v>
      </c>
      <c r="K985">
        <f>IFERROR(VLOOKUP(Calculations[[#This Row],[Material (choose from dropdown]], MaterialData[#All],3, FALSE),0)</f>
        <v>0</v>
      </c>
      <c r="L985" s="322">
        <f>IFERROR(VLOOKUP(Calculations[[#This Row],[A5type]],A5WastageRate[#All],2,FALSE)*Calculations[[#This Row],[A1-3]],0)</f>
        <v>0</v>
      </c>
      <c r="N985">
        <f>IFERROR(ROUNDUP(50/VLOOKUP(Calculations[[#This Row],[Scope Element]],B4referenceServiceLife[[Tier 2 element]:[Default Service Life]],2, FALSE)-1,0),0)</f>
        <v>0</v>
      </c>
      <c r="O985" s="322">
        <f>IFERROR((Calculations[[#This Row],[A1-3]]+Calculations[[#This Row],[A4]]+Calculations[[#This Row],[A5]]+Calculations[[#This Row],[C2 total]]+Calculations[[#This Row],[C3 total]]+Calculations[[#This Row],[C4 total]])*Calculations[[#This Row],[Replacements]],0)</f>
        <v>0</v>
      </c>
      <c r="S985" t="str">
        <f>IFERROR(VLOOKUP(Calculations[[#This Row],[Material (choose from dropdown]],MaterialData[#All],4,FALSE),"")</f>
        <v/>
      </c>
      <c r="T985" s="322" cm="1">
        <f t="array" ref="T985">IFERROR(VLOOKUP(Calculations[[#This Row],[Waste 1]],WasteScenario[#All],2,FALSE)*'Stage assumptions'!$C$225*WasteTransportMethod[Emissions Factor
kgCO2e/kg.km]*Calculations[[#This Row],[Total Kg]],0)</f>
        <v>0</v>
      </c>
      <c r="U985" s="322" cm="1">
        <f t="array" ref="U985">IFERROR(VLOOKUP(Calculations[[#This Row],[Waste 1]],WasteScenario[#All],3,FALSE)*'Stage assumptions'!$C$224*WasteTransportMethod[Emissions Factor
kgCO2e/kg.km]*Calculations[[#This Row],[Total Kg]],0)</f>
        <v>0</v>
      </c>
      <c r="V985" s="322" cm="1">
        <f t="array" ref="V985">IFERROR(VLOOKUP(Calculations[[#This Row],[Waste 1]],WasteScenario[#All],4,FALSE)*'Stage assumptions'!$C$223*WasteTransportMethod[Emissions Factor
kgCO2e/kg.km]*Calculations[[#This Row],[Total Kg]],0)</f>
        <v>0</v>
      </c>
      <c r="W985" s="322" cm="1">
        <f t="array" ref="W985">IFERROR(VLOOKUP(Calculations[[#This Row],[Waste 1]],WasteScenario[#All],5,FALSE)*'Stage assumptions'!$C$226*WasteTransportMethod[Emissions Factor
kgCO2e/kg.km]*Calculations[[#This Row],[Total Kg]],0)</f>
        <v>0</v>
      </c>
      <c r="X985" s="322">
        <f>SUM(Calculations[[#This Row],[C2 Recycle]:[C2 Reuse]])</f>
        <v>0</v>
      </c>
      <c r="Y985" t="str">
        <f>IFERROR(VLOOKUP(Calculations[[#This Row],[Material (choose from dropdown]],MaterialData[#All],5,FALSE),"")</f>
        <v/>
      </c>
      <c r="Z985" s="322">
        <f>IFERROR(((VLOOKUP(Calculations[[#This Row],[Waste type 2]],WasteDisposalEmissions[#All],2,FALSE))*Calculations[[#This Row],[Total Kg]])*VLOOKUP(Calculations[[#This Row],[Waste 1]],WasteScenario[#All],2,FALSE),0)</f>
        <v>0</v>
      </c>
      <c r="AA985" s="322">
        <f>IFERROR((VLOOKUP(Calculations[[#This Row],[Waste type 2]],WasteDisposalEmissions[#All],3,FALSE))*Calculations[[#This Row],[Total Kg]]*VLOOKUP(Calculations[[#This Row],[Waste 1]],WasteScenario[#All],3,FALSE),0)</f>
        <v>0</v>
      </c>
      <c r="AB985" s="322">
        <f>SUM(Calculations[[#This Row],[C3 recyc]:[C3 incin]])</f>
        <v>0</v>
      </c>
      <c r="AC985" s="334">
        <f>IFERROR((VLOOKUP(Calculations[[#This Row],[Waste type 2]],WasteLandfillEmissions[#All],2,FALSE))*Calculations[[#This Row],[Total Kg]]*VLOOKUP(Calculations[[#This Row],[Waste 1]],WasteScenario[#All],4,FALSE),0)</f>
        <v>0</v>
      </c>
      <c r="AD985" s="322">
        <f>IFERROR((VLOOKUP(Calculations[[#This Row],[Waste type 2]],WasteLandfillEmissions[#All],3,FALSE))*Calculations[[#This Row],[Total Kg]]*VLOOKUP(Calculations[[#This Row],[Waste 1]],WasteScenario[#All],4,FALSE),0)</f>
        <v>0</v>
      </c>
      <c r="AE985" s="322">
        <f>SUM(Calculations[[#This Row],[C4 landfill]:[C4 re-use]])</f>
        <v>0</v>
      </c>
      <c r="AF985" s="322">
        <f>IFERROR(VLOOKUP(Calculations[[#This Row],[Material (choose from dropdown]],MaterialData[#All],8,FALSE),0)</f>
        <v>0</v>
      </c>
      <c r="AG985" s="322">
        <f>IFERROR(Calculations[[#This Row],[Total Kg]]*Calculations[[#This Row],[Seq factor]],0)</f>
        <v>0</v>
      </c>
      <c r="AI985" s="322">
        <f>Calculations[[#This Row],[A1-3]]+Calculations[[#This Row],[A4]]+Calculations[[#This Row],[A5]]+Calculations[[#This Row],[B4]]+Calculations[[#This Row],[C2 total]]+Calculations[[#This Row],[C3 total]]+Calculations[[#This Row],[C4 total]]</f>
        <v>0</v>
      </c>
      <c r="AJ985" s="2">
        <f>IFERROR(VLOOKUP(Calculations[[#This Row],[Material (choose from dropdown]],MaterialData[[#Headers],[#Data]],9,FALSE),0)</f>
        <v>0</v>
      </c>
      <c r="AK985" s="4">
        <f>IFERROR(VLOOKUP(Calculations[[#This Row],[Material (choose from dropdown]],MaterialData[[#Headers],[#Data]],10,FALSE),0)</f>
        <v>0</v>
      </c>
      <c r="AL985" s="322">
        <f>IFERROR(Calculations[[#This Row],[Data Quality Score]]*Calculations[[#This Row],[Total Kg]],0)</f>
        <v>0</v>
      </c>
    </row>
    <row r="986" spans="1:38" x14ac:dyDescent="0.3">
      <c r="A986" s="6">
        <f>IFERROR(MaterialsBoQ[[#This Row],[Scope Element]],0)</f>
        <v>0</v>
      </c>
      <c r="B986" t="str">
        <f>IFERROR(MaterialsBoQ[[#This Row],[Material ]],"")</f>
        <v/>
      </c>
      <c r="C986" t="str">
        <f>IFERROR(MaterialsBoQ[[#This Row],[Unit]],"")</f>
        <v/>
      </c>
      <c r="D986" s="322">
        <f>IFERROR(MaterialsBoQ[[#This Row],[Number]],0)</f>
        <v>0</v>
      </c>
      <c r="E986" s="322">
        <f>IFERROR(MaterialsBoQ[[#This Row],[Kg per unit]],0)</f>
        <v>0</v>
      </c>
      <c r="F986" s="322">
        <f>IFERROR(Calculations[[#This Row],[Number]]*Calculations[[#This Row],[Conversion factor]],0)</f>
        <v>0</v>
      </c>
      <c r="G986" s="322">
        <f>IFERROR(VLOOKUP(Calculations[[#This Row],[Material (choose from dropdown]],MaterialData[#All],7,FALSE),0)</f>
        <v>0</v>
      </c>
      <c r="H986" s="322">
        <f>Calculations[[#This Row],[Total Kg]]*Calculations[[#This Row],[Carbon Factor]]</f>
        <v>0</v>
      </c>
      <c r="I986" t="str">
        <f>IFERROR(VLOOKUP(Calculations[[#This Row],[Material (choose from dropdown]],MaterialData[#All],2,FALSE),"")</f>
        <v/>
      </c>
      <c r="J986" s="322">
        <f>IFERROR(((VLOOKUP(Calculations[[#This Row],[TransportSource]],TransportDistance[],2,FALSE)*'Stage assumptions'!$C$11)+VLOOKUP(Calculations[[#This Row],[TransportSource]],TransportDistance[],3,FALSE)*'Stage assumptions'!$C$12)*Calculations[[#This Row],[Total Kg]],0)</f>
        <v>0</v>
      </c>
      <c r="K986">
        <f>IFERROR(VLOOKUP(Calculations[[#This Row],[Material (choose from dropdown]], MaterialData[#All],3, FALSE),0)</f>
        <v>0</v>
      </c>
      <c r="L986" s="322">
        <f>IFERROR(VLOOKUP(Calculations[[#This Row],[A5type]],A5WastageRate[#All],2,FALSE)*Calculations[[#This Row],[A1-3]],0)</f>
        <v>0</v>
      </c>
      <c r="N986">
        <f>IFERROR(ROUNDUP(50/VLOOKUP(Calculations[[#This Row],[Scope Element]],B4referenceServiceLife[[Tier 2 element]:[Default Service Life]],2, FALSE)-1,0),0)</f>
        <v>0</v>
      </c>
      <c r="O986" s="322">
        <f>IFERROR((Calculations[[#This Row],[A1-3]]+Calculations[[#This Row],[A4]]+Calculations[[#This Row],[A5]]+Calculations[[#This Row],[C2 total]]+Calculations[[#This Row],[C3 total]]+Calculations[[#This Row],[C4 total]])*Calculations[[#This Row],[Replacements]],0)</f>
        <v>0</v>
      </c>
      <c r="S986" t="str">
        <f>IFERROR(VLOOKUP(Calculations[[#This Row],[Material (choose from dropdown]],MaterialData[#All],4,FALSE),"")</f>
        <v/>
      </c>
      <c r="T986" s="322" cm="1">
        <f t="array" ref="T986">IFERROR(VLOOKUP(Calculations[[#This Row],[Waste 1]],WasteScenario[#All],2,FALSE)*'Stage assumptions'!$C$225*WasteTransportMethod[Emissions Factor
kgCO2e/kg.km]*Calculations[[#This Row],[Total Kg]],0)</f>
        <v>0</v>
      </c>
      <c r="U986" s="322" cm="1">
        <f t="array" ref="U986">IFERROR(VLOOKUP(Calculations[[#This Row],[Waste 1]],WasteScenario[#All],3,FALSE)*'Stage assumptions'!$C$224*WasteTransportMethod[Emissions Factor
kgCO2e/kg.km]*Calculations[[#This Row],[Total Kg]],0)</f>
        <v>0</v>
      </c>
      <c r="V986" s="322" cm="1">
        <f t="array" ref="V986">IFERROR(VLOOKUP(Calculations[[#This Row],[Waste 1]],WasteScenario[#All],4,FALSE)*'Stage assumptions'!$C$223*WasteTransportMethod[Emissions Factor
kgCO2e/kg.km]*Calculations[[#This Row],[Total Kg]],0)</f>
        <v>0</v>
      </c>
      <c r="W986" s="322" cm="1">
        <f t="array" ref="W986">IFERROR(VLOOKUP(Calculations[[#This Row],[Waste 1]],WasteScenario[#All],5,FALSE)*'Stage assumptions'!$C$226*WasteTransportMethod[Emissions Factor
kgCO2e/kg.km]*Calculations[[#This Row],[Total Kg]],0)</f>
        <v>0</v>
      </c>
      <c r="X986" s="322">
        <f>SUM(Calculations[[#This Row],[C2 Recycle]:[C2 Reuse]])</f>
        <v>0</v>
      </c>
      <c r="Y986" t="str">
        <f>IFERROR(VLOOKUP(Calculations[[#This Row],[Material (choose from dropdown]],MaterialData[#All],5,FALSE),"")</f>
        <v/>
      </c>
      <c r="Z986" s="322">
        <f>IFERROR(((VLOOKUP(Calculations[[#This Row],[Waste type 2]],WasteDisposalEmissions[#All],2,FALSE))*Calculations[[#This Row],[Total Kg]])*VLOOKUP(Calculations[[#This Row],[Waste 1]],WasteScenario[#All],2,FALSE),0)</f>
        <v>0</v>
      </c>
      <c r="AA986" s="322">
        <f>IFERROR((VLOOKUP(Calculations[[#This Row],[Waste type 2]],WasteDisposalEmissions[#All],3,FALSE))*Calculations[[#This Row],[Total Kg]]*VLOOKUP(Calculations[[#This Row],[Waste 1]],WasteScenario[#All],3,FALSE),0)</f>
        <v>0</v>
      </c>
      <c r="AB986" s="322">
        <f>SUM(Calculations[[#This Row],[C3 recyc]:[C3 incin]])</f>
        <v>0</v>
      </c>
      <c r="AC986" s="334">
        <f>IFERROR((VLOOKUP(Calculations[[#This Row],[Waste type 2]],WasteLandfillEmissions[#All],2,FALSE))*Calculations[[#This Row],[Total Kg]]*VLOOKUP(Calculations[[#This Row],[Waste 1]],WasteScenario[#All],4,FALSE),0)</f>
        <v>0</v>
      </c>
      <c r="AD986" s="322">
        <f>IFERROR((VLOOKUP(Calculations[[#This Row],[Waste type 2]],WasteLandfillEmissions[#All],3,FALSE))*Calculations[[#This Row],[Total Kg]]*VLOOKUP(Calculations[[#This Row],[Waste 1]],WasteScenario[#All],4,FALSE),0)</f>
        <v>0</v>
      </c>
      <c r="AE986" s="322">
        <f>SUM(Calculations[[#This Row],[C4 landfill]:[C4 re-use]])</f>
        <v>0</v>
      </c>
      <c r="AF986" s="322">
        <f>IFERROR(VLOOKUP(Calculations[[#This Row],[Material (choose from dropdown]],MaterialData[#All],8,FALSE),0)</f>
        <v>0</v>
      </c>
      <c r="AG986" s="322">
        <f>IFERROR(Calculations[[#This Row],[Total Kg]]*Calculations[[#This Row],[Seq factor]],0)</f>
        <v>0</v>
      </c>
      <c r="AI986" s="322">
        <f>Calculations[[#This Row],[A1-3]]+Calculations[[#This Row],[A4]]+Calculations[[#This Row],[A5]]+Calculations[[#This Row],[B4]]+Calculations[[#This Row],[C2 total]]+Calculations[[#This Row],[C3 total]]+Calculations[[#This Row],[C4 total]]</f>
        <v>0</v>
      </c>
      <c r="AJ986" s="2">
        <f>IFERROR(VLOOKUP(Calculations[[#This Row],[Material (choose from dropdown]],MaterialData[[#Headers],[#Data]],9,FALSE),0)</f>
        <v>0</v>
      </c>
      <c r="AK986" s="4">
        <f>IFERROR(VLOOKUP(Calculations[[#This Row],[Material (choose from dropdown]],MaterialData[[#Headers],[#Data]],10,FALSE),0)</f>
        <v>0</v>
      </c>
      <c r="AL986" s="322">
        <f>IFERROR(Calculations[[#This Row],[Data Quality Score]]*Calculations[[#This Row],[Total Kg]],0)</f>
        <v>0</v>
      </c>
    </row>
    <row r="987" spans="1:38" x14ac:dyDescent="0.3">
      <c r="A987" s="6">
        <f>IFERROR(MaterialsBoQ[[#This Row],[Scope Element]],0)</f>
        <v>0</v>
      </c>
      <c r="B987" t="str">
        <f>IFERROR(MaterialsBoQ[[#This Row],[Material ]],"")</f>
        <v/>
      </c>
      <c r="C987" t="str">
        <f>IFERROR(MaterialsBoQ[[#This Row],[Unit]],"")</f>
        <v/>
      </c>
      <c r="D987" s="322">
        <f>IFERROR(MaterialsBoQ[[#This Row],[Number]],0)</f>
        <v>0</v>
      </c>
      <c r="E987" s="322">
        <f>IFERROR(MaterialsBoQ[[#This Row],[Kg per unit]],0)</f>
        <v>0</v>
      </c>
      <c r="F987" s="322">
        <f>IFERROR(Calculations[[#This Row],[Number]]*Calculations[[#This Row],[Conversion factor]],0)</f>
        <v>0</v>
      </c>
      <c r="G987" s="322">
        <f>IFERROR(VLOOKUP(Calculations[[#This Row],[Material (choose from dropdown]],MaterialData[#All],7,FALSE),0)</f>
        <v>0</v>
      </c>
      <c r="H987" s="322">
        <f>Calculations[[#This Row],[Total Kg]]*Calculations[[#This Row],[Carbon Factor]]</f>
        <v>0</v>
      </c>
      <c r="I987" t="str">
        <f>IFERROR(VLOOKUP(Calculations[[#This Row],[Material (choose from dropdown]],MaterialData[#All],2,FALSE),"")</f>
        <v/>
      </c>
      <c r="J987" s="322">
        <f>IFERROR(((VLOOKUP(Calculations[[#This Row],[TransportSource]],TransportDistance[],2,FALSE)*'Stage assumptions'!$C$11)+VLOOKUP(Calculations[[#This Row],[TransportSource]],TransportDistance[],3,FALSE)*'Stage assumptions'!$C$12)*Calculations[[#This Row],[Total Kg]],0)</f>
        <v>0</v>
      </c>
      <c r="K987">
        <f>IFERROR(VLOOKUP(Calculations[[#This Row],[Material (choose from dropdown]], MaterialData[#All],3, FALSE),0)</f>
        <v>0</v>
      </c>
      <c r="L987" s="322">
        <f>IFERROR(VLOOKUP(Calculations[[#This Row],[A5type]],A5WastageRate[#All],2,FALSE)*Calculations[[#This Row],[A1-3]],0)</f>
        <v>0</v>
      </c>
      <c r="N987">
        <f>IFERROR(ROUNDUP(50/VLOOKUP(Calculations[[#This Row],[Scope Element]],B4referenceServiceLife[[Tier 2 element]:[Default Service Life]],2, FALSE)-1,0),0)</f>
        <v>0</v>
      </c>
      <c r="O987" s="322">
        <f>IFERROR((Calculations[[#This Row],[A1-3]]+Calculations[[#This Row],[A4]]+Calculations[[#This Row],[A5]]+Calculations[[#This Row],[C2 total]]+Calculations[[#This Row],[C3 total]]+Calculations[[#This Row],[C4 total]])*Calculations[[#This Row],[Replacements]],0)</f>
        <v>0</v>
      </c>
      <c r="S987" t="str">
        <f>IFERROR(VLOOKUP(Calculations[[#This Row],[Material (choose from dropdown]],MaterialData[#All],4,FALSE),"")</f>
        <v/>
      </c>
      <c r="T987" s="322" cm="1">
        <f t="array" ref="T987">IFERROR(VLOOKUP(Calculations[[#This Row],[Waste 1]],WasteScenario[#All],2,FALSE)*'Stage assumptions'!$C$225*WasteTransportMethod[Emissions Factor
kgCO2e/kg.km]*Calculations[[#This Row],[Total Kg]],0)</f>
        <v>0</v>
      </c>
      <c r="U987" s="322" cm="1">
        <f t="array" ref="U987">IFERROR(VLOOKUP(Calculations[[#This Row],[Waste 1]],WasteScenario[#All],3,FALSE)*'Stage assumptions'!$C$224*WasteTransportMethod[Emissions Factor
kgCO2e/kg.km]*Calculations[[#This Row],[Total Kg]],0)</f>
        <v>0</v>
      </c>
      <c r="V987" s="322" cm="1">
        <f t="array" ref="V987">IFERROR(VLOOKUP(Calculations[[#This Row],[Waste 1]],WasteScenario[#All],4,FALSE)*'Stage assumptions'!$C$223*WasteTransportMethod[Emissions Factor
kgCO2e/kg.km]*Calculations[[#This Row],[Total Kg]],0)</f>
        <v>0</v>
      </c>
      <c r="W987" s="322" cm="1">
        <f t="array" ref="W987">IFERROR(VLOOKUP(Calculations[[#This Row],[Waste 1]],WasteScenario[#All],5,FALSE)*'Stage assumptions'!$C$226*WasteTransportMethod[Emissions Factor
kgCO2e/kg.km]*Calculations[[#This Row],[Total Kg]],0)</f>
        <v>0</v>
      </c>
      <c r="X987" s="322">
        <f>SUM(Calculations[[#This Row],[C2 Recycle]:[C2 Reuse]])</f>
        <v>0</v>
      </c>
      <c r="Y987" t="str">
        <f>IFERROR(VLOOKUP(Calculations[[#This Row],[Material (choose from dropdown]],MaterialData[#All],5,FALSE),"")</f>
        <v/>
      </c>
      <c r="Z987" s="322">
        <f>IFERROR(((VLOOKUP(Calculations[[#This Row],[Waste type 2]],WasteDisposalEmissions[#All],2,FALSE))*Calculations[[#This Row],[Total Kg]])*VLOOKUP(Calculations[[#This Row],[Waste 1]],WasteScenario[#All],2,FALSE),0)</f>
        <v>0</v>
      </c>
      <c r="AA987" s="322">
        <f>IFERROR((VLOOKUP(Calculations[[#This Row],[Waste type 2]],WasteDisposalEmissions[#All],3,FALSE))*Calculations[[#This Row],[Total Kg]]*VLOOKUP(Calculations[[#This Row],[Waste 1]],WasteScenario[#All],3,FALSE),0)</f>
        <v>0</v>
      </c>
      <c r="AB987" s="322">
        <f>SUM(Calculations[[#This Row],[C3 recyc]:[C3 incin]])</f>
        <v>0</v>
      </c>
      <c r="AC987" s="334">
        <f>IFERROR((VLOOKUP(Calculations[[#This Row],[Waste type 2]],WasteLandfillEmissions[#All],2,FALSE))*Calculations[[#This Row],[Total Kg]]*VLOOKUP(Calculations[[#This Row],[Waste 1]],WasteScenario[#All],4,FALSE),0)</f>
        <v>0</v>
      </c>
      <c r="AD987" s="322">
        <f>IFERROR((VLOOKUP(Calculations[[#This Row],[Waste type 2]],WasteLandfillEmissions[#All],3,FALSE))*Calculations[[#This Row],[Total Kg]]*VLOOKUP(Calculations[[#This Row],[Waste 1]],WasteScenario[#All],4,FALSE),0)</f>
        <v>0</v>
      </c>
      <c r="AE987" s="322">
        <f>SUM(Calculations[[#This Row],[C4 landfill]:[C4 re-use]])</f>
        <v>0</v>
      </c>
      <c r="AF987" s="322">
        <f>IFERROR(VLOOKUP(Calculations[[#This Row],[Material (choose from dropdown]],MaterialData[#All],8,FALSE),0)</f>
        <v>0</v>
      </c>
      <c r="AG987" s="322">
        <f>IFERROR(Calculations[[#This Row],[Total Kg]]*Calculations[[#This Row],[Seq factor]],0)</f>
        <v>0</v>
      </c>
      <c r="AI987" s="322">
        <f>Calculations[[#This Row],[A1-3]]+Calculations[[#This Row],[A4]]+Calculations[[#This Row],[A5]]+Calculations[[#This Row],[B4]]+Calculations[[#This Row],[C2 total]]+Calculations[[#This Row],[C3 total]]+Calculations[[#This Row],[C4 total]]</f>
        <v>0</v>
      </c>
      <c r="AJ987" s="2">
        <f>IFERROR(VLOOKUP(Calculations[[#This Row],[Material (choose from dropdown]],MaterialData[[#Headers],[#Data]],9,FALSE),0)</f>
        <v>0</v>
      </c>
      <c r="AK987" s="4">
        <f>IFERROR(VLOOKUP(Calculations[[#This Row],[Material (choose from dropdown]],MaterialData[[#Headers],[#Data]],10,FALSE),0)</f>
        <v>0</v>
      </c>
      <c r="AL987" s="322">
        <f>IFERROR(Calculations[[#This Row],[Data Quality Score]]*Calculations[[#This Row],[Total Kg]],0)</f>
        <v>0</v>
      </c>
    </row>
    <row r="988" spans="1:38" x14ac:dyDescent="0.3">
      <c r="A988" s="6">
        <f>IFERROR(MaterialsBoQ[[#This Row],[Scope Element]],0)</f>
        <v>0</v>
      </c>
      <c r="B988" t="str">
        <f>IFERROR(MaterialsBoQ[[#This Row],[Material ]],"")</f>
        <v/>
      </c>
      <c r="C988" t="str">
        <f>IFERROR(MaterialsBoQ[[#This Row],[Unit]],"")</f>
        <v/>
      </c>
      <c r="D988" s="322">
        <f>IFERROR(MaterialsBoQ[[#This Row],[Number]],0)</f>
        <v>0</v>
      </c>
      <c r="E988" s="322">
        <f>IFERROR(MaterialsBoQ[[#This Row],[Kg per unit]],0)</f>
        <v>0</v>
      </c>
      <c r="F988" s="322">
        <f>IFERROR(Calculations[[#This Row],[Number]]*Calculations[[#This Row],[Conversion factor]],0)</f>
        <v>0</v>
      </c>
      <c r="G988" s="322">
        <f>IFERROR(VLOOKUP(Calculations[[#This Row],[Material (choose from dropdown]],MaterialData[#All],7,FALSE),0)</f>
        <v>0</v>
      </c>
      <c r="H988" s="322">
        <f>Calculations[[#This Row],[Total Kg]]*Calculations[[#This Row],[Carbon Factor]]</f>
        <v>0</v>
      </c>
      <c r="I988" t="str">
        <f>IFERROR(VLOOKUP(Calculations[[#This Row],[Material (choose from dropdown]],MaterialData[#All],2,FALSE),"")</f>
        <v/>
      </c>
      <c r="J988" s="322">
        <f>IFERROR(((VLOOKUP(Calculations[[#This Row],[TransportSource]],TransportDistance[],2,FALSE)*'Stage assumptions'!$C$11)+VLOOKUP(Calculations[[#This Row],[TransportSource]],TransportDistance[],3,FALSE)*'Stage assumptions'!$C$12)*Calculations[[#This Row],[Total Kg]],0)</f>
        <v>0</v>
      </c>
      <c r="K988">
        <f>IFERROR(VLOOKUP(Calculations[[#This Row],[Material (choose from dropdown]], MaterialData[#All],3, FALSE),0)</f>
        <v>0</v>
      </c>
      <c r="L988" s="322">
        <f>IFERROR(VLOOKUP(Calculations[[#This Row],[A5type]],A5WastageRate[#All],2,FALSE)*Calculations[[#This Row],[A1-3]],0)</f>
        <v>0</v>
      </c>
      <c r="N988">
        <f>IFERROR(ROUNDUP(50/VLOOKUP(Calculations[[#This Row],[Scope Element]],B4referenceServiceLife[[Tier 2 element]:[Default Service Life]],2, FALSE)-1,0),0)</f>
        <v>0</v>
      </c>
      <c r="O988" s="322">
        <f>IFERROR((Calculations[[#This Row],[A1-3]]+Calculations[[#This Row],[A4]]+Calculations[[#This Row],[A5]]+Calculations[[#This Row],[C2 total]]+Calculations[[#This Row],[C3 total]]+Calculations[[#This Row],[C4 total]])*Calculations[[#This Row],[Replacements]],0)</f>
        <v>0</v>
      </c>
      <c r="S988" t="str">
        <f>IFERROR(VLOOKUP(Calculations[[#This Row],[Material (choose from dropdown]],MaterialData[#All],4,FALSE),"")</f>
        <v/>
      </c>
      <c r="T988" s="322" cm="1">
        <f t="array" ref="T988">IFERROR(VLOOKUP(Calculations[[#This Row],[Waste 1]],WasteScenario[#All],2,FALSE)*'Stage assumptions'!$C$225*WasteTransportMethod[Emissions Factor
kgCO2e/kg.km]*Calculations[[#This Row],[Total Kg]],0)</f>
        <v>0</v>
      </c>
      <c r="U988" s="322" cm="1">
        <f t="array" ref="U988">IFERROR(VLOOKUP(Calculations[[#This Row],[Waste 1]],WasteScenario[#All],3,FALSE)*'Stage assumptions'!$C$224*WasteTransportMethod[Emissions Factor
kgCO2e/kg.km]*Calculations[[#This Row],[Total Kg]],0)</f>
        <v>0</v>
      </c>
      <c r="V988" s="322" cm="1">
        <f t="array" ref="V988">IFERROR(VLOOKUP(Calculations[[#This Row],[Waste 1]],WasteScenario[#All],4,FALSE)*'Stage assumptions'!$C$223*WasteTransportMethod[Emissions Factor
kgCO2e/kg.km]*Calculations[[#This Row],[Total Kg]],0)</f>
        <v>0</v>
      </c>
      <c r="W988" s="322" cm="1">
        <f t="array" ref="W988">IFERROR(VLOOKUP(Calculations[[#This Row],[Waste 1]],WasteScenario[#All],5,FALSE)*'Stage assumptions'!$C$226*WasteTransportMethod[Emissions Factor
kgCO2e/kg.km]*Calculations[[#This Row],[Total Kg]],0)</f>
        <v>0</v>
      </c>
      <c r="X988" s="322">
        <f>SUM(Calculations[[#This Row],[C2 Recycle]:[C2 Reuse]])</f>
        <v>0</v>
      </c>
      <c r="Y988" t="str">
        <f>IFERROR(VLOOKUP(Calculations[[#This Row],[Material (choose from dropdown]],MaterialData[#All],5,FALSE),"")</f>
        <v/>
      </c>
      <c r="Z988" s="322">
        <f>IFERROR(((VLOOKUP(Calculations[[#This Row],[Waste type 2]],WasteDisposalEmissions[#All],2,FALSE))*Calculations[[#This Row],[Total Kg]])*VLOOKUP(Calculations[[#This Row],[Waste 1]],WasteScenario[#All],2,FALSE),0)</f>
        <v>0</v>
      </c>
      <c r="AA988" s="322">
        <f>IFERROR((VLOOKUP(Calculations[[#This Row],[Waste type 2]],WasteDisposalEmissions[#All],3,FALSE))*Calculations[[#This Row],[Total Kg]]*VLOOKUP(Calculations[[#This Row],[Waste 1]],WasteScenario[#All],3,FALSE),0)</f>
        <v>0</v>
      </c>
      <c r="AB988" s="322">
        <f>SUM(Calculations[[#This Row],[C3 recyc]:[C3 incin]])</f>
        <v>0</v>
      </c>
      <c r="AC988" s="334">
        <f>IFERROR((VLOOKUP(Calculations[[#This Row],[Waste type 2]],WasteLandfillEmissions[#All],2,FALSE))*Calculations[[#This Row],[Total Kg]]*VLOOKUP(Calculations[[#This Row],[Waste 1]],WasteScenario[#All],4,FALSE),0)</f>
        <v>0</v>
      </c>
      <c r="AD988" s="322">
        <f>IFERROR((VLOOKUP(Calculations[[#This Row],[Waste type 2]],WasteLandfillEmissions[#All],3,FALSE))*Calculations[[#This Row],[Total Kg]]*VLOOKUP(Calculations[[#This Row],[Waste 1]],WasteScenario[#All],4,FALSE),0)</f>
        <v>0</v>
      </c>
      <c r="AE988" s="322">
        <f>SUM(Calculations[[#This Row],[C4 landfill]:[C4 re-use]])</f>
        <v>0</v>
      </c>
      <c r="AF988" s="322">
        <f>IFERROR(VLOOKUP(Calculations[[#This Row],[Material (choose from dropdown]],MaterialData[#All],8,FALSE),0)</f>
        <v>0</v>
      </c>
      <c r="AG988" s="322">
        <f>IFERROR(Calculations[[#This Row],[Total Kg]]*Calculations[[#This Row],[Seq factor]],0)</f>
        <v>0</v>
      </c>
      <c r="AI988" s="322">
        <f>Calculations[[#This Row],[A1-3]]+Calculations[[#This Row],[A4]]+Calculations[[#This Row],[A5]]+Calculations[[#This Row],[B4]]+Calculations[[#This Row],[C2 total]]+Calculations[[#This Row],[C3 total]]+Calculations[[#This Row],[C4 total]]</f>
        <v>0</v>
      </c>
      <c r="AJ988" s="2">
        <f>IFERROR(VLOOKUP(Calculations[[#This Row],[Material (choose from dropdown]],MaterialData[[#Headers],[#Data]],9,FALSE),0)</f>
        <v>0</v>
      </c>
      <c r="AK988" s="4">
        <f>IFERROR(VLOOKUP(Calculations[[#This Row],[Material (choose from dropdown]],MaterialData[[#Headers],[#Data]],10,FALSE),0)</f>
        <v>0</v>
      </c>
      <c r="AL988" s="322">
        <f>IFERROR(Calculations[[#This Row],[Data Quality Score]]*Calculations[[#This Row],[Total Kg]],0)</f>
        <v>0</v>
      </c>
    </row>
    <row r="989" spans="1:38" x14ac:dyDescent="0.3">
      <c r="A989" s="6">
        <f>IFERROR(MaterialsBoQ[[#This Row],[Scope Element]],0)</f>
        <v>0</v>
      </c>
      <c r="B989" t="str">
        <f>IFERROR(MaterialsBoQ[[#This Row],[Material ]],"")</f>
        <v/>
      </c>
      <c r="C989" t="str">
        <f>IFERROR(MaterialsBoQ[[#This Row],[Unit]],"")</f>
        <v/>
      </c>
      <c r="D989" s="322">
        <f>IFERROR(MaterialsBoQ[[#This Row],[Number]],0)</f>
        <v>0</v>
      </c>
      <c r="E989" s="322">
        <f>IFERROR(MaterialsBoQ[[#This Row],[Kg per unit]],0)</f>
        <v>0</v>
      </c>
      <c r="F989" s="322">
        <f>IFERROR(Calculations[[#This Row],[Number]]*Calculations[[#This Row],[Conversion factor]],0)</f>
        <v>0</v>
      </c>
      <c r="G989" s="322">
        <f>IFERROR(VLOOKUP(Calculations[[#This Row],[Material (choose from dropdown]],MaterialData[#All],7,FALSE),0)</f>
        <v>0</v>
      </c>
      <c r="H989" s="322">
        <f>Calculations[[#This Row],[Total Kg]]*Calculations[[#This Row],[Carbon Factor]]</f>
        <v>0</v>
      </c>
      <c r="I989" t="str">
        <f>IFERROR(VLOOKUP(Calculations[[#This Row],[Material (choose from dropdown]],MaterialData[#All],2,FALSE),"")</f>
        <v/>
      </c>
      <c r="J989" s="322">
        <f>IFERROR(((VLOOKUP(Calculations[[#This Row],[TransportSource]],TransportDistance[],2,FALSE)*'Stage assumptions'!$C$11)+VLOOKUP(Calculations[[#This Row],[TransportSource]],TransportDistance[],3,FALSE)*'Stage assumptions'!$C$12)*Calculations[[#This Row],[Total Kg]],0)</f>
        <v>0</v>
      </c>
      <c r="K989">
        <f>IFERROR(VLOOKUP(Calculations[[#This Row],[Material (choose from dropdown]], MaterialData[#All],3, FALSE),0)</f>
        <v>0</v>
      </c>
      <c r="L989" s="322">
        <f>IFERROR(VLOOKUP(Calculations[[#This Row],[A5type]],A5WastageRate[#All],2,FALSE)*Calculations[[#This Row],[A1-3]],0)</f>
        <v>0</v>
      </c>
      <c r="N989">
        <f>IFERROR(ROUNDUP(50/VLOOKUP(Calculations[[#This Row],[Scope Element]],B4referenceServiceLife[[Tier 2 element]:[Default Service Life]],2, FALSE)-1,0),0)</f>
        <v>0</v>
      </c>
      <c r="O989" s="322">
        <f>IFERROR((Calculations[[#This Row],[A1-3]]+Calculations[[#This Row],[A4]]+Calculations[[#This Row],[A5]]+Calculations[[#This Row],[C2 total]]+Calculations[[#This Row],[C3 total]]+Calculations[[#This Row],[C4 total]])*Calculations[[#This Row],[Replacements]],0)</f>
        <v>0</v>
      </c>
      <c r="S989" t="str">
        <f>IFERROR(VLOOKUP(Calculations[[#This Row],[Material (choose from dropdown]],MaterialData[#All],4,FALSE),"")</f>
        <v/>
      </c>
      <c r="T989" s="322" cm="1">
        <f t="array" ref="T989">IFERROR(VLOOKUP(Calculations[[#This Row],[Waste 1]],WasteScenario[#All],2,FALSE)*'Stage assumptions'!$C$225*WasteTransportMethod[Emissions Factor
kgCO2e/kg.km]*Calculations[[#This Row],[Total Kg]],0)</f>
        <v>0</v>
      </c>
      <c r="U989" s="322" cm="1">
        <f t="array" ref="U989">IFERROR(VLOOKUP(Calculations[[#This Row],[Waste 1]],WasteScenario[#All],3,FALSE)*'Stage assumptions'!$C$224*WasteTransportMethod[Emissions Factor
kgCO2e/kg.km]*Calculations[[#This Row],[Total Kg]],0)</f>
        <v>0</v>
      </c>
      <c r="V989" s="322" cm="1">
        <f t="array" ref="V989">IFERROR(VLOOKUP(Calculations[[#This Row],[Waste 1]],WasteScenario[#All],4,FALSE)*'Stage assumptions'!$C$223*WasteTransportMethod[Emissions Factor
kgCO2e/kg.km]*Calculations[[#This Row],[Total Kg]],0)</f>
        <v>0</v>
      </c>
      <c r="W989" s="322" cm="1">
        <f t="array" ref="W989">IFERROR(VLOOKUP(Calculations[[#This Row],[Waste 1]],WasteScenario[#All],5,FALSE)*'Stage assumptions'!$C$226*WasteTransportMethod[Emissions Factor
kgCO2e/kg.km]*Calculations[[#This Row],[Total Kg]],0)</f>
        <v>0</v>
      </c>
      <c r="X989" s="322">
        <f>SUM(Calculations[[#This Row],[C2 Recycle]:[C2 Reuse]])</f>
        <v>0</v>
      </c>
      <c r="Y989" t="str">
        <f>IFERROR(VLOOKUP(Calculations[[#This Row],[Material (choose from dropdown]],MaterialData[#All],5,FALSE),"")</f>
        <v/>
      </c>
      <c r="Z989" s="322">
        <f>IFERROR(((VLOOKUP(Calculations[[#This Row],[Waste type 2]],WasteDisposalEmissions[#All],2,FALSE))*Calculations[[#This Row],[Total Kg]])*VLOOKUP(Calculations[[#This Row],[Waste 1]],WasteScenario[#All],2,FALSE),0)</f>
        <v>0</v>
      </c>
      <c r="AA989" s="322">
        <f>IFERROR((VLOOKUP(Calculations[[#This Row],[Waste type 2]],WasteDisposalEmissions[#All],3,FALSE))*Calculations[[#This Row],[Total Kg]]*VLOOKUP(Calculations[[#This Row],[Waste 1]],WasteScenario[#All],3,FALSE),0)</f>
        <v>0</v>
      </c>
      <c r="AB989" s="322">
        <f>SUM(Calculations[[#This Row],[C3 recyc]:[C3 incin]])</f>
        <v>0</v>
      </c>
      <c r="AC989" s="334">
        <f>IFERROR((VLOOKUP(Calculations[[#This Row],[Waste type 2]],WasteLandfillEmissions[#All],2,FALSE))*Calculations[[#This Row],[Total Kg]]*VLOOKUP(Calculations[[#This Row],[Waste 1]],WasteScenario[#All],4,FALSE),0)</f>
        <v>0</v>
      </c>
      <c r="AD989" s="322">
        <f>IFERROR((VLOOKUP(Calculations[[#This Row],[Waste type 2]],WasteLandfillEmissions[#All],3,FALSE))*Calculations[[#This Row],[Total Kg]]*VLOOKUP(Calculations[[#This Row],[Waste 1]],WasteScenario[#All],4,FALSE),0)</f>
        <v>0</v>
      </c>
      <c r="AE989" s="322">
        <f>SUM(Calculations[[#This Row],[C4 landfill]:[C4 re-use]])</f>
        <v>0</v>
      </c>
      <c r="AF989" s="322">
        <f>IFERROR(VLOOKUP(Calculations[[#This Row],[Material (choose from dropdown]],MaterialData[#All],8,FALSE),0)</f>
        <v>0</v>
      </c>
      <c r="AG989" s="322">
        <f>IFERROR(Calculations[[#This Row],[Total Kg]]*Calculations[[#This Row],[Seq factor]],0)</f>
        <v>0</v>
      </c>
      <c r="AI989" s="322">
        <f>Calculations[[#This Row],[A1-3]]+Calculations[[#This Row],[A4]]+Calculations[[#This Row],[A5]]+Calculations[[#This Row],[B4]]+Calculations[[#This Row],[C2 total]]+Calculations[[#This Row],[C3 total]]+Calculations[[#This Row],[C4 total]]</f>
        <v>0</v>
      </c>
      <c r="AJ989" s="2">
        <f>IFERROR(VLOOKUP(Calculations[[#This Row],[Material (choose from dropdown]],MaterialData[[#Headers],[#Data]],9,FALSE),0)</f>
        <v>0</v>
      </c>
      <c r="AK989" s="4">
        <f>IFERROR(VLOOKUP(Calculations[[#This Row],[Material (choose from dropdown]],MaterialData[[#Headers],[#Data]],10,FALSE),0)</f>
        <v>0</v>
      </c>
      <c r="AL989" s="322">
        <f>IFERROR(Calculations[[#This Row],[Data Quality Score]]*Calculations[[#This Row],[Total Kg]],0)</f>
        <v>0</v>
      </c>
    </row>
    <row r="990" spans="1:38" x14ac:dyDescent="0.3">
      <c r="A990" s="6">
        <f>IFERROR(MaterialsBoQ[[#This Row],[Scope Element]],0)</f>
        <v>0</v>
      </c>
      <c r="B990" t="str">
        <f>IFERROR(MaterialsBoQ[[#This Row],[Material ]],"")</f>
        <v/>
      </c>
      <c r="C990" t="str">
        <f>IFERROR(MaterialsBoQ[[#This Row],[Unit]],"")</f>
        <v/>
      </c>
      <c r="D990" s="322">
        <f>IFERROR(MaterialsBoQ[[#This Row],[Number]],0)</f>
        <v>0</v>
      </c>
      <c r="E990" s="322">
        <f>IFERROR(MaterialsBoQ[[#This Row],[Kg per unit]],0)</f>
        <v>0</v>
      </c>
      <c r="F990" s="322">
        <f>IFERROR(Calculations[[#This Row],[Number]]*Calculations[[#This Row],[Conversion factor]],0)</f>
        <v>0</v>
      </c>
      <c r="G990" s="322">
        <f>IFERROR(VLOOKUP(Calculations[[#This Row],[Material (choose from dropdown]],MaterialData[#All],7,FALSE),0)</f>
        <v>0</v>
      </c>
      <c r="H990" s="322">
        <f>Calculations[[#This Row],[Total Kg]]*Calculations[[#This Row],[Carbon Factor]]</f>
        <v>0</v>
      </c>
      <c r="I990" t="str">
        <f>IFERROR(VLOOKUP(Calculations[[#This Row],[Material (choose from dropdown]],MaterialData[#All],2,FALSE),"")</f>
        <v/>
      </c>
      <c r="J990" s="322">
        <f>IFERROR(((VLOOKUP(Calculations[[#This Row],[TransportSource]],TransportDistance[],2,FALSE)*'Stage assumptions'!$C$11)+VLOOKUP(Calculations[[#This Row],[TransportSource]],TransportDistance[],3,FALSE)*'Stage assumptions'!$C$12)*Calculations[[#This Row],[Total Kg]],0)</f>
        <v>0</v>
      </c>
      <c r="K990">
        <f>IFERROR(VLOOKUP(Calculations[[#This Row],[Material (choose from dropdown]], MaterialData[#All],3, FALSE),0)</f>
        <v>0</v>
      </c>
      <c r="L990" s="322">
        <f>IFERROR(VLOOKUP(Calculations[[#This Row],[A5type]],A5WastageRate[#All],2,FALSE)*Calculations[[#This Row],[A1-3]],0)</f>
        <v>0</v>
      </c>
      <c r="N990">
        <f>IFERROR(ROUNDUP(50/VLOOKUP(Calculations[[#This Row],[Scope Element]],B4referenceServiceLife[[Tier 2 element]:[Default Service Life]],2, FALSE)-1,0),0)</f>
        <v>0</v>
      </c>
      <c r="O990" s="322">
        <f>IFERROR((Calculations[[#This Row],[A1-3]]+Calculations[[#This Row],[A4]]+Calculations[[#This Row],[A5]]+Calculations[[#This Row],[C2 total]]+Calculations[[#This Row],[C3 total]]+Calculations[[#This Row],[C4 total]])*Calculations[[#This Row],[Replacements]],0)</f>
        <v>0</v>
      </c>
      <c r="S990" t="str">
        <f>IFERROR(VLOOKUP(Calculations[[#This Row],[Material (choose from dropdown]],MaterialData[#All],4,FALSE),"")</f>
        <v/>
      </c>
      <c r="T990" s="322" cm="1">
        <f t="array" ref="T990">IFERROR(VLOOKUP(Calculations[[#This Row],[Waste 1]],WasteScenario[#All],2,FALSE)*'Stage assumptions'!$C$225*WasteTransportMethod[Emissions Factor
kgCO2e/kg.km]*Calculations[[#This Row],[Total Kg]],0)</f>
        <v>0</v>
      </c>
      <c r="U990" s="322" cm="1">
        <f t="array" ref="U990">IFERROR(VLOOKUP(Calculations[[#This Row],[Waste 1]],WasteScenario[#All],3,FALSE)*'Stage assumptions'!$C$224*WasteTransportMethod[Emissions Factor
kgCO2e/kg.km]*Calculations[[#This Row],[Total Kg]],0)</f>
        <v>0</v>
      </c>
      <c r="V990" s="322" cm="1">
        <f t="array" ref="V990">IFERROR(VLOOKUP(Calculations[[#This Row],[Waste 1]],WasteScenario[#All],4,FALSE)*'Stage assumptions'!$C$223*WasteTransportMethod[Emissions Factor
kgCO2e/kg.km]*Calculations[[#This Row],[Total Kg]],0)</f>
        <v>0</v>
      </c>
      <c r="W990" s="322" cm="1">
        <f t="array" ref="W990">IFERROR(VLOOKUP(Calculations[[#This Row],[Waste 1]],WasteScenario[#All],5,FALSE)*'Stage assumptions'!$C$226*WasteTransportMethod[Emissions Factor
kgCO2e/kg.km]*Calculations[[#This Row],[Total Kg]],0)</f>
        <v>0</v>
      </c>
      <c r="X990" s="322">
        <f>SUM(Calculations[[#This Row],[C2 Recycle]:[C2 Reuse]])</f>
        <v>0</v>
      </c>
      <c r="Y990" t="str">
        <f>IFERROR(VLOOKUP(Calculations[[#This Row],[Material (choose from dropdown]],MaterialData[#All],5,FALSE),"")</f>
        <v/>
      </c>
      <c r="Z990" s="322">
        <f>IFERROR(((VLOOKUP(Calculations[[#This Row],[Waste type 2]],WasteDisposalEmissions[#All],2,FALSE))*Calculations[[#This Row],[Total Kg]])*VLOOKUP(Calculations[[#This Row],[Waste 1]],WasteScenario[#All],2,FALSE),0)</f>
        <v>0</v>
      </c>
      <c r="AA990" s="322">
        <f>IFERROR((VLOOKUP(Calculations[[#This Row],[Waste type 2]],WasteDisposalEmissions[#All],3,FALSE))*Calculations[[#This Row],[Total Kg]]*VLOOKUP(Calculations[[#This Row],[Waste 1]],WasteScenario[#All],3,FALSE),0)</f>
        <v>0</v>
      </c>
      <c r="AB990" s="322">
        <f>SUM(Calculations[[#This Row],[C3 recyc]:[C3 incin]])</f>
        <v>0</v>
      </c>
      <c r="AC990" s="334">
        <f>IFERROR((VLOOKUP(Calculations[[#This Row],[Waste type 2]],WasteLandfillEmissions[#All],2,FALSE))*Calculations[[#This Row],[Total Kg]]*VLOOKUP(Calculations[[#This Row],[Waste 1]],WasteScenario[#All],4,FALSE),0)</f>
        <v>0</v>
      </c>
      <c r="AD990" s="322">
        <f>IFERROR((VLOOKUP(Calculations[[#This Row],[Waste type 2]],WasteLandfillEmissions[#All],3,FALSE))*Calculations[[#This Row],[Total Kg]]*VLOOKUP(Calculations[[#This Row],[Waste 1]],WasteScenario[#All],4,FALSE),0)</f>
        <v>0</v>
      </c>
      <c r="AE990" s="322">
        <f>SUM(Calculations[[#This Row],[C4 landfill]:[C4 re-use]])</f>
        <v>0</v>
      </c>
      <c r="AF990" s="322">
        <f>IFERROR(VLOOKUP(Calculations[[#This Row],[Material (choose from dropdown]],MaterialData[#All],8,FALSE),0)</f>
        <v>0</v>
      </c>
      <c r="AG990" s="322">
        <f>IFERROR(Calculations[[#This Row],[Total Kg]]*Calculations[[#This Row],[Seq factor]],0)</f>
        <v>0</v>
      </c>
      <c r="AI990" s="322">
        <f>Calculations[[#This Row],[A1-3]]+Calculations[[#This Row],[A4]]+Calculations[[#This Row],[A5]]+Calculations[[#This Row],[B4]]+Calculations[[#This Row],[C2 total]]+Calculations[[#This Row],[C3 total]]+Calculations[[#This Row],[C4 total]]</f>
        <v>0</v>
      </c>
      <c r="AJ990" s="2">
        <f>IFERROR(VLOOKUP(Calculations[[#This Row],[Material (choose from dropdown]],MaterialData[[#Headers],[#Data]],9,FALSE),0)</f>
        <v>0</v>
      </c>
      <c r="AK990" s="4">
        <f>IFERROR(VLOOKUP(Calculations[[#This Row],[Material (choose from dropdown]],MaterialData[[#Headers],[#Data]],10,FALSE),0)</f>
        <v>0</v>
      </c>
      <c r="AL990" s="322">
        <f>IFERROR(Calculations[[#This Row],[Data Quality Score]]*Calculations[[#This Row],[Total Kg]],0)</f>
        <v>0</v>
      </c>
    </row>
    <row r="991" spans="1:38" x14ac:dyDescent="0.3">
      <c r="A991" s="6">
        <f>IFERROR(MaterialsBoQ[[#This Row],[Scope Element]],0)</f>
        <v>0</v>
      </c>
      <c r="B991" t="str">
        <f>IFERROR(MaterialsBoQ[[#This Row],[Material ]],"")</f>
        <v/>
      </c>
      <c r="C991" t="str">
        <f>IFERROR(MaterialsBoQ[[#This Row],[Unit]],"")</f>
        <v/>
      </c>
      <c r="D991" s="322">
        <f>IFERROR(MaterialsBoQ[[#This Row],[Number]],0)</f>
        <v>0</v>
      </c>
      <c r="E991" s="322">
        <f>IFERROR(MaterialsBoQ[[#This Row],[Kg per unit]],0)</f>
        <v>0</v>
      </c>
      <c r="F991" s="322">
        <f>IFERROR(Calculations[[#This Row],[Number]]*Calculations[[#This Row],[Conversion factor]],0)</f>
        <v>0</v>
      </c>
      <c r="G991" s="322">
        <f>IFERROR(VLOOKUP(Calculations[[#This Row],[Material (choose from dropdown]],MaterialData[#All],7,FALSE),0)</f>
        <v>0</v>
      </c>
      <c r="H991" s="322">
        <f>Calculations[[#This Row],[Total Kg]]*Calculations[[#This Row],[Carbon Factor]]</f>
        <v>0</v>
      </c>
      <c r="I991" t="str">
        <f>IFERROR(VLOOKUP(Calculations[[#This Row],[Material (choose from dropdown]],MaterialData[#All],2,FALSE),"")</f>
        <v/>
      </c>
      <c r="J991" s="322">
        <f>IFERROR(((VLOOKUP(Calculations[[#This Row],[TransportSource]],TransportDistance[],2,FALSE)*'Stage assumptions'!$C$11)+VLOOKUP(Calculations[[#This Row],[TransportSource]],TransportDistance[],3,FALSE)*'Stage assumptions'!$C$12)*Calculations[[#This Row],[Total Kg]],0)</f>
        <v>0</v>
      </c>
      <c r="K991">
        <f>IFERROR(VLOOKUP(Calculations[[#This Row],[Material (choose from dropdown]], MaterialData[#All],3, FALSE),0)</f>
        <v>0</v>
      </c>
      <c r="L991" s="322">
        <f>IFERROR(VLOOKUP(Calculations[[#This Row],[A5type]],A5WastageRate[#All],2,FALSE)*Calculations[[#This Row],[A1-3]],0)</f>
        <v>0</v>
      </c>
      <c r="N991">
        <f>IFERROR(ROUNDUP(50/VLOOKUP(Calculations[[#This Row],[Scope Element]],B4referenceServiceLife[[Tier 2 element]:[Default Service Life]],2, FALSE)-1,0),0)</f>
        <v>0</v>
      </c>
      <c r="O991" s="322">
        <f>IFERROR((Calculations[[#This Row],[A1-3]]+Calculations[[#This Row],[A4]]+Calculations[[#This Row],[A5]]+Calculations[[#This Row],[C2 total]]+Calculations[[#This Row],[C3 total]]+Calculations[[#This Row],[C4 total]])*Calculations[[#This Row],[Replacements]],0)</f>
        <v>0</v>
      </c>
      <c r="S991" t="str">
        <f>IFERROR(VLOOKUP(Calculations[[#This Row],[Material (choose from dropdown]],MaterialData[#All],4,FALSE),"")</f>
        <v/>
      </c>
      <c r="T991" s="322" cm="1">
        <f t="array" ref="T991">IFERROR(VLOOKUP(Calculations[[#This Row],[Waste 1]],WasteScenario[#All],2,FALSE)*'Stage assumptions'!$C$225*WasteTransportMethod[Emissions Factor
kgCO2e/kg.km]*Calculations[[#This Row],[Total Kg]],0)</f>
        <v>0</v>
      </c>
      <c r="U991" s="322" cm="1">
        <f t="array" ref="U991">IFERROR(VLOOKUP(Calculations[[#This Row],[Waste 1]],WasteScenario[#All],3,FALSE)*'Stage assumptions'!$C$224*WasteTransportMethod[Emissions Factor
kgCO2e/kg.km]*Calculations[[#This Row],[Total Kg]],0)</f>
        <v>0</v>
      </c>
      <c r="V991" s="322" cm="1">
        <f t="array" ref="V991">IFERROR(VLOOKUP(Calculations[[#This Row],[Waste 1]],WasteScenario[#All],4,FALSE)*'Stage assumptions'!$C$223*WasteTransportMethod[Emissions Factor
kgCO2e/kg.km]*Calculations[[#This Row],[Total Kg]],0)</f>
        <v>0</v>
      </c>
      <c r="W991" s="322" cm="1">
        <f t="array" ref="W991">IFERROR(VLOOKUP(Calculations[[#This Row],[Waste 1]],WasteScenario[#All],5,FALSE)*'Stage assumptions'!$C$226*WasteTransportMethod[Emissions Factor
kgCO2e/kg.km]*Calculations[[#This Row],[Total Kg]],0)</f>
        <v>0</v>
      </c>
      <c r="X991" s="322">
        <f>SUM(Calculations[[#This Row],[C2 Recycle]:[C2 Reuse]])</f>
        <v>0</v>
      </c>
      <c r="Y991" t="str">
        <f>IFERROR(VLOOKUP(Calculations[[#This Row],[Material (choose from dropdown]],MaterialData[#All],5,FALSE),"")</f>
        <v/>
      </c>
      <c r="Z991" s="322">
        <f>IFERROR(((VLOOKUP(Calculations[[#This Row],[Waste type 2]],WasteDisposalEmissions[#All],2,FALSE))*Calculations[[#This Row],[Total Kg]])*VLOOKUP(Calculations[[#This Row],[Waste 1]],WasteScenario[#All],2,FALSE),0)</f>
        <v>0</v>
      </c>
      <c r="AA991" s="322">
        <f>IFERROR((VLOOKUP(Calculations[[#This Row],[Waste type 2]],WasteDisposalEmissions[#All],3,FALSE))*Calculations[[#This Row],[Total Kg]]*VLOOKUP(Calculations[[#This Row],[Waste 1]],WasteScenario[#All],3,FALSE),0)</f>
        <v>0</v>
      </c>
      <c r="AB991" s="322">
        <f>SUM(Calculations[[#This Row],[C3 recyc]:[C3 incin]])</f>
        <v>0</v>
      </c>
      <c r="AC991" s="334">
        <f>IFERROR((VLOOKUP(Calculations[[#This Row],[Waste type 2]],WasteLandfillEmissions[#All],2,FALSE))*Calculations[[#This Row],[Total Kg]]*VLOOKUP(Calculations[[#This Row],[Waste 1]],WasteScenario[#All],4,FALSE),0)</f>
        <v>0</v>
      </c>
      <c r="AD991" s="322">
        <f>IFERROR((VLOOKUP(Calculations[[#This Row],[Waste type 2]],WasteLandfillEmissions[#All],3,FALSE))*Calculations[[#This Row],[Total Kg]]*VLOOKUP(Calculations[[#This Row],[Waste 1]],WasteScenario[#All],4,FALSE),0)</f>
        <v>0</v>
      </c>
      <c r="AE991" s="322">
        <f>SUM(Calculations[[#This Row],[C4 landfill]:[C4 re-use]])</f>
        <v>0</v>
      </c>
      <c r="AF991" s="322">
        <f>IFERROR(VLOOKUP(Calculations[[#This Row],[Material (choose from dropdown]],MaterialData[#All],8,FALSE),0)</f>
        <v>0</v>
      </c>
      <c r="AG991" s="322">
        <f>IFERROR(Calculations[[#This Row],[Total Kg]]*Calculations[[#This Row],[Seq factor]],0)</f>
        <v>0</v>
      </c>
      <c r="AI991" s="322">
        <f>Calculations[[#This Row],[A1-3]]+Calculations[[#This Row],[A4]]+Calculations[[#This Row],[A5]]+Calculations[[#This Row],[B4]]+Calculations[[#This Row],[C2 total]]+Calculations[[#This Row],[C3 total]]+Calculations[[#This Row],[C4 total]]</f>
        <v>0</v>
      </c>
      <c r="AJ991" s="2">
        <f>IFERROR(VLOOKUP(Calculations[[#This Row],[Material (choose from dropdown]],MaterialData[[#Headers],[#Data]],9,FALSE),0)</f>
        <v>0</v>
      </c>
      <c r="AK991" s="4">
        <f>IFERROR(VLOOKUP(Calculations[[#This Row],[Material (choose from dropdown]],MaterialData[[#Headers],[#Data]],10,FALSE),0)</f>
        <v>0</v>
      </c>
      <c r="AL991" s="322">
        <f>IFERROR(Calculations[[#This Row],[Data Quality Score]]*Calculations[[#This Row],[Total Kg]],0)</f>
        <v>0</v>
      </c>
    </row>
    <row r="992" spans="1:38" x14ac:dyDescent="0.3">
      <c r="A992" s="6">
        <f>IFERROR(MaterialsBoQ[[#This Row],[Scope Element]],0)</f>
        <v>0</v>
      </c>
      <c r="B992" t="str">
        <f>IFERROR(MaterialsBoQ[[#This Row],[Material ]],"")</f>
        <v/>
      </c>
      <c r="C992" t="str">
        <f>IFERROR(MaterialsBoQ[[#This Row],[Unit]],"")</f>
        <v/>
      </c>
      <c r="D992" s="322">
        <f>IFERROR(MaterialsBoQ[[#This Row],[Number]],0)</f>
        <v>0</v>
      </c>
      <c r="E992" s="322">
        <f>IFERROR(MaterialsBoQ[[#This Row],[Kg per unit]],0)</f>
        <v>0</v>
      </c>
      <c r="F992" s="322">
        <f>IFERROR(Calculations[[#This Row],[Number]]*Calculations[[#This Row],[Conversion factor]],0)</f>
        <v>0</v>
      </c>
      <c r="G992" s="322">
        <f>IFERROR(VLOOKUP(Calculations[[#This Row],[Material (choose from dropdown]],MaterialData[#All],7,FALSE),0)</f>
        <v>0</v>
      </c>
      <c r="H992" s="322">
        <f>Calculations[[#This Row],[Total Kg]]*Calculations[[#This Row],[Carbon Factor]]</f>
        <v>0</v>
      </c>
      <c r="I992" t="str">
        <f>IFERROR(VLOOKUP(Calculations[[#This Row],[Material (choose from dropdown]],MaterialData[#All],2,FALSE),"")</f>
        <v/>
      </c>
      <c r="J992" s="322">
        <f>IFERROR(((VLOOKUP(Calculations[[#This Row],[TransportSource]],TransportDistance[],2,FALSE)*'Stage assumptions'!$C$11)+VLOOKUP(Calculations[[#This Row],[TransportSource]],TransportDistance[],3,FALSE)*'Stage assumptions'!$C$12)*Calculations[[#This Row],[Total Kg]],0)</f>
        <v>0</v>
      </c>
      <c r="K992">
        <f>IFERROR(VLOOKUP(Calculations[[#This Row],[Material (choose from dropdown]], MaterialData[#All],3, FALSE),0)</f>
        <v>0</v>
      </c>
      <c r="L992" s="322">
        <f>IFERROR(VLOOKUP(Calculations[[#This Row],[A5type]],A5WastageRate[#All],2,FALSE)*Calculations[[#This Row],[A1-3]],0)</f>
        <v>0</v>
      </c>
      <c r="N992">
        <f>IFERROR(ROUNDUP(50/VLOOKUP(Calculations[[#This Row],[Scope Element]],B4referenceServiceLife[[Tier 2 element]:[Default Service Life]],2, FALSE)-1,0),0)</f>
        <v>0</v>
      </c>
      <c r="O992" s="322">
        <f>IFERROR((Calculations[[#This Row],[A1-3]]+Calculations[[#This Row],[A4]]+Calculations[[#This Row],[A5]]+Calculations[[#This Row],[C2 total]]+Calculations[[#This Row],[C3 total]]+Calculations[[#This Row],[C4 total]])*Calculations[[#This Row],[Replacements]],0)</f>
        <v>0</v>
      </c>
      <c r="S992" t="str">
        <f>IFERROR(VLOOKUP(Calculations[[#This Row],[Material (choose from dropdown]],MaterialData[#All],4,FALSE),"")</f>
        <v/>
      </c>
      <c r="T992" s="322" cm="1">
        <f t="array" ref="T992">IFERROR(VLOOKUP(Calculations[[#This Row],[Waste 1]],WasteScenario[#All],2,FALSE)*'Stage assumptions'!$C$225*WasteTransportMethod[Emissions Factor
kgCO2e/kg.km]*Calculations[[#This Row],[Total Kg]],0)</f>
        <v>0</v>
      </c>
      <c r="U992" s="322" cm="1">
        <f t="array" ref="U992">IFERROR(VLOOKUP(Calculations[[#This Row],[Waste 1]],WasteScenario[#All],3,FALSE)*'Stage assumptions'!$C$224*WasteTransportMethod[Emissions Factor
kgCO2e/kg.km]*Calculations[[#This Row],[Total Kg]],0)</f>
        <v>0</v>
      </c>
      <c r="V992" s="322" cm="1">
        <f t="array" ref="V992">IFERROR(VLOOKUP(Calculations[[#This Row],[Waste 1]],WasteScenario[#All],4,FALSE)*'Stage assumptions'!$C$223*WasteTransportMethod[Emissions Factor
kgCO2e/kg.km]*Calculations[[#This Row],[Total Kg]],0)</f>
        <v>0</v>
      </c>
      <c r="W992" s="322" cm="1">
        <f t="array" ref="W992">IFERROR(VLOOKUP(Calculations[[#This Row],[Waste 1]],WasteScenario[#All],5,FALSE)*'Stage assumptions'!$C$226*WasteTransportMethod[Emissions Factor
kgCO2e/kg.km]*Calculations[[#This Row],[Total Kg]],0)</f>
        <v>0</v>
      </c>
      <c r="X992" s="322">
        <f>SUM(Calculations[[#This Row],[C2 Recycle]:[C2 Reuse]])</f>
        <v>0</v>
      </c>
      <c r="Y992" t="str">
        <f>IFERROR(VLOOKUP(Calculations[[#This Row],[Material (choose from dropdown]],MaterialData[#All],5,FALSE),"")</f>
        <v/>
      </c>
      <c r="Z992" s="322">
        <f>IFERROR(((VLOOKUP(Calculations[[#This Row],[Waste type 2]],WasteDisposalEmissions[#All],2,FALSE))*Calculations[[#This Row],[Total Kg]])*VLOOKUP(Calculations[[#This Row],[Waste 1]],WasteScenario[#All],2,FALSE),0)</f>
        <v>0</v>
      </c>
      <c r="AA992" s="322">
        <f>IFERROR((VLOOKUP(Calculations[[#This Row],[Waste type 2]],WasteDisposalEmissions[#All],3,FALSE))*Calculations[[#This Row],[Total Kg]]*VLOOKUP(Calculations[[#This Row],[Waste 1]],WasteScenario[#All],3,FALSE),0)</f>
        <v>0</v>
      </c>
      <c r="AB992" s="322">
        <f>SUM(Calculations[[#This Row],[C3 recyc]:[C3 incin]])</f>
        <v>0</v>
      </c>
      <c r="AC992" s="334">
        <f>IFERROR((VLOOKUP(Calculations[[#This Row],[Waste type 2]],WasteLandfillEmissions[#All],2,FALSE))*Calculations[[#This Row],[Total Kg]]*VLOOKUP(Calculations[[#This Row],[Waste 1]],WasteScenario[#All],4,FALSE),0)</f>
        <v>0</v>
      </c>
      <c r="AD992" s="322">
        <f>IFERROR((VLOOKUP(Calculations[[#This Row],[Waste type 2]],WasteLandfillEmissions[#All],3,FALSE))*Calculations[[#This Row],[Total Kg]]*VLOOKUP(Calculations[[#This Row],[Waste 1]],WasteScenario[#All],4,FALSE),0)</f>
        <v>0</v>
      </c>
      <c r="AE992" s="322">
        <f>SUM(Calculations[[#This Row],[C4 landfill]:[C4 re-use]])</f>
        <v>0</v>
      </c>
      <c r="AF992" s="322">
        <f>IFERROR(VLOOKUP(Calculations[[#This Row],[Material (choose from dropdown]],MaterialData[#All],8,FALSE),0)</f>
        <v>0</v>
      </c>
      <c r="AG992" s="322">
        <f>IFERROR(Calculations[[#This Row],[Total Kg]]*Calculations[[#This Row],[Seq factor]],0)</f>
        <v>0</v>
      </c>
      <c r="AI992" s="322">
        <f>Calculations[[#This Row],[A1-3]]+Calculations[[#This Row],[A4]]+Calculations[[#This Row],[A5]]+Calculations[[#This Row],[B4]]+Calculations[[#This Row],[C2 total]]+Calculations[[#This Row],[C3 total]]+Calculations[[#This Row],[C4 total]]</f>
        <v>0</v>
      </c>
      <c r="AJ992" s="2">
        <f>IFERROR(VLOOKUP(Calculations[[#This Row],[Material (choose from dropdown]],MaterialData[[#Headers],[#Data]],9,FALSE),0)</f>
        <v>0</v>
      </c>
      <c r="AK992" s="4">
        <f>IFERROR(VLOOKUP(Calculations[[#This Row],[Material (choose from dropdown]],MaterialData[[#Headers],[#Data]],10,FALSE),0)</f>
        <v>0</v>
      </c>
      <c r="AL992" s="322">
        <f>IFERROR(Calculations[[#This Row],[Data Quality Score]]*Calculations[[#This Row],[Total Kg]],0)</f>
        <v>0</v>
      </c>
    </row>
    <row r="993" spans="1:38" x14ac:dyDescent="0.3">
      <c r="A993" s="6">
        <f>IFERROR(MaterialsBoQ[[#This Row],[Scope Element]],0)</f>
        <v>0</v>
      </c>
      <c r="B993" t="str">
        <f>IFERROR(MaterialsBoQ[[#This Row],[Material ]],"")</f>
        <v/>
      </c>
      <c r="C993" t="str">
        <f>IFERROR(MaterialsBoQ[[#This Row],[Unit]],"")</f>
        <v/>
      </c>
      <c r="D993" s="322">
        <f>IFERROR(MaterialsBoQ[[#This Row],[Number]],0)</f>
        <v>0</v>
      </c>
      <c r="E993" s="322">
        <f>IFERROR(MaterialsBoQ[[#This Row],[Kg per unit]],0)</f>
        <v>0</v>
      </c>
      <c r="F993" s="322">
        <f>IFERROR(Calculations[[#This Row],[Number]]*Calculations[[#This Row],[Conversion factor]],0)</f>
        <v>0</v>
      </c>
      <c r="G993" s="322">
        <f>IFERROR(VLOOKUP(Calculations[[#This Row],[Material (choose from dropdown]],MaterialData[#All],7,FALSE),0)</f>
        <v>0</v>
      </c>
      <c r="H993" s="322">
        <f>Calculations[[#This Row],[Total Kg]]*Calculations[[#This Row],[Carbon Factor]]</f>
        <v>0</v>
      </c>
      <c r="I993" t="str">
        <f>IFERROR(VLOOKUP(Calculations[[#This Row],[Material (choose from dropdown]],MaterialData[#All],2,FALSE),"")</f>
        <v/>
      </c>
      <c r="J993" s="322">
        <f>IFERROR(((VLOOKUP(Calculations[[#This Row],[TransportSource]],TransportDistance[],2,FALSE)*'Stage assumptions'!$C$11)+VLOOKUP(Calculations[[#This Row],[TransportSource]],TransportDistance[],3,FALSE)*'Stage assumptions'!$C$12)*Calculations[[#This Row],[Total Kg]],0)</f>
        <v>0</v>
      </c>
      <c r="K993">
        <f>IFERROR(VLOOKUP(Calculations[[#This Row],[Material (choose from dropdown]], MaterialData[#All],3, FALSE),0)</f>
        <v>0</v>
      </c>
      <c r="L993" s="322">
        <f>IFERROR(VLOOKUP(Calculations[[#This Row],[A5type]],A5WastageRate[#All],2,FALSE)*Calculations[[#This Row],[A1-3]],0)</f>
        <v>0</v>
      </c>
      <c r="N993">
        <f>IFERROR(ROUNDUP(50/VLOOKUP(Calculations[[#This Row],[Scope Element]],B4referenceServiceLife[[Tier 2 element]:[Default Service Life]],2, FALSE)-1,0),0)</f>
        <v>0</v>
      </c>
      <c r="O993" s="322">
        <f>IFERROR((Calculations[[#This Row],[A1-3]]+Calculations[[#This Row],[A4]]+Calculations[[#This Row],[A5]]+Calculations[[#This Row],[C2 total]]+Calculations[[#This Row],[C3 total]]+Calculations[[#This Row],[C4 total]])*Calculations[[#This Row],[Replacements]],0)</f>
        <v>0</v>
      </c>
      <c r="S993" t="str">
        <f>IFERROR(VLOOKUP(Calculations[[#This Row],[Material (choose from dropdown]],MaterialData[#All],4,FALSE),"")</f>
        <v/>
      </c>
      <c r="T993" s="322" cm="1">
        <f t="array" ref="T993">IFERROR(VLOOKUP(Calculations[[#This Row],[Waste 1]],WasteScenario[#All],2,FALSE)*'Stage assumptions'!$C$225*WasteTransportMethod[Emissions Factor
kgCO2e/kg.km]*Calculations[[#This Row],[Total Kg]],0)</f>
        <v>0</v>
      </c>
      <c r="U993" s="322" cm="1">
        <f t="array" ref="U993">IFERROR(VLOOKUP(Calculations[[#This Row],[Waste 1]],WasteScenario[#All],3,FALSE)*'Stage assumptions'!$C$224*WasteTransportMethod[Emissions Factor
kgCO2e/kg.km]*Calculations[[#This Row],[Total Kg]],0)</f>
        <v>0</v>
      </c>
      <c r="V993" s="322" cm="1">
        <f t="array" ref="V993">IFERROR(VLOOKUP(Calculations[[#This Row],[Waste 1]],WasteScenario[#All],4,FALSE)*'Stage assumptions'!$C$223*WasteTransportMethod[Emissions Factor
kgCO2e/kg.km]*Calculations[[#This Row],[Total Kg]],0)</f>
        <v>0</v>
      </c>
      <c r="W993" s="322" cm="1">
        <f t="array" ref="W993">IFERROR(VLOOKUP(Calculations[[#This Row],[Waste 1]],WasteScenario[#All],5,FALSE)*'Stage assumptions'!$C$226*WasteTransportMethod[Emissions Factor
kgCO2e/kg.km]*Calculations[[#This Row],[Total Kg]],0)</f>
        <v>0</v>
      </c>
      <c r="X993" s="322">
        <f>SUM(Calculations[[#This Row],[C2 Recycle]:[C2 Reuse]])</f>
        <v>0</v>
      </c>
      <c r="Y993" t="str">
        <f>IFERROR(VLOOKUP(Calculations[[#This Row],[Material (choose from dropdown]],MaterialData[#All],5,FALSE),"")</f>
        <v/>
      </c>
      <c r="Z993" s="322">
        <f>IFERROR(((VLOOKUP(Calculations[[#This Row],[Waste type 2]],WasteDisposalEmissions[#All],2,FALSE))*Calculations[[#This Row],[Total Kg]])*VLOOKUP(Calculations[[#This Row],[Waste 1]],WasteScenario[#All],2,FALSE),0)</f>
        <v>0</v>
      </c>
      <c r="AA993" s="322">
        <f>IFERROR((VLOOKUP(Calculations[[#This Row],[Waste type 2]],WasteDisposalEmissions[#All],3,FALSE))*Calculations[[#This Row],[Total Kg]]*VLOOKUP(Calculations[[#This Row],[Waste 1]],WasteScenario[#All],3,FALSE),0)</f>
        <v>0</v>
      </c>
      <c r="AB993" s="322">
        <f>SUM(Calculations[[#This Row],[C3 recyc]:[C3 incin]])</f>
        <v>0</v>
      </c>
      <c r="AC993" s="334">
        <f>IFERROR((VLOOKUP(Calculations[[#This Row],[Waste type 2]],WasteLandfillEmissions[#All],2,FALSE))*Calculations[[#This Row],[Total Kg]]*VLOOKUP(Calculations[[#This Row],[Waste 1]],WasteScenario[#All],4,FALSE),0)</f>
        <v>0</v>
      </c>
      <c r="AD993" s="322">
        <f>IFERROR((VLOOKUP(Calculations[[#This Row],[Waste type 2]],WasteLandfillEmissions[#All],3,FALSE))*Calculations[[#This Row],[Total Kg]]*VLOOKUP(Calculations[[#This Row],[Waste 1]],WasteScenario[#All],4,FALSE),0)</f>
        <v>0</v>
      </c>
      <c r="AE993" s="322">
        <f>SUM(Calculations[[#This Row],[C4 landfill]:[C4 re-use]])</f>
        <v>0</v>
      </c>
      <c r="AF993" s="322">
        <f>IFERROR(VLOOKUP(Calculations[[#This Row],[Material (choose from dropdown]],MaterialData[#All],8,FALSE),0)</f>
        <v>0</v>
      </c>
      <c r="AG993" s="322">
        <f>IFERROR(Calculations[[#This Row],[Total Kg]]*Calculations[[#This Row],[Seq factor]],0)</f>
        <v>0</v>
      </c>
      <c r="AI993" s="322">
        <f>Calculations[[#This Row],[A1-3]]+Calculations[[#This Row],[A4]]+Calculations[[#This Row],[A5]]+Calculations[[#This Row],[B4]]+Calculations[[#This Row],[C2 total]]+Calculations[[#This Row],[C3 total]]+Calculations[[#This Row],[C4 total]]</f>
        <v>0</v>
      </c>
      <c r="AJ993" s="2">
        <f>IFERROR(VLOOKUP(Calculations[[#This Row],[Material (choose from dropdown]],MaterialData[[#Headers],[#Data]],9,FALSE),0)</f>
        <v>0</v>
      </c>
      <c r="AK993" s="4">
        <f>IFERROR(VLOOKUP(Calculations[[#This Row],[Material (choose from dropdown]],MaterialData[[#Headers],[#Data]],10,FALSE),0)</f>
        <v>0</v>
      </c>
      <c r="AL993" s="322">
        <f>IFERROR(Calculations[[#This Row],[Data Quality Score]]*Calculations[[#This Row],[Total Kg]],0)</f>
        <v>0</v>
      </c>
    </row>
    <row r="994" spans="1:38" x14ac:dyDescent="0.3">
      <c r="A994" s="6">
        <f>IFERROR(MaterialsBoQ[[#This Row],[Scope Element]],0)</f>
        <v>0</v>
      </c>
      <c r="B994" t="str">
        <f>IFERROR(MaterialsBoQ[[#This Row],[Material ]],"")</f>
        <v/>
      </c>
      <c r="C994" t="str">
        <f>IFERROR(MaterialsBoQ[[#This Row],[Unit]],"")</f>
        <v/>
      </c>
      <c r="D994" s="322">
        <f>IFERROR(MaterialsBoQ[[#This Row],[Number]],0)</f>
        <v>0</v>
      </c>
      <c r="E994" s="322">
        <f>IFERROR(MaterialsBoQ[[#This Row],[Kg per unit]],0)</f>
        <v>0</v>
      </c>
      <c r="F994" s="322">
        <f>IFERROR(Calculations[[#This Row],[Number]]*Calculations[[#This Row],[Conversion factor]],0)</f>
        <v>0</v>
      </c>
      <c r="G994" s="322">
        <f>IFERROR(VLOOKUP(Calculations[[#This Row],[Material (choose from dropdown]],MaterialData[#All],7,FALSE),0)</f>
        <v>0</v>
      </c>
      <c r="H994" s="322">
        <f>Calculations[[#This Row],[Total Kg]]*Calculations[[#This Row],[Carbon Factor]]</f>
        <v>0</v>
      </c>
      <c r="I994" t="str">
        <f>IFERROR(VLOOKUP(Calculations[[#This Row],[Material (choose from dropdown]],MaterialData[#All],2,FALSE),"")</f>
        <v/>
      </c>
      <c r="J994" s="322">
        <f>IFERROR(((VLOOKUP(Calculations[[#This Row],[TransportSource]],TransportDistance[],2,FALSE)*'Stage assumptions'!$C$11)+VLOOKUP(Calculations[[#This Row],[TransportSource]],TransportDistance[],3,FALSE)*'Stage assumptions'!$C$12)*Calculations[[#This Row],[Total Kg]],0)</f>
        <v>0</v>
      </c>
      <c r="K994">
        <f>IFERROR(VLOOKUP(Calculations[[#This Row],[Material (choose from dropdown]], MaterialData[#All],3, FALSE),0)</f>
        <v>0</v>
      </c>
      <c r="L994" s="322">
        <f>IFERROR(VLOOKUP(Calculations[[#This Row],[A5type]],A5WastageRate[#All],2,FALSE)*Calculations[[#This Row],[A1-3]],0)</f>
        <v>0</v>
      </c>
      <c r="N994">
        <f>IFERROR(ROUNDUP(50/VLOOKUP(Calculations[[#This Row],[Scope Element]],B4referenceServiceLife[[Tier 2 element]:[Default Service Life]],2, FALSE)-1,0),0)</f>
        <v>0</v>
      </c>
      <c r="O994" s="322">
        <f>IFERROR((Calculations[[#This Row],[A1-3]]+Calculations[[#This Row],[A4]]+Calculations[[#This Row],[A5]]+Calculations[[#This Row],[C2 total]]+Calculations[[#This Row],[C3 total]]+Calculations[[#This Row],[C4 total]])*Calculations[[#This Row],[Replacements]],0)</f>
        <v>0</v>
      </c>
      <c r="S994" t="str">
        <f>IFERROR(VLOOKUP(Calculations[[#This Row],[Material (choose from dropdown]],MaterialData[#All],4,FALSE),"")</f>
        <v/>
      </c>
      <c r="T994" s="322" cm="1">
        <f t="array" ref="T994">IFERROR(VLOOKUP(Calculations[[#This Row],[Waste 1]],WasteScenario[#All],2,FALSE)*'Stage assumptions'!$C$225*WasteTransportMethod[Emissions Factor
kgCO2e/kg.km]*Calculations[[#This Row],[Total Kg]],0)</f>
        <v>0</v>
      </c>
      <c r="U994" s="322" cm="1">
        <f t="array" ref="U994">IFERROR(VLOOKUP(Calculations[[#This Row],[Waste 1]],WasteScenario[#All],3,FALSE)*'Stage assumptions'!$C$224*WasteTransportMethod[Emissions Factor
kgCO2e/kg.km]*Calculations[[#This Row],[Total Kg]],0)</f>
        <v>0</v>
      </c>
      <c r="V994" s="322" cm="1">
        <f t="array" ref="V994">IFERROR(VLOOKUP(Calculations[[#This Row],[Waste 1]],WasteScenario[#All],4,FALSE)*'Stage assumptions'!$C$223*WasteTransportMethod[Emissions Factor
kgCO2e/kg.km]*Calculations[[#This Row],[Total Kg]],0)</f>
        <v>0</v>
      </c>
      <c r="W994" s="322" cm="1">
        <f t="array" ref="W994">IFERROR(VLOOKUP(Calculations[[#This Row],[Waste 1]],WasteScenario[#All],5,FALSE)*'Stage assumptions'!$C$226*WasteTransportMethod[Emissions Factor
kgCO2e/kg.km]*Calculations[[#This Row],[Total Kg]],0)</f>
        <v>0</v>
      </c>
      <c r="X994" s="322">
        <f>SUM(Calculations[[#This Row],[C2 Recycle]:[C2 Reuse]])</f>
        <v>0</v>
      </c>
      <c r="Y994" t="str">
        <f>IFERROR(VLOOKUP(Calculations[[#This Row],[Material (choose from dropdown]],MaterialData[#All],5,FALSE),"")</f>
        <v/>
      </c>
      <c r="Z994" s="322">
        <f>IFERROR(((VLOOKUP(Calculations[[#This Row],[Waste type 2]],WasteDisposalEmissions[#All],2,FALSE))*Calculations[[#This Row],[Total Kg]])*VLOOKUP(Calculations[[#This Row],[Waste 1]],WasteScenario[#All],2,FALSE),0)</f>
        <v>0</v>
      </c>
      <c r="AA994" s="322">
        <f>IFERROR((VLOOKUP(Calculations[[#This Row],[Waste type 2]],WasteDisposalEmissions[#All],3,FALSE))*Calculations[[#This Row],[Total Kg]]*VLOOKUP(Calculations[[#This Row],[Waste 1]],WasteScenario[#All],3,FALSE),0)</f>
        <v>0</v>
      </c>
      <c r="AB994" s="322">
        <f>SUM(Calculations[[#This Row],[C3 recyc]:[C3 incin]])</f>
        <v>0</v>
      </c>
      <c r="AC994" s="334">
        <f>IFERROR((VLOOKUP(Calculations[[#This Row],[Waste type 2]],WasteLandfillEmissions[#All],2,FALSE))*Calculations[[#This Row],[Total Kg]]*VLOOKUP(Calculations[[#This Row],[Waste 1]],WasteScenario[#All],4,FALSE),0)</f>
        <v>0</v>
      </c>
      <c r="AD994" s="322">
        <f>IFERROR((VLOOKUP(Calculations[[#This Row],[Waste type 2]],WasteLandfillEmissions[#All],3,FALSE))*Calculations[[#This Row],[Total Kg]]*VLOOKUP(Calculations[[#This Row],[Waste 1]],WasteScenario[#All],4,FALSE),0)</f>
        <v>0</v>
      </c>
      <c r="AE994" s="322">
        <f>SUM(Calculations[[#This Row],[C4 landfill]:[C4 re-use]])</f>
        <v>0</v>
      </c>
      <c r="AF994" s="322">
        <f>IFERROR(VLOOKUP(Calculations[[#This Row],[Material (choose from dropdown]],MaterialData[#All],8,FALSE),0)</f>
        <v>0</v>
      </c>
      <c r="AG994" s="322">
        <f>IFERROR(Calculations[[#This Row],[Total Kg]]*Calculations[[#This Row],[Seq factor]],0)</f>
        <v>0</v>
      </c>
      <c r="AI994" s="322">
        <f>Calculations[[#This Row],[A1-3]]+Calculations[[#This Row],[A4]]+Calculations[[#This Row],[A5]]+Calculations[[#This Row],[B4]]+Calculations[[#This Row],[C2 total]]+Calculations[[#This Row],[C3 total]]+Calculations[[#This Row],[C4 total]]</f>
        <v>0</v>
      </c>
      <c r="AJ994" s="2">
        <f>IFERROR(VLOOKUP(Calculations[[#This Row],[Material (choose from dropdown]],MaterialData[[#Headers],[#Data]],9,FALSE),0)</f>
        <v>0</v>
      </c>
      <c r="AK994" s="4">
        <f>IFERROR(VLOOKUP(Calculations[[#This Row],[Material (choose from dropdown]],MaterialData[[#Headers],[#Data]],10,FALSE),0)</f>
        <v>0</v>
      </c>
      <c r="AL994" s="322">
        <f>IFERROR(Calculations[[#This Row],[Data Quality Score]]*Calculations[[#This Row],[Total Kg]],0)</f>
        <v>0</v>
      </c>
    </row>
    <row r="995" spans="1:38" x14ac:dyDescent="0.3">
      <c r="A995" s="6">
        <f>IFERROR(MaterialsBoQ[[#This Row],[Scope Element]],0)</f>
        <v>0</v>
      </c>
      <c r="B995" t="str">
        <f>IFERROR(MaterialsBoQ[[#This Row],[Material ]],"")</f>
        <v/>
      </c>
      <c r="C995" t="str">
        <f>IFERROR(MaterialsBoQ[[#This Row],[Unit]],"")</f>
        <v/>
      </c>
      <c r="D995" s="322">
        <f>IFERROR(MaterialsBoQ[[#This Row],[Number]],0)</f>
        <v>0</v>
      </c>
      <c r="E995" s="322">
        <f>IFERROR(MaterialsBoQ[[#This Row],[Kg per unit]],0)</f>
        <v>0</v>
      </c>
      <c r="F995" s="322">
        <f>IFERROR(Calculations[[#This Row],[Number]]*Calculations[[#This Row],[Conversion factor]],0)</f>
        <v>0</v>
      </c>
      <c r="G995" s="322">
        <f>IFERROR(VLOOKUP(Calculations[[#This Row],[Material (choose from dropdown]],MaterialData[#All],7,FALSE),0)</f>
        <v>0</v>
      </c>
      <c r="H995" s="322">
        <f>Calculations[[#This Row],[Total Kg]]*Calculations[[#This Row],[Carbon Factor]]</f>
        <v>0</v>
      </c>
      <c r="I995" t="str">
        <f>IFERROR(VLOOKUP(Calculations[[#This Row],[Material (choose from dropdown]],MaterialData[#All],2,FALSE),"")</f>
        <v/>
      </c>
      <c r="J995" s="322">
        <f>IFERROR(((VLOOKUP(Calculations[[#This Row],[TransportSource]],TransportDistance[],2,FALSE)*'Stage assumptions'!$C$11)+VLOOKUP(Calculations[[#This Row],[TransportSource]],TransportDistance[],3,FALSE)*'Stage assumptions'!$C$12)*Calculations[[#This Row],[Total Kg]],0)</f>
        <v>0</v>
      </c>
      <c r="K995">
        <f>IFERROR(VLOOKUP(Calculations[[#This Row],[Material (choose from dropdown]], MaterialData[#All],3, FALSE),0)</f>
        <v>0</v>
      </c>
      <c r="L995" s="322">
        <f>IFERROR(VLOOKUP(Calculations[[#This Row],[A5type]],A5WastageRate[#All],2,FALSE)*Calculations[[#This Row],[A1-3]],0)</f>
        <v>0</v>
      </c>
      <c r="N995">
        <f>IFERROR(ROUNDUP(50/VLOOKUP(Calculations[[#This Row],[Scope Element]],B4referenceServiceLife[[Tier 2 element]:[Default Service Life]],2, FALSE)-1,0),0)</f>
        <v>0</v>
      </c>
      <c r="O995" s="322">
        <f>IFERROR((Calculations[[#This Row],[A1-3]]+Calculations[[#This Row],[A4]]+Calculations[[#This Row],[A5]]+Calculations[[#This Row],[C2 total]]+Calculations[[#This Row],[C3 total]]+Calculations[[#This Row],[C4 total]])*Calculations[[#This Row],[Replacements]],0)</f>
        <v>0</v>
      </c>
      <c r="S995" t="str">
        <f>IFERROR(VLOOKUP(Calculations[[#This Row],[Material (choose from dropdown]],MaterialData[#All],4,FALSE),"")</f>
        <v/>
      </c>
      <c r="T995" s="322" cm="1">
        <f t="array" ref="T995">IFERROR(VLOOKUP(Calculations[[#This Row],[Waste 1]],WasteScenario[#All],2,FALSE)*'Stage assumptions'!$C$225*WasteTransportMethod[Emissions Factor
kgCO2e/kg.km]*Calculations[[#This Row],[Total Kg]],0)</f>
        <v>0</v>
      </c>
      <c r="U995" s="322" cm="1">
        <f t="array" ref="U995">IFERROR(VLOOKUP(Calculations[[#This Row],[Waste 1]],WasteScenario[#All],3,FALSE)*'Stage assumptions'!$C$224*WasteTransportMethod[Emissions Factor
kgCO2e/kg.km]*Calculations[[#This Row],[Total Kg]],0)</f>
        <v>0</v>
      </c>
      <c r="V995" s="322" cm="1">
        <f t="array" ref="V995">IFERROR(VLOOKUP(Calculations[[#This Row],[Waste 1]],WasteScenario[#All],4,FALSE)*'Stage assumptions'!$C$223*WasteTransportMethod[Emissions Factor
kgCO2e/kg.km]*Calculations[[#This Row],[Total Kg]],0)</f>
        <v>0</v>
      </c>
      <c r="W995" s="322" cm="1">
        <f t="array" ref="W995">IFERROR(VLOOKUP(Calculations[[#This Row],[Waste 1]],WasteScenario[#All],5,FALSE)*'Stage assumptions'!$C$226*WasteTransportMethod[Emissions Factor
kgCO2e/kg.km]*Calculations[[#This Row],[Total Kg]],0)</f>
        <v>0</v>
      </c>
      <c r="X995" s="322">
        <f>SUM(Calculations[[#This Row],[C2 Recycle]:[C2 Reuse]])</f>
        <v>0</v>
      </c>
      <c r="Y995" t="str">
        <f>IFERROR(VLOOKUP(Calculations[[#This Row],[Material (choose from dropdown]],MaterialData[#All],5,FALSE),"")</f>
        <v/>
      </c>
      <c r="Z995" s="322">
        <f>IFERROR(((VLOOKUP(Calculations[[#This Row],[Waste type 2]],WasteDisposalEmissions[#All],2,FALSE))*Calculations[[#This Row],[Total Kg]])*VLOOKUP(Calculations[[#This Row],[Waste 1]],WasteScenario[#All],2,FALSE),0)</f>
        <v>0</v>
      </c>
      <c r="AA995" s="322">
        <f>IFERROR((VLOOKUP(Calculations[[#This Row],[Waste type 2]],WasteDisposalEmissions[#All],3,FALSE))*Calculations[[#This Row],[Total Kg]]*VLOOKUP(Calculations[[#This Row],[Waste 1]],WasteScenario[#All],3,FALSE),0)</f>
        <v>0</v>
      </c>
      <c r="AB995" s="322">
        <f>SUM(Calculations[[#This Row],[C3 recyc]:[C3 incin]])</f>
        <v>0</v>
      </c>
      <c r="AC995" s="334">
        <f>IFERROR((VLOOKUP(Calculations[[#This Row],[Waste type 2]],WasteLandfillEmissions[#All],2,FALSE))*Calculations[[#This Row],[Total Kg]]*VLOOKUP(Calculations[[#This Row],[Waste 1]],WasteScenario[#All],4,FALSE),0)</f>
        <v>0</v>
      </c>
      <c r="AD995" s="322">
        <f>IFERROR((VLOOKUP(Calculations[[#This Row],[Waste type 2]],WasteLandfillEmissions[#All],3,FALSE))*Calculations[[#This Row],[Total Kg]]*VLOOKUP(Calculations[[#This Row],[Waste 1]],WasteScenario[#All],4,FALSE),0)</f>
        <v>0</v>
      </c>
      <c r="AE995" s="322">
        <f>SUM(Calculations[[#This Row],[C4 landfill]:[C4 re-use]])</f>
        <v>0</v>
      </c>
      <c r="AF995" s="322">
        <f>IFERROR(VLOOKUP(Calculations[[#This Row],[Material (choose from dropdown]],MaterialData[#All],8,FALSE),0)</f>
        <v>0</v>
      </c>
      <c r="AG995" s="322">
        <f>IFERROR(Calculations[[#This Row],[Total Kg]]*Calculations[[#This Row],[Seq factor]],0)</f>
        <v>0</v>
      </c>
      <c r="AI995" s="322">
        <f>Calculations[[#This Row],[A1-3]]+Calculations[[#This Row],[A4]]+Calculations[[#This Row],[A5]]+Calculations[[#This Row],[B4]]+Calculations[[#This Row],[C2 total]]+Calculations[[#This Row],[C3 total]]+Calculations[[#This Row],[C4 total]]</f>
        <v>0</v>
      </c>
      <c r="AJ995" s="2">
        <f>IFERROR(VLOOKUP(Calculations[[#This Row],[Material (choose from dropdown]],MaterialData[[#Headers],[#Data]],9,FALSE),0)</f>
        <v>0</v>
      </c>
      <c r="AK995" s="4">
        <f>IFERROR(VLOOKUP(Calculations[[#This Row],[Material (choose from dropdown]],MaterialData[[#Headers],[#Data]],10,FALSE),0)</f>
        <v>0</v>
      </c>
      <c r="AL995" s="322">
        <f>IFERROR(Calculations[[#This Row],[Data Quality Score]]*Calculations[[#This Row],[Total Kg]],0)</f>
        <v>0</v>
      </c>
    </row>
    <row r="996" spans="1:38" x14ac:dyDescent="0.3">
      <c r="A996" s="6">
        <f>IFERROR(MaterialsBoQ[[#This Row],[Scope Element]],0)</f>
        <v>0</v>
      </c>
      <c r="B996" t="str">
        <f>IFERROR(MaterialsBoQ[[#This Row],[Material ]],"")</f>
        <v/>
      </c>
      <c r="C996" t="str">
        <f>IFERROR(MaterialsBoQ[[#This Row],[Unit]],"")</f>
        <v/>
      </c>
      <c r="D996" s="322">
        <f>IFERROR(MaterialsBoQ[[#This Row],[Number]],0)</f>
        <v>0</v>
      </c>
      <c r="E996" s="322">
        <f>IFERROR(MaterialsBoQ[[#This Row],[Kg per unit]],0)</f>
        <v>0</v>
      </c>
      <c r="F996" s="322">
        <f>IFERROR(Calculations[[#This Row],[Number]]*Calculations[[#This Row],[Conversion factor]],0)</f>
        <v>0</v>
      </c>
      <c r="G996" s="322">
        <f>IFERROR(VLOOKUP(Calculations[[#This Row],[Material (choose from dropdown]],MaterialData[#All],7,FALSE),0)</f>
        <v>0</v>
      </c>
      <c r="H996" s="322">
        <f>Calculations[[#This Row],[Total Kg]]*Calculations[[#This Row],[Carbon Factor]]</f>
        <v>0</v>
      </c>
      <c r="I996" t="str">
        <f>IFERROR(VLOOKUP(Calculations[[#This Row],[Material (choose from dropdown]],MaterialData[#All],2,FALSE),"")</f>
        <v/>
      </c>
      <c r="J996" s="322">
        <f>IFERROR(((VLOOKUP(Calculations[[#This Row],[TransportSource]],TransportDistance[],2,FALSE)*'Stage assumptions'!$C$11)+VLOOKUP(Calculations[[#This Row],[TransportSource]],TransportDistance[],3,FALSE)*'Stage assumptions'!$C$12)*Calculations[[#This Row],[Total Kg]],0)</f>
        <v>0</v>
      </c>
      <c r="K996">
        <f>IFERROR(VLOOKUP(Calculations[[#This Row],[Material (choose from dropdown]], MaterialData[#All],3, FALSE),0)</f>
        <v>0</v>
      </c>
      <c r="L996" s="322">
        <f>IFERROR(VLOOKUP(Calculations[[#This Row],[A5type]],A5WastageRate[#All],2,FALSE)*Calculations[[#This Row],[A1-3]],0)</f>
        <v>0</v>
      </c>
      <c r="N996">
        <f>IFERROR(ROUNDUP(50/VLOOKUP(Calculations[[#This Row],[Scope Element]],B4referenceServiceLife[[Tier 2 element]:[Default Service Life]],2, FALSE)-1,0),0)</f>
        <v>0</v>
      </c>
      <c r="O996" s="322">
        <f>IFERROR((Calculations[[#This Row],[A1-3]]+Calculations[[#This Row],[A4]]+Calculations[[#This Row],[A5]]+Calculations[[#This Row],[C2 total]]+Calculations[[#This Row],[C3 total]]+Calculations[[#This Row],[C4 total]])*Calculations[[#This Row],[Replacements]],0)</f>
        <v>0</v>
      </c>
      <c r="S996" t="str">
        <f>IFERROR(VLOOKUP(Calculations[[#This Row],[Material (choose from dropdown]],MaterialData[#All],4,FALSE),"")</f>
        <v/>
      </c>
      <c r="T996" s="322" cm="1">
        <f t="array" ref="T996">IFERROR(VLOOKUP(Calculations[[#This Row],[Waste 1]],WasteScenario[#All],2,FALSE)*'Stage assumptions'!$C$225*WasteTransportMethod[Emissions Factor
kgCO2e/kg.km]*Calculations[[#This Row],[Total Kg]],0)</f>
        <v>0</v>
      </c>
      <c r="U996" s="322" cm="1">
        <f t="array" ref="U996">IFERROR(VLOOKUP(Calculations[[#This Row],[Waste 1]],WasteScenario[#All],3,FALSE)*'Stage assumptions'!$C$224*WasteTransportMethod[Emissions Factor
kgCO2e/kg.km]*Calculations[[#This Row],[Total Kg]],0)</f>
        <v>0</v>
      </c>
      <c r="V996" s="322" cm="1">
        <f t="array" ref="V996">IFERROR(VLOOKUP(Calculations[[#This Row],[Waste 1]],WasteScenario[#All],4,FALSE)*'Stage assumptions'!$C$223*WasteTransportMethod[Emissions Factor
kgCO2e/kg.km]*Calculations[[#This Row],[Total Kg]],0)</f>
        <v>0</v>
      </c>
      <c r="W996" s="322" cm="1">
        <f t="array" ref="W996">IFERROR(VLOOKUP(Calculations[[#This Row],[Waste 1]],WasteScenario[#All],5,FALSE)*'Stage assumptions'!$C$226*WasteTransportMethod[Emissions Factor
kgCO2e/kg.km]*Calculations[[#This Row],[Total Kg]],0)</f>
        <v>0</v>
      </c>
      <c r="X996" s="322">
        <f>SUM(Calculations[[#This Row],[C2 Recycle]:[C2 Reuse]])</f>
        <v>0</v>
      </c>
      <c r="Y996" t="str">
        <f>IFERROR(VLOOKUP(Calculations[[#This Row],[Material (choose from dropdown]],MaterialData[#All],5,FALSE),"")</f>
        <v/>
      </c>
      <c r="Z996" s="322">
        <f>IFERROR(((VLOOKUP(Calculations[[#This Row],[Waste type 2]],WasteDisposalEmissions[#All],2,FALSE))*Calculations[[#This Row],[Total Kg]])*VLOOKUP(Calculations[[#This Row],[Waste 1]],WasteScenario[#All],2,FALSE),0)</f>
        <v>0</v>
      </c>
      <c r="AA996" s="322">
        <f>IFERROR((VLOOKUP(Calculations[[#This Row],[Waste type 2]],WasteDisposalEmissions[#All],3,FALSE))*Calculations[[#This Row],[Total Kg]]*VLOOKUP(Calculations[[#This Row],[Waste 1]],WasteScenario[#All],3,FALSE),0)</f>
        <v>0</v>
      </c>
      <c r="AB996" s="322">
        <f>SUM(Calculations[[#This Row],[C3 recyc]:[C3 incin]])</f>
        <v>0</v>
      </c>
      <c r="AC996" s="334">
        <f>IFERROR((VLOOKUP(Calculations[[#This Row],[Waste type 2]],WasteLandfillEmissions[#All],2,FALSE))*Calculations[[#This Row],[Total Kg]]*VLOOKUP(Calculations[[#This Row],[Waste 1]],WasteScenario[#All],4,FALSE),0)</f>
        <v>0</v>
      </c>
      <c r="AD996" s="322">
        <f>IFERROR((VLOOKUP(Calculations[[#This Row],[Waste type 2]],WasteLandfillEmissions[#All],3,FALSE))*Calculations[[#This Row],[Total Kg]]*VLOOKUP(Calculations[[#This Row],[Waste 1]],WasteScenario[#All],4,FALSE),0)</f>
        <v>0</v>
      </c>
      <c r="AE996" s="322">
        <f>SUM(Calculations[[#This Row],[C4 landfill]:[C4 re-use]])</f>
        <v>0</v>
      </c>
      <c r="AF996" s="322">
        <f>IFERROR(VLOOKUP(Calculations[[#This Row],[Material (choose from dropdown]],MaterialData[#All],8,FALSE),0)</f>
        <v>0</v>
      </c>
      <c r="AG996" s="322">
        <f>IFERROR(Calculations[[#This Row],[Total Kg]]*Calculations[[#This Row],[Seq factor]],0)</f>
        <v>0</v>
      </c>
      <c r="AI996" s="322">
        <f>Calculations[[#This Row],[A1-3]]+Calculations[[#This Row],[A4]]+Calculations[[#This Row],[A5]]+Calculations[[#This Row],[B4]]+Calculations[[#This Row],[C2 total]]+Calculations[[#This Row],[C3 total]]+Calculations[[#This Row],[C4 total]]</f>
        <v>0</v>
      </c>
      <c r="AJ996" s="2">
        <f>IFERROR(VLOOKUP(Calculations[[#This Row],[Material (choose from dropdown]],MaterialData[[#Headers],[#Data]],9,FALSE),0)</f>
        <v>0</v>
      </c>
      <c r="AK996" s="4">
        <f>IFERROR(VLOOKUP(Calculations[[#This Row],[Material (choose from dropdown]],MaterialData[[#Headers],[#Data]],10,FALSE),0)</f>
        <v>0</v>
      </c>
      <c r="AL996" s="322">
        <f>IFERROR(Calculations[[#This Row],[Data Quality Score]]*Calculations[[#This Row],[Total Kg]],0)</f>
        <v>0</v>
      </c>
    </row>
    <row r="997" spans="1:38" x14ac:dyDescent="0.3">
      <c r="A997" s="6">
        <f>IFERROR(MaterialsBoQ[[#This Row],[Scope Element]],0)</f>
        <v>0</v>
      </c>
      <c r="B997" t="str">
        <f>IFERROR(MaterialsBoQ[[#This Row],[Material ]],"")</f>
        <v/>
      </c>
      <c r="C997" t="str">
        <f>IFERROR(MaterialsBoQ[[#This Row],[Unit]],"")</f>
        <v/>
      </c>
      <c r="D997" s="322">
        <f>IFERROR(MaterialsBoQ[[#This Row],[Number]],0)</f>
        <v>0</v>
      </c>
      <c r="E997" s="322">
        <f>IFERROR(MaterialsBoQ[[#This Row],[Kg per unit]],0)</f>
        <v>0</v>
      </c>
      <c r="F997" s="322">
        <f>IFERROR(Calculations[[#This Row],[Number]]*Calculations[[#This Row],[Conversion factor]],0)</f>
        <v>0</v>
      </c>
      <c r="G997" s="322">
        <f>IFERROR(VLOOKUP(Calculations[[#This Row],[Material (choose from dropdown]],MaterialData[#All],7,FALSE),0)</f>
        <v>0</v>
      </c>
      <c r="H997" s="322">
        <f>Calculations[[#This Row],[Total Kg]]*Calculations[[#This Row],[Carbon Factor]]</f>
        <v>0</v>
      </c>
      <c r="I997" t="str">
        <f>IFERROR(VLOOKUP(Calculations[[#This Row],[Material (choose from dropdown]],MaterialData[#All],2,FALSE),"")</f>
        <v/>
      </c>
      <c r="J997" s="322">
        <f>IFERROR(((VLOOKUP(Calculations[[#This Row],[TransportSource]],TransportDistance[],2,FALSE)*'Stage assumptions'!$C$11)+VLOOKUP(Calculations[[#This Row],[TransportSource]],TransportDistance[],3,FALSE)*'Stage assumptions'!$C$12)*Calculations[[#This Row],[Total Kg]],0)</f>
        <v>0</v>
      </c>
      <c r="K997">
        <f>IFERROR(VLOOKUP(Calculations[[#This Row],[Material (choose from dropdown]], MaterialData[#All],3, FALSE),0)</f>
        <v>0</v>
      </c>
      <c r="L997" s="322">
        <f>IFERROR(VLOOKUP(Calculations[[#This Row],[A5type]],A5WastageRate[#All],2,FALSE)*Calculations[[#This Row],[A1-3]],0)</f>
        <v>0</v>
      </c>
      <c r="N997">
        <f>IFERROR(ROUNDUP(50/VLOOKUP(Calculations[[#This Row],[Scope Element]],B4referenceServiceLife[[Tier 2 element]:[Default Service Life]],2, FALSE)-1,0),0)</f>
        <v>0</v>
      </c>
      <c r="O997" s="322">
        <f>IFERROR((Calculations[[#This Row],[A1-3]]+Calculations[[#This Row],[A4]]+Calculations[[#This Row],[A5]]+Calculations[[#This Row],[C2 total]]+Calculations[[#This Row],[C3 total]]+Calculations[[#This Row],[C4 total]])*Calculations[[#This Row],[Replacements]],0)</f>
        <v>0</v>
      </c>
      <c r="S997" t="str">
        <f>IFERROR(VLOOKUP(Calculations[[#This Row],[Material (choose from dropdown]],MaterialData[#All],4,FALSE),"")</f>
        <v/>
      </c>
      <c r="T997" s="322" cm="1">
        <f t="array" ref="T997">IFERROR(VLOOKUP(Calculations[[#This Row],[Waste 1]],WasteScenario[#All],2,FALSE)*'Stage assumptions'!$C$225*WasteTransportMethod[Emissions Factor
kgCO2e/kg.km]*Calculations[[#This Row],[Total Kg]],0)</f>
        <v>0</v>
      </c>
      <c r="U997" s="322" cm="1">
        <f t="array" ref="U997">IFERROR(VLOOKUP(Calculations[[#This Row],[Waste 1]],WasteScenario[#All],3,FALSE)*'Stage assumptions'!$C$224*WasteTransportMethod[Emissions Factor
kgCO2e/kg.km]*Calculations[[#This Row],[Total Kg]],0)</f>
        <v>0</v>
      </c>
      <c r="V997" s="322" cm="1">
        <f t="array" ref="V997">IFERROR(VLOOKUP(Calculations[[#This Row],[Waste 1]],WasteScenario[#All],4,FALSE)*'Stage assumptions'!$C$223*WasteTransportMethod[Emissions Factor
kgCO2e/kg.km]*Calculations[[#This Row],[Total Kg]],0)</f>
        <v>0</v>
      </c>
      <c r="W997" s="322" cm="1">
        <f t="array" ref="W997">IFERROR(VLOOKUP(Calculations[[#This Row],[Waste 1]],WasteScenario[#All],5,FALSE)*'Stage assumptions'!$C$226*WasteTransportMethod[Emissions Factor
kgCO2e/kg.km]*Calculations[[#This Row],[Total Kg]],0)</f>
        <v>0</v>
      </c>
      <c r="X997" s="322">
        <f>SUM(Calculations[[#This Row],[C2 Recycle]:[C2 Reuse]])</f>
        <v>0</v>
      </c>
      <c r="Y997" t="str">
        <f>IFERROR(VLOOKUP(Calculations[[#This Row],[Material (choose from dropdown]],MaterialData[#All],5,FALSE),"")</f>
        <v/>
      </c>
      <c r="Z997" s="322">
        <f>IFERROR(((VLOOKUP(Calculations[[#This Row],[Waste type 2]],WasteDisposalEmissions[#All],2,FALSE))*Calculations[[#This Row],[Total Kg]])*VLOOKUP(Calculations[[#This Row],[Waste 1]],WasteScenario[#All],2,FALSE),0)</f>
        <v>0</v>
      </c>
      <c r="AA997" s="322">
        <f>IFERROR((VLOOKUP(Calculations[[#This Row],[Waste type 2]],WasteDisposalEmissions[#All],3,FALSE))*Calculations[[#This Row],[Total Kg]]*VLOOKUP(Calculations[[#This Row],[Waste 1]],WasteScenario[#All],3,FALSE),0)</f>
        <v>0</v>
      </c>
      <c r="AB997" s="322">
        <f>SUM(Calculations[[#This Row],[C3 recyc]:[C3 incin]])</f>
        <v>0</v>
      </c>
      <c r="AC997" s="334">
        <f>IFERROR((VLOOKUP(Calculations[[#This Row],[Waste type 2]],WasteLandfillEmissions[#All],2,FALSE))*Calculations[[#This Row],[Total Kg]]*VLOOKUP(Calculations[[#This Row],[Waste 1]],WasteScenario[#All],4,FALSE),0)</f>
        <v>0</v>
      </c>
      <c r="AD997" s="322">
        <f>IFERROR((VLOOKUP(Calculations[[#This Row],[Waste type 2]],WasteLandfillEmissions[#All],3,FALSE))*Calculations[[#This Row],[Total Kg]]*VLOOKUP(Calculations[[#This Row],[Waste 1]],WasteScenario[#All],4,FALSE),0)</f>
        <v>0</v>
      </c>
      <c r="AE997" s="322">
        <f>SUM(Calculations[[#This Row],[C4 landfill]:[C4 re-use]])</f>
        <v>0</v>
      </c>
      <c r="AF997" s="322">
        <f>IFERROR(VLOOKUP(Calculations[[#This Row],[Material (choose from dropdown]],MaterialData[#All],8,FALSE),0)</f>
        <v>0</v>
      </c>
      <c r="AG997" s="322">
        <f>IFERROR(Calculations[[#This Row],[Total Kg]]*Calculations[[#This Row],[Seq factor]],0)</f>
        <v>0</v>
      </c>
      <c r="AI997" s="322">
        <f>Calculations[[#This Row],[A1-3]]+Calculations[[#This Row],[A4]]+Calculations[[#This Row],[A5]]+Calculations[[#This Row],[B4]]+Calculations[[#This Row],[C2 total]]+Calculations[[#This Row],[C3 total]]+Calculations[[#This Row],[C4 total]]</f>
        <v>0</v>
      </c>
      <c r="AJ997" s="2">
        <f>IFERROR(VLOOKUP(Calculations[[#This Row],[Material (choose from dropdown]],MaterialData[[#Headers],[#Data]],9,FALSE),0)</f>
        <v>0</v>
      </c>
      <c r="AK997" s="4">
        <f>IFERROR(VLOOKUP(Calculations[[#This Row],[Material (choose from dropdown]],MaterialData[[#Headers],[#Data]],10,FALSE),0)</f>
        <v>0</v>
      </c>
      <c r="AL997" s="322">
        <f>IFERROR(Calculations[[#This Row],[Data Quality Score]]*Calculations[[#This Row],[Total Kg]],0)</f>
        <v>0</v>
      </c>
    </row>
    <row r="998" spans="1:38" x14ac:dyDescent="0.3">
      <c r="A998" s="6">
        <f>IFERROR(MaterialsBoQ[[#This Row],[Scope Element]],0)</f>
        <v>0</v>
      </c>
      <c r="B998" t="str">
        <f>IFERROR(MaterialsBoQ[[#This Row],[Material ]],"")</f>
        <v/>
      </c>
      <c r="C998" t="str">
        <f>IFERROR(MaterialsBoQ[[#This Row],[Unit]],"")</f>
        <v/>
      </c>
      <c r="D998" s="322">
        <f>IFERROR(MaterialsBoQ[[#This Row],[Number]],0)</f>
        <v>0</v>
      </c>
      <c r="E998" s="322">
        <f>IFERROR(MaterialsBoQ[[#This Row],[Kg per unit]],0)</f>
        <v>0</v>
      </c>
      <c r="F998" s="322">
        <f>IFERROR(Calculations[[#This Row],[Number]]*Calculations[[#This Row],[Conversion factor]],0)</f>
        <v>0</v>
      </c>
      <c r="G998" s="322">
        <f>IFERROR(VLOOKUP(Calculations[[#This Row],[Material (choose from dropdown]],MaterialData[#All],7,FALSE),0)</f>
        <v>0</v>
      </c>
      <c r="H998" s="322">
        <f>Calculations[[#This Row],[Total Kg]]*Calculations[[#This Row],[Carbon Factor]]</f>
        <v>0</v>
      </c>
      <c r="I998" t="str">
        <f>IFERROR(VLOOKUP(Calculations[[#This Row],[Material (choose from dropdown]],MaterialData[#All],2,FALSE),"")</f>
        <v/>
      </c>
      <c r="J998" s="322">
        <f>IFERROR(((VLOOKUP(Calculations[[#This Row],[TransportSource]],TransportDistance[],2,FALSE)*'Stage assumptions'!$C$11)+VLOOKUP(Calculations[[#This Row],[TransportSource]],TransportDistance[],3,FALSE)*'Stage assumptions'!$C$12)*Calculations[[#This Row],[Total Kg]],0)</f>
        <v>0</v>
      </c>
      <c r="K998">
        <f>IFERROR(VLOOKUP(Calculations[[#This Row],[Material (choose from dropdown]], MaterialData[#All],3, FALSE),0)</f>
        <v>0</v>
      </c>
      <c r="L998" s="322">
        <f>IFERROR(VLOOKUP(Calculations[[#This Row],[A5type]],A5WastageRate[#All],2,FALSE)*Calculations[[#This Row],[A1-3]],0)</f>
        <v>0</v>
      </c>
      <c r="N998">
        <f>IFERROR(ROUNDUP(50/VLOOKUP(Calculations[[#This Row],[Scope Element]],B4referenceServiceLife[[Tier 2 element]:[Default Service Life]],2, FALSE)-1,0),0)</f>
        <v>0</v>
      </c>
      <c r="O998" s="322">
        <f>IFERROR((Calculations[[#This Row],[A1-3]]+Calculations[[#This Row],[A4]]+Calculations[[#This Row],[A5]]+Calculations[[#This Row],[C2 total]]+Calculations[[#This Row],[C3 total]]+Calculations[[#This Row],[C4 total]])*Calculations[[#This Row],[Replacements]],0)</f>
        <v>0</v>
      </c>
      <c r="S998" t="str">
        <f>IFERROR(VLOOKUP(Calculations[[#This Row],[Material (choose from dropdown]],MaterialData[#All],4,FALSE),"")</f>
        <v/>
      </c>
      <c r="T998" s="322" cm="1">
        <f t="array" ref="T998">IFERROR(VLOOKUP(Calculations[[#This Row],[Waste 1]],WasteScenario[#All],2,FALSE)*'Stage assumptions'!$C$225*WasteTransportMethod[Emissions Factor
kgCO2e/kg.km]*Calculations[[#This Row],[Total Kg]],0)</f>
        <v>0</v>
      </c>
      <c r="U998" s="322" cm="1">
        <f t="array" ref="U998">IFERROR(VLOOKUP(Calculations[[#This Row],[Waste 1]],WasteScenario[#All],3,FALSE)*'Stage assumptions'!$C$224*WasteTransportMethod[Emissions Factor
kgCO2e/kg.km]*Calculations[[#This Row],[Total Kg]],0)</f>
        <v>0</v>
      </c>
      <c r="V998" s="322" cm="1">
        <f t="array" ref="V998">IFERROR(VLOOKUP(Calculations[[#This Row],[Waste 1]],WasteScenario[#All],4,FALSE)*'Stage assumptions'!$C$223*WasteTransportMethod[Emissions Factor
kgCO2e/kg.km]*Calculations[[#This Row],[Total Kg]],0)</f>
        <v>0</v>
      </c>
      <c r="W998" s="322" cm="1">
        <f t="array" ref="W998">IFERROR(VLOOKUP(Calculations[[#This Row],[Waste 1]],WasteScenario[#All],5,FALSE)*'Stage assumptions'!$C$226*WasteTransportMethod[Emissions Factor
kgCO2e/kg.km]*Calculations[[#This Row],[Total Kg]],0)</f>
        <v>0</v>
      </c>
      <c r="X998" s="322">
        <f>SUM(Calculations[[#This Row],[C2 Recycle]:[C2 Reuse]])</f>
        <v>0</v>
      </c>
      <c r="Y998" t="str">
        <f>IFERROR(VLOOKUP(Calculations[[#This Row],[Material (choose from dropdown]],MaterialData[#All],5,FALSE),"")</f>
        <v/>
      </c>
      <c r="Z998" s="322">
        <f>IFERROR(((VLOOKUP(Calculations[[#This Row],[Waste type 2]],WasteDisposalEmissions[#All],2,FALSE))*Calculations[[#This Row],[Total Kg]])*VLOOKUP(Calculations[[#This Row],[Waste 1]],WasteScenario[#All],2,FALSE),0)</f>
        <v>0</v>
      </c>
      <c r="AA998" s="322">
        <f>IFERROR((VLOOKUP(Calculations[[#This Row],[Waste type 2]],WasteDisposalEmissions[#All],3,FALSE))*Calculations[[#This Row],[Total Kg]]*VLOOKUP(Calculations[[#This Row],[Waste 1]],WasteScenario[#All],3,FALSE),0)</f>
        <v>0</v>
      </c>
      <c r="AB998" s="322">
        <f>SUM(Calculations[[#This Row],[C3 recyc]:[C3 incin]])</f>
        <v>0</v>
      </c>
      <c r="AC998" s="334">
        <f>IFERROR((VLOOKUP(Calculations[[#This Row],[Waste type 2]],WasteLandfillEmissions[#All],2,FALSE))*Calculations[[#This Row],[Total Kg]]*VLOOKUP(Calculations[[#This Row],[Waste 1]],WasteScenario[#All],4,FALSE),0)</f>
        <v>0</v>
      </c>
      <c r="AD998" s="322">
        <f>IFERROR((VLOOKUP(Calculations[[#This Row],[Waste type 2]],WasteLandfillEmissions[#All],3,FALSE))*Calculations[[#This Row],[Total Kg]]*VLOOKUP(Calculations[[#This Row],[Waste 1]],WasteScenario[#All],4,FALSE),0)</f>
        <v>0</v>
      </c>
      <c r="AE998" s="322">
        <f>SUM(Calculations[[#This Row],[C4 landfill]:[C4 re-use]])</f>
        <v>0</v>
      </c>
      <c r="AF998" s="322">
        <f>IFERROR(VLOOKUP(Calculations[[#This Row],[Material (choose from dropdown]],MaterialData[#All],8,FALSE),0)</f>
        <v>0</v>
      </c>
      <c r="AG998" s="322">
        <f>IFERROR(Calculations[[#This Row],[Total Kg]]*Calculations[[#This Row],[Seq factor]],0)</f>
        <v>0</v>
      </c>
      <c r="AI998" s="322">
        <f>Calculations[[#This Row],[A1-3]]+Calculations[[#This Row],[A4]]+Calculations[[#This Row],[A5]]+Calculations[[#This Row],[B4]]+Calculations[[#This Row],[C2 total]]+Calculations[[#This Row],[C3 total]]+Calculations[[#This Row],[C4 total]]</f>
        <v>0</v>
      </c>
      <c r="AJ998" s="2">
        <f>IFERROR(VLOOKUP(Calculations[[#This Row],[Material (choose from dropdown]],MaterialData[[#Headers],[#Data]],9,FALSE),0)</f>
        <v>0</v>
      </c>
      <c r="AK998" s="4">
        <f>IFERROR(VLOOKUP(Calculations[[#This Row],[Material (choose from dropdown]],MaterialData[[#Headers],[#Data]],10,FALSE),0)</f>
        <v>0</v>
      </c>
      <c r="AL998" s="322">
        <f>IFERROR(Calculations[[#This Row],[Data Quality Score]]*Calculations[[#This Row],[Total Kg]],0)</f>
        <v>0</v>
      </c>
    </row>
    <row r="999" spans="1:38" x14ac:dyDescent="0.3">
      <c r="A999" s="6">
        <f>IFERROR(MaterialsBoQ[[#This Row],[Scope Element]],0)</f>
        <v>0</v>
      </c>
      <c r="B999" t="str">
        <f>IFERROR(MaterialsBoQ[[#This Row],[Material ]],"")</f>
        <v/>
      </c>
      <c r="C999" t="str">
        <f>IFERROR(MaterialsBoQ[[#This Row],[Unit]],"")</f>
        <v/>
      </c>
      <c r="D999" s="322">
        <f>IFERROR(MaterialsBoQ[[#This Row],[Number]],0)</f>
        <v>0</v>
      </c>
      <c r="E999" s="322">
        <f>IFERROR(MaterialsBoQ[[#This Row],[Kg per unit]],0)</f>
        <v>0</v>
      </c>
      <c r="F999" s="322">
        <f>IFERROR(Calculations[[#This Row],[Number]]*Calculations[[#This Row],[Conversion factor]],0)</f>
        <v>0</v>
      </c>
      <c r="G999" s="322">
        <f>IFERROR(VLOOKUP(Calculations[[#This Row],[Material (choose from dropdown]],MaterialData[#All],7,FALSE),0)</f>
        <v>0</v>
      </c>
      <c r="H999" s="322">
        <f>Calculations[[#This Row],[Total Kg]]*Calculations[[#This Row],[Carbon Factor]]</f>
        <v>0</v>
      </c>
      <c r="I999" t="str">
        <f>IFERROR(VLOOKUP(Calculations[[#This Row],[Material (choose from dropdown]],MaterialData[#All],2,FALSE),"")</f>
        <v/>
      </c>
      <c r="J999" s="322">
        <f>IFERROR(((VLOOKUP(Calculations[[#This Row],[TransportSource]],TransportDistance[],2,FALSE)*'Stage assumptions'!$C$11)+VLOOKUP(Calculations[[#This Row],[TransportSource]],TransportDistance[],3,FALSE)*'Stage assumptions'!$C$12)*Calculations[[#This Row],[Total Kg]],0)</f>
        <v>0</v>
      </c>
      <c r="K999">
        <f>IFERROR(VLOOKUP(Calculations[[#This Row],[Material (choose from dropdown]], MaterialData[#All],3, FALSE),0)</f>
        <v>0</v>
      </c>
      <c r="L999" s="322">
        <f>IFERROR(VLOOKUP(Calculations[[#This Row],[A5type]],A5WastageRate[#All],2,FALSE)*Calculations[[#This Row],[A1-3]],0)</f>
        <v>0</v>
      </c>
      <c r="N999">
        <f>IFERROR(ROUNDUP(50/VLOOKUP(Calculations[[#This Row],[Scope Element]],B4referenceServiceLife[[Tier 2 element]:[Default Service Life]],2, FALSE)-1,0),0)</f>
        <v>0</v>
      </c>
      <c r="O999" s="322">
        <f>IFERROR((Calculations[[#This Row],[A1-3]]+Calculations[[#This Row],[A4]]+Calculations[[#This Row],[A5]]+Calculations[[#This Row],[C2 total]]+Calculations[[#This Row],[C3 total]]+Calculations[[#This Row],[C4 total]])*Calculations[[#This Row],[Replacements]],0)</f>
        <v>0</v>
      </c>
      <c r="S999" t="str">
        <f>IFERROR(VLOOKUP(Calculations[[#This Row],[Material (choose from dropdown]],MaterialData[#All],4,FALSE),"")</f>
        <v/>
      </c>
      <c r="T999" s="322" cm="1">
        <f t="array" ref="T999">IFERROR(VLOOKUP(Calculations[[#This Row],[Waste 1]],WasteScenario[#All],2,FALSE)*'Stage assumptions'!$C$225*WasteTransportMethod[Emissions Factor
kgCO2e/kg.km]*Calculations[[#This Row],[Total Kg]],0)</f>
        <v>0</v>
      </c>
      <c r="U999" s="322" cm="1">
        <f t="array" ref="U999">IFERROR(VLOOKUP(Calculations[[#This Row],[Waste 1]],WasteScenario[#All],3,FALSE)*'Stage assumptions'!$C$224*WasteTransportMethod[Emissions Factor
kgCO2e/kg.km]*Calculations[[#This Row],[Total Kg]],0)</f>
        <v>0</v>
      </c>
      <c r="V999" s="322" cm="1">
        <f t="array" ref="V999">IFERROR(VLOOKUP(Calculations[[#This Row],[Waste 1]],WasteScenario[#All],4,FALSE)*'Stage assumptions'!$C$223*WasteTransportMethod[Emissions Factor
kgCO2e/kg.km]*Calculations[[#This Row],[Total Kg]],0)</f>
        <v>0</v>
      </c>
      <c r="W999" s="322" cm="1">
        <f t="array" ref="W999">IFERROR(VLOOKUP(Calculations[[#This Row],[Waste 1]],WasteScenario[#All],5,FALSE)*'Stage assumptions'!$C$226*WasteTransportMethod[Emissions Factor
kgCO2e/kg.km]*Calculations[[#This Row],[Total Kg]],0)</f>
        <v>0</v>
      </c>
      <c r="X999" s="322">
        <f>SUM(Calculations[[#This Row],[C2 Recycle]:[C2 Reuse]])</f>
        <v>0</v>
      </c>
      <c r="Y999" t="str">
        <f>IFERROR(VLOOKUP(Calculations[[#This Row],[Material (choose from dropdown]],MaterialData[#All],5,FALSE),"")</f>
        <v/>
      </c>
      <c r="Z999" s="322">
        <f>IFERROR(((VLOOKUP(Calculations[[#This Row],[Waste type 2]],WasteDisposalEmissions[#All],2,FALSE))*Calculations[[#This Row],[Total Kg]])*VLOOKUP(Calculations[[#This Row],[Waste 1]],WasteScenario[#All],2,FALSE),0)</f>
        <v>0</v>
      </c>
      <c r="AA999" s="322">
        <f>IFERROR((VLOOKUP(Calculations[[#This Row],[Waste type 2]],WasteDisposalEmissions[#All],3,FALSE))*Calculations[[#This Row],[Total Kg]]*VLOOKUP(Calculations[[#This Row],[Waste 1]],WasteScenario[#All],3,FALSE),0)</f>
        <v>0</v>
      </c>
      <c r="AB999" s="322">
        <f>SUM(Calculations[[#This Row],[C3 recyc]:[C3 incin]])</f>
        <v>0</v>
      </c>
      <c r="AC999" s="334">
        <f>IFERROR((VLOOKUP(Calculations[[#This Row],[Waste type 2]],WasteLandfillEmissions[#All],2,FALSE))*Calculations[[#This Row],[Total Kg]]*VLOOKUP(Calculations[[#This Row],[Waste 1]],WasteScenario[#All],4,FALSE),0)</f>
        <v>0</v>
      </c>
      <c r="AD999" s="322">
        <f>IFERROR((VLOOKUP(Calculations[[#This Row],[Waste type 2]],WasteLandfillEmissions[#All],3,FALSE))*Calculations[[#This Row],[Total Kg]]*VLOOKUP(Calculations[[#This Row],[Waste 1]],WasteScenario[#All],4,FALSE),0)</f>
        <v>0</v>
      </c>
      <c r="AE999" s="322">
        <f>SUM(Calculations[[#This Row],[C4 landfill]:[C4 re-use]])</f>
        <v>0</v>
      </c>
      <c r="AF999" s="322">
        <f>IFERROR(VLOOKUP(Calculations[[#This Row],[Material (choose from dropdown]],MaterialData[#All],8,FALSE),0)</f>
        <v>0</v>
      </c>
      <c r="AG999" s="322">
        <f>IFERROR(Calculations[[#This Row],[Total Kg]]*Calculations[[#This Row],[Seq factor]],0)</f>
        <v>0</v>
      </c>
      <c r="AI999" s="322">
        <f>Calculations[[#This Row],[A1-3]]+Calculations[[#This Row],[A4]]+Calculations[[#This Row],[A5]]+Calculations[[#This Row],[B4]]+Calculations[[#This Row],[C2 total]]+Calculations[[#This Row],[C3 total]]+Calculations[[#This Row],[C4 total]]</f>
        <v>0</v>
      </c>
      <c r="AJ999" s="2">
        <f>IFERROR(VLOOKUP(Calculations[[#This Row],[Material (choose from dropdown]],MaterialData[[#Headers],[#Data]],9,FALSE),0)</f>
        <v>0</v>
      </c>
      <c r="AK999" s="4">
        <f>IFERROR(VLOOKUP(Calculations[[#This Row],[Material (choose from dropdown]],MaterialData[[#Headers],[#Data]],10,FALSE),0)</f>
        <v>0</v>
      </c>
      <c r="AL999" s="322">
        <f>IFERROR(Calculations[[#This Row],[Data Quality Score]]*Calculations[[#This Row],[Total Kg]],0)</f>
        <v>0</v>
      </c>
    </row>
    <row r="1000" spans="1:38" x14ac:dyDescent="0.3">
      <c r="A1000" s="6">
        <f>IFERROR(MaterialsBoQ[[#This Row],[Scope Element]],0)</f>
        <v>0</v>
      </c>
      <c r="B1000" t="str">
        <f>IFERROR(MaterialsBoQ[[#This Row],[Material ]],"")</f>
        <v/>
      </c>
      <c r="C1000" t="str">
        <f>IFERROR(MaterialsBoQ[[#This Row],[Unit]],"")</f>
        <v/>
      </c>
      <c r="D1000" s="322">
        <f>IFERROR(MaterialsBoQ[[#This Row],[Number]],0)</f>
        <v>0</v>
      </c>
      <c r="E1000" s="322">
        <f>IFERROR(MaterialsBoQ[[#This Row],[Kg per unit]],0)</f>
        <v>0</v>
      </c>
      <c r="F1000" s="322">
        <f>IFERROR(Calculations[[#This Row],[Number]]*Calculations[[#This Row],[Conversion factor]],0)</f>
        <v>0</v>
      </c>
      <c r="G1000" s="322">
        <f>IFERROR(VLOOKUP(Calculations[[#This Row],[Material (choose from dropdown]],MaterialData[#All],7,FALSE),0)</f>
        <v>0</v>
      </c>
      <c r="H1000" s="322">
        <f>Calculations[[#This Row],[Total Kg]]*Calculations[[#This Row],[Carbon Factor]]</f>
        <v>0</v>
      </c>
      <c r="I1000" t="str">
        <f>IFERROR(VLOOKUP(Calculations[[#This Row],[Material (choose from dropdown]],MaterialData[#All],2,FALSE),"")</f>
        <v/>
      </c>
      <c r="J1000" s="322">
        <f>IFERROR(((VLOOKUP(Calculations[[#This Row],[TransportSource]],TransportDistance[],2,FALSE)*'Stage assumptions'!$C$11)+VLOOKUP(Calculations[[#This Row],[TransportSource]],TransportDistance[],3,FALSE)*'Stage assumptions'!$C$12)*Calculations[[#This Row],[Total Kg]],0)</f>
        <v>0</v>
      </c>
      <c r="K1000">
        <f>IFERROR(VLOOKUP(Calculations[[#This Row],[Material (choose from dropdown]], MaterialData[#All],3, FALSE),0)</f>
        <v>0</v>
      </c>
      <c r="L1000" s="322">
        <f>IFERROR(VLOOKUP(Calculations[[#This Row],[A5type]],A5WastageRate[#All],2,FALSE)*Calculations[[#This Row],[A1-3]],0)</f>
        <v>0</v>
      </c>
      <c r="N1000">
        <f>IFERROR(ROUNDUP(50/VLOOKUP(Calculations[[#This Row],[Scope Element]],B4referenceServiceLife[[Tier 2 element]:[Default Service Life]],2, FALSE)-1,0),0)</f>
        <v>0</v>
      </c>
      <c r="O1000" s="322">
        <f>IFERROR((Calculations[[#This Row],[A1-3]]+Calculations[[#This Row],[A4]]+Calculations[[#This Row],[A5]]+Calculations[[#This Row],[C2 total]]+Calculations[[#This Row],[C3 total]]+Calculations[[#This Row],[C4 total]])*Calculations[[#This Row],[Replacements]],0)</f>
        <v>0</v>
      </c>
      <c r="S1000" t="str">
        <f>IFERROR(VLOOKUP(Calculations[[#This Row],[Material (choose from dropdown]],MaterialData[#All],4,FALSE),"")</f>
        <v/>
      </c>
      <c r="T1000" s="322" cm="1">
        <f t="array" ref="T1000">IFERROR(VLOOKUP(Calculations[[#This Row],[Waste 1]],WasteScenario[#All],2,FALSE)*'Stage assumptions'!$C$225*WasteTransportMethod[Emissions Factor
kgCO2e/kg.km]*Calculations[[#This Row],[Total Kg]],0)</f>
        <v>0</v>
      </c>
      <c r="U1000" s="322" cm="1">
        <f t="array" ref="U1000">IFERROR(VLOOKUP(Calculations[[#This Row],[Waste 1]],WasteScenario[#All],3,FALSE)*'Stage assumptions'!$C$224*WasteTransportMethod[Emissions Factor
kgCO2e/kg.km]*Calculations[[#This Row],[Total Kg]],0)</f>
        <v>0</v>
      </c>
      <c r="V1000" s="322" cm="1">
        <f t="array" ref="V1000">IFERROR(VLOOKUP(Calculations[[#This Row],[Waste 1]],WasteScenario[#All],4,FALSE)*'Stage assumptions'!$C$223*WasteTransportMethod[Emissions Factor
kgCO2e/kg.km]*Calculations[[#This Row],[Total Kg]],0)</f>
        <v>0</v>
      </c>
      <c r="W1000" s="322" cm="1">
        <f t="array" ref="W1000">IFERROR(VLOOKUP(Calculations[[#This Row],[Waste 1]],WasteScenario[#All],5,FALSE)*'Stage assumptions'!$C$226*WasteTransportMethod[Emissions Factor
kgCO2e/kg.km]*Calculations[[#This Row],[Total Kg]],0)</f>
        <v>0</v>
      </c>
      <c r="X1000" s="322">
        <f>SUM(Calculations[[#This Row],[C2 Recycle]:[C2 Reuse]])</f>
        <v>0</v>
      </c>
      <c r="Y1000" t="str">
        <f>IFERROR(VLOOKUP(Calculations[[#This Row],[Material (choose from dropdown]],MaterialData[#All],5,FALSE),"")</f>
        <v/>
      </c>
      <c r="Z1000" s="322">
        <f>IFERROR(((VLOOKUP(Calculations[[#This Row],[Waste type 2]],WasteDisposalEmissions[#All],2,FALSE))*Calculations[[#This Row],[Total Kg]])*VLOOKUP(Calculations[[#This Row],[Waste 1]],WasteScenario[#All],2,FALSE),0)</f>
        <v>0</v>
      </c>
      <c r="AA1000" s="322">
        <f>IFERROR((VLOOKUP(Calculations[[#This Row],[Waste type 2]],WasteDisposalEmissions[#All],3,FALSE))*Calculations[[#This Row],[Total Kg]]*VLOOKUP(Calculations[[#This Row],[Waste 1]],WasteScenario[#All],3,FALSE),0)</f>
        <v>0</v>
      </c>
      <c r="AB1000" s="322">
        <f>SUM(Calculations[[#This Row],[C3 recyc]:[C3 incin]])</f>
        <v>0</v>
      </c>
      <c r="AC1000" s="334">
        <f>IFERROR((VLOOKUP(Calculations[[#This Row],[Waste type 2]],WasteLandfillEmissions[#All],2,FALSE))*Calculations[[#This Row],[Total Kg]]*VLOOKUP(Calculations[[#This Row],[Waste 1]],WasteScenario[#All],4,FALSE),0)</f>
        <v>0</v>
      </c>
      <c r="AD1000" s="322">
        <f>IFERROR((VLOOKUP(Calculations[[#This Row],[Waste type 2]],WasteLandfillEmissions[#All],3,FALSE))*Calculations[[#This Row],[Total Kg]]*VLOOKUP(Calculations[[#This Row],[Waste 1]],WasteScenario[#All],4,FALSE),0)</f>
        <v>0</v>
      </c>
      <c r="AE1000" s="322">
        <f>SUM(Calculations[[#This Row],[C4 landfill]:[C4 re-use]])</f>
        <v>0</v>
      </c>
      <c r="AF1000" s="322">
        <f>IFERROR(VLOOKUP(Calculations[[#This Row],[Material (choose from dropdown]],MaterialData[#All],8,FALSE),0)</f>
        <v>0</v>
      </c>
      <c r="AG1000" s="322">
        <f>IFERROR(Calculations[[#This Row],[Total Kg]]*Calculations[[#This Row],[Seq factor]],0)</f>
        <v>0</v>
      </c>
      <c r="AI1000" s="322">
        <f>Calculations[[#This Row],[A1-3]]+Calculations[[#This Row],[A4]]+Calculations[[#This Row],[A5]]+Calculations[[#This Row],[B4]]+Calculations[[#This Row],[C2 total]]+Calculations[[#This Row],[C3 total]]+Calculations[[#This Row],[C4 total]]</f>
        <v>0</v>
      </c>
      <c r="AJ1000" s="2">
        <f>IFERROR(VLOOKUP(Calculations[[#This Row],[Material (choose from dropdown]],MaterialData[[#Headers],[#Data]],9,FALSE),0)</f>
        <v>0</v>
      </c>
      <c r="AK1000" s="4">
        <f>IFERROR(VLOOKUP(Calculations[[#This Row],[Material (choose from dropdown]],MaterialData[[#Headers],[#Data]],10,FALSE),0)</f>
        <v>0</v>
      </c>
      <c r="AL1000" s="322">
        <f>IFERROR(Calculations[[#This Row],[Data Quality Score]]*Calculations[[#This Row],[Total Kg]],0)</f>
        <v>0</v>
      </c>
    </row>
    <row r="1001" spans="1:38" x14ac:dyDescent="0.3">
      <c r="A1001" s="6">
        <f>IFERROR(MaterialsBoQ[[#This Row],[Scope Element]],0)</f>
        <v>0</v>
      </c>
      <c r="B1001" t="str">
        <f>IFERROR(MaterialsBoQ[[#This Row],[Material ]],"")</f>
        <v/>
      </c>
      <c r="C1001" t="str">
        <f>IFERROR(MaterialsBoQ[[#This Row],[Unit]],"")</f>
        <v/>
      </c>
      <c r="D1001" s="322">
        <f>IFERROR(MaterialsBoQ[[#This Row],[Number]],0)</f>
        <v>0</v>
      </c>
      <c r="E1001" s="322">
        <f>IFERROR(MaterialsBoQ[[#This Row],[Kg per unit]],0)</f>
        <v>0</v>
      </c>
      <c r="F1001" s="322">
        <f>IFERROR(Calculations[[#This Row],[Number]]*Calculations[[#This Row],[Conversion factor]],0)</f>
        <v>0</v>
      </c>
      <c r="G1001" s="322">
        <f>IFERROR(VLOOKUP(Calculations[[#This Row],[Material (choose from dropdown]],MaterialData[#All],7,FALSE),0)</f>
        <v>0</v>
      </c>
      <c r="H1001" s="322">
        <f>Calculations[[#This Row],[Total Kg]]*Calculations[[#This Row],[Carbon Factor]]</f>
        <v>0</v>
      </c>
      <c r="I1001" t="str">
        <f>IFERROR(VLOOKUP(Calculations[[#This Row],[Material (choose from dropdown]],MaterialData[#All],2,FALSE),"")</f>
        <v/>
      </c>
      <c r="J1001" s="322">
        <f>IFERROR(((VLOOKUP(Calculations[[#This Row],[TransportSource]],TransportDistance[],2,FALSE)*'Stage assumptions'!$C$11)+VLOOKUP(Calculations[[#This Row],[TransportSource]],TransportDistance[],3,FALSE)*'Stage assumptions'!$C$12)*Calculations[[#This Row],[Total Kg]],0)</f>
        <v>0</v>
      </c>
      <c r="K1001">
        <f>IFERROR(VLOOKUP(Calculations[[#This Row],[Material (choose from dropdown]], MaterialData[#All],3, FALSE),0)</f>
        <v>0</v>
      </c>
      <c r="L1001" s="322">
        <f>IFERROR(VLOOKUP(Calculations[[#This Row],[A5type]],A5WastageRate[#All],2,FALSE)*Calculations[[#This Row],[A1-3]],0)</f>
        <v>0</v>
      </c>
      <c r="N1001">
        <f>IFERROR(ROUNDUP(50/VLOOKUP(Calculations[[#This Row],[Scope Element]],B4referenceServiceLife[[Tier 2 element]:[Default Service Life]],2, FALSE)-1,0),0)</f>
        <v>0</v>
      </c>
      <c r="O1001" s="322">
        <f>IFERROR((Calculations[[#This Row],[A1-3]]+Calculations[[#This Row],[A4]]+Calculations[[#This Row],[A5]]+Calculations[[#This Row],[C2 total]]+Calculations[[#This Row],[C3 total]]+Calculations[[#This Row],[C4 total]])*Calculations[[#This Row],[Replacements]],0)</f>
        <v>0</v>
      </c>
      <c r="S1001" t="str">
        <f>IFERROR(VLOOKUP(Calculations[[#This Row],[Material (choose from dropdown]],MaterialData[#All],4,FALSE),"")</f>
        <v/>
      </c>
      <c r="T1001" s="322" cm="1">
        <f t="array" ref="T1001">IFERROR(VLOOKUP(Calculations[[#This Row],[Waste 1]],WasteScenario[#All],2,FALSE)*'Stage assumptions'!$C$225*WasteTransportMethod[Emissions Factor
kgCO2e/kg.km]*Calculations[[#This Row],[Total Kg]],0)</f>
        <v>0</v>
      </c>
      <c r="U1001" s="322" cm="1">
        <f t="array" ref="U1001">IFERROR(VLOOKUP(Calculations[[#This Row],[Waste 1]],WasteScenario[#All],3,FALSE)*'Stage assumptions'!$C$224*WasteTransportMethod[Emissions Factor
kgCO2e/kg.km]*Calculations[[#This Row],[Total Kg]],0)</f>
        <v>0</v>
      </c>
      <c r="V1001" s="322" cm="1">
        <f t="array" ref="V1001">IFERROR(VLOOKUP(Calculations[[#This Row],[Waste 1]],WasteScenario[#All],4,FALSE)*'Stage assumptions'!$C$223*WasteTransportMethod[Emissions Factor
kgCO2e/kg.km]*Calculations[[#This Row],[Total Kg]],0)</f>
        <v>0</v>
      </c>
      <c r="W1001" s="322" cm="1">
        <f t="array" ref="W1001">IFERROR(VLOOKUP(Calculations[[#This Row],[Waste 1]],WasteScenario[#All],5,FALSE)*'Stage assumptions'!$C$226*WasteTransportMethod[Emissions Factor
kgCO2e/kg.km]*Calculations[[#This Row],[Total Kg]],0)</f>
        <v>0</v>
      </c>
      <c r="X1001" s="322">
        <f>SUM(Calculations[[#This Row],[C2 Recycle]:[C2 Reuse]])</f>
        <v>0</v>
      </c>
      <c r="Y1001" t="str">
        <f>IFERROR(VLOOKUP(Calculations[[#This Row],[Material (choose from dropdown]],MaterialData[#All],5,FALSE),"")</f>
        <v/>
      </c>
      <c r="Z1001" s="322">
        <f>IFERROR(((VLOOKUP(Calculations[[#This Row],[Waste type 2]],WasteDisposalEmissions[#All],2,FALSE))*Calculations[[#This Row],[Total Kg]])*VLOOKUP(Calculations[[#This Row],[Waste 1]],WasteScenario[#All],2,FALSE),0)</f>
        <v>0</v>
      </c>
      <c r="AA1001" s="322">
        <f>IFERROR((VLOOKUP(Calculations[[#This Row],[Waste type 2]],WasteDisposalEmissions[#All],3,FALSE))*Calculations[[#This Row],[Total Kg]]*VLOOKUP(Calculations[[#This Row],[Waste 1]],WasteScenario[#All],3,FALSE),0)</f>
        <v>0</v>
      </c>
      <c r="AB1001" s="322">
        <f>SUM(Calculations[[#This Row],[C3 recyc]:[C3 incin]])</f>
        <v>0</v>
      </c>
      <c r="AC1001" s="334">
        <f>IFERROR((VLOOKUP(Calculations[[#This Row],[Waste type 2]],WasteLandfillEmissions[#All],2,FALSE))*Calculations[[#This Row],[Total Kg]]*VLOOKUP(Calculations[[#This Row],[Waste 1]],WasteScenario[#All],4,FALSE),0)</f>
        <v>0</v>
      </c>
      <c r="AD1001" s="322">
        <f>IFERROR((VLOOKUP(Calculations[[#This Row],[Waste type 2]],WasteLandfillEmissions[#All],3,FALSE))*Calculations[[#This Row],[Total Kg]]*VLOOKUP(Calculations[[#This Row],[Waste 1]],WasteScenario[#All],4,FALSE),0)</f>
        <v>0</v>
      </c>
      <c r="AE1001" s="322">
        <f>SUM(Calculations[[#This Row],[C4 landfill]:[C4 re-use]])</f>
        <v>0</v>
      </c>
      <c r="AF1001" s="322">
        <f>IFERROR(VLOOKUP(Calculations[[#This Row],[Material (choose from dropdown]],MaterialData[#All],8,FALSE),0)</f>
        <v>0</v>
      </c>
      <c r="AG1001" s="322">
        <f>IFERROR(Calculations[[#This Row],[Total Kg]]*Calculations[[#This Row],[Seq factor]],0)</f>
        <v>0</v>
      </c>
      <c r="AI1001" s="322">
        <f>Calculations[[#This Row],[A1-3]]+Calculations[[#This Row],[A4]]+Calculations[[#This Row],[A5]]+Calculations[[#This Row],[B4]]+Calculations[[#This Row],[C2 total]]+Calculations[[#This Row],[C3 total]]+Calculations[[#This Row],[C4 total]]</f>
        <v>0</v>
      </c>
      <c r="AJ1001" s="2">
        <f>IFERROR(VLOOKUP(Calculations[[#This Row],[Material (choose from dropdown]],MaterialData[[#Headers],[#Data]],9,FALSE),0)</f>
        <v>0</v>
      </c>
      <c r="AK1001" s="4">
        <f>IFERROR(VLOOKUP(Calculations[[#This Row],[Material (choose from dropdown]],MaterialData[[#Headers],[#Data]],10,FALSE),0)</f>
        <v>0</v>
      </c>
      <c r="AL1001" s="322">
        <f>IFERROR(Calculations[[#This Row],[Data Quality Score]]*Calculations[[#This Row],[Total Kg]],0)</f>
        <v>0</v>
      </c>
    </row>
    <row r="1002" spans="1:38" x14ac:dyDescent="0.3">
      <c r="A1002" s="6">
        <f>IFERROR(MaterialsBoQ[[#This Row],[Scope Element]],0)</f>
        <v>0</v>
      </c>
      <c r="B1002" t="str">
        <f>IFERROR(MaterialsBoQ[[#This Row],[Material ]],"")</f>
        <v/>
      </c>
      <c r="C1002" t="str">
        <f>IFERROR(MaterialsBoQ[[#This Row],[Unit]],"")</f>
        <v/>
      </c>
      <c r="D1002" s="322">
        <f>IFERROR(MaterialsBoQ[[#This Row],[Number]],0)</f>
        <v>0</v>
      </c>
      <c r="E1002" s="322">
        <f>IFERROR(MaterialsBoQ[[#This Row],[Kg per unit]],0)</f>
        <v>0</v>
      </c>
      <c r="F1002" s="322">
        <f>IFERROR(Calculations[[#This Row],[Number]]*Calculations[[#This Row],[Conversion factor]],0)</f>
        <v>0</v>
      </c>
      <c r="G1002" s="322">
        <f>IFERROR(VLOOKUP(Calculations[[#This Row],[Material (choose from dropdown]],MaterialData[#All],7,FALSE),0)</f>
        <v>0</v>
      </c>
      <c r="H1002" s="322">
        <f>Calculations[[#This Row],[Total Kg]]*Calculations[[#This Row],[Carbon Factor]]</f>
        <v>0</v>
      </c>
      <c r="I1002" t="str">
        <f>IFERROR(VLOOKUP(Calculations[[#This Row],[Material (choose from dropdown]],MaterialData[#All],2,FALSE),"")</f>
        <v/>
      </c>
      <c r="J1002" s="322">
        <f>IFERROR(((VLOOKUP(Calculations[[#This Row],[TransportSource]],TransportDistance[],2,FALSE)*'Stage assumptions'!$C$11)+VLOOKUP(Calculations[[#This Row],[TransportSource]],TransportDistance[],3,FALSE)*'Stage assumptions'!$C$12)*Calculations[[#This Row],[Total Kg]],0)</f>
        <v>0</v>
      </c>
      <c r="K1002">
        <f>IFERROR(VLOOKUP(Calculations[[#This Row],[Material (choose from dropdown]], MaterialData[#All],3, FALSE),0)</f>
        <v>0</v>
      </c>
      <c r="L1002" s="322">
        <f>IFERROR(VLOOKUP(Calculations[[#This Row],[A5type]],A5WastageRate[#All],2,FALSE)*Calculations[[#This Row],[A1-3]],0)</f>
        <v>0</v>
      </c>
      <c r="N1002">
        <f>IFERROR(ROUNDUP(50/VLOOKUP(Calculations[[#This Row],[Scope Element]],B4referenceServiceLife[[Tier 2 element]:[Default Service Life]],2, FALSE)-1,0),0)</f>
        <v>0</v>
      </c>
      <c r="O1002" s="322">
        <f>IFERROR((Calculations[[#This Row],[A1-3]]+Calculations[[#This Row],[A4]]+Calculations[[#This Row],[A5]]+Calculations[[#This Row],[C2 total]]+Calculations[[#This Row],[C3 total]]+Calculations[[#This Row],[C4 total]])*Calculations[[#This Row],[Replacements]],0)</f>
        <v>0</v>
      </c>
      <c r="S1002" t="str">
        <f>IFERROR(VLOOKUP(Calculations[[#This Row],[Material (choose from dropdown]],MaterialData[#All],4,FALSE),"")</f>
        <v/>
      </c>
      <c r="T1002" s="322" cm="1">
        <f t="array" ref="T1002">IFERROR(VLOOKUP(Calculations[[#This Row],[Waste 1]],WasteScenario[#All],2,FALSE)*'Stage assumptions'!$C$225*WasteTransportMethod[Emissions Factor
kgCO2e/kg.km]*Calculations[[#This Row],[Total Kg]],0)</f>
        <v>0</v>
      </c>
      <c r="U1002" s="322" cm="1">
        <f t="array" ref="U1002">IFERROR(VLOOKUP(Calculations[[#This Row],[Waste 1]],WasteScenario[#All],3,FALSE)*'Stage assumptions'!$C$224*WasteTransportMethod[Emissions Factor
kgCO2e/kg.km]*Calculations[[#This Row],[Total Kg]],0)</f>
        <v>0</v>
      </c>
      <c r="V1002" s="322" cm="1">
        <f t="array" ref="V1002">IFERROR(VLOOKUP(Calculations[[#This Row],[Waste 1]],WasteScenario[#All],4,FALSE)*'Stage assumptions'!$C$223*WasteTransportMethod[Emissions Factor
kgCO2e/kg.km]*Calculations[[#This Row],[Total Kg]],0)</f>
        <v>0</v>
      </c>
      <c r="W1002" s="322" cm="1">
        <f t="array" ref="W1002">IFERROR(VLOOKUP(Calculations[[#This Row],[Waste 1]],WasteScenario[#All],5,FALSE)*'Stage assumptions'!$C$226*WasteTransportMethod[Emissions Factor
kgCO2e/kg.km]*Calculations[[#This Row],[Total Kg]],0)</f>
        <v>0</v>
      </c>
      <c r="X1002" s="322">
        <f>SUM(Calculations[[#This Row],[C2 Recycle]:[C2 Reuse]])</f>
        <v>0</v>
      </c>
      <c r="Y1002" t="str">
        <f>IFERROR(VLOOKUP(Calculations[[#This Row],[Material (choose from dropdown]],MaterialData[#All],5,FALSE),"")</f>
        <v/>
      </c>
      <c r="Z1002" s="322">
        <f>IFERROR(((VLOOKUP(Calculations[[#This Row],[Waste type 2]],WasteDisposalEmissions[#All],2,FALSE))*Calculations[[#This Row],[Total Kg]])*VLOOKUP(Calculations[[#This Row],[Waste 1]],WasteScenario[#All],2,FALSE),0)</f>
        <v>0</v>
      </c>
      <c r="AA1002" s="322">
        <f>IFERROR((VLOOKUP(Calculations[[#This Row],[Waste type 2]],WasteDisposalEmissions[#All],3,FALSE))*Calculations[[#This Row],[Total Kg]]*VLOOKUP(Calculations[[#This Row],[Waste 1]],WasteScenario[#All],3,FALSE),0)</f>
        <v>0</v>
      </c>
      <c r="AB1002" s="322">
        <f>SUM(Calculations[[#This Row],[C3 recyc]:[C3 incin]])</f>
        <v>0</v>
      </c>
      <c r="AC1002" s="334">
        <f>IFERROR((VLOOKUP(Calculations[[#This Row],[Waste type 2]],WasteLandfillEmissions[#All],2,FALSE))*Calculations[[#This Row],[Total Kg]]*VLOOKUP(Calculations[[#This Row],[Waste 1]],WasteScenario[#All],4,FALSE),0)</f>
        <v>0</v>
      </c>
      <c r="AD1002" s="322">
        <f>IFERROR((VLOOKUP(Calculations[[#This Row],[Waste type 2]],WasteLandfillEmissions[#All],3,FALSE))*Calculations[[#This Row],[Total Kg]]*VLOOKUP(Calculations[[#This Row],[Waste 1]],WasteScenario[#All],4,FALSE),0)</f>
        <v>0</v>
      </c>
      <c r="AE1002" s="322">
        <f>SUM(Calculations[[#This Row],[C4 landfill]:[C4 re-use]])</f>
        <v>0</v>
      </c>
      <c r="AF1002" s="322">
        <f>IFERROR(VLOOKUP(Calculations[[#This Row],[Material (choose from dropdown]],MaterialData[#All],8,FALSE),0)</f>
        <v>0</v>
      </c>
      <c r="AG1002" s="322">
        <f>IFERROR(Calculations[[#This Row],[Total Kg]]*Calculations[[#This Row],[Seq factor]],0)</f>
        <v>0</v>
      </c>
      <c r="AI1002" s="322">
        <f>Calculations[[#This Row],[A1-3]]+Calculations[[#This Row],[A4]]+Calculations[[#This Row],[A5]]+Calculations[[#This Row],[B4]]+Calculations[[#This Row],[C2 total]]+Calculations[[#This Row],[C3 total]]+Calculations[[#This Row],[C4 total]]</f>
        <v>0</v>
      </c>
      <c r="AJ1002" s="2">
        <f>IFERROR(VLOOKUP(Calculations[[#This Row],[Material (choose from dropdown]],MaterialData[[#Headers],[#Data]],9,FALSE),0)</f>
        <v>0</v>
      </c>
      <c r="AK1002" s="4">
        <f>IFERROR(VLOOKUP(Calculations[[#This Row],[Material (choose from dropdown]],MaterialData[[#Headers],[#Data]],10,FALSE),0)</f>
        <v>0</v>
      </c>
      <c r="AL1002" s="322">
        <f>IFERROR(Calculations[[#This Row],[Data Quality Score]]*Calculations[[#This Row],[Total Kg]],0)</f>
        <v>0</v>
      </c>
    </row>
    <row r="1003" spans="1:38" x14ac:dyDescent="0.3">
      <c r="A1003" s="6">
        <f>IFERROR(MaterialsBoQ[[#This Row],[Scope Element]],0)</f>
        <v>0</v>
      </c>
      <c r="B1003" t="str">
        <f>IFERROR(MaterialsBoQ[[#This Row],[Material ]],"")</f>
        <v/>
      </c>
      <c r="C1003" t="str">
        <f>IFERROR(MaterialsBoQ[[#This Row],[Unit]],"")</f>
        <v/>
      </c>
      <c r="D1003" s="322">
        <f>IFERROR(MaterialsBoQ[[#This Row],[Number]],0)</f>
        <v>0</v>
      </c>
      <c r="E1003" s="322">
        <f>IFERROR(MaterialsBoQ[[#This Row],[Kg per unit]],0)</f>
        <v>0</v>
      </c>
      <c r="F1003" s="322">
        <f>IFERROR(Calculations[[#This Row],[Number]]*Calculations[[#This Row],[Conversion factor]],0)</f>
        <v>0</v>
      </c>
      <c r="G1003" s="322">
        <f>IFERROR(VLOOKUP(Calculations[[#This Row],[Material (choose from dropdown]],MaterialData[#All],7,FALSE),0)</f>
        <v>0</v>
      </c>
      <c r="H1003" s="322">
        <f>Calculations[[#This Row],[Total Kg]]*Calculations[[#This Row],[Carbon Factor]]</f>
        <v>0</v>
      </c>
      <c r="I1003" t="str">
        <f>IFERROR(VLOOKUP(Calculations[[#This Row],[Material (choose from dropdown]],MaterialData[#All],2,FALSE),"")</f>
        <v/>
      </c>
      <c r="J1003" s="322">
        <f>IFERROR(((VLOOKUP(Calculations[[#This Row],[TransportSource]],TransportDistance[],2,FALSE)*'Stage assumptions'!$C$11)+VLOOKUP(Calculations[[#This Row],[TransportSource]],TransportDistance[],3,FALSE)*'Stage assumptions'!$C$12)*Calculations[[#This Row],[Total Kg]],0)</f>
        <v>0</v>
      </c>
      <c r="K1003">
        <f>IFERROR(VLOOKUP(Calculations[[#This Row],[Material (choose from dropdown]], MaterialData[#All],3, FALSE),0)</f>
        <v>0</v>
      </c>
      <c r="L1003" s="322">
        <f>IFERROR(VLOOKUP(Calculations[[#This Row],[A5type]],A5WastageRate[#All],2,FALSE)*Calculations[[#This Row],[A1-3]],0)</f>
        <v>0</v>
      </c>
      <c r="N1003">
        <f>IFERROR(ROUNDUP(50/VLOOKUP(Calculations[[#This Row],[Scope Element]],B4referenceServiceLife[[Tier 2 element]:[Default Service Life]],2, FALSE)-1,0),0)</f>
        <v>0</v>
      </c>
      <c r="O1003" s="322">
        <f>IFERROR((Calculations[[#This Row],[A1-3]]+Calculations[[#This Row],[A4]]+Calculations[[#This Row],[A5]]+Calculations[[#This Row],[C2 total]]+Calculations[[#This Row],[C3 total]]+Calculations[[#This Row],[C4 total]])*Calculations[[#This Row],[Replacements]],0)</f>
        <v>0</v>
      </c>
      <c r="S1003" t="str">
        <f>IFERROR(VLOOKUP(Calculations[[#This Row],[Material (choose from dropdown]],MaterialData[#All],4,FALSE),"")</f>
        <v/>
      </c>
      <c r="T1003" s="322" cm="1">
        <f t="array" ref="T1003">IFERROR(VLOOKUP(Calculations[[#This Row],[Waste 1]],WasteScenario[#All],2,FALSE)*'Stage assumptions'!$C$225*WasteTransportMethod[Emissions Factor
kgCO2e/kg.km]*Calculations[[#This Row],[Total Kg]],0)</f>
        <v>0</v>
      </c>
      <c r="U1003" s="322" cm="1">
        <f t="array" ref="U1003">IFERROR(VLOOKUP(Calculations[[#This Row],[Waste 1]],WasteScenario[#All],3,FALSE)*'Stage assumptions'!$C$224*WasteTransportMethod[Emissions Factor
kgCO2e/kg.km]*Calculations[[#This Row],[Total Kg]],0)</f>
        <v>0</v>
      </c>
      <c r="V1003" s="322" cm="1">
        <f t="array" ref="V1003">IFERROR(VLOOKUP(Calculations[[#This Row],[Waste 1]],WasteScenario[#All],4,FALSE)*'Stage assumptions'!$C$223*WasteTransportMethod[Emissions Factor
kgCO2e/kg.km]*Calculations[[#This Row],[Total Kg]],0)</f>
        <v>0</v>
      </c>
      <c r="W1003" s="322" cm="1">
        <f t="array" ref="W1003">IFERROR(VLOOKUP(Calculations[[#This Row],[Waste 1]],WasteScenario[#All],5,FALSE)*'Stage assumptions'!$C$226*WasteTransportMethod[Emissions Factor
kgCO2e/kg.km]*Calculations[[#This Row],[Total Kg]],0)</f>
        <v>0</v>
      </c>
      <c r="X1003" s="322">
        <f>SUM(Calculations[[#This Row],[C2 Recycle]:[C2 Reuse]])</f>
        <v>0</v>
      </c>
      <c r="Y1003" t="str">
        <f>IFERROR(VLOOKUP(Calculations[[#This Row],[Material (choose from dropdown]],MaterialData[#All],5,FALSE),"")</f>
        <v/>
      </c>
      <c r="Z1003" s="322">
        <f>IFERROR(((VLOOKUP(Calculations[[#This Row],[Waste type 2]],WasteDisposalEmissions[#All],2,FALSE))*Calculations[[#This Row],[Total Kg]])*VLOOKUP(Calculations[[#This Row],[Waste 1]],WasteScenario[#All],2,FALSE),0)</f>
        <v>0</v>
      </c>
      <c r="AA1003" s="322">
        <f>IFERROR((VLOOKUP(Calculations[[#This Row],[Waste type 2]],WasteDisposalEmissions[#All],3,FALSE))*Calculations[[#This Row],[Total Kg]]*VLOOKUP(Calculations[[#This Row],[Waste 1]],WasteScenario[#All],3,FALSE),0)</f>
        <v>0</v>
      </c>
      <c r="AB1003" s="322">
        <f>SUM(Calculations[[#This Row],[C3 recyc]:[C3 incin]])</f>
        <v>0</v>
      </c>
      <c r="AC1003" s="334">
        <f>IFERROR((VLOOKUP(Calculations[[#This Row],[Waste type 2]],WasteLandfillEmissions[#All],2,FALSE))*Calculations[[#This Row],[Total Kg]]*VLOOKUP(Calculations[[#This Row],[Waste 1]],WasteScenario[#All],4,FALSE),0)</f>
        <v>0</v>
      </c>
      <c r="AD1003" s="322">
        <f>IFERROR((VLOOKUP(Calculations[[#This Row],[Waste type 2]],WasteLandfillEmissions[#All],3,FALSE))*Calculations[[#This Row],[Total Kg]]*VLOOKUP(Calculations[[#This Row],[Waste 1]],WasteScenario[#All],4,FALSE),0)</f>
        <v>0</v>
      </c>
      <c r="AE1003" s="322">
        <f>SUM(Calculations[[#This Row],[C4 landfill]:[C4 re-use]])</f>
        <v>0</v>
      </c>
      <c r="AF1003" s="322">
        <f>IFERROR(VLOOKUP(Calculations[[#This Row],[Material (choose from dropdown]],MaterialData[#All],8,FALSE),0)</f>
        <v>0</v>
      </c>
      <c r="AG1003" s="322">
        <f>IFERROR(Calculations[[#This Row],[Total Kg]]*Calculations[[#This Row],[Seq factor]],0)</f>
        <v>0</v>
      </c>
      <c r="AI1003" s="322">
        <f>Calculations[[#This Row],[A1-3]]+Calculations[[#This Row],[A4]]+Calculations[[#This Row],[A5]]+Calculations[[#This Row],[B4]]+Calculations[[#This Row],[C2 total]]+Calculations[[#This Row],[C3 total]]+Calculations[[#This Row],[C4 total]]</f>
        <v>0</v>
      </c>
      <c r="AJ1003" s="2">
        <f>IFERROR(VLOOKUP(Calculations[[#This Row],[Material (choose from dropdown]],MaterialData[[#Headers],[#Data]],9,FALSE),0)</f>
        <v>0</v>
      </c>
      <c r="AK1003" s="4">
        <f>IFERROR(VLOOKUP(Calculations[[#This Row],[Material (choose from dropdown]],MaterialData[[#Headers],[#Data]],10,FALSE),0)</f>
        <v>0</v>
      </c>
      <c r="AL1003" s="322">
        <f>IFERROR(Calculations[[#This Row],[Data Quality Score]]*Calculations[[#This Row],[Total Kg]],0)</f>
        <v>0</v>
      </c>
    </row>
    <row r="1004" spans="1:38" x14ac:dyDescent="0.3">
      <c r="A1004" s="6">
        <f>IFERROR(MaterialsBoQ[[#This Row],[Scope Element]],0)</f>
        <v>0</v>
      </c>
      <c r="B1004" t="str">
        <f>IFERROR(MaterialsBoQ[[#This Row],[Material ]],"")</f>
        <v/>
      </c>
      <c r="C1004" t="str">
        <f>IFERROR(MaterialsBoQ[[#This Row],[Unit]],"")</f>
        <v/>
      </c>
      <c r="D1004" s="322">
        <f>IFERROR(MaterialsBoQ[[#This Row],[Number]],0)</f>
        <v>0</v>
      </c>
      <c r="E1004" s="322">
        <f>IFERROR(MaterialsBoQ[[#This Row],[Kg per unit]],0)</f>
        <v>0</v>
      </c>
      <c r="F1004" s="322">
        <f>IFERROR(Calculations[[#This Row],[Number]]*Calculations[[#This Row],[Conversion factor]],0)</f>
        <v>0</v>
      </c>
      <c r="G1004" s="322">
        <f>IFERROR(VLOOKUP(Calculations[[#This Row],[Material (choose from dropdown]],MaterialData[#All],7,FALSE),0)</f>
        <v>0</v>
      </c>
      <c r="H1004" s="322">
        <f>Calculations[[#This Row],[Total Kg]]*Calculations[[#This Row],[Carbon Factor]]</f>
        <v>0</v>
      </c>
      <c r="I1004" t="str">
        <f>IFERROR(VLOOKUP(Calculations[[#This Row],[Material (choose from dropdown]],MaterialData[#All],2,FALSE),"")</f>
        <v/>
      </c>
      <c r="J1004" s="322">
        <f>IFERROR(((VLOOKUP(Calculations[[#This Row],[TransportSource]],TransportDistance[],2,FALSE)*'Stage assumptions'!$C$11)+VLOOKUP(Calculations[[#This Row],[TransportSource]],TransportDistance[],3,FALSE)*'Stage assumptions'!$C$12)*Calculations[[#This Row],[Total Kg]],0)</f>
        <v>0</v>
      </c>
      <c r="K1004">
        <f>IFERROR(VLOOKUP(Calculations[[#This Row],[Material (choose from dropdown]], MaterialData[#All],3, FALSE),0)</f>
        <v>0</v>
      </c>
      <c r="L1004" s="322">
        <f>IFERROR(VLOOKUP(Calculations[[#This Row],[A5type]],A5WastageRate[#All],2,FALSE)*Calculations[[#This Row],[A1-3]],0)</f>
        <v>0</v>
      </c>
      <c r="N1004">
        <f>IFERROR(ROUNDUP(50/VLOOKUP(Calculations[[#This Row],[Scope Element]],B4referenceServiceLife[[Tier 2 element]:[Default Service Life]],2, FALSE)-1,0),0)</f>
        <v>0</v>
      </c>
      <c r="O1004" s="322">
        <f>IFERROR((Calculations[[#This Row],[A1-3]]+Calculations[[#This Row],[A4]]+Calculations[[#This Row],[A5]]+Calculations[[#This Row],[C2 total]]+Calculations[[#This Row],[C3 total]]+Calculations[[#This Row],[C4 total]])*Calculations[[#This Row],[Replacements]],0)</f>
        <v>0</v>
      </c>
      <c r="S1004" t="str">
        <f>IFERROR(VLOOKUP(Calculations[[#This Row],[Material (choose from dropdown]],MaterialData[#All],4,FALSE),"")</f>
        <v/>
      </c>
      <c r="T1004" s="322" cm="1">
        <f t="array" ref="T1004">IFERROR(VLOOKUP(Calculations[[#This Row],[Waste 1]],WasteScenario[#All],2,FALSE)*'Stage assumptions'!$C$225*WasteTransportMethod[Emissions Factor
kgCO2e/kg.km]*Calculations[[#This Row],[Total Kg]],0)</f>
        <v>0</v>
      </c>
      <c r="U1004" s="322" cm="1">
        <f t="array" ref="U1004">IFERROR(VLOOKUP(Calculations[[#This Row],[Waste 1]],WasteScenario[#All],3,FALSE)*'Stage assumptions'!$C$224*WasteTransportMethod[Emissions Factor
kgCO2e/kg.km]*Calculations[[#This Row],[Total Kg]],0)</f>
        <v>0</v>
      </c>
      <c r="V1004" s="322" cm="1">
        <f t="array" ref="V1004">IFERROR(VLOOKUP(Calculations[[#This Row],[Waste 1]],WasteScenario[#All],4,FALSE)*'Stage assumptions'!$C$223*WasteTransportMethod[Emissions Factor
kgCO2e/kg.km]*Calculations[[#This Row],[Total Kg]],0)</f>
        <v>0</v>
      </c>
      <c r="W1004" s="322" cm="1">
        <f t="array" ref="W1004">IFERROR(VLOOKUP(Calculations[[#This Row],[Waste 1]],WasteScenario[#All],5,FALSE)*'Stage assumptions'!$C$226*WasteTransportMethod[Emissions Factor
kgCO2e/kg.km]*Calculations[[#This Row],[Total Kg]],0)</f>
        <v>0</v>
      </c>
      <c r="X1004" s="322">
        <f>SUM(Calculations[[#This Row],[C2 Recycle]:[C2 Reuse]])</f>
        <v>0</v>
      </c>
      <c r="Y1004" t="str">
        <f>IFERROR(VLOOKUP(Calculations[[#This Row],[Material (choose from dropdown]],MaterialData[#All],5,FALSE),"")</f>
        <v/>
      </c>
      <c r="Z1004" s="322">
        <f>IFERROR(((VLOOKUP(Calculations[[#This Row],[Waste type 2]],WasteDisposalEmissions[#All],2,FALSE))*Calculations[[#This Row],[Total Kg]])*VLOOKUP(Calculations[[#This Row],[Waste 1]],WasteScenario[#All],2,FALSE),0)</f>
        <v>0</v>
      </c>
      <c r="AA1004" s="322">
        <f>IFERROR((VLOOKUP(Calculations[[#This Row],[Waste type 2]],WasteDisposalEmissions[#All],3,FALSE))*Calculations[[#This Row],[Total Kg]]*VLOOKUP(Calculations[[#This Row],[Waste 1]],WasteScenario[#All],3,FALSE),0)</f>
        <v>0</v>
      </c>
      <c r="AB1004" s="322">
        <f>SUM(Calculations[[#This Row],[C3 recyc]:[C3 incin]])</f>
        <v>0</v>
      </c>
      <c r="AC1004" s="334">
        <f>IFERROR((VLOOKUP(Calculations[[#This Row],[Waste type 2]],WasteLandfillEmissions[#All],2,FALSE))*Calculations[[#This Row],[Total Kg]]*VLOOKUP(Calculations[[#This Row],[Waste 1]],WasteScenario[#All],4,FALSE),0)</f>
        <v>0</v>
      </c>
      <c r="AD1004" s="322">
        <f>IFERROR((VLOOKUP(Calculations[[#This Row],[Waste type 2]],WasteLandfillEmissions[#All],3,FALSE))*Calculations[[#This Row],[Total Kg]]*VLOOKUP(Calculations[[#This Row],[Waste 1]],WasteScenario[#All],4,FALSE),0)</f>
        <v>0</v>
      </c>
      <c r="AE1004" s="322">
        <f>SUM(Calculations[[#This Row],[C4 landfill]:[C4 re-use]])</f>
        <v>0</v>
      </c>
      <c r="AF1004" s="322">
        <f>IFERROR(VLOOKUP(Calculations[[#This Row],[Material (choose from dropdown]],MaterialData[#All],8,FALSE),0)</f>
        <v>0</v>
      </c>
      <c r="AG1004" s="322">
        <f>IFERROR(Calculations[[#This Row],[Total Kg]]*Calculations[[#This Row],[Seq factor]],0)</f>
        <v>0</v>
      </c>
      <c r="AI1004" s="322">
        <f>Calculations[[#This Row],[A1-3]]+Calculations[[#This Row],[A4]]+Calculations[[#This Row],[A5]]+Calculations[[#This Row],[B4]]+Calculations[[#This Row],[C2 total]]+Calculations[[#This Row],[C3 total]]+Calculations[[#This Row],[C4 total]]</f>
        <v>0</v>
      </c>
      <c r="AJ1004" s="2">
        <f>IFERROR(VLOOKUP(Calculations[[#This Row],[Material (choose from dropdown]],MaterialData[[#Headers],[#Data]],9,FALSE),0)</f>
        <v>0</v>
      </c>
      <c r="AK1004" s="4">
        <f>IFERROR(VLOOKUP(Calculations[[#This Row],[Material (choose from dropdown]],MaterialData[[#Headers],[#Data]],10,FALSE),0)</f>
        <v>0</v>
      </c>
      <c r="AL1004" s="322">
        <f>IFERROR(Calculations[[#This Row],[Data Quality Score]]*Calculations[[#This Row],[Total Kg]],0)</f>
        <v>0</v>
      </c>
    </row>
    <row r="1005" spans="1:38" x14ac:dyDescent="0.3">
      <c r="A1005" s="6">
        <f>IFERROR(MaterialsBoQ[[#This Row],[Scope Element]],0)</f>
        <v>0</v>
      </c>
      <c r="B1005" t="str">
        <f>IFERROR(MaterialsBoQ[[#This Row],[Material ]],"")</f>
        <v/>
      </c>
      <c r="C1005" t="str">
        <f>IFERROR(MaterialsBoQ[[#This Row],[Unit]],"")</f>
        <v/>
      </c>
      <c r="D1005" s="322">
        <f>IFERROR(MaterialsBoQ[[#This Row],[Number]],0)</f>
        <v>0</v>
      </c>
      <c r="E1005" s="322">
        <f>IFERROR(MaterialsBoQ[[#This Row],[Kg per unit]],0)</f>
        <v>0</v>
      </c>
      <c r="F1005" s="322">
        <f>IFERROR(Calculations[[#This Row],[Number]]*Calculations[[#This Row],[Conversion factor]],0)</f>
        <v>0</v>
      </c>
      <c r="G1005" s="322">
        <f>IFERROR(VLOOKUP(Calculations[[#This Row],[Material (choose from dropdown]],MaterialData[#All],7,FALSE),0)</f>
        <v>0</v>
      </c>
      <c r="H1005" s="322">
        <f>Calculations[[#This Row],[Total Kg]]*Calculations[[#This Row],[Carbon Factor]]</f>
        <v>0</v>
      </c>
      <c r="I1005" t="str">
        <f>IFERROR(VLOOKUP(Calculations[[#This Row],[Material (choose from dropdown]],MaterialData[#All],2,FALSE),"")</f>
        <v/>
      </c>
      <c r="J1005" s="322">
        <f>IFERROR(((VLOOKUP(Calculations[[#This Row],[TransportSource]],TransportDistance[],2,FALSE)*'Stage assumptions'!$C$11)+VLOOKUP(Calculations[[#This Row],[TransportSource]],TransportDistance[],3,FALSE)*'Stage assumptions'!$C$12)*Calculations[[#This Row],[Total Kg]],0)</f>
        <v>0</v>
      </c>
      <c r="K1005">
        <f>IFERROR(VLOOKUP(Calculations[[#This Row],[Material (choose from dropdown]], MaterialData[#All],3, FALSE),0)</f>
        <v>0</v>
      </c>
      <c r="L1005" s="322">
        <f>IFERROR(VLOOKUP(Calculations[[#This Row],[A5type]],A5WastageRate[#All],2,FALSE)*Calculations[[#This Row],[A1-3]],0)</f>
        <v>0</v>
      </c>
      <c r="N1005">
        <f>IFERROR(ROUNDUP(50/VLOOKUP(Calculations[[#This Row],[Scope Element]],B4referenceServiceLife[[Tier 2 element]:[Default Service Life]],2, FALSE)-1,0),0)</f>
        <v>0</v>
      </c>
      <c r="O1005" s="322">
        <f>IFERROR((Calculations[[#This Row],[A1-3]]+Calculations[[#This Row],[A4]]+Calculations[[#This Row],[A5]]+Calculations[[#This Row],[C2 total]]+Calculations[[#This Row],[C3 total]]+Calculations[[#This Row],[C4 total]])*Calculations[[#This Row],[Replacements]],0)</f>
        <v>0</v>
      </c>
      <c r="S1005" t="str">
        <f>IFERROR(VLOOKUP(Calculations[[#This Row],[Material (choose from dropdown]],MaterialData[#All],4,FALSE),"")</f>
        <v/>
      </c>
      <c r="T1005" s="322" cm="1">
        <f t="array" ref="T1005">IFERROR(VLOOKUP(Calculations[[#This Row],[Waste 1]],WasteScenario[#All],2,FALSE)*'Stage assumptions'!$C$225*WasteTransportMethod[Emissions Factor
kgCO2e/kg.km]*Calculations[[#This Row],[Total Kg]],0)</f>
        <v>0</v>
      </c>
      <c r="U1005" s="322" cm="1">
        <f t="array" ref="U1005">IFERROR(VLOOKUP(Calculations[[#This Row],[Waste 1]],WasteScenario[#All],3,FALSE)*'Stage assumptions'!$C$224*WasteTransportMethod[Emissions Factor
kgCO2e/kg.km]*Calculations[[#This Row],[Total Kg]],0)</f>
        <v>0</v>
      </c>
      <c r="V1005" s="322" cm="1">
        <f t="array" ref="V1005">IFERROR(VLOOKUP(Calculations[[#This Row],[Waste 1]],WasteScenario[#All],4,FALSE)*'Stage assumptions'!$C$223*WasteTransportMethod[Emissions Factor
kgCO2e/kg.km]*Calculations[[#This Row],[Total Kg]],0)</f>
        <v>0</v>
      </c>
      <c r="W1005" s="322" cm="1">
        <f t="array" ref="W1005">IFERROR(VLOOKUP(Calculations[[#This Row],[Waste 1]],WasteScenario[#All],5,FALSE)*'Stage assumptions'!$C$226*WasteTransportMethod[Emissions Factor
kgCO2e/kg.km]*Calculations[[#This Row],[Total Kg]],0)</f>
        <v>0</v>
      </c>
      <c r="X1005" s="322">
        <f>SUM(Calculations[[#This Row],[C2 Recycle]:[C2 Reuse]])</f>
        <v>0</v>
      </c>
      <c r="Y1005" t="str">
        <f>IFERROR(VLOOKUP(Calculations[[#This Row],[Material (choose from dropdown]],MaterialData[#All],5,FALSE),"")</f>
        <v/>
      </c>
      <c r="Z1005" s="322">
        <f>IFERROR(((VLOOKUP(Calculations[[#This Row],[Waste type 2]],WasteDisposalEmissions[#All],2,FALSE))*Calculations[[#This Row],[Total Kg]])*VLOOKUP(Calculations[[#This Row],[Waste 1]],WasteScenario[#All],2,FALSE),0)</f>
        <v>0</v>
      </c>
      <c r="AA1005" s="322">
        <f>IFERROR((VLOOKUP(Calculations[[#This Row],[Waste type 2]],WasteDisposalEmissions[#All],3,FALSE))*Calculations[[#This Row],[Total Kg]]*VLOOKUP(Calculations[[#This Row],[Waste 1]],WasteScenario[#All],3,FALSE),0)</f>
        <v>0</v>
      </c>
      <c r="AB1005" s="322">
        <f>SUM(Calculations[[#This Row],[C3 recyc]:[C3 incin]])</f>
        <v>0</v>
      </c>
      <c r="AC1005" s="334">
        <f>IFERROR((VLOOKUP(Calculations[[#This Row],[Waste type 2]],WasteLandfillEmissions[#All],2,FALSE))*Calculations[[#This Row],[Total Kg]]*VLOOKUP(Calculations[[#This Row],[Waste 1]],WasteScenario[#All],4,FALSE),0)</f>
        <v>0</v>
      </c>
      <c r="AD1005" s="322">
        <f>IFERROR((VLOOKUP(Calculations[[#This Row],[Waste type 2]],WasteLandfillEmissions[#All],3,FALSE))*Calculations[[#This Row],[Total Kg]]*VLOOKUP(Calculations[[#This Row],[Waste 1]],WasteScenario[#All],4,FALSE),0)</f>
        <v>0</v>
      </c>
      <c r="AE1005" s="322">
        <f>SUM(Calculations[[#This Row],[C4 landfill]:[C4 re-use]])</f>
        <v>0</v>
      </c>
      <c r="AF1005" s="322">
        <f>IFERROR(VLOOKUP(Calculations[[#This Row],[Material (choose from dropdown]],MaterialData[#All],8,FALSE),0)</f>
        <v>0</v>
      </c>
      <c r="AG1005" s="322">
        <f>IFERROR(Calculations[[#This Row],[Total Kg]]*Calculations[[#This Row],[Seq factor]],0)</f>
        <v>0</v>
      </c>
      <c r="AI1005" s="322">
        <f>Calculations[[#This Row],[A1-3]]+Calculations[[#This Row],[A4]]+Calculations[[#This Row],[A5]]+Calculations[[#This Row],[B4]]+Calculations[[#This Row],[C2 total]]+Calculations[[#This Row],[C3 total]]+Calculations[[#This Row],[C4 total]]</f>
        <v>0</v>
      </c>
      <c r="AJ1005" s="2">
        <f>IFERROR(VLOOKUP(Calculations[[#This Row],[Material (choose from dropdown]],MaterialData[[#Headers],[#Data]],9,FALSE),0)</f>
        <v>0</v>
      </c>
      <c r="AK1005" s="4">
        <f>IFERROR(VLOOKUP(Calculations[[#This Row],[Material (choose from dropdown]],MaterialData[[#Headers],[#Data]],10,FALSE),0)</f>
        <v>0</v>
      </c>
      <c r="AL1005" s="322">
        <f>IFERROR(Calculations[[#This Row],[Data Quality Score]]*Calculations[[#This Row],[Total Kg]],0)</f>
        <v>0</v>
      </c>
    </row>
    <row r="1006" spans="1:38" x14ac:dyDescent="0.3">
      <c r="A1006" s="6">
        <f>IFERROR(MaterialsBoQ[[#This Row],[Scope Element]],0)</f>
        <v>0</v>
      </c>
      <c r="B1006" t="str">
        <f>IFERROR(MaterialsBoQ[[#This Row],[Material ]],"")</f>
        <v/>
      </c>
      <c r="C1006" t="str">
        <f>IFERROR(MaterialsBoQ[[#This Row],[Unit]],"")</f>
        <v/>
      </c>
      <c r="D1006" s="322">
        <f>IFERROR(MaterialsBoQ[[#This Row],[Number]],0)</f>
        <v>0</v>
      </c>
      <c r="E1006" s="322">
        <f>IFERROR(MaterialsBoQ[[#This Row],[Kg per unit]],0)</f>
        <v>0</v>
      </c>
      <c r="F1006" s="322">
        <f>IFERROR(Calculations[[#This Row],[Number]]*Calculations[[#This Row],[Conversion factor]],0)</f>
        <v>0</v>
      </c>
      <c r="G1006" s="322">
        <f>IFERROR(VLOOKUP(Calculations[[#This Row],[Material (choose from dropdown]],MaterialData[#All],7,FALSE),0)</f>
        <v>0</v>
      </c>
      <c r="H1006" s="322">
        <f>Calculations[[#This Row],[Total Kg]]*Calculations[[#This Row],[Carbon Factor]]</f>
        <v>0</v>
      </c>
      <c r="I1006" t="str">
        <f>IFERROR(VLOOKUP(Calculations[[#This Row],[Material (choose from dropdown]],MaterialData[#All],2,FALSE),"")</f>
        <v/>
      </c>
      <c r="J1006" s="322">
        <f>IFERROR(((VLOOKUP(Calculations[[#This Row],[TransportSource]],TransportDistance[],2,FALSE)*'Stage assumptions'!$C$11)+VLOOKUP(Calculations[[#This Row],[TransportSource]],TransportDistance[],3,FALSE)*'Stage assumptions'!$C$12)*Calculations[[#This Row],[Total Kg]],0)</f>
        <v>0</v>
      </c>
      <c r="K1006">
        <f>IFERROR(VLOOKUP(Calculations[[#This Row],[Material (choose from dropdown]], MaterialData[#All],3, FALSE),0)</f>
        <v>0</v>
      </c>
      <c r="L1006" s="322">
        <f>IFERROR(VLOOKUP(Calculations[[#This Row],[A5type]],A5WastageRate[#All],2,FALSE)*Calculations[[#This Row],[A1-3]],0)</f>
        <v>0</v>
      </c>
      <c r="N1006">
        <f>IFERROR(ROUNDUP(50/VLOOKUP(Calculations[[#This Row],[Scope Element]],B4referenceServiceLife[[Tier 2 element]:[Default Service Life]],2, FALSE)-1,0),0)</f>
        <v>0</v>
      </c>
      <c r="O1006" s="322">
        <f>IFERROR((Calculations[[#This Row],[A1-3]]+Calculations[[#This Row],[A4]]+Calculations[[#This Row],[A5]]+Calculations[[#This Row],[C2 total]]+Calculations[[#This Row],[C3 total]]+Calculations[[#This Row],[C4 total]])*Calculations[[#This Row],[Replacements]],0)</f>
        <v>0</v>
      </c>
      <c r="S1006" t="str">
        <f>IFERROR(VLOOKUP(Calculations[[#This Row],[Material (choose from dropdown]],MaterialData[#All],4,FALSE),"")</f>
        <v/>
      </c>
      <c r="T1006" s="322" cm="1">
        <f t="array" ref="T1006">IFERROR(VLOOKUP(Calculations[[#This Row],[Waste 1]],WasteScenario[#All],2,FALSE)*'Stage assumptions'!$C$225*WasteTransportMethod[Emissions Factor
kgCO2e/kg.km]*Calculations[[#This Row],[Total Kg]],0)</f>
        <v>0</v>
      </c>
      <c r="U1006" s="322" cm="1">
        <f t="array" ref="U1006">IFERROR(VLOOKUP(Calculations[[#This Row],[Waste 1]],WasteScenario[#All],3,FALSE)*'Stage assumptions'!$C$224*WasteTransportMethod[Emissions Factor
kgCO2e/kg.km]*Calculations[[#This Row],[Total Kg]],0)</f>
        <v>0</v>
      </c>
      <c r="V1006" s="322" cm="1">
        <f t="array" ref="V1006">IFERROR(VLOOKUP(Calculations[[#This Row],[Waste 1]],WasteScenario[#All],4,FALSE)*'Stage assumptions'!$C$223*WasteTransportMethod[Emissions Factor
kgCO2e/kg.km]*Calculations[[#This Row],[Total Kg]],0)</f>
        <v>0</v>
      </c>
      <c r="W1006" s="322" cm="1">
        <f t="array" ref="W1006">IFERROR(VLOOKUP(Calculations[[#This Row],[Waste 1]],WasteScenario[#All],5,FALSE)*'Stage assumptions'!$C$226*WasteTransportMethod[Emissions Factor
kgCO2e/kg.km]*Calculations[[#This Row],[Total Kg]],0)</f>
        <v>0</v>
      </c>
      <c r="X1006" s="322">
        <f>SUM(Calculations[[#This Row],[C2 Recycle]:[C2 Reuse]])</f>
        <v>0</v>
      </c>
      <c r="Y1006" t="str">
        <f>IFERROR(VLOOKUP(Calculations[[#This Row],[Material (choose from dropdown]],MaterialData[#All],5,FALSE),"")</f>
        <v/>
      </c>
      <c r="Z1006" s="322">
        <f>IFERROR(((VLOOKUP(Calculations[[#This Row],[Waste type 2]],WasteDisposalEmissions[#All],2,FALSE))*Calculations[[#This Row],[Total Kg]])*VLOOKUP(Calculations[[#This Row],[Waste 1]],WasteScenario[#All],2,FALSE),0)</f>
        <v>0</v>
      </c>
      <c r="AA1006" s="322">
        <f>IFERROR((VLOOKUP(Calculations[[#This Row],[Waste type 2]],WasteDisposalEmissions[#All],3,FALSE))*Calculations[[#This Row],[Total Kg]]*VLOOKUP(Calculations[[#This Row],[Waste 1]],WasteScenario[#All],3,FALSE),0)</f>
        <v>0</v>
      </c>
      <c r="AB1006" s="322">
        <f>SUM(Calculations[[#This Row],[C3 recyc]:[C3 incin]])</f>
        <v>0</v>
      </c>
      <c r="AC1006" s="334">
        <f>IFERROR((VLOOKUP(Calculations[[#This Row],[Waste type 2]],WasteLandfillEmissions[#All],2,FALSE))*Calculations[[#This Row],[Total Kg]]*VLOOKUP(Calculations[[#This Row],[Waste 1]],WasteScenario[#All],4,FALSE),0)</f>
        <v>0</v>
      </c>
      <c r="AD1006" s="322">
        <f>IFERROR((VLOOKUP(Calculations[[#This Row],[Waste type 2]],WasteLandfillEmissions[#All],3,FALSE))*Calculations[[#This Row],[Total Kg]]*VLOOKUP(Calculations[[#This Row],[Waste 1]],WasteScenario[#All],4,FALSE),0)</f>
        <v>0</v>
      </c>
      <c r="AE1006" s="322">
        <f>SUM(Calculations[[#This Row],[C4 landfill]:[C4 re-use]])</f>
        <v>0</v>
      </c>
      <c r="AF1006" s="322">
        <f>IFERROR(VLOOKUP(Calculations[[#This Row],[Material (choose from dropdown]],MaterialData[#All],8,FALSE),0)</f>
        <v>0</v>
      </c>
      <c r="AG1006" s="322">
        <f>IFERROR(Calculations[[#This Row],[Total Kg]]*Calculations[[#This Row],[Seq factor]],0)</f>
        <v>0</v>
      </c>
      <c r="AI1006" s="322">
        <f>Calculations[[#This Row],[A1-3]]+Calculations[[#This Row],[A4]]+Calculations[[#This Row],[A5]]+Calculations[[#This Row],[B4]]+Calculations[[#This Row],[C2 total]]+Calculations[[#This Row],[C3 total]]+Calculations[[#This Row],[C4 total]]</f>
        <v>0</v>
      </c>
      <c r="AJ1006" s="2">
        <f>IFERROR(VLOOKUP(Calculations[[#This Row],[Material (choose from dropdown]],MaterialData[[#Headers],[#Data]],9,FALSE),0)</f>
        <v>0</v>
      </c>
      <c r="AK1006" s="4">
        <f>IFERROR(VLOOKUP(Calculations[[#This Row],[Material (choose from dropdown]],MaterialData[[#Headers],[#Data]],10,FALSE),0)</f>
        <v>0</v>
      </c>
      <c r="AL1006" s="322">
        <f>IFERROR(Calculations[[#This Row],[Data Quality Score]]*Calculations[[#This Row],[Total Kg]],0)</f>
        <v>0</v>
      </c>
    </row>
    <row r="1007" spans="1:38" x14ac:dyDescent="0.3">
      <c r="A1007" s="6">
        <f>IFERROR(MaterialsBoQ[[#This Row],[Scope Element]],0)</f>
        <v>0</v>
      </c>
      <c r="B1007" t="str">
        <f>IFERROR(MaterialsBoQ[[#This Row],[Material ]],"")</f>
        <v/>
      </c>
      <c r="C1007" t="str">
        <f>IFERROR(MaterialsBoQ[[#This Row],[Unit]],"")</f>
        <v/>
      </c>
      <c r="D1007" s="322">
        <f>IFERROR(MaterialsBoQ[[#This Row],[Number]],0)</f>
        <v>0</v>
      </c>
      <c r="E1007" s="322">
        <f>IFERROR(MaterialsBoQ[[#This Row],[Kg per unit]],0)</f>
        <v>0</v>
      </c>
      <c r="F1007" s="322">
        <f>IFERROR(Calculations[[#This Row],[Number]]*Calculations[[#This Row],[Conversion factor]],0)</f>
        <v>0</v>
      </c>
      <c r="G1007" s="322">
        <f>IFERROR(VLOOKUP(Calculations[[#This Row],[Material (choose from dropdown]],MaterialData[#All],7,FALSE),0)</f>
        <v>0</v>
      </c>
      <c r="H1007" s="322">
        <f>Calculations[[#This Row],[Total Kg]]*Calculations[[#This Row],[Carbon Factor]]</f>
        <v>0</v>
      </c>
      <c r="I1007" t="str">
        <f>IFERROR(VLOOKUP(Calculations[[#This Row],[Material (choose from dropdown]],MaterialData[#All],2,FALSE),"")</f>
        <v/>
      </c>
      <c r="J1007" s="322">
        <f>IFERROR(((VLOOKUP(Calculations[[#This Row],[TransportSource]],TransportDistance[],2,FALSE)*'Stage assumptions'!$C$11)+VLOOKUP(Calculations[[#This Row],[TransportSource]],TransportDistance[],3,FALSE)*'Stage assumptions'!$C$12)*Calculations[[#This Row],[Total Kg]],0)</f>
        <v>0</v>
      </c>
      <c r="K1007">
        <f>IFERROR(VLOOKUP(Calculations[[#This Row],[Material (choose from dropdown]], MaterialData[#All],3, FALSE),0)</f>
        <v>0</v>
      </c>
      <c r="L1007" s="322">
        <f>IFERROR(VLOOKUP(Calculations[[#This Row],[A5type]],A5WastageRate[#All],2,FALSE)*Calculations[[#This Row],[A1-3]],0)</f>
        <v>0</v>
      </c>
      <c r="N1007">
        <f>IFERROR(ROUNDUP(50/VLOOKUP(Calculations[[#This Row],[Scope Element]],B4referenceServiceLife[[Tier 2 element]:[Default Service Life]],2, FALSE)-1,0),0)</f>
        <v>0</v>
      </c>
      <c r="O1007" s="322">
        <f>IFERROR((Calculations[[#This Row],[A1-3]]+Calculations[[#This Row],[A4]]+Calculations[[#This Row],[A5]]+Calculations[[#This Row],[C2 total]]+Calculations[[#This Row],[C3 total]]+Calculations[[#This Row],[C4 total]])*Calculations[[#This Row],[Replacements]],0)</f>
        <v>0</v>
      </c>
      <c r="S1007" t="str">
        <f>IFERROR(VLOOKUP(Calculations[[#This Row],[Material (choose from dropdown]],MaterialData[#All],4,FALSE),"")</f>
        <v/>
      </c>
      <c r="T1007" s="322" cm="1">
        <f t="array" ref="T1007">IFERROR(VLOOKUP(Calculations[[#This Row],[Waste 1]],WasteScenario[#All],2,FALSE)*'Stage assumptions'!$C$225*WasteTransportMethod[Emissions Factor
kgCO2e/kg.km]*Calculations[[#This Row],[Total Kg]],0)</f>
        <v>0</v>
      </c>
      <c r="U1007" s="322" cm="1">
        <f t="array" ref="U1007">IFERROR(VLOOKUP(Calculations[[#This Row],[Waste 1]],WasteScenario[#All],3,FALSE)*'Stage assumptions'!$C$224*WasteTransportMethod[Emissions Factor
kgCO2e/kg.km]*Calculations[[#This Row],[Total Kg]],0)</f>
        <v>0</v>
      </c>
      <c r="V1007" s="322" cm="1">
        <f t="array" ref="V1007">IFERROR(VLOOKUP(Calculations[[#This Row],[Waste 1]],WasteScenario[#All],4,FALSE)*'Stage assumptions'!$C$223*WasteTransportMethod[Emissions Factor
kgCO2e/kg.km]*Calculations[[#This Row],[Total Kg]],0)</f>
        <v>0</v>
      </c>
      <c r="W1007" s="322" cm="1">
        <f t="array" ref="W1007">IFERROR(VLOOKUP(Calculations[[#This Row],[Waste 1]],WasteScenario[#All],5,FALSE)*'Stage assumptions'!$C$226*WasteTransportMethod[Emissions Factor
kgCO2e/kg.km]*Calculations[[#This Row],[Total Kg]],0)</f>
        <v>0</v>
      </c>
      <c r="X1007" s="322">
        <f>SUM(Calculations[[#This Row],[C2 Recycle]:[C2 Reuse]])</f>
        <v>0</v>
      </c>
      <c r="Y1007" t="str">
        <f>IFERROR(VLOOKUP(Calculations[[#This Row],[Material (choose from dropdown]],MaterialData[#All],5,FALSE),"")</f>
        <v/>
      </c>
      <c r="Z1007" s="322">
        <f>IFERROR(((VLOOKUP(Calculations[[#This Row],[Waste type 2]],WasteDisposalEmissions[#All],2,FALSE))*Calculations[[#This Row],[Total Kg]])*VLOOKUP(Calculations[[#This Row],[Waste 1]],WasteScenario[#All],2,FALSE),0)</f>
        <v>0</v>
      </c>
      <c r="AA1007" s="322">
        <f>IFERROR((VLOOKUP(Calculations[[#This Row],[Waste type 2]],WasteDisposalEmissions[#All],3,FALSE))*Calculations[[#This Row],[Total Kg]]*VLOOKUP(Calculations[[#This Row],[Waste 1]],WasteScenario[#All],3,FALSE),0)</f>
        <v>0</v>
      </c>
      <c r="AB1007" s="322">
        <f>SUM(Calculations[[#This Row],[C3 recyc]:[C3 incin]])</f>
        <v>0</v>
      </c>
      <c r="AC1007" s="334">
        <f>IFERROR((VLOOKUP(Calculations[[#This Row],[Waste type 2]],WasteLandfillEmissions[#All],2,FALSE))*Calculations[[#This Row],[Total Kg]]*VLOOKUP(Calculations[[#This Row],[Waste 1]],WasteScenario[#All],4,FALSE),0)</f>
        <v>0</v>
      </c>
      <c r="AD1007" s="322">
        <f>IFERROR((VLOOKUP(Calculations[[#This Row],[Waste type 2]],WasteLandfillEmissions[#All],3,FALSE))*Calculations[[#This Row],[Total Kg]]*VLOOKUP(Calculations[[#This Row],[Waste 1]],WasteScenario[#All],4,FALSE),0)</f>
        <v>0</v>
      </c>
      <c r="AE1007" s="322">
        <f>SUM(Calculations[[#This Row],[C4 landfill]:[C4 re-use]])</f>
        <v>0</v>
      </c>
      <c r="AF1007" s="322">
        <f>IFERROR(VLOOKUP(Calculations[[#This Row],[Material (choose from dropdown]],MaterialData[#All],8,FALSE),0)</f>
        <v>0</v>
      </c>
      <c r="AG1007" s="322">
        <f>IFERROR(Calculations[[#This Row],[Total Kg]]*Calculations[[#This Row],[Seq factor]],0)</f>
        <v>0</v>
      </c>
      <c r="AI1007" s="322">
        <f>Calculations[[#This Row],[A1-3]]+Calculations[[#This Row],[A4]]+Calculations[[#This Row],[A5]]+Calculations[[#This Row],[B4]]+Calculations[[#This Row],[C2 total]]+Calculations[[#This Row],[C3 total]]+Calculations[[#This Row],[C4 total]]</f>
        <v>0</v>
      </c>
      <c r="AJ1007" s="2">
        <f>IFERROR(VLOOKUP(Calculations[[#This Row],[Material (choose from dropdown]],MaterialData[[#Headers],[#Data]],9,FALSE),0)</f>
        <v>0</v>
      </c>
      <c r="AK1007" s="4">
        <f>IFERROR(VLOOKUP(Calculations[[#This Row],[Material (choose from dropdown]],MaterialData[[#Headers],[#Data]],10,FALSE),0)</f>
        <v>0</v>
      </c>
      <c r="AL1007" s="322">
        <f>IFERROR(Calculations[[#This Row],[Data Quality Score]]*Calculations[[#This Row],[Total Kg]],0)</f>
        <v>0</v>
      </c>
    </row>
    <row r="1008" spans="1:38" x14ac:dyDescent="0.3">
      <c r="A1008" s="6">
        <f>IFERROR(MaterialsBoQ[[#This Row],[Scope Element]],0)</f>
        <v>0</v>
      </c>
      <c r="B1008" t="str">
        <f>IFERROR(MaterialsBoQ[[#This Row],[Material ]],"")</f>
        <v/>
      </c>
      <c r="C1008" t="str">
        <f>IFERROR(MaterialsBoQ[[#This Row],[Unit]],"")</f>
        <v/>
      </c>
      <c r="D1008" s="322">
        <f>IFERROR(MaterialsBoQ[[#This Row],[Number]],0)</f>
        <v>0</v>
      </c>
      <c r="E1008" s="322">
        <f>IFERROR(MaterialsBoQ[[#This Row],[Kg per unit]],0)</f>
        <v>0</v>
      </c>
      <c r="F1008" s="322">
        <f>IFERROR(Calculations[[#This Row],[Number]]*Calculations[[#This Row],[Conversion factor]],0)</f>
        <v>0</v>
      </c>
      <c r="G1008" s="322">
        <f>IFERROR(VLOOKUP(Calculations[[#This Row],[Material (choose from dropdown]],MaterialData[#All],7,FALSE),0)</f>
        <v>0</v>
      </c>
      <c r="H1008" s="322">
        <f>Calculations[[#This Row],[Total Kg]]*Calculations[[#This Row],[Carbon Factor]]</f>
        <v>0</v>
      </c>
      <c r="I1008" t="str">
        <f>IFERROR(VLOOKUP(Calculations[[#This Row],[Material (choose from dropdown]],MaterialData[#All],2,FALSE),"")</f>
        <v/>
      </c>
      <c r="J1008" s="322">
        <f>IFERROR(((VLOOKUP(Calculations[[#This Row],[TransportSource]],TransportDistance[],2,FALSE)*'Stage assumptions'!$C$11)+VLOOKUP(Calculations[[#This Row],[TransportSource]],TransportDistance[],3,FALSE)*'Stage assumptions'!$C$12)*Calculations[[#This Row],[Total Kg]],0)</f>
        <v>0</v>
      </c>
      <c r="K1008">
        <f>IFERROR(VLOOKUP(Calculations[[#This Row],[Material (choose from dropdown]], MaterialData[#All],3, FALSE),0)</f>
        <v>0</v>
      </c>
      <c r="L1008" s="322">
        <f>IFERROR(VLOOKUP(Calculations[[#This Row],[A5type]],A5WastageRate[#All],2,FALSE)*Calculations[[#This Row],[A1-3]],0)</f>
        <v>0</v>
      </c>
      <c r="N1008">
        <f>IFERROR(ROUNDUP(50/VLOOKUP(Calculations[[#This Row],[Scope Element]],B4referenceServiceLife[[Tier 2 element]:[Default Service Life]],2, FALSE)-1,0),0)</f>
        <v>0</v>
      </c>
      <c r="O1008" s="322">
        <f>IFERROR((Calculations[[#This Row],[A1-3]]+Calculations[[#This Row],[A4]]+Calculations[[#This Row],[A5]]+Calculations[[#This Row],[C2 total]]+Calculations[[#This Row],[C3 total]]+Calculations[[#This Row],[C4 total]])*Calculations[[#This Row],[Replacements]],0)</f>
        <v>0</v>
      </c>
      <c r="S1008" t="str">
        <f>IFERROR(VLOOKUP(Calculations[[#This Row],[Material (choose from dropdown]],MaterialData[#All],4,FALSE),"")</f>
        <v/>
      </c>
      <c r="T1008" s="322" cm="1">
        <f t="array" ref="T1008">IFERROR(VLOOKUP(Calculations[[#This Row],[Waste 1]],WasteScenario[#All],2,FALSE)*'Stage assumptions'!$C$225*WasteTransportMethod[Emissions Factor
kgCO2e/kg.km]*Calculations[[#This Row],[Total Kg]],0)</f>
        <v>0</v>
      </c>
      <c r="U1008" s="322" cm="1">
        <f t="array" ref="U1008">IFERROR(VLOOKUP(Calculations[[#This Row],[Waste 1]],WasteScenario[#All],3,FALSE)*'Stage assumptions'!$C$224*WasteTransportMethod[Emissions Factor
kgCO2e/kg.km]*Calculations[[#This Row],[Total Kg]],0)</f>
        <v>0</v>
      </c>
      <c r="V1008" s="322" cm="1">
        <f t="array" ref="V1008">IFERROR(VLOOKUP(Calculations[[#This Row],[Waste 1]],WasteScenario[#All],4,FALSE)*'Stage assumptions'!$C$223*WasteTransportMethod[Emissions Factor
kgCO2e/kg.km]*Calculations[[#This Row],[Total Kg]],0)</f>
        <v>0</v>
      </c>
      <c r="W1008" s="322" cm="1">
        <f t="array" ref="W1008">IFERROR(VLOOKUP(Calculations[[#This Row],[Waste 1]],WasteScenario[#All],5,FALSE)*'Stage assumptions'!$C$226*WasteTransportMethod[Emissions Factor
kgCO2e/kg.km]*Calculations[[#This Row],[Total Kg]],0)</f>
        <v>0</v>
      </c>
      <c r="X1008" s="322">
        <f>SUM(Calculations[[#This Row],[C2 Recycle]:[C2 Reuse]])</f>
        <v>0</v>
      </c>
      <c r="Y1008" t="str">
        <f>IFERROR(VLOOKUP(Calculations[[#This Row],[Material (choose from dropdown]],MaterialData[#All],5,FALSE),"")</f>
        <v/>
      </c>
      <c r="Z1008" s="322">
        <f>IFERROR(((VLOOKUP(Calculations[[#This Row],[Waste type 2]],WasteDisposalEmissions[#All],2,FALSE))*Calculations[[#This Row],[Total Kg]])*VLOOKUP(Calculations[[#This Row],[Waste 1]],WasteScenario[#All],2,FALSE),0)</f>
        <v>0</v>
      </c>
      <c r="AA1008" s="322">
        <f>IFERROR((VLOOKUP(Calculations[[#This Row],[Waste type 2]],WasteDisposalEmissions[#All],3,FALSE))*Calculations[[#This Row],[Total Kg]]*VLOOKUP(Calculations[[#This Row],[Waste 1]],WasteScenario[#All],3,FALSE),0)</f>
        <v>0</v>
      </c>
      <c r="AB1008" s="322">
        <f>SUM(Calculations[[#This Row],[C3 recyc]:[C3 incin]])</f>
        <v>0</v>
      </c>
      <c r="AC1008" s="334">
        <f>IFERROR((VLOOKUP(Calculations[[#This Row],[Waste type 2]],WasteLandfillEmissions[#All],2,FALSE))*Calculations[[#This Row],[Total Kg]]*VLOOKUP(Calculations[[#This Row],[Waste 1]],WasteScenario[#All],4,FALSE),0)</f>
        <v>0</v>
      </c>
      <c r="AD1008" s="322">
        <f>IFERROR((VLOOKUP(Calculations[[#This Row],[Waste type 2]],WasteLandfillEmissions[#All],3,FALSE))*Calculations[[#This Row],[Total Kg]]*VLOOKUP(Calculations[[#This Row],[Waste 1]],WasteScenario[#All],4,FALSE),0)</f>
        <v>0</v>
      </c>
      <c r="AE1008" s="322">
        <f>SUM(Calculations[[#This Row],[C4 landfill]:[C4 re-use]])</f>
        <v>0</v>
      </c>
      <c r="AF1008" s="322">
        <f>IFERROR(VLOOKUP(Calculations[[#This Row],[Material (choose from dropdown]],MaterialData[#All],8,FALSE),0)</f>
        <v>0</v>
      </c>
      <c r="AG1008" s="322">
        <f>IFERROR(Calculations[[#This Row],[Total Kg]]*Calculations[[#This Row],[Seq factor]],0)</f>
        <v>0</v>
      </c>
      <c r="AI1008" s="322">
        <f>Calculations[[#This Row],[A1-3]]+Calculations[[#This Row],[A4]]+Calculations[[#This Row],[A5]]+Calculations[[#This Row],[B4]]+Calculations[[#This Row],[C2 total]]+Calculations[[#This Row],[C3 total]]+Calculations[[#This Row],[C4 total]]</f>
        <v>0</v>
      </c>
      <c r="AJ1008" s="2">
        <f>IFERROR(VLOOKUP(Calculations[[#This Row],[Material (choose from dropdown]],MaterialData[[#Headers],[#Data]],9,FALSE),0)</f>
        <v>0</v>
      </c>
      <c r="AK1008" s="4">
        <f>IFERROR(VLOOKUP(Calculations[[#This Row],[Material (choose from dropdown]],MaterialData[[#Headers],[#Data]],10,FALSE),0)</f>
        <v>0</v>
      </c>
      <c r="AL1008" s="322">
        <f>IFERROR(Calculations[[#This Row],[Data Quality Score]]*Calculations[[#This Row],[Total Kg]],0)</f>
        <v>0</v>
      </c>
    </row>
    <row r="1009" spans="1:38" x14ac:dyDescent="0.3">
      <c r="A1009" s="6">
        <f>IFERROR(MaterialsBoQ[[#This Row],[Scope Element]],0)</f>
        <v>0</v>
      </c>
      <c r="B1009" t="str">
        <f>IFERROR(MaterialsBoQ[[#This Row],[Material ]],"")</f>
        <v/>
      </c>
      <c r="C1009" t="str">
        <f>IFERROR(MaterialsBoQ[[#This Row],[Unit]],"")</f>
        <v/>
      </c>
      <c r="D1009" s="322">
        <f>IFERROR(MaterialsBoQ[[#This Row],[Number]],0)</f>
        <v>0</v>
      </c>
      <c r="E1009" s="322">
        <f>IFERROR(MaterialsBoQ[[#This Row],[Kg per unit]],0)</f>
        <v>0</v>
      </c>
      <c r="F1009" s="322">
        <f>IFERROR(Calculations[[#This Row],[Number]]*Calculations[[#This Row],[Conversion factor]],0)</f>
        <v>0</v>
      </c>
      <c r="G1009" s="322">
        <f>IFERROR(VLOOKUP(Calculations[[#This Row],[Material (choose from dropdown]],MaterialData[#All],7,FALSE),0)</f>
        <v>0</v>
      </c>
      <c r="H1009" s="322">
        <f>Calculations[[#This Row],[Total Kg]]*Calculations[[#This Row],[Carbon Factor]]</f>
        <v>0</v>
      </c>
      <c r="I1009" t="str">
        <f>IFERROR(VLOOKUP(Calculations[[#This Row],[Material (choose from dropdown]],MaterialData[#All],2,FALSE),"")</f>
        <v/>
      </c>
      <c r="J1009" s="322">
        <f>IFERROR(((VLOOKUP(Calculations[[#This Row],[TransportSource]],TransportDistance[],2,FALSE)*'Stage assumptions'!$C$11)+VLOOKUP(Calculations[[#This Row],[TransportSource]],TransportDistance[],3,FALSE)*'Stage assumptions'!$C$12)*Calculations[[#This Row],[Total Kg]],0)</f>
        <v>0</v>
      </c>
      <c r="K1009">
        <f>IFERROR(VLOOKUP(Calculations[[#This Row],[Material (choose from dropdown]], MaterialData[#All],3, FALSE),0)</f>
        <v>0</v>
      </c>
      <c r="L1009" s="322">
        <f>IFERROR(VLOOKUP(Calculations[[#This Row],[A5type]],A5WastageRate[#All],2,FALSE)*Calculations[[#This Row],[A1-3]],0)</f>
        <v>0</v>
      </c>
      <c r="N1009">
        <f>IFERROR(ROUNDUP(50/VLOOKUP(Calculations[[#This Row],[Scope Element]],B4referenceServiceLife[[Tier 2 element]:[Default Service Life]],2, FALSE)-1,0),0)</f>
        <v>0</v>
      </c>
      <c r="O1009" s="322">
        <f>IFERROR((Calculations[[#This Row],[A1-3]]+Calculations[[#This Row],[A4]]+Calculations[[#This Row],[A5]]+Calculations[[#This Row],[C2 total]]+Calculations[[#This Row],[C3 total]]+Calculations[[#This Row],[C4 total]])*Calculations[[#This Row],[Replacements]],0)</f>
        <v>0</v>
      </c>
      <c r="S1009" t="str">
        <f>IFERROR(VLOOKUP(Calculations[[#This Row],[Material (choose from dropdown]],MaterialData[#All],4,FALSE),"")</f>
        <v/>
      </c>
      <c r="T1009" s="322" cm="1">
        <f t="array" ref="T1009">IFERROR(VLOOKUP(Calculations[[#This Row],[Waste 1]],WasteScenario[#All],2,FALSE)*'Stage assumptions'!$C$225*WasteTransportMethod[Emissions Factor
kgCO2e/kg.km]*Calculations[[#This Row],[Total Kg]],0)</f>
        <v>0</v>
      </c>
      <c r="U1009" s="322" cm="1">
        <f t="array" ref="U1009">IFERROR(VLOOKUP(Calculations[[#This Row],[Waste 1]],WasteScenario[#All],3,FALSE)*'Stage assumptions'!$C$224*WasteTransportMethod[Emissions Factor
kgCO2e/kg.km]*Calculations[[#This Row],[Total Kg]],0)</f>
        <v>0</v>
      </c>
      <c r="V1009" s="322" cm="1">
        <f t="array" ref="V1009">IFERROR(VLOOKUP(Calculations[[#This Row],[Waste 1]],WasteScenario[#All],4,FALSE)*'Stage assumptions'!$C$223*WasteTransportMethod[Emissions Factor
kgCO2e/kg.km]*Calculations[[#This Row],[Total Kg]],0)</f>
        <v>0</v>
      </c>
      <c r="W1009" s="322" cm="1">
        <f t="array" ref="W1009">IFERROR(VLOOKUP(Calculations[[#This Row],[Waste 1]],WasteScenario[#All],5,FALSE)*'Stage assumptions'!$C$226*WasteTransportMethod[Emissions Factor
kgCO2e/kg.km]*Calculations[[#This Row],[Total Kg]],0)</f>
        <v>0</v>
      </c>
      <c r="X1009" s="322">
        <f>SUM(Calculations[[#This Row],[C2 Recycle]:[C2 Reuse]])</f>
        <v>0</v>
      </c>
      <c r="Y1009" t="str">
        <f>IFERROR(VLOOKUP(Calculations[[#This Row],[Material (choose from dropdown]],MaterialData[#All],5,FALSE),"")</f>
        <v/>
      </c>
      <c r="Z1009" s="322">
        <f>IFERROR(((VLOOKUP(Calculations[[#This Row],[Waste type 2]],WasteDisposalEmissions[#All],2,FALSE))*Calculations[[#This Row],[Total Kg]])*VLOOKUP(Calculations[[#This Row],[Waste 1]],WasteScenario[#All],2,FALSE),0)</f>
        <v>0</v>
      </c>
      <c r="AA1009" s="322">
        <f>IFERROR((VLOOKUP(Calculations[[#This Row],[Waste type 2]],WasteDisposalEmissions[#All],3,FALSE))*Calculations[[#This Row],[Total Kg]]*VLOOKUP(Calculations[[#This Row],[Waste 1]],WasteScenario[#All],3,FALSE),0)</f>
        <v>0</v>
      </c>
      <c r="AB1009" s="322">
        <f>SUM(Calculations[[#This Row],[C3 recyc]:[C3 incin]])</f>
        <v>0</v>
      </c>
      <c r="AC1009" s="334">
        <f>IFERROR((VLOOKUP(Calculations[[#This Row],[Waste type 2]],WasteLandfillEmissions[#All],2,FALSE))*Calculations[[#This Row],[Total Kg]]*VLOOKUP(Calculations[[#This Row],[Waste 1]],WasteScenario[#All],4,FALSE),0)</f>
        <v>0</v>
      </c>
      <c r="AD1009" s="322">
        <f>IFERROR((VLOOKUP(Calculations[[#This Row],[Waste type 2]],WasteLandfillEmissions[#All],3,FALSE))*Calculations[[#This Row],[Total Kg]]*VLOOKUP(Calculations[[#This Row],[Waste 1]],WasteScenario[#All],4,FALSE),0)</f>
        <v>0</v>
      </c>
      <c r="AE1009" s="322">
        <f>SUM(Calculations[[#This Row],[C4 landfill]:[C4 re-use]])</f>
        <v>0</v>
      </c>
      <c r="AF1009" s="322">
        <f>IFERROR(VLOOKUP(Calculations[[#This Row],[Material (choose from dropdown]],MaterialData[#All],8,FALSE),0)</f>
        <v>0</v>
      </c>
      <c r="AG1009" s="322">
        <f>IFERROR(Calculations[[#This Row],[Total Kg]]*Calculations[[#This Row],[Seq factor]],0)</f>
        <v>0</v>
      </c>
      <c r="AI1009" s="322">
        <f>Calculations[[#This Row],[A1-3]]+Calculations[[#This Row],[A4]]+Calculations[[#This Row],[A5]]+Calculations[[#This Row],[B4]]+Calculations[[#This Row],[C2 total]]+Calculations[[#This Row],[C3 total]]+Calculations[[#This Row],[C4 total]]</f>
        <v>0</v>
      </c>
      <c r="AJ1009" s="2">
        <f>IFERROR(VLOOKUP(Calculations[[#This Row],[Material (choose from dropdown]],MaterialData[[#Headers],[#Data]],9,FALSE),0)</f>
        <v>0</v>
      </c>
      <c r="AK1009" s="4">
        <f>IFERROR(VLOOKUP(Calculations[[#This Row],[Material (choose from dropdown]],MaterialData[[#Headers],[#Data]],10,FALSE),0)</f>
        <v>0</v>
      </c>
      <c r="AL1009" s="322">
        <f>IFERROR(Calculations[[#This Row],[Data Quality Score]]*Calculations[[#This Row],[Total Kg]],0)</f>
        <v>0</v>
      </c>
    </row>
    <row r="1010" spans="1:38" x14ac:dyDescent="0.3">
      <c r="A1010" s="6">
        <f>IFERROR(MaterialsBoQ[[#This Row],[Scope Element]],0)</f>
        <v>0</v>
      </c>
      <c r="B1010" t="str">
        <f>IFERROR(MaterialsBoQ[[#This Row],[Material ]],"")</f>
        <v/>
      </c>
      <c r="C1010" t="str">
        <f>IFERROR(MaterialsBoQ[[#This Row],[Unit]],"")</f>
        <v/>
      </c>
      <c r="D1010" s="322">
        <f>IFERROR(MaterialsBoQ[[#This Row],[Number]],0)</f>
        <v>0</v>
      </c>
      <c r="E1010" s="322">
        <f>IFERROR(MaterialsBoQ[[#This Row],[Kg per unit]],0)</f>
        <v>0</v>
      </c>
      <c r="F1010" s="322">
        <f>IFERROR(Calculations[[#This Row],[Number]]*Calculations[[#This Row],[Conversion factor]],0)</f>
        <v>0</v>
      </c>
      <c r="G1010" s="322">
        <f>IFERROR(VLOOKUP(Calculations[[#This Row],[Material (choose from dropdown]],MaterialData[#All],7,FALSE),0)</f>
        <v>0</v>
      </c>
      <c r="H1010" s="322">
        <f>Calculations[[#This Row],[Total Kg]]*Calculations[[#This Row],[Carbon Factor]]</f>
        <v>0</v>
      </c>
      <c r="I1010" t="str">
        <f>IFERROR(VLOOKUP(Calculations[[#This Row],[Material (choose from dropdown]],MaterialData[#All],2,FALSE),"")</f>
        <v/>
      </c>
      <c r="J1010" s="322">
        <f>IFERROR(((VLOOKUP(Calculations[[#This Row],[TransportSource]],TransportDistance[],2,FALSE)*'Stage assumptions'!$C$11)+VLOOKUP(Calculations[[#This Row],[TransportSource]],TransportDistance[],3,FALSE)*'Stage assumptions'!$C$12)*Calculations[[#This Row],[Total Kg]],0)</f>
        <v>0</v>
      </c>
      <c r="K1010">
        <f>IFERROR(VLOOKUP(Calculations[[#This Row],[Material (choose from dropdown]], MaterialData[#All],3, FALSE),0)</f>
        <v>0</v>
      </c>
      <c r="L1010" s="322">
        <f>IFERROR(VLOOKUP(Calculations[[#This Row],[A5type]],A5WastageRate[#All],2,FALSE)*Calculations[[#This Row],[A1-3]],0)</f>
        <v>0</v>
      </c>
      <c r="N1010">
        <f>IFERROR(ROUNDUP(50/VLOOKUP(Calculations[[#This Row],[Scope Element]],B4referenceServiceLife[[Tier 2 element]:[Default Service Life]],2, FALSE)-1,0),0)</f>
        <v>0</v>
      </c>
      <c r="O1010" s="322">
        <f>IFERROR((Calculations[[#This Row],[A1-3]]+Calculations[[#This Row],[A4]]+Calculations[[#This Row],[A5]]+Calculations[[#This Row],[C2 total]]+Calculations[[#This Row],[C3 total]]+Calculations[[#This Row],[C4 total]])*Calculations[[#This Row],[Replacements]],0)</f>
        <v>0</v>
      </c>
      <c r="S1010" t="str">
        <f>IFERROR(VLOOKUP(Calculations[[#This Row],[Material (choose from dropdown]],MaterialData[#All],4,FALSE),"")</f>
        <v/>
      </c>
      <c r="T1010" s="322" cm="1">
        <f t="array" ref="T1010">IFERROR(VLOOKUP(Calculations[[#This Row],[Waste 1]],WasteScenario[#All],2,FALSE)*'Stage assumptions'!$C$225*WasteTransportMethod[Emissions Factor
kgCO2e/kg.km]*Calculations[[#This Row],[Total Kg]],0)</f>
        <v>0</v>
      </c>
      <c r="U1010" s="322" cm="1">
        <f t="array" ref="U1010">IFERROR(VLOOKUP(Calculations[[#This Row],[Waste 1]],WasteScenario[#All],3,FALSE)*'Stage assumptions'!$C$224*WasteTransportMethod[Emissions Factor
kgCO2e/kg.km]*Calculations[[#This Row],[Total Kg]],0)</f>
        <v>0</v>
      </c>
      <c r="V1010" s="322" cm="1">
        <f t="array" ref="V1010">IFERROR(VLOOKUP(Calculations[[#This Row],[Waste 1]],WasteScenario[#All],4,FALSE)*'Stage assumptions'!$C$223*WasteTransportMethod[Emissions Factor
kgCO2e/kg.km]*Calculations[[#This Row],[Total Kg]],0)</f>
        <v>0</v>
      </c>
      <c r="W1010" s="322" cm="1">
        <f t="array" ref="W1010">IFERROR(VLOOKUP(Calculations[[#This Row],[Waste 1]],WasteScenario[#All],5,FALSE)*'Stage assumptions'!$C$226*WasteTransportMethod[Emissions Factor
kgCO2e/kg.km]*Calculations[[#This Row],[Total Kg]],0)</f>
        <v>0</v>
      </c>
      <c r="X1010" s="322">
        <f>SUM(Calculations[[#This Row],[C2 Recycle]:[C2 Reuse]])</f>
        <v>0</v>
      </c>
      <c r="Y1010" t="str">
        <f>IFERROR(VLOOKUP(Calculations[[#This Row],[Material (choose from dropdown]],MaterialData[#All],5,FALSE),"")</f>
        <v/>
      </c>
      <c r="Z1010" s="322">
        <f>IFERROR(((VLOOKUP(Calculations[[#This Row],[Waste type 2]],WasteDisposalEmissions[#All],2,FALSE))*Calculations[[#This Row],[Total Kg]])*VLOOKUP(Calculations[[#This Row],[Waste 1]],WasteScenario[#All],2,FALSE),0)</f>
        <v>0</v>
      </c>
      <c r="AA1010" s="322">
        <f>IFERROR((VLOOKUP(Calculations[[#This Row],[Waste type 2]],WasteDisposalEmissions[#All],3,FALSE))*Calculations[[#This Row],[Total Kg]]*VLOOKUP(Calculations[[#This Row],[Waste 1]],WasteScenario[#All],3,FALSE),0)</f>
        <v>0</v>
      </c>
      <c r="AB1010" s="322">
        <f>SUM(Calculations[[#This Row],[C3 recyc]:[C3 incin]])</f>
        <v>0</v>
      </c>
      <c r="AC1010" s="334">
        <f>IFERROR((VLOOKUP(Calculations[[#This Row],[Waste type 2]],WasteLandfillEmissions[#All],2,FALSE))*Calculations[[#This Row],[Total Kg]]*VLOOKUP(Calculations[[#This Row],[Waste 1]],WasteScenario[#All],4,FALSE),0)</f>
        <v>0</v>
      </c>
      <c r="AD1010" s="322">
        <f>IFERROR((VLOOKUP(Calculations[[#This Row],[Waste type 2]],WasteLandfillEmissions[#All],3,FALSE))*Calculations[[#This Row],[Total Kg]]*VLOOKUP(Calculations[[#This Row],[Waste 1]],WasteScenario[#All],4,FALSE),0)</f>
        <v>0</v>
      </c>
      <c r="AE1010" s="322">
        <f>SUM(Calculations[[#This Row],[C4 landfill]:[C4 re-use]])</f>
        <v>0</v>
      </c>
      <c r="AF1010" s="322">
        <f>IFERROR(VLOOKUP(Calculations[[#This Row],[Material (choose from dropdown]],MaterialData[#All],8,FALSE),0)</f>
        <v>0</v>
      </c>
      <c r="AG1010" s="322">
        <f>IFERROR(Calculations[[#This Row],[Total Kg]]*Calculations[[#This Row],[Seq factor]],0)</f>
        <v>0</v>
      </c>
      <c r="AI1010" s="322">
        <f>Calculations[[#This Row],[A1-3]]+Calculations[[#This Row],[A4]]+Calculations[[#This Row],[A5]]+Calculations[[#This Row],[B4]]+Calculations[[#This Row],[C2 total]]+Calculations[[#This Row],[C3 total]]+Calculations[[#This Row],[C4 total]]</f>
        <v>0</v>
      </c>
      <c r="AJ1010" s="2">
        <f>IFERROR(VLOOKUP(Calculations[[#This Row],[Material (choose from dropdown]],MaterialData[[#Headers],[#Data]],9,FALSE),0)</f>
        <v>0</v>
      </c>
      <c r="AK1010" s="4">
        <f>IFERROR(VLOOKUP(Calculations[[#This Row],[Material (choose from dropdown]],MaterialData[[#Headers],[#Data]],10,FALSE),0)</f>
        <v>0</v>
      </c>
      <c r="AL1010" s="322">
        <f>IFERROR(Calculations[[#This Row],[Data Quality Score]]*Calculations[[#This Row],[Total Kg]],0)</f>
        <v>0</v>
      </c>
    </row>
    <row r="1011" spans="1:38" x14ac:dyDescent="0.3">
      <c r="A1011" s="6">
        <f>IFERROR(MaterialsBoQ[[#This Row],[Scope Element]],0)</f>
        <v>0</v>
      </c>
      <c r="B1011" t="str">
        <f>IFERROR(MaterialsBoQ[[#This Row],[Material ]],"")</f>
        <v/>
      </c>
      <c r="C1011" t="str">
        <f>IFERROR(MaterialsBoQ[[#This Row],[Unit]],"")</f>
        <v/>
      </c>
      <c r="D1011" s="322">
        <f>IFERROR(MaterialsBoQ[[#This Row],[Number]],0)</f>
        <v>0</v>
      </c>
      <c r="E1011" s="322">
        <f>IFERROR(MaterialsBoQ[[#This Row],[Kg per unit]],0)</f>
        <v>0</v>
      </c>
      <c r="F1011" s="322">
        <f>IFERROR(Calculations[[#This Row],[Number]]*Calculations[[#This Row],[Conversion factor]],0)</f>
        <v>0</v>
      </c>
      <c r="G1011" s="322">
        <f>IFERROR(VLOOKUP(Calculations[[#This Row],[Material (choose from dropdown]],MaterialData[#All],7,FALSE),0)</f>
        <v>0</v>
      </c>
      <c r="H1011" s="322">
        <f>Calculations[[#This Row],[Total Kg]]*Calculations[[#This Row],[Carbon Factor]]</f>
        <v>0</v>
      </c>
      <c r="I1011" t="str">
        <f>IFERROR(VLOOKUP(Calculations[[#This Row],[Material (choose from dropdown]],MaterialData[#All],2,FALSE),"")</f>
        <v/>
      </c>
      <c r="J1011" s="322">
        <f>IFERROR(((VLOOKUP(Calculations[[#This Row],[TransportSource]],TransportDistance[],2,FALSE)*'Stage assumptions'!$C$11)+VLOOKUP(Calculations[[#This Row],[TransportSource]],TransportDistance[],3,FALSE)*'Stage assumptions'!$C$12)*Calculations[[#This Row],[Total Kg]],0)</f>
        <v>0</v>
      </c>
      <c r="K1011">
        <f>IFERROR(VLOOKUP(Calculations[[#This Row],[Material (choose from dropdown]], MaterialData[#All],3, FALSE),0)</f>
        <v>0</v>
      </c>
      <c r="L1011" s="322">
        <f>IFERROR(VLOOKUP(Calculations[[#This Row],[A5type]],A5WastageRate[#All],2,FALSE)*Calculations[[#This Row],[A1-3]],0)</f>
        <v>0</v>
      </c>
      <c r="N1011">
        <f>IFERROR(ROUNDUP(50/VLOOKUP(Calculations[[#This Row],[Scope Element]],B4referenceServiceLife[[Tier 2 element]:[Default Service Life]],2, FALSE)-1,0),0)</f>
        <v>0</v>
      </c>
      <c r="O1011" s="322">
        <f>IFERROR((Calculations[[#This Row],[A1-3]]+Calculations[[#This Row],[A4]]+Calculations[[#This Row],[A5]]+Calculations[[#This Row],[C2 total]]+Calculations[[#This Row],[C3 total]]+Calculations[[#This Row],[C4 total]])*Calculations[[#This Row],[Replacements]],0)</f>
        <v>0</v>
      </c>
      <c r="S1011" t="str">
        <f>IFERROR(VLOOKUP(Calculations[[#This Row],[Material (choose from dropdown]],MaterialData[#All],4,FALSE),"")</f>
        <v/>
      </c>
      <c r="T1011" s="322" cm="1">
        <f t="array" ref="T1011">IFERROR(VLOOKUP(Calculations[[#This Row],[Waste 1]],WasteScenario[#All],2,FALSE)*'Stage assumptions'!$C$225*WasteTransportMethod[Emissions Factor
kgCO2e/kg.km]*Calculations[[#This Row],[Total Kg]],0)</f>
        <v>0</v>
      </c>
      <c r="U1011" s="322" cm="1">
        <f t="array" ref="U1011">IFERROR(VLOOKUP(Calculations[[#This Row],[Waste 1]],WasteScenario[#All],3,FALSE)*'Stage assumptions'!$C$224*WasteTransportMethod[Emissions Factor
kgCO2e/kg.km]*Calculations[[#This Row],[Total Kg]],0)</f>
        <v>0</v>
      </c>
      <c r="V1011" s="322" cm="1">
        <f t="array" ref="V1011">IFERROR(VLOOKUP(Calculations[[#This Row],[Waste 1]],WasteScenario[#All],4,FALSE)*'Stage assumptions'!$C$223*WasteTransportMethod[Emissions Factor
kgCO2e/kg.km]*Calculations[[#This Row],[Total Kg]],0)</f>
        <v>0</v>
      </c>
      <c r="W1011" s="322" cm="1">
        <f t="array" ref="W1011">IFERROR(VLOOKUP(Calculations[[#This Row],[Waste 1]],WasteScenario[#All],5,FALSE)*'Stage assumptions'!$C$226*WasteTransportMethod[Emissions Factor
kgCO2e/kg.km]*Calculations[[#This Row],[Total Kg]],0)</f>
        <v>0</v>
      </c>
      <c r="X1011" s="322">
        <f>SUM(Calculations[[#This Row],[C2 Recycle]:[C2 Reuse]])</f>
        <v>0</v>
      </c>
      <c r="Y1011" t="str">
        <f>IFERROR(VLOOKUP(Calculations[[#This Row],[Material (choose from dropdown]],MaterialData[#All],5,FALSE),"")</f>
        <v/>
      </c>
      <c r="Z1011" s="322">
        <f>IFERROR(((VLOOKUP(Calculations[[#This Row],[Waste type 2]],WasteDisposalEmissions[#All],2,FALSE))*Calculations[[#This Row],[Total Kg]])*VLOOKUP(Calculations[[#This Row],[Waste 1]],WasteScenario[#All],2,FALSE),0)</f>
        <v>0</v>
      </c>
      <c r="AA1011" s="322">
        <f>IFERROR((VLOOKUP(Calculations[[#This Row],[Waste type 2]],WasteDisposalEmissions[#All],3,FALSE))*Calculations[[#This Row],[Total Kg]]*VLOOKUP(Calculations[[#This Row],[Waste 1]],WasteScenario[#All],3,FALSE),0)</f>
        <v>0</v>
      </c>
      <c r="AB1011" s="322">
        <f>SUM(Calculations[[#This Row],[C3 recyc]:[C3 incin]])</f>
        <v>0</v>
      </c>
      <c r="AC1011" s="334">
        <f>IFERROR((VLOOKUP(Calculations[[#This Row],[Waste type 2]],WasteLandfillEmissions[#All],2,FALSE))*Calculations[[#This Row],[Total Kg]]*VLOOKUP(Calculations[[#This Row],[Waste 1]],WasteScenario[#All],4,FALSE),0)</f>
        <v>0</v>
      </c>
      <c r="AD1011" s="322">
        <f>IFERROR((VLOOKUP(Calculations[[#This Row],[Waste type 2]],WasteLandfillEmissions[#All],3,FALSE))*Calculations[[#This Row],[Total Kg]]*VLOOKUP(Calculations[[#This Row],[Waste 1]],WasteScenario[#All],4,FALSE),0)</f>
        <v>0</v>
      </c>
      <c r="AE1011" s="322">
        <f>SUM(Calculations[[#This Row],[C4 landfill]:[C4 re-use]])</f>
        <v>0</v>
      </c>
      <c r="AF1011" s="322">
        <f>IFERROR(VLOOKUP(Calculations[[#This Row],[Material (choose from dropdown]],MaterialData[#All],8,FALSE),0)</f>
        <v>0</v>
      </c>
      <c r="AG1011" s="322">
        <f>IFERROR(Calculations[[#This Row],[Total Kg]]*Calculations[[#This Row],[Seq factor]],0)</f>
        <v>0</v>
      </c>
      <c r="AI1011" s="322">
        <f>Calculations[[#This Row],[A1-3]]+Calculations[[#This Row],[A4]]+Calculations[[#This Row],[A5]]+Calculations[[#This Row],[B4]]+Calculations[[#This Row],[C2 total]]+Calculations[[#This Row],[C3 total]]+Calculations[[#This Row],[C4 total]]</f>
        <v>0</v>
      </c>
      <c r="AJ1011" s="2">
        <f>IFERROR(VLOOKUP(Calculations[[#This Row],[Material (choose from dropdown]],MaterialData[[#Headers],[#Data]],9,FALSE),0)</f>
        <v>0</v>
      </c>
      <c r="AK1011" s="4">
        <f>IFERROR(VLOOKUP(Calculations[[#This Row],[Material (choose from dropdown]],MaterialData[[#Headers],[#Data]],10,FALSE),0)</f>
        <v>0</v>
      </c>
      <c r="AL1011" s="322">
        <f>IFERROR(Calculations[[#This Row],[Data Quality Score]]*Calculations[[#This Row],[Total Kg]],0)</f>
        <v>0</v>
      </c>
    </row>
    <row r="1012" spans="1:38" x14ac:dyDescent="0.3">
      <c r="A1012" s="6">
        <f>IFERROR(MaterialsBoQ[[#This Row],[Scope Element]],0)</f>
        <v>0</v>
      </c>
      <c r="B1012" t="str">
        <f>IFERROR(MaterialsBoQ[[#This Row],[Material ]],"")</f>
        <v/>
      </c>
      <c r="C1012" t="str">
        <f>IFERROR(MaterialsBoQ[[#This Row],[Unit]],"")</f>
        <v/>
      </c>
      <c r="D1012" s="322">
        <f>IFERROR(MaterialsBoQ[[#This Row],[Number]],0)</f>
        <v>0</v>
      </c>
      <c r="E1012" s="322">
        <f>IFERROR(MaterialsBoQ[[#This Row],[Kg per unit]],0)</f>
        <v>0</v>
      </c>
      <c r="F1012" s="322">
        <f>IFERROR(Calculations[[#This Row],[Number]]*Calculations[[#This Row],[Conversion factor]],0)</f>
        <v>0</v>
      </c>
      <c r="G1012" s="322">
        <f>IFERROR(VLOOKUP(Calculations[[#This Row],[Material (choose from dropdown]],MaterialData[#All],7,FALSE),0)</f>
        <v>0</v>
      </c>
      <c r="H1012" s="322">
        <f>Calculations[[#This Row],[Total Kg]]*Calculations[[#This Row],[Carbon Factor]]</f>
        <v>0</v>
      </c>
      <c r="I1012" t="str">
        <f>IFERROR(VLOOKUP(Calculations[[#This Row],[Material (choose from dropdown]],MaterialData[#All],2,FALSE),"")</f>
        <v/>
      </c>
      <c r="J1012" s="322">
        <f>IFERROR(((VLOOKUP(Calculations[[#This Row],[TransportSource]],TransportDistance[],2,FALSE)*'Stage assumptions'!$C$11)+VLOOKUP(Calculations[[#This Row],[TransportSource]],TransportDistance[],3,FALSE)*'Stage assumptions'!$C$12)*Calculations[[#This Row],[Total Kg]],0)</f>
        <v>0</v>
      </c>
      <c r="K1012">
        <f>IFERROR(VLOOKUP(Calculations[[#This Row],[Material (choose from dropdown]], MaterialData[#All],3, FALSE),0)</f>
        <v>0</v>
      </c>
      <c r="L1012" s="322">
        <f>IFERROR(VLOOKUP(Calculations[[#This Row],[A5type]],A5WastageRate[#All],2,FALSE)*Calculations[[#This Row],[A1-3]],0)</f>
        <v>0</v>
      </c>
      <c r="N1012">
        <f>IFERROR(ROUNDUP(50/VLOOKUP(Calculations[[#This Row],[Scope Element]],B4referenceServiceLife[[Tier 2 element]:[Default Service Life]],2, FALSE)-1,0),0)</f>
        <v>0</v>
      </c>
      <c r="O1012" s="322">
        <f>IFERROR((Calculations[[#This Row],[A1-3]]+Calculations[[#This Row],[A4]]+Calculations[[#This Row],[A5]]+Calculations[[#This Row],[C2 total]]+Calculations[[#This Row],[C3 total]]+Calculations[[#This Row],[C4 total]])*Calculations[[#This Row],[Replacements]],0)</f>
        <v>0</v>
      </c>
      <c r="S1012" t="str">
        <f>IFERROR(VLOOKUP(Calculations[[#This Row],[Material (choose from dropdown]],MaterialData[#All],4,FALSE),"")</f>
        <v/>
      </c>
      <c r="T1012" s="322" cm="1">
        <f t="array" ref="T1012">IFERROR(VLOOKUP(Calculations[[#This Row],[Waste 1]],WasteScenario[#All],2,FALSE)*'Stage assumptions'!$C$225*WasteTransportMethod[Emissions Factor
kgCO2e/kg.km]*Calculations[[#This Row],[Total Kg]],0)</f>
        <v>0</v>
      </c>
      <c r="U1012" s="322" cm="1">
        <f t="array" ref="U1012">IFERROR(VLOOKUP(Calculations[[#This Row],[Waste 1]],WasteScenario[#All],3,FALSE)*'Stage assumptions'!$C$224*WasteTransportMethod[Emissions Factor
kgCO2e/kg.km]*Calculations[[#This Row],[Total Kg]],0)</f>
        <v>0</v>
      </c>
      <c r="V1012" s="322" cm="1">
        <f t="array" ref="V1012">IFERROR(VLOOKUP(Calculations[[#This Row],[Waste 1]],WasteScenario[#All],4,FALSE)*'Stage assumptions'!$C$223*WasteTransportMethod[Emissions Factor
kgCO2e/kg.km]*Calculations[[#This Row],[Total Kg]],0)</f>
        <v>0</v>
      </c>
      <c r="W1012" s="322" cm="1">
        <f t="array" ref="W1012">IFERROR(VLOOKUP(Calculations[[#This Row],[Waste 1]],WasteScenario[#All],5,FALSE)*'Stage assumptions'!$C$226*WasteTransportMethod[Emissions Factor
kgCO2e/kg.km]*Calculations[[#This Row],[Total Kg]],0)</f>
        <v>0</v>
      </c>
      <c r="X1012" s="322">
        <f>SUM(Calculations[[#This Row],[C2 Recycle]:[C2 Reuse]])</f>
        <v>0</v>
      </c>
      <c r="Y1012" t="str">
        <f>IFERROR(VLOOKUP(Calculations[[#This Row],[Material (choose from dropdown]],MaterialData[#All],5,FALSE),"")</f>
        <v/>
      </c>
      <c r="Z1012" s="322">
        <f>IFERROR(((VLOOKUP(Calculations[[#This Row],[Waste type 2]],WasteDisposalEmissions[#All],2,FALSE))*Calculations[[#This Row],[Total Kg]])*VLOOKUP(Calculations[[#This Row],[Waste 1]],WasteScenario[#All],2,FALSE),0)</f>
        <v>0</v>
      </c>
      <c r="AA1012" s="322">
        <f>IFERROR((VLOOKUP(Calculations[[#This Row],[Waste type 2]],WasteDisposalEmissions[#All],3,FALSE))*Calculations[[#This Row],[Total Kg]]*VLOOKUP(Calculations[[#This Row],[Waste 1]],WasteScenario[#All],3,FALSE),0)</f>
        <v>0</v>
      </c>
      <c r="AB1012" s="322">
        <f>SUM(Calculations[[#This Row],[C3 recyc]:[C3 incin]])</f>
        <v>0</v>
      </c>
      <c r="AC1012" s="334">
        <f>IFERROR((VLOOKUP(Calculations[[#This Row],[Waste type 2]],WasteLandfillEmissions[#All],2,FALSE))*Calculations[[#This Row],[Total Kg]]*VLOOKUP(Calculations[[#This Row],[Waste 1]],WasteScenario[#All],4,FALSE),0)</f>
        <v>0</v>
      </c>
      <c r="AD1012" s="322">
        <f>IFERROR((VLOOKUP(Calculations[[#This Row],[Waste type 2]],WasteLandfillEmissions[#All],3,FALSE))*Calculations[[#This Row],[Total Kg]]*VLOOKUP(Calculations[[#This Row],[Waste 1]],WasteScenario[#All],4,FALSE),0)</f>
        <v>0</v>
      </c>
      <c r="AE1012" s="322">
        <f>SUM(Calculations[[#This Row],[C4 landfill]:[C4 re-use]])</f>
        <v>0</v>
      </c>
      <c r="AF1012" s="322">
        <f>IFERROR(VLOOKUP(Calculations[[#This Row],[Material (choose from dropdown]],MaterialData[#All],8,FALSE),0)</f>
        <v>0</v>
      </c>
      <c r="AG1012" s="322">
        <f>IFERROR(Calculations[[#This Row],[Total Kg]]*Calculations[[#This Row],[Seq factor]],0)</f>
        <v>0</v>
      </c>
      <c r="AI1012" s="322">
        <f>Calculations[[#This Row],[A1-3]]+Calculations[[#This Row],[A4]]+Calculations[[#This Row],[A5]]+Calculations[[#This Row],[B4]]+Calculations[[#This Row],[C2 total]]+Calculations[[#This Row],[C3 total]]+Calculations[[#This Row],[C4 total]]</f>
        <v>0</v>
      </c>
      <c r="AJ1012" s="2">
        <f>IFERROR(VLOOKUP(Calculations[[#This Row],[Material (choose from dropdown]],MaterialData[[#Headers],[#Data]],9,FALSE),0)</f>
        <v>0</v>
      </c>
      <c r="AK1012" s="4">
        <f>IFERROR(VLOOKUP(Calculations[[#This Row],[Material (choose from dropdown]],MaterialData[[#Headers],[#Data]],10,FALSE),0)</f>
        <v>0</v>
      </c>
      <c r="AL1012" s="322">
        <f>IFERROR(Calculations[[#This Row],[Data Quality Score]]*Calculations[[#This Row],[Total Kg]],0)</f>
        <v>0</v>
      </c>
    </row>
    <row r="1013" spans="1:38" x14ac:dyDescent="0.3">
      <c r="A1013" s="6">
        <f>IFERROR(MaterialsBoQ[[#This Row],[Scope Element]],0)</f>
        <v>0</v>
      </c>
      <c r="B1013" t="str">
        <f>IFERROR(MaterialsBoQ[[#This Row],[Material ]],"")</f>
        <v/>
      </c>
      <c r="C1013" t="str">
        <f>IFERROR(MaterialsBoQ[[#This Row],[Unit]],"")</f>
        <v/>
      </c>
      <c r="D1013" s="322">
        <f>IFERROR(MaterialsBoQ[[#This Row],[Number]],0)</f>
        <v>0</v>
      </c>
      <c r="E1013" s="322">
        <f>IFERROR(MaterialsBoQ[[#This Row],[Kg per unit]],0)</f>
        <v>0</v>
      </c>
      <c r="F1013" s="322">
        <f>IFERROR(Calculations[[#This Row],[Number]]*Calculations[[#This Row],[Conversion factor]],0)</f>
        <v>0</v>
      </c>
      <c r="G1013" s="322">
        <f>IFERROR(VLOOKUP(Calculations[[#This Row],[Material (choose from dropdown]],MaterialData[#All],7,FALSE),0)</f>
        <v>0</v>
      </c>
      <c r="H1013" s="322">
        <f>Calculations[[#This Row],[Total Kg]]*Calculations[[#This Row],[Carbon Factor]]</f>
        <v>0</v>
      </c>
      <c r="I1013" t="str">
        <f>IFERROR(VLOOKUP(Calculations[[#This Row],[Material (choose from dropdown]],MaterialData[#All],2,FALSE),"")</f>
        <v/>
      </c>
      <c r="J1013" s="322">
        <f>IFERROR(((VLOOKUP(Calculations[[#This Row],[TransportSource]],TransportDistance[],2,FALSE)*'Stage assumptions'!$C$11)+VLOOKUP(Calculations[[#This Row],[TransportSource]],TransportDistance[],3,FALSE)*'Stage assumptions'!$C$12)*Calculations[[#This Row],[Total Kg]],0)</f>
        <v>0</v>
      </c>
      <c r="K1013">
        <f>IFERROR(VLOOKUP(Calculations[[#This Row],[Material (choose from dropdown]], MaterialData[#All],3, FALSE),0)</f>
        <v>0</v>
      </c>
      <c r="L1013" s="322">
        <f>IFERROR(VLOOKUP(Calculations[[#This Row],[A5type]],A5WastageRate[#All],2,FALSE)*Calculations[[#This Row],[A1-3]],0)</f>
        <v>0</v>
      </c>
      <c r="N1013">
        <f>IFERROR(ROUNDUP(50/VLOOKUP(Calculations[[#This Row],[Scope Element]],B4referenceServiceLife[[Tier 2 element]:[Default Service Life]],2, FALSE)-1,0),0)</f>
        <v>0</v>
      </c>
      <c r="O1013" s="322">
        <f>IFERROR((Calculations[[#This Row],[A1-3]]+Calculations[[#This Row],[A4]]+Calculations[[#This Row],[A5]]+Calculations[[#This Row],[C2 total]]+Calculations[[#This Row],[C3 total]]+Calculations[[#This Row],[C4 total]])*Calculations[[#This Row],[Replacements]],0)</f>
        <v>0</v>
      </c>
      <c r="S1013" t="str">
        <f>IFERROR(VLOOKUP(Calculations[[#This Row],[Material (choose from dropdown]],MaterialData[#All],4,FALSE),"")</f>
        <v/>
      </c>
      <c r="T1013" s="322" cm="1">
        <f t="array" ref="T1013">IFERROR(VLOOKUP(Calculations[[#This Row],[Waste 1]],WasteScenario[#All],2,FALSE)*'Stage assumptions'!$C$225*WasteTransportMethod[Emissions Factor
kgCO2e/kg.km]*Calculations[[#This Row],[Total Kg]],0)</f>
        <v>0</v>
      </c>
      <c r="U1013" s="322" cm="1">
        <f t="array" ref="U1013">IFERROR(VLOOKUP(Calculations[[#This Row],[Waste 1]],WasteScenario[#All],3,FALSE)*'Stage assumptions'!$C$224*WasteTransportMethod[Emissions Factor
kgCO2e/kg.km]*Calculations[[#This Row],[Total Kg]],0)</f>
        <v>0</v>
      </c>
      <c r="V1013" s="322" cm="1">
        <f t="array" ref="V1013">IFERROR(VLOOKUP(Calculations[[#This Row],[Waste 1]],WasteScenario[#All],4,FALSE)*'Stage assumptions'!$C$223*WasteTransportMethod[Emissions Factor
kgCO2e/kg.km]*Calculations[[#This Row],[Total Kg]],0)</f>
        <v>0</v>
      </c>
      <c r="W1013" s="322" cm="1">
        <f t="array" ref="W1013">IFERROR(VLOOKUP(Calculations[[#This Row],[Waste 1]],WasteScenario[#All],5,FALSE)*'Stage assumptions'!$C$226*WasteTransportMethod[Emissions Factor
kgCO2e/kg.km]*Calculations[[#This Row],[Total Kg]],0)</f>
        <v>0</v>
      </c>
      <c r="X1013" s="322">
        <f>SUM(Calculations[[#This Row],[C2 Recycle]:[C2 Reuse]])</f>
        <v>0</v>
      </c>
      <c r="Y1013" t="str">
        <f>IFERROR(VLOOKUP(Calculations[[#This Row],[Material (choose from dropdown]],MaterialData[#All],5,FALSE),"")</f>
        <v/>
      </c>
      <c r="Z1013" s="322">
        <f>IFERROR(((VLOOKUP(Calculations[[#This Row],[Waste type 2]],WasteDisposalEmissions[#All],2,FALSE))*Calculations[[#This Row],[Total Kg]])*VLOOKUP(Calculations[[#This Row],[Waste 1]],WasteScenario[#All],2,FALSE),0)</f>
        <v>0</v>
      </c>
      <c r="AA1013" s="322">
        <f>IFERROR((VLOOKUP(Calculations[[#This Row],[Waste type 2]],WasteDisposalEmissions[#All],3,FALSE))*Calculations[[#This Row],[Total Kg]]*VLOOKUP(Calculations[[#This Row],[Waste 1]],WasteScenario[#All],3,FALSE),0)</f>
        <v>0</v>
      </c>
      <c r="AB1013" s="322">
        <f>SUM(Calculations[[#This Row],[C3 recyc]:[C3 incin]])</f>
        <v>0</v>
      </c>
      <c r="AC1013" s="334">
        <f>IFERROR((VLOOKUP(Calculations[[#This Row],[Waste type 2]],WasteLandfillEmissions[#All],2,FALSE))*Calculations[[#This Row],[Total Kg]]*VLOOKUP(Calculations[[#This Row],[Waste 1]],WasteScenario[#All],4,FALSE),0)</f>
        <v>0</v>
      </c>
      <c r="AD1013" s="322">
        <f>IFERROR((VLOOKUP(Calculations[[#This Row],[Waste type 2]],WasteLandfillEmissions[#All],3,FALSE))*Calculations[[#This Row],[Total Kg]]*VLOOKUP(Calculations[[#This Row],[Waste 1]],WasteScenario[#All],4,FALSE),0)</f>
        <v>0</v>
      </c>
      <c r="AE1013" s="322">
        <f>SUM(Calculations[[#This Row],[C4 landfill]:[C4 re-use]])</f>
        <v>0</v>
      </c>
      <c r="AF1013" s="322">
        <f>IFERROR(VLOOKUP(Calculations[[#This Row],[Material (choose from dropdown]],MaterialData[#All],8,FALSE),0)</f>
        <v>0</v>
      </c>
      <c r="AG1013" s="322">
        <f>IFERROR(Calculations[[#This Row],[Total Kg]]*Calculations[[#This Row],[Seq factor]],0)</f>
        <v>0</v>
      </c>
      <c r="AI1013" s="322">
        <f>Calculations[[#This Row],[A1-3]]+Calculations[[#This Row],[A4]]+Calculations[[#This Row],[A5]]+Calculations[[#This Row],[B4]]+Calculations[[#This Row],[C2 total]]+Calculations[[#This Row],[C3 total]]+Calculations[[#This Row],[C4 total]]</f>
        <v>0</v>
      </c>
      <c r="AJ1013" s="2">
        <f>IFERROR(VLOOKUP(Calculations[[#This Row],[Material (choose from dropdown]],MaterialData[[#Headers],[#Data]],9,FALSE),0)</f>
        <v>0</v>
      </c>
      <c r="AK1013" s="4">
        <f>IFERROR(VLOOKUP(Calculations[[#This Row],[Material (choose from dropdown]],MaterialData[[#Headers],[#Data]],10,FALSE),0)</f>
        <v>0</v>
      </c>
      <c r="AL1013" s="322">
        <f>IFERROR(Calculations[[#This Row],[Data Quality Score]]*Calculations[[#This Row],[Total Kg]],0)</f>
        <v>0</v>
      </c>
    </row>
    <row r="1014" spans="1:38" x14ac:dyDescent="0.3">
      <c r="A1014" s="6">
        <f>IFERROR(MaterialsBoQ[[#This Row],[Scope Element]],0)</f>
        <v>0</v>
      </c>
      <c r="B1014" t="str">
        <f>IFERROR(MaterialsBoQ[[#This Row],[Material ]],"")</f>
        <v/>
      </c>
      <c r="C1014" t="str">
        <f>IFERROR(MaterialsBoQ[[#This Row],[Unit]],"")</f>
        <v/>
      </c>
      <c r="D1014" s="322">
        <f>IFERROR(MaterialsBoQ[[#This Row],[Number]],0)</f>
        <v>0</v>
      </c>
      <c r="E1014" s="322">
        <f>IFERROR(MaterialsBoQ[[#This Row],[Kg per unit]],0)</f>
        <v>0</v>
      </c>
      <c r="F1014" s="322">
        <f>IFERROR(Calculations[[#This Row],[Number]]*Calculations[[#This Row],[Conversion factor]],0)</f>
        <v>0</v>
      </c>
      <c r="G1014" s="322">
        <f>IFERROR(VLOOKUP(Calculations[[#This Row],[Material (choose from dropdown]],MaterialData[#All],7,FALSE),0)</f>
        <v>0</v>
      </c>
      <c r="H1014" s="322">
        <f>Calculations[[#This Row],[Total Kg]]*Calculations[[#This Row],[Carbon Factor]]</f>
        <v>0</v>
      </c>
      <c r="I1014" t="str">
        <f>IFERROR(VLOOKUP(Calculations[[#This Row],[Material (choose from dropdown]],MaterialData[#All],2,FALSE),"")</f>
        <v/>
      </c>
      <c r="J1014" s="322">
        <f>IFERROR(((VLOOKUP(Calculations[[#This Row],[TransportSource]],TransportDistance[],2,FALSE)*'Stage assumptions'!$C$11)+VLOOKUP(Calculations[[#This Row],[TransportSource]],TransportDistance[],3,FALSE)*'Stage assumptions'!$C$12)*Calculations[[#This Row],[Total Kg]],0)</f>
        <v>0</v>
      </c>
      <c r="K1014">
        <f>IFERROR(VLOOKUP(Calculations[[#This Row],[Material (choose from dropdown]], MaterialData[#All],3, FALSE),0)</f>
        <v>0</v>
      </c>
      <c r="L1014" s="322">
        <f>IFERROR(VLOOKUP(Calculations[[#This Row],[A5type]],A5WastageRate[#All],2,FALSE)*Calculations[[#This Row],[A1-3]],0)</f>
        <v>0</v>
      </c>
      <c r="N1014">
        <f>IFERROR(ROUNDUP(50/VLOOKUP(Calculations[[#This Row],[Scope Element]],B4referenceServiceLife[[Tier 2 element]:[Default Service Life]],2, FALSE)-1,0),0)</f>
        <v>0</v>
      </c>
      <c r="O1014" s="322">
        <f>IFERROR((Calculations[[#This Row],[A1-3]]+Calculations[[#This Row],[A4]]+Calculations[[#This Row],[A5]]+Calculations[[#This Row],[C2 total]]+Calculations[[#This Row],[C3 total]]+Calculations[[#This Row],[C4 total]])*Calculations[[#This Row],[Replacements]],0)</f>
        <v>0</v>
      </c>
      <c r="S1014" t="str">
        <f>IFERROR(VLOOKUP(Calculations[[#This Row],[Material (choose from dropdown]],MaterialData[#All],4,FALSE),"")</f>
        <v/>
      </c>
      <c r="T1014" s="322" cm="1">
        <f t="array" ref="T1014">IFERROR(VLOOKUP(Calculations[[#This Row],[Waste 1]],WasteScenario[#All],2,FALSE)*'Stage assumptions'!$C$225*WasteTransportMethod[Emissions Factor
kgCO2e/kg.km]*Calculations[[#This Row],[Total Kg]],0)</f>
        <v>0</v>
      </c>
      <c r="U1014" s="322" cm="1">
        <f t="array" ref="U1014">IFERROR(VLOOKUP(Calculations[[#This Row],[Waste 1]],WasteScenario[#All],3,FALSE)*'Stage assumptions'!$C$224*WasteTransportMethod[Emissions Factor
kgCO2e/kg.km]*Calculations[[#This Row],[Total Kg]],0)</f>
        <v>0</v>
      </c>
      <c r="V1014" s="322" cm="1">
        <f t="array" ref="V1014">IFERROR(VLOOKUP(Calculations[[#This Row],[Waste 1]],WasteScenario[#All],4,FALSE)*'Stage assumptions'!$C$223*WasteTransportMethod[Emissions Factor
kgCO2e/kg.km]*Calculations[[#This Row],[Total Kg]],0)</f>
        <v>0</v>
      </c>
      <c r="W1014" s="322" cm="1">
        <f t="array" ref="W1014">IFERROR(VLOOKUP(Calculations[[#This Row],[Waste 1]],WasteScenario[#All],5,FALSE)*'Stage assumptions'!$C$226*WasteTransportMethod[Emissions Factor
kgCO2e/kg.km]*Calculations[[#This Row],[Total Kg]],0)</f>
        <v>0</v>
      </c>
      <c r="X1014" s="322">
        <f>SUM(Calculations[[#This Row],[C2 Recycle]:[C2 Reuse]])</f>
        <v>0</v>
      </c>
      <c r="Y1014" t="str">
        <f>IFERROR(VLOOKUP(Calculations[[#This Row],[Material (choose from dropdown]],MaterialData[#All],5,FALSE),"")</f>
        <v/>
      </c>
      <c r="Z1014" s="322">
        <f>IFERROR(((VLOOKUP(Calculations[[#This Row],[Waste type 2]],WasteDisposalEmissions[#All],2,FALSE))*Calculations[[#This Row],[Total Kg]])*VLOOKUP(Calculations[[#This Row],[Waste 1]],WasteScenario[#All],2,FALSE),0)</f>
        <v>0</v>
      </c>
      <c r="AA1014" s="322">
        <f>IFERROR((VLOOKUP(Calculations[[#This Row],[Waste type 2]],WasteDisposalEmissions[#All],3,FALSE))*Calculations[[#This Row],[Total Kg]]*VLOOKUP(Calculations[[#This Row],[Waste 1]],WasteScenario[#All],3,FALSE),0)</f>
        <v>0</v>
      </c>
      <c r="AB1014" s="322">
        <f>SUM(Calculations[[#This Row],[C3 recyc]:[C3 incin]])</f>
        <v>0</v>
      </c>
      <c r="AC1014" s="334">
        <f>IFERROR((VLOOKUP(Calculations[[#This Row],[Waste type 2]],WasteLandfillEmissions[#All],2,FALSE))*Calculations[[#This Row],[Total Kg]]*VLOOKUP(Calculations[[#This Row],[Waste 1]],WasteScenario[#All],4,FALSE),0)</f>
        <v>0</v>
      </c>
      <c r="AD1014" s="322">
        <f>IFERROR((VLOOKUP(Calculations[[#This Row],[Waste type 2]],WasteLandfillEmissions[#All],3,FALSE))*Calculations[[#This Row],[Total Kg]]*VLOOKUP(Calculations[[#This Row],[Waste 1]],WasteScenario[#All],4,FALSE),0)</f>
        <v>0</v>
      </c>
      <c r="AE1014" s="322">
        <f>SUM(Calculations[[#This Row],[C4 landfill]:[C4 re-use]])</f>
        <v>0</v>
      </c>
      <c r="AF1014" s="322">
        <f>IFERROR(VLOOKUP(Calculations[[#This Row],[Material (choose from dropdown]],MaterialData[#All],8,FALSE),0)</f>
        <v>0</v>
      </c>
      <c r="AG1014" s="322">
        <f>IFERROR(Calculations[[#This Row],[Total Kg]]*Calculations[[#This Row],[Seq factor]],0)</f>
        <v>0</v>
      </c>
      <c r="AI1014" s="322">
        <f>Calculations[[#This Row],[A1-3]]+Calculations[[#This Row],[A4]]+Calculations[[#This Row],[A5]]+Calculations[[#This Row],[B4]]+Calculations[[#This Row],[C2 total]]+Calculations[[#This Row],[C3 total]]+Calculations[[#This Row],[C4 total]]</f>
        <v>0</v>
      </c>
      <c r="AJ1014" s="2">
        <f>IFERROR(VLOOKUP(Calculations[[#This Row],[Material (choose from dropdown]],MaterialData[[#Headers],[#Data]],9,FALSE),0)</f>
        <v>0</v>
      </c>
      <c r="AK1014" s="4">
        <f>IFERROR(VLOOKUP(Calculations[[#This Row],[Material (choose from dropdown]],MaterialData[[#Headers],[#Data]],10,FALSE),0)</f>
        <v>0</v>
      </c>
      <c r="AL1014" s="322">
        <f>IFERROR(Calculations[[#This Row],[Data Quality Score]]*Calculations[[#This Row],[Total Kg]],0)</f>
        <v>0</v>
      </c>
    </row>
    <row r="1015" spans="1:38" x14ac:dyDescent="0.3">
      <c r="A1015" s="6">
        <f>IFERROR(MaterialsBoQ[[#This Row],[Scope Element]],0)</f>
        <v>0</v>
      </c>
      <c r="B1015" t="str">
        <f>IFERROR(MaterialsBoQ[[#This Row],[Material ]],"")</f>
        <v/>
      </c>
      <c r="C1015" t="str">
        <f>IFERROR(MaterialsBoQ[[#This Row],[Unit]],"")</f>
        <v/>
      </c>
      <c r="D1015" s="322">
        <f>IFERROR(MaterialsBoQ[[#This Row],[Number]],0)</f>
        <v>0</v>
      </c>
      <c r="E1015" s="322">
        <f>IFERROR(MaterialsBoQ[[#This Row],[Kg per unit]],0)</f>
        <v>0</v>
      </c>
      <c r="F1015" s="322">
        <f>IFERROR(Calculations[[#This Row],[Number]]*Calculations[[#This Row],[Conversion factor]],0)</f>
        <v>0</v>
      </c>
      <c r="G1015" s="322">
        <f>IFERROR(VLOOKUP(Calculations[[#This Row],[Material (choose from dropdown]],MaterialData[#All],7,FALSE),0)</f>
        <v>0</v>
      </c>
      <c r="H1015" s="322">
        <f>Calculations[[#This Row],[Total Kg]]*Calculations[[#This Row],[Carbon Factor]]</f>
        <v>0</v>
      </c>
      <c r="I1015" t="str">
        <f>IFERROR(VLOOKUP(Calculations[[#This Row],[Material (choose from dropdown]],MaterialData[#All],2,FALSE),"")</f>
        <v/>
      </c>
      <c r="J1015" s="322">
        <f>IFERROR(((VLOOKUP(Calculations[[#This Row],[TransportSource]],TransportDistance[],2,FALSE)*'Stage assumptions'!$C$11)+VLOOKUP(Calculations[[#This Row],[TransportSource]],TransportDistance[],3,FALSE)*'Stage assumptions'!$C$12)*Calculations[[#This Row],[Total Kg]],0)</f>
        <v>0</v>
      </c>
      <c r="K1015">
        <f>IFERROR(VLOOKUP(Calculations[[#This Row],[Material (choose from dropdown]], MaterialData[#All],3, FALSE),0)</f>
        <v>0</v>
      </c>
      <c r="L1015" s="322">
        <f>IFERROR(VLOOKUP(Calculations[[#This Row],[A5type]],A5WastageRate[#All],2,FALSE)*Calculations[[#This Row],[A1-3]],0)</f>
        <v>0</v>
      </c>
      <c r="N1015">
        <f>IFERROR(ROUNDUP(50/VLOOKUP(Calculations[[#This Row],[Scope Element]],B4referenceServiceLife[[Tier 2 element]:[Default Service Life]],2, FALSE)-1,0),0)</f>
        <v>0</v>
      </c>
      <c r="O1015" s="322">
        <f>IFERROR((Calculations[[#This Row],[A1-3]]+Calculations[[#This Row],[A4]]+Calculations[[#This Row],[A5]]+Calculations[[#This Row],[C2 total]]+Calculations[[#This Row],[C3 total]]+Calculations[[#This Row],[C4 total]])*Calculations[[#This Row],[Replacements]],0)</f>
        <v>0</v>
      </c>
      <c r="S1015" t="str">
        <f>IFERROR(VLOOKUP(Calculations[[#This Row],[Material (choose from dropdown]],MaterialData[#All],4,FALSE),"")</f>
        <v/>
      </c>
      <c r="T1015" s="322" cm="1">
        <f t="array" ref="T1015">IFERROR(VLOOKUP(Calculations[[#This Row],[Waste 1]],WasteScenario[#All],2,FALSE)*'Stage assumptions'!$C$225*WasteTransportMethod[Emissions Factor
kgCO2e/kg.km]*Calculations[[#This Row],[Total Kg]],0)</f>
        <v>0</v>
      </c>
      <c r="U1015" s="322" cm="1">
        <f t="array" ref="U1015">IFERROR(VLOOKUP(Calculations[[#This Row],[Waste 1]],WasteScenario[#All],3,FALSE)*'Stage assumptions'!$C$224*WasteTransportMethod[Emissions Factor
kgCO2e/kg.km]*Calculations[[#This Row],[Total Kg]],0)</f>
        <v>0</v>
      </c>
      <c r="V1015" s="322" cm="1">
        <f t="array" ref="V1015">IFERROR(VLOOKUP(Calculations[[#This Row],[Waste 1]],WasteScenario[#All],4,FALSE)*'Stage assumptions'!$C$223*WasteTransportMethod[Emissions Factor
kgCO2e/kg.km]*Calculations[[#This Row],[Total Kg]],0)</f>
        <v>0</v>
      </c>
      <c r="W1015" s="322" cm="1">
        <f t="array" ref="W1015">IFERROR(VLOOKUP(Calculations[[#This Row],[Waste 1]],WasteScenario[#All],5,FALSE)*'Stage assumptions'!$C$226*WasteTransportMethod[Emissions Factor
kgCO2e/kg.km]*Calculations[[#This Row],[Total Kg]],0)</f>
        <v>0</v>
      </c>
      <c r="X1015" s="322">
        <f>SUM(Calculations[[#This Row],[C2 Recycle]:[C2 Reuse]])</f>
        <v>0</v>
      </c>
      <c r="Y1015" t="str">
        <f>IFERROR(VLOOKUP(Calculations[[#This Row],[Material (choose from dropdown]],MaterialData[#All],5,FALSE),"")</f>
        <v/>
      </c>
      <c r="Z1015" s="322">
        <f>IFERROR(((VLOOKUP(Calculations[[#This Row],[Waste type 2]],WasteDisposalEmissions[#All],2,FALSE))*Calculations[[#This Row],[Total Kg]])*VLOOKUP(Calculations[[#This Row],[Waste 1]],WasteScenario[#All],2,FALSE),0)</f>
        <v>0</v>
      </c>
      <c r="AA1015" s="322">
        <f>IFERROR((VLOOKUP(Calculations[[#This Row],[Waste type 2]],WasteDisposalEmissions[#All],3,FALSE))*Calculations[[#This Row],[Total Kg]]*VLOOKUP(Calculations[[#This Row],[Waste 1]],WasteScenario[#All],3,FALSE),0)</f>
        <v>0</v>
      </c>
      <c r="AB1015" s="322">
        <f>SUM(Calculations[[#This Row],[C3 recyc]:[C3 incin]])</f>
        <v>0</v>
      </c>
      <c r="AC1015" s="334">
        <f>IFERROR((VLOOKUP(Calculations[[#This Row],[Waste type 2]],WasteLandfillEmissions[#All],2,FALSE))*Calculations[[#This Row],[Total Kg]]*VLOOKUP(Calculations[[#This Row],[Waste 1]],WasteScenario[#All],4,FALSE),0)</f>
        <v>0</v>
      </c>
      <c r="AD1015" s="322">
        <f>IFERROR((VLOOKUP(Calculations[[#This Row],[Waste type 2]],WasteLandfillEmissions[#All],3,FALSE))*Calculations[[#This Row],[Total Kg]]*VLOOKUP(Calculations[[#This Row],[Waste 1]],WasteScenario[#All],4,FALSE),0)</f>
        <v>0</v>
      </c>
      <c r="AE1015" s="322">
        <f>SUM(Calculations[[#This Row],[C4 landfill]:[C4 re-use]])</f>
        <v>0</v>
      </c>
      <c r="AF1015" s="322">
        <f>IFERROR(VLOOKUP(Calculations[[#This Row],[Material (choose from dropdown]],MaterialData[#All],8,FALSE),0)</f>
        <v>0</v>
      </c>
      <c r="AG1015" s="322">
        <f>IFERROR(Calculations[[#This Row],[Total Kg]]*Calculations[[#This Row],[Seq factor]],0)</f>
        <v>0</v>
      </c>
      <c r="AI1015" s="322">
        <f>Calculations[[#This Row],[A1-3]]+Calculations[[#This Row],[A4]]+Calculations[[#This Row],[A5]]+Calculations[[#This Row],[B4]]+Calculations[[#This Row],[C2 total]]+Calculations[[#This Row],[C3 total]]+Calculations[[#This Row],[C4 total]]</f>
        <v>0</v>
      </c>
      <c r="AJ1015" s="2">
        <f>IFERROR(VLOOKUP(Calculations[[#This Row],[Material (choose from dropdown]],MaterialData[[#Headers],[#Data]],9,FALSE),0)</f>
        <v>0</v>
      </c>
      <c r="AK1015" s="4">
        <f>IFERROR(VLOOKUP(Calculations[[#This Row],[Material (choose from dropdown]],MaterialData[[#Headers],[#Data]],10,FALSE),0)</f>
        <v>0</v>
      </c>
      <c r="AL1015" s="322">
        <f>IFERROR(Calculations[[#This Row],[Data Quality Score]]*Calculations[[#This Row],[Total Kg]],0)</f>
        <v>0</v>
      </c>
    </row>
    <row r="1016" spans="1:38" x14ac:dyDescent="0.3">
      <c r="A1016" s="6">
        <f>IFERROR(MaterialsBoQ[[#This Row],[Scope Element]],0)</f>
        <v>0</v>
      </c>
      <c r="B1016" t="str">
        <f>IFERROR(MaterialsBoQ[[#This Row],[Material ]],"")</f>
        <v/>
      </c>
      <c r="C1016" t="str">
        <f>IFERROR(MaterialsBoQ[[#This Row],[Unit]],"")</f>
        <v/>
      </c>
      <c r="D1016" s="322">
        <f>IFERROR(MaterialsBoQ[[#This Row],[Number]],0)</f>
        <v>0</v>
      </c>
      <c r="E1016" s="322">
        <f>IFERROR(MaterialsBoQ[[#This Row],[Kg per unit]],0)</f>
        <v>0</v>
      </c>
      <c r="F1016" s="322">
        <f>IFERROR(Calculations[[#This Row],[Number]]*Calculations[[#This Row],[Conversion factor]],0)</f>
        <v>0</v>
      </c>
      <c r="G1016" s="322">
        <f>IFERROR(VLOOKUP(Calculations[[#This Row],[Material (choose from dropdown]],MaterialData[#All],7,FALSE),0)</f>
        <v>0</v>
      </c>
      <c r="H1016" s="322">
        <f>Calculations[[#This Row],[Total Kg]]*Calculations[[#This Row],[Carbon Factor]]</f>
        <v>0</v>
      </c>
      <c r="I1016" t="str">
        <f>IFERROR(VLOOKUP(Calculations[[#This Row],[Material (choose from dropdown]],MaterialData[#All],2,FALSE),"")</f>
        <v/>
      </c>
      <c r="J1016" s="322">
        <f>IFERROR(((VLOOKUP(Calculations[[#This Row],[TransportSource]],TransportDistance[],2,FALSE)*'Stage assumptions'!$C$11)+VLOOKUP(Calculations[[#This Row],[TransportSource]],TransportDistance[],3,FALSE)*'Stage assumptions'!$C$12)*Calculations[[#This Row],[Total Kg]],0)</f>
        <v>0</v>
      </c>
      <c r="K1016">
        <f>IFERROR(VLOOKUP(Calculations[[#This Row],[Material (choose from dropdown]], MaterialData[#All],3, FALSE),0)</f>
        <v>0</v>
      </c>
      <c r="L1016" s="322">
        <f>IFERROR(VLOOKUP(Calculations[[#This Row],[A5type]],A5WastageRate[#All],2,FALSE)*Calculations[[#This Row],[A1-3]],0)</f>
        <v>0</v>
      </c>
      <c r="N1016">
        <f>IFERROR(ROUNDUP(50/VLOOKUP(Calculations[[#This Row],[Scope Element]],B4referenceServiceLife[[Tier 2 element]:[Default Service Life]],2, FALSE)-1,0),0)</f>
        <v>0</v>
      </c>
      <c r="O1016" s="322">
        <f>IFERROR((Calculations[[#This Row],[A1-3]]+Calculations[[#This Row],[A4]]+Calculations[[#This Row],[A5]]+Calculations[[#This Row],[C2 total]]+Calculations[[#This Row],[C3 total]]+Calculations[[#This Row],[C4 total]])*Calculations[[#This Row],[Replacements]],0)</f>
        <v>0</v>
      </c>
      <c r="S1016" t="str">
        <f>IFERROR(VLOOKUP(Calculations[[#This Row],[Material (choose from dropdown]],MaterialData[#All],4,FALSE),"")</f>
        <v/>
      </c>
      <c r="T1016" s="322" cm="1">
        <f t="array" ref="T1016">IFERROR(VLOOKUP(Calculations[[#This Row],[Waste 1]],WasteScenario[#All],2,FALSE)*'Stage assumptions'!$C$225*WasteTransportMethod[Emissions Factor
kgCO2e/kg.km]*Calculations[[#This Row],[Total Kg]],0)</f>
        <v>0</v>
      </c>
      <c r="U1016" s="322" cm="1">
        <f t="array" ref="U1016">IFERROR(VLOOKUP(Calculations[[#This Row],[Waste 1]],WasteScenario[#All],3,FALSE)*'Stage assumptions'!$C$224*WasteTransportMethod[Emissions Factor
kgCO2e/kg.km]*Calculations[[#This Row],[Total Kg]],0)</f>
        <v>0</v>
      </c>
      <c r="V1016" s="322" cm="1">
        <f t="array" ref="V1016">IFERROR(VLOOKUP(Calculations[[#This Row],[Waste 1]],WasteScenario[#All],4,FALSE)*'Stage assumptions'!$C$223*WasteTransportMethod[Emissions Factor
kgCO2e/kg.km]*Calculations[[#This Row],[Total Kg]],0)</f>
        <v>0</v>
      </c>
      <c r="W1016" s="322" cm="1">
        <f t="array" ref="W1016">IFERROR(VLOOKUP(Calculations[[#This Row],[Waste 1]],WasteScenario[#All],5,FALSE)*'Stage assumptions'!$C$226*WasteTransportMethod[Emissions Factor
kgCO2e/kg.km]*Calculations[[#This Row],[Total Kg]],0)</f>
        <v>0</v>
      </c>
      <c r="X1016" s="322">
        <f>SUM(Calculations[[#This Row],[C2 Recycle]:[C2 Reuse]])</f>
        <v>0</v>
      </c>
      <c r="Y1016" t="str">
        <f>IFERROR(VLOOKUP(Calculations[[#This Row],[Material (choose from dropdown]],MaterialData[#All],5,FALSE),"")</f>
        <v/>
      </c>
      <c r="Z1016" s="322">
        <f>IFERROR(((VLOOKUP(Calculations[[#This Row],[Waste type 2]],WasteDisposalEmissions[#All],2,FALSE))*Calculations[[#This Row],[Total Kg]])*VLOOKUP(Calculations[[#This Row],[Waste 1]],WasteScenario[#All],2,FALSE),0)</f>
        <v>0</v>
      </c>
      <c r="AA1016" s="322">
        <f>IFERROR((VLOOKUP(Calculations[[#This Row],[Waste type 2]],WasteDisposalEmissions[#All],3,FALSE))*Calculations[[#This Row],[Total Kg]]*VLOOKUP(Calculations[[#This Row],[Waste 1]],WasteScenario[#All],3,FALSE),0)</f>
        <v>0</v>
      </c>
      <c r="AB1016" s="322">
        <f>SUM(Calculations[[#This Row],[C3 recyc]:[C3 incin]])</f>
        <v>0</v>
      </c>
      <c r="AC1016" s="334">
        <f>IFERROR((VLOOKUP(Calculations[[#This Row],[Waste type 2]],WasteLandfillEmissions[#All],2,FALSE))*Calculations[[#This Row],[Total Kg]]*VLOOKUP(Calculations[[#This Row],[Waste 1]],WasteScenario[#All],4,FALSE),0)</f>
        <v>0</v>
      </c>
      <c r="AD1016" s="322">
        <f>IFERROR((VLOOKUP(Calculations[[#This Row],[Waste type 2]],WasteLandfillEmissions[#All],3,FALSE))*Calculations[[#This Row],[Total Kg]]*VLOOKUP(Calculations[[#This Row],[Waste 1]],WasteScenario[#All],4,FALSE),0)</f>
        <v>0</v>
      </c>
      <c r="AE1016" s="322">
        <f>SUM(Calculations[[#This Row],[C4 landfill]:[C4 re-use]])</f>
        <v>0</v>
      </c>
      <c r="AF1016" s="322">
        <f>IFERROR(VLOOKUP(Calculations[[#This Row],[Material (choose from dropdown]],MaterialData[#All],8,FALSE),0)</f>
        <v>0</v>
      </c>
      <c r="AG1016" s="322">
        <f>IFERROR(Calculations[[#This Row],[Total Kg]]*Calculations[[#This Row],[Seq factor]],0)</f>
        <v>0</v>
      </c>
      <c r="AI1016" s="322">
        <f>Calculations[[#This Row],[A1-3]]+Calculations[[#This Row],[A4]]+Calculations[[#This Row],[A5]]+Calculations[[#This Row],[B4]]+Calculations[[#This Row],[C2 total]]+Calculations[[#This Row],[C3 total]]+Calculations[[#This Row],[C4 total]]</f>
        <v>0</v>
      </c>
      <c r="AJ1016" s="2">
        <f>IFERROR(VLOOKUP(Calculations[[#This Row],[Material (choose from dropdown]],MaterialData[[#Headers],[#Data]],9,FALSE),0)</f>
        <v>0</v>
      </c>
      <c r="AK1016" s="4">
        <f>IFERROR(VLOOKUP(Calculations[[#This Row],[Material (choose from dropdown]],MaterialData[[#Headers],[#Data]],10,FALSE),0)</f>
        <v>0</v>
      </c>
      <c r="AL1016" s="322">
        <f>IFERROR(Calculations[[#This Row],[Data Quality Score]]*Calculations[[#This Row],[Total Kg]],0)</f>
        <v>0</v>
      </c>
    </row>
    <row r="1017" spans="1:38" x14ac:dyDescent="0.3">
      <c r="A1017" s="6">
        <f>IFERROR(MaterialsBoQ[[#This Row],[Scope Element]],0)</f>
        <v>0</v>
      </c>
      <c r="B1017" t="str">
        <f>IFERROR(MaterialsBoQ[[#This Row],[Material ]],"")</f>
        <v/>
      </c>
      <c r="C1017" t="str">
        <f>IFERROR(MaterialsBoQ[[#This Row],[Unit]],"")</f>
        <v/>
      </c>
      <c r="D1017" s="322">
        <f>IFERROR(MaterialsBoQ[[#This Row],[Number]],0)</f>
        <v>0</v>
      </c>
      <c r="E1017" s="322">
        <f>IFERROR(MaterialsBoQ[[#This Row],[Kg per unit]],0)</f>
        <v>0</v>
      </c>
      <c r="F1017" s="322">
        <f>IFERROR(Calculations[[#This Row],[Number]]*Calculations[[#This Row],[Conversion factor]],0)</f>
        <v>0</v>
      </c>
      <c r="G1017" s="322">
        <f>IFERROR(VLOOKUP(Calculations[[#This Row],[Material (choose from dropdown]],MaterialData[#All],7,FALSE),0)</f>
        <v>0</v>
      </c>
      <c r="H1017" s="322">
        <f>Calculations[[#This Row],[Total Kg]]*Calculations[[#This Row],[Carbon Factor]]</f>
        <v>0</v>
      </c>
      <c r="I1017" t="str">
        <f>IFERROR(VLOOKUP(Calculations[[#This Row],[Material (choose from dropdown]],MaterialData[#All],2,FALSE),"")</f>
        <v/>
      </c>
      <c r="J1017" s="322">
        <f>IFERROR(((VLOOKUP(Calculations[[#This Row],[TransportSource]],TransportDistance[],2,FALSE)*'Stage assumptions'!$C$11)+VLOOKUP(Calculations[[#This Row],[TransportSource]],TransportDistance[],3,FALSE)*'Stage assumptions'!$C$12)*Calculations[[#This Row],[Total Kg]],0)</f>
        <v>0</v>
      </c>
      <c r="K1017">
        <f>IFERROR(VLOOKUP(Calculations[[#This Row],[Material (choose from dropdown]], MaterialData[#All],3, FALSE),0)</f>
        <v>0</v>
      </c>
      <c r="L1017" s="322">
        <f>IFERROR(VLOOKUP(Calculations[[#This Row],[A5type]],A5WastageRate[#All],2,FALSE)*Calculations[[#This Row],[A1-3]],0)</f>
        <v>0</v>
      </c>
      <c r="N1017">
        <f>IFERROR(ROUNDUP(50/VLOOKUP(Calculations[[#This Row],[Scope Element]],B4referenceServiceLife[[Tier 2 element]:[Default Service Life]],2, FALSE)-1,0),0)</f>
        <v>0</v>
      </c>
      <c r="O1017" s="322">
        <f>IFERROR((Calculations[[#This Row],[A1-3]]+Calculations[[#This Row],[A4]]+Calculations[[#This Row],[A5]]+Calculations[[#This Row],[C2 total]]+Calculations[[#This Row],[C3 total]]+Calculations[[#This Row],[C4 total]])*Calculations[[#This Row],[Replacements]],0)</f>
        <v>0</v>
      </c>
      <c r="S1017" t="str">
        <f>IFERROR(VLOOKUP(Calculations[[#This Row],[Material (choose from dropdown]],MaterialData[#All],4,FALSE),"")</f>
        <v/>
      </c>
      <c r="T1017" s="322" cm="1">
        <f t="array" ref="T1017">IFERROR(VLOOKUP(Calculations[[#This Row],[Waste 1]],WasteScenario[#All],2,FALSE)*'Stage assumptions'!$C$225*WasteTransportMethod[Emissions Factor
kgCO2e/kg.km]*Calculations[[#This Row],[Total Kg]],0)</f>
        <v>0</v>
      </c>
      <c r="U1017" s="322" cm="1">
        <f t="array" ref="U1017">IFERROR(VLOOKUP(Calculations[[#This Row],[Waste 1]],WasteScenario[#All],3,FALSE)*'Stage assumptions'!$C$224*WasteTransportMethod[Emissions Factor
kgCO2e/kg.km]*Calculations[[#This Row],[Total Kg]],0)</f>
        <v>0</v>
      </c>
      <c r="V1017" s="322" cm="1">
        <f t="array" ref="V1017">IFERROR(VLOOKUP(Calculations[[#This Row],[Waste 1]],WasteScenario[#All],4,FALSE)*'Stage assumptions'!$C$223*WasteTransportMethod[Emissions Factor
kgCO2e/kg.km]*Calculations[[#This Row],[Total Kg]],0)</f>
        <v>0</v>
      </c>
      <c r="W1017" s="322" cm="1">
        <f t="array" ref="W1017">IFERROR(VLOOKUP(Calculations[[#This Row],[Waste 1]],WasteScenario[#All],5,FALSE)*'Stage assumptions'!$C$226*WasteTransportMethod[Emissions Factor
kgCO2e/kg.km]*Calculations[[#This Row],[Total Kg]],0)</f>
        <v>0</v>
      </c>
      <c r="X1017" s="322">
        <f>SUM(Calculations[[#This Row],[C2 Recycle]:[C2 Reuse]])</f>
        <v>0</v>
      </c>
      <c r="Y1017" t="str">
        <f>IFERROR(VLOOKUP(Calculations[[#This Row],[Material (choose from dropdown]],MaterialData[#All],5,FALSE),"")</f>
        <v/>
      </c>
      <c r="Z1017" s="322">
        <f>IFERROR(((VLOOKUP(Calculations[[#This Row],[Waste type 2]],WasteDisposalEmissions[#All],2,FALSE))*Calculations[[#This Row],[Total Kg]])*VLOOKUP(Calculations[[#This Row],[Waste 1]],WasteScenario[#All],2,FALSE),0)</f>
        <v>0</v>
      </c>
      <c r="AA1017" s="322">
        <f>IFERROR((VLOOKUP(Calculations[[#This Row],[Waste type 2]],WasteDisposalEmissions[#All],3,FALSE))*Calculations[[#This Row],[Total Kg]]*VLOOKUP(Calculations[[#This Row],[Waste 1]],WasteScenario[#All],3,FALSE),0)</f>
        <v>0</v>
      </c>
      <c r="AB1017" s="322">
        <f>SUM(Calculations[[#This Row],[C3 recyc]:[C3 incin]])</f>
        <v>0</v>
      </c>
      <c r="AC1017" s="334">
        <f>IFERROR((VLOOKUP(Calculations[[#This Row],[Waste type 2]],WasteLandfillEmissions[#All],2,FALSE))*Calculations[[#This Row],[Total Kg]]*VLOOKUP(Calculations[[#This Row],[Waste 1]],WasteScenario[#All],4,FALSE),0)</f>
        <v>0</v>
      </c>
      <c r="AD1017" s="322">
        <f>IFERROR((VLOOKUP(Calculations[[#This Row],[Waste type 2]],WasteLandfillEmissions[#All],3,FALSE))*Calculations[[#This Row],[Total Kg]]*VLOOKUP(Calculations[[#This Row],[Waste 1]],WasteScenario[#All],4,FALSE),0)</f>
        <v>0</v>
      </c>
      <c r="AE1017" s="322">
        <f>SUM(Calculations[[#This Row],[C4 landfill]:[C4 re-use]])</f>
        <v>0</v>
      </c>
      <c r="AF1017" s="322">
        <f>IFERROR(VLOOKUP(Calculations[[#This Row],[Material (choose from dropdown]],MaterialData[#All],8,FALSE),0)</f>
        <v>0</v>
      </c>
      <c r="AG1017" s="322">
        <f>IFERROR(Calculations[[#This Row],[Total Kg]]*Calculations[[#This Row],[Seq factor]],0)</f>
        <v>0</v>
      </c>
      <c r="AI1017" s="322">
        <f>Calculations[[#This Row],[A1-3]]+Calculations[[#This Row],[A4]]+Calculations[[#This Row],[A5]]+Calculations[[#This Row],[B4]]+Calculations[[#This Row],[C2 total]]+Calculations[[#This Row],[C3 total]]+Calculations[[#This Row],[C4 total]]</f>
        <v>0</v>
      </c>
      <c r="AJ1017" s="2">
        <f>IFERROR(VLOOKUP(Calculations[[#This Row],[Material (choose from dropdown]],MaterialData[[#Headers],[#Data]],9,FALSE),0)</f>
        <v>0</v>
      </c>
      <c r="AK1017" s="4">
        <f>IFERROR(VLOOKUP(Calculations[[#This Row],[Material (choose from dropdown]],MaterialData[[#Headers],[#Data]],10,FALSE),0)</f>
        <v>0</v>
      </c>
      <c r="AL1017" s="322">
        <f>IFERROR(Calculations[[#This Row],[Data Quality Score]]*Calculations[[#This Row],[Total Kg]],0)</f>
        <v>0</v>
      </c>
    </row>
    <row r="1018" spans="1:38" x14ac:dyDescent="0.3">
      <c r="A1018" s="6">
        <f>IFERROR(MaterialsBoQ[[#This Row],[Scope Element]],0)</f>
        <v>0</v>
      </c>
      <c r="B1018" t="str">
        <f>IFERROR(MaterialsBoQ[[#This Row],[Material ]],"")</f>
        <v/>
      </c>
      <c r="C1018" t="str">
        <f>IFERROR(MaterialsBoQ[[#This Row],[Unit]],"")</f>
        <v/>
      </c>
      <c r="D1018" s="322">
        <f>IFERROR(MaterialsBoQ[[#This Row],[Number]],0)</f>
        <v>0</v>
      </c>
      <c r="E1018" s="322">
        <f>IFERROR(MaterialsBoQ[[#This Row],[Kg per unit]],0)</f>
        <v>0</v>
      </c>
      <c r="F1018" s="322">
        <f>IFERROR(Calculations[[#This Row],[Number]]*Calculations[[#This Row],[Conversion factor]],0)</f>
        <v>0</v>
      </c>
      <c r="G1018" s="322">
        <f>IFERROR(VLOOKUP(Calculations[[#This Row],[Material (choose from dropdown]],MaterialData[#All],7,FALSE),0)</f>
        <v>0</v>
      </c>
      <c r="H1018" s="322">
        <f>Calculations[[#This Row],[Total Kg]]*Calculations[[#This Row],[Carbon Factor]]</f>
        <v>0</v>
      </c>
      <c r="I1018" t="str">
        <f>IFERROR(VLOOKUP(Calculations[[#This Row],[Material (choose from dropdown]],MaterialData[#All],2,FALSE),"")</f>
        <v/>
      </c>
      <c r="J1018" s="322">
        <f>IFERROR(((VLOOKUP(Calculations[[#This Row],[TransportSource]],TransportDistance[],2,FALSE)*'Stage assumptions'!$C$11)+VLOOKUP(Calculations[[#This Row],[TransportSource]],TransportDistance[],3,FALSE)*'Stage assumptions'!$C$12)*Calculations[[#This Row],[Total Kg]],0)</f>
        <v>0</v>
      </c>
      <c r="K1018">
        <f>IFERROR(VLOOKUP(Calculations[[#This Row],[Material (choose from dropdown]], MaterialData[#All],3, FALSE),0)</f>
        <v>0</v>
      </c>
      <c r="L1018" s="322">
        <f>IFERROR(VLOOKUP(Calculations[[#This Row],[A5type]],A5WastageRate[#All],2,FALSE)*Calculations[[#This Row],[A1-3]],0)</f>
        <v>0</v>
      </c>
      <c r="N1018">
        <f>IFERROR(ROUNDUP(50/VLOOKUP(Calculations[[#This Row],[Scope Element]],B4referenceServiceLife[[Tier 2 element]:[Default Service Life]],2, FALSE)-1,0),0)</f>
        <v>0</v>
      </c>
      <c r="O1018" s="322">
        <f>IFERROR((Calculations[[#This Row],[A1-3]]+Calculations[[#This Row],[A4]]+Calculations[[#This Row],[A5]]+Calculations[[#This Row],[C2 total]]+Calculations[[#This Row],[C3 total]]+Calculations[[#This Row],[C4 total]])*Calculations[[#This Row],[Replacements]],0)</f>
        <v>0</v>
      </c>
      <c r="S1018" t="str">
        <f>IFERROR(VLOOKUP(Calculations[[#This Row],[Material (choose from dropdown]],MaterialData[#All],4,FALSE),"")</f>
        <v/>
      </c>
      <c r="T1018" s="322" cm="1">
        <f t="array" ref="T1018">IFERROR(VLOOKUP(Calculations[[#This Row],[Waste 1]],WasteScenario[#All],2,FALSE)*'Stage assumptions'!$C$225*WasteTransportMethod[Emissions Factor
kgCO2e/kg.km]*Calculations[[#This Row],[Total Kg]],0)</f>
        <v>0</v>
      </c>
      <c r="U1018" s="322" cm="1">
        <f t="array" ref="U1018">IFERROR(VLOOKUP(Calculations[[#This Row],[Waste 1]],WasteScenario[#All],3,FALSE)*'Stage assumptions'!$C$224*WasteTransportMethod[Emissions Factor
kgCO2e/kg.km]*Calculations[[#This Row],[Total Kg]],0)</f>
        <v>0</v>
      </c>
      <c r="V1018" s="322" cm="1">
        <f t="array" ref="V1018">IFERROR(VLOOKUP(Calculations[[#This Row],[Waste 1]],WasteScenario[#All],4,FALSE)*'Stage assumptions'!$C$223*WasteTransportMethod[Emissions Factor
kgCO2e/kg.km]*Calculations[[#This Row],[Total Kg]],0)</f>
        <v>0</v>
      </c>
      <c r="W1018" s="322" cm="1">
        <f t="array" ref="W1018">IFERROR(VLOOKUP(Calculations[[#This Row],[Waste 1]],WasteScenario[#All],5,FALSE)*'Stage assumptions'!$C$226*WasteTransportMethod[Emissions Factor
kgCO2e/kg.km]*Calculations[[#This Row],[Total Kg]],0)</f>
        <v>0</v>
      </c>
      <c r="X1018" s="322">
        <f>SUM(Calculations[[#This Row],[C2 Recycle]:[C2 Reuse]])</f>
        <v>0</v>
      </c>
      <c r="Y1018" t="str">
        <f>IFERROR(VLOOKUP(Calculations[[#This Row],[Material (choose from dropdown]],MaterialData[#All],5,FALSE),"")</f>
        <v/>
      </c>
      <c r="Z1018" s="322">
        <f>IFERROR(((VLOOKUP(Calculations[[#This Row],[Waste type 2]],WasteDisposalEmissions[#All],2,FALSE))*Calculations[[#This Row],[Total Kg]])*VLOOKUP(Calculations[[#This Row],[Waste 1]],WasteScenario[#All],2,FALSE),0)</f>
        <v>0</v>
      </c>
      <c r="AA1018" s="322">
        <f>IFERROR((VLOOKUP(Calculations[[#This Row],[Waste type 2]],WasteDisposalEmissions[#All],3,FALSE))*Calculations[[#This Row],[Total Kg]]*VLOOKUP(Calculations[[#This Row],[Waste 1]],WasteScenario[#All],3,FALSE),0)</f>
        <v>0</v>
      </c>
      <c r="AB1018" s="322">
        <f>SUM(Calculations[[#This Row],[C3 recyc]:[C3 incin]])</f>
        <v>0</v>
      </c>
      <c r="AC1018" s="334">
        <f>IFERROR((VLOOKUP(Calculations[[#This Row],[Waste type 2]],WasteLandfillEmissions[#All],2,FALSE))*Calculations[[#This Row],[Total Kg]]*VLOOKUP(Calculations[[#This Row],[Waste 1]],WasteScenario[#All],4,FALSE),0)</f>
        <v>0</v>
      </c>
      <c r="AD1018" s="322">
        <f>IFERROR((VLOOKUP(Calculations[[#This Row],[Waste type 2]],WasteLandfillEmissions[#All],3,FALSE))*Calculations[[#This Row],[Total Kg]]*VLOOKUP(Calculations[[#This Row],[Waste 1]],WasteScenario[#All],4,FALSE),0)</f>
        <v>0</v>
      </c>
      <c r="AE1018" s="322">
        <f>SUM(Calculations[[#This Row],[C4 landfill]:[C4 re-use]])</f>
        <v>0</v>
      </c>
      <c r="AF1018" s="322">
        <f>IFERROR(VLOOKUP(Calculations[[#This Row],[Material (choose from dropdown]],MaterialData[#All],8,FALSE),0)</f>
        <v>0</v>
      </c>
      <c r="AG1018" s="322">
        <f>IFERROR(Calculations[[#This Row],[Total Kg]]*Calculations[[#This Row],[Seq factor]],0)</f>
        <v>0</v>
      </c>
      <c r="AI1018" s="322">
        <f>Calculations[[#This Row],[A1-3]]+Calculations[[#This Row],[A4]]+Calculations[[#This Row],[A5]]+Calculations[[#This Row],[B4]]+Calculations[[#This Row],[C2 total]]+Calculations[[#This Row],[C3 total]]+Calculations[[#This Row],[C4 total]]</f>
        <v>0</v>
      </c>
      <c r="AJ1018" s="2">
        <f>IFERROR(VLOOKUP(Calculations[[#This Row],[Material (choose from dropdown]],MaterialData[[#Headers],[#Data]],9,FALSE),0)</f>
        <v>0</v>
      </c>
      <c r="AK1018" s="4">
        <f>IFERROR(VLOOKUP(Calculations[[#This Row],[Material (choose from dropdown]],MaterialData[[#Headers],[#Data]],10,FALSE),0)</f>
        <v>0</v>
      </c>
      <c r="AL1018" s="322">
        <f>IFERROR(Calculations[[#This Row],[Data Quality Score]]*Calculations[[#This Row],[Total Kg]],0)</f>
        <v>0</v>
      </c>
    </row>
    <row r="1019" spans="1:38" x14ac:dyDescent="0.3">
      <c r="A1019" s="6">
        <f>IFERROR(MaterialsBoQ[[#This Row],[Scope Element]],0)</f>
        <v>0</v>
      </c>
      <c r="B1019" t="str">
        <f>IFERROR(MaterialsBoQ[[#This Row],[Material ]],"")</f>
        <v/>
      </c>
      <c r="C1019" t="str">
        <f>IFERROR(MaterialsBoQ[[#This Row],[Unit]],"")</f>
        <v/>
      </c>
      <c r="D1019" s="322">
        <f>IFERROR(MaterialsBoQ[[#This Row],[Number]],0)</f>
        <v>0</v>
      </c>
      <c r="E1019" s="322">
        <f>IFERROR(MaterialsBoQ[[#This Row],[Kg per unit]],0)</f>
        <v>0</v>
      </c>
      <c r="F1019" s="322">
        <f>IFERROR(Calculations[[#This Row],[Number]]*Calculations[[#This Row],[Conversion factor]],0)</f>
        <v>0</v>
      </c>
      <c r="G1019" s="322">
        <f>IFERROR(VLOOKUP(Calculations[[#This Row],[Material (choose from dropdown]],MaterialData[#All],7,FALSE),0)</f>
        <v>0</v>
      </c>
      <c r="H1019" s="322">
        <f>Calculations[[#This Row],[Total Kg]]*Calculations[[#This Row],[Carbon Factor]]</f>
        <v>0</v>
      </c>
      <c r="I1019" t="str">
        <f>IFERROR(VLOOKUP(Calculations[[#This Row],[Material (choose from dropdown]],MaterialData[#All],2,FALSE),"")</f>
        <v/>
      </c>
      <c r="J1019" s="322">
        <f>IFERROR(((VLOOKUP(Calculations[[#This Row],[TransportSource]],TransportDistance[],2,FALSE)*'Stage assumptions'!$C$11)+VLOOKUP(Calculations[[#This Row],[TransportSource]],TransportDistance[],3,FALSE)*'Stage assumptions'!$C$12)*Calculations[[#This Row],[Total Kg]],0)</f>
        <v>0</v>
      </c>
      <c r="K1019">
        <f>IFERROR(VLOOKUP(Calculations[[#This Row],[Material (choose from dropdown]], MaterialData[#All],3, FALSE),0)</f>
        <v>0</v>
      </c>
      <c r="L1019" s="322">
        <f>IFERROR(VLOOKUP(Calculations[[#This Row],[A5type]],A5WastageRate[#All],2,FALSE)*Calculations[[#This Row],[A1-3]],0)</f>
        <v>0</v>
      </c>
      <c r="N1019">
        <f>IFERROR(ROUNDUP(50/VLOOKUP(Calculations[[#This Row],[Scope Element]],B4referenceServiceLife[[Tier 2 element]:[Default Service Life]],2, FALSE)-1,0),0)</f>
        <v>0</v>
      </c>
      <c r="O1019" s="322">
        <f>IFERROR((Calculations[[#This Row],[A1-3]]+Calculations[[#This Row],[A4]]+Calculations[[#This Row],[A5]]+Calculations[[#This Row],[C2 total]]+Calculations[[#This Row],[C3 total]]+Calculations[[#This Row],[C4 total]])*Calculations[[#This Row],[Replacements]],0)</f>
        <v>0</v>
      </c>
      <c r="S1019" t="str">
        <f>IFERROR(VLOOKUP(Calculations[[#This Row],[Material (choose from dropdown]],MaterialData[#All],4,FALSE),"")</f>
        <v/>
      </c>
      <c r="T1019" s="322" cm="1">
        <f t="array" ref="T1019">IFERROR(VLOOKUP(Calculations[[#This Row],[Waste 1]],WasteScenario[#All],2,FALSE)*'Stage assumptions'!$C$225*WasteTransportMethod[Emissions Factor
kgCO2e/kg.km]*Calculations[[#This Row],[Total Kg]],0)</f>
        <v>0</v>
      </c>
      <c r="U1019" s="322" cm="1">
        <f t="array" ref="U1019">IFERROR(VLOOKUP(Calculations[[#This Row],[Waste 1]],WasteScenario[#All],3,FALSE)*'Stage assumptions'!$C$224*WasteTransportMethod[Emissions Factor
kgCO2e/kg.km]*Calculations[[#This Row],[Total Kg]],0)</f>
        <v>0</v>
      </c>
      <c r="V1019" s="322" cm="1">
        <f t="array" ref="V1019">IFERROR(VLOOKUP(Calculations[[#This Row],[Waste 1]],WasteScenario[#All],4,FALSE)*'Stage assumptions'!$C$223*WasteTransportMethod[Emissions Factor
kgCO2e/kg.km]*Calculations[[#This Row],[Total Kg]],0)</f>
        <v>0</v>
      </c>
      <c r="W1019" s="322" cm="1">
        <f t="array" ref="W1019">IFERROR(VLOOKUP(Calculations[[#This Row],[Waste 1]],WasteScenario[#All],5,FALSE)*'Stage assumptions'!$C$226*WasteTransportMethod[Emissions Factor
kgCO2e/kg.km]*Calculations[[#This Row],[Total Kg]],0)</f>
        <v>0</v>
      </c>
      <c r="X1019" s="322">
        <f>SUM(Calculations[[#This Row],[C2 Recycle]:[C2 Reuse]])</f>
        <v>0</v>
      </c>
      <c r="Y1019" t="str">
        <f>IFERROR(VLOOKUP(Calculations[[#This Row],[Material (choose from dropdown]],MaterialData[#All],5,FALSE),"")</f>
        <v/>
      </c>
      <c r="Z1019" s="322">
        <f>IFERROR(((VLOOKUP(Calculations[[#This Row],[Waste type 2]],WasteDisposalEmissions[#All],2,FALSE))*Calculations[[#This Row],[Total Kg]])*VLOOKUP(Calculations[[#This Row],[Waste 1]],WasteScenario[#All],2,FALSE),0)</f>
        <v>0</v>
      </c>
      <c r="AA1019" s="322">
        <f>IFERROR((VLOOKUP(Calculations[[#This Row],[Waste type 2]],WasteDisposalEmissions[#All],3,FALSE))*Calculations[[#This Row],[Total Kg]]*VLOOKUP(Calculations[[#This Row],[Waste 1]],WasteScenario[#All],3,FALSE),0)</f>
        <v>0</v>
      </c>
      <c r="AB1019" s="322">
        <f>SUM(Calculations[[#This Row],[C3 recyc]:[C3 incin]])</f>
        <v>0</v>
      </c>
      <c r="AC1019" s="334">
        <f>IFERROR((VLOOKUP(Calculations[[#This Row],[Waste type 2]],WasteLandfillEmissions[#All],2,FALSE))*Calculations[[#This Row],[Total Kg]]*VLOOKUP(Calculations[[#This Row],[Waste 1]],WasteScenario[#All],4,FALSE),0)</f>
        <v>0</v>
      </c>
      <c r="AD1019" s="322">
        <f>IFERROR((VLOOKUP(Calculations[[#This Row],[Waste type 2]],WasteLandfillEmissions[#All],3,FALSE))*Calculations[[#This Row],[Total Kg]]*VLOOKUP(Calculations[[#This Row],[Waste 1]],WasteScenario[#All],4,FALSE),0)</f>
        <v>0</v>
      </c>
      <c r="AE1019" s="322">
        <f>SUM(Calculations[[#This Row],[C4 landfill]:[C4 re-use]])</f>
        <v>0</v>
      </c>
      <c r="AF1019" s="322">
        <f>IFERROR(VLOOKUP(Calculations[[#This Row],[Material (choose from dropdown]],MaterialData[#All],8,FALSE),0)</f>
        <v>0</v>
      </c>
      <c r="AG1019" s="322">
        <f>IFERROR(Calculations[[#This Row],[Total Kg]]*Calculations[[#This Row],[Seq factor]],0)</f>
        <v>0</v>
      </c>
      <c r="AI1019" s="322">
        <f>Calculations[[#This Row],[A1-3]]+Calculations[[#This Row],[A4]]+Calculations[[#This Row],[A5]]+Calculations[[#This Row],[B4]]+Calculations[[#This Row],[C2 total]]+Calculations[[#This Row],[C3 total]]+Calculations[[#This Row],[C4 total]]</f>
        <v>0</v>
      </c>
      <c r="AJ1019" s="2">
        <f>IFERROR(VLOOKUP(Calculations[[#This Row],[Material (choose from dropdown]],MaterialData[[#Headers],[#Data]],9,FALSE),0)</f>
        <v>0</v>
      </c>
      <c r="AK1019" s="4">
        <f>IFERROR(VLOOKUP(Calculations[[#This Row],[Material (choose from dropdown]],MaterialData[[#Headers],[#Data]],10,FALSE),0)</f>
        <v>0</v>
      </c>
      <c r="AL1019" s="322">
        <f>IFERROR(Calculations[[#This Row],[Data Quality Score]]*Calculations[[#This Row],[Total Kg]],0)</f>
        <v>0</v>
      </c>
    </row>
    <row r="1020" spans="1:38" x14ac:dyDescent="0.3">
      <c r="A1020" s="6">
        <f>IFERROR(MaterialsBoQ[[#This Row],[Scope Element]],0)</f>
        <v>0</v>
      </c>
      <c r="B1020" t="str">
        <f>IFERROR(MaterialsBoQ[[#This Row],[Material ]],"")</f>
        <v/>
      </c>
      <c r="C1020" t="str">
        <f>IFERROR(MaterialsBoQ[[#This Row],[Unit]],"")</f>
        <v/>
      </c>
      <c r="D1020" s="322">
        <f>IFERROR(MaterialsBoQ[[#This Row],[Number]],0)</f>
        <v>0</v>
      </c>
      <c r="E1020" s="322">
        <f>IFERROR(MaterialsBoQ[[#This Row],[Kg per unit]],0)</f>
        <v>0</v>
      </c>
      <c r="F1020" s="322">
        <f>IFERROR(Calculations[[#This Row],[Number]]*Calculations[[#This Row],[Conversion factor]],0)</f>
        <v>0</v>
      </c>
      <c r="G1020" s="322">
        <f>IFERROR(VLOOKUP(Calculations[[#This Row],[Material (choose from dropdown]],MaterialData[#All],7,FALSE),0)</f>
        <v>0</v>
      </c>
      <c r="H1020" s="322">
        <f>Calculations[[#This Row],[Total Kg]]*Calculations[[#This Row],[Carbon Factor]]</f>
        <v>0</v>
      </c>
      <c r="I1020" t="str">
        <f>IFERROR(VLOOKUP(Calculations[[#This Row],[Material (choose from dropdown]],MaterialData[#All],2,FALSE),"")</f>
        <v/>
      </c>
      <c r="J1020" s="322">
        <f>IFERROR(((VLOOKUP(Calculations[[#This Row],[TransportSource]],TransportDistance[],2,FALSE)*'Stage assumptions'!$C$11)+VLOOKUP(Calculations[[#This Row],[TransportSource]],TransportDistance[],3,FALSE)*'Stage assumptions'!$C$12)*Calculations[[#This Row],[Total Kg]],0)</f>
        <v>0</v>
      </c>
      <c r="K1020">
        <f>IFERROR(VLOOKUP(Calculations[[#This Row],[Material (choose from dropdown]], MaterialData[#All],3, FALSE),0)</f>
        <v>0</v>
      </c>
      <c r="L1020" s="322">
        <f>IFERROR(VLOOKUP(Calculations[[#This Row],[A5type]],A5WastageRate[#All],2,FALSE)*Calculations[[#This Row],[A1-3]],0)</f>
        <v>0</v>
      </c>
      <c r="N1020">
        <f>IFERROR(ROUNDUP(50/VLOOKUP(Calculations[[#This Row],[Scope Element]],B4referenceServiceLife[[Tier 2 element]:[Default Service Life]],2, FALSE)-1,0),0)</f>
        <v>0</v>
      </c>
      <c r="O1020" s="322">
        <f>IFERROR((Calculations[[#This Row],[A1-3]]+Calculations[[#This Row],[A4]]+Calculations[[#This Row],[A5]]+Calculations[[#This Row],[C2 total]]+Calculations[[#This Row],[C3 total]]+Calculations[[#This Row],[C4 total]])*Calculations[[#This Row],[Replacements]],0)</f>
        <v>0</v>
      </c>
      <c r="S1020" t="str">
        <f>IFERROR(VLOOKUP(Calculations[[#This Row],[Material (choose from dropdown]],MaterialData[#All],4,FALSE),"")</f>
        <v/>
      </c>
      <c r="T1020" s="322" cm="1">
        <f t="array" ref="T1020">IFERROR(VLOOKUP(Calculations[[#This Row],[Waste 1]],WasteScenario[#All],2,FALSE)*'Stage assumptions'!$C$225*WasteTransportMethod[Emissions Factor
kgCO2e/kg.km]*Calculations[[#This Row],[Total Kg]],0)</f>
        <v>0</v>
      </c>
      <c r="U1020" s="322" cm="1">
        <f t="array" ref="U1020">IFERROR(VLOOKUP(Calculations[[#This Row],[Waste 1]],WasteScenario[#All],3,FALSE)*'Stage assumptions'!$C$224*WasteTransportMethod[Emissions Factor
kgCO2e/kg.km]*Calculations[[#This Row],[Total Kg]],0)</f>
        <v>0</v>
      </c>
      <c r="V1020" s="322" cm="1">
        <f t="array" ref="V1020">IFERROR(VLOOKUP(Calculations[[#This Row],[Waste 1]],WasteScenario[#All],4,FALSE)*'Stage assumptions'!$C$223*WasteTransportMethod[Emissions Factor
kgCO2e/kg.km]*Calculations[[#This Row],[Total Kg]],0)</f>
        <v>0</v>
      </c>
      <c r="W1020" s="322" cm="1">
        <f t="array" ref="W1020">IFERROR(VLOOKUP(Calculations[[#This Row],[Waste 1]],WasteScenario[#All],5,FALSE)*'Stage assumptions'!$C$226*WasteTransportMethod[Emissions Factor
kgCO2e/kg.km]*Calculations[[#This Row],[Total Kg]],0)</f>
        <v>0</v>
      </c>
      <c r="X1020" s="322">
        <f>SUM(Calculations[[#This Row],[C2 Recycle]:[C2 Reuse]])</f>
        <v>0</v>
      </c>
      <c r="Y1020" t="str">
        <f>IFERROR(VLOOKUP(Calculations[[#This Row],[Material (choose from dropdown]],MaterialData[#All],5,FALSE),"")</f>
        <v/>
      </c>
      <c r="Z1020" s="322">
        <f>IFERROR(((VLOOKUP(Calculations[[#This Row],[Waste type 2]],WasteDisposalEmissions[#All],2,FALSE))*Calculations[[#This Row],[Total Kg]])*VLOOKUP(Calculations[[#This Row],[Waste 1]],WasteScenario[#All],2,FALSE),0)</f>
        <v>0</v>
      </c>
      <c r="AA1020" s="322">
        <f>IFERROR((VLOOKUP(Calculations[[#This Row],[Waste type 2]],WasteDisposalEmissions[#All],3,FALSE))*Calculations[[#This Row],[Total Kg]]*VLOOKUP(Calculations[[#This Row],[Waste 1]],WasteScenario[#All],3,FALSE),0)</f>
        <v>0</v>
      </c>
      <c r="AB1020" s="322">
        <f>SUM(Calculations[[#This Row],[C3 recyc]:[C3 incin]])</f>
        <v>0</v>
      </c>
      <c r="AC1020" s="334">
        <f>IFERROR((VLOOKUP(Calculations[[#This Row],[Waste type 2]],WasteLandfillEmissions[#All],2,FALSE))*Calculations[[#This Row],[Total Kg]]*VLOOKUP(Calculations[[#This Row],[Waste 1]],WasteScenario[#All],4,FALSE),0)</f>
        <v>0</v>
      </c>
      <c r="AD1020" s="322">
        <f>IFERROR((VLOOKUP(Calculations[[#This Row],[Waste type 2]],WasteLandfillEmissions[#All],3,FALSE))*Calculations[[#This Row],[Total Kg]]*VLOOKUP(Calculations[[#This Row],[Waste 1]],WasteScenario[#All],4,FALSE),0)</f>
        <v>0</v>
      </c>
      <c r="AE1020" s="322">
        <f>SUM(Calculations[[#This Row],[C4 landfill]:[C4 re-use]])</f>
        <v>0</v>
      </c>
      <c r="AF1020" s="322">
        <f>IFERROR(VLOOKUP(Calculations[[#This Row],[Material (choose from dropdown]],MaterialData[#All],8,FALSE),0)</f>
        <v>0</v>
      </c>
      <c r="AG1020" s="322">
        <f>IFERROR(Calculations[[#This Row],[Total Kg]]*Calculations[[#This Row],[Seq factor]],0)</f>
        <v>0</v>
      </c>
      <c r="AI1020" s="322">
        <f>Calculations[[#This Row],[A1-3]]+Calculations[[#This Row],[A4]]+Calculations[[#This Row],[A5]]+Calculations[[#This Row],[B4]]+Calculations[[#This Row],[C2 total]]+Calculations[[#This Row],[C3 total]]+Calculations[[#This Row],[C4 total]]</f>
        <v>0</v>
      </c>
      <c r="AJ1020" s="2">
        <f>IFERROR(VLOOKUP(Calculations[[#This Row],[Material (choose from dropdown]],MaterialData[[#Headers],[#Data]],9,FALSE),0)</f>
        <v>0</v>
      </c>
      <c r="AK1020" s="4">
        <f>IFERROR(VLOOKUP(Calculations[[#This Row],[Material (choose from dropdown]],MaterialData[[#Headers],[#Data]],10,FALSE),0)</f>
        <v>0</v>
      </c>
      <c r="AL1020" s="322">
        <f>IFERROR(Calculations[[#This Row],[Data Quality Score]]*Calculations[[#This Row],[Total Kg]],0)</f>
        <v>0</v>
      </c>
    </row>
    <row r="1021" spans="1:38" x14ac:dyDescent="0.3">
      <c r="A1021" s="6">
        <f>IFERROR(MaterialsBoQ[[#This Row],[Scope Element]],0)</f>
        <v>0</v>
      </c>
      <c r="B1021" t="str">
        <f>IFERROR(MaterialsBoQ[[#This Row],[Material ]],"")</f>
        <v/>
      </c>
      <c r="C1021" t="str">
        <f>IFERROR(MaterialsBoQ[[#This Row],[Unit]],"")</f>
        <v/>
      </c>
      <c r="D1021" s="322">
        <f>IFERROR(MaterialsBoQ[[#This Row],[Number]],0)</f>
        <v>0</v>
      </c>
      <c r="E1021" s="322">
        <f>IFERROR(MaterialsBoQ[[#This Row],[Kg per unit]],0)</f>
        <v>0</v>
      </c>
      <c r="F1021" s="322">
        <f>IFERROR(Calculations[[#This Row],[Number]]*Calculations[[#This Row],[Conversion factor]],0)</f>
        <v>0</v>
      </c>
      <c r="G1021" s="322">
        <f>IFERROR(VLOOKUP(Calculations[[#This Row],[Material (choose from dropdown]],MaterialData[#All],7,FALSE),0)</f>
        <v>0</v>
      </c>
      <c r="H1021" s="322">
        <f>Calculations[[#This Row],[Total Kg]]*Calculations[[#This Row],[Carbon Factor]]</f>
        <v>0</v>
      </c>
      <c r="I1021" t="str">
        <f>IFERROR(VLOOKUP(Calculations[[#This Row],[Material (choose from dropdown]],MaterialData[#All],2,FALSE),"")</f>
        <v/>
      </c>
      <c r="J1021" s="322">
        <f>IFERROR(((VLOOKUP(Calculations[[#This Row],[TransportSource]],TransportDistance[],2,FALSE)*'Stage assumptions'!$C$11)+VLOOKUP(Calculations[[#This Row],[TransportSource]],TransportDistance[],3,FALSE)*'Stage assumptions'!$C$12)*Calculations[[#This Row],[Total Kg]],0)</f>
        <v>0</v>
      </c>
      <c r="K1021">
        <f>IFERROR(VLOOKUP(Calculations[[#This Row],[Material (choose from dropdown]], MaterialData[#All],3, FALSE),0)</f>
        <v>0</v>
      </c>
      <c r="L1021" s="322">
        <f>IFERROR(VLOOKUP(Calculations[[#This Row],[A5type]],A5WastageRate[#All],2,FALSE)*Calculations[[#This Row],[A1-3]],0)</f>
        <v>0</v>
      </c>
      <c r="N1021">
        <f>IFERROR(ROUNDUP(50/VLOOKUP(Calculations[[#This Row],[Scope Element]],B4referenceServiceLife[[Tier 2 element]:[Default Service Life]],2, FALSE)-1,0),0)</f>
        <v>0</v>
      </c>
      <c r="O1021" s="322">
        <f>IFERROR((Calculations[[#This Row],[A1-3]]+Calculations[[#This Row],[A4]]+Calculations[[#This Row],[A5]]+Calculations[[#This Row],[C2 total]]+Calculations[[#This Row],[C3 total]]+Calculations[[#This Row],[C4 total]])*Calculations[[#This Row],[Replacements]],0)</f>
        <v>0</v>
      </c>
      <c r="S1021" t="str">
        <f>IFERROR(VLOOKUP(Calculations[[#This Row],[Material (choose from dropdown]],MaterialData[#All],4,FALSE),"")</f>
        <v/>
      </c>
      <c r="T1021" s="322" cm="1">
        <f t="array" ref="T1021">IFERROR(VLOOKUP(Calculations[[#This Row],[Waste 1]],WasteScenario[#All],2,FALSE)*'Stage assumptions'!$C$225*WasteTransportMethod[Emissions Factor
kgCO2e/kg.km]*Calculations[[#This Row],[Total Kg]],0)</f>
        <v>0</v>
      </c>
      <c r="U1021" s="322" cm="1">
        <f t="array" ref="U1021">IFERROR(VLOOKUP(Calculations[[#This Row],[Waste 1]],WasteScenario[#All],3,FALSE)*'Stage assumptions'!$C$224*WasteTransportMethod[Emissions Factor
kgCO2e/kg.km]*Calculations[[#This Row],[Total Kg]],0)</f>
        <v>0</v>
      </c>
      <c r="V1021" s="322" cm="1">
        <f t="array" ref="V1021">IFERROR(VLOOKUP(Calculations[[#This Row],[Waste 1]],WasteScenario[#All],4,FALSE)*'Stage assumptions'!$C$223*WasteTransportMethod[Emissions Factor
kgCO2e/kg.km]*Calculations[[#This Row],[Total Kg]],0)</f>
        <v>0</v>
      </c>
      <c r="W1021" s="322" cm="1">
        <f t="array" ref="W1021">IFERROR(VLOOKUP(Calculations[[#This Row],[Waste 1]],WasteScenario[#All],5,FALSE)*'Stage assumptions'!$C$226*WasteTransportMethod[Emissions Factor
kgCO2e/kg.km]*Calculations[[#This Row],[Total Kg]],0)</f>
        <v>0</v>
      </c>
      <c r="X1021" s="322">
        <f>SUM(Calculations[[#This Row],[C2 Recycle]:[C2 Reuse]])</f>
        <v>0</v>
      </c>
      <c r="Y1021" t="str">
        <f>IFERROR(VLOOKUP(Calculations[[#This Row],[Material (choose from dropdown]],MaterialData[#All],5,FALSE),"")</f>
        <v/>
      </c>
      <c r="Z1021" s="322">
        <f>IFERROR(((VLOOKUP(Calculations[[#This Row],[Waste type 2]],WasteDisposalEmissions[#All],2,FALSE))*Calculations[[#This Row],[Total Kg]])*VLOOKUP(Calculations[[#This Row],[Waste 1]],WasteScenario[#All],2,FALSE),0)</f>
        <v>0</v>
      </c>
      <c r="AA1021" s="322">
        <f>IFERROR((VLOOKUP(Calculations[[#This Row],[Waste type 2]],WasteDisposalEmissions[#All],3,FALSE))*Calculations[[#This Row],[Total Kg]]*VLOOKUP(Calculations[[#This Row],[Waste 1]],WasteScenario[#All],3,FALSE),0)</f>
        <v>0</v>
      </c>
      <c r="AB1021" s="322">
        <f>SUM(Calculations[[#This Row],[C3 recyc]:[C3 incin]])</f>
        <v>0</v>
      </c>
      <c r="AC1021" s="334">
        <f>IFERROR((VLOOKUP(Calculations[[#This Row],[Waste type 2]],WasteLandfillEmissions[#All],2,FALSE))*Calculations[[#This Row],[Total Kg]]*VLOOKUP(Calculations[[#This Row],[Waste 1]],WasteScenario[#All],4,FALSE),0)</f>
        <v>0</v>
      </c>
      <c r="AD1021" s="322">
        <f>IFERROR((VLOOKUP(Calculations[[#This Row],[Waste type 2]],WasteLandfillEmissions[#All],3,FALSE))*Calculations[[#This Row],[Total Kg]]*VLOOKUP(Calculations[[#This Row],[Waste 1]],WasteScenario[#All],4,FALSE),0)</f>
        <v>0</v>
      </c>
      <c r="AE1021" s="322">
        <f>SUM(Calculations[[#This Row],[C4 landfill]:[C4 re-use]])</f>
        <v>0</v>
      </c>
      <c r="AF1021" s="322">
        <f>IFERROR(VLOOKUP(Calculations[[#This Row],[Material (choose from dropdown]],MaterialData[#All],8,FALSE),0)</f>
        <v>0</v>
      </c>
      <c r="AG1021" s="322">
        <f>IFERROR(Calculations[[#This Row],[Total Kg]]*Calculations[[#This Row],[Seq factor]],0)</f>
        <v>0</v>
      </c>
      <c r="AI1021" s="322">
        <f>Calculations[[#This Row],[A1-3]]+Calculations[[#This Row],[A4]]+Calculations[[#This Row],[A5]]+Calculations[[#This Row],[B4]]+Calculations[[#This Row],[C2 total]]+Calculations[[#This Row],[C3 total]]+Calculations[[#This Row],[C4 total]]</f>
        <v>0</v>
      </c>
      <c r="AJ1021" s="2">
        <f>IFERROR(VLOOKUP(Calculations[[#This Row],[Material (choose from dropdown]],MaterialData[[#Headers],[#Data]],9,FALSE),0)</f>
        <v>0</v>
      </c>
      <c r="AK1021" s="4">
        <f>IFERROR(VLOOKUP(Calculations[[#This Row],[Material (choose from dropdown]],MaterialData[[#Headers],[#Data]],10,FALSE),0)</f>
        <v>0</v>
      </c>
      <c r="AL1021" s="322">
        <f>IFERROR(Calculations[[#This Row],[Data Quality Score]]*Calculations[[#This Row],[Total Kg]],0)</f>
        <v>0</v>
      </c>
    </row>
    <row r="1022" spans="1:38" x14ac:dyDescent="0.3">
      <c r="A1022" s="6">
        <f>IFERROR(MaterialsBoQ[[#This Row],[Scope Element]],0)</f>
        <v>0</v>
      </c>
      <c r="B1022" t="str">
        <f>IFERROR(MaterialsBoQ[[#This Row],[Material ]],"")</f>
        <v/>
      </c>
      <c r="C1022" t="str">
        <f>IFERROR(MaterialsBoQ[[#This Row],[Unit]],"")</f>
        <v/>
      </c>
      <c r="D1022" s="322">
        <f>IFERROR(MaterialsBoQ[[#This Row],[Number]],0)</f>
        <v>0</v>
      </c>
      <c r="E1022" s="322">
        <f>IFERROR(MaterialsBoQ[[#This Row],[Kg per unit]],0)</f>
        <v>0</v>
      </c>
      <c r="F1022" s="322">
        <f>IFERROR(Calculations[[#This Row],[Number]]*Calculations[[#This Row],[Conversion factor]],0)</f>
        <v>0</v>
      </c>
      <c r="G1022" s="322">
        <f>IFERROR(VLOOKUP(Calculations[[#This Row],[Material (choose from dropdown]],MaterialData[#All],7,FALSE),0)</f>
        <v>0</v>
      </c>
      <c r="H1022" s="322">
        <f>Calculations[[#This Row],[Total Kg]]*Calculations[[#This Row],[Carbon Factor]]</f>
        <v>0</v>
      </c>
      <c r="I1022" t="str">
        <f>IFERROR(VLOOKUP(Calculations[[#This Row],[Material (choose from dropdown]],MaterialData[#All],2,FALSE),"")</f>
        <v/>
      </c>
      <c r="J1022" s="322">
        <f>IFERROR(((VLOOKUP(Calculations[[#This Row],[TransportSource]],TransportDistance[],2,FALSE)*'Stage assumptions'!$C$11)+VLOOKUP(Calculations[[#This Row],[TransportSource]],TransportDistance[],3,FALSE)*'Stage assumptions'!$C$12)*Calculations[[#This Row],[Total Kg]],0)</f>
        <v>0</v>
      </c>
      <c r="K1022">
        <f>IFERROR(VLOOKUP(Calculations[[#This Row],[Material (choose from dropdown]], MaterialData[#All],3, FALSE),0)</f>
        <v>0</v>
      </c>
      <c r="L1022" s="322">
        <f>IFERROR(VLOOKUP(Calculations[[#This Row],[A5type]],A5WastageRate[#All],2,FALSE)*Calculations[[#This Row],[A1-3]],0)</f>
        <v>0</v>
      </c>
      <c r="N1022">
        <f>IFERROR(ROUNDUP(50/VLOOKUP(Calculations[[#This Row],[Scope Element]],B4referenceServiceLife[[Tier 2 element]:[Default Service Life]],2, FALSE)-1,0),0)</f>
        <v>0</v>
      </c>
      <c r="O1022" s="322">
        <f>IFERROR((Calculations[[#This Row],[A1-3]]+Calculations[[#This Row],[A4]]+Calculations[[#This Row],[A5]]+Calculations[[#This Row],[C2 total]]+Calculations[[#This Row],[C3 total]]+Calculations[[#This Row],[C4 total]])*Calculations[[#This Row],[Replacements]],0)</f>
        <v>0</v>
      </c>
      <c r="S1022" t="str">
        <f>IFERROR(VLOOKUP(Calculations[[#This Row],[Material (choose from dropdown]],MaterialData[#All],4,FALSE),"")</f>
        <v/>
      </c>
      <c r="T1022" s="322" cm="1">
        <f t="array" ref="T1022">IFERROR(VLOOKUP(Calculations[[#This Row],[Waste 1]],WasteScenario[#All],2,FALSE)*'Stage assumptions'!$C$225*WasteTransportMethod[Emissions Factor
kgCO2e/kg.km]*Calculations[[#This Row],[Total Kg]],0)</f>
        <v>0</v>
      </c>
      <c r="U1022" s="322" cm="1">
        <f t="array" ref="U1022">IFERROR(VLOOKUP(Calculations[[#This Row],[Waste 1]],WasteScenario[#All],3,FALSE)*'Stage assumptions'!$C$224*WasteTransportMethod[Emissions Factor
kgCO2e/kg.km]*Calculations[[#This Row],[Total Kg]],0)</f>
        <v>0</v>
      </c>
      <c r="V1022" s="322" cm="1">
        <f t="array" ref="V1022">IFERROR(VLOOKUP(Calculations[[#This Row],[Waste 1]],WasteScenario[#All],4,FALSE)*'Stage assumptions'!$C$223*WasteTransportMethod[Emissions Factor
kgCO2e/kg.km]*Calculations[[#This Row],[Total Kg]],0)</f>
        <v>0</v>
      </c>
      <c r="W1022" s="322" cm="1">
        <f t="array" ref="W1022">IFERROR(VLOOKUP(Calculations[[#This Row],[Waste 1]],WasteScenario[#All],5,FALSE)*'Stage assumptions'!$C$226*WasteTransportMethod[Emissions Factor
kgCO2e/kg.km]*Calculations[[#This Row],[Total Kg]],0)</f>
        <v>0</v>
      </c>
      <c r="X1022" s="322">
        <f>SUM(Calculations[[#This Row],[C2 Recycle]:[C2 Reuse]])</f>
        <v>0</v>
      </c>
      <c r="Y1022" t="str">
        <f>IFERROR(VLOOKUP(Calculations[[#This Row],[Material (choose from dropdown]],MaterialData[#All],5,FALSE),"")</f>
        <v/>
      </c>
      <c r="Z1022" s="322">
        <f>IFERROR(((VLOOKUP(Calculations[[#This Row],[Waste type 2]],WasteDisposalEmissions[#All],2,FALSE))*Calculations[[#This Row],[Total Kg]])*VLOOKUP(Calculations[[#This Row],[Waste 1]],WasteScenario[#All],2,FALSE),0)</f>
        <v>0</v>
      </c>
      <c r="AA1022" s="322">
        <f>IFERROR((VLOOKUP(Calculations[[#This Row],[Waste type 2]],WasteDisposalEmissions[#All],3,FALSE))*Calculations[[#This Row],[Total Kg]]*VLOOKUP(Calculations[[#This Row],[Waste 1]],WasteScenario[#All],3,FALSE),0)</f>
        <v>0</v>
      </c>
      <c r="AB1022" s="322">
        <f>SUM(Calculations[[#This Row],[C3 recyc]:[C3 incin]])</f>
        <v>0</v>
      </c>
      <c r="AC1022" s="334">
        <f>IFERROR((VLOOKUP(Calculations[[#This Row],[Waste type 2]],WasteLandfillEmissions[#All],2,FALSE))*Calculations[[#This Row],[Total Kg]]*VLOOKUP(Calculations[[#This Row],[Waste 1]],WasteScenario[#All],4,FALSE),0)</f>
        <v>0</v>
      </c>
      <c r="AD1022" s="322">
        <f>IFERROR((VLOOKUP(Calculations[[#This Row],[Waste type 2]],WasteLandfillEmissions[#All],3,FALSE))*Calculations[[#This Row],[Total Kg]]*VLOOKUP(Calculations[[#This Row],[Waste 1]],WasteScenario[#All],4,FALSE),0)</f>
        <v>0</v>
      </c>
      <c r="AE1022" s="322">
        <f>SUM(Calculations[[#This Row],[C4 landfill]:[C4 re-use]])</f>
        <v>0</v>
      </c>
      <c r="AF1022" s="322">
        <f>IFERROR(VLOOKUP(Calculations[[#This Row],[Material (choose from dropdown]],MaterialData[#All],8,FALSE),0)</f>
        <v>0</v>
      </c>
      <c r="AG1022" s="322">
        <f>IFERROR(Calculations[[#This Row],[Total Kg]]*Calculations[[#This Row],[Seq factor]],0)</f>
        <v>0</v>
      </c>
      <c r="AI1022" s="322">
        <f>Calculations[[#This Row],[A1-3]]+Calculations[[#This Row],[A4]]+Calculations[[#This Row],[A5]]+Calculations[[#This Row],[B4]]+Calculations[[#This Row],[C2 total]]+Calculations[[#This Row],[C3 total]]+Calculations[[#This Row],[C4 total]]</f>
        <v>0</v>
      </c>
      <c r="AJ1022" s="2">
        <f>IFERROR(VLOOKUP(Calculations[[#This Row],[Material (choose from dropdown]],MaterialData[[#Headers],[#Data]],9,FALSE),0)</f>
        <v>0</v>
      </c>
      <c r="AK1022" s="4">
        <f>IFERROR(VLOOKUP(Calculations[[#This Row],[Material (choose from dropdown]],MaterialData[[#Headers],[#Data]],10,FALSE),0)</f>
        <v>0</v>
      </c>
      <c r="AL1022" s="322">
        <f>IFERROR(Calculations[[#This Row],[Data Quality Score]]*Calculations[[#This Row],[Total Kg]],0)</f>
        <v>0</v>
      </c>
    </row>
    <row r="1023" spans="1:38" x14ac:dyDescent="0.3">
      <c r="A1023" s="6">
        <f>IFERROR(MaterialsBoQ[[#This Row],[Scope Element]],0)</f>
        <v>0</v>
      </c>
      <c r="B1023" t="str">
        <f>IFERROR(MaterialsBoQ[[#This Row],[Material ]],"")</f>
        <v/>
      </c>
      <c r="C1023" t="str">
        <f>IFERROR(MaterialsBoQ[[#This Row],[Unit]],"")</f>
        <v/>
      </c>
      <c r="D1023" s="322">
        <f>IFERROR(MaterialsBoQ[[#This Row],[Number]],0)</f>
        <v>0</v>
      </c>
      <c r="E1023" s="322">
        <f>IFERROR(MaterialsBoQ[[#This Row],[Kg per unit]],0)</f>
        <v>0</v>
      </c>
      <c r="F1023" s="322">
        <f>IFERROR(Calculations[[#This Row],[Number]]*Calculations[[#This Row],[Conversion factor]],0)</f>
        <v>0</v>
      </c>
      <c r="G1023" s="322">
        <f>IFERROR(VLOOKUP(Calculations[[#This Row],[Material (choose from dropdown]],MaterialData[#All],7,FALSE),0)</f>
        <v>0</v>
      </c>
      <c r="H1023" s="322">
        <f>Calculations[[#This Row],[Total Kg]]*Calculations[[#This Row],[Carbon Factor]]</f>
        <v>0</v>
      </c>
      <c r="I1023" t="str">
        <f>IFERROR(VLOOKUP(Calculations[[#This Row],[Material (choose from dropdown]],MaterialData[#All],2,FALSE),"")</f>
        <v/>
      </c>
      <c r="J1023" s="322">
        <f>IFERROR(((VLOOKUP(Calculations[[#This Row],[TransportSource]],TransportDistance[],2,FALSE)*'Stage assumptions'!$C$11)+VLOOKUP(Calculations[[#This Row],[TransportSource]],TransportDistance[],3,FALSE)*'Stage assumptions'!$C$12)*Calculations[[#This Row],[Total Kg]],0)</f>
        <v>0</v>
      </c>
      <c r="K1023">
        <f>IFERROR(VLOOKUP(Calculations[[#This Row],[Material (choose from dropdown]], MaterialData[#All],3, FALSE),0)</f>
        <v>0</v>
      </c>
      <c r="L1023" s="322">
        <f>IFERROR(VLOOKUP(Calculations[[#This Row],[A5type]],A5WastageRate[#All],2,FALSE)*Calculations[[#This Row],[A1-3]],0)</f>
        <v>0</v>
      </c>
      <c r="N1023">
        <f>IFERROR(ROUNDUP(50/VLOOKUP(Calculations[[#This Row],[Scope Element]],B4referenceServiceLife[[Tier 2 element]:[Default Service Life]],2, FALSE)-1,0),0)</f>
        <v>0</v>
      </c>
      <c r="O1023" s="322">
        <f>IFERROR((Calculations[[#This Row],[A1-3]]+Calculations[[#This Row],[A4]]+Calculations[[#This Row],[A5]]+Calculations[[#This Row],[C2 total]]+Calculations[[#This Row],[C3 total]]+Calculations[[#This Row],[C4 total]])*Calculations[[#This Row],[Replacements]],0)</f>
        <v>0</v>
      </c>
      <c r="S1023" t="str">
        <f>IFERROR(VLOOKUP(Calculations[[#This Row],[Material (choose from dropdown]],MaterialData[#All],4,FALSE),"")</f>
        <v/>
      </c>
      <c r="T1023" s="322" cm="1">
        <f t="array" ref="T1023">IFERROR(VLOOKUP(Calculations[[#This Row],[Waste 1]],WasteScenario[#All],2,FALSE)*'Stage assumptions'!$C$225*WasteTransportMethod[Emissions Factor
kgCO2e/kg.km]*Calculations[[#This Row],[Total Kg]],0)</f>
        <v>0</v>
      </c>
      <c r="U1023" s="322" cm="1">
        <f t="array" ref="U1023">IFERROR(VLOOKUP(Calculations[[#This Row],[Waste 1]],WasteScenario[#All],3,FALSE)*'Stage assumptions'!$C$224*WasteTransportMethod[Emissions Factor
kgCO2e/kg.km]*Calculations[[#This Row],[Total Kg]],0)</f>
        <v>0</v>
      </c>
      <c r="V1023" s="322" cm="1">
        <f t="array" ref="V1023">IFERROR(VLOOKUP(Calculations[[#This Row],[Waste 1]],WasteScenario[#All],4,FALSE)*'Stage assumptions'!$C$223*WasteTransportMethod[Emissions Factor
kgCO2e/kg.km]*Calculations[[#This Row],[Total Kg]],0)</f>
        <v>0</v>
      </c>
      <c r="W1023" s="322" cm="1">
        <f t="array" ref="W1023">IFERROR(VLOOKUP(Calculations[[#This Row],[Waste 1]],WasteScenario[#All],5,FALSE)*'Stage assumptions'!$C$226*WasteTransportMethod[Emissions Factor
kgCO2e/kg.km]*Calculations[[#This Row],[Total Kg]],0)</f>
        <v>0</v>
      </c>
      <c r="X1023" s="322">
        <f>SUM(Calculations[[#This Row],[C2 Recycle]:[C2 Reuse]])</f>
        <v>0</v>
      </c>
      <c r="Y1023" t="str">
        <f>IFERROR(VLOOKUP(Calculations[[#This Row],[Material (choose from dropdown]],MaterialData[#All],5,FALSE),"")</f>
        <v/>
      </c>
      <c r="Z1023" s="322">
        <f>IFERROR(((VLOOKUP(Calculations[[#This Row],[Waste type 2]],WasteDisposalEmissions[#All],2,FALSE))*Calculations[[#This Row],[Total Kg]])*VLOOKUP(Calculations[[#This Row],[Waste 1]],WasteScenario[#All],2,FALSE),0)</f>
        <v>0</v>
      </c>
      <c r="AA1023" s="322">
        <f>IFERROR((VLOOKUP(Calculations[[#This Row],[Waste type 2]],WasteDisposalEmissions[#All],3,FALSE))*Calculations[[#This Row],[Total Kg]]*VLOOKUP(Calculations[[#This Row],[Waste 1]],WasteScenario[#All],3,FALSE),0)</f>
        <v>0</v>
      </c>
      <c r="AB1023" s="322">
        <f>SUM(Calculations[[#This Row],[C3 recyc]:[C3 incin]])</f>
        <v>0</v>
      </c>
      <c r="AC1023" s="334">
        <f>IFERROR((VLOOKUP(Calculations[[#This Row],[Waste type 2]],WasteLandfillEmissions[#All],2,FALSE))*Calculations[[#This Row],[Total Kg]]*VLOOKUP(Calculations[[#This Row],[Waste 1]],WasteScenario[#All],4,FALSE),0)</f>
        <v>0</v>
      </c>
      <c r="AD1023" s="322">
        <f>IFERROR((VLOOKUP(Calculations[[#This Row],[Waste type 2]],WasteLandfillEmissions[#All],3,FALSE))*Calculations[[#This Row],[Total Kg]]*VLOOKUP(Calculations[[#This Row],[Waste 1]],WasteScenario[#All],4,FALSE),0)</f>
        <v>0</v>
      </c>
      <c r="AE1023" s="322">
        <f>SUM(Calculations[[#This Row],[C4 landfill]:[C4 re-use]])</f>
        <v>0</v>
      </c>
      <c r="AF1023" s="322">
        <f>IFERROR(VLOOKUP(Calculations[[#This Row],[Material (choose from dropdown]],MaterialData[#All],8,FALSE),0)</f>
        <v>0</v>
      </c>
      <c r="AG1023" s="322">
        <f>IFERROR(Calculations[[#This Row],[Total Kg]]*Calculations[[#This Row],[Seq factor]],0)</f>
        <v>0</v>
      </c>
      <c r="AI1023" s="322">
        <f>Calculations[[#This Row],[A1-3]]+Calculations[[#This Row],[A4]]+Calculations[[#This Row],[A5]]+Calculations[[#This Row],[B4]]+Calculations[[#This Row],[C2 total]]+Calculations[[#This Row],[C3 total]]+Calculations[[#This Row],[C4 total]]</f>
        <v>0</v>
      </c>
      <c r="AJ1023" s="2">
        <f>IFERROR(VLOOKUP(Calculations[[#This Row],[Material (choose from dropdown]],MaterialData[[#Headers],[#Data]],9,FALSE),0)</f>
        <v>0</v>
      </c>
      <c r="AK1023" s="4">
        <f>IFERROR(VLOOKUP(Calculations[[#This Row],[Material (choose from dropdown]],MaterialData[[#Headers],[#Data]],10,FALSE),0)</f>
        <v>0</v>
      </c>
      <c r="AL1023" s="322">
        <f>IFERROR(Calculations[[#This Row],[Data Quality Score]]*Calculations[[#This Row],[Total Kg]],0)</f>
        <v>0</v>
      </c>
    </row>
    <row r="1024" spans="1:38" x14ac:dyDescent="0.3">
      <c r="A1024" s="6">
        <f>IFERROR(MaterialsBoQ[[#This Row],[Scope Element]],0)</f>
        <v>0</v>
      </c>
      <c r="B1024" t="str">
        <f>IFERROR(MaterialsBoQ[[#This Row],[Material ]],"")</f>
        <v/>
      </c>
      <c r="C1024" t="str">
        <f>IFERROR(MaterialsBoQ[[#This Row],[Unit]],"")</f>
        <v/>
      </c>
      <c r="D1024" s="322">
        <f>IFERROR(MaterialsBoQ[[#This Row],[Number]],0)</f>
        <v>0</v>
      </c>
      <c r="E1024" s="322">
        <f>IFERROR(MaterialsBoQ[[#This Row],[Kg per unit]],0)</f>
        <v>0</v>
      </c>
      <c r="F1024" s="322">
        <f>IFERROR(Calculations[[#This Row],[Number]]*Calculations[[#This Row],[Conversion factor]],0)</f>
        <v>0</v>
      </c>
      <c r="G1024" s="322">
        <f>IFERROR(VLOOKUP(Calculations[[#This Row],[Material (choose from dropdown]],MaterialData[#All],7,FALSE),0)</f>
        <v>0</v>
      </c>
      <c r="H1024" s="322">
        <f>Calculations[[#This Row],[Total Kg]]*Calculations[[#This Row],[Carbon Factor]]</f>
        <v>0</v>
      </c>
      <c r="I1024" t="str">
        <f>IFERROR(VLOOKUP(Calculations[[#This Row],[Material (choose from dropdown]],MaterialData[#All],2,FALSE),"")</f>
        <v/>
      </c>
      <c r="J1024" s="322">
        <f>IFERROR(((VLOOKUP(Calculations[[#This Row],[TransportSource]],TransportDistance[],2,FALSE)*'Stage assumptions'!$C$11)+VLOOKUP(Calculations[[#This Row],[TransportSource]],TransportDistance[],3,FALSE)*'Stage assumptions'!$C$12)*Calculations[[#This Row],[Total Kg]],0)</f>
        <v>0</v>
      </c>
      <c r="K1024">
        <f>IFERROR(VLOOKUP(Calculations[[#This Row],[Material (choose from dropdown]], MaterialData[#All],3, FALSE),0)</f>
        <v>0</v>
      </c>
      <c r="L1024" s="322">
        <f>IFERROR(VLOOKUP(Calculations[[#This Row],[A5type]],A5WastageRate[#All],2,FALSE)*Calculations[[#This Row],[A1-3]],0)</f>
        <v>0</v>
      </c>
      <c r="N1024">
        <f>IFERROR(ROUNDUP(50/VLOOKUP(Calculations[[#This Row],[Scope Element]],B4referenceServiceLife[[Tier 2 element]:[Default Service Life]],2, FALSE)-1,0),0)</f>
        <v>0</v>
      </c>
      <c r="O1024" s="322">
        <f>IFERROR((Calculations[[#This Row],[A1-3]]+Calculations[[#This Row],[A4]]+Calculations[[#This Row],[A5]]+Calculations[[#This Row],[C2 total]]+Calculations[[#This Row],[C3 total]]+Calculations[[#This Row],[C4 total]])*Calculations[[#This Row],[Replacements]],0)</f>
        <v>0</v>
      </c>
      <c r="S1024" t="str">
        <f>IFERROR(VLOOKUP(Calculations[[#This Row],[Material (choose from dropdown]],MaterialData[#All],4,FALSE),"")</f>
        <v/>
      </c>
      <c r="T1024" s="322" cm="1">
        <f t="array" ref="T1024">IFERROR(VLOOKUP(Calculations[[#This Row],[Waste 1]],WasteScenario[#All],2,FALSE)*'Stage assumptions'!$C$225*WasteTransportMethod[Emissions Factor
kgCO2e/kg.km]*Calculations[[#This Row],[Total Kg]],0)</f>
        <v>0</v>
      </c>
      <c r="U1024" s="322" cm="1">
        <f t="array" ref="U1024">IFERROR(VLOOKUP(Calculations[[#This Row],[Waste 1]],WasteScenario[#All],3,FALSE)*'Stage assumptions'!$C$224*WasteTransportMethod[Emissions Factor
kgCO2e/kg.km]*Calculations[[#This Row],[Total Kg]],0)</f>
        <v>0</v>
      </c>
      <c r="V1024" s="322" cm="1">
        <f t="array" ref="V1024">IFERROR(VLOOKUP(Calculations[[#This Row],[Waste 1]],WasteScenario[#All],4,FALSE)*'Stage assumptions'!$C$223*WasteTransportMethod[Emissions Factor
kgCO2e/kg.km]*Calculations[[#This Row],[Total Kg]],0)</f>
        <v>0</v>
      </c>
      <c r="W1024" s="322" cm="1">
        <f t="array" ref="W1024">IFERROR(VLOOKUP(Calculations[[#This Row],[Waste 1]],WasteScenario[#All],5,FALSE)*'Stage assumptions'!$C$226*WasteTransportMethod[Emissions Factor
kgCO2e/kg.km]*Calculations[[#This Row],[Total Kg]],0)</f>
        <v>0</v>
      </c>
      <c r="X1024" s="322">
        <f>SUM(Calculations[[#This Row],[C2 Recycle]:[C2 Reuse]])</f>
        <v>0</v>
      </c>
      <c r="Y1024" t="str">
        <f>IFERROR(VLOOKUP(Calculations[[#This Row],[Material (choose from dropdown]],MaterialData[#All],5,FALSE),"")</f>
        <v/>
      </c>
      <c r="Z1024" s="322">
        <f>IFERROR(((VLOOKUP(Calculations[[#This Row],[Waste type 2]],WasteDisposalEmissions[#All],2,FALSE))*Calculations[[#This Row],[Total Kg]])*VLOOKUP(Calculations[[#This Row],[Waste 1]],WasteScenario[#All],2,FALSE),0)</f>
        <v>0</v>
      </c>
      <c r="AA1024" s="322">
        <f>IFERROR((VLOOKUP(Calculations[[#This Row],[Waste type 2]],WasteDisposalEmissions[#All],3,FALSE))*Calculations[[#This Row],[Total Kg]]*VLOOKUP(Calculations[[#This Row],[Waste 1]],WasteScenario[#All],3,FALSE),0)</f>
        <v>0</v>
      </c>
      <c r="AB1024" s="322">
        <f>SUM(Calculations[[#This Row],[C3 recyc]:[C3 incin]])</f>
        <v>0</v>
      </c>
      <c r="AC1024" s="334">
        <f>IFERROR((VLOOKUP(Calculations[[#This Row],[Waste type 2]],WasteLandfillEmissions[#All],2,FALSE))*Calculations[[#This Row],[Total Kg]]*VLOOKUP(Calculations[[#This Row],[Waste 1]],WasteScenario[#All],4,FALSE),0)</f>
        <v>0</v>
      </c>
      <c r="AD1024" s="322">
        <f>IFERROR((VLOOKUP(Calculations[[#This Row],[Waste type 2]],WasteLandfillEmissions[#All],3,FALSE))*Calculations[[#This Row],[Total Kg]]*VLOOKUP(Calculations[[#This Row],[Waste 1]],WasteScenario[#All],4,FALSE),0)</f>
        <v>0</v>
      </c>
      <c r="AE1024" s="322">
        <f>SUM(Calculations[[#This Row],[C4 landfill]:[C4 re-use]])</f>
        <v>0</v>
      </c>
      <c r="AF1024" s="322">
        <f>IFERROR(VLOOKUP(Calculations[[#This Row],[Material (choose from dropdown]],MaterialData[#All],8,FALSE),0)</f>
        <v>0</v>
      </c>
      <c r="AG1024" s="322">
        <f>IFERROR(Calculations[[#This Row],[Total Kg]]*Calculations[[#This Row],[Seq factor]],0)</f>
        <v>0</v>
      </c>
      <c r="AI1024" s="322">
        <f>Calculations[[#This Row],[A1-3]]+Calculations[[#This Row],[A4]]+Calculations[[#This Row],[A5]]+Calculations[[#This Row],[B4]]+Calculations[[#This Row],[C2 total]]+Calculations[[#This Row],[C3 total]]+Calculations[[#This Row],[C4 total]]</f>
        <v>0</v>
      </c>
      <c r="AJ1024" s="2">
        <f>IFERROR(VLOOKUP(Calculations[[#This Row],[Material (choose from dropdown]],MaterialData[[#Headers],[#Data]],9,FALSE),0)</f>
        <v>0</v>
      </c>
      <c r="AK1024" s="4">
        <f>IFERROR(VLOOKUP(Calculations[[#This Row],[Material (choose from dropdown]],MaterialData[[#Headers],[#Data]],10,FALSE),0)</f>
        <v>0</v>
      </c>
      <c r="AL1024" s="322">
        <f>IFERROR(Calculations[[#This Row],[Data Quality Score]]*Calculations[[#This Row],[Total Kg]],0)</f>
        <v>0</v>
      </c>
    </row>
    <row r="1025" spans="1:38" x14ac:dyDescent="0.3">
      <c r="A1025" s="6">
        <f>IFERROR(MaterialsBoQ[[#This Row],[Scope Element]],0)</f>
        <v>0</v>
      </c>
      <c r="B1025" t="str">
        <f>IFERROR(MaterialsBoQ[[#This Row],[Material ]],"")</f>
        <v/>
      </c>
      <c r="C1025" t="str">
        <f>IFERROR(MaterialsBoQ[[#This Row],[Unit]],"")</f>
        <v/>
      </c>
      <c r="D1025" s="322">
        <f>IFERROR(MaterialsBoQ[[#This Row],[Number]],0)</f>
        <v>0</v>
      </c>
      <c r="E1025" s="322">
        <f>IFERROR(MaterialsBoQ[[#This Row],[Kg per unit]],0)</f>
        <v>0</v>
      </c>
      <c r="F1025" s="322">
        <f>IFERROR(Calculations[[#This Row],[Number]]*Calculations[[#This Row],[Conversion factor]],0)</f>
        <v>0</v>
      </c>
      <c r="G1025" s="322">
        <f>IFERROR(VLOOKUP(Calculations[[#This Row],[Material (choose from dropdown]],MaterialData[#All],7,FALSE),0)</f>
        <v>0</v>
      </c>
      <c r="H1025" s="322">
        <f>Calculations[[#This Row],[Total Kg]]*Calculations[[#This Row],[Carbon Factor]]</f>
        <v>0</v>
      </c>
      <c r="I1025" t="str">
        <f>IFERROR(VLOOKUP(Calculations[[#This Row],[Material (choose from dropdown]],MaterialData[#All],2,FALSE),"")</f>
        <v/>
      </c>
      <c r="J1025" s="322">
        <f>IFERROR(((VLOOKUP(Calculations[[#This Row],[TransportSource]],TransportDistance[],2,FALSE)*'Stage assumptions'!$C$11)+VLOOKUP(Calculations[[#This Row],[TransportSource]],TransportDistance[],3,FALSE)*'Stage assumptions'!$C$12)*Calculations[[#This Row],[Total Kg]],0)</f>
        <v>0</v>
      </c>
      <c r="K1025">
        <f>IFERROR(VLOOKUP(Calculations[[#This Row],[Material (choose from dropdown]], MaterialData[#All],3, FALSE),0)</f>
        <v>0</v>
      </c>
      <c r="L1025" s="322">
        <f>IFERROR(VLOOKUP(Calculations[[#This Row],[A5type]],A5WastageRate[#All],2,FALSE)*Calculations[[#This Row],[A1-3]],0)</f>
        <v>0</v>
      </c>
      <c r="N1025">
        <f>IFERROR(ROUNDUP(50/VLOOKUP(Calculations[[#This Row],[Scope Element]],B4referenceServiceLife[[Tier 2 element]:[Default Service Life]],2, FALSE)-1,0),0)</f>
        <v>0</v>
      </c>
      <c r="O1025" s="322">
        <f>IFERROR((Calculations[[#This Row],[A1-3]]+Calculations[[#This Row],[A4]]+Calculations[[#This Row],[A5]]+Calculations[[#This Row],[C2 total]]+Calculations[[#This Row],[C3 total]]+Calculations[[#This Row],[C4 total]])*Calculations[[#This Row],[Replacements]],0)</f>
        <v>0</v>
      </c>
      <c r="S1025" t="str">
        <f>IFERROR(VLOOKUP(Calculations[[#This Row],[Material (choose from dropdown]],MaterialData[#All],4,FALSE),"")</f>
        <v/>
      </c>
      <c r="T1025" s="322" cm="1">
        <f t="array" ref="T1025">IFERROR(VLOOKUP(Calculations[[#This Row],[Waste 1]],WasteScenario[#All],2,FALSE)*'Stage assumptions'!$C$225*WasteTransportMethod[Emissions Factor
kgCO2e/kg.km]*Calculations[[#This Row],[Total Kg]],0)</f>
        <v>0</v>
      </c>
      <c r="U1025" s="322" cm="1">
        <f t="array" ref="U1025">IFERROR(VLOOKUP(Calculations[[#This Row],[Waste 1]],WasteScenario[#All],3,FALSE)*'Stage assumptions'!$C$224*WasteTransportMethod[Emissions Factor
kgCO2e/kg.km]*Calculations[[#This Row],[Total Kg]],0)</f>
        <v>0</v>
      </c>
      <c r="V1025" s="322" cm="1">
        <f t="array" ref="V1025">IFERROR(VLOOKUP(Calculations[[#This Row],[Waste 1]],WasteScenario[#All],4,FALSE)*'Stage assumptions'!$C$223*WasteTransportMethod[Emissions Factor
kgCO2e/kg.km]*Calculations[[#This Row],[Total Kg]],0)</f>
        <v>0</v>
      </c>
      <c r="W1025" s="322" cm="1">
        <f t="array" ref="W1025">IFERROR(VLOOKUP(Calculations[[#This Row],[Waste 1]],WasteScenario[#All],5,FALSE)*'Stage assumptions'!$C$226*WasteTransportMethod[Emissions Factor
kgCO2e/kg.km]*Calculations[[#This Row],[Total Kg]],0)</f>
        <v>0</v>
      </c>
      <c r="X1025" s="322">
        <f>SUM(Calculations[[#This Row],[C2 Recycle]:[C2 Reuse]])</f>
        <v>0</v>
      </c>
      <c r="Y1025" t="str">
        <f>IFERROR(VLOOKUP(Calculations[[#This Row],[Material (choose from dropdown]],MaterialData[#All],5,FALSE),"")</f>
        <v/>
      </c>
      <c r="Z1025" s="322">
        <f>IFERROR(((VLOOKUP(Calculations[[#This Row],[Waste type 2]],WasteDisposalEmissions[#All],2,FALSE))*Calculations[[#This Row],[Total Kg]])*VLOOKUP(Calculations[[#This Row],[Waste 1]],WasteScenario[#All],2,FALSE),0)</f>
        <v>0</v>
      </c>
      <c r="AA1025" s="322">
        <f>IFERROR((VLOOKUP(Calculations[[#This Row],[Waste type 2]],WasteDisposalEmissions[#All],3,FALSE))*Calculations[[#This Row],[Total Kg]]*VLOOKUP(Calculations[[#This Row],[Waste 1]],WasteScenario[#All],3,FALSE),0)</f>
        <v>0</v>
      </c>
      <c r="AB1025" s="322">
        <f>SUM(Calculations[[#This Row],[C3 recyc]:[C3 incin]])</f>
        <v>0</v>
      </c>
      <c r="AC1025" s="334">
        <f>IFERROR((VLOOKUP(Calculations[[#This Row],[Waste type 2]],WasteLandfillEmissions[#All],2,FALSE))*Calculations[[#This Row],[Total Kg]]*VLOOKUP(Calculations[[#This Row],[Waste 1]],WasteScenario[#All],4,FALSE),0)</f>
        <v>0</v>
      </c>
      <c r="AD1025" s="322">
        <f>IFERROR((VLOOKUP(Calculations[[#This Row],[Waste type 2]],WasteLandfillEmissions[#All],3,FALSE))*Calculations[[#This Row],[Total Kg]]*VLOOKUP(Calculations[[#This Row],[Waste 1]],WasteScenario[#All],4,FALSE),0)</f>
        <v>0</v>
      </c>
      <c r="AE1025" s="322">
        <f>SUM(Calculations[[#This Row],[C4 landfill]:[C4 re-use]])</f>
        <v>0</v>
      </c>
      <c r="AF1025" s="322">
        <f>IFERROR(VLOOKUP(Calculations[[#This Row],[Material (choose from dropdown]],MaterialData[#All],8,FALSE),0)</f>
        <v>0</v>
      </c>
      <c r="AG1025" s="322">
        <f>IFERROR(Calculations[[#This Row],[Total Kg]]*Calculations[[#This Row],[Seq factor]],0)</f>
        <v>0</v>
      </c>
      <c r="AI1025" s="322">
        <f>Calculations[[#This Row],[A1-3]]+Calculations[[#This Row],[A4]]+Calculations[[#This Row],[A5]]+Calculations[[#This Row],[B4]]+Calculations[[#This Row],[C2 total]]+Calculations[[#This Row],[C3 total]]+Calculations[[#This Row],[C4 total]]</f>
        <v>0</v>
      </c>
      <c r="AJ1025" s="2">
        <f>IFERROR(VLOOKUP(Calculations[[#This Row],[Material (choose from dropdown]],MaterialData[[#Headers],[#Data]],9,FALSE),0)</f>
        <v>0</v>
      </c>
      <c r="AK1025" s="4">
        <f>IFERROR(VLOOKUP(Calculations[[#This Row],[Material (choose from dropdown]],MaterialData[[#Headers],[#Data]],10,FALSE),0)</f>
        <v>0</v>
      </c>
      <c r="AL1025" s="322">
        <f>IFERROR(Calculations[[#This Row],[Data Quality Score]]*Calculations[[#This Row],[Total Kg]],0)</f>
        <v>0</v>
      </c>
    </row>
    <row r="1026" spans="1:38" x14ac:dyDescent="0.3">
      <c r="A1026" s="6">
        <f>IFERROR(MaterialsBoQ[[#This Row],[Scope Element]],0)</f>
        <v>0</v>
      </c>
      <c r="B1026" t="str">
        <f>IFERROR(MaterialsBoQ[[#This Row],[Material ]],"")</f>
        <v/>
      </c>
      <c r="C1026" t="str">
        <f>IFERROR(MaterialsBoQ[[#This Row],[Unit]],"")</f>
        <v/>
      </c>
      <c r="D1026" s="322">
        <f>IFERROR(MaterialsBoQ[[#This Row],[Number]],0)</f>
        <v>0</v>
      </c>
      <c r="E1026" s="322">
        <f>IFERROR(MaterialsBoQ[[#This Row],[Kg per unit]],0)</f>
        <v>0</v>
      </c>
      <c r="F1026" s="322">
        <f>IFERROR(Calculations[[#This Row],[Number]]*Calculations[[#This Row],[Conversion factor]],0)</f>
        <v>0</v>
      </c>
      <c r="G1026" s="322">
        <f>IFERROR(VLOOKUP(Calculations[[#This Row],[Material (choose from dropdown]],MaterialData[#All],7,FALSE),0)</f>
        <v>0</v>
      </c>
      <c r="H1026" s="322">
        <f>Calculations[[#This Row],[Total Kg]]*Calculations[[#This Row],[Carbon Factor]]</f>
        <v>0</v>
      </c>
      <c r="I1026" t="str">
        <f>IFERROR(VLOOKUP(Calculations[[#This Row],[Material (choose from dropdown]],MaterialData[#All],2,FALSE),"")</f>
        <v/>
      </c>
      <c r="J1026" s="322">
        <f>IFERROR(((VLOOKUP(Calculations[[#This Row],[TransportSource]],TransportDistance[],2,FALSE)*'Stage assumptions'!$C$11)+VLOOKUP(Calculations[[#This Row],[TransportSource]],TransportDistance[],3,FALSE)*'Stage assumptions'!$C$12)*Calculations[[#This Row],[Total Kg]],0)</f>
        <v>0</v>
      </c>
      <c r="K1026">
        <f>IFERROR(VLOOKUP(Calculations[[#This Row],[Material (choose from dropdown]], MaterialData[#All],3, FALSE),0)</f>
        <v>0</v>
      </c>
      <c r="L1026" s="322">
        <f>IFERROR(VLOOKUP(Calculations[[#This Row],[A5type]],A5WastageRate[#All],2,FALSE)*Calculations[[#This Row],[A1-3]],0)</f>
        <v>0</v>
      </c>
      <c r="N1026">
        <f>IFERROR(ROUNDUP(50/VLOOKUP(Calculations[[#This Row],[Scope Element]],B4referenceServiceLife[[Tier 2 element]:[Default Service Life]],2, FALSE)-1,0),0)</f>
        <v>0</v>
      </c>
      <c r="O1026" s="322">
        <f>IFERROR((Calculations[[#This Row],[A1-3]]+Calculations[[#This Row],[A4]]+Calculations[[#This Row],[A5]]+Calculations[[#This Row],[C2 total]]+Calculations[[#This Row],[C3 total]]+Calculations[[#This Row],[C4 total]])*Calculations[[#This Row],[Replacements]],0)</f>
        <v>0</v>
      </c>
      <c r="S1026" t="str">
        <f>IFERROR(VLOOKUP(Calculations[[#This Row],[Material (choose from dropdown]],MaterialData[#All],4,FALSE),"")</f>
        <v/>
      </c>
      <c r="T1026" s="322" cm="1">
        <f t="array" ref="T1026">IFERROR(VLOOKUP(Calculations[[#This Row],[Waste 1]],WasteScenario[#All],2,FALSE)*'Stage assumptions'!$C$225*WasteTransportMethod[Emissions Factor
kgCO2e/kg.km]*Calculations[[#This Row],[Total Kg]],0)</f>
        <v>0</v>
      </c>
      <c r="U1026" s="322" cm="1">
        <f t="array" ref="U1026">IFERROR(VLOOKUP(Calculations[[#This Row],[Waste 1]],WasteScenario[#All],3,FALSE)*'Stage assumptions'!$C$224*WasteTransportMethod[Emissions Factor
kgCO2e/kg.km]*Calculations[[#This Row],[Total Kg]],0)</f>
        <v>0</v>
      </c>
      <c r="V1026" s="322" cm="1">
        <f t="array" ref="V1026">IFERROR(VLOOKUP(Calculations[[#This Row],[Waste 1]],WasteScenario[#All],4,FALSE)*'Stage assumptions'!$C$223*WasteTransportMethod[Emissions Factor
kgCO2e/kg.km]*Calculations[[#This Row],[Total Kg]],0)</f>
        <v>0</v>
      </c>
      <c r="W1026" s="322" cm="1">
        <f t="array" ref="W1026">IFERROR(VLOOKUP(Calculations[[#This Row],[Waste 1]],WasteScenario[#All],5,FALSE)*'Stage assumptions'!$C$226*WasteTransportMethod[Emissions Factor
kgCO2e/kg.km]*Calculations[[#This Row],[Total Kg]],0)</f>
        <v>0</v>
      </c>
      <c r="X1026" s="322">
        <f>SUM(Calculations[[#This Row],[C2 Recycle]:[C2 Reuse]])</f>
        <v>0</v>
      </c>
      <c r="Y1026" t="str">
        <f>IFERROR(VLOOKUP(Calculations[[#This Row],[Material (choose from dropdown]],MaterialData[#All],5,FALSE),"")</f>
        <v/>
      </c>
      <c r="Z1026" s="322">
        <f>IFERROR(((VLOOKUP(Calculations[[#This Row],[Waste type 2]],WasteDisposalEmissions[#All],2,FALSE))*Calculations[[#This Row],[Total Kg]])*VLOOKUP(Calculations[[#This Row],[Waste 1]],WasteScenario[#All],2,FALSE),0)</f>
        <v>0</v>
      </c>
      <c r="AA1026" s="322">
        <f>IFERROR((VLOOKUP(Calculations[[#This Row],[Waste type 2]],WasteDisposalEmissions[#All],3,FALSE))*Calculations[[#This Row],[Total Kg]]*VLOOKUP(Calculations[[#This Row],[Waste 1]],WasteScenario[#All],3,FALSE),0)</f>
        <v>0</v>
      </c>
      <c r="AB1026" s="322">
        <f>SUM(Calculations[[#This Row],[C3 recyc]:[C3 incin]])</f>
        <v>0</v>
      </c>
      <c r="AC1026" s="334">
        <f>IFERROR((VLOOKUP(Calculations[[#This Row],[Waste type 2]],WasteLandfillEmissions[#All],2,FALSE))*Calculations[[#This Row],[Total Kg]]*VLOOKUP(Calculations[[#This Row],[Waste 1]],WasteScenario[#All],4,FALSE),0)</f>
        <v>0</v>
      </c>
      <c r="AD1026" s="322">
        <f>IFERROR((VLOOKUP(Calculations[[#This Row],[Waste type 2]],WasteLandfillEmissions[#All],3,FALSE))*Calculations[[#This Row],[Total Kg]]*VLOOKUP(Calculations[[#This Row],[Waste 1]],WasteScenario[#All],4,FALSE),0)</f>
        <v>0</v>
      </c>
      <c r="AE1026" s="322">
        <f>SUM(Calculations[[#This Row],[C4 landfill]:[C4 re-use]])</f>
        <v>0</v>
      </c>
      <c r="AF1026" s="322">
        <f>IFERROR(VLOOKUP(Calculations[[#This Row],[Material (choose from dropdown]],MaterialData[#All],8,FALSE),0)</f>
        <v>0</v>
      </c>
      <c r="AG1026" s="322">
        <f>IFERROR(Calculations[[#This Row],[Total Kg]]*Calculations[[#This Row],[Seq factor]],0)</f>
        <v>0</v>
      </c>
      <c r="AI1026" s="322">
        <f>Calculations[[#This Row],[A1-3]]+Calculations[[#This Row],[A4]]+Calculations[[#This Row],[A5]]+Calculations[[#This Row],[B4]]+Calculations[[#This Row],[C2 total]]+Calculations[[#This Row],[C3 total]]+Calculations[[#This Row],[C4 total]]</f>
        <v>0</v>
      </c>
      <c r="AJ1026" s="2">
        <f>IFERROR(VLOOKUP(Calculations[[#This Row],[Material (choose from dropdown]],MaterialData[[#Headers],[#Data]],9,FALSE),0)</f>
        <v>0</v>
      </c>
      <c r="AK1026" s="4">
        <f>IFERROR(VLOOKUP(Calculations[[#This Row],[Material (choose from dropdown]],MaterialData[[#Headers],[#Data]],10,FALSE),0)</f>
        <v>0</v>
      </c>
      <c r="AL1026" s="322">
        <f>IFERROR(Calculations[[#This Row],[Data Quality Score]]*Calculations[[#This Row],[Total Kg]],0)</f>
        <v>0</v>
      </c>
    </row>
    <row r="1027" spans="1:38" x14ac:dyDescent="0.3">
      <c r="A1027" s="6">
        <f>IFERROR(MaterialsBoQ[[#This Row],[Scope Element]],0)</f>
        <v>0</v>
      </c>
      <c r="B1027" t="str">
        <f>IFERROR(MaterialsBoQ[[#This Row],[Material ]],"")</f>
        <v/>
      </c>
      <c r="C1027" t="str">
        <f>IFERROR(MaterialsBoQ[[#This Row],[Unit]],"")</f>
        <v/>
      </c>
      <c r="D1027" s="322">
        <f>IFERROR(MaterialsBoQ[[#This Row],[Number]],0)</f>
        <v>0</v>
      </c>
      <c r="E1027" s="322">
        <f>IFERROR(MaterialsBoQ[[#This Row],[Kg per unit]],0)</f>
        <v>0</v>
      </c>
      <c r="F1027" s="322">
        <f>IFERROR(Calculations[[#This Row],[Number]]*Calculations[[#This Row],[Conversion factor]],0)</f>
        <v>0</v>
      </c>
      <c r="G1027" s="322">
        <f>IFERROR(VLOOKUP(Calculations[[#This Row],[Material (choose from dropdown]],MaterialData[#All],7,FALSE),0)</f>
        <v>0</v>
      </c>
      <c r="H1027" s="322">
        <f>Calculations[[#This Row],[Total Kg]]*Calculations[[#This Row],[Carbon Factor]]</f>
        <v>0</v>
      </c>
      <c r="I1027" t="str">
        <f>IFERROR(VLOOKUP(Calculations[[#This Row],[Material (choose from dropdown]],MaterialData[#All],2,FALSE),"")</f>
        <v/>
      </c>
      <c r="J1027" s="322">
        <f>IFERROR(((VLOOKUP(Calculations[[#This Row],[TransportSource]],TransportDistance[],2,FALSE)*'Stage assumptions'!$C$11)+VLOOKUP(Calculations[[#This Row],[TransportSource]],TransportDistance[],3,FALSE)*'Stage assumptions'!$C$12)*Calculations[[#This Row],[Total Kg]],0)</f>
        <v>0</v>
      </c>
      <c r="K1027">
        <f>IFERROR(VLOOKUP(Calculations[[#This Row],[Material (choose from dropdown]], MaterialData[#All],3, FALSE),0)</f>
        <v>0</v>
      </c>
      <c r="L1027" s="322">
        <f>IFERROR(VLOOKUP(Calculations[[#This Row],[A5type]],A5WastageRate[#All],2,FALSE)*Calculations[[#This Row],[A1-3]],0)</f>
        <v>0</v>
      </c>
      <c r="N1027">
        <f>IFERROR(ROUNDUP(50/VLOOKUP(Calculations[[#This Row],[Scope Element]],B4referenceServiceLife[[Tier 2 element]:[Default Service Life]],2, FALSE)-1,0),0)</f>
        <v>0</v>
      </c>
      <c r="O1027" s="322">
        <f>IFERROR((Calculations[[#This Row],[A1-3]]+Calculations[[#This Row],[A4]]+Calculations[[#This Row],[A5]]+Calculations[[#This Row],[C2 total]]+Calculations[[#This Row],[C3 total]]+Calculations[[#This Row],[C4 total]])*Calculations[[#This Row],[Replacements]],0)</f>
        <v>0</v>
      </c>
      <c r="S1027" t="str">
        <f>IFERROR(VLOOKUP(Calculations[[#This Row],[Material (choose from dropdown]],MaterialData[#All],4,FALSE),"")</f>
        <v/>
      </c>
      <c r="T1027" s="322" cm="1">
        <f t="array" ref="T1027">IFERROR(VLOOKUP(Calculations[[#This Row],[Waste 1]],WasteScenario[#All],2,FALSE)*'Stage assumptions'!$C$225*WasteTransportMethod[Emissions Factor
kgCO2e/kg.km]*Calculations[[#This Row],[Total Kg]],0)</f>
        <v>0</v>
      </c>
      <c r="U1027" s="322" cm="1">
        <f t="array" ref="U1027">IFERROR(VLOOKUP(Calculations[[#This Row],[Waste 1]],WasteScenario[#All],3,FALSE)*'Stage assumptions'!$C$224*WasteTransportMethod[Emissions Factor
kgCO2e/kg.km]*Calculations[[#This Row],[Total Kg]],0)</f>
        <v>0</v>
      </c>
      <c r="V1027" s="322" cm="1">
        <f t="array" ref="V1027">IFERROR(VLOOKUP(Calculations[[#This Row],[Waste 1]],WasteScenario[#All],4,FALSE)*'Stage assumptions'!$C$223*WasteTransportMethod[Emissions Factor
kgCO2e/kg.km]*Calculations[[#This Row],[Total Kg]],0)</f>
        <v>0</v>
      </c>
      <c r="W1027" s="322" cm="1">
        <f t="array" ref="W1027">IFERROR(VLOOKUP(Calculations[[#This Row],[Waste 1]],WasteScenario[#All],5,FALSE)*'Stage assumptions'!$C$226*WasteTransportMethod[Emissions Factor
kgCO2e/kg.km]*Calculations[[#This Row],[Total Kg]],0)</f>
        <v>0</v>
      </c>
      <c r="X1027" s="322">
        <f>SUM(Calculations[[#This Row],[C2 Recycle]:[C2 Reuse]])</f>
        <v>0</v>
      </c>
      <c r="Y1027" t="str">
        <f>IFERROR(VLOOKUP(Calculations[[#This Row],[Material (choose from dropdown]],MaterialData[#All],5,FALSE),"")</f>
        <v/>
      </c>
      <c r="Z1027" s="322">
        <f>IFERROR(((VLOOKUP(Calculations[[#This Row],[Waste type 2]],WasteDisposalEmissions[#All],2,FALSE))*Calculations[[#This Row],[Total Kg]])*VLOOKUP(Calculations[[#This Row],[Waste 1]],WasteScenario[#All],2,FALSE),0)</f>
        <v>0</v>
      </c>
      <c r="AA1027" s="322">
        <f>IFERROR((VLOOKUP(Calculations[[#This Row],[Waste type 2]],WasteDisposalEmissions[#All],3,FALSE))*Calculations[[#This Row],[Total Kg]]*VLOOKUP(Calculations[[#This Row],[Waste 1]],WasteScenario[#All],3,FALSE),0)</f>
        <v>0</v>
      </c>
      <c r="AB1027" s="322">
        <f>SUM(Calculations[[#This Row],[C3 recyc]:[C3 incin]])</f>
        <v>0</v>
      </c>
      <c r="AC1027" s="334">
        <f>IFERROR((VLOOKUP(Calculations[[#This Row],[Waste type 2]],WasteLandfillEmissions[#All],2,FALSE))*Calculations[[#This Row],[Total Kg]]*VLOOKUP(Calculations[[#This Row],[Waste 1]],WasteScenario[#All],4,FALSE),0)</f>
        <v>0</v>
      </c>
      <c r="AD1027" s="322">
        <f>IFERROR((VLOOKUP(Calculations[[#This Row],[Waste type 2]],WasteLandfillEmissions[#All],3,FALSE))*Calculations[[#This Row],[Total Kg]]*VLOOKUP(Calculations[[#This Row],[Waste 1]],WasteScenario[#All],4,FALSE),0)</f>
        <v>0</v>
      </c>
      <c r="AE1027" s="322">
        <f>SUM(Calculations[[#This Row],[C4 landfill]:[C4 re-use]])</f>
        <v>0</v>
      </c>
      <c r="AF1027" s="322">
        <f>IFERROR(VLOOKUP(Calculations[[#This Row],[Material (choose from dropdown]],MaterialData[#All],8,FALSE),0)</f>
        <v>0</v>
      </c>
      <c r="AG1027" s="322">
        <f>IFERROR(Calculations[[#This Row],[Total Kg]]*Calculations[[#This Row],[Seq factor]],0)</f>
        <v>0</v>
      </c>
      <c r="AI1027" s="322">
        <f>Calculations[[#This Row],[A1-3]]+Calculations[[#This Row],[A4]]+Calculations[[#This Row],[A5]]+Calculations[[#This Row],[B4]]+Calculations[[#This Row],[C2 total]]+Calculations[[#This Row],[C3 total]]+Calculations[[#This Row],[C4 total]]</f>
        <v>0</v>
      </c>
      <c r="AJ1027" s="2">
        <f>IFERROR(VLOOKUP(Calculations[[#This Row],[Material (choose from dropdown]],MaterialData[[#Headers],[#Data]],9,FALSE),0)</f>
        <v>0</v>
      </c>
      <c r="AK1027" s="4">
        <f>IFERROR(VLOOKUP(Calculations[[#This Row],[Material (choose from dropdown]],MaterialData[[#Headers],[#Data]],10,FALSE),0)</f>
        <v>0</v>
      </c>
      <c r="AL1027" s="322">
        <f>IFERROR(Calculations[[#This Row],[Data Quality Score]]*Calculations[[#This Row],[Total Kg]],0)</f>
        <v>0</v>
      </c>
    </row>
    <row r="1028" spans="1:38" x14ac:dyDescent="0.3">
      <c r="A1028" s="6">
        <f>IFERROR(MaterialsBoQ[[#This Row],[Scope Element]],0)</f>
        <v>0</v>
      </c>
      <c r="B1028" t="str">
        <f>IFERROR(MaterialsBoQ[[#This Row],[Material ]],"")</f>
        <v/>
      </c>
      <c r="C1028" t="str">
        <f>IFERROR(MaterialsBoQ[[#This Row],[Unit]],"")</f>
        <v/>
      </c>
      <c r="D1028" s="322">
        <f>IFERROR(MaterialsBoQ[[#This Row],[Number]],0)</f>
        <v>0</v>
      </c>
      <c r="E1028" s="322">
        <f>IFERROR(MaterialsBoQ[[#This Row],[Kg per unit]],0)</f>
        <v>0</v>
      </c>
      <c r="F1028" s="322">
        <f>IFERROR(Calculations[[#This Row],[Number]]*Calculations[[#This Row],[Conversion factor]],0)</f>
        <v>0</v>
      </c>
      <c r="G1028" s="322">
        <f>IFERROR(VLOOKUP(Calculations[[#This Row],[Material (choose from dropdown]],MaterialData[#All],7,FALSE),0)</f>
        <v>0</v>
      </c>
      <c r="H1028" s="322">
        <f>Calculations[[#This Row],[Total Kg]]*Calculations[[#This Row],[Carbon Factor]]</f>
        <v>0</v>
      </c>
      <c r="I1028" t="str">
        <f>IFERROR(VLOOKUP(Calculations[[#This Row],[Material (choose from dropdown]],MaterialData[#All],2,FALSE),"")</f>
        <v/>
      </c>
      <c r="J1028" s="322">
        <f>IFERROR(((VLOOKUP(Calculations[[#This Row],[TransportSource]],TransportDistance[],2,FALSE)*'Stage assumptions'!$C$11)+VLOOKUP(Calculations[[#This Row],[TransportSource]],TransportDistance[],3,FALSE)*'Stage assumptions'!$C$12)*Calculations[[#This Row],[Total Kg]],0)</f>
        <v>0</v>
      </c>
      <c r="K1028">
        <f>IFERROR(VLOOKUP(Calculations[[#This Row],[Material (choose from dropdown]], MaterialData[#All],3, FALSE),0)</f>
        <v>0</v>
      </c>
      <c r="L1028" s="322">
        <f>IFERROR(VLOOKUP(Calculations[[#This Row],[A5type]],A5WastageRate[#All],2,FALSE)*Calculations[[#This Row],[A1-3]],0)</f>
        <v>0</v>
      </c>
      <c r="N1028">
        <f>IFERROR(ROUNDUP(50/VLOOKUP(Calculations[[#This Row],[Scope Element]],B4referenceServiceLife[[Tier 2 element]:[Default Service Life]],2, FALSE)-1,0),0)</f>
        <v>0</v>
      </c>
      <c r="O1028" s="322">
        <f>IFERROR((Calculations[[#This Row],[A1-3]]+Calculations[[#This Row],[A4]]+Calculations[[#This Row],[A5]]+Calculations[[#This Row],[C2 total]]+Calculations[[#This Row],[C3 total]]+Calculations[[#This Row],[C4 total]])*Calculations[[#This Row],[Replacements]],0)</f>
        <v>0</v>
      </c>
      <c r="S1028" t="str">
        <f>IFERROR(VLOOKUP(Calculations[[#This Row],[Material (choose from dropdown]],MaterialData[#All],4,FALSE),"")</f>
        <v/>
      </c>
      <c r="T1028" s="322" cm="1">
        <f t="array" ref="T1028">IFERROR(VLOOKUP(Calculations[[#This Row],[Waste 1]],WasteScenario[#All],2,FALSE)*'Stage assumptions'!$C$225*WasteTransportMethod[Emissions Factor
kgCO2e/kg.km]*Calculations[[#This Row],[Total Kg]],0)</f>
        <v>0</v>
      </c>
      <c r="U1028" s="322" cm="1">
        <f t="array" ref="U1028">IFERROR(VLOOKUP(Calculations[[#This Row],[Waste 1]],WasteScenario[#All],3,FALSE)*'Stage assumptions'!$C$224*WasteTransportMethod[Emissions Factor
kgCO2e/kg.km]*Calculations[[#This Row],[Total Kg]],0)</f>
        <v>0</v>
      </c>
      <c r="V1028" s="322" cm="1">
        <f t="array" ref="V1028">IFERROR(VLOOKUP(Calculations[[#This Row],[Waste 1]],WasteScenario[#All],4,FALSE)*'Stage assumptions'!$C$223*WasteTransportMethod[Emissions Factor
kgCO2e/kg.km]*Calculations[[#This Row],[Total Kg]],0)</f>
        <v>0</v>
      </c>
      <c r="W1028" s="322" cm="1">
        <f t="array" ref="W1028">IFERROR(VLOOKUP(Calculations[[#This Row],[Waste 1]],WasteScenario[#All],5,FALSE)*'Stage assumptions'!$C$226*WasteTransportMethod[Emissions Factor
kgCO2e/kg.km]*Calculations[[#This Row],[Total Kg]],0)</f>
        <v>0</v>
      </c>
      <c r="X1028" s="322">
        <f>SUM(Calculations[[#This Row],[C2 Recycle]:[C2 Reuse]])</f>
        <v>0</v>
      </c>
      <c r="Y1028" t="str">
        <f>IFERROR(VLOOKUP(Calculations[[#This Row],[Material (choose from dropdown]],MaterialData[#All],5,FALSE),"")</f>
        <v/>
      </c>
      <c r="Z1028" s="322">
        <f>IFERROR(((VLOOKUP(Calculations[[#This Row],[Waste type 2]],WasteDisposalEmissions[#All],2,FALSE))*Calculations[[#This Row],[Total Kg]])*VLOOKUP(Calculations[[#This Row],[Waste 1]],WasteScenario[#All],2,FALSE),0)</f>
        <v>0</v>
      </c>
      <c r="AA1028" s="322">
        <f>IFERROR((VLOOKUP(Calculations[[#This Row],[Waste type 2]],WasteDisposalEmissions[#All],3,FALSE))*Calculations[[#This Row],[Total Kg]]*VLOOKUP(Calculations[[#This Row],[Waste 1]],WasteScenario[#All],3,FALSE),0)</f>
        <v>0</v>
      </c>
      <c r="AB1028" s="322">
        <f>SUM(Calculations[[#This Row],[C3 recyc]:[C3 incin]])</f>
        <v>0</v>
      </c>
      <c r="AC1028" s="334">
        <f>IFERROR((VLOOKUP(Calculations[[#This Row],[Waste type 2]],WasteLandfillEmissions[#All],2,FALSE))*Calculations[[#This Row],[Total Kg]]*VLOOKUP(Calculations[[#This Row],[Waste 1]],WasteScenario[#All],4,FALSE),0)</f>
        <v>0</v>
      </c>
      <c r="AD1028" s="322">
        <f>IFERROR((VLOOKUP(Calculations[[#This Row],[Waste type 2]],WasteLandfillEmissions[#All],3,FALSE))*Calculations[[#This Row],[Total Kg]]*VLOOKUP(Calculations[[#This Row],[Waste 1]],WasteScenario[#All],4,FALSE),0)</f>
        <v>0</v>
      </c>
      <c r="AE1028" s="322">
        <f>SUM(Calculations[[#This Row],[C4 landfill]:[C4 re-use]])</f>
        <v>0</v>
      </c>
      <c r="AF1028" s="322">
        <f>IFERROR(VLOOKUP(Calculations[[#This Row],[Material (choose from dropdown]],MaterialData[#All],8,FALSE),0)</f>
        <v>0</v>
      </c>
      <c r="AG1028" s="322">
        <f>IFERROR(Calculations[[#This Row],[Total Kg]]*Calculations[[#This Row],[Seq factor]],0)</f>
        <v>0</v>
      </c>
      <c r="AI1028" s="322">
        <f>Calculations[[#This Row],[A1-3]]+Calculations[[#This Row],[A4]]+Calculations[[#This Row],[A5]]+Calculations[[#This Row],[B4]]+Calculations[[#This Row],[C2 total]]+Calculations[[#This Row],[C3 total]]+Calculations[[#This Row],[C4 total]]</f>
        <v>0</v>
      </c>
      <c r="AJ1028" s="2">
        <f>IFERROR(VLOOKUP(Calculations[[#This Row],[Material (choose from dropdown]],MaterialData[[#Headers],[#Data]],9,FALSE),0)</f>
        <v>0</v>
      </c>
      <c r="AK1028" s="4">
        <f>IFERROR(VLOOKUP(Calculations[[#This Row],[Material (choose from dropdown]],MaterialData[[#Headers],[#Data]],10,FALSE),0)</f>
        <v>0</v>
      </c>
      <c r="AL1028" s="322">
        <f>IFERROR(Calculations[[#This Row],[Data Quality Score]]*Calculations[[#This Row],[Total Kg]],0)</f>
        <v>0</v>
      </c>
    </row>
    <row r="1029" spans="1:38" x14ac:dyDescent="0.3">
      <c r="A1029" s="6">
        <f>IFERROR(MaterialsBoQ[[#This Row],[Scope Element]],0)</f>
        <v>0</v>
      </c>
      <c r="B1029" t="str">
        <f>IFERROR(MaterialsBoQ[[#This Row],[Material ]],"")</f>
        <v/>
      </c>
      <c r="C1029" t="str">
        <f>IFERROR(MaterialsBoQ[[#This Row],[Unit]],"")</f>
        <v/>
      </c>
      <c r="D1029" s="322">
        <f>IFERROR(MaterialsBoQ[[#This Row],[Number]],0)</f>
        <v>0</v>
      </c>
      <c r="E1029" s="322">
        <f>IFERROR(MaterialsBoQ[[#This Row],[Kg per unit]],0)</f>
        <v>0</v>
      </c>
      <c r="F1029" s="322">
        <f>IFERROR(Calculations[[#This Row],[Number]]*Calculations[[#This Row],[Conversion factor]],0)</f>
        <v>0</v>
      </c>
      <c r="G1029" s="322">
        <f>IFERROR(VLOOKUP(Calculations[[#This Row],[Material (choose from dropdown]],MaterialData[#All],7,FALSE),0)</f>
        <v>0</v>
      </c>
      <c r="H1029" s="322">
        <f>Calculations[[#This Row],[Total Kg]]*Calculations[[#This Row],[Carbon Factor]]</f>
        <v>0</v>
      </c>
      <c r="I1029" t="str">
        <f>IFERROR(VLOOKUP(Calculations[[#This Row],[Material (choose from dropdown]],MaterialData[#All],2,FALSE),"")</f>
        <v/>
      </c>
      <c r="J1029" s="322">
        <f>IFERROR(((VLOOKUP(Calculations[[#This Row],[TransportSource]],TransportDistance[],2,FALSE)*'Stage assumptions'!$C$11)+VLOOKUP(Calculations[[#This Row],[TransportSource]],TransportDistance[],3,FALSE)*'Stage assumptions'!$C$12)*Calculations[[#This Row],[Total Kg]],0)</f>
        <v>0</v>
      </c>
      <c r="K1029">
        <f>IFERROR(VLOOKUP(Calculations[[#This Row],[Material (choose from dropdown]], MaterialData[#All],3, FALSE),0)</f>
        <v>0</v>
      </c>
      <c r="L1029" s="322">
        <f>IFERROR(VLOOKUP(Calculations[[#This Row],[A5type]],A5WastageRate[#All],2,FALSE)*Calculations[[#This Row],[A1-3]],0)</f>
        <v>0</v>
      </c>
      <c r="N1029">
        <f>IFERROR(ROUNDUP(50/VLOOKUP(Calculations[[#This Row],[Scope Element]],B4referenceServiceLife[[Tier 2 element]:[Default Service Life]],2, FALSE)-1,0),0)</f>
        <v>0</v>
      </c>
      <c r="O1029" s="322">
        <f>IFERROR((Calculations[[#This Row],[A1-3]]+Calculations[[#This Row],[A4]]+Calculations[[#This Row],[A5]]+Calculations[[#This Row],[C2 total]]+Calculations[[#This Row],[C3 total]]+Calculations[[#This Row],[C4 total]])*Calculations[[#This Row],[Replacements]],0)</f>
        <v>0</v>
      </c>
      <c r="S1029" t="str">
        <f>IFERROR(VLOOKUP(Calculations[[#This Row],[Material (choose from dropdown]],MaterialData[#All],4,FALSE),"")</f>
        <v/>
      </c>
      <c r="T1029" s="322" cm="1">
        <f t="array" ref="T1029">IFERROR(VLOOKUP(Calculations[[#This Row],[Waste 1]],WasteScenario[#All],2,FALSE)*'Stage assumptions'!$C$225*WasteTransportMethod[Emissions Factor
kgCO2e/kg.km]*Calculations[[#This Row],[Total Kg]],0)</f>
        <v>0</v>
      </c>
      <c r="U1029" s="322" cm="1">
        <f t="array" ref="U1029">IFERROR(VLOOKUP(Calculations[[#This Row],[Waste 1]],WasteScenario[#All],3,FALSE)*'Stage assumptions'!$C$224*WasteTransportMethod[Emissions Factor
kgCO2e/kg.km]*Calculations[[#This Row],[Total Kg]],0)</f>
        <v>0</v>
      </c>
      <c r="V1029" s="322" cm="1">
        <f t="array" ref="V1029">IFERROR(VLOOKUP(Calculations[[#This Row],[Waste 1]],WasteScenario[#All],4,FALSE)*'Stage assumptions'!$C$223*WasteTransportMethod[Emissions Factor
kgCO2e/kg.km]*Calculations[[#This Row],[Total Kg]],0)</f>
        <v>0</v>
      </c>
      <c r="W1029" s="322" cm="1">
        <f t="array" ref="W1029">IFERROR(VLOOKUP(Calculations[[#This Row],[Waste 1]],WasteScenario[#All],5,FALSE)*'Stage assumptions'!$C$226*WasteTransportMethod[Emissions Factor
kgCO2e/kg.km]*Calculations[[#This Row],[Total Kg]],0)</f>
        <v>0</v>
      </c>
      <c r="X1029" s="322">
        <f>SUM(Calculations[[#This Row],[C2 Recycle]:[C2 Reuse]])</f>
        <v>0</v>
      </c>
      <c r="Y1029" t="str">
        <f>IFERROR(VLOOKUP(Calculations[[#This Row],[Material (choose from dropdown]],MaterialData[#All],5,FALSE),"")</f>
        <v/>
      </c>
      <c r="Z1029" s="322">
        <f>IFERROR(((VLOOKUP(Calculations[[#This Row],[Waste type 2]],WasteDisposalEmissions[#All],2,FALSE))*Calculations[[#This Row],[Total Kg]])*VLOOKUP(Calculations[[#This Row],[Waste 1]],WasteScenario[#All],2,FALSE),0)</f>
        <v>0</v>
      </c>
      <c r="AA1029" s="322">
        <f>IFERROR((VLOOKUP(Calculations[[#This Row],[Waste type 2]],WasteDisposalEmissions[#All],3,FALSE))*Calculations[[#This Row],[Total Kg]]*VLOOKUP(Calculations[[#This Row],[Waste 1]],WasteScenario[#All],3,FALSE),0)</f>
        <v>0</v>
      </c>
      <c r="AB1029" s="322">
        <f>SUM(Calculations[[#This Row],[C3 recyc]:[C3 incin]])</f>
        <v>0</v>
      </c>
      <c r="AC1029" s="334">
        <f>IFERROR((VLOOKUP(Calculations[[#This Row],[Waste type 2]],WasteLandfillEmissions[#All],2,FALSE))*Calculations[[#This Row],[Total Kg]]*VLOOKUP(Calculations[[#This Row],[Waste 1]],WasteScenario[#All],4,FALSE),0)</f>
        <v>0</v>
      </c>
      <c r="AD1029" s="322">
        <f>IFERROR((VLOOKUP(Calculations[[#This Row],[Waste type 2]],WasteLandfillEmissions[#All],3,FALSE))*Calculations[[#This Row],[Total Kg]]*VLOOKUP(Calculations[[#This Row],[Waste 1]],WasteScenario[#All],4,FALSE),0)</f>
        <v>0</v>
      </c>
      <c r="AE1029" s="322">
        <f>SUM(Calculations[[#This Row],[C4 landfill]:[C4 re-use]])</f>
        <v>0</v>
      </c>
      <c r="AF1029" s="322">
        <f>IFERROR(VLOOKUP(Calculations[[#This Row],[Material (choose from dropdown]],MaterialData[#All],8,FALSE),0)</f>
        <v>0</v>
      </c>
      <c r="AG1029" s="322">
        <f>IFERROR(Calculations[[#This Row],[Total Kg]]*Calculations[[#This Row],[Seq factor]],0)</f>
        <v>0</v>
      </c>
      <c r="AI1029" s="322">
        <f>Calculations[[#This Row],[A1-3]]+Calculations[[#This Row],[A4]]+Calculations[[#This Row],[A5]]+Calculations[[#This Row],[B4]]+Calculations[[#This Row],[C2 total]]+Calculations[[#This Row],[C3 total]]+Calculations[[#This Row],[C4 total]]</f>
        <v>0</v>
      </c>
      <c r="AJ1029" s="2">
        <f>IFERROR(VLOOKUP(Calculations[[#This Row],[Material (choose from dropdown]],MaterialData[[#Headers],[#Data]],9,FALSE),0)</f>
        <v>0</v>
      </c>
      <c r="AK1029" s="4">
        <f>IFERROR(VLOOKUP(Calculations[[#This Row],[Material (choose from dropdown]],MaterialData[[#Headers],[#Data]],10,FALSE),0)</f>
        <v>0</v>
      </c>
      <c r="AL1029" s="322">
        <f>IFERROR(Calculations[[#This Row],[Data Quality Score]]*Calculations[[#This Row],[Total Kg]],0)</f>
        <v>0</v>
      </c>
    </row>
    <row r="1030" spans="1:38" x14ac:dyDescent="0.3">
      <c r="A1030" s="6">
        <f>IFERROR(MaterialsBoQ[[#This Row],[Scope Element]],0)</f>
        <v>0</v>
      </c>
      <c r="B1030" t="str">
        <f>IFERROR(MaterialsBoQ[[#This Row],[Material ]],"")</f>
        <v/>
      </c>
      <c r="C1030" t="str">
        <f>IFERROR(MaterialsBoQ[[#This Row],[Unit]],"")</f>
        <v/>
      </c>
      <c r="D1030" s="322">
        <f>IFERROR(MaterialsBoQ[[#This Row],[Number]],0)</f>
        <v>0</v>
      </c>
      <c r="E1030" s="322">
        <f>IFERROR(MaterialsBoQ[[#This Row],[Kg per unit]],0)</f>
        <v>0</v>
      </c>
      <c r="F1030" s="322">
        <f>IFERROR(Calculations[[#This Row],[Number]]*Calculations[[#This Row],[Conversion factor]],0)</f>
        <v>0</v>
      </c>
      <c r="G1030" s="322">
        <f>IFERROR(VLOOKUP(Calculations[[#This Row],[Material (choose from dropdown]],MaterialData[#All],7,FALSE),0)</f>
        <v>0</v>
      </c>
      <c r="H1030" s="322">
        <f>Calculations[[#This Row],[Total Kg]]*Calculations[[#This Row],[Carbon Factor]]</f>
        <v>0</v>
      </c>
      <c r="I1030" t="str">
        <f>IFERROR(VLOOKUP(Calculations[[#This Row],[Material (choose from dropdown]],MaterialData[#All],2,FALSE),"")</f>
        <v/>
      </c>
      <c r="J1030" s="322">
        <f>IFERROR(((VLOOKUP(Calculations[[#This Row],[TransportSource]],TransportDistance[],2,FALSE)*'Stage assumptions'!$C$11)+VLOOKUP(Calculations[[#This Row],[TransportSource]],TransportDistance[],3,FALSE)*'Stage assumptions'!$C$12)*Calculations[[#This Row],[Total Kg]],0)</f>
        <v>0</v>
      </c>
      <c r="K1030">
        <f>IFERROR(VLOOKUP(Calculations[[#This Row],[Material (choose from dropdown]], MaterialData[#All],3, FALSE),0)</f>
        <v>0</v>
      </c>
      <c r="L1030" s="322">
        <f>IFERROR(VLOOKUP(Calculations[[#This Row],[A5type]],A5WastageRate[#All],2,FALSE)*Calculations[[#This Row],[A1-3]],0)</f>
        <v>0</v>
      </c>
      <c r="N1030">
        <f>IFERROR(ROUNDUP(50/VLOOKUP(Calculations[[#This Row],[Scope Element]],B4referenceServiceLife[[Tier 2 element]:[Default Service Life]],2, FALSE)-1,0),0)</f>
        <v>0</v>
      </c>
      <c r="O1030" s="322">
        <f>IFERROR((Calculations[[#This Row],[A1-3]]+Calculations[[#This Row],[A4]]+Calculations[[#This Row],[A5]]+Calculations[[#This Row],[C2 total]]+Calculations[[#This Row],[C3 total]]+Calculations[[#This Row],[C4 total]])*Calculations[[#This Row],[Replacements]],0)</f>
        <v>0</v>
      </c>
      <c r="S1030" t="str">
        <f>IFERROR(VLOOKUP(Calculations[[#This Row],[Material (choose from dropdown]],MaterialData[#All],4,FALSE),"")</f>
        <v/>
      </c>
      <c r="T1030" s="322" cm="1">
        <f t="array" ref="T1030">IFERROR(VLOOKUP(Calculations[[#This Row],[Waste 1]],WasteScenario[#All],2,FALSE)*'Stage assumptions'!$C$225*WasteTransportMethod[Emissions Factor
kgCO2e/kg.km]*Calculations[[#This Row],[Total Kg]],0)</f>
        <v>0</v>
      </c>
      <c r="U1030" s="322" cm="1">
        <f t="array" ref="U1030">IFERROR(VLOOKUP(Calculations[[#This Row],[Waste 1]],WasteScenario[#All],3,FALSE)*'Stage assumptions'!$C$224*WasteTransportMethod[Emissions Factor
kgCO2e/kg.km]*Calculations[[#This Row],[Total Kg]],0)</f>
        <v>0</v>
      </c>
      <c r="V1030" s="322" cm="1">
        <f t="array" ref="V1030">IFERROR(VLOOKUP(Calculations[[#This Row],[Waste 1]],WasteScenario[#All],4,FALSE)*'Stage assumptions'!$C$223*WasteTransportMethod[Emissions Factor
kgCO2e/kg.km]*Calculations[[#This Row],[Total Kg]],0)</f>
        <v>0</v>
      </c>
      <c r="W1030" s="322" cm="1">
        <f t="array" ref="W1030">IFERROR(VLOOKUP(Calculations[[#This Row],[Waste 1]],WasteScenario[#All],5,FALSE)*'Stage assumptions'!$C$226*WasteTransportMethod[Emissions Factor
kgCO2e/kg.km]*Calculations[[#This Row],[Total Kg]],0)</f>
        <v>0</v>
      </c>
      <c r="X1030" s="322">
        <f>SUM(Calculations[[#This Row],[C2 Recycle]:[C2 Reuse]])</f>
        <v>0</v>
      </c>
      <c r="Y1030" t="str">
        <f>IFERROR(VLOOKUP(Calculations[[#This Row],[Material (choose from dropdown]],MaterialData[#All],5,FALSE),"")</f>
        <v/>
      </c>
      <c r="Z1030" s="322">
        <f>IFERROR(((VLOOKUP(Calculations[[#This Row],[Waste type 2]],WasteDisposalEmissions[#All],2,FALSE))*Calculations[[#This Row],[Total Kg]])*VLOOKUP(Calculations[[#This Row],[Waste 1]],WasteScenario[#All],2,FALSE),0)</f>
        <v>0</v>
      </c>
      <c r="AA1030" s="322">
        <f>IFERROR((VLOOKUP(Calculations[[#This Row],[Waste type 2]],WasteDisposalEmissions[#All],3,FALSE))*Calculations[[#This Row],[Total Kg]]*VLOOKUP(Calculations[[#This Row],[Waste 1]],WasteScenario[#All],3,FALSE),0)</f>
        <v>0</v>
      </c>
      <c r="AB1030" s="322">
        <f>SUM(Calculations[[#This Row],[C3 recyc]:[C3 incin]])</f>
        <v>0</v>
      </c>
      <c r="AC1030" s="334">
        <f>IFERROR((VLOOKUP(Calculations[[#This Row],[Waste type 2]],WasteLandfillEmissions[#All],2,FALSE))*Calculations[[#This Row],[Total Kg]]*VLOOKUP(Calculations[[#This Row],[Waste 1]],WasteScenario[#All],4,FALSE),0)</f>
        <v>0</v>
      </c>
      <c r="AD1030" s="322">
        <f>IFERROR((VLOOKUP(Calculations[[#This Row],[Waste type 2]],WasteLandfillEmissions[#All],3,FALSE))*Calculations[[#This Row],[Total Kg]]*VLOOKUP(Calculations[[#This Row],[Waste 1]],WasteScenario[#All],4,FALSE),0)</f>
        <v>0</v>
      </c>
      <c r="AE1030" s="322">
        <f>SUM(Calculations[[#This Row],[C4 landfill]:[C4 re-use]])</f>
        <v>0</v>
      </c>
      <c r="AF1030" s="322">
        <f>IFERROR(VLOOKUP(Calculations[[#This Row],[Material (choose from dropdown]],MaterialData[#All],8,FALSE),0)</f>
        <v>0</v>
      </c>
      <c r="AG1030" s="322">
        <f>IFERROR(Calculations[[#This Row],[Total Kg]]*Calculations[[#This Row],[Seq factor]],0)</f>
        <v>0</v>
      </c>
      <c r="AI1030" s="322">
        <f>Calculations[[#This Row],[A1-3]]+Calculations[[#This Row],[A4]]+Calculations[[#This Row],[A5]]+Calculations[[#This Row],[B4]]+Calculations[[#This Row],[C2 total]]+Calculations[[#This Row],[C3 total]]+Calculations[[#This Row],[C4 total]]</f>
        <v>0</v>
      </c>
      <c r="AJ1030" s="2">
        <f>IFERROR(VLOOKUP(Calculations[[#This Row],[Material (choose from dropdown]],MaterialData[[#Headers],[#Data]],9,FALSE),0)</f>
        <v>0</v>
      </c>
      <c r="AK1030" s="4">
        <f>IFERROR(VLOOKUP(Calculations[[#This Row],[Material (choose from dropdown]],MaterialData[[#Headers],[#Data]],10,FALSE),0)</f>
        <v>0</v>
      </c>
      <c r="AL1030" s="322">
        <f>IFERROR(Calculations[[#This Row],[Data Quality Score]]*Calculations[[#This Row],[Total Kg]],0)</f>
        <v>0</v>
      </c>
    </row>
    <row r="1031" spans="1:38" x14ac:dyDescent="0.3">
      <c r="A1031" s="6">
        <f>IFERROR(MaterialsBoQ[[#This Row],[Scope Element]],0)</f>
        <v>0</v>
      </c>
      <c r="B1031" t="str">
        <f>IFERROR(MaterialsBoQ[[#This Row],[Material ]],"")</f>
        <v/>
      </c>
      <c r="C1031" t="str">
        <f>IFERROR(MaterialsBoQ[[#This Row],[Unit]],"")</f>
        <v/>
      </c>
      <c r="D1031" s="322">
        <f>IFERROR(MaterialsBoQ[[#This Row],[Number]],0)</f>
        <v>0</v>
      </c>
      <c r="E1031" s="322">
        <f>IFERROR(MaterialsBoQ[[#This Row],[Kg per unit]],0)</f>
        <v>0</v>
      </c>
      <c r="F1031" s="322">
        <f>IFERROR(Calculations[[#This Row],[Number]]*Calculations[[#This Row],[Conversion factor]],0)</f>
        <v>0</v>
      </c>
      <c r="G1031" s="322">
        <f>IFERROR(VLOOKUP(Calculations[[#This Row],[Material (choose from dropdown]],MaterialData[#All],7,FALSE),0)</f>
        <v>0</v>
      </c>
      <c r="H1031" s="322">
        <f>Calculations[[#This Row],[Total Kg]]*Calculations[[#This Row],[Carbon Factor]]</f>
        <v>0</v>
      </c>
      <c r="I1031" t="str">
        <f>IFERROR(VLOOKUP(Calculations[[#This Row],[Material (choose from dropdown]],MaterialData[#All],2,FALSE),"")</f>
        <v/>
      </c>
      <c r="J1031" s="322">
        <f>IFERROR(((VLOOKUP(Calculations[[#This Row],[TransportSource]],TransportDistance[],2,FALSE)*'Stage assumptions'!$C$11)+VLOOKUP(Calculations[[#This Row],[TransportSource]],TransportDistance[],3,FALSE)*'Stage assumptions'!$C$12)*Calculations[[#This Row],[Total Kg]],0)</f>
        <v>0</v>
      </c>
      <c r="K1031">
        <f>IFERROR(VLOOKUP(Calculations[[#This Row],[Material (choose from dropdown]], MaterialData[#All],3, FALSE),0)</f>
        <v>0</v>
      </c>
      <c r="L1031" s="322">
        <f>IFERROR(VLOOKUP(Calculations[[#This Row],[A5type]],A5WastageRate[#All],2,FALSE)*Calculations[[#This Row],[A1-3]],0)</f>
        <v>0</v>
      </c>
      <c r="N1031">
        <f>IFERROR(ROUNDUP(50/VLOOKUP(Calculations[[#This Row],[Scope Element]],B4referenceServiceLife[[Tier 2 element]:[Default Service Life]],2, FALSE)-1,0),0)</f>
        <v>0</v>
      </c>
      <c r="O1031" s="322">
        <f>IFERROR((Calculations[[#This Row],[A1-3]]+Calculations[[#This Row],[A4]]+Calculations[[#This Row],[A5]]+Calculations[[#This Row],[C2 total]]+Calculations[[#This Row],[C3 total]]+Calculations[[#This Row],[C4 total]])*Calculations[[#This Row],[Replacements]],0)</f>
        <v>0</v>
      </c>
      <c r="S1031" t="str">
        <f>IFERROR(VLOOKUP(Calculations[[#This Row],[Material (choose from dropdown]],MaterialData[#All],4,FALSE),"")</f>
        <v/>
      </c>
      <c r="T1031" s="322" cm="1">
        <f t="array" ref="T1031">IFERROR(VLOOKUP(Calculations[[#This Row],[Waste 1]],WasteScenario[#All],2,FALSE)*'Stage assumptions'!$C$225*WasteTransportMethod[Emissions Factor
kgCO2e/kg.km]*Calculations[[#This Row],[Total Kg]],0)</f>
        <v>0</v>
      </c>
      <c r="U1031" s="322" cm="1">
        <f t="array" ref="U1031">IFERROR(VLOOKUP(Calculations[[#This Row],[Waste 1]],WasteScenario[#All],3,FALSE)*'Stage assumptions'!$C$224*WasteTransportMethod[Emissions Factor
kgCO2e/kg.km]*Calculations[[#This Row],[Total Kg]],0)</f>
        <v>0</v>
      </c>
      <c r="V1031" s="322" cm="1">
        <f t="array" ref="V1031">IFERROR(VLOOKUP(Calculations[[#This Row],[Waste 1]],WasteScenario[#All],4,FALSE)*'Stage assumptions'!$C$223*WasteTransportMethod[Emissions Factor
kgCO2e/kg.km]*Calculations[[#This Row],[Total Kg]],0)</f>
        <v>0</v>
      </c>
      <c r="W1031" s="322" cm="1">
        <f t="array" ref="W1031">IFERROR(VLOOKUP(Calculations[[#This Row],[Waste 1]],WasteScenario[#All],5,FALSE)*'Stage assumptions'!$C$226*WasteTransportMethod[Emissions Factor
kgCO2e/kg.km]*Calculations[[#This Row],[Total Kg]],0)</f>
        <v>0</v>
      </c>
      <c r="X1031" s="322">
        <f>SUM(Calculations[[#This Row],[C2 Recycle]:[C2 Reuse]])</f>
        <v>0</v>
      </c>
      <c r="Y1031" t="str">
        <f>IFERROR(VLOOKUP(Calculations[[#This Row],[Material (choose from dropdown]],MaterialData[#All],5,FALSE),"")</f>
        <v/>
      </c>
      <c r="Z1031" s="322">
        <f>IFERROR(((VLOOKUP(Calculations[[#This Row],[Waste type 2]],WasteDisposalEmissions[#All],2,FALSE))*Calculations[[#This Row],[Total Kg]])*VLOOKUP(Calculations[[#This Row],[Waste 1]],WasteScenario[#All],2,FALSE),0)</f>
        <v>0</v>
      </c>
      <c r="AA1031" s="322">
        <f>IFERROR((VLOOKUP(Calculations[[#This Row],[Waste type 2]],WasteDisposalEmissions[#All],3,FALSE))*Calculations[[#This Row],[Total Kg]]*VLOOKUP(Calculations[[#This Row],[Waste 1]],WasteScenario[#All],3,FALSE),0)</f>
        <v>0</v>
      </c>
      <c r="AB1031" s="322">
        <f>SUM(Calculations[[#This Row],[C3 recyc]:[C3 incin]])</f>
        <v>0</v>
      </c>
      <c r="AC1031" s="334">
        <f>IFERROR((VLOOKUP(Calculations[[#This Row],[Waste type 2]],WasteLandfillEmissions[#All],2,FALSE))*Calculations[[#This Row],[Total Kg]]*VLOOKUP(Calculations[[#This Row],[Waste 1]],WasteScenario[#All],4,FALSE),0)</f>
        <v>0</v>
      </c>
      <c r="AD1031" s="322">
        <f>IFERROR((VLOOKUP(Calculations[[#This Row],[Waste type 2]],WasteLandfillEmissions[#All],3,FALSE))*Calculations[[#This Row],[Total Kg]]*VLOOKUP(Calculations[[#This Row],[Waste 1]],WasteScenario[#All],4,FALSE),0)</f>
        <v>0</v>
      </c>
      <c r="AE1031" s="322">
        <f>SUM(Calculations[[#This Row],[C4 landfill]:[C4 re-use]])</f>
        <v>0</v>
      </c>
      <c r="AF1031" s="322">
        <f>IFERROR(VLOOKUP(Calculations[[#This Row],[Material (choose from dropdown]],MaterialData[#All],8,FALSE),0)</f>
        <v>0</v>
      </c>
      <c r="AG1031" s="322">
        <f>IFERROR(Calculations[[#This Row],[Total Kg]]*Calculations[[#This Row],[Seq factor]],0)</f>
        <v>0</v>
      </c>
      <c r="AI1031" s="322">
        <f>Calculations[[#This Row],[A1-3]]+Calculations[[#This Row],[A4]]+Calculations[[#This Row],[A5]]+Calculations[[#This Row],[B4]]+Calculations[[#This Row],[C2 total]]+Calculations[[#This Row],[C3 total]]+Calculations[[#This Row],[C4 total]]</f>
        <v>0</v>
      </c>
      <c r="AJ1031" s="2">
        <f>IFERROR(VLOOKUP(Calculations[[#This Row],[Material (choose from dropdown]],MaterialData[[#Headers],[#Data]],9,FALSE),0)</f>
        <v>0</v>
      </c>
      <c r="AK1031" s="4">
        <f>IFERROR(VLOOKUP(Calculations[[#This Row],[Material (choose from dropdown]],MaterialData[[#Headers],[#Data]],10,FALSE),0)</f>
        <v>0</v>
      </c>
      <c r="AL1031" s="322">
        <f>IFERROR(Calculations[[#This Row],[Data Quality Score]]*Calculations[[#This Row],[Total Kg]],0)</f>
        <v>0</v>
      </c>
    </row>
    <row r="1032" spans="1:38" x14ac:dyDescent="0.3">
      <c r="A1032" s="6">
        <f>IFERROR(MaterialsBoQ[[#This Row],[Scope Element]],0)</f>
        <v>0</v>
      </c>
      <c r="B1032" t="str">
        <f>IFERROR(MaterialsBoQ[[#This Row],[Material ]],"")</f>
        <v/>
      </c>
      <c r="C1032" t="str">
        <f>IFERROR(MaterialsBoQ[[#This Row],[Unit]],"")</f>
        <v/>
      </c>
      <c r="D1032" s="322">
        <f>IFERROR(MaterialsBoQ[[#This Row],[Number]],0)</f>
        <v>0</v>
      </c>
      <c r="E1032" s="322">
        <f>IFERROR(MaterialsBoQ[[#This Row],[Kg per unit]],0)</f>
        <v>0</v>
      </c>
      <c r="F1032" s="322">
        <f>IFERROR(Calculations[[#This Row],[Number]]*Calculations[[#This Row],[Conversion factor]],0)</f>
        <v>0</v>
      </c>
      <c r="G1032" s="322">
        <f>IFERROR(VLOOKUP(Calculations[[#This Row],[Material (choose from dropdown]],MaterialData[#All],7,FALSE),0)</f>
        <v>0</v>
      </c>
      <c r="H1032" s="322">
        <f>Calculations[[#This Row],[Total Kg]]*Calculations[[#This Row],[Carbon Factor]]</f>
        <v>0</v>
      </c>
      <c r="I1032" t="str">
        <f>IFERROR(VLOOKUP(Calculations[[#This Row],[Material (choose from dropdown]],MaterialData[#All],2,FALSE),"")</f>
        <v/>
      </c>
      <c r="J1032" s="322">
        <f>IFERROR(((VLOOKUP(Calculations[[#This Row],[TransportSource]],TransportDistance[],2,FALSE)*'Stage assumptions'!$C$11)+VLOOKUP(Calculations[[#This Row],[TransportSource]],TransportDistance[],3,FALSE)*'Stage assumptions'!$C$12)*Calculations[[#This Row],[Total Kg]],0)</f>
        <v>0</v>
      </c>
      <c r="K1032">
        <f>IFERROR(VLOOKUP(Calculations[[#This Row],[Material (choose from dropdown]], MaterialData[#All],3, FALSE),0)</f>
        <v>0</v>
      </c>
      <c r="L1032" s="322">
        <f>IFERROR(VLOOKUP(Calculations[[#This Row],[A5type]],A5WastageRate[#All],2,FALSE)*Calculations[[#This Row],[A1-3]],0)</f>
        <v>0</v>
      </c>
      <c r="N1032">
        <f>IFERROR(ROUNDUP(50/VLOOKUP(Calculations[[#This Row],[Scope Element]],B4referenceServiceLife[[Tier 2 element]:[Default Service Life]],2, FALSE)-1,0),0)</f>
        <v>0</v>
      </c>
      <c r="O1032" s="322">
        <f>IFERROR((Calculations[[#This Row],[A1-3]]+Calculations[[#This Row],[A4]]+Calculations[[#This Row],[A5]]+Calculations[[#This Row],[C2 total]]+Calculations[[#This Row],[C3 total]]+Calculations[[#This Row],[C4 total]])*Calculations[[#This Row],[Replacements]],0)</f>
        <v>0</v>
      </c>
      <c r="S1032" t="str">
        <f>IFERROR(VLOOKUP(Calculations[[#This Row],[Material (choose from dropdown]],MaterialData[#All],4,FALSE),"")</f>
        <v/>
      </c>
      <c r="T1032" s="322" cm="1">
        <f t="array" ref="T1032">IFERROR(VLOOKUP(Calculations[[#This Row],[Waste 1]],WasteScenario[#All],2,FALSE)*'Stage assumptions'!$C$225*WasteTransportMethod[Emissions Factor
kgCO2e/kg.km]*Calculations[[#This Row],[Total Kg]],0)</f>
        <v>0</v>
      </c>
      <c r="U1032" s="322" cm="1">
        <f t="array" ref="U1032">IFERROR(VLOOKUP(Calculations[[#This Row],[Waste 1]],WasteScenario[#All],3,FALSE)*'Stage assumptions'!$C$224*WasteTransportMethod[Emissions Factor
kgCO2e/kg.km]*Calculations[[#This Row],[Total Kg]],0)</f>
        <v>0</v>
      </c>
      <c r="V1032" s="322" cm="1">
        <f t="array" ref="V1032">IFERROR(VLOOKUP(Calculations[[#This Row],[Waste 1]],WasteScenario[#All],4,FALSE)*'Stage assumptions'!$C$223*WasteTransportMethod[Emissions Factor
kgCO2e/kg.km]*Calculations[[#This Row],[Total Kg]],0)</f>
        <v>0</v>
      </c>
      <c r="W1032" s="322" cm="1">
        <f t="array" ref="W1032">IFERROR(VLOOKUP(Calculations[[#This Row],[Waste 1]],WasteScenario[#All],5,FALSE)*'Stage assumptions'!$C$226*WasteTransportMethod[Emissions Factor
kgCO2e/kg.km]*Calculations[[#This Row],[Total Kg]],0)</f>
        <v>0</v>
      </c>
      <c r="X1032" s="322">
        <f>SUM(Calculations[[#This Row],[C2 Recycle]:[C2 Reuse]])</f>
        <v>0</v>
      </c>
      <c r="Y1032" t="str">
        <f>IFERROR(VLOOKUP(Calculations[[#This Row],[Material (choose from dropdown]],MaterialData[#All],5,FALSE),"")</f>
        <v/>
      </c>
      <c r="Z1032" s="322">
        <f>IFERROR(((VLOOKUP(Calculations[[#This Row],[Waste type 2]],WasteDisposalEmissions[#All],2,FALSE))*Calculations[[#This Row],[Total Kg]])*VLOOKUP(Calculations[[#This Row],[Waste 1]],WasteScenario[#All],2,FALSE),0)</f>
        <v>0</v>
      </c>
      <c r="AA1032" s="322">
        <f>IFERROR((VLOOKUP(Calculations[[#This Row],[Waste type 2]],WasteDisposalEmissions[#All],3,FALSE))*Calculations[[#This Row],[Total Kg]]*VLOOKUP(Calculations[[#This Row],[Waste 1]],WasteScenario[#All],3,FALSE),0)</f>
        <v>0</v>
      </c>
      <c r="AB1032" s="322">
        <f>SUM(Calculations[[#This Row],[C3 recyc]:[C3 incin]])</f>
        <v>0</v>
      </c>
      <c r="AC1032" s="334">
        <f>IFERROR((VLOOKUP(Calculations[[#This Row],[Waste type 2]],WasteLandfillEmissions[#All],2,FALSE))*Calculations[[#This Row],[Total Kg]]*VLOOKUP(Calculations[[#This Row],[Waste 1]],WasteScenario[#All],4,FALSE),0)</f>
        <v>0</v>
      </c>
      <c r="AD1032" s="322">
        <f>IFERROR((VLOOKUP(Calculations[[#This Row],[Waste type 2]],WasteLandfillEmissions[#All],3,FALSE))*Calculations[[#This Row],[Total Kg]]*VLOOKUP(Calculations[[#This Row],[Waste 1]],WasteScenario[#All],4,FALSE),0)</f>
        <v>0</v>
      </c>
      <c r="AE1032" s="322">
        <f>SUM(Calculations[[#This Row],[C4 landfill]:[C4 re-use]])</f>
        <v>0</v>
      </c>
      <c r="AF1032" s="322">
        <f>IFERROR(VLOOKUP(Calculations[[#This Row],[Material (choose from dropdown]],MaterialData[#All],8,FALSE),0)</f>
        <v>0</v>
      </c>
      <c r="AG1032" s="322">
        <f>IFERROR(Calculations[[#This Row],[Total Kg]]*Calculations[[#This Row],[Seq factor]],0)</f>
        <v>0</v>
      </c>
      <c r="AI1032" s="322">
        <f>Calculations[[#This Row],[A1-3]]+Calculations[[#This Row],[A4]]+Calculations[[#This Row],[A5]]+Calculations[[#This Row],[B4]]+Calculations[[#This Row],[C2 total]]+Calculations[[#This Row],[C3 total]]+Calculations[[#This Row],[C4 total]]</f>
        <v>0</v>
      </c>
      <c r="AJ1032" s="2">
        <f>IFERROR(VLOOKUP(Calculations[[#This Row],[Material (choose from dropdown]],MaterialData[[#Headers],[#Data]],9,FALSE),0)</f>
        <v>0</v>
      </c>
      <c r="AK1032" s="4">
        <f>IFERROR(VLOOKUP(Calculations[[#This Row],[Material (choose from dropdown]],MaterialData[[#Headers],[#Data]],10,FALSE),0)</f>
        <v>0</v>
      </c>
      <c r="AL1032" s="322">
        <f>IFERROR(Calculations[[#This Row],[Data Quality Score]]*Calculations[[#This Row],[Total Kg]],0)</f>
        <v>0</v>
      </c>
    </row>
    <row r="1033" spans="1:38" x14ac:dyDescent="0.3">
      <c r="A1033" s="6">
        <f>IFERROR(MaterialsBoQ[[#This Row],[Scope Element]],0)</f>
        <v>0</v>
      </c>
      <c r="B1033" t="str">
        <f>IFERROR(MaterialsBoQ[[#This Row],[Material ]],"")</f>
        <v/>
      </c>
      <c r="C1033" t="str">
        <f>IFERROR(MaterialsBoQ[[#This Row],[Unit]],"")</f>
        <v/>
      </c>
      <c r="D1033" s="322">
        <f>IFERROR(MaterialsBoQ[[#This Row],[Number]],0)</f>
        <v>0</v>
      </c>
      <c r="E1033" s="322">
        <f>IFERROR(MaterialsBoQ[[#This Row],[Kg per unit]],0)</f>
        <v>0</v>
      </c>
      <c r="F1033" s="322">
        <f>IFERROR(Calculations[[#This Row],[Number]]*Calculations[[#This Row],[Conversion factor]],0)</f>
        <v>0</v>
      </c>
      <c r="G1033" s="322">
        <f>IFERROR(VLOOKUP(Calculations[[#This Row],[Material (choose from dropdown]],MaterialData[#All],7,FALSE),0)</f>
        <v>0</v>
      </c>
      <c r="H1033" s="322">
        <f>Calculations[[#This Row],[Total Kg]]*Calculations[[#This Row],[Carbon Factor]]</f>
        <v>0</v>
      </c>
      <c r="I1033" t="str">
        <f>IFERROR(VLOOKUP(Calculations[[#This Row],[Material (choose from dropdown]],MaterialData[#All],2,FALSE),"")</f>
        <v/>
      </c>
      <c r="J1033" s="322">
        <f>IFERROR(((VLOOKUP(Calculations[[#This Row],[TransportSource]],TransportDistance[],2,FALSE)*'Stage assumptions'!$C$11)+VLOOKUP(Calculations[[#This Row],[TransportSource]],TransportDistance[],3,FALSE)*'Stage assumptions'!$C$12)*Calculations[[#This Row],[Total Kg]],0)</f>
        <v>0</v>
      </c>
      <c r="K1033">
        <f>IFERROR(VLOOKUP(Calculations[[#This Row],[Material (choose from dropdown]], MaterialData[#All],3, FALSE),0)</f>
        <v>0</v>
      </c>
      <c r="L1033" s="322">
        <f>IFERROR(VLOOKUP(Calculations[[#This Row],[A5type]],A5WastageRate[#All],2,FALSE)*Calculations[[#This Row],[A1-3]],0)</f>
        <v>0</v>
      </c>
      <c r="N1033">
        <f>IFERROR(ROUNDUP(50/VLOOKUP(Calculations[[#This Row],[Scope Element]],B4referenceServiceLife[[Tier 2 element]:[Default Service Life]],2, FALSE)-1,0),0)</f>
        <v>0</v>
      </c>
      <c r="O1033" s="322">
        <f>IFERROR((Calculations[[#This Row],[A1-3]]+Calculations[[#This Row],[A4]]+Calculations[[#This Row],[A5]]+Calculations[[#This Row],[C2 total]]+Calculations[[#This Row],[C3 total]]+Calculations[[#This Row],[C4 total]])*Calculations[[#This Row],[Replacements]],0)</f>
        <v>0</v>
      </c>
      <c r="S1033" t="str">
        <f>IFERROR(VLOOKUP(Calculations[[#This Row],[Material (choose from dropdown]],MaterialData[#All],4,FALSE),"")</f>
        <v/>
      </c>
      <c r="T1033" s="322" cm="1">
        <f t="array" ref="T1033">IFERROR(VLOOKUP(Calculations[[#This Row],[Waste 1]],WasteScenario[#All],2,FALSE)*'Stage assumptions'!$C$225*WasteTransportMethod[Emissions Factor
kgCO2e/kg.km]*Calculations[[#This Row],[Total Kg]],0)</f>
        <v>0</v>
      </c>
      <c r="U1033" s="322" cm="1">
        <f t="array" ref="U1033">IFERROR(VLOOKUP(Calculations[[#This Row],[Waste 1]],WasteScenario[#All],3,FALSE)*'Stage assumptions'!$C$224*WasteTransportMethod[Emissions Factor
kgCO2e/kg.km]*Calculations[[#This Row],[Total Kg]],0)</f>
        <v>0</v>
      </c>
      <c r="V1033" s="322" cm="1">
        <f t="array" ref="V1033">IFERROR(VLOOKUP(Calculations[[#This Row],[Waste 1]],WasteScenario[#All],4,FALSE)*'Stage assumptions'!$C$223*WasteTransportMethod[Emissions Factor
kgCO2e/kg.km]*Calculations[[#This Row],[Total Kg]],0)</f>
        <v>0</v>
      </c>
      <c r="W1033" s="322" cm="1">
        <f t="array" ref="W1033">IFERROR(VLOOKUP(Calculations[[#This Row],[Waste 1]],WasteScenario[#All],5,FALSE)*'Stage assumptions'!$C$226*WasteTransportMethod[Emissions Factor
kgCO2e/kg.km]*Calculations[[#This Row],[Total Kg]],0)</f>
        <v>0</v>
      </c>
      <c r="X1033" s="322">
        <f>SUM(Calculations[[#This Row],[C2 Recycle]:[C2 Reuse]])</f>
        <v>0</v>
      </c>
      <c r="Y1033" t="str">
        <f>IFERROR(VLOOKUP(Calculations[[#This Row],[Material (choose from dropdown]],MaterialData[#All],5,FALSE),"")</f>
        <v/>
      </c>
      <c r="Z1033" s="322">
        <f>IFERROR(((VLOOKUP(Calculations[[#This Row],[Waste type 2]],WasteDisposalEmissions[#All],2,FALSE))*Calculations[[#This Row],[Total Kg]])*VLOOKUP(Calculations[[#This Row],[Waste 1]],WasteScenario[#All],2,FALSE),0)</f>
        <v>0</v>
      </c>
      <c r="AA1033" s="322">
        <f>IFERROR((VLOOKUP(Calculations[[#This Row],[Waste type 2]],WasteDisposalEmissions[#All],3,FALSE))*Calculations[[#This Row],[Total Kg]]*VLOOKUP(Calculations[[#This Row],[Waste 1]],WasteScenario[#All],3,FALSE),0)</f>
        <v>0</v>
      </c>
      <c r="AB1033" s="322">
        <f>SUM(Calculations[[#This Row],[C3 recyc]:[C3 incin]])</f>
        <v>0</v>
      </c>
      <c r="AC1033" s="334">
        <f>IFERROR((VLOOKUP(Calculations[[#This Row],[Waste type 2]],WasteLandfillEmissions[#All],2,FALSE))*Calculations[[#This Row],[Total Kg]]*VLOOKUP(Calculations[[#This Row],[Waste 1]],WasteScenario[#All],4,FALSE),0)</f>
        <v>0</v>
      </c>
      <c r="AD1033" s="322">
        <f>IFERROR((VLOOKUP(Calculations[[#This Row],[Waste type 2]],WasteLandfillEmissions[#All],3,FALSE))*Calculations[[#This Row],[Total Kg]]*VLOOKUP(Calculations[[#This Row],[Waste 1]],WasteScenario[#All],4,FALSE),0)</f>
        <v>0</v>
      </c>
      <c r="AE1033" s="322">
        <f>SUM(Calculations[[#This Row],[C4 landfill]:[C4 re-use]])</f>
        <v>0</v>
      </c>
      <c r="AF1033" s="322">
        <f>IFERROR(VLOOKUP(Calculations[[#This Row],[Material (choose from dropdown]],MaterialData[#All],8,FALSE),0)</f>
        <v>0</v>
      </c>
      <c r="AG1033" s="322">
        <f>IFERROR(Calculations[[#This Row],[Total Kg]]*Calculations[[#This Row],[Seq factor]],0)</f>
        <v>0</v>
      </c>
      <c r="AI1033" s="322">
        <f>Calculations[[#This Row],[A1-3]]+Calculations[[#This Row],[A4]]+Calculations[[#This Row],[A5]]+Calculations[[#This Row],[B4]]+Calculations[[#This Row],[C2 total]]+Calculations[[#This Row],[C3 total]]+Calculations[[#This Row],[C4 total]]</f>
        <v>0</v>
      </c>
      <c r="AJ1033" s="2">
        <f>IFERROR(VLOOKUP(Calculations[[#This Row],[Material (choose from dropdown]],MaterialData[[#Headers],[#Data]],9,FALSE),0)</f>
        <v>0</v>
      </c>
      <c r="AK1033" s="4">
        <f>IFERROR(VLOOKUP(Calculations[[#This Row],[Material (choose from dropdown]],MaterialData[[#Headers],[#Data]],10,FALSE),0)</f>
        <v>0</v>
      </c>
      <c r="AL1033" s="322">
        <f>IFERROR(Calculations[[#This Row],[Data Quality Score]]*Calculations[[#This Row],[Total Kg]],0)</f>
        <v>0</v>
      </c>
    </row>
    <row r="1034" spans="1:38" x14ac:dyDescent="0.3">
      <c r="A1034" s="6">
        <f>IFERROR(MaterialsBoQ[[#This Row],[Scope Element]],0)</f>
        <v>0</v>
      </c>
      <c r="B1034" t="str">
        <f>IFERROR(MaterialsBoQ[[#This Row],[Material ]],"")</f>
        <v/>
      </c>
      <c r="C1034" t="str">
        <f>IFERROR(MaterialsBoQ[[#This Row],[Unit]],"")</f>
        <v/>
      </c>
      <c r="D1034" s="322">
        <f>IFERROR(MaterialsBoQ[[#This Row],[Number]],0)</f>
        <v>0</v>
      </c>
      <c r="E1034" s="322">
        <f>IFERROR(MaterialsBoQ[[#This Row],[Kg per unit]],0)</f>
        <v>0</v>
      </c>
      <c r="F1034" s="322">
        <f>IFERROR(Calculations[[#This Row],[Number]]*Calculations[[#This Row],[Conversion factor]],0)</f>
        <v>0</v>
      </c>
      <c r="G1034" s="322">
        <f>IFERROR(VLOOKUP(Calculations[[#This Row],[Material (choose from dropdown]],MaterialData[#All],7,FALSE),0)</f>
        <v>0</v>
      </c>
      <c r="H1034" s="322">
        <f>Calculations[[#This Row],[Total Kg]]*Calculations[[#This Row],[Carbon Factor]]</f>
        <v>0</v>
      </c>
      <c r="I1034" t="str">
        <f>IFERROR(VLOOKUP(Calculations[[#This Row],[Material (choose from dropdown]],MaterialData[#All],2,FALSE),"")</f>
        <v/>
      </c>
      <c r="J1034" s="322">
        <f>IFERROR(((VLOOKUP(Calculations[[#This Row],[TransportSource]],TransportDistance[],2,FALSE)*'Stage assumptions'!$C$11)+VLOOKUP(Calculations[[#This Row],[TransportSource]],TransportDistance[],3,FALSE)*'Stage assumptions'!$C$12)*Calculations[[#This Row],[Total Kg]],0)</f>
        <v>0</v>
      </c>
      <c r="K1034">
        <f>IFERROR(VLOOKUP(Calculations[[#This Row],[Material (choose from dropdown]], MaterialData[#All],3, FALSE),0)</f>
        <v>0</v>
      </c>
      <c r="L1034" s="322">
        <f>IFERROR(VLOOKUP(Calculations[[#This Row],[A5type]],A5WastageRate[#All],2,FALSE)*Calculations[[#This Row],[A1-3]],0)</f>
        <v>0</v>
      </c>
      <c r="N1034">
        <f>IFERROR(ROUNDUP(50/VLOOKUP(Calculations[[#This Row],[Scope Element]],B4referenceServiceLife[[Tier 2 element]:[Default Service Life]],2, FALSE)-1,0),0)</f>
        <v>0</v>
      </c>
      <c r="O1034" s="322">
        <f>IFERROR((Calculations[[#This Row],[A1-3]]+Calculations[[#This Row],[A4]]+Calculations[[#This Row],[A5]]+Calculations[[#This Row],[C2 total]]+Calculations[[#This Row],[C3 total]]+Calculations[[#This Row],[C4 total]])*Calculations[[#This Row],[Replacements]],0)</f>
        <v>0</v>
      </c>
      <c r="S1034" t="str">
        <f>IFERROR(VLOOKUP(Calculations[[#This Row],[Material (choose from dropdown]],MaterialData[#All],4,FALSE),"")</f>
        <v/>
      </c>
      <c r="T1034" s="322" cm="1">
        <f t="array" ref="T1034">IFERROR(VLOOKUP(Calculations[[#This Row],[Waste 1]],WasteScenario[#All],2,FALSE)*'Stage assumptions'!$C$225*WasteTransportMethod[Emissions Factor
kgCO2e/kg.km]*Calculations[[#This Row],[Total Kg]],0)</f>
        <v>0</v>
      </c>
      <c r="U1034" s="322" cm="1">
        <f t="array" ref="U1034">IFERROR(VLOOKUP(Calculations[[#This Row],[Waste 1]],WasteScenario[#All],3,FALSE)*'Stage assumptions'!$C$224*WasteTransportMethod[Emissions Factor
kgCO2e/kg.km]*Calculations[[#This Row],[Total Kg]],0)</f>
        <v>0</v>
      </c>
      <c r="V1034" s="322" cm="1">
        <f t="array" ref="V1034">IFERROR(VLOOKUP(Calculations[[#This Row],[Waste 1]],WasteScenario[#All],4,FALSE)*'Stage assumptions'!$C$223*WasteTransportMethod[Emissions Factor
kgCO2e/kg.km]*Calculations[[#This Row],[Total Kg]],0)</f>
        <v>0</v>
      </c>
      <c r="W1034" s="322" cm="1">
        <f t="array" ref="W1034">IFERROR(VLOOKUP(Calculations[[#This Row],[Waste 1]],WasteScenario[#All],5,FALSE)*'Stage assumptions'!$C$226*WasteTransportMethod[Emissions Factor
kgCO2e/kg.km]*Calculations[[#This Row],[Total Kg]],0)</f>
        <v>0</v>
      </c>
      <c r="X1034" s="322">
        <f>SUM(Calculations[[#This Row],[C2 Recycle]:[C2 Reuse]])</f>
        <v>0</v>
      </c>
      <c r="Y1034" t="str">
        <f>IFERROR(VLOOKUP(Calculations[[#This Row],[Material (choose from dropdown]],MaterialData[#All],5,FALSE),"")</f>
        <v/>
      </c>
      <c r="Z1034" s="322">
        <f>IFERROR(((VLOOKUP(Calculations[[#This Row],[Waste type 2]],WasteDisposalEmissions[#All],2,FALSE))*Calculations[[#This Row],[Total Kg]])*VLOOKUP(Calculations[[#This Row],[Waste 1]],WasteScenario[#All],2,FALSE),0)</f>
        <v>0</v>
      </c>
      <c r="AA1034" s="322">
        <f>IFERROR((VLOOKUP(Calculations[[#This Row],[Waste type 2]],WasteDisposalEmissions[#All],3,FALSE))*Calculations[[#This Row],[Total Kg]]*VLOOKUP(Calculations[[#This Row],[Waste 1]],WasteScenario[#All],3,FALSE),0)</f>
        <v>0</v>
      </c>
      <c r="AB1034" s="322">
        <f>SUM(Calculations[[#This Row],[C3 recyc]:[C3 incin]])</f>
        <v>0</v>
      </c>
      <c r="AC1034" s="334">
        <f>IFERROR((VLOOKUP(Calculations[[#This Row],[Waste type 2]],WasteLandfillEmissions[#All],2,FALSE))*Calculations[[#This Row],[Total Kg]]*VLOOKUP(Calculations[[#This Row],[Waste 1]],WasteScenario[#All],4,FALSE),0)</f>
        <v>0</v>
      </c>
      <c r="AD1034" s="322">
        <f>IFERROR((VLOOKUP(Calculations[[#This Row],[Waste type 2]],WasteLandfillEmissions[#All],3,FALSE))*Calculations[[#This Row],[Total Kg]]*VLOOKUP(Calculations[[#This Row],[Waste 1]],WasteScenario[#All],4,FALSE),0)</f>
        <v>0</v>
      </c>
      <c r="AE1034" s="322">
        <f>SUM(Calculations[[#This Row],[C4 landfill]:[C4 re-use]])</f>
        <v>0</v>
      </c>
      <c r="AF1034" s="322">
        <f>IFERROR(VLOOKUP(Calculations[[#This Row],[Material (choose from dropdown]],MaterialData[#All],8,FALSE),0)</f>
        <v>0</v>
      </c>
      <c r="AG1034" s="322">
        <f>IFERROR(Calculations[[#This Row],[Total Kg]]*Calculations[[#This Row],[Seq factor]],0)</f>
        <v>0</v>
      </c>
      <c r="AI1034" s="322">
        <f>Calculations[[#This Row],[A1-3]]+Calculations[[#This Row],[A4]]+Calculations[[#This Row],[A5]]+Calculations[[#This Row],[B4]]+Calculations[[#This Row],[C2 total]]+Calculations[[#This Row],[C3 total]]+Calculations[[#This Row],[C4 total]]</f>
        <v>0</v>
      </c>
      <c r="AJ1034" s="2">
        <f>IFERROR(VLOOKUP(Calculations[[#This Row],[Material (choose from dropdown]],MaterialData[[#Headers],[#Data]],9,FALSE),0)</f>
        <v>0</v>
      </c>
      <c r="AK1034" s="4">
        <f>IFERROR(VLOOKUP(Calculations[[#This Row],[Material (choose from dropdown]],MaterialData[[#Headers],[#Data]],10,FALSE),0)</f>
        <v>0</v>
      </c>
      <c r="AL1034" s="322">
        <f>IFERROR(Calculations[[#This Row],[Data Quality Score]]*Calculations[[#This Row],[Total Kg]],0)</f>
        <v>0</v>
      </c>
    </row>
    <row r="1035" spans="1:38" x14ac:dyDescent="0.3">
      <c r="A1035" s="6">
        <f>IFERROR(MaterialsBoQ[[#This Row],[Scope Element]],0)</f>
        <v>0</v>
      </c>
      <c r="B1035" t="str">
        <f>IFERROR(MaterialsBoQ[[#This Row],[Material ]],"")</f>
        <v/>
      </c>
      <c r="C1035" t="str">
        <f>IFERROR(MaterialsBoQ[[#This Row],[Unit]],"")</f>
        <v/>
      </c>
      <c r="D1035" s="322">
        <f>IFERROR(MaterialsBoQ[[#This Row],[Number]],0)</f>
        <v>0</v>
      </c>
      <c r="E1035" s="322">
        <f>IFERROR(MaterialsBoQ[[#This Row],[Kg per unit]],0)</f>
        <v>0</v>
      </c>
      <c r="F1035" s="322">
        <f>IFERROR(Calculations[[#This Row],[Number]]*Calculations[[#This Row],[Conversion factor]],0)</f>
        <v>0</v>
      </c>
      <c r="G1035" s="322">
        <f>IFERROR(VLOOKUP(Calculations[[#This Row],[Material (choose from dropdown]],MaterialData[#All],7,FALSE),0)</f>
        <v>0</v>
      </c>
      <c r="H1035" s="322">
        <f>Calculations[[#This Row],[Total Kg]]*Calculations[[#This Row],[Carbon Factor]]</f>
        <v>0</v>
      </c>
      <c r="I1035" t="str">
        <f>IFERROR(VLOOKUP(Calculations[[#This Row],[Material (choose from dropdown]],MaterialData[#All],2,FALSE),"")</f>
        <v/>
      </c>
      <c r="J1035" s="322">
        <f>IFERROR(((VLOOKUP(Calculations[[#This Row],[TransportSource]],TransportDistance[],2,FALSE)*'Stage assumptions'!$C$11)+VLOOKUP(Calculations[[#This Row],[TransportSource]],TransportDistance[],3,FALSE)*'Stage assumptions'!$C$12)*Calculations[[#This Row],[Total Kg]],0)</f>
        <v>0</v>
      </c>
      <c r="K1035">
        <f>IFERROR(VLOOKUP(Calculations[[#This Row],[Material (choose from dropdown]], MaterialData[#All],3, FALSE),0)</f>
        <v>0</v>
      </c>
      <c r="L1035" s="322">
        <f>IFERROR(VLOOKUP(Calculations[[#This Row],[A5type]],A5WastageRate[#All],2,FALSE)*Calculations[[#This Row],[A1-3]],0)</f>
        <v>0</v>
      </c>
      <c r="N1035">
        <f>IFERROR(ROUNDUP(50/VLOOKUP(Calculations[[#This Row],[Scope Element]],B4referenceServiceLife[[Tier 2 element]:[Default Service Life]],2, FALSE)-1,0),0)</f>
        <v>0</v>
      </c>
      <c r="O1035" s="322">
        <f>IFERROR((Calculations[[#This Row],[A1-3]]+Calculations[[#This Row],[A4]]+Calculations[[#This Row],[A5]]+Calculations[[#This Row],[C2 total]]+Calculations[[#This Row],[C3 total]]+Calculations[[#This Row],[C4 total]])*Calculations[[#This Row],[Replacements]],0)</f>
        <v>0</v>
      </c>
      <c r="S1035" t="str">
        <f>IFERROR(VLOOKUP(Calculations[[#This Row],[Material (choose from dropdown]],MaterialData[#All],4,FALSE),"")</f>
        <v/>
      </c>
      <c r="T1035" s="322" cm="1">
        <f t="array" ref="T1035">IFERROR(VLOOKUP(Calculations[[#This Row],[Waste 1]],WasteScenario[#All],2,FALSE)*'Stage assumptions'!$C$225*WasteTransportMethod[Emissions Factor
kgCO2e/kg.km]*Calculations[[#This Row],[Total Kg]],0)</f>
        <v>0</v>
      </c>
      <c r="U1035" s="322" cm="1">
        <f t="array" ref="U1035">IFERROR(VLOOKUP(Calculations[[#This Row],[Waste 1]],WasteScenario[#All],3,FALSE)*'Stage assumptions'!$C$224*WasteTransportMethod[Emissions Factor
kgCO2e/kg.km]*Calculations[[#This Row],[Total Kg]],0)</f>
        <v>0</v>
      </c>
      <c r="V1035" s="322" cm="1">
        <f t="array" ref="V1035">IFERROR(VLOOKUP(Calculations[[#This Row],[Waste 1]],WasteScenario[#All],4,FALSE)*'Stage assumptions'!$C$223*WasteTransportMethod[Emissions Factor
kgCO2e/kg.km]*Calculations[[#This Row],[Total Kg]],0)</f>
        <v>0</v>
      </c>
      <c r="W1035" s="322" cm="1">
        <f t="array" ref="W1035">IFERROR(VLOOKUP(Calculations[[#This Row],[Waste 1]],WasteScenario[#All],5,FALSE)*'Stage assumptions'!$C$226*WasteTransportMethod[Emissions Factor
kgCO2e/kg.km]*Calculations[[#This Row],[Total Kg]],0)</f>
        <v>0</v>
      </c>
      <c r="X1035" s="322">
        <f>SUM(Calculations[[#This Row],[C2 Recycle]:[C2 Reuse]])</f>
        <v>0</v>
      </c>
      <c r="Y1035" t="str">
        <f>IFERROR(VLOOKUP(Calculations[[#This Row],[Material (choose from dropdown]],MaterialData[#All],5,FALSE),"")</f>
        <v/>
      </c>
      <c r="Z1035" s="322">
        <f>IFERROR(((VLOOKUP(Calculations[[#This Row],[Waste type 2]],WasteDisposalEmissions[#All],2,FALSE))*Calculations[[#This Row],[Total Kg]])*VLOOKUP(Calculations[[#This Row],[Waste 1]],WasteScenario[#All],2,FALSE),0)</f>
        <v>0</v>
      </c>
      <c r="AA1035" s="322">
        <f>IFERROR((VLOOKUP(Calculations[[#This Row],[Waste type 2]],WasteDisposalEmissions[#All],3,FALSE))*Calculations[[#This Row],[Total Kg]]*VLOOKUP(Calculations[[#This Row],[Waste 1]],WasteScenario[#All],3,FALSE),0)</f>
        <v>0</v>
      </c>
      <c r="AB1035" s="322">
        <f>SUM(Calculations[[#This Row],[C3 recyc]:[C3 incin]])</f>
        <v>0</v>
      </c>
      <c r="AC1035" s="334">
        <f>IFERROR((VLOOKUP(Calculations[[#This Row],[Waste type 2]],WasteLandfillEmissions[#All],2,FALSE))*Calculations[[#This Row],[Total Kg]]*VLOOKUP(Calculations[[#This Row],[Waste 1]],WasteScenario[#All],4,FALSE),0)</f>
        <v>0</v>
      </c>
      <c r="AD1035" s="322">
        <f>IFERROR((VLOOKUP(Calculations[[#This Row],[Waste type 2]],WasteLandfillEmissions[#All],3,FALSE))*Calculations[[#This Row],[Total Kg]]*VLOOKUP(Calculations[[#This Row],[Waste 1]],WasteScenario[#All],4,FALSE),0)</f>
        <v>0</v>
      </c>
      <c r="AE1035" s="322">
        <f>SUM(Calculations[[#This Row],[C4 landfill]:[C4 re-use]])</f>
        <v>0</v>
      </c>
      <c r="AF1035" s="322">
        <f>IFERROR(VLOOKUP(Calculations[[#This Row],[Material (choose from dropdown]],MaterialData[#All],8,FALSE),0)</f>
        <v>0</v>
      </c>
      <c r="AG1035" s="322">
        <f>IFERROR(Calculations[[#This Row],[Total Kg]]*Calculations[[#This Row],[Seq factor]],0)</f>
        <v>0</v>
      </c>
      <c r="AI1035" s="322">
        <f>Calculations[[#This Row],[A1-3]]+Calculations[[#This Row],[A4]]+Calculations[[#This Row],[A5]]+Calculations[[#This Row],[B4]]+Calculations[[#This Row],[C2 total]]+Calculations[[#This Row],[C3 total]]+Calculations[[#This Row],[C4 total]]</f>
        <v>0</v>
      </c>
      <c r="AJ1035" s="2">
        <f>IFERROR(VLOOKUP(Calculations[[#This Row],[Material (choose from dropdown]],MaterialData[[#Headers],[#Data]],9,FALSE),0)</f>
        <v>0</v>
      </c>
      <c r="AK1035" s="4">
        <f>IFERROR(VLOOKUP(Calculations[[#This Row],[Material (choose from dropdown]],MaterialData[[#Headers],[#Data]],10,FALSE),0)</f>
        <v>0</v>
      </c>
      <c r="AL1035" s="322">
        <f>IFERROR(Calculations[[#This Row],[Data Quality Score]]*Calculations[[#This Row],[Total Kg]],0)</f>
        <v>0</v>
      </c>
    </row>
    <row r="1036" spans="1:38" x14ac:dyDescent="0.3">
      <c r="A1036" s="6">
        <f>IFERROR(MaterialsBoQ[[#This Row],[Scope Element]],0)</f>
        <v>0</v>
      </c>
      <c r="B1036" t="str">
        <f>IFERROR(MaterialsBoQ[[#This Row],[Material ]],"")</f>
        <v/>
      </c>
      <c r="C1036" t="str">
        <f>IFERROR(MaterialsBoQ[[#This Row],[Unit]],"")</f>
        <v/>
      </c>
      <c r="D1036" s="322">
        <f>IFERROR(MaterialsBoQ[[#This Row],[Number]],0)</f>
        <v>0</v>
      </c>
      <c r="E1036" s="322">
        <f>IFERROR(MaterialsBoQ[[#This Row],[Kg per unit]],0)</f>
        <v>0</v>
      </c>
      <c r="F1036" s="322">
        <f>IFERROR(Calculations[[#This Row],[Number]]*Calculations[[#This Row],[Conversion factor]],0)</f>
        <v>0</v>
      </c>
      <c r="G1036" s="322">
        <f>IFERROR(VLOOKUP(Calculations[[#This Row],[Material (choose from dropdown]],MaterialData[#All],7,FALSE),0)</f>
        <v>0</v>
      </c>
      <c r="H1036" s="322">
        <f>Calculations[[#This Row],[Total Kg]]*Calculations[[#This Row],[Carbon Factor]]</f>
        <v>0</v>
      </c>
      <c r="I1036" t="str">
        <f>IFERROR(VLOOKUP(Calculations[[#This Row],[Material (choose from dropdown]],MaterialData[#All],2,FALSE),"")</f>
        <v/>
      </c>
      <c r="J1036" s="322">
        <f>IFERROR(((VLOOKUP(Calculations[[#This Row],[TransportSource]],TransportDistance[],2,FALSE)*'Stage assumptions'!$C$11)+VLOOKUP(Calculations[[#This Row],[TransportSource]],TransportDistance[],3,FALSE)*'Stage assumptions'!$C$12)*Calculations[[#This Row],[Total Kg]],0)</f>
        <v>0</v>
      </c>
      <c r="K1036">
        <f>IFERROR(VLOOKUP(Calculations[[#This Row],[Material (choose from dropdown]], MaterialData[#All],3, FALSE),0)</f>
        <v>0</v>
      </c>
      <c r="L1036" s="322">
        <f>IFERROR(VLOOKUP(Calculations[[#This Row],[A5type]],A5WastageRate[#All],2,FALSE)*Calculations[[#This Row],[A1-3]],0)</f>
        <v>0</v>
      </c>
      <c r="N1036">
        <f>IFERROR(ROUNDUP(50/VLOOKUP(Calculations[[#This Row],[Scope Element]],B4referenceServiceLife[[Tier 2 element]:[Default Service Life]],2, FALSE)-1,0),0)</f>
        <v>0</v>
      </c>
      <c r="O1036" s="322">
        <f>IFERROR((Calculations[[#This Row],[A1-3]]+Calculations[[#This Row],[A4]]+Calculations[[#This Row],[A5]]+Calculations[[#This Row],[C2 total]]+Calculations[[#This Row],[C3 total]]+Calculations[[#This Row],[C4 total]])*Calculations[[#This Row],[Replacements]],0)</f>
        <v>0</v>
      </c>
      <c r="S1036" t="str">
        <f>IFERROR(VLOOKUP(Calculations[[#This Row],[Material (choose from dropdown]],MaterialData[#All],4,FALSE),"")</f>
        <v/>
      </c>
      <c r="T1036" s="322" cm="1">
        <f t="array" ref="T1036">IFERROR(VLOOKUP(Calculations[[#This Row],[Waste 1]],WasteScenario[#All],2,FALSE)*'Stage assumptions'!$C$225*WasteTransportMethod[Emissions Factor
kgCO2e/kg.km]*Calculations[[#This Row],[Total Kg]],0)</f>
        <v>0</v>
      </c>
      <c r="U1036" s="322" cm="1">
        <f t="array" ref="U1036">IFERROR(VLOOKUP(Calculations[[#This Row],[Waste 1]],WasteScenario[#All],3,FALSE)*'Stage assumptions'!$C$224*WasteTransportMethod[Emissions Factor
kgCO2e/kg.km]*Calculations[[#This Row],[Total Kg]],0)</f>
        <v>0</v>
      </c>
      <c r="V1036" s="322" cm="1">
        <f t="array" ref="V1036">IFERROR(VLOOKUP(Calculations[[#This Row],[Waste 1]],WasteScenario[#All],4,FALSE)*'Stage assumptions'!$C$223*WasteTransportMethod[Emissions Factor
kgCO2e/kg.km]*Calculations[[#This Row],[Total Kg]],0)</f>
        <v>0</v>
      </c>
      <c r="W1036" s="322" cm="1">
        <f t="array" ref="W1036">IFERROR(VLOOKUP(Calculations[[#This Row],[Waste 1]],WasteScenario[#All],5,FALSE)*'Stage assumptions'!$C$226*WasteTransportMethod[Emissions Factor
kgCO2e/kg.km]*Calculations[[#This Row],[Total Kg]],0)</f>
        <v>0</v>
      </c>
      <c r="X1036" s="322">
        <f>SUM(Calculations[[#This Row],[C2 Recycle]:[C2 Reuse]])</f>
        <v>0</v>
      </c>
      <c r="Y1036" t="str">
        <f>IFERROR(VLOOKUP(Calculations[[#This Row],[Material (choose from dropdown]],MaterialData[#All],5,FALSE),"")</f>
        <v/>
      </c>
      <c r="Z1036" s="322">
        <f>IFERROR(((VLOOKUP(Calculations[[#This Row],[Waste type 2]],WasteDisposalEmissions[#All],2,FALSE))*Calculations[[#This Row],[Total Kg]])*VLOOKUP(Calculations[[#This Row],[Waste 1]],WasteScenario[#All],2,FALSE),0)</f>
        <v>0</v>
      </c>
      <c r="AA1036" s="322">
        <f>IFERROR((VLOOKUP(Calculations[[#This Row],[Waste type 2]],WasteDisposalEmissions[#All],3,FALSE))*Calculations[[#This Row],[Total Kg]]*VLOOKUP(Calculations[[#This Row],[Waste 1]],WasteScenario[#All],3,FALSE),0)</f>
        <v>0</v>
      </c>
      <c r="AB1036" s="322">
        <f>SUM(Calculations[[#This Row],[C3 recyc]:[C3 incin]])</f>
        <v>0</v>
      </c>
      <c r="AC1036" s="334">
        <f>IFERROR((VLOOKUP(Calculations[[#This Row],[Waste type 2]],WasteLandfillEmissions[#All],2,FALSE))*Calculations[[#This Row],[Total Kg]]*VLOOKUP(Calculations[[#This Row],[Waste 1]],WasteScenario[#All],4,FALSE),0)</f>
        <v>0</v>
      </c>
      <c r="AD1036" s="322">
        <f>IFERROR((VLOOKUP(Calculations[[#This Row],[Waste type 2]],WasteLandfillEmissions[#All],3,FALSE))*Calculations[[#This Row],[Total Kg]]*VLOOKUP(Calculations[[#This Row],[Waste 1]],WasteScenario[#All],4,FALSE),0)</f>
        <v>0</v>
      </c>
      <c r="AE1036" s="322">
        <f>SUM(Calculations[[#This Row],[C4 landfill]:[C4 re-use]])</f>
        <v>0</v>
      </c>
      <c r="AF1036" s="322">
        <f>IFERROR(VLOOKUP(Calculations[[#This Row],[Material (choose from dropdown]],MaterialData[#All],8,FALSE),0)</f>
        <v>0</v>
      </c>
      <c r="AG1036" s="322">
        <f>IFERROR(Calculations[[#This Row],[Total Kg]]*Calculations[[#This Row],[Seq factor]],0)</f>
        <v>0</v>
      </c>
      <c r="AI1036" s="322">
        <f>Calculations[[#This Row],[A1-3]]+Calculations[[#This Row],[A4]]+Calculations[[#This Row],[A5]]+Calculations[[#This Row],[B4]]+Calculations[[#This Row],[C2 total]]+Calculations[[#This Row],[C3 total]]+Calculations[[#This Row],[C4 total]]</f>
        <v>0</v>
      </c>
      <c r="AJ1036" s="2">
        <f>IFERROR(VLOOKUP(Calculations[[#This Row],[Material (choose from dropdown]],MaterialData[[#Headers],[#Data]],9,FALSE),0)</f>
        <v>0</v>
      </c>
      <c r="AK1036" s="4">
        <f>IFERROR(VLOOKUP(Calculations[[#This Row],[Material (choose from dropdown]],MaterialData[[#Headers],[#Data]],10,FALSE),0)</f>
        <v>0</v>
      </c>
      <c r="AL1036" s="322">
        <f>IFERROR(Calculations[[#This Row],[Data Quality Score]]*Calculations[[#This Row],[Total Kg]],0)</f>
        <v>0</v>
      </c>
    </row>
    <row r="1037" spans="1:38" x14ac:dyDescent="0.3">
      <c r="A1037" s="6">
        <f>IFERROR(MaterialsBoQ[[#This Row],[Scope Element]],0)</f>
        <v>0</v>
      </c>
      <c r="B1037" t="str">
        <f>IFERROR(MaterialsBoQ[[#This Row],[Material ]],"")</f>
        <v/>
      </c>
      <c r="C1037" t="str">
        <f>IFERROR(MaterialsBoQ[[#This Row],[Unit]],"")</f>
        <v/>
      </c>
      <c r="D1037" s="322">
        <f>IFERROR(MaterialsBoQ[[#This Row],[Number]],0)</f>
        <v>0</v>
      </c>
      <c r="E1037" s="322">
        <f>IFERROR(MaterialsBoQ[[#This Row],[Kg per unit]],0)</f>
        <v>0</v>
      </c>
      <c r="F1037" s="322">
        <f>IFERROR(Calculations[[#This Row],[Number]]*Calculations[[#This Row],[Conversion factor]],0)</f>
        <v>0</v>
      </c>
      <c r="G1037" s="322">
        <f>IFERROR(VLOOKUP(Calculations[[#This Row],[Material (choose from dropdown]],MaterialData[#All],7,FALSE),0)</f>
        <v>0</v>
      </c>
      <c r="H1037" s="322">
        <f>Calculations[[#This Row],[Total Kg]]*Calculations[[#This Row],[Carbon Factor]]</f>
        <v>0</v>
      </c>
      <c r="I1037" t="str">
        <f>IFERROR(VLOOKUP(Calculations[[#This Row],[Material (choose from dropdown]],MaterialData[#All],2,FALSE),"")</f>
        <v/>
      </c>
      <c r="J1037" s="322">
        <f>IFERROR(((VLOOKUP(Calculations[[#This Row],[TransportSource]],TransportDistance[],2,FALSE)*'Stage assumptions'!$C$11)+VLOOKUP(Calculations[[#This Row],[TransportSource]],TransportDistance[],3,FALSE)*'Stage assumptions'!$C$12)*Calculations[[#This Row],[Total Kg]],0)</f>
        <v>0</v>
      </c>
      <c r="K1037">
        <f>IFERROR(VLOOKUP(Calculations[[#This Row],[Material (choose from dropdown]], MaterialData[#All],3, FALSE),0)</f>
        <v>0</v>
      </c>
      <c r="L1037" s="322">
        <f>IFERROR(VLOOKUP(Calculations[[#This Row],[A5type]],A5WastageRate[#All],2,FALSE)*Calculations[[#This Row],[A1-3]],0)</f>
        <v>0</v>
      </c>
      <c r="N1037">
        <f>IFERROR(ROUNDUP(50/VLOOKUP(Calculations[[#This Row],[Scope Element]],B4referenceServiceLife[[Tier 2 element]:[Default Service Life]],2, FALSE)-1,0),0)</f>
        <v>0</v>
      </c>
      <c r="O1037" s="322">
        <f>IFERROR((Calculations[[#This Row],[A1-3]]+Calculations[[#This Row],[A4]]+Calculations[[#This Row],[A5]]+Calculations[[#This Row],[C2 total]]+Calculations[[#This Row],[C3 total]]+Calculations[[#This Row],[C4 total]])*Calculations[[#This Row],[Replacements]],0)</f>
        <v>0</v>
      </c>
      <c r="S1037" t="str">
        <f>IFERROR(VLOOKUP(Calculations[[#This Row],[Material (choose from dropdown]],MaterialData[#All],4,FALSE),"")</f>
        <v/>
      </c>
      <c r="T1037" s="322" cm="1">
        <f t="array" ref="T1037">IFERROR(VLOOKUP(Calculations[[#This Row],[Waste 1]],WasteScenario[#All],2,FALSE)*'Stage assumptions'!$C$225*WasteTransportMethod[Emissions Factor
kgCO2e/kg.km]*Calculations[[#This Row],[Total Kg]],0)</f>
        <v>0</v>
      </c>
      <c r="U1037" s="322" cm="1">
        <f t="array" ref="U1037">IFERROR(VLOOKUP(Calculations[[#This Row],[Waste 1]],WasteScenario[#All],3,FALSE)*'Stage assumptions'!$C$224*WasteTransportMethod[Emissions Factor
kgCO2e/kg.km]*Calculations[[#This Row],[Total Kg]],0)</f>
        <v>0</v>
      </c>
      <c r="V1037" s="322" cm="1">
        <f t="array" ref="V1037">IFERROR(VLOOKUP(Calculations[[#This Row],[Waste 1]],WasteScenario[#All],4,FALSE)*'Stage assumptions'!$C$223*WasteTransportMethod[Emissions Factor
kgCO2e/kg.km]*Calculations[[#This Row],[Total Kg]],0)</f>
        <v>0</v>
      </c>
      <c r="W1037" s="322" cm="1">
        <f t="array" ref="W1037">IFERROR(VLOOKUP(Calculations[[#This Row],[Waste 1]],WasteScenario[#All],5,FALSE)*'Stage assumptions'!$C$226*WasteTransportMethod[Emissions Factor
kgCO2e/kg.km]*Calculations[[#This Row],[Total Kg]],0)</f>
        <v>0</v>
      </c>
      <c r="X1037" s="322">
        <f>SUM(Calculations[[#This Row],[C2 Recycle]:[C2 Reuse]])</f>
        <v>0</v>
      </c>
      <c r="Y1037" t="str">
        <f>IFERROR(VLOOKUP(Calculations[[#This Row],[Material (choose from dropdown]],MaterialData[#All],5,FALSE),"")</f>
        <v/>
      </c>
      <c r="Z1037" s="322">
        <f>IFERROR(((VLOOKUP(Calculations[[#This Row],[Waste type 2]],WasteDisposalEmissions[#All],2,FALSE))*Calculations[[#This Row],[Total Kg]])*VLOOKUP(Calculations[[#This Row],[Waste 1]],WasteScenario[#All],2,FALSE),0)</f>
        <v>0</v>
      </c>
      <c r="AA1037" s="322">
        <f>IFERROR((VLOOKUP(Calculations[[#This Row],[Waste type 2]],WasteDisposalEmissions[#All],3,FALSE))*Calculations[[#This Row],[Total Kg]]*VLOOKUP(Calculations[[#This Row],[Waste 1]],WasteScenario[#All],3,FALSE),0)</f>
        <v>0</v>
      </c>
      <c r="AB1037" s="322">
        <f>SUM(Calculations[[#This Row],[C3 recyc]:[C3 incin]])</f>
        <v>0</v>
      </c>
      <c r="AC1037" s="334">
        <f>IFERROR((VLOOKUP(Calculations[[#This Row],[Waste type 2]],WasteLandfillEmissions[#All],2,FALSE))*Calculations[[#This Row],[Total Kg]]*VLOOKUP(Calculations[[#This Row],[Waste 1]],WasteScenario[#All],4,FALSE),0)</f>
        <v>0</v>
      </c>
      <c r="AD1037" s="322">
        <f>IFERROR((VLOOKUP(Calculations[[#This Row],[Waste type 2]],WasteLandfillEmissions[#All],3,FALSE))*Calculations[[#This Row],[Total Kg]]*VLOOKUP(Calculations[[#This Row],[Waste 1]],WasteScenario[#All],4,FALSE),0)</f>
        <v>0</v>
      </c>
      <c r="AE1037" s="322">
        <f>SUM(Calculations[[#This Row],[C4 landfill]:[C4 re-use]])</f>
        <v>0</v>
      </c>
      <c r="AF1037" s="322">
        <f>IFERROR(VLOOKUP(Calculations[[#This Row],[Material (choose from dropdown]],MaterialData[#All],8,FALSE),0)</f>
        <v>0</v>
      </c>
      <c r="AG1037" s="322">
        <f>IFERROR(Calculations[[#This Row],[Total Kg]]*Calculations[[#This Row],[Seq factor]],0)</f>
        <v>0</v>
      </c>
      <c r="AI1037" s="322">
        <f>Calculations[[#This Row],[A1-3]]+Calculations[[#This Row],[A4]]+Calculations[[#This Row],[A5]]+Calculations[[#This Row],[B4]]+Calculations[[#This Row],[C2 total]]+Calculations[[#This Row],[C3 total]]+Calculations[[#This Row],[C4 total]]</f>
        <v>0</v>
      </c>
      <c r="AJ1037" s="2">
        <f>IFERROR(VLOOKUP(Calculations[[#This Row],[Material (choose from dropdown]],MaterialData[[#Headers],[#Data]],9,FALSE),0)</f>
        <v>0</v>
      </c>
      <c r="AK1037" s="4">
        <f>IFERROR(VLOOKUP(Calculations[[#This Row],[Material (choose from dropdown]],MaterialData[[#Headers],[#Data]],10,FALSE),0)</f>
        <v>0</v>
      </c>
      <c r="AL1037" s="322">
        <f>IFERROR(Calculations[[#This Row],[Data Quality Score]]*Calculations[[#This Row],[Total Kg]],0)</f>
        <v>0</v>
      </c>
    </row>
    <row r="1038" spans="1:38" x14ac:dyDescent="0.3">
      <c r="A1038" s="6">
        <f>IFERROR(MaterialsBoQ[[#This Row],[Scope Element]],0)</f>
        <v>0</v>
      </c>
      <c r="B1038" t="str">
        <f>IFERROR(MaterialsBoQ[[#This Row],[Material ]],"")</f>
        <v/>
      </c>
      <c r="C1038" t="str">
        <f>IFERROR(MaterialsBoQ[[#This Row],[Unit]],"")</f>
        <v/>
      </c>
      <c r="D1038" s="322">
        <f>IFERROR(MaterialsBoQ[[#This Row],[Number]],0)</f>
        <v>0</v>
      </c>
      <c r="E1038" s="322">
        <f>IFERROR(MaterialsBoQ[[#This Row],[Kg per unit]],0)</f>
        <v>0</v>
      </c>
      <c r="F1038" s="322">
        <f>IFERROR(Calculations[[#This Row],[Number]]*Calculations[[#This Row],[Conversion factor]],0)</f>
        <v>0</v>
      </c>
      <c r="G1038" s="322">
        <f>IFERROR(VLOOKUP(Calculations[[#This Row],[Material (choose from dropdown]],MaterialData[#All],7,FALSE),0)</f>
        <v>0</v>
      </c>
      <c r="H1038" s="322">
        <f>Calculations[[#This Row],[Total Kg]]*Calculations[[#This Row],[Carbon Factor]]</f>
        <v>0</v>
      </c>
      <c r="I1038" t="str">
        <f>IFERROR(VLOOKUP(Calculations[[#This Row],[Material (choose from dropdown]],MaterialData[#All],2,FALSE),"")</f>
        <v/>
      </c>
      <c r="J1038" s="322">
        <f>IFERROR(((VLOOKUP(Calculations[[#This Row],[TransportSource]],TransportDistance[],2,FALSE)*'Stage assumptions'!$C$11)+VLOOKUP(Calculations[[#This Row],[TransportSource]],TransportDistance[],3,FALSE)*'Stage assumptions'!$C$12)*Calculations[[#This Row],[Total Kg]],0)</f>
        <v>0</v>
      </c>
      <c r="K1038">
        <f>IFERROR(VLOOKUP(Calculations[[#This Row],[Material (choose from dropdown]], MaterialData[#All],3, FALSE),0)</f>
        <v>0</v>
      </c>
      <c r="L1038" s="322">
        <f>IFERROR(VLOOKUP(Calculations[[#This Row],[A5type]],A5WastageRate[#All],2,FALSE)*Calculations[[#This Row],[A1-3]],0)</f>
        <v>0</v>
      </c>
      <c r="N1038">
        <f>IFERROR(ROUNDUP(50/VLOOKUP(Calculations[[#This Row],[Scope Element]],B4referenceServiceLife[[Tier 2 element]:[Default Service Life]],2, FALSE)-1,0),0)</f>
        <v>0</v>
      </c>
      <c r="O1038" s="322">
        <f>IFERROR((Calculations[[#This Row],[A1-3]]+Calculations[[#This Row],[A4]]+Calculations[[#This Row],[A5]]+Calculations[[#This Row],[C2 total]]+Calculations[[#This Row],[C3 total]]+Calculations[[#This Row],[C4 total]])*Calculations[[#This Row],[Replacements]],0)</f>
        <v>0</v>
      </c>
      <c r="S1038" t="str">
        <f>IFERROR(VLOOKUP(Calculations[[#This Row],[Material (choose from dropdown]],MaterialData[#All],4,FALSE),"")</f>
        <v/>
      </c>
      <c r="T1038" s="322" cm="1">
        <f t="array" ref="T1038">IFERROR(VLOOKUP(Calculations[[#This Row],[Waste 1]],WasteScenario[#All],2,FALSE)*'Stage assumptions'!$C$225*WasteTransportMethod[Emissions Factor
kgCO2e/kg.km]*Calculations[[#This Row],[Total Kg]],0)</f>
        <v>0</v>
      </c>
      <c r="U1038" s="322" cm="1">
        <f t="array" ref="U1038">IFERROR(VLOOKUP(Calculations[[#This Row],[Waste 1]],WasteScenario[#All],3,FALSE)*'Stage assumptions'!$C$224*WasteTransportMethod[Emissions Factor
kgCO2e/kg.km]*Calculations[[#This Row],[Total Kg]],0)</f>
        <v>0</v>
      </c>
      <c r="V1038" s="322" cm="1">
        <f t="array" ref="V1038">IFERROR(VLOOKUP(Calculations[[#This Row],[Waste 1]],WasteScenario[#All],4,FALSE)*'Stage assumptions'!$C$223*WasteTransportMethod[Emissions Factor
kgCO2e/kg.km]*Calculations[[#This Row],[Total Kg]],0)</f>
        <v>0</v>
      </c>
      <c r="W1038" s="322" cm="1">
        <f t="array" ref="W1038">IFERROR(VLOOKUP(Calculations[[#This Row],[Waste 1]],WasteScenario[#All],5,FALSE)*'Stage assumptions'!$C$226*WasteTransportMethod[Emissions Factor
kgCO2e/kg.km]*Calculations[[#This Row],[Total Kg]],0)</f>
        <v>0</v>
      </c>
      <c r="X1038" s="322">
        <f>SUM(Calculations[[#This Row],[C2 Recycle]:[C2 Reuse]])</f>
        <v>0</v>
      </c>
      <c r="Y1038" t="str">
        <f>IFERROR(VLOOKUP(Calculations[[#This Row],[Material (choose from dropdown]],MaterialData[#All],5,FALSE),"")</f>
        <v/>
      </c>
      <c r="Z1038" s="322">
        <f>IFERROR(((VLOOKUP(Calculations[[#This Row],[Waste type 2]],WasteDisposalEmissions[#All],2,FALSE))*Calculations[[#This Row],[Total Kg]])*VLOOKUP(Calculations[[#This Row],[Waste 1]],WasteScenario[#All],2,FALSE),0)</f>
        <v>0</v>
      </c>
      <c r="AA1038" s="322">
        <f>IFERROR((VLOOKUP(Calculations[[#This Row],[Waste type 2]],WasteDisposalEmissions[#All],3,FALSE))*Calculations[[#This Row],[Total Kg]]*VLOOKUP(Calculations[[#This Row],[Waste 1]],WasteScenario[#All],3,FALSE),0)</f>
        <v>0</v>
      </c>
      <c r="AB1038" s="322">
        <f>SUM(Calculations[[#This Row],[C3 recyc]:[C3 incin]])</f>
        <v>0</v>
      </c>
      <c r="AC1038" s="334">
        <f>IFERROR((VLOOKUP(Calculations[[#This Row],[Waste type 2]],WasteLandfillEmissions[#All],2,FALSE))*Calculations[[#This Row],[Total Kg]]*VLOOKUP(Calculations[[#This Row],[Waste 1]],WasteScenario[#All],4,FALSE),0)</f>
        <v>0</v>
      </c>
      <c r="AD1038" s="322">
        <f>IFERROR((VLOOKUP(Calculations[[#This Row],[Waste type 2]],WasteLandfillEmissions[#All],3,FALSE))*Calculations[[#This Row],[Total Kg]]*VLOOKUP(Calculations[[#This Row],[Waste 1]],WasteScenario[#All],4,FALSE),0)</f>
        <v>0</v>
      </c>
      <c r="AE1038" s="322">
        <f>SUM(Calculations[[#This Row],[C4 landfill]:[C4 re-use]])</f>
        <v>0</v>
      </c>
      <c r="AF1038" s="322">
        <f>IFERROR(VLOOKUP(Calculations[[#This Row],[Material (choose from dropdown]],MaterialData[#All],8,FALSE),0)</f>
        <v>0</v>
      </c>
      <c r="AG1038" s="322">
        <f>IFERROR(Calculations[[#This Row],[Total Kg]]*Calculations[[#This Row],[Seq factor]],0)</f>
        <v>0</v>
      </c>
      <c r="AI1038" s="322">
        <f>Calculations[[#This Row],[A1-3]]+Calculations[[#This Row],[A4]]+Calculations[[#This Row],[A5]]+Calculations[[#This Row],[B4]]+Calculations[[#This Row],[C2 total]]+Calculations[[#This Row],[C3 total]]+Calculations[[#This Row],[C4 total]]</f>
        <v>0</v>
      </c>
      <c r="AJ1038" s="2">
        <f>IFERROR(VLOOKUP(Calculations[[#This Row],[Material (choose from dropdown]],MaterialData[[#Headers],[#Data]],9,FALSE),0)</f>
        <v>0</v>
      </c>
      <c r="AK1038" s="4">
        <f>IFERROR(VLOOKUP(Calculations[[#This Row],[Material (choose from dropdown]],MaterialData[[#Headers],[#Data]],10,FALSE),0)</f>
        <v>0</v>
      </c>
      <c r="AL1038" s="322">
        <f>IFERROR(Calculations[[#This Row],[Data Quality Score]]*Calculations[[#This Row],[Total Kg]],0)</f>
        <v>0</v>
      </c>
    </row>
    <row r="1039" spans="1:38" x14ac:dyDescent="0.3">
      <c r="A1039" s="6">
        <f>IFERROR(MaterialsBoQ[[#This Row],[Scope Element]],0)</f>
        <v>0</v>
      </c>
      <c r="B1039" t="str">
        <f>IFERROR(MaterialsBoQ[[#This Row],[Material ]],"")</f>
        <v/>
      </c>
      <c r="C1039" t="str">
        <f>IFERROR(MaterialsBoQ[[#This Row],[Unit]],"")</f>
        <v/>
      </c>
      <c r="D1039" s="322">
        <f>IFERROR(MaterialsBoQ[[#This Row],[Number]],0)</f>
        <v>0</v>
      </c>
      <c r="E1039" s="322">
        <f>IFERROR(MaterialsBoQ[[#This Row],[Kg per unit]],0)</f>
        <v>0</v>
      </c>
      <c r="F1039" s="322">
        <f>IFERROR(Calculations[[#This Row],[Number]]*Calculations[[#This Row],[Conversion factor]],0)</f>
        <v>0</v>
      </c>
      <c r="G1039" s="322">
        <f>IFERROR(VLOOKUP(Calculations[[#This Row],[Material (choose from dropdown]],MaterialData[#All],7,FALSE),0)</f>
        <v>0</v>
      </c>
      <c r="H1039" s="322">
        <f>Calculations[[#This Row],[Total Kg]]*Calculations[[#This Row],[Carbon Factor]]</f>
        <v>0</v>
      </c>
      <c r="I1039" t="str">
        <f>IFERROR(VLOOKUP(Calculations[[#This Row],[Material (choose from dropdown]],MaterialData[#All],2,FALSE),"")</f>
        <v/>
      </c>
      <c r="J1039" s="322">
        <f>IFERROR(((VLOOKUP(Calculations[[#This Row],[TransportSource]],TransportDistance[],2,FALSE)*'Stage assumptions'!$C$11)+VLOOKUP(Calculations[[#This Row],[TransportSource]],TransportDistance[],3,FALSE)*'Stage assumptions'!$C$12)*Calculations[[#This Row],[Total Kg]],0)</f>
        <v>0</v>
      </c>
      <c r="K1039">
        <f>IFERROR(VLOOKUP(Calculations[[#This Row],[Material (choose from dropdown]], MaterialData[#All],3, FALSE),0)</f>
        <v>0</v>
      </c>
      <c r="L1039" s="322">
        <f>IFERROR(VLOOKUP(Calculations[[#This Row],[A5type]],A5WastageRate[#All],2,FALSE)*Calculations[[#This Row],[A1-3]],0)</f>
        <v>0</v>
      </c>
      <c r="N1039">
        <f>IFERROR(ROUNDUP(50/VLOOKUP(Calculations[[#This Row],[Scope Element]],B4referenceServiceLife[[Tier 2 element]:[Default Service Life]],2, FALSE)-1,0),0)</f>
        <v>0</v>
      </c>
      <c r="O1039" s="322">
        <f>IFERROR((Calculations[[#This Row],[A1-3]]+Calculations[[#This Row],[A4]]+Calculations[[#This Row],[A5]]+Calculations[[#This Row],[C2 total]]+Calculations[[#This Row],[C3 total]]+Calculations[[#This Row],[C4 total]])*Calculations[[#This Row],[Replacements]],0)</f>
        <v>0</v>
      </c>
      <c r="S1039" t="str">
        <f>IFERROR(VLOOKUP(Calculations[[#This Row],[Material (choose from dropdown]],MaterialData[#All],4,FALSE),"")</f>
        <v/>
      </c>
      <c r="T1039" s="322" cm="1">
        <f t="array" ref="T1039">IFERROR(VLOOKUP(Calculations[[#This Row],[Waste 1]],WasteScenario[#All],2,FALSE)*'Stage assumptions'!$C$225*WasteTransportMethod[Emissions Factor
kgCO2e/kg.km]*Calculations[[#This Row],[Total Kg]],0)</f>
        <v>0</v>
      </c>
      <c r="U1039" s="322" cm="1">
        <f t="array" ref="U1039">IFERROR(VLOOKUP(Calculations[[#This Row],[Waste 1]],WasteScenario[#All],3,FALSE)*'Stage assumptions'!$C$224*WasteTransportMethod[Emissions Factor
kgCO2e/kg.km]*Calculations[[#This Row],[Total Kg]],0)</f>
        <v>0</v>
      </c>
      <c r="V1039" s="322" cm="1">
        <f t="array" ref="V1039">IFERROR(VLOOKUP(Calculations[[#This Row],[Waste 1]],WasteScenario[#All],4,FALSE)*'Stage assumptions'!$C$223*WasteTransportMethod[Emissions Factor
kgCO2e/kg.km]*Calculations[[#This Row],[Total Kg]],0)</f>
        <v>0</v>
      </c>
      <c r="W1039" s="322" cm="1">
        <f t="array" ref="W1039">IFERROR(VLOOKUP(Calculations[[#This Row],[Waste 1]],WasteScenario[#All],5,FALSE)*'Stage assumptions'!$C$226*WasteTransportMethod[Emissions Factor
kgCO2e/kg.km]*Calculations[[#This Row],[Total Kg]],0)</f>
        <v>0</v>
      </c>
      <c r="X1039" s="322">
        <f>SUM(Calculations[[#This Row],[C2 Recycle]:[C2 Reuse]])</f>
        <v>0</v>
      </c>
      <c r="Y1039" t="str">
        <f>IFERROR(VLOOKUP(Calculations[[#This Row],[Material (choose from dropdown]],MaterialData[#All],5,FALSE),"")</f>
        <v/>
      </c>
      <c r="Z1039" s="322">
        <f>IFERROR(((VLOOKUP(Calculations[[#This Row],[Waste type 2]],WasteDisposalEmissions[#All],2,FALSE))*Calculations[[#This Row],[Total Kg]])*VLOOKUP(Calculations[[#This Row],[Waste 1]],WasteScenario[#All],2,FALSE),0)</f>
        <v>0</v>
      </c>
      <c r="AA1039" s="322">
        <f>IFERROR((VLOOKUP(Calculations[[#This Row],[Waste type 2]],WasteDisposalEmissions[#All],3,FALSE))*Calculations[[#This Row],[Total Kg]]*VLOOKUP(Calculations[[#This Row],[Waste 1]],WasteScenario[#All],3,FALSE),0)</f>
        <v>0</v>
      </c>
      <c r="AB1039" s="322">
        <f>SUM(Calculations[[#This Row],[C3 recyc]:[C3 incin]])</f>
        <v>0</v>
      </c>
      <c r="AC1039" s="334">
        <f>IFERROR((VLOOKUP(Calculations[[#This Row],[Waste type 2]],WasteLandfillEmissions[#All],2,FALSE))*Calculations[[#This Row],[Total Kg]]*VLOOKUP(Calculations[[#This Row],[Waste 1]],WasteScenario[#All],4,FALSE),0)</f>
        <v>0</v>
      </c>
      <c r="AD1039" s="322">
        <f>IFERROR((VLOOKUP(Calculations[[#This Row],[Waste type 2]],WasteLandfillEmissions[#All],3,FALSE))*Calculations[[#This Row],[Total Kg]]*VLOOKUP(Calculations[[#This Row],[Waste 1]],WasteScenario[#All],4,FALSE),0)</f>
        <v>0</v>
      </c>
      <c r="AE1039" s="322">
        <f>SUM(Calculations[[#This Row],[C4 landfill]:[C4 re-use]])</f>
        <v>0</v>
      </c>
      <c r="AF1039" s="322">
        <f>IFERROR(VLOOKUP(Calculations[[#This Row],[Material (choose from dropdown]],MaterialData[#All],8,FALSE),0)</f>
        <v>0</v>
      </c>
      <c r="AG1039" s="322">
        <f>IFERROR(Calculations[[#This Row],[Total Kg]]*Calculations[[#This Row],[Seq factor]],0)</f>
        <v>0</v>
      </c>
      <c r="AI1039" s="322">
        <f>Calculations[[#This Row],[A1-3]]+Calculations[[#This Row],[A4]]+Calculations[[#This Row],[A5]]+Calculations[[#This Row],[B4]]+Calculations[[#This Row],[C2 total]]+Calculations[[#This Row],[C3 total]]+Calculations[[#This Row],[C4 total]]</f>
        <v>0</v>
      </c>
      <c r="AJ1039" s="2">
        <f>IFERROR(VLOOKUP(Calculations[[#This Row],[Material (choose from dropdown]],MaterialData[[#Headers],[#Data]],9,FALSE),0)</f>
        <v>0</v>
      </c>
      <c r="AK1039" s="4">
        <f>IFERROR(VLOOKUP(Calculations[[#This Row],[Material (choose from dropdown]],MaterialData[[#Headers],[#Data]],10,FALSE),0)</f>
        <v>0</v>
      </c>
      <c r="AL1039" s="322">
        <f>IFERROR(Calculations[[#This Row],[Data Quality Score]]*Calculations[[#This Row],[Total Kg]],0)</f>
        <v>0</v>
      </c>
    </row>
    <row r="1040" spans="1:38" x14ac:dyDescent="0.3">
      <c r="A1040" s="6">
        <f>IFERROR(MaterialsBoQ[[#This Row],[Scope Element]],0)</f>
        <v>0</v>
      </c>
      <c r="B1040" t="str">
        <f>IFERROR(MaterialsBoQ[[#This Row],[Material ]],"")</f>
        <v/>
      </c>
      <c r="C1040" t="str">
        <f>IFERROR(MaterialsBoQ[[#This Row],[Unit]],"")</f>
        <v/>
      </c>
      <c r="D1040" s="322">
        <f>IFERROR(MaterialsBoQ[[#This Row],[Number]],0)</f>
        <v>0</v>
      </c>
      <c r="E1040" s="322">
        <f>IFERROR(MaterialsBoQ[[#This Row],[Kg per unit]],0)</f>
        <v>0</v>
      </c>
      <c r="F1040" s="322">
        <f>IFERROR(Calculations[[#This Row],[Number]]*Calculations[[#This Row],[Conversion factor]],0)</f>
        <v>0</v>
      </c>
      <c r="G1040" s="322">
        <f>IFERROR(VLOOKUP(Calculations[[#This Row],[Material (choose from dropdown]],MaterialData[#All],7,FALSE),0)</f>
        <v>0</v>
      </c>
      <c r="H1040" s="322">
        <f>Calculations[[#This Row],[Total Kg]]*Calculations[[#This Row],[Carbon Factor]]</f>
        <v>0</v>
      </c>
      <c r="I1040" t="str">
        <f>IFERROR(VLOOKUP(Calculations[[#This Row],[Material (choose from dropdown]],MaterialData[#All],2,FALSE),"")</f>
        <v/>
      </c>
      <c r="J1040" s="322">
        <f>IFERROR(((VLOOKUP(Calculations[[#This Row],[TransportSource]],TransportDistance[],2,FALSE)*'Stage assumptions'!$C$11)+VLOOKUP(Calculations[[#This Row],[TransportSource]],TransportDistance[],3,FALSE)*'Stage assumptions'!$C$12)*Calculations[[#This Row],[Total Kg]],0)</f>
        <v>0</v>
      </c>
      <c r="K1040">
        <f>IFERROR(VLOOKUP(Calculations[[#This Row],[Material (choose from dropdown]], MaterialData[#All],3, FALSE),0)</f>
        <v>0</v>
      </c>
      <c r="L1040" s="322">
        <f>IFERROR(VLOOKUP(Calculations[[#This Row],[A5type]],A5WastageRate[#All],2,FALSE)*Calculations[[#This Row],[A1-3]],0)</f>
        <v>0</v>
      </c>
      <c r="N1040">
        <f>IFERROR(ROUNDUP(50/VLOOKUP(Calculations[[#This Row],[Scope Element]],B4referenceServiceLife[[Tier 2 element]:[Default Service Life]],2, FALSE)-1,0),0)</f>
        <v>0</v>
      </c>
      <c r="O1040" s="322">
        <f>IFERROR((Calculations[[#This Row],[A1-3]]+Calculations[[#This Row],[A4]]+Calculations[[#This Row],[A5]]+Calculations[[#This Row],[C2 total]]+Calculations[[#This Row],[C3 total]]+Calculations[[#This Row],[C4 total]])*Calculations[[#This Row],[Replacements]],0)</f>
        <v>0</v>
      </c>
      <c r="S1040" t="str">
        <f>IFERROR(VLOOKUP(Calculations[[#This Row],[Material (choose from dropdown]],MaterialData[#All],4,FALSE),"")</f>
        <v/>
      </c>
      <c r="T1040" s="322" cm="1">
        <f t="array" ref="T1040">IFERROR(VLOOKUP(Calculations[[#This Row],[Waste 1]],WasteScenario[#All],2,FALSE)*'Stage assumptions'!$C$225*WasteTransportMethod[Emissions Factor
kgCO2e/kg.km]*Calculations[[#This Row],[Total Kg]],0)</f>
        <v>0</v>
      </c>
      <c r="U1040" s="322" cm="1">
        <f t="array" ref="U1040">IFERROR(VLOOKUP(Calculations[[#This Row],[Waste 1]],WasteScenario[#All],3,FALSE)*'Stage assumptions'!$C$224*WasteTransportMethod[Emissions Factor
kgCO2e/kg.km]*Calculations[[#This Row],[Total Kg]],0)</f>
        <v>0</v>
      </c>
      <c r="V1040" s="322" cm="1">
        <f t="array" ref="V1040">IFERROR(VLOOKUP(Calculations[[#This Row],[Waste 1]],WasteScenario[#All],4,FALSE)*'Stage assumptions'!$C$223*WasteTransportMethod[Emissions Factor
kgCO2e/kg.km]*Calculations[[#This Row],[Total Kg]],0)</f>
        <v>0</v>
      </c>
      <c r="W1040" s="322" cm="1">
        <f t="array" ref="W1040">IFERROR(VLOOKUP(Calculations[[#This Row],[Waste 1]],WasteScenario[#All],5,FALSE)*'Stage assumptions'!$C$226*WasteTransportMethod[Emissions Factor
kgCO2e/kg.km]*Calculations[[#This Row],[Total Kg]],0)</f>
        <v>0</v>
      </c>
      <c r="X1040" s="322">
        <f>SUM(Calculations[[#This Row],[C2 Recycle]:[C2 Reuse]])</f>
        <v>0</v>
      </c>
      <c r="Y1040" t="str">
        <f>IFERROR(VLOOKUP(Calculations[[#This Row],[Material (choose from dropdown]],MaterialData[#All],5,FALSE),"")</f>
        <v/>
      </c>
      <c r="Z1040" s="322">
        <f>IFERROR(((VLOOKUP(Calculations[[#This Row],[Waste type 2]],WasteDisposalEmissions[#All],2,FALSE))*Calculations[[#This Row],[Total Kg]])*VLOOKUP(Calculations[[#This Row],[Waste 1]],WasteScenario[#All],2,FALSE),0)</f>
        <v>0</v>
      </c>
      <c r="AA1040" s="322">
        <f>IFERROR((VLOOKUP(Calculations[[#This Row],[Waste type 2]],WasteDisposalEmissions[#All],3,FALSE))*Calculations[[#This Row],[Total Kg]]*VLOOKUP(Calculations[[#This Row],[Waste 1]],WasteScenario[#All],3,FALSE),0)</f>
        <v>0</v>
      </c>
      <c r="AB1040" s="322">
        <f>SUM(Calculations[[#This Row],[C3 recyc]:[C3 incin]])</f>
        <v>0</v>
      </c>
      <c r="AC1040" s="334">
        <f>IFERROR((VLOOKUP(Calculations[[#This Row],[Waste type 2]],WasteLandfillEmissions[#All],2,FALSE))*Calculations[[#This Row],[Total Kg]]*VLOOKUP(Calculations[[#This Row],[Waste 1]],WasteScenario[#All],4,FALSE),0)</f>
        <v>0</v>
      </c>
      <c r="AD1040" s="322">
        <f>IFERROR((VLOOKUP(Calculations[[#This Row],[Waste type 2]],WasteLandfillEmissions[#All],3,FALSE))*Calculations[[#This Row],[Total Kg]]*VLOOKUP(Calculations[[#This Row],[Waste 1]],WasteScenario[#All],4,FALSE),0)</f>
        <v>0</v>
      </c>
      <c r="AE1040" s="322">
        <f>SUM(Calculations[[#This Row],[C4 landfill]:[C4 re-use]])</f>
        <v>0</v>
      </c>
      <c r="AF1040" s="322">
        <f>IFERROR(VLOOKUP(Calculations[[#This Row],[Material (choose from dropdown]],MaterialData[#All],8,FALSE),0)</f>
        <v>0</v>
      </c>
      <c r="AG1040" s="322">
        <f>IFERROR(Calculations[[#This Row],[Total Kg]]*Calculations[[#This Row],[Seq factor]],0)</f>
        <v>0</v>
      </c>
      <c r="AI1040" s="322">
        <f>Calculations[[#This Row],[A1-3]]+Calculations[[#This Row],[A4]]+Calculations[[#This Row],[A5]]+Calculations[[#This Row],[B4]]+Calculations[[#This Row],[C2 total]]+Calculations[[#This Row],[C3 total]]+Calculations[[#This Row],[C4 total]]</f>
        <v>0</v>
      </c>
      <c r="AJ1040" s="2">
        <f>IFERROR(VLOOKUP(Calculations[[#This Row],[Material (choose from dropdown]],MaterialData[[#Headers],[#Data]],9,FALSE),0)</f>
        <v>0</v>
      </c>
      <c r="AK1040" s="4">
        <f>IFERROR(VLOOKUP(Calculations[[#This Row],[Material (choose from dropdown]],MaterialData[[#Headers],[#Data]],10,FALSE),0)</f>
        <v>0</v>
      </c>
      <c r="AL1040" s="322">
        <f>IFERROR(Calculations[[#This Row],[Data Quality Score]]*Calculations[[#This Row],[Total Kg]],0)</f>
        <v>0</v>
      </c>
    </row>
    <row r="1041" spans="1:38" x14ac:dyDescent="0.3">
      <c r="A1041" s="6">
        <f>IFERROR(MaterialsBoQ[[#This Row],[Scope Element]],0)</f>
        <v>0</v>
      </c>
      <c r="B1041" t="str">
        <f>IFERROR(MaterialsBoQ[[#This Row],[Material ]],"")</f>
        <v/>
      </c>
      <c r="C1041" t="str">
        <f>IFERROR(MaterialsBoQ[[#This Row],[Unit]],"")</f>
        <v/>
      </c>
      <c r="D1041" s="322">
        <f>IFERROR(MaterialsBoQ[[#This Row],[Number]],0)</f>
        <v>0</v>
      </c>
      <c r="E1041" s="322">
        <f>IFERROR(MaterialsBoQ[[#This Row],[Kg per unit]],0)</f>
        <v>0</v>
      </c>
      <c r="F1041" s="322">
        <f>IFERROR(Calculations[[#This Row],[Number]]*Calculations[[#This Row],[Conversion factor]],0)</f>
        <v>0</v>
      </c>
      <c r="G1041" s="322">
        <f>IFERROR(VLOOKUP(Calculations[[#This Row],[Material (choose from dropdown]],MaterialData[#All],7,FALSE),0)</f>
        <v>0</v>
      </c>
      <c r="H1041" s="322">
        <f>Calculations[[#This Row],[Total Kg]]*Calculations[[#This Row],[Carbon Factor]]</f>
        <v>0</v>
      </c>
      <c r="I1041" t="str">
        <f>IFERROR(VLOOKUP(Calculations[[#This Row],[Material (choose from dropdown]],MaterialData[#All],2,FALSE),"")</f>
        <v/>
      </c>
      <c r="J1041" s="322">
        <f>IFERROR(((VLOOKUP(Calculations[[#This Row],[TransportSource]],TransportDistance[],2,FALSE)*'Stage assumptions'!$C$11)+VLOOKUP(Calculations[[#This Row],[TransportSource]],TransportDistance[],3,FALSE)*'Stage assumptions'!$C$12)*Calculations[[#This Row],[Total Kg]],0)</f>
        <v>0</v>
      </c>
      <c r="K1041">
        <f>IFERROR(VLOOKUP(Calculations[[#This Row],[Material (choose from dropdown]], MaterialData[#All],3, FALSE),0)</f>
        <v>0</v>
      </c>
      <c r="L1041" s="322">
        <f>IFERROR(VLOOKUP(Calculations[[#This Row],[A5type]],A5WastageRate[#All],2,FALSE)*Calculations[[#This Row],[A1-3]],0)</f>
        <v>0</v>
      </c>
      <c r="N1041">
        <f>IFERROR(ROUNDUP(50/VLOOKUP(Calculations[[#This Row],[Scope Element]],B4referenceServiceLife[[Tier 2 element]:[Default Service Life]],2, FALSE)-1,0),0)</f>
        <v>0</v>
      </c>
      <c r="O1041" s="322">
        <f>IFERROR((Calculations[[#This Row],[A1-3]]+Calculations[[#This Row],[A4]]+Calculations[[#This Row],[A5]]+Calculations[[#This Row],[C2 total]]+Calculations[[#This Row],[C3 total]]+Calculations[[#This Row],[C4 total]])*Calculations[[#This Row],[Replacements]],0)</f>
        <v>0</v>
      </c>
      <c r="S1041" t="str">
        <f>IFERROR(VLOOKUP(Calculations[[#This Row],[Material (choose from dropdown]],MaterialData[#All],4,FALSE),"")</f>
        <v/>
      </c>
      <c r="T1041" s="322" cm="1">
        <f t="array" ref="T1041">IFERROR(VLOOKUP(Calculations[[#This Row],[Waste 1]],WasteScenario[#All],2,FALSE)*'Stage assumptions'!$C$225*WasteTransportMethod[Emissions Factor
kgCO2e/kg.km]*Calculations[[#This Row],[Total Kg]],0)</f>
        <v>0</v>
      </c>
      <c r="U1041" s="322" cm="1">
        <f t="array" ref="U1041">IFERROR(VLOOKUP(Calculations[[#This Row],[Waste 1]],WasteScenario[#All],3,FALSE)*'Stage assumptions'!$C$224*WasteTransportMethod[Emissions Factor
kgCO2e/kg.km]*Calculations[[#This Row],[Total Kg]],0)</f>
        <v>0</v>
      </c>
      <c r="V1041" s="322" cm="1">
        <f t="array" ref="V1041">IFERROR(VLOOKUP(Calculations[[#This Row],[Waste 1]],WasteScenario[#All],4,FALSE)*'Stage assumptions'!$C$223*WasteTransportMethod[Emissions Factor
kgCO2e/kg.km]*Calculations[[#This Row],[Total Kg]],0)</f>
        <v>0</v>
      </c>
      <c r="W1041" s="322" cm="1">
        <f t="array" ref="W1041">IFERROR(VLOOKUP(Calculations[[#This Row],[Waste 1]],WasteScenario[#All],5,FALSE)*'Stage assumptions'!$C$226*WasteTransportMethod[Emissions Factor
kgCO2e/kg.km]*Calculations[[#This Row],[Total Kg]],0)</f>
        <v>0</v>
      </c>
      <c r="X1041" s="322">
        <f>SUM(Calculations[[#This Row],[C2 Recycle]:[C2 Reuse]])</f>
        <v>0</v>
      </c>
      <c r="Y1041" t="str">
        <f>IFERROR(VLOOKUP(Calculations[[#This Row],[Material (choose from dropdown]],MaterialData[#All],5,FALSE),"")</f>
        <v/>
      </c>
      <c r="Z1041" s="322">
        <f>IFERROR(((VLOOKUP(Calculations[[#This Row],[Waste type 2]],WasteDisposalEmissions[#All],2,FALSE))*Calculations[[#This Row],[Total Kg]])*VLOOKUP(Calculations[[#This Row],[Waste 1]],WasteScenario[#All],2,FALSE),0)</f>
        <v>0</v>
      </c>
      <c r="AA1041" s="322">
        <f>IFERROR((VLOOKUP(Calculations[[#This Row],[Waste type 2]],WasteDisposalEmissions[#All],3,FALSE))*Calculations[[#This Row],[Total Kg]]*VLOOKUP(Calculations[[#This Row],[Waste 1]],WasteScenario[#All],3,FALSE),0)</f>
        <v>0</v>
      </c>
      <c r="AB1041" s="322">
        <f>SUM(Calculations[[#This Row],[C3 recyc]:[C3 incin]])</f>
        <v>0</v>
      </c>
      <c r="AC1041" s="334">
        <f>IFERROR((VLOOKUP(Calculations[[#This Row],[Waste type 2]],WasteLandfillEmissions[#All],2,FALSE))*Calculations[[#This Row],[Total Kg]]*VLOOKUP(Calculations[[#This Row],[Waste 1]],WasteScenario[#All],4,FALSE),0)</f>
        <v>0</v>
      </c>
      <c r="AD1041" s="322">
        <f>IFERROR((VLOOKUP(Calculations[[#This Row],[Waste type 2]],WasteLandfillEmissions[#All],3,FALSE))*Calculations[[#This Row],[Total Kg]]*VLOOKUP(Calculations[[#This Row],[Waste 1]],WasteScenario[#All],4,FALSE),0)</f>
        <v>0</v>
      </c>
      <c r="AE1041" s="322">
        <f>SUM(Calculations[[#This Row],[C4 landfill]:[C4 re-use]])</f>
        <v>0</v>
      </c>
      <c r="AF1041" s="322">
        <f>IFERROR(VLOOKUP(Calculations[[#This Row],[Material (choose from dropdown]],MaterialData[#All],8,FALSE),0)</f>
        <v>0</v>
      </c>
      <c r="AG1041" s="322">
        <f>IFERROR(Calculations[[#This Row],[Total Kg]]*Calculations[[#This Row],[Seq factor]],0)</f>
        <v>0</v>
      </c>
      <c r="AI1041" s="322">
        <f>Calculations[[#This Row],[A1-3]]+Calculations[[#This Row],[A4]]+Calculations[[#This Row],[A5]]+Calculations[[#This Row],[B4]]+Calculations[[#This Row],[C2 total]]+Calculations[[#This Row],[C3 total]]+Calculations[[#This Row],[C4 total]]</f>
        <v>0</v>
      </c>
      <c r="AJ1041" s="2">
        <f>IFERROR(VLOOKUP(Calculations[[#This Row],[Material (choose from dropdown]],MaterialData[[#Headers],[#Data]],9,FALSE),0)</f>
        <v>0</v>
      </c>
      <c r="AK1041" s="4">
        <f>IFERROR(VLOOKUP(Calculations[[#This Row],[Material (choose from dropdown]],MaterialData[[#Headers],[#Data]],10,FALSE),0)</f>
        <v>0</v>
      </c>
      <c r="AL1041" s="322">
        <f>IFERROR(Calculations[[#This Row],[Data Quality Score]]*Calculations[[#This Row],[Total Kg]],0)</f>
        <v>0</v>
      </c>
    </row>
    <row r="1042" spans="1:38" x14ac:dyDescent="0.3">
      <c r="A1042" s="6">
        <f>IFERROR(MaterialsBoQ[[#This Row],[Scope Element]],0)</f>
        <v>0</v>
      </c>
      <c r="B1042" t="str">
        <f>IFERROR(MaterialsBoQ[[#This Row],[Material ]],"")</f>
        <v/>
      </c>
      <c r="C1042" t="str">
        <f>IFERROR(MaterialsBoQ[[#This Row],[Unit]],"")</f>
        <v/>
      </c>
      <c r="D1042" s="322">
        <f>IFERROR(MaterialsBoQ[[#This Row],[Number]],0)</f>
        <v>0</v>
      </c>
      <c r="E1042" s="322">
        <f>IFERROR(MaterialsBoQ[[#This Row],[Kg per unit]],0)</f>
        <v>0</v>
      </c>
      <c r="F1042" s="322">
        <f>IFERROR(Calculations[[#This Row],[Number]]*Calculations[[#This Row],[Conversion factor]],0)</f>
        <v>0</v>
      </c>
      <c r="G1042" s="322">
        <f>IFERROR(VLOOKUP(Calculations[[#This Row],[Material (choose from dropdown]],MaterialData[#All],7,FALSE),0)</f>
        <v>0</v>
      </c>
      <c r="H1042" s="322">
        <f>Calculations[[#This Row],[Total Kg]]*Calculations[[#This Row],[Carbon Factor]]</f>
        <v>0</v>
      </c>
      <c r="I1042" t="str">
        <f>IFERROR(VLOOKUP(Calculations[[#This Row],[Material (choose from dropdown]],MaterialData[#All],2,FALSE),"")</f>
        <v/>
      </c>
      <c r="J1042" s="322">
        <f>IFERROR(((VLOOKUP(Calculations[[#This Row],[TransportSource]],TransportDistance[],2,FALSE)*'Stage assumptions'!$C$11)+VLOOKUP(Calculations[[#This Row],[TransportSource]],TransportDistance[],3,FALSE)*'Stage assumptions'!$C$12)*Calculations[[#This Row],[Total Kg]],0)</f>
        <v>0</v>
      </c>
      <c r="K1042">
        <f>IFERROR(VLOOKUP(Calculations[[#This Row],[Material (choose from dropdown]], MaterialData[#All],3, FALSE),0)</f>
        <v>0</v>
      </c>
      <c r="L1042" s="322">
        <f>IFERROR(VLOOKUP(Calculations[[#This Row],[A5type]],A5WastageRate[#All],2,FALSE)*Calculations[[#This Row],[A1-3]],0)</f>
        <v>0</v>
      </c>
      <c r="N1042">
        <f>IFERROR(ROUNDUP(50/VLOOKUP(Calculations[[#This Row],[Scope Element]],B4referenceServiceLife[[Tier 2 element]:[Default Service Life]],2, FALSE)-1,0),0)</f>
        <v>0</v>
      </c>
      <c r="O1042" s="322">
        <f>IFERROR((Calculations[[#This Row],[A1-3]]+Calculations[[#This Row],[A4]]+Calculations[[#This Row],[A5]]+Calculations[[#This Row],[C2 total]]+Calculations[[#This Row],[C3 total]]+Calculations[[#This Row],[C4 total]])*Calculations[[#This Row],[Replacements]],0)</f>
        <v>0</v>
      </c>
      <c r="S1042" t="str">
        <f>IFERROR(VLOOKUP(Calculations[[#This Row],[Material (choose from dropdown]],MaterialData[#All],4,FALSE),"")</f>
        <v/>
      </c>
      <c r="T1042" s="322" cm="1">
        <f t="array" ref="T1042">IFERROR(VLOOKUP(Calculations[[#This Row],[Waste 1]],WasteScenario[#All],2,FALSE)*'Stage assumptions'!$C$225*WasteTransportMethod[Emissions Factor
kgCO2e/kg.km]*Calculations[[#This Row],[Total Kg]],0)</f>
        <v>0</v>
      </c>
      <c r="U1042" s="322" cm="1">
        <f t="array" ref="U1042">IFERROR(VLOOKUP(Calculations[[#This Row],[Waste 1]],WasteScenario[#All],3,FALSE)*'Stage assumptions'!$C$224*WasteTransportMethod[Emissions Factor
kgCO2e/kg.km]*Calculations[[#This Row],[Total Kg]],0)</f>
        <v>0</v>
      </c>
      <c r="V1042" s="322" cm="1">
        <f t="array" ref="V1042">IFERROR(VLOOKUP(Calculations[[#This Row],[Waste 1]],WasteScenario[#All],4,FALSE)*'Stage assumptions'!$C$223*WasteTransportMethod[Emissions Factor
kgCO2e/kg.km]*Calculations[[#This Row],[Total Kg]],0)</f>
        <v>0</v>
      </c>
      <c r="W1042" s="322" cm="1">
        <f t="array" ref="W1042">IFERROR(VLOOKUP(Calculations[[#This Row],[Waste 1]],WasteScenario[#All],5,FALSE)*'Stage assumptions'!$C$226*WasteTransportMethod[Emissions Factor
kgCO2e/kg.km]*Calculations[[#This Row],[Total Kg]],0)</f>
        <v>0</v>
      </c>
      <c r="X1042" s="322">
        <f>SUM(Calculations[[#This Row],[C2 Recycle]:[C2 Reuse]])</f>
        <v>0</v>
      </c>
      <c r="Y1042" t="str">
        <f>IFERROR(VLOOKUP(Calculations[[#This Row],[Material (choose from dropdown]],MaterialData[#All],5,FALSE),"")</f>
        <v/>
      </c>
      <c r="Z1042" s="322">
        <f>IFERROR(((VLOOKUP(Calculations[[#This Row],[Waste type 2]],WasteDisposalEmissions[#All],2,FALSE))*Calculations[[#This Row],[Total Kg]])*VLOOKUP(Calculations[[#This Row],[Waste 1]],WasteScenario[#All],2,FALSE),0)</f>
        <v>0</v>
      </c>
      <c r="AA1042" s="322">
        <f>IFERROR((VLOOKUP(Calculations[[#This Row],[Waste type 2]],WasteDisposalEmissions[#All],3,FALSE))*Calculations[[#This Row],[Total Kg]]*VLOOKUP(Calculations[[#This Row],[Waste 1]],WasteScenario[#All],3,FALSE),0)</f>
        <v>0</v>
      </c>
      <c r="AB1042" s="322">
        <f>SUM(Calculations[[#This Row],[C3 recyc]:[C3 incin]])</f>
        <v>0</v>
      </c>
      <c r="AC1042" s="334">
        <f>IFERROR((VLOOKUP(Calculations[[#This Row],[Waste type 2]],WasteLandfillEmissions[#All],2,FALSE))*Calculations[[#This Row],[Total Kg]]*VLOOKUP(Calculations[[#This Row],[Waste 1]],WasteScenario[#All],4,FALSE),0)</f>
        <v>0</v>
      </c>
      <c r="AD1042" s="322">
        <f>IFERROR((VLOOKUP(Calculations[[#This Row],[Waste type 2]],WasteLandfillEmissions[#All],3,FALSE))*Calculations[[#This Row],[Total Kg]]*VLOOKUP(Calculations[[#This Row],[Waste 1]],WasteScenario[#All],4,FALSE),0)</f>
        <v>0</v>
      </c>
      <c r="AE1042" s="322">
        <f>SUM(Calculations[[#This Row],[C4 landfill]:[C4 re-use]])</f>
        <v>0</v>
      </c>
      <c r="AF1042" s="322">
        <f>IFERROR(VLOOKUP(Calculations[[#This Row],[Material (choose from dropdown]],MaterialData[#All],8,FALSE),0)</f>
        <v>0</v>
      </c>
      <c r="AG1042" s="322">
        <f>IFERROR(Calculations[[#This Row],[Total Kg]]*Calculations[[#This Row],[Seq factor]],0)</f>
        <v>0</v>
      </c>
      <c r="AI1042" s="322">
        <f>Calculations[[#This Row],[A1-3]]+Calculations[[#This Row],[A4]]+Calculations[[#This Row],[A5]]+Calculations[[#This Row],[B4]]+Calculations[[#This Row],[C2 total]]+Calculations[[#This Row],[C3 total]]+Calculations[[#This Row],[C4 total]]</f>
        <v>0</v>
      </c>
      <c r="AJ1042" s="2">
        <f>IFERROR(VLOOKUP(Calculations[[#This Row],[Material (choose from dropdown]],MaterialData[[#Headers],[#Data]],9,FALSE),0)</f>
        <v>0</v>
      </c>
      <c r="AK1042" s="4">
        <f>IFERROR(VLOOKUP(Calculations[[#This Row],[Material (choose from dropdown]],MaterialData[[#Headers],[#Data]],10,FALSE),0)</f>
        <v>0</v>
      </c>
      <c r="AL1042" s="322">
        <f>IFERROR(Calculations[[#This Row],[Data Quality Score]]*Calculations[[#This Row],[Total Kg]],0)</f>
        <v>0</v>
      </c>
    </row>
    <row r="1043" spans="1:38" x14ac:dyDescent="0.3">
      <c r="A1043" s="6">
        <f>IFERROR(MaterialsBoQ[[#This Row],[Scope Element]],0)</f>
        <v>0</v>
      </c>
      <c r="B1043" t="str">
        <f>IFERROR(MaterialsBoQ[[#This Row],[Material ]],"")</f>
        <v/>
      </c>
      <c r="C1043" t="str">
        <f>IFERROR(MaterialsBoQ[[#This Row],[Unit]],"")</f>
        <v/>
      </c>
      <c r="D1043" s="322">
        <f>IFERROR(MaterialsBoQ[[#This Row],[Number]],0)</f>
        <v>0</v>
      </c>
      <c r="E1043" s="322">
        <f>IFERROR(MaterialsBoQ[[#This Row],[Kg per unit]],0)</f>
        <v>0</v>
      </c>
      <c r="F1043" s="322">
        <f>IFERROR(Calculations[[#This Row],[Number]]*Calculations[[#This Row],[Conversion factor]],0)</f>
        <v>0</v>
      </c>
      <c r="G1043" s="322">
        <f>IFERROR(VLOOKUP(Calculations[[#This Row],[Material (choose from dropdown]],MaterialData[#All],7,FALSE),0)</f>
        <v>0</v>
      </c>
      <c r="H1043" s="322">
        <f>Calculations[[#This Row],[Total Kg]]*Calculations[[#This Row],[Carbon Factor]]</f>
        <v>0</v>
      </c>
      <c r="I1043" t="str">
        <f>IFERROR(VLOOKUP(Calculations[[#This Row],[Material (choose from dropdown]],MaterialData[#All],2,FALSE),"")</f>
        <v/>
      </c>
      <c r="J1043" s="322">
        <f>IFERROR(((VLOOKUP(Calculations[[#This Row],[TransportSource]],TransportDistance[],2,FALSE)*'Stage assumptions'!$C$11)+VLOOKUP(Calculations[[#This Row],[TransportSource]],TransportDistance[],3,FALSE)*'Stage assumptions'!$C$12)*Calculations[[#This Row],[Total Kg]],0)</f>
        <v>0</v>
      </c>
      <c r="K1043">
        <f>IFERROR(VLOOKUP(Calculations[[#This Row],[Material (choose from dropdown]], MaterialData[#All],3, FALSE),0)</f>
        <v>0</v>
      </c>
      <c r="L1043" s="322">
        <f>IFERROR(VLOOKUP(Calculations[[#This Row],[A5type]],A5WastageRate[#All],2,FALSE)*Calculations[[#This Row],[A1-3]],0)</f>
        <v>0</v>
      </c>
      <c r="N1043">
        <f>IFERROR(ROUNDUP(50/VLOOKUP(Calculations[[#This Row],[Scope Element]],B4referenceServiceLife[[Tier 2 element]:[Default Service Life]],2, FALSE)-1,0),0)</f>
        <v>0</v>
      </c>
      <c r="O1043" s="322">
        <f>IFERROR((Calculations[[#This Row],[A1-3]]+Calculations[[#This Row],[A4]]+Calculations[[#This Row],[A5]]+Calculations[[#This Row],[C2 total]]+Calculations[[#This Row],[C3 total]]+Calculations[[#This Row],[C4 total]])*Calculations[[#This Row],[Replacements]],0)</f>
        <v>0</v>
      </c>
      <c r="S1043" t="str">
        <f>IFERROR(VLOOKUP(Calculations[[#This Row],[Material (choose from dropdown]],MaterialData[#All],4,FALSE),"")</f>
        <v/>
      </c>
      <c r="T1043" s="322" cm="1">
        <f t="array" ref="T1043">IFERROR(VLOOKUP(Calculations[[#This Row],[Waste 1]],WasteScenario[#All],2,FALSE)*'Stage assumptions'!$C$225*WasteTransportMethod[Emissions Factor
kgCO2e/kg.km]*Calculations[[#This Row],[Total Kg]],0)</f>
        <v>0</v>
      </c>
      <c r="U1043" s="322" cm="1">
        <f t="array" ref="U1043">IFERROR(VLOOKUP(Calculations[[#This Row],[Waste 1]],WasteScenario[#All],3,FALSE)*'Stage assumptions'!$C$224*WasteTransportMethod[Emissions Factor
kgCO2e/kg.km]*Calculations[[#This Row],[Total Kg]],0)</f>
        <v>0</v>
      </c>
      <c r="V1043" s="322" cm="1">
        <f t="array" ref="V1043">IFERROR(VLOOKUP(Calculations[[#This Row],[Waste 1]],WasteScenario[#All],4,FALSE)*'Stage assumptions'!$C$223*WasteTransportMethod[Emissions Factor
kgCO2e/kg.km]*Calculations[[#This Row],[Total Kg]],0)</f>
        <v>0</v>
      </c>
      <c r="W1043" s="322" cm="1">
        <f t="array" ref="W1043">IFERROR(VLOOKUP(Calculations[[#This Row],[Waste 1]],WasteScenario[#All],5,FALSE)*'Stage assumptions'!$C$226*WasteTransportMethod[Emissions Factor
kgCO2e/kg.km]*Calculations[[#This Row],[Total Kg]],0)</f>
        <v>0</v>
      </c>
      <c r="X1043" s="322">
        <f>SUM(Calculations[[#This Row],[C2 Recycle]:[C2 Reuse]])</f>
        <v>0</v>
      </c>
      <c r="Y1043" t="str">
        <f>IFERROR(VLOOKUP(Calculations[[#This Row],[Material (choose from dropdown]],MaterialData[#All],5,FALSE),"")</f>
        <v/>
      </c>
      <c r="Z1043" s="322">
        <f>IFERROR(((VLOOKUP(Calculations[[#This Row],[Waste type 2]],WasteDisposalEmissions[#All],2,FALSE))*Calculations[[#This Row],[Total Kg]])*VLOOKUP(Calculations[[#This Row],[Waste 1]],WasteScenario[#All],2,FALSE),0)</f>
        <v>0</v>
      </c>
      <c r="AA1043" s="322">
        <f>IFERROR((VLOOKUP(Calculations[[#This Row],[Waste type 2]],WasteDisposalEmissions[#All],3,FALSE))*Calculations[[#This Row],[Total Kg]]*VLOOKUP(Calculations[[#This Row],[Waste 1]],WasteScenario[#All],3,FALSE),0)</f>
        <v>0</v>
      </c>
      <c r="AB1043" s="322">
        <f>SUM(Calculations[[#This Row],[C3 recyc]:[C3 incin]])</f>
        <v>0</v>
      </c>
      <c r="AC1043" s="334">
        <f>IFERROR((VLOOKUP(Calculations[[#This Row],[Waste type 2]],WasteLandfillEmissions[#All],2,FALSE))*Calculations[[#This Row],[Total Kg]]*VLOOKUP(Calculations[[#This Row],[Waste 1]],WasteScenario[#All],4,FALSE),0)</f>
        <v>0</v>
      </c>
      <c r="AD1043" s="322">
        <f>IFERROR((VLOOKUP(Calculations[[#This Row],[Waste type 2]],WasteLandfillEmissions[#All],3,FALSE))*Calculations[[#This Row],[Total Kg]]*VLOOKUP(Calculations[[#This Row],[Waste 1]],WasteScenario[#All],4,FALSE),0)</f>
        <v>0</v>
      </c>
      <c r="AE1043" s="322">
        <f>SUM(Calculations[[#This Row],[C4 landfill]:[C4 re-use]])</f>
        <v>0</v>
      </c>
      <c r="AF1043" s="322">
        <f>IFERROR(VLOOKUP(Calculations[[#This Row],[Material (choose from dropdown]],MaterialData[#All],8,FALSE),0)</f>
        <v>0</v>
      </c>
      <c r="AG1043" s="322">
        <f>IFERROR(Calculations[[#This Row],[Total Kg]]*Calculations[[#This Row],[Seq factor]],0)</f>
        <v>0</v>
      </c>
      <c r="AI1043" s="322">
        <f>Calculations[[#This Row],[A1-3]]+Calculations[[#This Row],[A4]]+Calculations[[#This Row],[A5]]+Calculations[[#This Row],[B4]]+Calculations[[#This Row],[C2 total]]+Calculations[[#This Row],[C3 total]]+Calculations[[#This Row],[C4 total]]</f>
        <v>0</v>
      </c>
      <c r="AJ1043" s="2">
        <f>IFERROR(VLOOKUP(Calculations[[#This Row],[Material (choose from dropdown]],MaterialData[[#Headers],[#Data]],9,FALSE),0)</f>
        <v>0</v>
      </c>
      <c r="AK1043" s="4">
        <f>IFERROR(VLOOKUP(Calculations[[#This Row],[Material (choose from dropdown]],MaterialData[[#Headers],[#Data]],10,FALSE),0)</f>
        <v>0</v>
      </c>
      <c r="AL1043" s="322">
        <f>IFERROR(Calculations[[#This Row],[Data Quality Score]]*Calculations[[#This Row],[Total Kg]],0)</f>
        <v>0</v>
      </c>
    </row>
    <row r="1044" spans="1:38" x14ac:dyDescent="0.3">
      <c r="A1044" s="6">
        <f>IFERROR(MaterialsBoQ[[#This Row],[Scope Element]],0)</f>
        <v>0</v>
      </c>
      <c r="B1044" t="str">
        <f>IFERROR(MaterialsBoQ[[#This Row],[Material ]],"")</f>
        <v/>
      </c>
      <c r="C1044" t="str">
        <f>IFERROR(MaterialsBoQ[[#This Row],[Unit]],"")</f>
        <v/>
      </c>
      <c r="D1044" s="322">
        <f>IFERROR(MaterialsBoQ[[#This Row],[Number]],0)</f>
        <v>0</v>
      </c>
      <c r="E1044" s="322">
        <f>IFERROR(MaterialsBoQ[[#This Row],[Kg per unit]],0)</f>
        <v>0</v>
      </c>
      <c r="F1044" s="322">
        <f>IFERROR(Calculations[[#This Row],[Number]]*Calculations[[#This Row],[Conversion factor]],0)</f>
        <v>0</v>
      </c>
      <c r="G1044" s="322">
        <f>IFERROR(VLOOKUP(Calculations[[#This Row],[Material (choose from dropdown]],MaterialData[#All],7,FALSE),0)</f>
        <v>0</v>
      </c>
      <c r="H1044" s="322">
        <f>Calculations[[#This Row],[Total Kg]]*Calculations[[#This Row],[Carbon Factor]]</f>
        <v>0</v>
      </c>
      <c r="I1044" t="str">
        <f>IFERROR(VLOOKUP(Calculations[[#This Row],[Material (choose from dropdown]],MaterialData[#All],2,FALSE),"")</f>
        <v/>
      </c>
      <c r="J1044" s="322">
        <f>IFERROR(((VLOOKUP(Calculations[[#This Row],[TransportSource]],TransportDistance[],2,FALSE)*'Stage assumptions'!$C$11)+VLOOKUP(Calculations[[#This Row],[TransportSource]],TransportDistance[],3,FALSE)*'Stage assumptions'!$C$12)*Calculations[[#This Row],[Total Kg]],0)</f>
        <v>0</v>
      </c>
      <c r="K1044">
        <f>IFERROR(VLOOKUP(Calculations[[#This Row],[Material (choose from dropdown]], MaterialData[#All],3, FALSE),0)</f>
        <v>0</v>
      </c>
      <c r="L1044" s="322">
        <f>IFERROR(VLOOKUP(Calculations[[#This Row],[A5type]],A5WastageRate[#All],2,FALSE)*Calculations[[#This Row],[A1-3]],0)</f>
        <v>0</v>
      </c>
      <c r="N1044">
        <f>IFERROR(ROUNDUP(50/VLOOKUP(Calculations[[#This Row],[Scope Element]],B4referenceServiceLife[[Tier 2 element]:[Default Service Life]],2, FALSE)-1,0),0)</f>
        <v>0</v>
      </c>
      <c r="O1044" s="322">
        <f>IFERROR((Calculations[[#This Row],[A1-3]]+Calculations[[#This Row],[A4]]+Calculations[[#This Row],[A5]]+Calculations[[#This Row],[C2 total]]+Calculations[[#This Row],[C3 total]]+Calculations[[#This Row],[C4 total]])*Calculations[[#This Row],[Replacements]],0)</f>
        <v>0</v>
      </c>
      <c r="S1044" t="str">
        <f>IFERROR(VLOOKUP(Calculations[[#This Row],[Material (choose from dropdown]],MaterialData[#All],4,FALSE),"")</f>
        <v/>
      </c>
      <c r="T1044" s="322" cm="1">
        <f t="array" ref="T1044">IFERROR(VLOOKUP(Calculations[[#This Row],[Waste 1]],WasteScenario[#All],2,FALSE)*'Stage assumptions'!$C$225*WasteTransportMethod[Emissions Factor
kgCO2e/kg.km]*Calculations[[#This Row],[Total Kg]],0)</f>
        <v>0</v>
      </c>
      <c r="U1044" s="322" cm="1">
        <f t="array" ref="U1044">IFERROR(VLOOKUP(Calculations[[#This Row],[Waste 1]],WasteScenario[#All],3,FALSE)*'Stage assumptions'!$C$224*WasteTransportMethod[Emissions Factor
kgCO2e/kg.km]*Calculations[[#This Row],[Total Kg]],0)</f>
        <v>0</v>
      </c>
      <c r="V1044" s="322" cm="1">
        <f t="array" ref="V1044">IFERROR(VLOOKUP(Calculations[[#This Row],[Waste 1]],WasteScenario[#All],4,FALSE)*'Stage assumptions'!$C$223*WasteTransportMethod[Emissions Factor
kgCO2e/kg.km]*Calculations[[#This Row],[Total Kg]],0)</f>
        <v>0</v>
      </c>
      <c r="W1044" s="322" cm="1">
        <f t="array" ref="W1044">IFERROR(VLOOKUP(Calculations[[#This Row],[Waste 1]],WasteScenario[#All],5,FALSE)*'Stage assumptions'!$C$226*WasteTransportMethod[Emissions Factor
kgCO2e/kg.km]*Calculations[[#This Row],[Total Kg]],0)</f>
        <v>0</v>
      </c>
      <c r="X1044" s="322">
        <f>SUM(Calculations[[#This Row],[C2 Recycle]:[C2 Reuse]])</f>
        <v>0</v>
      </c>
      <c r="Y1044" t="str">
        <f>IFERROR(VLOOKUP(Calculations[[#This Row],[Material (choose from dropdown]],MaterialData[#All],5,FALSE),"")</f>
        <v/>
      </c>
      <c r="Z1044" s="322">
        <f>IFERROR(((VLOOKUP(Calculations[[#This Row],[Waste type 2]],WasteDisposalEmissions[#All],2,FALSE))*Calculations[[#This Row],[Total Kg]])*VLOOKUP(Calculations[[#This Row],[Waste 1]],WasteScenario[#All],2,FALSE),0)</f>
        <v>0</v>
      </c>
      <c r="AA1044" s="322">
        <f>IFERROR((VLOOKUP(Calculations[[#This Row],[Waste type 2]],WasteDisposalEmissions[#All],3,FALSE))*Calculations[[#This Row],[Total Kg]]*VLOOKUP(Calculations[[#This Row],[Waste 1]],WasteScenario[#All],3,FALSE),0)</f>
        <v>0</v>
      </c>
      <c r="AB1044" s="322">
        <f>SUM(Calculations[[#This Row],[C3 recyc]:[C3 incin]])</f>
        <v>0</v>
      </c>
      <c r="AC1044" s="334">
        <f>IFERROR((VLOOKUP(Calculations[[#This Row],[Waste type 2]],WasteLandfillEmissions[#All],2,FALSE))*Calculations[[#This Row],[Total Kg]]*VLOOKUP(Calculations[[#This Row],[Waste 1]],WasteScenario[#All],4,FALSE),0)</f>
        <v>0</v>
      </c>
      <c r="AD1044" s="322">
        <f>IFERROR((VLOOKUP(Calculations[[#This Row],[Waste type 2]],WasteLandfillEmissions[#All],3,FALSE))*Calculations[[#This Row],[Total Kg]]*VLOOKUP(Calculations[[#This Row],[Waste 1]],WasteScenario[#All],4,FALSE),0)</f>
        <v>0</v>
      </c>
      <c r="AE1044" s="322">
        <f>SUM(Calculations[[#This Row],[C4 landfill]:[C4 re-use]])</f>
        <v>0</v>
      </c>
      <c r="AF1044" s="322">
        <f>IFERROR(VLOOKUP(Calculations[[#This Row],[Material (choose from dropdown]],MaterialData[#All],8,FALSE),0)</f>
        <v>0</v>
      </c>
      <c r="AG1044" s="322">
        <f>IFERROR(Calculations[[#This Row],[Total Kg]]*Calculations[[#This Row],[Seq factor]],0)</f>
        <v>0</v>
      </c>
      <c r="AI1044" s="322">
        <f>Calculations[[#This Row],[A1-3]]+Calculations[[#This Row],[A4]]+Calculations[[#This Row],[A5]]+Calculations[[#This Row],[B4]]+Calculations[[#This Row],[C2 total]]+Calculations[[#This Row],[C3 total]]+Calculations[[#This Row],[C4 total]]</f>
        <v>0</v>
      </c>
      <c r="AJ1044" s="2">
        <f>IFERROR(VLOOKUP(Calculations[[#This Row],[Material (choose from dropdown]],MaterialData[[#Headers],[#Data]],9,FALSE),0)</f>
        <v>0</v>
      </c>
      <c r="AK1044" s="4">
        <f>IFERROR(VLOOKUP(Calculations[[#This Row],[Material (choose from dropdown]],MaterialData[[#Headers],[#Data]],10,FALSE),0)</f>
        <v>0</v>
      </c>
      <c r="AL1044" s="322">
        <f>IFERROR(Calculations[[#This Row],[Data Quality Score]]*Calculations[[#This Row],[Total Kg]],0)</f>
        <v>0</v>
      </c>
    </row>
    <row r="1045" spans="1:38" x14ac:dyDescent="0.3">
      <c r="A1045" s="6">
        <f>IFERROR(MaterialsBoQ[[#This Row],[Scope Element]],0)</f>
        <v>0</v>
      </c>
      <c r="B1045" t="str">
        <f>IFERROR(MaterialsBoQ[[#This Row],[Material ]],"")</f>
        <v/>
      </c>
      <c r="C1045" t="str">
        <f>IFERROR(MaterialsBoQ[[#This Row],[Unit]],"")</f>
        <v/>
      </c>
      <c r="D1045" s="322">
        <f>IFERROR(MaterialsBoQ[[#This Row],[Number]],0)</f>
        <v>0</v>
      </c>
      <c r="E1045" s="322">
        <f>IFERROR(MaterialsBoQ[[#This Row],[Kg per unit]],0)</f>
        <v>0</v>
      </c>
      <c r="F1045" s="322">
        <f>IFERROR(Calculations[[#This Row],[Number]]*Calculations[[#This Row],[Conversion factor]],0)</f>
        <v>0</v>
      </c>
      <c r="G1045" s="322">
        <f>IFERROR(VLOOKUP(Calculations[[#This Row],[Material (choose from dropdown]],MaterialData[#All],7,FALSE),0)</f>
        <v>0</v>
      </c>
      <c r="H1045" s="322">
        <f>Calculations[[#This Row],[Total Kg]]*Calculations[[#This Row],[Carbon Factor]]</f>
        <v>0</v>
      </c>
      <c r="I1045" t="str">
        <f>IFERROR(VLOOKUP(Calculations[[#This Row],[Material (choose from dropdown]],MaterialData[#All],2,FALSE),"")</f>
        <v/>
      </c>
      <c r="J1045" s="322">
        <f>IFERROR(((VLOOKUP(Calculations[[#This Row],[TransportSource]],TransportDistance[],2,FALSE)*'Stage assumptions'!$C$11)+VLOOKUP(Calculations[[#This Row],[TransportSource]],TransportDistance[],3,FALSE)*'Stage assumptions'!$C$12)*Calculations[[#This Row],[Total Kg]],0)</f>
        <v>0</v>
      </c>
      <c r="K1045">
        <f>IFERROR(VLOOKUP(Calculations[[#This Row],[Material (choose from dropdown]], MaterialData[#All],3, FALSE),0)</f>
        <v>0</v>
      </c>
      <c r="L1045" s="322">
        <f>IFERROR(VLOOKUP(Calculations[[#This Row],[A5type]],A5WastageRate[#All],2,FALSE)*Calculations[[#This Row],[A1-3]],0)</f>
        <v>0</v>
      </c>
      <c r="N1045">
        <f>IFERROR(ROUNDUP(50/VLOOKUP(Calculations[[#This Row],[Scope Element]],B4referenceServiceLife[[Tier 2 element]:[Default Service Life]],2, FALSE)-1,0),0)</f>
        <v>0</v>
      </c>
      <c r="O1045" s="322">
        <f>IFERROR((Calculations[[#This Row],[A1-3]]+Calculations[[#This Row],[A4]]+Calculations[[#This Row],[A5]]+Calculations[[#This Row],[C2 total]]+Calculations[[#This Row],[C3 total]]+Calculations[[#This Row],[C4 total]])*Calculations[[#This Row],[Replacements]],0)</f>
        <v>0</v>
      </c>
      <c r="S1045" t="str">
        <f>IFERROR(VLOOKUP(Calculations[[#This Row],[Material (choose from dropdown]],MaterialData[#All],4,FALSE),"")</f>
        <v/>
      </c>
      <c r="T1045" s="322" cm="1">
        <f t="array" ref="T1045">IFERROR(VLOOKUP(Calculations[[#This Row],[Waste 1]],WasteScenario[#All],2,FALSE)*'Stage assumptions'!$C$225*WasteTransportMethod[Emissions Factor
kgCO2e/kg.km]*Calculations[[#This Row],[Total Kg]],0)</f>
        <v>0</v>
      </c>
      <c r="U1045" s="322" cm="1">
        <f t="array" ref="U1045">IFERROR(VLOOKUP(Calculations[[#This Row],[Waste 1]],WasteScenario[#All],3,FALSE)*'Stage assumptions'!$C$224*WasteTransportMethod[Emissions Factor
kgCO2e/kg.km]*Calculations[[#This Row],[Total Kg]],0)</f>
        <v>0</v>
      </c>
      <c r="V1045" s="322" cm="1">
        <f t="array" ref="V1045">IFERROR(VLOOKUP(Calculations[[#This Row],[Waste 1]],WasteScenario[#All],4,FALSE)*'Stage assumptions'!$C$223*WasteTransportMethod[Emissions Factor
kgCO2e/kg.km]*Calculations[[#This Row],[Total Kg]],0)</f>
        <v>0</v>
      </c>
      <c r="W1045" s="322" cm="1">
        <f t="array" ref="W1045">IFERROR(VLOOKUP(Calculations[[#This Row],[Waste 1]],WasteScenario[#All],5,FALSE)*'Stage assumptions'!$C$226*WasteTransportMethod[Emissions Factor
kgCO2e/kg.km]*Calculations[[#This Row],[Total Kg]],0)</f>
        <v>0</v>
      </c>
      <c r="X1045" s="322">
        <f>SUM(Calculations[[#This Row],[C2 Recycle]:[C2 Reuse]])</f>
        <v>0</v>
      </c>
      <c r="Y1045" t="str">
        <f>IFERROR(VLOOKUP(Calculations[[#This Row],[Material (choose from dropdown]],MaterialData[#All],5,FALSE),"")</f>
        <v/>
      </c>
      <c r="Z1045" s="322">
        <f>IFERROR(((VLOOKUP(Calculations[[#This Row],[Waste type 2]],WasteDisposalEmissions[#All],2,FALSE))*Calculations[[#This Row],[Total Kg]])*VLOOKUP(Calculations[[#This Row],[Waste 1]],WasteScenario[#All],2,FALSE),0)</f>
        <v>0</v>
      </c>
      <c r="AA1045" s="322">
        <f>IFERROR((VLOOKUP(Calculations[[#This Row],[Waste type 2]],WasteDisposalEmissions[#All],3,FALSE))*Calculations[[#This Row],[Total Kg]]*VLOOKUP(Calculations[[#This Row],[Waste 1]],WasteScenario[#All],3,FALSE),0)</f>
        <v>0</v>
      </c>
      <c r="AB1045" s="322">
        <f>SUM(Calculations[[#This Row],[C3 recyc]:[C3 incin]])</f>
        <v>0</v>
      </c>
      <c r="AC1045" s="334">
        <f>IFERROR((VLOOKUP(Calculations[[#This Row],[Waste type 2]],WasteLandfillEmissions[#All],2,FALSE))*Calculations[[#This Row],[Total Kg]]*VLOOKUP(Calculations[[#This Row],[Waste 1]],WasteScenario[#All],4,FALSE),0)</f>
        <v>0</v>
      </c>
      <c r="AD1045" s="322">
        <f>IFERROR((VLOOKUP(Calculations[[#This Row],[Waste type 2]],WasteLandfillEmissions[#All],3,FALSE))*Calculations[[#This Row],[Total Kg]]*VLOOKUP(Calculations[[#This Row],[Waste 1]],WasteScenario[#All],4,FALSE),0)</f>
        <v>0</v>
      </c>
      <c r="AE1045" s="322">
        <f>SUM(Calculations[[#This Row],[C4 landfill]:[C4 re-use]])</f>
        <v>0</v>
      </c>
      <c r="AF1045" s="322">
        <f>IFERROR(VLOOKUP(Calculations[[#This Row],[Material (choose from dropdown]],MaterialData[#All],8,FALSE),0)</f>
        <v>0</v>
      </c>
      <c r="AG1045" s="322">
        <f>IFERROR(Calculations[[#This Row],[Total Kg]]*Calculations[[#This Row],[Seq factor]],0)</f>
        <v>0</v>
      </c>
      <c r="AI1045" s="322">
        <f>Calculations[[#This Row],[A1-3]]+Calculations[[#This Row],[A4]]+Calculations[[#This Row],[A5]]+Calculations[[#This Row],[B4]]+Calculations[[#This Row],[C2 total]]+Calculations[[#This Row],[C3 total]]+Calculations[[#This Row],[C4 total]]</f>
        <v>0</v>
      </c>
      <c r="AJ1045" s="2">
        <f>IFERROR(VLOOKUP(Calculations[[#This Row],[Material (choose from dropdown]],MaterialData[[#Headers],[#Data]],9,FALSE),0)</f>
        <v>0</v>
      </c>
      <c r="AK1045" s="4">
        <f>IFERROR(VLOOKUP(Calculations[[#This Row],[Material (choose from dropdown]],MaterialData[[#Headers],[#Data]],10,FALSE),0)</f>
        <v>0</v>
      </c>
      <c r="AL1045" s="322">
        <f>IFERROR(Calculations[[#This Row],[Data Quality Score]]*Calculations[[#This Row],[Total Kg]],0)</f>
        <v>0</v>
      </c>
    </row>
    <row r="1046" spans="1:38" x14ac:dyDescent="0.3">
      <c r="A1046" s="6">
        <f>IFERROR(MaterialsBoQ[[#This Row],[Scope Element]],0)</f>
        <v>0</v>
      </c>
      <c r="B1046" t="str">
        <f>IFERROR(MaterialsBoQ[[#This Row],[Material ]],"")</f>
        <v/>
      </c>
      <c r="C1046" t="str">
        <f>IFERROR(MaterialsBoQ[[#This Row],[Unit]],"")</f>
        <v/>
      </c>
      <c r="D1046" s="322">
        <f>IFERROR(MaterialsBoQ[[#This Row],[Number]],0)</f>
        <v>0</v>
      </c>
      <c r="E1046" s="322">
        <f>IFERROR(MaterialsBoQ[[#This Row],[Kg per unit]],0)</f>
        <v>0</v>
      </c>
      <c r="F1046" s="322">
        <f>IFERROR(Calculations[[#This Row],[Number]]*Calculations[[#This Row],[Conversion factor]],0)</f>
        <v>0</v>
      </c>
      <c r="G1046" s="322">
        <f>IFERROR(VLOOKUP(Calculations[[#This Row],[Material (choose from dropdown]],MaterialData[#All],7,FALSE),0)</f>
        <v>0</v>
      </c>
      <c r="H1046" s="322">
        <f>Calculations[[#This Row],[Total Kg]]*Calculations[[#This Row],[Carbon Factor]]</f>
        <v>0</v>
      </c>
      <c r="I1046" t="str">
        <f>IFERROR(VLOOKUP(Calculations[[#This Row],[Material (choose from dropdown]],MaterialData[#All],2,FALSE),"")</f>
        <v/>
      </c>
      <c r="J1046" s="322">
        <f>IFERROR(((VLOOKUP(Calculations[[#This Row],[TransportSource]],TransportDistance[],2,FALSE)*'Stage assumptions'!$C$11)+VLOOKUP(Calculations[[#This Row],[TransportSource]],TransportDistance[],3,FALSE)*'Stage assumptions'!$C$12)*Calculations[[#This Row],[Total Kg]],0)</f>
        <v>0</v>
      </c>
      <c r="K1046">
        <f>IFERROR(VLOOKUP(Calculations[[#This Row],[Material (choose from dropdown]], MaterialData[#All],3, FALSE),0)</f>
        <v>0</v>
      </c>
      <c r="L1046" s="322">
        <f>IFERROR(VLOOKUP(Calculations[[#This Row],[A5type]],A5WastageRate[#All],2,FALSE)*Calculations[[#This Row],[A1-3]],0)</f>
        <v>0</v>
      </c>
      <c r="N1046">
        <f>IFERROR(ROUNDUP(50/VLOOKUP(Calculations[[#This Row],[Scope Element]],B4referenceServiceLife[[Tier 2 element]:[Default Service Life]],2, FALSE)-1,0),0)</f>
        <v>0</v>
      </c>
      <c r="O1046" s="322">
        <f>IFERROR((Calculations[[#This Row],[A1-3]]+Calculations[[#This Row],[A4]]+Calculations[[#This Row],[A5]]+Calculations[[#This Row],[C2 total]]+Calculations[[#This Row],[C3 total]]+Calculations[[#This Row],[C4 total]])*Calculations[[#This Row],[Replacements]],0)</f>
        <v>0</v>
      </c>
      <c r="S1046" t="str">
        <f>IFERROR(VLOOKUP(Calculations[[#This Row],[Material (choose from dropdown]],MaterialData[#All],4,FALSE),"")</f>
        <v/>
      </c>
      <c r="T1046" s="322" cm="1">
        <f t="array" ref="T1046">IFERROR(VLOOKUP(Calculations[[#This Row],[Waste 1]],WasteScenario[#All],2,FALSE)*'Stage assumptions'!$C$225*WasteTransportMethod[Emissions Factor
kgCO2e/kg.km]*Calculations[[#This Row],[Total Kg]],0)</f>
        <v>0</v>
      </c>
      <c r="U1046" s="322" cm="1">
        <f t="array" ref="U1046">IFERROR(VLOOKUP(Calculations[[#This Row],[Waste 1]],WasteScenario[#All],3,FALSE)*'Stage assumptions'!$C$224*WasteTransportMethod[Emissions Factor
kgCO2e/kg.km]*Calculations[[#This Row],[Total Kg]],0)</f>
        <v>0</v>
      </c>
      <c r="V1046" s="322" cm="1">
        <f t="array" ref="V1046">IFERROR(VLOOKUP(Calculations[[#This Row],[Waste 1]],WasteScenario[#All],4,FALSE)*'Stage assumptions'!$C$223*WasteTransportMethod[Emissions Factor
kgCO2e/kg.km]*Calculations[[#This Row],[Total Kg]],0)</f>
        <v>0</v>
      </c>
      <c r="W1046" s="322" cm="1">
        <f t="array" ref="W1046">IFERROR(VLOOKUP(Calculations[[#This Row],[Waste 1]],WasteScenario[#All],5,FALSE)*'Stage assumptions'!$C$226*WasteTransportMethod[Emissions Factor
kgCO2e/kg.km]*Calculations[[#This Row],[Total Kg]],0)</f>
        <v>0</v>
      </c>
      <c r="X1046" s="322">
        <f>SUM(Calculations[[#This Row],[C2 Recycle]:[C2 Reuse]])</f>
        <v>0</v>
      </c>
      <c r="Y1046" t="str">
        <f>IFERROR(VLOOKUP(Calculations[[#This Row],[Material (choose from dropdown]],MaterialData[#All],5,FALSE),"")</f>
        <v/>
      </c>
      <c r="Z1046" s="322">
        <f>IFERROR(((VLOOKUP(Calculations[[#This Row],[Waste type 2]],WasteDisposalEmissions[#All],2,FALSE))*Calculations[[#This Row],[Total Kg]])*VLOOKUP(Calculations[[#This Row],[Waste 1]],WasteScenario[#All],2,FALSE),0)</f>
        <v>0</v>
      </c>
      <c r="AA1046" s="322">
        <f>IFERROR((VLOOKUP(Calculations[[#This Row],[Waste type 2]],WasteDisposalEmissions[#All],3,FALSE))*Calculations[[#This Row],[Total Kg]]*VLOOKUP(Calculations[[#This Row],[Waste 1]],WasteScenario[#All],3,FALSE),0)</f>
        <v>0</v>
      </c>
      <c r="AB1046" s="322">
        <f>SUM(Calculations[[#This Row],[C3 recyc]:[C3 incin]])</f>
        <v>0</v>
      </c>
      <c r="AC1046" s="334">
        <f>IFERROR((VLOOKUP(Calculations[[#This Row],[Waste type 2]],WasteLandfillEmissions[#All],2,FALSE))*Calculations[[#This Row],[Total Kg]]*VLOOKUP(Calculations[[#This Row],[Waste 1]],WasteScenario[#All],4,FALSE),0)</f>
        <v>0</v>
      </c>
      <c r="AD1046" s="322">
        <f>IFERROR((VLOOKUP(Calculations[[#This Row],[Waste type 2]],WasteLandfillEmissions[#All],3,FALSE))*Calculations[[#This Row],[Total Kg]]*VLOOKUP(Calculations[[#This Row],[Waste 1]],WasteScenario[#All],4,FALSE),0)</f>
        <v>0</v>
      </c>
      <c r="AE1046" s="322">
        <f>SUM(Calculations[[#This Row],[C4 landfill]:[C4 re-use]])</f>
        <v>0</v>
      </c>
      <c r="AF1046" s="322">
        <f>IFERROR(VLOOKUP(Calculations[[#This Row],[Material (choose from dropdown]],MaterialData[#All],8,FALSE),0)</f>
        <v>0</v>
      </c>
      <c r="AG1046" s="322">
        <f>IFERROR(Calculations[[#This Row],[Total Kg]]*Calculations[[#This Row],[Seq factor]],0)</f>
        <v>0</v>
      </c>
      <c r="AI1046" s="322">
        <f>Calculations[[#This Row],[A1-3]]+Calculations[[#This Row],[A4]]+Calculations[[#This Row],[A5]]+Calculations[[#This Row],[B4]]+Calculations[[#This Row],[C2 total]]+Calculations[[#This Row],[C3 total]]+Calculations[[#This Row],[C4 total]]</f>
        <v>0</v>
      </c>
      <c r="AJ1046" s="2">
        <f>IFERROR(VLOOKUP(Calculations[[#This Row],[Material (choose from dropdown]],MaterialData[[#Headers],[#Data]],9,FALSE),0)</f>
        <v>0</v>
      </c>
      <c r="AK1046" s="4">
        <f>IFERROR(VLOOKUP(Calculations[[#This Row],[Material (choose from dropdown]],MaterialData[[#Headers],[#Data]],10,FALSE),0)</f>
        <v>0</v>
      </c>
      <c r="AL1046" s="322">
        <f>IFERROR(Calculations[[#This Row],[Data Quality Score]]*Calculations[[#This Row],[Total Kg]],0)</f>
        <v>0</v>
      </c>
    </row>
    <row r="1047" spans="1:38" x14ac:dyDescent="0.3">
      <c r="A1047" s="6">
        <f>IFERROR(MaterialsBoQ[[#This Row],[Scope Element]],0)</f>
        <v>0</v>
      </c>
      <c r="B1047" t="str">
        <f>IFERROR(MaterialsBoQ[[#This Row],[Material ]],"")</f>
        <v/>
      </c>
      <c r="C1047" t="str">
        <f>IFERROR(MaterialsBoQ[[#This Row],[Unit]],"")</f>
        <v/>
      </c>
      <c r="D1047" s="322">
        <f>IFERROR(MaterialsBoQ[[#This Row],[Number]],0)</f>
        <v>0</v>
      </c>
      <c r="E1047" s="322">
        <f>IFERROR(MaterialsBoQ[[#This Row],[Kg per unit]],0)</f>
        <v>0</v>
      </c>
      <c r="F1047" s="322">
        <f>IFERROR(Calculations[[#This Row],[Number]]*Calculations[[#This Row],[Conversion factor]],0)</f>
        <v>0</v>
      </c>
      <c r="G1047" s="322">
        <f>IFERROR(VLOOKUP(Calculations[[#This Row],[Material (choose from dropdown]],MaterialData[#All],7,FALSE),0)</f>
        <v>0</v>
      </c>
      <c r="H1047" s="322">
        <f>Calculations[[#This Row],[Total Kg]]*Calculations[[#This Row],[Carbon Factor]]</f>
        <v>0</v>
      </c>
      <c r="I1047" t="str">
        <f>IFERROR(VLOOKUP(Calculations[[#This Row],[Material (choose from dropdown]],MaterialData[#All],2,FALSE),"")</f>
        <v/>
      </c>
      <c r="J1047" s="322">
        <f>IFERROR(((VLOOKUP(Calculations[[#This Row],[TransportSource]],TransportDistance[],2,FALSE)*'Stage assumptions'!$C$11)+VLOOKUP(Calculations[[#This Row],[TransportSource]],TransportDistance[],3,FALSE)*'Stage assumptions'!$C$12)*Calculations[[#This Row],[Total Kg]],0)</f>
        <v>0</v>
      </c>
      <c r="K1047">
        <f>IFERROR(VLOOKUP(Calculations[[#This Row],[Material (choose from dropdown]], MaterialData[#All],3, FALSE),0)</f>
        <v>0</v>
      </c>
      <c r="L1047" s="322">
        <f>IFERROR(VLOOKUP(Calculations[[#This Row],[A5type]],A5WastageRate[#All],2,FALSE)*Calculations[[#This Row],[A1-3]],0)</f>
        <v>0</v>
      </c>
      <c r="N1047">
        <f>IFERROR(ROUNDUP(50/VLOOKUP(Calculations[[#This Row],[Scope Element]],B4referenceServiceLife[[Tier 2 element]:[Default Service Life]],2, FALSE)-1,0),0)</f>
        <v>0</v>
      </c>
      <c r="O1047" s="322">
        <f>IFERROR((Calculations[[#This Row],[A1-3]]+Calculations[[#This Row],[A4]]+Calculations[[#This Row],[A5]]+Calculations[[#This Row],[C2 total]]+Calculations[[#This Row],[C3 total]]+Calculations[[#This Row],[C4 total]])*Calculations[[#This Row],[Replacements]],0)</f>
        <v>0</v>
      </c>
      <c r="S1047" t="str">
        <f>IFERROR(VLOOKUP(Calculations[[#This Row],[Material (choose from dropdown]],MaterialData[#All],4,FALSE),"")</f>
        <v/>
      </c>
      <c r="T1047" s="322" cm="1">
        <f t="array" ref="T1047">IFERROR(VLOOKUP(Calculations[[#This Row],[Waste 1]],WasteScenario[#All],2,FALSE)*'Stage assumptions'!$C$225*WasteTransportMethod[Emissions Factor
kgCO2e/kg.km]*Calculations[[#This Row],[Total Kg]],0)</f>
        <v>0</v>
      </c>
      <c r="U1047" s="322" cm="1">
        <f t="array" ref="U1047">IFERROR(VLOOKUP(Calculations[[#This Row],[Waste 1]],WasteScenario[#All],3,FALSE)*'Stage assumptions'!$C$224*WasteTransportMethod[Emissions Factor
kgCO2e/kg.km]*Calculations[[#This Row],[Total Kg]],0)</f>
        <v>0</v>
      </c>
      <c r="V1047" s="322" cm="1">
        <f t="array" ref="V1047">IFERROR(VLOOKUP(Calculations[[#This Row],[Waste 1]],WasteScenario[#All],4,FALSE)*'Stage assumptions'!$C$223*WasteTransportMethod[Emissions Factor
kgCO2e/kg.km]*Calculations[[#This Row],[Total Kg]],0)</f>
        <v>0</v>
      </c>
      <c r="W1047" s="322" cm="1">
        <f t="array" ref="W1047">IFERROR(VLOOKUP(Calculations[[#This Row],[Waste 1]],WasteScenario[#All],5,FALSE)*'Stage assumptions'!$C$226*WasteTransportMethod[Emissions Factor
kgCO2e/kg.km]*Calculations[[#This Row],[Total Kg]],0)</f>
        <v>0</v>
      </c>
      <c r="X1047" s="322">
        <f>SUM(Calculations[[#This Row],[C2 Recycle]:[C2 Reuse]])</f>
        <v>0</v>
      </c>
      <c r="Y1047" t="str">
        <f>IFERROR(VLOOKUP(Calculations[[#This Row],[Material (choose from dropdown]],MaterialData[#All],5,FALSE),"")</f>
        <v/>
      </c>
      <c r="Z1047" s="322">
        <f>IFERROR(((VLOOKUP(Calculations[[#This Row],[Waste type 2]],WasteDisposalEmissions[#All],2,FALSE))*Calculations[[#This Row],[Total Kg]])*VLOOKUP(Calculations[[#This Row],[Waste 1]],WasteScenario[#All],2,FALSE),0)</f>
        <v>0</v>
      </c>
      <c r="AA1047" s="322">
        <f>IFERROR((VLOOKUP(Calculations[[#This Row],[Waste type 2]],WasteDisposalEmissions[#All],3,FALSE))*Calculations[[#This Row],[Total Kg]]*VLOOKUP(Calculations[[#This Row],[Waste 1]],WasteScenario[#All],3,FALSE),0)</f>
        <v>0</v>
      </c>
      <c r="AB1047" s="322">
        <f>SUM(Calculations[[#This Row],[C3 recyc]:[C3 incin]])</f>
        <v>0</v>
      </c>
      <c r="AC1047" s="334">
        <f>IFERROR((VLOOKUP(Calculations[[#This Row],[Waste type 2]],WasteLandfillEmissions[#All],2,FALSE))*Calculations[[#This Row],[Total Kg]]*VLOOKUP(Calculations[[#This Row],[Waste 1]],WasteScenario[#All],4,FALSE),0)</f>
        <v>0</v>
      </c>
      <c r="AD1047" s="322">
        <f>IFERROR((VLOOKUP(Calculations[[#This Row],[Waste type 2]],WasteLandfillEmissions[#All],3,FALSE))*Calculations[[#This Row],[Total Kg]]*VLOOKUP(Calculations[[#This Row],[Waste 1]],WasteScenario[#All],4,FALSE),0)</f>
        <v>0</v>
      </c>
      <c r="AE1047" s="322">
        <f>SUM(Calculations[[#This Row],[C4 landfill]:[C4 re-use]])</f>
        <v>0</v>
      </c>
      <c r="AF1047" s="322">
        <f>IFERROR(VLOOKUP(Calculations[[#This Row],[Material (choose from dropdown]],MaterialData[#All],8,FALSE),0)</f>
        <v>0</v>
      </c>
      <c r="AG1047" s="322">
        <f>IFERROR(Calculations[[#This Row],[Total Kg]]*Calculations[[#This Row],[Seq factor]],0)</f>
        <v>0</v>
      </c>
      <c r="AI1047" s="322">
        <f>Calculations[[#This Row],[A1-3]]+Calculations[[#This Row],[A4]]+Calculations[[#This Row],[A5]]+Calculations[[#This Row],[B4]]+Calculations[[#This Row],[C2 total]]+Calculations[[#This Row],[C3 total]]+Calculations[[#This Row],[C4 total]]</f>
        <v>0</v>
      </c>
      <c r="AJ1047" s="2">
        <f>IFERROR(VLOOKUP(Calculations[[#This Row],[Material (choose from dropdown]],MaterialData[[#Headers],[#Data]],9,FALSE),0)</f>
        <v>0</v>
      </c>
      <c r="AK1047" s="4">
        <f>IFERROR(VLOOKUP(Calculations[[#This Row],[Material (choose from dropdown]],MaterialData[[#Headers],[#Data]],10,FALSE),0)</f>
        <v>0</v>
      </c>
      <c r="AL1047" s="322">
        <f>IFERROR(Calculations[[#This Row],[Data Quality Score]]*Calculations[[#This Row],[Total Kg]],0)</f>
        <v>0</v>
      </c>
    </row>
    <row r="1048" spans="1:38" x14ac:dyDescent="0.3">
      <c r="A1048" s="6">
        <f>IFERROR(MaterialsBoQ[[#This Row],[Scope Element]],0)</f>
        <v>0</v>
      </c>
      <c r="B1048" t="str">
        <f>IFERROR(MaterialsBoQ[[#This Row],[Material ]],"")</f>
        <v/>
      </c>
      <c r="C1048" t="str">
        <f>IFERROR(MaterialsBoQ[[#This Row],[Unit]],"")</f>
        <v/>
      </c>
      <c r="D1048" s="322">
        <f>IFERROR(MaterialsBoQ[[#This Row],[Number]],0)</f>
        <v>0</v>
      </c>
      <c r="E1048" s="322">
        <f>IFERROR(MaterialsBoQ[[#This Row],[Kg per unit]],0)</f>
        <v>0</v>
      </c>
      <c r="F1048" s="322">
        <f>IFERROR(Calculations[[#This Row],[Number]]*Calculations[[#This Row],[Conversion factor]],0)</f>
        <v>0</v>
      </c>
      <c r="G1048" s="322">
        <f>IFERROR(VLOOKUP(Calculations[[#This Row],[Material (choose from dropdown]],MaterialData[#All],7,FALSE),0)</f>
        <v>0</v>
      </c>
      <c r="H1048" s="322">
        <f>Calculations[[#This Row],[Total Kg]]*Calculations[[#This Row],[Carbon Factor]]</f>
        <v>0</v>
      </c>
      <c r="I1048" t="str">
        <f>IFERROR(VLOOKUP(Calculations[[#This Row],[Material (choose from dropdown]],MaterialData[#All],2,FALSE),"")</f>
        <v/>
      </c>
      <c r="J1048" s="322">
        <f>IFERROR(((VLOOKUP(Calculations[[#This Row],[TransportSource]],TransportDistance[],2,FALSE)*'Stage assumptions'!$C$11)+VLOOKUP(Calculations[[#This Row],[TransportSource]],TransportDistance[],3,FALSE)*'Stage assumptions'!$C$12)*Calculations[[#This Row],[Total Kg]],0)</f>
        <v>0</v>
      </c>
      <c r="K1048">
        <f>IFERROR(VLOOKUP(Calculations[[#This Row],[Material (choose from dropdown]], MaterialData[#All],3, FALSE),0)</f>
        <v>0</v>
      </c>
      <c r="L1048" s="322">
        <f>IFERROR(VLOOKUP(Calculations[[#This Row],[A5type]],A5WastageRate[#All],2,FALSE)*Calculations[[#This Row],[A1-3]],0)</f>
        <v>0</v>
      </c>
      <c r="N1048">
        <f>IFERROR(ROUNDUP(50/VLOOKUP(Calculations[[#This Row],[Scope Element]],B4referenceServiceLife[[Tier 2 element]:[Default Service Life]],2, FALSE)-1,0),0)</f>
        <v>0</v>
      </c>
      <c r="O1048" s="322">
        <f>IFERROR((Calculations[[#This Row],[A1-3]]+Calculations[[#This Row],[A4]]+Calculations[[#This Row],[A5]]+Calculations[[#This Row],[C2 total]]+Calculations[[#This Row],[C3 total]]+Calculations[[#This Row],[C4 total]])*Calculations[[#This Row],[Replacements]],0)</f>
        <v>0</v>
      </c>
      <c r="S1048" t="str">
        <f>IFERROR(VLOOKUP(Calculations[[#This Row],[Material (choose from dropdown]],MaterialData[#All],4,FALSE),"")</f>
        <v/>
      </c>
      <c r="T1048" s="322" cm="1">
        <f t="array" ref="T1048">IFERROR(VLOOKUP(Calculations[[#This Row],[Waste 1]],WasteScenario[#All],2,FALSE)*'Stage assumptions'!$C$225*WasteTransportMethod[Emissions Factor
kgCO2e/kg.km]*Calculations[[#This Row],[Total Kg]],0)</f>
        <v>0</v>
      </c>
      <c r="U1048" s="322" cm="1">
        <f t="array" ref="U1048">IFERROR(VLOOKUP(Calculations[[#This Row],[Waste 1]],WasteScenario[#All],3,FALSE)*'Stage assumptions'!$C$224*WasteTransportMethod[Emissions Factor
kgCO2e/kg.km]*Calculations[[#This Row],[Total Kg]],0)</f>
        <v>0</v>
      </c>
      <c r="V1048" s="322" cm="1">
        <f t="array" ref="V1048">IFERROR(VLOOKUP(Calculations[[#This Row],[Waste 1]],WasteScenario[#All],4,FALSE)*'Stage assumptions'!$C$223*WasteTransportMethod[Emissions Factor
kgCO2e/kg.km]*Calculations[[#This Row],[Total Kg]],0)</f>
        <v>0</v>
      </c>
      <c r="W1048" s="322" cm="1">
        <f t="array" ref="W1048">IFERROR(VLOOKUP(Calculations[[#This Row],[Waste 1]],WasteScenario[#All],5,FALSE)*'Stage assumptions'!$C$226*WasteTransportMethod[Emissions Factor
kgCO2e/kg.km]*Calculations[[#This Row],[Total Kg]],0)</f>
        <v>0</v>
      </c>
      <c r="X1048" s="322">
        <f>SUM(Calculations[[#This Row],[C2 Recycle]:[C2 Reuse]])</f>
        <v>0</v>
      </c>
      <c r="Y1048" t="str">
        <f>IFERROR(VLOOKUP(Calculations[[#This Row],[Material (choose from dropdown]],MaterialData[#All],5,FALSE),"")</f>
        <v/>
      </c>
      <c r="Z1048" s="322">
        <f>IFERROR(((VLOOKUP(Calculations[[#This Row],[Waste type 2]],WasteDisposalEmissions[#All],2,FALSE))*Calculations[[#This Row],[Total Kg]])*VLOOKUP(Calculations[[#This Row],[Waste 1]],WasteScenario[#All],2,FALSE),0)</f>
        <v>0</v>
      </c>
      <c r="AA1048" s="322">
        <f>IFERROR((VLOOKUP(Calculations[[#This Row],[Waste type 2]],WasteDisposalEmissions[#All],3,FALSE))*Calculations[[#This Row],[Total Kg]]*VLOOKUP(Calculations[[#This Row],[Waste 1]],WasteScenario[#All],3,FALSE),0)</f>
        <v>0</v>
      </c>
      <c r="AB1048" s="322">
        <f>SUM(Calculations[[#This Row],[C3 recyc]:[C3 incin]])</f>
        <v>0</v>
      </c>
      <c r="AC1048" s="334">
        <f>IFERROR((VLOOKUP(Calculations[[#This Row],[Waste type 2]],WasteLandfillEmissions[#All],2,FALSE))*Calculations[[#This Row],[Total Kg]]*VLOOKUP(Calculations[[#This Row],[Waste 1]],WasteScenario[#All],4,FALSE),0)</f>
        <v>0</v>
      </c>
      <c r="AD1048" s="322">
        <f>IFERROR((VLOOKUP(Calculations[[#This Row],[Waste type 2]],WasteLandfillEmissions[#All],3,FALSE))*Calculations[[#This Row],[Total Kg]]*VLOOKUP(Calculations[[#This Row],[Waste 1]],WasteScenario[#All],4,FALSE),0)</f>
        <v>0</v>
      </c>
      <c r="AE1048" s="322">
        <f>SUM(Calculations[[#This Row],[C4 landfill]:[C4 re-use]])</f>
        <v>0</v>
      </c>
      <c r="AF1048" s="322">
        <f>IFERROR(VLOOKUP(Calculations[[#This Row],[Material (choose from dropdown]],MaterialData[#All],8,FALSE),0)</f>
        <v>0</v>
      </c>
      <c r="AG1048" s="322">
        <f>IFERROR(Calculations[[#This Row],[Total Kg]]*Calculations[[#This Row],[Seq factor]],0)</f>
        <v>0</v>
      </c>
      <c r="AI1048" s="322">
        <f>Calculations[[#This Row],[A1-3]]+Calculations[[#This Row],[A4]]+Calculations[[#This Row],[A5]]+Calculations[[#This Row],[B4]]+Calculations[[#This Row],[C2 total]]+Calculations[[#This Row],[C3 total]]+Calculations[[#This Row],[C4 total]]</f>
        <v>0</v>
      </c>
      <c r="AJ1048" s="2">
        <f>IFERROR(VLOOKUP(Calculations[[#This Row],[Material (choose from dropdown]],MaterialData[[#Headers],[#Data]],9,FALSE),0)</f>
        <v>0</v>
      </c>
      <c r="AK1048" s="4">
        <f>IFERROR(VLOOKUP(Calculations[[#This Row],[Material (choose from dropdown]],MaterialData[[#Headers],[#Data]],10,FALSE),0)</f>
        <v>0</v>
      </c>
      <c r="AL1048" s="322">
        <f>IFERROR(Calculations[[#This Row],[Data Quality Score]]*Calculations[[#This Row],[Total Kg]],0)</f>
        <v>0</v>
      </c>
    </row>
    <row r="1049" spans="1:38" x14ac:dyDescent="0.3">
      <c r="A1049" s="6">
        <f>IFERROR(MaterialsBoQ[[#This Row],[Scope Element]],0)</f>
        <v>0</v>
      </c>
      <c r="B1049" t="str">
        <f>IFERROR(MaterialsBoQ[[#This Row],[Material ]],"")</f>
        <v/>
      </c>
      <c r="C1049" t="str">
        <f>IFERROR(MaterialsBoQ[[#This Row],[Unit]],"")</f>
        <v/>
      </c>
      <c r="D1049" s="322">
        <f>IFERROR(MaterialsBoQ[[#This Row],[Number]],0)</f>
        <v>0</v>
      </c>
      <c r="E1049" s="322">
        <f>IFERROR(MaterialsBoQ[[#This Row],[Kg per unit]],0)</f>
        <v>0</v>
      </c>
      <c r="F1049" s="322">
        <f>IFERROR(Calculations[[#This Row],[Number]]*Calculations[[#This Row],[Conversion factor]],0)</f>
        <v>0</v>
      </c>
      <c r="G1049" s="322">
        <f>IFERROR(VLOOKUP(Calculations[[#This Row],[Material (choose from dropdown]],MaterialData[#All],7,FALSE),0)</f>
        <v>0</v>
      </c>
      <c r="H1049" s="322">
        <f>Calculations[[#This Row],[Total Kg]]*Calculations[[#This Row],[Carbon Factor]]</f>
        <v>0</v>
      </c>
      <c r="I1049" t="str">
        <f>IFERROR(VLOOKUP(Calculations[[#This Row],[Material (choose from dropdown]],MaterialData[#All],2,FALSE),"")</f>
        <v/>
      </c>
      <c r="J1049" s="322">
        <f>IFERROR(((VLOOKUP(Calculations[[#This Row],[TransportSource]],TransportDistance[],2,FALSE)*'Stage assumptions'!$C$11)+VLOOKUP(Calculations[[#This Row],[TransportSource]],TransportDistance[],3,FALSE)*'Stage assumptions'!$C$12)*Calculations[[#This Row],[Total Kg]],0)</f>
        <v>0</v>
      </c>
      <c r="K1049">
        <f>IFERROR(VLOOKUP(Calculations[[#This Row],[Material (choose from dropdown]], MaterialData[#All],3, FALSE),0)</f>
        <v>0</v>
      </c>
      <c r="L1049" s="322">
        <f>IFERROR(VLOOKUP(Calculations[[#This Row],[A5type]],A5WastageRate[#All],2,FALSE)*Calculations[[#This Row],[A1-3]],0)</f>
        <v>0</v>
      </c>
      <c r="N1049">
        <f>IFERROR(ROUNDUP(50/VLOOKUP(Calculations[[#This Row],[Scope Element]],B4referenceServiceLife[[Tier 2 element]:[Default Service Life]],2, FALSE)-1,0),0)</f>
        <v>0</v>
      </c>
      <c r="O1049" s="322">
        <f>IFERROR((Calculations[[#This Row],[A1-3]]+Calculations[[#This Row],[A4]]+Calculations[[#This Row],[A5]]+Calculations[[#This Row],[C2 total]]+Calculations[[#This Row],[C3 total]]+Calculations[[#This Row],[C4 total]])*Calculations[[#This Row],[Replacements]],0)</f>
        <v>0</v>
      </c>
      <c r="S1049" t="str">
        <f>IFERROR(VLOOKUP(Calculations[[#This Row],[Material (choose from dropdown]],MaterialData[#All],4,FALSE),"")</f>
        <v/>
      </c>
      <c r="T1049" s="322" cm="1">
        <f t="array" ref="T1049">IFERROR(VLOOKUP(Calculations[[#This Row],[Waste 1]],WasteScenario[#All],2,FALSE)*'Stage assumptions'!$C$225*WasteTransportMethod[Emissions Factor
kgCO2e/kg.km]*Calculations[[#This Row],[Total Kg]],0)</f>
        <v>0</v>
      </c>
      <c r="U1049" s="322" cm="1">
        <f t="array" ref="U1049">IFERROR(VLOOKUP(Calculations[[#This Row],[Waste 1]],WasteScenario[#All],3,FALSE)*'Stage assumptions'!$C$224*WasteTransportMethod[Emissions Factor
kgCO2e/kg.km]*Calculations[[#This Row],[Total Kg]],0)</f>
        <v>0</v>
      </c>
      <c r="V1049" s="322" cm="1">
        <f t="array" ref="V1049">IFERROR(VLOOKUP(Calculations[[#This Row],[Waste 1]],WasteScenario[#All],4,FALSE)*'Stage assumptions'!$C$223*WasteTransportMethod[Emissions Factor
kgCO2e/kg.km]*Calculations[[#This Row],[Total Kg]],0)</f>
        <v>0</v>
      </c>
      <c r="W1049" s="322" cm="1">
        <f t="array" ref="W1049">IFERROR(VLOOKUP(Calculations[[#This Row],[Waste 1]],WasteScenario[#All],5,FALSE)*'Stage assumptions'!$C$226*WasteTransportMethod[Emissions Factor
kgCO2e/kg.km]*Calculations[[#This Row],[Total Kg]],0)</f>
        <v>0</v>
      </c>
      <c r="X1049" s="322">
        <f>SUM(Calculations[[#This Row],[C2 Recycle]:[C2 Reuse]])</f>
        <v>0</v>
      </c>
      <c r="Y1049" t="str">
        <f>IFERROR(VLOOKUP(Calculations[[#This Row],[Material (choose from dropdown]],MaterialData[#All],5,FALSE),"")</f>
        <v/>
      </c>
      <c r="Z1049" s="322">
        <f>IFERROR(((VLOOKUP(Calculations[[#This Row],[Waste type 2]],WasteDisposalEmissions[#All],2,FALSE))*Calculations[[#This Row],[Total Kg]])*VLOOKUP(Calculations[[#This Row],[Waste 1]],WasteScenario[#All],2,FALSE),0)</f>
        <v>0</v>
      </c>
      <c r="AA1049" s="322">
        <f>IFERROR((VLOOKUP(Calculations[[#This Row],[Waste type 2]],WasteDisposalEmissions[#All],3,FALSE))*Calculations[[#This Row],[Total Kg]]*VLOOKUP(Calculations[[#This Row],[Waste 1]],WasteScenario[#All],3,FALSE),0)</f>
        <v>0</v>
      </c>
      <c r="AB1049" s="322">
        <f>SUM(Calculations[[#This Row],[C3 recyc]:[C3 incin]])</f>
        <v>0</v>
      </c>
      <c r="AC1049" s="334">
        <f>IFERROR((VLOOKUP(Calculations[[#This Row],[Waste type 2]],WasteLandfillEmissions[#All],2,FALSE))*Calculations[[#This Row],[Total Kg]]*VLOOKUP(Calculations[[#This Row],[Waste 1]],WasteScenario[#All],4,FALSE),0)</f>
        <v>0</v>
      </c>
      <c r="AD1049" s="322">
        <f>IFERROR((VLOOKUP(Calculations[[#This Row],[Waste type 2]],WasteLandfillEmissions[#All],3,FALSE))*Calculations[[#This Row],[Total Kg]]*VLOOKUP(Calculations[[#This Row],[Waste 1]],WasteScenario[#All],4,FALSE),0)</f>
        <v>0</v>
      </c>
      <c r="AE1049" s="322">
        <f>SUM(Calculations[[#This Row],[C4 landfill]:[C4 re-use]])</f>
        <v>0</v>
      </c>
      <c r="AF1049" s="322">
        <f>IFERROR(VLOOKUP(Calculations[[#This Row],[Material (choose from dropdown]],MaterialData[#All],8,FALSE),0)</f>
        <v>0</v>
      </c>
      <c r="AG1049" s="322">
        <f>IFERROR(Calculations[[#This Row],[Total Kg]]*Calculations[[#This Row],[Seq factor]],0)</f>
        <v>0</v>
      </c>
      <c r="AI1049" s="322">
        <f>Calculations[[#This Row],[A1-3]]+Calculations[[#This Row],[A4]]+Calculations[[#This Row],[A5]]+Calculations[[#This Row],[B4]]+Calculations[[#This Row],[C2 total]]+Calculations[[#This Row],[C3 total]]+Calculations[[#This Row],[C4 total]]</f>
        <v>0</v>
      </c>
      <c r="AJ1049" s="2">
        <f>IFERROR(VLOOKUP(Calculations[[#This Row],[Material (choose from dropdown]],MaterialData[[#Headers],[#Data]],9,FALSE),0)</f>
        <v>0</v>
      </c>
      <c r="AK1049" s="4">
        <f>IFERROR(VLOOKUP(Calculations[[#This Row],[Material (choose from dropdown]],MaterialData[[#Headers],[#Data]],10,FALSE),0)</f>
        <v>0</v>
      </c>
      <c r="AL1049" s="322">
        <f>IFERROR(Calculations[[#This Row],[Data Quality Score]]*Calculations[[#This Row],[Total Kg]],0)</f>
        <v>0</v>
      </c>
    </row>
    <row r="1050" spans="1:38" x14ac:dyDescent="0.3">
      <c r="A1050" s="6">
        <f>IFERROR(MaterialsBoQ[[#This Row],[Scope Element]],0)</f>
        <v>0</v>
      </c>
      <c r="B1050" t="str">
        <f>IFERROR(MaterialsBoQ[[#This Row],[Material ]],"")</f>
        <v/>
      </c>
      <c r="C1050" t="str">
        <f>IFERROR(MaterialsBoQ[[#This Row],[Unit]],"")</f>
        <v/>
      </c>
      <c r="D1050" s="322">
        <f>IFERROR(MaterialsBoQ[[#This Row],[Number]],0)</f>
        <v>0</v>
      </c>
      <c r="E1050" s="322">
        <f>IFERROR(MaterialsBoQ[[#This Row],[Kg per unit]],0)</f>
        <v>0</v>
      </c>
      <c r="F1050" s="322">
        <f>IFERROR(Calculations[[#This Row],[Number]]*Calculations[[#This Row],[Conversion factor]],0)</f>
        <v>0</v>
      </c>
      <c r="G1050" s="322">
        <f>IFERROR(VLOOKUP(Calculations[[#This Row],[Material (choose from dropdown]],MaterialData[#All],7,FALSE),0)</f>
        <v>0</v>
      </c>
      <c r="H1050" s="322">
        <f>Calculations[[#This Row],[Total Kg]]*Calculations[[#This Row],[Carbon Factor]]</f>
        <v>0</v>
      </c>
      <c r="I1050" t="str">
        <f>IFERROR(VLOOKUP(Calculations[[#This Row],[Material (choose from dropdown]],MaterialData[#All],2,FALSE),"")</f>
        <v/>
      </c>
      <c r="J1050" s="322">
        <f>IFERROR(((VLOOKUP(Calculations[[#This Row],[TransportSource]],TransportDistance[],2,FALSE)*'Stage assumptions'!$C$11)+VLOOKUP(Calculations[[#This Row],[TransportSource]],TransportDistance[],3,FALSE)*'Stage assumptions'!$C$12)*Calculations[[#This Row],[Total Kg]],0)</f>
        <v>0</v>
      </c>
      <c r="K1050">
        <f>IFERROR(VLOOKUP(Calculations[[#This Row],[Material (choose from dropdown]], MaterialData[#All],3, FALSE),0)</f>
        <v>0</v>
      </c>
      <c r="L1050" s="322">
        <f>IFERROR(VLOOKUP(Calculations[[#This Row],[A5type]],A5WastageRate[#All],2,FALSE)*Calculations[[#This Row],[A1-3]],0)</f>
        <v>0</v>
      </c>
      <c r="N1050">
        <f>IFERROR(ROUNDUP(50/VLOOKUP(Calculations[[#This Row],[Scope Element]],B4referenceServiceLife[[Tier 2 element]:[Default Service Life]],2, FALSE)-1,0),0)</f>
        <v>0</v>
      </c>
      <c r="O1050" s="322">
        <f>IFERROR((Calculations[[#This Row],[A1-3]]+Calculations[[#This Row],[A4]]+Calculations[[#This Row],[A5]]+Calculations[[#This Row],[C2 total]]+Calculations[[#This Row],[C3 total]]+Calculations[[#This Row],[C4 total]])*Calculations[[#This Row],[Replacements]],0)</f>
        <v>0</v>
      </c>
      <c r="S1050" t="str">
        <f>IFERROR(VLOOKUP(Calculations[[#This Row],[Material (choose from dropdown]],MaterialData[#All],4,FALSE),"")</f>
        <v/>
      </c>
      <c r="T1050" s="322" cm="1">
        <f t="array" ref="T1050">IFERROR(VLOOKUP(Calculations[[#This Row],[Waste 1]],WasteScenario[#All],2,FALSE)*'Stage assumptions'!$C$225*WasteTransportMethod[Emissions Factor
kgCO2e/kg.km]*Calculations[[#This Row],[Total Kg]],0)</f>
        <v>0</v>
      </c>
      <c r="U1050" s="322" cm="1">
        <f t="array" ref="U1050">IFERROR(VLOOKUP(Calculations[[#This Row],[Waste 1]],WasteScenario[#All],3,FALSE)*'Stage assumptions'!$C$224*WasteTransportMethod[Emissions Factor
kgCO2e/kg.km]*Calculations[[#This Row],[Total Kg]],0)</f>
        <v>0</v>
      </c>
      <c r="V1050" s="322" cm="1">
        <f t="array" ref="V1050">IFERROR(VLOOKUP(Calculations[[#This Row],[Waste 1]],WasteScenario[#All],4,FALSE)*'Stage assumptions'!$C$223*WasteTransportMethod[Emissions Factor
kgCO2e/kg.km]*Calculations[[#This Row],[Total Kg]],0)</f>
        <v>0</v>
      </c>
      <c r="W1050" s="322" cm="1">
        <f t="array" ref="W1050">IFERROR(VLOOKUP(Calculations[[#This Row],[Waste 1]],WasteScenario[#All],5,FALSE)*'Stage assumptions'!$C$226*WasteTransportMethod[Emissions Factor
kgCO2e/kg.km]*Calculations[[#This Row],[Total Kg]],0)</f>
        <v>0</v>
      </c>
      <c r="X1050" s="322">
        <f>SUM(Calculations[[#This Row],[C2 Recycle]:[C2 Reuse]])</f>
        <v>0</v>
      </c>
      <c r="Y1050" t="str">
        <f>IFERROR(VLOOKUP(Calculations[[#This Row],[Material (choose from dropdown]],MaterialData[#All],5,FALSE),"")</f>
        <v/>
      </c>
      <c r="Z1050" s="322">
        <f>IFERROR(((VLOOKUP(Calculations[[#This Row],[Waste type 2]],WasteDisposalEmissions[#All],2,FALSE))*Calculations[[#This Row],[Total Kg]])*VLOOKUP(Calculations[[#This Row],[Waste 1]],WasteScenario[#All],2,FALSE),0)</f>
        <v>0</v>
      </c>
      <c r="AA1050" s="322">
        <f>IFERROR((VLOOKUP(Calculations[[#This Row],[Waste type 2]],WasteDisposalEmissions[#All],3,FALSE))*Calculations[[#This Row],[Total Kg]]*VLOOKUP(Calculations[[#This Row],[Waste 1]],WasteScenario[#All],3,FALSE),0)</f>
        <v>0</v>
      </c>
      <c r="AB1050" s="322">
        <f>SUM(Calculations[[#This Row],[C3 recyc]:[C3 incin]])</f>
        <v>0</v>
      </c>
      <c r="AC1050" s="334">
        <f>IFERROR((VLOOKUP(Calculations[[#This Row],[Waste type 2]],WasteLandfillEmissions[#All],2,FALSE))*Calculations[[#This Row],[Total Kg]]*VLOOKUP(Calculations[[#This Row],[Waste 1]],WasteScenario[#All],4,FALSE),0)</f>
        <v>0</v>
      </c>
      <c r="AD1050" s="322">
        <f>IFERROR((VLOOKUP(Calculations[[#This Row],[Waste type 2]],WasteLandfillEmissions[#All],3,FALSE))*Calculations[[#This Row],[Total Kg]]*VLOOKUP(Calculations[[#This Row],[Waste 1]],WasteScenario[#All],4,FALSE),0)</f>
        <v>0</v>
      </c>
      <c r="AE1050" s="322">
        <f>SUM(Calculations[[#This Row],[C4 landfill]:[C4 re-use]])</f>
        <v>0</v>
      </c>
      <c r="AF1050" s="322">
        <f>IFERROR(VLOOKUP(Calculations[[#This Row],[Material (choose from dropdown]],MaterialData[#All],8,FALSE),0)</f>
        <v>0</v>
      </c>
      <c r="AG1050" s="322">
        <f>IFERROR(Calculations[[#This Row],[Total Kg]]*Calculations[[#This Row],[Seq factor]],0)</f>
        <v>0</v>
      </c>
      <c r="AI1050" s="322">
        <f>Calculations[[#This Row],[A1-3]]+Calculations[[#This Row],[A4]]+Calculations[[#This Row],[A5]]+Calculations[[#This Row],[B4]]+Calculations[[#This Row],[C2 total]]+Calculations[[#This Row],[C3 total]]+Calculations[[#This Row],[C4 total]]</f>
        <v>0</v>
      </c>
      <c r="AJ1050" s="2">
        <f>IFERROR(VLOOKUP(Calculations[[#This Row],[Material (choose from dropdown]],MaterialData[[#Headers],[#Data]],9,FALSE),0)</f>
        <v>0</v>
      </c>
      <c r="AK1050" s="4">
        <f>IFERROR(VLOOKUP(Calculations[[#This Row],[Material (choose from dropdown]],MaterialData[[#Headers],[#Data]],10,FALSE),0)</f>
        <v>0</v>
      </c>
      <c r="AL1050" s="322">
        <f>IFERROR(Calculations[[#This Row],[Data Quality Score]]*Calculations[[#This Row],[Total Kg]],0)</f>
        <v>0</v>
      </c>
    </row>
    <row r="1051" spans="1:38" x14ac:dyDescent="0.3">
      <c r="A1051" s="6">
        <f>IFERROR(MaterialsBoQ[[#This Row],[Scope Element]],0)</f>
        <v>0</v>
      </c>
      <c r="B1051" t="str">
        <f>IFERROR(MaterialsBoQ[[#This Row],[Material ]],"")</f>
        <v/>
      </c>
      <c r="C1051" t="str">
        <f>IFERROR(MaterialsBoQ[[#This Row],[Unit]],"")</f>
        <v/>
      </c>
      <c r="D1051" s="322">
        <f>IFERROR(MaterialsBoQ[[#This Row],[Number]],0)</f>
        <v>0</v>
      </c>
      <c r="E1051" s="322">
        <f>IFERROR(MaterialsBoQ[[#This Row],[Kg per unit]],0)</f>
        <v>0</v>
      </c>
      <c r="F1051" s="322">
        <f>IFERROR(Calculations[[#This Row],[Number]]*Calculations[[#This Row],[Conversion factor]],0)</f>
        <v>0</v>
      </c>
      <c r="G1051" s="322">
        <f>IFERROR(VLOOKUP(Calculations[[#This Row],[Material (choose from dropdown]],MaterialData[#All],7,FALSE),0)</f>
        <v>0</v>
      </c>
      <c r="H1051" s="322">
        <f>Calculations[[#This Row],[Total Kg]]*Calculations[[#This Row],[Carbon Factor]]</f>
        <v>0</v>
      </c>
      <c r="I1051" t="str">
        <f>IFERROR(VLOOKUP(Calculations[[#This Row],[Material (choose from dropdown]],MaterialData[#All],2,FALSE),"")</f>
        <v/>
      </c>
      <c r="J1051" s="322">
        <f>IFERROR(((VLOOKUP(Calculations[[#This Row],[TransportSource]],TransportDistance[],2,FALSE)*'Stage assumptions'!$C$11)+VLOOKUP(Calculations[[#This Row],[TransportSource]],TransportDistance[],3,FALSE)*'Stage assumptions'!$C$12)*Calculations[[#This Row],[Total Kg]],0)</f>
        <v>0</v>
      </c>
      <c r="K1051">
        <f>IFERROR(VLOOKUP(Calculations[[#This Row],[Material (choose from dropdown]], MaterialData[#All],3, FALSE),0)</f>
        <v>0</v>
      </c>
      <c r="L1051" s="322">
        <f>IFERROR(VLOOKUP(Calculations[[#This Row],[A5type]],A5WastageRate[#All],2,FALSE)*Calculations[[#This Row],[A1-3]],0)</f>
        <v>0</v>
      </c>
      <c r="N1051">
        <f>IFERROR(ROUNDUP(50/VLOOKUP(Calculations[[#This Row],[Scope Element]],B4referenceServiceLife[[Tier 2 element]:[Default Service Life]],2, FALSE)-1,0),0)</f>
        <v>0</v>
      </c>
      <c r="O1051" s="322">
        <f>IFERROR((Calculations[[#This Row],[A1-3]]+Calculations[[#This Row],[A4]]+Calculations[[#This Row],[A5]]+Calculations[[#This Row],[C2 total]]+Calculations[[#This Row],[C3 total]]+Calculations[[#This Row],[C4 total]])*Calculations[[#This Row],[Replacements]],0)</f>
        <v>0</v>
      </c>
      <c r="S1051" t="str">
        <f>IFERROR(VLOOKUP(Calculations[[#This Row],[Material (choose from dropdown]],MaterialData[#All],4,FALSE),"")</f>
        <v/>
      </c>
      <c r="T1051" s="322" cm="1">
        <f t="array" ref="T1051">IFERROR(VLOOKUP(Calculations[[#This Row],[Waste 1]],WasteScenario[#All],2,FALSE)*'Stage assumptions'!$C$225*WasteTransportMethod[Emissions Factor
kgCO2e/kg.km]*Calculations[[#This Row],[Total Kg]],0)</f>
        <v>0</v>
      </c>
      <c r="U1051" s="322" cm="1">
        <f t="array" ref="U1051">IFERROR(VLOOKUP(Calculations[[#This Row],[Waste 1]],WasteScenario[#All],3,FALSE)*'Stage assumptions'!$C$224*WasteTransportMethod[Emissions Factor
kgCO2e/kg.km]*Calculations[[#This Row],[Total Kg]],0)</f>
        <v>0</v>
      </c>
      <c r="V1051" s="322" cm="1">
        <f t="array" ref="V1051">IFERROR(VLOOKUP(Calculations[[#This Row],[Waste 1]],WasteScenario[#All],4,FALSE)*'Stage assumptions'!$C$223*WasteTransportMethod[Emissions Factor
kgCO2e/kg.km]*Calculations[[#This Row],[Total Kg]],0)</f>
        <v>0</v>
      </c>
      <c r="W1051" s="322" cm="1">
        <f t="array" ref="W1051">IFERROR(VLOOKUP(Calculations[[#This Row],[Waste 1]],WasteScenario[#All],5,FALSE)*'Stage assumptions'!$C$226*WasteTransportMethod[Emissions Factor
kgCO2e/kg.km]*Calculations[[#This Row],[Total Kg]],0)</f>
        <v>0</v>
      </c>
      <c r="X1051" s="322">
        <f>SUM(Calculations[[#This Row],[C2 Recycle]:[C2 Reuse]])</f>
        <v>0</v>
      </c>
      <c r="Y1051" t="str">
        <f>IFERROR(VLOOKUP(Calculations[[#This Row],[Material (choose from dropdown]],MaterialData[#All],5,FALSE),"")</f>
        <v/>
      </c>
      <c r="Z1051" s="322">
        <f>IFERROR(((VLOOKUP(Calculations[[#This Row],[Waste type 2]],WasteDisposalEmissions[#All],2,FALSE))*Calculations[[#This Row],[Total Kg]])*VLOOKUP(Calculations[[#This Row],[Waste 1]],WasteScenario[#All],2,FALSE),0)</f>
        <v>0</v>
      </c>
      <c r="AA1051" s="322">
        <f>IFERROR((VLOOKUP(Calculations[[#This Row],[Waste type 2]],WasteDisposalEmissions[#All],3,FALSE))*Calculations[[#This Row],[Total Kg]]*VLOOKUP(Calculations[[#This Row],[Waste 1]],WasteScenario[#All],3,FALSE),0)</f>
        <v>0</v>
      </c>
      <c r="AB1051" s="322">
        <f>SUM(Calculations[[#This Row],[C3 recyc]:[C3 incin]])</f>
        <v>0</v>
      </c>
      <c r="AC1051" s="334">
        <f>IFERROR((VLOOKUP(Calculations[[#This Row],[Waste type 2]],WasteLandfillEmissions[#All],2,FALSE))*Calculations[[#This Row],[Total Kg]]*VLOOKUP(Calculations[[#This Row],[Waste 1]],WasteScenario[#All],4,FALSE),0)</f>
        <v>0</v>
      </c>
      <c r="AD1051" s="322">
        <f>IFERROR((VLOOKUP(Calculations[[#This Row],[Waste type 2]],WasteLandfillEmissions[#All],3,FALSE))*Calculations[[#This Row],[Total Kg]]*VLOOKUP(Calculations[[#This Row],[Waste 1]],WasteScenario[#All],4,FALSE),0)</f>
        <v>0</v>
      </c>
      <c r="AE1051" s="322">
        <f>SUM(Calculations[[#This Row],[C4 landfill]:[C4 re-use]])</f>
        <v>0</v>
      </c>
      <c r="AF1051" s="322">
        <f>IFERROR(VLOOKUP(Calculations[[#This Row],[Material (choose from dropdown]],MaterialData[#All],8,FALSE),0)</f>
        <v>0</v>
      </c>
      <c r="AG1051" s="322">
        <f>IFERROR(Calculations[[#This Row],[Total Kg]]*Calculations[[#This Row],[Seq factor]],0)</f>
        <v>0</v>
      </c>
      <c r="AI1051" s="322">
        <f>Calculations[[#This Row],[A1-3]]+Calculations[[#This Row],[A4]]+Calculations[[#This Row],[A5]]+Calculations[[#This Row],[B4]]+Calculations[[#This Row],[C2 total]]+Calculations[[#This Row],[C3 total]]+Calculations[[#This Row],[C4 total]]</f>
        <v>0</v>
      </c>
      <c r="AJ1051" s="2">
        <f>IFERROR(VLOOKUP(Calculations[[#This Row],[Material (choose from dropdown]],MaterialData[[#Headers],[#Data]],9,FALSE),0)</f>
        <v>0</v>
      </c>
      <c r="AK1051" s="4">
        <f>IFERROR(VLOOKUP(Calculations[[#This Row],[Material (choose from dropdown]],MaterialData[[#Headers],[#Data]],10,FALSE),0)</f>
        <v>0</v>
      </c>
      <c r="AL1051" s="322">
        <f>IFERROR(Calculations[[#This Row],[Data Quality Score]]*Calculations[[#This Row],[Total Kg]],0)</f>
        <v>0</v>
      </c>
    </row>
    <row r="1052" spans="1:38" x14ac:dyDescent="0.3">
      <c r="A1052" s="6">
        <f>IFERROR(MaterialsBoQ[[#This Row],[Scope Element]],0)</f>
        <v>0</v>
      </c>
      <c r="B1052" t="str">
        <f>IFERROR(MaterialsBoQ[[#This Row],[Material ]],"")</f>
        <v/>
      </c>
      <c r="C1052" t="str">
        <f>IFERROR(MaterialsBoQ[[#This Row],[Unit]],"")</f>
        <v/>
      </c>
      <c r="D1052" s="322">
        <f>IFERROR(MaterialsBoQ[[#This Row],[Number]],0)</f>
        <v>0</v>
      </c>
      <c r="E1052" s="322">
        <f>IFERROR(MaterialsBoQ[[#This Row],[Kg per unit]],0)</f>
        <v>0</v>
      </c>
      <c r="F1052" s="322">
        <f>IFERROR(Calculations[[#This Row],[Number]]*Calculations[[#This Row],[Conversion factor]],0)</f>
        <v>0</v>
      </c>
      <c r="G1052" s="322">
        <f>IFERROR(VLOOKUP(Calculations[[#This Row],[Material (choose from dropdown]],MaterialData[#All],7,FALSE),0)</f>
        <v>0</v>
      </c>
      <c r="H1052" s="322">
        <f>Calculations[[#This Row],[Total Kg]]*Calculations[[#This Row],[Carbon Factor]]</f>
        <v>0</v>
      </c>
      <c r="I1052" t="str">
        <f>IFERROR(VLOOKUP(Calculations[[#This Row],[Material (choose from dropdown]],MaterialData[#All],2,FALSE),"")</f>
        <v/>
      </c>
      <c r="J1052" s="322">
        <f>IFERROR(((VLOOKUP(Calculations[[#This Row],[TransportSource]],TransportDistance[],2,FALSE)*'Stage assumptions'!$C$11)+VLOOKUP(Calculations[[#This Row],[TransportSource]],TransportDistance[],3,FALSE)*'Stage assumptions'!$C$12)*Calculations[[#This Row],[Total Kg]],0)</f>
        <v>0</v>
      </c>
      <c r="K1052">
        <f>IFERROR(VLOOKUP(Calculations[[#This Row],[Material (choose from dropdown]], MaterialData[#All],3, FALSE),0)</f>
        <v>0</v>
      </c>
      <c r="L1052" s="322">
        <f>IFERROR(VLOOKUP(Calculations[[#This Row],[A5type]],A5WastageRate[#All],2,FALSE)*Calculations[[#This Row],[A1-3]],0)</f>
        <v>0</v>
      </c>
      <c r="N1052">
        <f>IFERROR(ROUNDUP(50/VLOOKUP(Calculations[[#This Row],[Scope Element]],B4referenceServiceLife[[Tier 2 element]:[Default Service Life]],2, FALSE)-1,0),0)</f>
        <v>0</v>
      </c>
      <c r="O1052" s="322">
        <f>IFERROR((Calculations[[#This Row],[A1-3]]+Calculations[[#This Row],[A4]]+Calculations[[#This Row],[A5]]+Calculations[[#This Row],[C2 total]]+Calculations[[#This Row],[C3 total]]+Calculations[[#This Row],[C4 total]])*Calculations[[#This Row],[Replacements]],0)</f>
        <v>0</v>
      </c>
      <c r="S1052" t="str">
        <f>IFERROR(VLOOKUP(Calculations[[#This Row],[Material (choose from dropdown]],MaterialData[#All],4,FALSE),"")</f>
        <v/>
      </c>
      <c r="T1052" s="322" cm="1">
        <f t="array" ref="T1052">IFERROR(VLOOKUP(Calculations[[#This Row],[Waste 1]],WasteScenario[#All],2,FALSE)*'Stage assumptions'!$C$225*WasteTransportMethod[Emissions Factor
kgCO2e/kg.km]*Calculations[[#This Row],[Total Kg]],0)</f>
        <v>0</v>
      </c>
      <c r="U1052" s="322" cm="1">
        <f t="array" ref="U1052">IFERROR(VLOOKUP(Calculations[[#This Row],[Waste 1]],WasteScenario[#All],3,FALSE)*'Stage assumptions'!$C$224*WasteTransportMethod[Emissions Factor
kgCO2e/kg.km]*Calculations[[#This Row],[Total Kg]],0)</f>
        <v>0</v>
      </c>
      <c r="V1052" s="322" cm="1">
        <f t="array" ref="V1052">IFERROR(VLOOKUP(Calculations[[#This Row],[Waste 1]],WasteScenario[#All],4,FALSE)*'Stage assumptions'!$C$223*WasteTransportMethod[Emissions Factor
kgCO2e/kg.km]*Calculations[[#This Row],[Total Kg]],0)</f>
        <v>0</v>
      </c>
      <c r="W1052" s="322" cm="1">
        <f t="array" ref="W1052">IFERROR(VLOOKUP(Calculations[[#This Row],[Waste 1]],WasteScenario[#All],5,FALSE)*'Stage assumptions'!$C$226*WasteTransportMethod[Emissions Factor
kgCO2e/kg.km]*Calculations[[#This Row],[Total Kg]],0)</f>
        <v>0</v>
      </c>
      <c r="X1052" s="322">
        <f>SUM(Calculations[[#This Row],[C2 Recycle]:[C2 Reuse]])</f>
        <v>0</v>
      </c>
      <c r="Y1052" t="str">
        <f>IFERROR(VLOOKUP(Calculations[[#This Row],[Material (choose from dropdown]],MaterialData[#All],5,FALSE),"")</f>
        <v/>
      </c>
      <c r="Z1052" s="322">
        <f>IFERROR(((VLOOKUP(Calculations[[#This Row],[Waste type 2]],WasteDisposalEmissions[#All],2,FALSE))*Calculations[[#This Row],[Total Kg]])*VLOOKUP(Calculations[[#This Row],[Waste 1]],WasteScenario[#All],2,FALSE),0)</f>
        <v>0</v>
      </c>
      <c r="AA1052" s="322">
        <f>IFERROR((VLOOKUP(Calculations[[#This Row],[Waste type 2]],WasteDisposalEmissions[#All],3,FALSE))*Calculations[[#This Row],[Total Kg]]*VLOOKUP(Calculations[[#This Row],[Waste 1]],WasteScenario[#All],3,FALSE),0)</f>
        <v>0</v>
      </c>
      <c r="AB1052" s="322">
        <f>SUM(Calculations[[#This Row],[C3 recyc]:[C3 incin]])</f>
        <v>0</v>
      </c>
      <c r="AC1052" s="334">
        <f>IFERROR((VLOOKUP(Calculations[[#This Row],[Waste type 2]],WasteLandfillEmissions[#All],2,FALSE))*Calculations[[#This Row],[Total Kg]]*VLOOKUP(Calculations[[#This Row],[Waste 1]],WasteScenario[#All],4,FALSE),0)</f>
        <v>0</v>
      </c>
      <c r="AD1052" s="322">
        <f>IFERROR((VLOOKUP(Calculations[[#This Row],[Waste type 2]],WasteLandfillEmissions[#All],3,FALSE))*Calculations[[#This Row],[Total Kg]]*VLOOKUP(Calculations[[#This Row],[Waste 1]],WasteScenario[#All],4,FALSE),0)</f>
        <v>0</v>
      </c>
      <c r="AE1052" s="322">
        <f>SUM(Calculations[[#This Row],[C4 landfill]:[C4 re-use]])</f>
        <v>0</v>
      </c>
      <c r="AF1052" s="322">
        <f>IFERROR(VLOOKUP(Calculations[[#This Row],[Material (choose from dropdown]],MaterialData[#All],8,FALSE),0)</f>
        <v>0</v>
      </c>
      <c r="AG1052" s="322">
        <f>IFERROR(Calculations[[#This Row],[Total Kg]]*Calculations[[#This Row],[Seq factor]],0)</f>
        <v>0</v>
      </c>
      <c r="AI1052" s="322">
        <f>Calculations[[#This Row],[A1-3]]+Calculations[[#This Row],[A4]]+Calculations[[#This Row],[A5]]+Calculations[[#This Row],[B4]]+Calculations[[#This Row],[C2 total]]+Calculations[[#This Row],[C3 total]]+Calculations[[#This Row],[C4 total]]</f>
        <v>0</v>
      </c>
      <c r="AJ1052" s="2">
        <f>IFERROR(VLOOKUP(Calculations[[#This Row],[Material (choose from dropdown]],MaterialData[[#Headers],[#Data]],9,FALSE),0)</f>
        <v>0</v>
      </c>
      <c r="AK1052" s="4">
        <f>IFERROR(VLOOKUP(Calculations[[#This Row],[Material (choose from dropdown]],MaterialData[[#Headers],[#Data]],10,FALSE),0)</f>
        <v>0</v>
      </c>
      <c r="AL1052" s="322">
        <f>IFERROR(Calculations[[#This Row],[Data Quality Score]]*Calculations[[#This Row],[Total Kg]],0)</f>
        <v>0</v>
      </c>
    </row>
    <row r="1053" spans="1:38" x14ac:dyDescent="0.3">
      <c r="A1053" s="6">
        <f>IFERROR(MaterialsBoQ[[#This Row],[Scope Element]],0)</f>
        <v>0</v>
      </c>
      <c r="B1053" t="str">
        <f>IFERROR(MaterialsBoQ[[#This Row],[Material ]],"")</f>
        <v/>
      </c>
      <c r="C1053" t="str">
        <f>IFERROR(MaterialsBoQ[[#This Row],[Unit]],"")</f>
        <v/>
      </c>
      <c r="D1053" s="322">
        <f>IFERROR(MaterialsBoQ[[#This Row],[Number]],0)</f>
        <v>0</v>
      </c>
      <c r="E1053" s="322">
        <f>IFERROR(MaterialsBoQ[[#This Row],[Kg per unit]],0)</f>
        <v>0</v>
      </c>
      <c r="F1053" s="322">
        <f>IFERROR(Calculations[[#This Row],[Number]]*Calculations[[#This Row],[Conversion factor]],0)</f>
        <v>0</v>
      </c>
      <c r="G1053" s="322">
        <f>IFERROR(VLOOKUP(Calculations[[#This Row],[Material (choose from dropdown]],MaterialData[#All],7,FALSE),0)</f>
        <v>0</v>
      </c>
      <c r="H1053" s="322">
        <f>Calculations[[#This Row],[Total Kg]]*Calculations[[#This Row],[Carbon Factor]]</f>
        <v>0</v>
      </c>
      <c r="I1053" t="str">
        <f>IFERROR(VLOOKUP(Calculations[[#This Row],[Material (choose from dropdown]],MaterialData[#All],2,FALSE),"")</f>
        <v/>
      </c>
      <c r="J1053" s="322">
        <f>IFERROR(((VLOOKUP(Calculations[[#This Row],[TransportSource]],TransportDistance[],2,FALSE)*'Stage assumptions'!$C$11)+VLOOKUP(Calculations[[#This Row],[TransportSource]],TransportDistance[],3,FALSE)*'Stage assumptions'!$C$12)*Calculations[[#This Row],[Total Kg]],0)</f>
        <v>0</v>
      </c>
      <c r="K1053">
        <f>IFERROR(VLOOKUP(Calculations[[#This Row],[Material (choose from dropdown]], MaterialData[#All],3, FALSE),0)</f>
        <v>0</v>
      </c>
      <c r="L1053" s="322">
        <f>IFERROR(VLOOKUP(Calculations[[#This Row],[A5type]],A5WastageRate[#All],2,FALSE)*Calculations[[#This Row],[A1-3]],0)</f>
        <v>0</v>
      </c>
      <c r="N1053">
        <f>IFERROR(ROUNDUP(50/VLOOKUP(Calculations[[#This Row],[Scope Element]],B4referenceServiceLife[[Tier 2 element]:[Default Service Life]],2, FALSE)-1,0),0)</f>
        <v>0</v>
      </c>
      <c r="O1053" s="322">
        <f>IFERROR((Calculations[[#This Row],[A1-3]]+Calculations[[#This Row],[A4]]+Calculations[[#This Row],[A5]]+Calculations[[#This Row],[C2 total]]+Calculations[[#This Row],[C3 total]]+Calculations[[#This Row],[C4 total]])*Calculations[[#This Row],[Replacements]],0)</f>
        <v>0</v>
      </c>
      <c r="S1053" t="str">
        <f>IFERROR(VLOOKUP(Calculations[[#This Row],[Material (choose from dropdown]],MaterialData[#All],4,FALSE),"")</f>
        <v/>
      </c>
      <c r="T1053" s="322" cm="1">
        <f t="array" ref="T1053">IFERROR(VLOOKUP(Calculations[[#This Row],[Waste 1]],WasteScenario[#All],2,FALSE)*'Stage assumptions'!$C$225*WasteTransportMethod[Emissions Factor
kgCO2e/kg.km]*Calculations[[#This Row],[Total Kg]],0)</f>
        <v>0</v>
      </c>
      <c r="U1053" s="322" cm="1">
        <f t="array" ref="U1053">IFERROR(VLOOKUP(Calculations[[#This Row],[Waste 1]],WasteScenario[#All],3,FALSE)*'Stage assumptions'!$C$224*WasteTransportMethod[Emissions Factor
kgCO2e/kg.km]*Calculations[[#This Row],[Total Kg]],0)</f>
        <v>0</v>
      </c>
      <c r="V1053" s="322" cm="1">
        <f t="array" ref="V1053">IFERROR(VLOOKUP(Calculations[[#This Row],[Waste 1]],WasteScenario[#All],4,FALSE)*'Stage assumptions'!$C$223*WasteTransportMethod[Emissions Factor
kgCO2e/kg.km]*Calculations[[#This Row],[Total Kg]],0)</f>
        <v>0</v>
      </c>
      <c r="W1053" s="322" cm="1">
        <f t="array" ref="W1053">IFERROR(VLOOKUP(Calculations[[#This Row],[Waste 1]],WasteScenario[#All],5,FALSE)*'Stage assumptions'!$C$226*WasteTransportMethod[Emissions Factor
kgCO2e/kg.km]*Calculations[[#This Row],[Total Kg]],0)</f>
        <v>0</v>
      </c>
      <c r="X1053" s="322">
        <f>SUM(Calculations[[#This Row],[C2 Recycle]:[C2 Reuse]])</f>
        <v>0</v>
      </c>
      <c r="Y1053" t="str">
        <f>IFERROR(VLOOKUP(Calculations[[#This Row],[Material (choose from dropdown]],MaterialData[#All],5,FALSE),"")</f>
        <v/>
      </c>
      <c r="Z1053" s="322">
        <f>IFERROR(((VLOOKUP(Calculations[[#This Row],[Waste type 2]],WasteDisposalEmissions[#All],2,FALSE))*Calculations[[#This Row],[Total Kg]])*VLOOKUP(Calculations[[#This Row],[Waste 1]],WasteScenario[#All],2,FALSE),0)</f>
        <v>0</v>
      </c>
      <c r="AA1053" s="322">
        <f>IFERROR((VLOOKUP(Calculations[[#This Row],[Waste type 2]],WasteDisposalEmissions[#All],3,FALSE))*Calculations[[#This Row],[Total Kg]]*VLOOKUP(Calculations[[#This Row],[Waste 1]],WasteScenario[#All],3,FALSE),0)</f>
        <v>0</v>
      </c>
      <c r="AB1053" s="322">
        <f>SUM(Calculations[[#This Row],[C3 recyc]:[C3 incin]])</f>
        <v>0</v>
      </c>
      <c r="AC1053" s="334">
        <f>IFERROR((VLOOKUP(Calculations[[#This Row],[Waste type 2]],WasteLandfillEmissions[#All],2,FALSE))*Calculations[[#This Row],[Total Kg]]*VLOOKUP(Calculations[[#This Row],[Waste 1]],WasteScenario[#All],4,FALSE),0)</f>
        <v>0</v>
      </c>
      <c r="AD1053" s="322">
        <f>IFERROR((VLOOKUP(Calculations[[#This Row],[Waste type 2]],WasteLandfillEmissions[#All],3,FALSE))*Calculations[[#This Row],[Total Kg]]*VLOOKUP(Calculations[[#This Row],[Waste 1]],WasteScenario[#All],4,FALSE),0)</f>
        <v>0</v>
      </c>
      <c r="AE1053" s="322">
        <f>SUM(Calculations[[#This Row],[C4 landfill]:[C4 re-use]])</f>
        <v>0</v>
      </c>
      <c r="AF1053" s="322">
        <f>IFERROR(VLOOKUP(Calculations[[#This Row],[Material (choose from dropdown]],MaterialData[#All],8,FALSE),0)</f>
        <v>0</v>
      </c>
      <c r="AG1053" s="322">
        <f>IFERROR(Calculations[[#This Row],[Total Kg]]*Calculations[[#This Row],[Seq factor]],0)</f>
        <v>0</v>
      </c>
      <c r="AI1053" s="322">
        <f>Calculations[[#This Row],[A1-3]]+Calculations[[#This Row],[A4]]+Calculations[[#This Row],[A5]]+Calculations[[#This Row],[B4]]+Calculations[[#This Row],[C2 total]]+Calculations[[#This Row],[C3 total]]+Calculations[[#This Row],[C4 total]]</f>
        <v>0</v>
      </c>
      <c r="AJ1053" s="2">
        <f>IFERROR(VLOOKUP(Calculations[[#This Row],[Material (choose from dropdown]],MaterialData[[#Headers],[#Data]],9,FALSE),0)</f>
        <v>0</v>
      </c>
      <c r="AK1053" s="4">
        <f>IFERROR(VLOOKUP(Calculations[[#This Row],[Material (choose from dropdown]],MaterialData[[#Headers],[#Data]],10,FALSE),0)</f>
        <v>0</v>
      </c>
      <c r="AL1053" s="322">
        <f>IFERROR(Calculations[[#This Row],[Data Quality Score]]*Calculations[[#This Row],[Total Kg]],0)</f>
        <v>0</v>
      </c>
    </row>
    <row r="1054" spans="1:38" x14ac:dyDescent="0.3">
      <c r="A1054" s="6">
        <f>IFERROR(MaterialsBoQ[[#This Row],[Scope Element]],0)</f>
        <v>0</v>
      </c>
      <c r="B1054" t="str">
        <f>IFERROR(MaterialsBoQ[[#This Row],[Material ]],"")</f>
        <v/>
      </c>
      <c r="C1054" t="str">
        <f>IFERROR(MaterialsBoQ[[#This Row],[Unit]],"")</f>
        <v/>
      </c>
      <c r="D1054" s="322">
        <f>IFERROR(MaterialsBoQ[[#This Row],[Number]],0)</f>
        <v>0</v>
      </c>
      <c r="E1054" s="322">
        <f>IFERROR(MaterialsBoQ[[#This Row],[Kg per unit]],0)</f>
        <v>0</v>
      </c>
      <c r="F1054" s="322">
        <f>IFERROR(Calculations[[#This Row],[Number]]*Calculations[[#This Row],[Conversion factor]],0)</f>
        <v>0</v>
      </c>
      <c r="G1054" s="322">
        <f>IFERROR(VLOOKUP(Calculations[[#This Row],[Material (choose from dropdown]],MaterialData[#All],7,FALSE),0)</f>
        <v>0</v>
      </c>
      <c r="H1054" s="322">
        <f>Calculations[[#This Row],[Total Kg]]*Calculations[[#This Row],[Carbon Factor]]</f>
        <v>0</v>
      </c>
      <c r="I1054" t="str">
        <f>IFERROR(VLOOKUP(Calculations[[#This Row],[Material (choose from dropdown]],MaterialData[#All],2,FALSE),"")</f>
        <v/>
      </c>
      <c r="J1054" s="322">
        <f>IFERROR(((VLOOKUP(Calculations[[#This Row],[TransportSource]],TransportDistance[],2,FALSE)*'Stage assumptions'!$C$11)+VLOOKUP(Calculations[[#This Row],[TransportSource]],TransportDistance[],3,FALSE)*'Stage assumptions'!$C$12)*Calculations[[#This Row],[Total Kg]],0)</f>
        <v>0</v>
      </c>
      <c r="K1054">
        <f>IFERROR(VLOOKUP(Calculations[[#This Row],[Material (choose from dropdown]], MaterialData[#All],3, FALSE),0)</f>
        <v>0</v>
      </c>
      <c r="L1054" s="322">
        <f>IFERROR(VLOOKUP(Calculations[[#This Row],[A5type]],A5WastageRate[#All],2,FALSE)*Calculations[[#This Row],[A1-3]],0)</f>
        <v>0</v>
      </c>
      <c r="N1054">
        <f>IFERROR(ROUNDUP(50/VLOOKUP(Calculations[[#This Row],[Scope Element]],B4referenceServiceLife[[Tier 2 element]:[Default Service Life]],2, FALSE)-1,0),0)</f>
        <v>0</v>
      </c>
      <c r="O1054" s="322">
        <f>IFERROR((Calculations[[#This Row],[A1-3]]+Calculations[[#This Row],[A4]]+Calculations[[#This Row],[A5]]+Calculations[[#This Row],[C2 total]]+Calculations[[#This Row],[C3 total]]+Calculations[[#This Row],[C4 total]])*Calculations[[#This Row],[Replacements]],0)</f>
        <v>0</v>
      </c>
      <c r="S1054" t="str">
        <f>IFERROR(VLOOKUP(Calculations[[#This Row],[Material (choose from dropdown]],MaterialData[#All],4,FALSE),"")</f>
        <v/>
      </c>
      <c r="T1054" s="322" cm="1">
        <f t="array" ref="T1054">IFERROR(VLOOKUP(Calculations[[#This Row],[Waste 1]],WasteScenario[#All],2,FALSE)*'Stage assumptions'!$C$225*WasteTransportMethod[Emissions Factor
kgCO2e/kg.km]*Calculations[[#This Row],[Total Kg]],0)</f>
        <v>0</v>
      </c>
      <c r="U1054" s="322" cm="1">
        <f t="array" ref="U1054">IFERROR(VLOOKUP(Calculations[[#This Row],[Waste 1]],WasteScenario[#All],3,FALSE)*'Stage assumptions'!$C$224*WasteTransportMethod[Emissions Factor
kgCO2e/kg.km]*Calculations[[#This Row],[Total Kg]],0)</f>
        <v>0</v>
      </c>
      <c r="V1054" s="322" cm="1">
        <f t="array" ref="V1054">IFERROR(VLOOKUP(Calculations[[#This Row],[Waste 1]],WasteScenario[#All],4,FALSE)*'Stage assumptions'!$C$223*WasteTransportMethod[Emissions Factor
kgCO2e/kg.km]*Calculations[[#This Row],[Total Kg]],0)</f>
        <v>0</v>
      </c>
      <c r="W1054" s="322" cm="1">
        <f t="array" ref="W1054">IFERROR(VLOOKUP(Calculations[[#This Row],[Waste 1]],WasteScenario[#All],5,FALSE)*'Stage assumptions'!$C$226*WasteTransportMethod[Emissions Factor
kgCO2e/kg.km]*Calculations[[#This Row],[Total Kg]],0)</f>
        <v>0</v>
      </c>
      <c r="X1054" s="322">
        <f>SUM(Calculations[[#This Row],[C2 Recycle]:[C2 Reuse]])</f>
        <v>0</v>
      </c>
      <c r="Y1054" t="str">
        <f>IFERROR(VLOOKUP(Calculations[[#This Row],[Material (choose from dropdown]],MaterialData[#All],5,FALSE),"")</f>
        <v/>
      </c>
      <c r="Z1054" s="322">
        <f>IFERROR(((VLOOKUP(Calculations[[#This Row],[Waste type 2]],WasteDisposalEmissions[#All],2,FALSE))*Calculations[[#This Row],[Total Kg]])*VLOOKUP(Calculations[[#This Row],[Waste 1]],WasteScenario[#All],2,FALSE),0)</f>
        <v>0</v>
      </c>
      <c r="AA1054" s="322">
        <f>IFERROR((VLOOKUP(Calculations[[#This Row],[Waste type 2]],WasteDisposalEmissions[#All],3,FALSE))*Calculations[[#This Row],[Total Kg]]*VLOOKUP(Calculations[[#This Row],[Waste 1]],WasteScenario[#All],3,FALSE),0)</f>
        <v>0</v>
      </c>
      <c r="AB1054" s="322">
        <f>SUM(Calculations[[#This Row],[C3 recyc]:[C3 incin]])</f>
        <v>0</v>
      </c>
      <c r="AC1054" s="334">
        <f>IFERROR((VLOOKUP(Calculations[[#This Row],[Waste type 2]],WasteLandfillEmissions[#All],2,FALSE))*Calculations[[#This Row],[Total Kg]]*VLOOKUP(Calculations[[#This Row],[Waste 1]],WasteScenario[#All],4,FALSE),0)</f>
        <v>0</v>
      </c>
      <c r="AD1054" s="322">
        <f>IFERROR((VLOOKUP(Calculations[[#This Row],[Waste type 2]],WasteLandfillEmissions[#All],3,FALSE))*Calculations[[#This Row],[Total Kg]]*VLOOKUP(Calculations[[#This Row],[Waste 1]],WasteScenario[#All],4,FALSE),0)</f>
        <v>0</v>
      </c>
      <c r="AE1054" s="322">
        <f>SUM(Calculations[[#This Row],[C4 landfill]:[C4 re-use]])</f>
        <v>0</v>
      </c>
      <c r="AF1054" s="322">
        <f>IFERROR(VLOOKUP(Calculations[[#This Row],[Material (choose from dropdown]],MaterialData[#All],8,FALSE),0)</f>
        <v>0</v>
      </c>
      <c r="AG1054" s="322">
        <f>IFERROR(Calculations[[#This Row],[Total Kg]]*Calculations[[#This Row],[Seq factor]],0)</f>
        <v>0</v>
      </c>
      <c r="AI1054" s="322">
        <f>Calculations[[#This Row],[A1-3]]+Calculations[[#This Row],[A4]]+Calculations[[#This Row],[A5]]+Calculations[[#This Row],[B4]]+Calculations[[#This Row],[C2 total]]+Calculations[[#This Row],[C3 total]]+Calculations[[#This Row],[C4 total]]</f>
        <v>0</v>
      </c>
      <c r="AJ1054" s="2">
        <f>IFERROR(VLOOKUP(Calculations[[#This Row],[Material (choose from dropdown]],MaterialData[[#Headers],[#Data]],9,FALSE),0)</f>
        <v>0</v>
      </c>
      <c r="AK1054" s="4">
        <f>IFERROR(VLOOKUP(Calculations[[#This Row],[Material (choose from dropdown]],MaterialData[[#Headers],[#Data]],10,FALSE),0)</f>
        <v>0</v>
      </c>
      <c r="AL1054" s="322">
        <f>IFERROR(Calculations[[#This Row],[Data Quality Score]]*Calculations[[#This Row],[Total Kg]],0)</f>
        <v>0</v>
      </c>
    </row>
    <row r="1055" spans="1:38" x14ac:dyDescent="0.3">
      <c r="A1055" s="6">
        <f>IFERROR(MaterialsBoQ[[#This Row],[Scope Element]],0)</f>
        <v>0</v>
      </c>
      <c r="B1055" t="str">
        <f>IFERROR(MaterialsBoQ[[#This Row],[Material ]],"")</f>
        <v/>
      </c>
      <c r="C1055" t="str">
        <f>IFERROR(MaterialsBoQ[[#This Row],[Unit]],"")</f>
        <v/>
      </c>
      <c r="D1055" s="322">
        <f>IFERROR(MaterialsBoQ[[#This Row],[Number]],0)</f>
        <v>0</v>
      </c>
      <c r="E1055" s="322">
        <f>IFERROR(MaterialsBoQ[[#This Row],[Kg per unit]],0)</f>
        <v>0</v>
      </c>
      <c r="F1055" s="322">
        <f>IFERROR(Calculations[[#This Row],[Number]]*Calculations[[#This Row],[Conversion factor]],0)</f>
        <v>0</v>
      </c>
      <c r="G1055" s="322">
        <f>IFERROR(VLOOKUP(Calculations[[#This Row],[Material (choose from dropdown]],MaterialData[#All],7,FALSE),0)</f>
        <v>0</v>
      </c>
      <c r="H1055" s="322">
        <f>Calculations[[#This Row],[Total Kg]]*Calculations[[#This Row],[Carbon Factor]]</f>
        <v>0</v>
      </c>
      <c r="I1055" t="str">
        <f>IFERROR(VLOOKUP(Calculations[[#This Row],[Material (choose from dropdown]],MaterialData[#All],2,FALSE),"")</f>
        <v/>
      </c>
      <c r="J1055" s="322">
        <f>IFERROR(((VLOOKUP(Calculations[[#This Row],[TransportSource]],TransportDistance[],2,FALSE)*'Stage assumptions'!$C$11)+VLOOKUP(Calculations[[#This Row],[TransportSource]],TransportDistance[],3,FALSE)*'Stage assumptions'!$C$12)*Calculations[[#This Row],[Total Kg]],0)</f>
        <v>0</v>
      </c>
      <c r="K1055">
        <f>IFERROR(VLOOKUP(Calculations[[#This Row],[Material (choose from dropdown]], MaterialData[#All],3, FALSE),0)</f>
        <v>0</v>
      </c>
      <c r="L1055" s="322">
        <f>IFERROR(VLOOKUP(Calculations[[#This Row],[A5type]],A5WastageRate[#All],2,FALSE)*Calculations[[#This Row],[A1-3]],0)</f>
        <v>0</v>
      </c>
      <c r="N1055">
        <f>IFERROR(ROUNDUP(50/VLOOKUP(Calculations[[#This Row],[Scope Element]],B4referenceServiceLife[[Tier 2 element]:[Default Service Life]],2, FALSE)-1,0),0)</f>
        <v>0</v>
      </c>
      <c r="O1055" s="322">
        <f>IFERROR((Calculations[[#This Row],[A1-3]]+Calculations[[#This Row],[A4]]+Calculations[[#This Row],[A5]]+Calculations[[#This Row],[C2 total]]+Calculations[[#This Row],[C3 total]]+Calculations[[#This Row],[C4 total]])*Calculations[[#This Row],[Replacements]],0)</f>
        <v>0</v>
      </c>
      <c r="S1055" t="str">
        <f>IFERROR(VLOOKUP(Calculations[[#This Row],[Material (choose from dropdown]],MaterialData[#All],4,FALSE),"")</f>
        <v/>
      </c>
      <c r="T1055" s="322" cm="1">
        <f t="array" ref="T1055">IFERROR(VLOOKUP(Calculations[[#This Row],[Waste 1]],WasteScenario[#All],2,FALSE)*'Stage assumptions'!$C$225*WasteTransportMethod[Emissions Factor
kgCO2e/kg.km]*Calculations[[#This Row],[Total Kg]],0)</f>
        <v>0</v>
      </c>
      <c r="U1055" s="322" cm="1">
        <f t="array" ref="U1055">IFERROR(VLOOKUP(Calculations[[#This Row],[Waste 1]],WasteScenario[#All],3,FALSE)*'Stage assumptions'!$C$224*WasteTransportMethod[Emissions Factor
kgCO2e/kg.km]*Calculations[[#This Row],[Total Kg]],0)</f>
        <v>0</v>
      </c>
      <c r="V1055" s="322" cm="1">
        <f t="array" ref="V1055">IFERROR(VLOOKUP(Calculations[[#This Row],[Waste 1]],WasteScenario[#All],4,FALSE)*'Stage assumptions'!$C$223*WasteTransportMethod[Emissions Factor
kgCO2e/kg.km]*Calculations[[#This Row],[Total Kg]],0)</f>
        <v>0</v>
      </c>
      <c r="W1055" s="322" cm="1">
        <f t="array" ref="W1055">IFERROR(VLOOKUP(Calculations[[#This Row],[Waste 1]],WasteScenario[#All],5,FALSE)*'Stage assumptions'!$C$226*WasteTransportMethod[Emissions Factor
kgCO2e/kg.km]*Calculations[[#This Row],[Total Kg]],0)</f>
        <v>0</v>
      </c>
      <c r="X1055" s="322">
        <f>SUM(Calculations[[#This Row],[C2 Recycle]:[C2 Reuse]])</f>
        <v>0</v>
      </c>
      <c r="Y1055" t="str">
        <f>IFERROR(VLOOKUP(Calculations[[#This Row],[Material (choose from dropdown]],MaterialData[#All],5,FALSE),"")</f>
        <v/>
      </c>
      <c r="Z1055" s="322">
        <f>IFERROR(((VLOOKUP(Calculations[[#This Row],[Waste type 2]],WasteDisposalEmissions[#All],2,FALSE))*Calculations[[#This Row],[Total Kg]])*VLOOKUP(Calculations[[#This Row],[Waste 1]],WasteScenario[#All],2,FALSE),0)</f>
        <v>0</v>
      </c>
      <c r="AA1055" s="322">
        <f>IFERROR((VLOOKUP(Calculations[[#This Row],[Waste type 2]],WasteDisposalEmissions[#All],3,FALSE))*Calculations[[#This Row],[Total Kg]]*VLOOKUP(Calculations[[#This Row],[Waste 1]],WasteScenario[#All],3,FALSE),0)</f>
        <v>0</v>
      </c>
      <c r="AB1055" s="322">
        <f>SUM(Calculations[[#This Row],[C3 recyc]:[C3 incin]])</f>
        <v>0</v>
      </c>
      <c r="AC1055" s="334">
        <f>IFERROR((VLOOKUP(Calculations[[#This Row],[Waste type 2]],WasteLandfillEmissions[#All],2,FALSE))*Calculations[[#This Row],[Total Kg]]*VLOOKUP(Calculations[[#This Row],[Waste 1]],WasteScenario[#All],4,FALSE),0)</f>
        <v>0</v>
      </c>
      <c r="AD1055" s="322">
        <f>IFERROR((VLOOKUP(Calculations[[#This Row],[Waste type 2]],WasteLandfillEmissions[#All],3,FALSE))*Calculations[[#This Row],[Total Kg]]*VLOOKUP(Calculations[[#This Row],[Waste 1]],WasteScenario[#All],4,FALSE),0)</f>
        <v>0</v>
      </c>
      <c r="AE1055" s="322">
        <f>SUM(Calculations[[#This Row],[C4 landfill]:[C4 re-use]])</f>
        <v>0</v>
      </c>
      <c r="AF1055" s="322">
        <f>IFERROR(VLOOKUP(Calculations[[#This Row],[Material (choose from dropdown]],MaterialData[#All],8,FALSE),0)</f>
        <v>0</v>
      </c>
      <c r="AG1055" s="322">
        <f>IFERROR(Calculations[[#This Row],[Total Kg]]*Calculations[[#This Row],[Seq factor]],0)</f>
        <v>0</v>
      </c>
      <c r="AI1055" s="322">
        <f>Calculations[[#This Row],[A1-3]]+Calculations[[#This Row],[A4]]+Calculations[[#This Row],[A5]]+Calculations[[#This Row],[B4]]+Calculations[[#This Row],[C2 total]]+Calculations[[#This Row],[C3 total]]+Calculations[[#This Row],[C4 total]]</f>
        <v>0</v>
      </c>
      <c r="AJ1055" s="2">
        <f>IFERROR(VLOOKUP(Calculations[[#This Row],[Material (choose from dropdown]],MaterialData[[#Headers],[#Data]],9,FALSE),0)</f>
        <v>0</v>
      </c>
      <c r="AK1055" s="4">
        <f>IFERROR(VLOOKUP(Calculations[[#This Row],[Material (choose from dropdown]],MaterialData[[#Headers],[#Data]],10,FALSE),0)</f>
        <v>0</v>
      </c>
      <c r="AL1055" s="322">
        <f>IFERROR(Calculations[[#This Row],[Data Quality Score]]*Calculations[[#This Row],[Total Kg]],0)</f>
        <v>0</v>
      </c>
    </row>
    <row r="1056" spans="1:38" x14ac:dyDescent="0.3">
      <c r="A1056" s="6">
        <f>IFERROR(MaterialsBoQ[[#This Row],[Scope Element]],0)</f>
        <v>0</v>
      </c>
      <c r="B1056" t="str">
        <f>IFERROR(MaterialsBoQ[[#This Row],[Material ]],"")</f>
        <v/>
      </c>
      <c r="C1056" t="str">
        <f>IFERROR(MaterialsBoQ[[#This Row],[Unit]],"")</f>
        <v/>
      </c>
      <c r="D1056" s="322">
        <f>IFERROR(MaterialsBoQ[[#This Row],[Number]],0)</f>
        <v>0</v>
      </c>
      <c r="E1056" s="322">
        <f>IFERROR(MaterialsBoQ[[#This Row],[Kg per unit]],0)</f>
        <v>0</v>
      </c>
      <c r="F1056" s="322">
        <f>IFERROR(Calculations[[#This Row],[Number]]*Calculations[[#This Row],[Conversion factor]],0)</f>
        <v>0</v>
      </c>
      <c r="G1056" s="322">
        <f>IFERROR(VLOOKUP(Calculations[[#This Row],[Material (choose from dropdown]],MaterialData[#All],7,FALSE),0)</f>
        <v>0</v>
      </c>
      <c r="H1056" s="322">
        <f>Calculations[[#This Row],[Total Kg]]*Calculations[[#This Row],[Carbon Factor]]</f>
        <v>0</v>
      </c>
      <c r="I1056" t="str">
        <f>IFERROR(VLOOKUP(Calculations[[#This Row],[Material (choose from dropdown]],MaterialData[#All],2,FALSE),"")</f>
        <v/>
      </c>
      <c r="J1056" s="322">
        <f>IFERROR(((VLOOKUP(Calculations[[#This Row],[TransportSource]],TransportDistance[],2,FALSE)*'Stage assumptions'!$C$11)+VLOOKUP(Calculations[[#This Row],[TransportSource]],TransportDistance[],3,FALSE)*'Stage assumptions'!$C$12)*Calculations[[#This Row],[Total Kg]],0)</f>
        <v>0</v>
      </c>
      <c r="K1056">
        <f>IFERROR(VLOOKUP(Calculations[[#This Row],[Material (choose from dropdown]], MaterialData[#All],3, FALSE),0)</f>
        <v>0</v>
      </c>
      <c r="L1056" s="322">
        <f>IFERROR(VLOOKUP(Calculations[[#This Row],[A5type]],A5WastageRate[#All],2,FALSE)*Calculations[[#This Row],[A1-3]],0)</f>
        <v>0</v>
      </c>
      <c r="N1056">
        <f>IFERROR(ROUNDUP(50/VLOOKUP(Calculations[[#This Row],[Scope Element]],B4referenceServiceLife[[Tier 2 element]:[Default Service Life]],2, FALSE)-1,0),0)</f>
        <v>0</v>
      </c>
      <c r="O1056" s="322">
        <f>IFERROR((Calculations[[#This Row],[A1-3]]+Calculations[[#This Row],[A4]]+Calculations[[#This Row],[A5]]+Calculations[[#This Row],[C2 total]]+Calculations[[#This Row],[C3 total]]+Calculations[[#This Row],[C4 total]])*Calculations[[#This Row],[Replacements]],0)</f>
        <v>0</v>
      </c>
      <c r="S1056" t="str">
        <f>IFERROR(VLOOKUP(Calculations[[#This Row],[Material (choose from dropdown]],MaterialData[#All],4,FALSE),"")</f>
        <v/>
      </c>
      <c r="T1056" s="322" cm="1">
        <f t="array" ref="T1056">IFERROR(VLOOKUP(Calculations[[#This Row],[Waste 1]],WasteScenario[#All],2,FALSE)*'Stage assumptions'!$C$225*WasteTransportMethod[Emissions Factor
kgCO2e/kg.km]*Calculations[[#This Row],[Total Kg]],0)</f>
        <v>0</v>
      </c>
      <c r="U1056" s="322" cm="1">
        <f t="array" ref="U1056">IFERROR(VLOOKUP(Calculations[[#This Row],[Waste 1]],WasteScenario[#All],3,FALSE)*'Stage assumptions'!$C$224*WasteTransportMethod[Emissions Factor
kgCO2e/kg.km]*Calculations[[#This Row],[Total Kg]],0)</f>
        <v>0</v>
      </c>
      <c r="V1056" s="322" cm="1">
        <f t="array" ref="V1056">IFERROR(VLOOKUP(Calculations[[#This Row],[Waste 1]],WasteScenario[#All],4,FALSE)*'Stage assumptions'!$C$223*WasteTransportMethod[Emissions Factor
kgCO2e/kg.km]*Calculations[[#This Row],[Total Kg]],0)</f>
        <v>0</v>
      </c>
      <c r="W1056" s="322" cm="1">
        <f t="array" ref="W1056">IFERROR(VLOOKUP(Calculations[[#This Row],[Waste 1]],WasteScenario[#All],5,FALSE)*'Stage assumptions'!$C$226*WasteTransportMethod[Emissions Factor
kgCO2e/kg.km]*Calculations[[#This Row],[Total Kg]],0)</f>
        <v>0</v>
      </c>
      <c r="X1056" s="322">
        <f>SUM(Calculations[[#This Row],[C2 Recycle]:[C2 Reuse]])</f>
        <v>0</v>
      </c>
      <c r="Y1056" t="str">
        <f>IFERROR(VLOOKUP(Calculations[[#This Row],[Material (choose from dropdown]],MaterialData[#All],5,FALSE),"")</f>
        <v/>
      </c>
      <c r="Z1056" s="322">
        <f>IFERROR(((VLOOKUP(Calculations[[#This Row],[Waste type 2]],WasteDisposalEmissions[#All],2,FALSE))*Calculations[[#This Row],[Total Kg]])*VLOOKUP(Calculations[[#This Row],[Waste 1]],WasteScenario[#All],2,FALSE),0)</f>
        <v>0</v>
      </c>
      <c r="AA1056" s="322">
        <f>IFERROR((VLOOKUP(Calculations[[#This Row],[Waste type 2]],WasteDisposalEmissions[#All],3,FALSE))*Calculations[[#This Row],[Total Kg]]*VLOOKUP(Calculations[[#This Row],[Waste 1]],WasteScenario[#All],3,FALSE),0)</f>
        <v>0</v>
      </c>
      <c r="AB1056" s="322">
        <f>SUM(Calculations[[#This Row],[C3 recyc]:[C3 incin]])</f>
        <v>0</v>
      </c>
      <c r="AC1056" s="334">
        <f>IFERROR((VLOOKUP(Calculations[[#This Row],[Waste type 2]],WasteLandfillEmissions[#All],2,FALSE))*Calculations[[#This Row],[Total Kg]]*VLOOKUP(Calculations[[#This Row],[Waste 1]],WasteScenario[#All],4,FALSE),0)</f>
        <v>0</v>
      </c>
      <c r="AD1056" s="322">
        <f>IFERROR((VLOOKUP(Calculations[[#This Row],[Waste type 2]],WasteLandfillEmissions[#All],3,FALSE))*Calculations[[#This Row],[Total Kg]]*VLOOKUP(Calculations[[#This Row],[Waste 1]],WasteScenario[#All],4,FALSE),0)</f>
        <v>0</v>
      </c>
      <c r="AE1056" s="322">
        <f>SUM(Calculations[[#This Row],[C4 landfill]:[C4 re-use]])</f>
        <v>0</v>
      </c>
      <c r="AF1056" s="322">
        <f>IFERROR(VLOOKUP(Calculations[[#This Row],[Material (choose from dropdown]],MaterialData[#All],8,FALSE),0)</f>
        <v>0</v>
      </c>
      <c r="AG1056" s="322">
        <f>IFERROR(Calculations[[#This Row],[Total Kg]]*Calculations[[#This Row],[Seq factor]],0)</f>
        <v>0</v>
      </c>
      <c r="AI1056" s="322">
        <f>Calculations[[#This Row],[A1-3]]+Calculations[[#This Row],[A4]]+Calculations[[#This Row],[A5]]+Calculations[[#This Row],[B4]]+Calculations[[#This Row],[C2 total]]+Calculations[[#This Row],[C3 total]]+Calculations[[#This Row],[C4 total]]</f>
        <v>0</v>
      </c>
      <c r="AJ1056" s="2">
        <f>IFERROR(VLOOKUP(Calculations[[#This Row],[Material (choose from dropdown]],MaterialData[[#Headers],[#Data]],9,FALSE),0)</f>
        <v>0</v>
      </c>
      <c r="AK1056" s="4">
        <f>IFERROR(VLOOKUP(Calculations[[#This Row],[Material (choose from dropdown]],MaterialData[[#Headers],[#Data]],10,FALSE),0)</f>
        <v>0</v>
      </c>
      <c r="AL1056" s="322">
        <f>IFERROR(Calculations[[#This Row],[Data Quality Score]]*Calculations[[#This Row],[Total Kg]],0)</f>
        <v>0</v>
      </c>
    </row>
    <row r="1057" spans="1:38" x14ac:dyDescent="0.3">
      <c r="A1057" s="6">
        <f>IFERROR(MaterialsBoQ[[#This Row],[Scope Element]],0)</f>
        <v>0</v>
      </c>
      <c r="B1057" t="str">
        <f>IFERROR(MaterialsBoQ[[#This Row],[Material ]],"")</f>
        <v/>
      </c>
      <c r="C1057" t="str">
        <f>IFERROR(MaterialsBoQ[[#This Row],[Unit]],"")</f>
        <v/>
      </c>
      <c r="D1057" s="322">
        <f>IFERROR(MaterialsBoQ[[#This Row],[Number]],0)</f>
        <v>0</v>
      </c>
      <c r="E1057" s="322">
        <f>IFERROR(MaterialsBoQ[[#This Row],[Kg per unit]],0)</f>
        <v>0</v>
      </c>
      <c r="F1057" s="322">
        <f>IFERROR(Calculations[[#This Row],[Number]]*Calculations[[#This Row],[Conversion factor]],0)</f>
        <v>0</v>
      </c>
      <c r="G1057" s="322">
        <f>IFERROR(VLOOKUP(Calculations[[#This Row],[Material (choose from dropdown]],MaterialData[#All],7,FALSE),0)</f>
        <v>0</v>
      </c>
      <c r="H1057" s="322">
        <f>Calculations[[#This Row],[Total Kg]]*Calculations[[#This Row],[Carbon Factor]]</f>
        <v>0</v>
      </c>
      <c r="I1057" t="str">
        <f>IFERROR(VLOOKUP(Calculations[[#This Row],[Material (choose from dropdown]],MaterialData[#All],2,FALSE),"")</f>
        <v/>
      </c>
      <c r="J1057" s="322">
        <f>IFERROR(((VLOOKUP(Calculations[[#This Row],[TransportSource]],TransportDistance[],2,FALSE)*'Stage assumptions'!$C$11)+VLOOKUP(Calculations[[#This Row],[TransportSource]],TransportDistance[],3,FALSE)*'Stage assumptions'!$C$12)*Calculations[[#This Row],[Total Kg]],0)</f>
        <v>0</v>
      </c>
      <c r="K1057">
        <f>IFERROR(VLOOKUP(Calculations[[#This Row],[Material (choose from dropdown]], MaterialData[#All],3, FALSE),0)</f>
        <v>0</v>
      </c>
      <c r="L1057" s="322">
        <f>IFERROR(VLOOKUP(Calculations[[#This Row],[A5type]],A5WastageRate[#All],2,FALSE)*Calculations[[#This Row],[A1-3]],0)</f>
        <v>0</v>
      </c>
      <c r="N1057">
        <f>IFERROR(ROUNDUP(50/VLOOKUP(Calculations[[#This Row],[Scope Element]],B4referenceServiceLife[[Tier 2 element]:[Default Service Life]],2, FALSE)-1,0),0)</f>
        <v>0</v>
      </c>
      <c r="O1057" s="322">
        <f>IFERROR((Calculations[[#This Row],[A1-3]]+Calculations[[#This Row],[A4]]+Calculations[[#This Row],[A5]]+Calculations[[#This Row],[C2 total]]+Calculations[[#This Row],[C3 total]]+Calculations[[#This Row],[C4 total]])*Calculations[[#This Row],[Replacements]],0)</f>
        <v>0</v>
      </c>
      <c r="S1057" t="str">
        <f>IFERROR(VLOOKUP(Calculations[[#This Row],[Material (choose from dropdown]],MaterialData[#All],4,FALSE),"")</f>
        <v/>
      </c>
      <c r="T1057" s="322" cm="1">
        <f t="array" ref="T1057">IFERROR(VLOOKUP(Calculations[[#This Row],[Waste 1]],WasteScenario[#All],2,FALSE)*'Stage assumptions'!$C$225*WasteTransportMethod[Emissions Factor
kgCO2e/kg.km]*Calculations[[#This Row],[Total Kg]],0)</f>
        <v>0</v>
      </c>
      <c r="U1057" s="322" cm="1">
        <f t="array" ref="U1057">IFERROR(VLOOKUP(Calculations[[#This Row],[Waste 1]],WasteScenario[#All],3,FALSE)*'Stage assumptions'!$C$224*WasteTransportMethod[Emissions Factor
kgCO2e/kg.km]*Calculations[[#This Row],[Total Kg]],0)</f>
        <v>0</v>
      </c>
      <c r="V1057" s="322" cm="1">
        <f t="array" ref="V1057">IFERROR(VLOOKUP(Calculations[[#This Row],[Waste 1]],WasteScenario[#All],4,FALSE)*'Stage assumptions'!$C$223*WasteTransportMethod[Emissions Factor
kgCO2e/kg.km]*Calculations[[#This Row],[Total Kg]],0)</f>
        <v>0</v>
      </c>
      <c r="W1057" s="322" cm="1">
        <f t="array" ref="W1057">IFERROR(VLOOKUP(Calculations[[#This Row],[Waste 1]],WasteScenario[#All],5,FALSE)*'Stage assumptions'!$C$226*WasteTransportMethod[Emissions Factor
kgCO2e/kg.km]*Calculations[[#This Row],[Total Kg]],0)</f>
        <v>0</v>
      </c>
      <c r="X1057" s="322">
        <f>SUM(Calculations[[#This Row],[C2 Recycle]:[C2 Reuse]])</f>
        <v>0</v>
      </c>
      <c r="Y1057" t="str">
        <f>IFERROR(VLOOKUP(Calculations[[#This Row],[Material (choose from dropdown]],MaterialData[#All],5,FALSE),"")</f>
        <v/>
      </c>
      <c r="Z1057" s="322">
        <f>IFERROR(((VLOOKUP(Calculations[[#This Row],[Waste type 2]],WasteDisposalEmissions[#All],2,FALSE))*Calculations[[#This Row],[Total Kg]])*VLOOKUP(Calculations[[#This Row],[Waste 1]],WasteScenario[#All],2,FALSE),0)</f>
        <v>0</v>
      </c>
      <c r="AA1057" s="322">
        <f>IFERROR((VLOOKUP(Calculations[[#This Row],[Waste type 2]],WasteDisposalEmissions[#All],3,FALSE))*Calculations[[#This Row],[Total Kg]]*VLOOKUP(Calculations[[#This Row],[Waste 1]],WasteScenario[#All],3,FALSE),0)</f>
        <v>0</v>
      </c>
      <c r="AB1057" s="322">
        <f>SUM(Calculations[[#This Row],[C3 recyc]:[C3 incin]])</f>
        <v>0</v>
      </c>
      <c r="AC1057" s="334">
        <f>IFERROR((VLOOKUP(Calculations[[#This Row],[Waste type 2]],WasteLandfillEmissions[#All],2,FALSE))*Calculations[[#This Row],[Total Kg]]*VLOOKUP(Calculations[[#This Row],[Waste 1]],WasteScenario[#All],4,FALSE),0)</f>
        <v>0</v>
      </c>
      <c r="AD1057" s="322">
        <f>IFERROR((VLOOKUP(Calculations[[#This Row],[Waste type 2]],WasteLandfillEmissions[#All],3,FALSE))*Calculations[[#This Row],[Total Kg]]*VLOOKUP(Calculations[[#This Row],[Waste 1]],WasteScenario[#All],4,FALSE),0)</f>
        <v>0</v>
      </c>
      <c r="AE1057" s="322">
        <f>SUM(Calculations[[#This Row],[C4 landfill]:[C4 re-use]])</f>
        <v>0</v>
      </c>
      <c r="AF1057" s="322">
        <f>IFERROR(VLOOKUP(Calculations[[#This Row],[Material (choose from dropdown]],MaterialData[#All],8,FALSE),0)</f>
        <v>0</v>
      </c>
      <c r="AG1057" s="322">
        <f>IFERROR(Calculations[[#This Row],[Total Kg]]*Calculations[[#This Row],[Seq factor]],0)</f>
        <v>0</v>
      </c>
      <c r="AI1057" s="322">
        <f>Calculations[[#This Row],[A1-3]]+Calculations[[#This Row],[A4]]+Calculations[[#This Row],[A5]]+Calculations[[#This Row],[B4]]+Calculations[[#This Row],[C2 total]]+Calculations[[#This Row],[C3 total]]+Calculations[[#This Row],[C4 total]]</f>
        <v>0</v>
      </c>
      <c r="AJ1057" s="2">
        <f>IFERROR(VLOOKUP(Calculations[[#This Row],[Material (choose from dropdown]],MaterialData[[#Headers],[#Data]],9,FALSE),0)</f>
        <v>0</v>
      </c>
      <c r="AK1057" s="4">
        <f>IFERROR(VLOOKUP(Calculations[[#This Row],[Material (choose from dropdown]],MaterialData[[#Headers],[#Data]],10,FALSE),0)</f>
        <v>0</v>
      </c>
      <c r="AL1057" s="322">
        <f>IFERROR(Calculations[[#This Row],[Data Quality Score]]*Calculations[[#This Row],[Total Kg]],0)</f>
        <v>0</v>
      </c>
    </row>
    <row r="1058" spans="1:38" x14ac:dyDescent="0.3">
      <c r="A1058" s="6">
        <f>IFERROR(MaterialsBoQ[[#This Row],[Scope Element]],0)</f>
        <v>0</v>
      </c>
      <c r="B1058" t="str">
        <f>IFERROR(MaterialsBoQ[[#This Row],[Material ]],"")</f>
        <v/>
      </c>
      <c r="C1058" t="str">
        <f>IFERROR(MaterialsBoQ[[#This Row],[Unit]],"")</f>
        <v/>
      </c>
      <c r="D1058" s="322">
        <f>IFERROR(MaterialsBoQ[[#This Row],[Number]],0)</f>
        <v>0</v>
      </c>
      <c r="E1058" s="322">
        <f>IFERROR(MaterialsBoQ[[#This Row],[Kg per unit]],0)</f>
        <v>0</v>
      </c>
      <c r="F1058" s="322">
        <f>IFERROR(Calculations[[#This Row],[Number]]*Calculations[[#This Row],[Conversion factor]],0)</f>
        <v>0</v>
      </c>
      <c r="G1058" s="322">
        <f>IFERROR(VLOOKUP(Calculations[[#This Row],[Material (choose from dropdown]],MaterialData[#All],7,FALSE),0)</f>
        <v>0</v>
      </c>
      <c r="H1058" s="322">
        <f>Calculations[[#This Row],[Total Kg]]*Calculations[[#This Row],[Carbon Factor]]</f>
        <v>0</v>
      </c>
      <c r="I1058" t="str">
        <f>IFERROR(VLOOKUP(Calculations[[#This Row],[Material (choose from dropdown]],MaterialData[#All],2,FALSE),"")</f>
        <v/>
      </c>
      <c r="J1058" s="322">
        <f>IFERROR(((VLOOKUP(Calculations[[#This Row],[TransportSource]],TransportDistance[],2,FALSE)*'Stage assumptions'!$C$11)+VLOOKUP(Calculations[[#This Row],[TransportSource]],TransportDistance[],3,FALSE)*'Stage assumptions'!$C$12)*Calculations[[#This Row],[Total Kg]],0)</f>
        <v>0</v>
      </c>
      <c r="K1058">
        <f>IFERROR(VLOOKUP(Calculations[[#This Row],[Material (choose from dropdown]], MaterialData[#All],3, FALSE),0)</f>
        <v>0</v>
      </c>
      <c r="L1058" s="322">
        <f>IFERROR(VLOOKUP(Calculations[[#This Row],[A5type]],A5WastageRate[#All],2,FALSE)*Calculations[[#This Row],[A1-3]],0)</f>
        <v>0</v>
      </c>
      <c r="N1058">
        <f>IFERROR(ROUNDUP(50/VLOOKUP(Calculations[[#This Row],[Scope Element]],B4referenceServiceLife[[Tier 2 element]:[Default Service Life]],2, FALSE)-1,0),0)</f>
        <v>0</v>
      </c>
      <c r="O1058" s="322">
        <f>IFERROR((Calculations[[#This Row],[A1-3]]+Calculations[[#This Row],[A4]]+Calculations[[#This Row],[A5]]+Calculations[[#This Row],[C2 total]]+Calculations[[#This Row],[C3 total]]+Calculations[[#This Row],[C4 total]])*Calculations[[#This Row],[Replacements]],0)</f>
        <v>0</v>
      </c>
      <c r="S1058" t="str">
        <f>IFERROR(VLOOKUP(Calculations[[#This Row],[Material (choose from dropdown]],MaterialData[#All],4,FALSE),"")</f>
        <v/>
      </c>
      <c r="T1058" s="322" cm="1">
        <f t="array" ref="T1058">IFERROR(VLOOKUP(Calculations[[#This Row],[Waste 1]],WasteScenario[#All],2,FALSE)*'Stage assumptions'!$C$225*WasteTransportMethod[Emissions Factor
kgCO2e/kg.km]*Calculations[[#This Row],[Total Kg]],0)</f>
        <v>0</v>
      </c>
      <c r="U1058" s="322" cm="1">
        <f t="array" ref="U1058">IFERROR(VLOOKUP(Calculations[[#This Row],[Waste 1]],WasteScenario[#All],3,FALSE)*'Stage assumptions'!$C$224*WasteTransportMethod[Emissions Factor
kgCO2e/kg.km]*Calculations[[#This Row],[Total Kg]],0)</f>
        <v>0</v>
      </c>
      <c r="V1058" s="322" cm="1">
        <f t="array" ref="V1058">IFERROR(VLOOKUP(Calculations[[#This Row],[Waste 1]],WasteScenario[#All],4,FALSE)*'Stage assumptions'!$C$223*WasteTransportMethod[Emissions Factor
kgCO2e/kg.km]*Calculations[[#This Row],[Total Kg]],0)</f>
        <v>0</v>
      </c>
      <c r="W1058" s="322" cm="1">
        <f t="array" ref="W1058">IFERROR(VLOOKUP(Calculations[[#This Row],[Waste 1]],WasteScenario[#All],5,FALSE)*'Stage assumptions'!$C$226*WasteTransportMethod[Emissions Factor
kgCO2e/kg.km]*Calculations[[#This Row],[Total Kg]],0)</f>
        <v>0</v>
      </c>
      <c r="X1058" s="322">
        <f>SUM(Calculations[[#This Row],[C2 Recycle]:[C2 Reuse]])</f>
        <v>0</v>
      </c>
      <c r="Y1058" t="str">
        <f>IFERROR(VLOOKUP(Calculations[[#This Row],[Material (choose from dropdown]],MaterialData[#All],5,FALSE),"")</f>
        <v/>
      </c>
      <c r="Z1058" s="322">
        <f>IFERROR(((VLOOKUP(Calculations[[#This Row],[Waste type 2]],WasteDisposalEmissions[#All],2,FALSE))*Calculations[[#This Row],[Total Kg]])*VLOOKUP(Calculations[[#This Row],[Waste 1]],WasteScenario[#All],2,FALSE),0)</f>
        <v>0</v>
      </c>
      <c r="AA1058" s="322">
        <f>IFERROR((VLOOKUP(Calculations[[#This Row],[Waste type 2]],WasteDisposalEmissions[#All],3,FALSE))*Calculations[[#This Row],[Total Kg]]*VLOOKUP(Calculations[[#This Row],[Waste 1]],WasteScenario[#All],3,FALSE),0)</f>
        <v>0</v>
      </c>
      <c r="AB1058" s="322">
        <f>SUM(Calculations[[#This Row],[C3 recyc]:[C3 incin]])</f>
        <v>0</v>
      </c>
      <c r="AC1058" s="334">
        <f>IFERROR((VLOOKUP(Calculations[[#This Row],[Waste type 2]],WasteLandfillEmissions[#All],2,FALSE))*Calculations[[#This Row],[Total Kg]]*VLOOKUP(Calculations[[#This Row],[Waste 1]],WasteScenario[#All],4,FALSE),0)</f>
        <v>0</v>
      </c>
      <c r="AD1058" s="322">
        <f>IFERROR((VLOOKUP(Calculations[[#This Row],[Waste type 2]],WasteLandfillEmissions[#All],3,FALSE))*Calculations[[#This Row],[Total Kg]]*VLOOKUP(Calculations[[#This Row],[Waste 1]],WasteScenario[#All],4,FALSE),0)</f>
        <v>0</v>
      </c>
      <c r="AE1058" s="322">
        <f>SUM(Calculations[[#This Row],[C4 landfill]:[C4 re-use]])</f>
        <v>0</v>
      </c>
      <c r="AF1058" s="322">
        <f>IFERROR(VLOOKUP(Calculations[[#This Row],[Material (choose from dropdown]],MaterialData[#All],8,FALSE),0)</f>
        <v>0</v>
      </c>
      <c r="AG1058" s="322">
        <f>IFERROR(Calculations[[#This Row],[Total Kg]]*Calculations[[#This Row],[Seq factor]],0)</f>
        <v>0</v>
      </c>
      <c r="AI1058" s="322">
        <f>Calculations[[#This Row],[A1-3]]+Calculations[[#This Row],[A4]]+Calculations[[#This Row],[A5]]+Calculations[[#This Row],[B4]]+Calculations[[#This Row],[C2 total]]+Calculations[[#This Row],[C3 total]]+Calculations[[#This Row],[C4 total]]</f>
        <v>0</v>
      </c>
      <c r="AJ1058" s="2">
        <f>IFERROR(VLOOKUP(Calculations[[#This Row],[Material (choose from dropdown]],MaterialData[[#Headers],[#Data]],9,FALSE),0)</f>
        <v>0</v>
      </c>
      <c r="AK1058" s="4">
        <f>IFERROR(VLOOKUP(Calculations[[#This Row],[Material (choose from dropdown]],MaterialData[[#Headers],[#Data]],10,FALSE),0)</f>
        <v>0</v>
      </c>
      <c r="AL1058" s="322">
        <f>IFERROR(Calculations[[#This Row],[Data Quality Score]]*Calculations[[#This Row],[Total Kg]],0)</f>
        <v>0</v>
      </c>
    </row>
    <row r="1059" spans="1:38" x14ac:dyDescent="0.3">
      <c r="A1059" s="6">
        <f>IFERROR(MaterialsBoQ[[#This Row],[Scope Element]],0)</f>
        <v>0</v>
      </c>
      <c r="B1059" t="str">
        <f>IFERROR(MaterialsBoQ[[#This Row],[Material ]],"")</f>
        <v/>
      </c>
      <c r="C1059" t="str">
        <f>IFERROR(MaterialsBoQ[[#This Row],[Unit]],"")</f>
        <v/>
      </c>
      <c r="D1059" s="322">
        <f>IFERROR(MaterialsBoQ[[#This Row],[Number]],0)</f>
        <v>0</v>
      </c>
      <c r="E1059" s="322">
        <f>IFERROR(MaterialsBoQ[[#This Row],[Kg per unit]],0)</f>
        <v>0</v>
      </c>
      <c r="F1059" s="322">
        <f>IFERROR(Calculations[[#This Row],[Number]]*Calculations[[#This Row],[Conversion factor]],0)</f>
        <v>0</v>
      </c>
      <c r="G1059" s="322">
        <f>IFERROR(VLOOKUP(Calculations[[#This Row],[Material (choose from dropdown]],MaterialData[#All],7,FALSE),0)</f>
        <v>0</v>
      </c>
      <c r="H1059" s="322">
        <f>Calculations[[#This Row],[Total Kg]]*Calculations[[#This Row],[Carbon Factor]]</f>
        <v>0</v>
      </c>
      <c r="I1059" t="str">
        <f>IFERROR(VLOOKUP(Calculations[[#This Row],[Material (choose from dropdown]],MaterialData[#All],2,FALSE),"")</f>
        <v/>
      </c>
      <c r="J1059" s="322">
        <f>IFERROR(((VLOOKUP(Calculations[[#This Row],[TransportSource]],TransportDistance[],2,FALSE)*'Stage assumptions'!$C$11)+VLOOKUP(Calculations[[#This Row],[TransportSource]],TransportDistance[],3,FALSE)*'Stage assumptions'!$C$12)*Calculations[[#This Row],[Total Kg]],0)</f>
        <v>0</v>
      </c>
      <c r="K1059">
        <f>IFERROR(VLOOKUP(Calculations[[#This Row],[Material (choose from dropdown]], MaterialData[#All],3, FALSE),0)</f>
        <v>0</v>
      </c>
      <c r="L1059" s="322">
        <f>IFERROR(VLOOKUP(Calculations[[#This Row],[A5type]],A5WastageRate[#All],2,FALSE)*Calculations[[#This Row],[A1-3]],0)</f>
        <v>0</v>
      </c>
      <c r="N1059">
        <f>IFERROR(ROUNDUP(50/VLOOKUP(Calculations[[#This Row],[Scope Element]],B4referenceServiceLife[[Tier 2 element]:[Default Service Life]],2, FALSE)-1,0),0)</f>
        <v>0</v>
      </c>
      <c r="O1059" s="322">
        <f>IFERROR((Calculations[[#This Row],[A1-3]]+Calculations[[#This Row],[A4]]+Calculations[[#This Row],[A5]]+Calculations[[#This Row],[C2 total]]+Calculations[[#This Row],[C3 total]]+Calculations[[#This Row],[C4 total]])*Calculations[[#This Row],[Replacements]],0)</f>
        <v>0</v>
      </c>
      <c r="S1059" t="str">
        <f>IFERROR(VLOOKUP(Calculations[[#This Row],[Material (choose from dropdown]],MaterialData[#All],4,FALSE),"")</f>
        <v/>
      </c>
      <c r="T1059" s="322" cm="1">
        <f t="array" ref="T1059">IFERROR(VLOOKUP(Calculations[[#This Row],[Waste 1]],WasteScenario[#All],2,FALSE)*'Stage assumptions'!$C$225*WasteTransportMethod[Emissions Factor
kgCO2e/kg.km]*Calculations[[#This Row],[Total Kg]],0)</f>
        <v>0</v>
      </c>
      <c r="U1059" s="322" cm="1">
        <f t="array" ref="U1059">IFERROR(VLOOKUP(Calculations[[#This Row],[Waste 1]],WasteScenario[#All],3,FALSE)*'Stage assumptions'!$C$224*WasteTransportMethod[Emissions Factor
kgCO2e/kg.km]*Calculations[[#This Row],[Total Kg]],0)</f>
        <v>0</v>
      </c>
      <c r="V1059" s="322" cm="1">
        <f t="array" ref="V1059">IFERROR(VLOOKUP(Calculations[[#This Row],[Waste 1]],WasteScenario[#All],4,FALSE)*'Stage assumptions'!$C$223*WasteTransportMethod[Emissions Factor
kgCO2e/kg.km]*Calculations[[#This Row],[Total Kg]],0)</f>
        <v>0</v>
      </c>
      <c r="W1059" s="322" cm="1">
        <f t="array" ref="W1059">IFERROR(VLOOKUP(Calculations[[#This Row],[Waste 1]],WasteScenario[#All],5,FALSE)*'Stage assumptions'!$C$226*WasteTransportMethod[Emissions Factor
kgCO2e/kg.km]*Calculations[[#This Row],[Total Kg]],0)</f>
        <v>0</v>
      </c>
      <c r="X1059" s="322">
        <f>SUM(Calculations[[#This Row],[C2 Recycle]:[C2 Reuse]])</f>
        <v>0</v>
      </c>
      <c r="Y1059" t="str">
        <f>IFERROR(VLOOKUP(Calculations[[#This Row],[Material (choose from dropdown]],MaterialData[#All],5,FALSE),"")</f>
        <v/>
      </c>
      <c r="Z1059" s="322">
        <f>IFERROR(((VLOOKUP(Calculations[[#This Row],[Waste type 2]],WasteDisposalEmissions[#All],2,FALSE))*Calculations[[#This Row],[Total Kg]])*VLOOKUP(Calculations[[#This Row],[Waste 1]],WasteScenario[#All],2,FALSE),0)</f>
        <v>0</v>
      </c>
      <c r="AA1059" s="322">
        <f>IFERROR((VLOOKUP(Calculations[[#This Row],[Waste type 2]],WasteDisposalEmissions[#All],3,FALSE))*Calculations[[#This Row],[Total Kg]]*VLOOKUP(Calculations[[#This Row],[Waste 1]],WasteScenario[#All],3,FALSE),0)</f>
        <v>0</v>
      </c>
      <c r="AB1059" s="322">
        <f>SUM(Calculations[[#This Row],[C3 recyc]:[C3 incin]])</f>
        <v>0</v>
      </c>
      <c r="AC1059" s="334">
        <f>IFERROR((VLOOKUP(Calculations[[#This Row],[Waste type 2]],WasteLandfillEmissions[#All],2,FALSE))*Calculations[[#This Row],[Total Kg]]*VLOOKUP(Calculations[[#This Row],[Waste 1]],WasteScenario[#All],4,FALSE),0)</f>
        <v>0</v>
      </c>
      <c r="AD1059" s="322">
        <f>IFERROR((VLOOKUP(Calculations[[#This Row],[Waste type 2]],WasteLandfillEmissions[#All],3,FALSE))*Calculations[[#This Row],[Total Kg]]*VLOOKUP(Calculations[[#This Row],[Waste 1]],WasteScenario[#All],4,FALSE),0)</f>
        <v>0</v>
      </c>
      <c r="AE1059" s="322">
        <f>SUM(Calculations[[#This Row],[C4 landfill]:[C4 re-use]])</f>
        <v>0</v>
      </c>
      <c r="AF1059" s="322">
        <f>IFERROR(VLOOKUP(Calculations[[#This Row],[Material (choose from dropdown]],MaterialData[#All],8,FALSE),0)</f>
        <v>0</v>
      </c>
      <c r="AG1059" s="322">
        <f>IFERROR(Calculations[[#This Row],[Total Kg]]*Calculations[[#This Row],[Seq factor]],0)</f>
        <v>0</v>
      </c>
      <c r="AI1059" s="322">
        <f>Calculations[[#This Row],[A1-3]]+Calculations[[#This Row],[A4]]+Calculations[[#This Row],[A5]]+Calculations[[#This Row],[B4]]+Calculations[[#This Row],[C2 total]]+Calculations[[#This Row],[C3 total]]+Calculations[[#This Row],[C4 total]]</f>
        <v>0</v>
      </c>
      <c r="AJ1059" s="2">
        <f>IFERROR(VLOOKUP(Calculations[[#This Row],[Material (choose from dropdown]],MaterialData[[#Headers],[#Data]],9,FALSE),0)</f>
        <v>0</v>
      </c>
      <c r="AK1059" s="4">
        <f>IFERROR(VLOOKUP(Calculations[[#This Row],[Material (choose from dropdown]],MaterialData[[#Headers],[#Data]],10,FALSE),0)</f>
        <v>0</v>
      </c>
      <c r="AL1059" s="322">
        <f>IFERROR(Calculations[[#This Row],[Data Quality Score]]*Calculations[[#This Row],[Total Kg]],0)</f>
        <v>0</v>
      </c>
    </row>
    <row r="1060" spans="1:38" x14ac:dyDescent="0.3">
      <c r="A1060" s="6">
        <f>IFERROR(MaterialsBoQ[[#This Row],[Scope Element]],0)</f>
        <v>0</v>
      </c>
      <c r="B1060" t="str">
        <f>IFERROR(MaterialsBoQ[[#This Row],[Material ]],"")</f>
        <v/>
      </c>
      <c r="C1060" t="str">
        <f>IFERROR(MaterialsBoQ[[#This Row],[Unit]],"")</f>
        <v/>
      </c>
      <c r="D1060" s="322">
        <f>IFERROR(MaterialsBoQ[[#This Row],[Number]],0)</f>
        <v>0</v>
      </c>
      <c r="E1060" s="322">
        <f>IFERROR(MaterialsBoQ[[#This Row],[Kg per unit]],0)</f>
        <v>0</v>
      </c>
      <c r="F1060" s="322">
        <f>IFERROR(Calculations[[#This Row],[Number]]*Calculations[[#This Row],[Conversion factor]],0)</f>
        <v>0</v>
      </c>
      <c r="G1060" s="322">
        <f>IFERROR(VLOOKUP(Calculations[[#This Row],[Material (choose from dropdown]],MaterialData[#All],7,FALSE),0)</f>
        <v>0</v>
      </c>
      <c r="H1060" s="322">
        <f>Calculations[[#This Row],[Total Kg]]*Calculations[[#This Row],[Carbon Factor]]</f>
        <v>0</v>
      </c>
      <c r="I1060" t="str">
        <f>IFERROR(VLOOKUP(Calculations[[#This Row],[Material (choose from dropdown]],MaterialData[#All],2,FALSE),"")</f>
        <v/>
      </c>
      <c r="J1060" s="322">
        <f>IFERROR(((VLOOKUP(Calculations[[#This Row],[TransportSource]],TransportDistance[],2,FALSE)*'Stage assumptions'!$C$11)+VLOOKUP(Calculations[[#This Row],[TransportSource]],TransportDistance[],3,FALSE)*'Stage assumptions'!$C$12)*Calculations[[#This Row],[Total Kg]],0)</f>
        <v>0</v>
      </c>
      <c r="K1060">
        <f>IFERROR(VLOOKUP(Calculations[[#This Row],[Material (choose from dropdown]], MaterialData[#All],3, FALSE),0)</f>
        <v>0</v>
      </c>
      <c r="L1060" s="322">
        <f>IFERROR(VLOOKUP(Calculations[[#This Row],[A5type]],A5WastageRate[#All],2,FALSE)*Calculations[[#This Row],[A1-3]],0)</f>
        <v>0</v>
      </c>
      <c r="N1060">
        <f>IFERROR(ROUNDUP(50/VLOOKUP(Calculations[[#This Row],[Scope Element]],B4referenceServiceLife[[Tier 2 element]:[Default Service Life]],2, FALSE)-1,0),0)</f>
        <v>0</v>
      </c>
      <c r="O1060" s="322">
        <f>IFERROR((Calculations[[#This Row],[A1-3]]+Calculations[[#This Row],[A4]]+Calculations[[#This Row],[A5]]+Calculations[[#This Row],[C2 total]]+Calculations[[#This Row],[C3 total]]+Calculations[[#This Row],[C4 total]])*Calculations[[#This Row],[Replacements]],0)</f>
        <v>0</v>
      </c>
      <c r="S1060" t="str">
        <f>IFERROR(VLOOKUP(Calculations[[#This Row],[Material (choose from dropdown]],MaterialData[#All],4,FALSE),"")</f>
        <v/>
      </c>
      <c r="T1060" s="322" cm="1">
        <f t="array" ref="T1060">IFERROR(VLOOKUP(Calculations[[#This Row],[Waste 1]],WasteScenario[#All],2,FALSE)*'Stage assumptions'!$C$225*WasteTransportMethod[Emissions Factor
kgCO2e/kg.km]*Calculations[[#This Row],[Total Kg]],0)</f>
        <v>0</v>
      </c>
      <c r="U1060" s="322" cm="1">
        <f t="array" ref="U1060">IFERROR(VLOOKUP(Calculations[[#This Row],[Waste 1]],WasteScenario[#All],3,FALSE)*'Stage assumptions'!$C$224*WasteTransportMethod[Emissions Factor
kgCO2e/kg.km]*Calculations[[#This Row],[Total Kg]],0)</f>
        <v>0</v>
      </c>
      <c r="V1060" s="322" cm="1">
        <f t="array" ref="V1060">IFERROR(VLOOKUP(Calculations[[#This Row],[Waste 1]],WasteScenario[#All],4,FALSE)*'Stage assumptions'!$C$223*WasteTransportMethod[Emissions Factor
kgCO2e/kg.km]*Calculations[[#This Row],[Total Kg]],0)</f>
        <v>0</v>
      </c>
      <c r="W1060" s="322" cm="1">
        <f t="array" ref="W1060">IFERROR(VLOOKUP(Calculations[[#This Row],[Waste 1]],WasteScenario[#All],5,FALSE)*'Stage assumptions'!$C$226*WasteTransportMethod[Emissions Factor
kgCO2e/kg.km]*Calculations[[#This Row],[Total Kg]],0)</f>
        <v>0</v>
      </c>
      <c r="X1060" s="322">
        <f>SUM(Calculations[[#This Row],[C2 Recycle]:[C2 Reuse]])</f>
        <v>0</v>
      </c>
      <c r="Y1060" t="str">
        <f>IFERROR(VLOOKUP(Calculations[[#This Row],[Material (choose from dropdown]],MaterialData[#All],5,FALSE),"")</f>
        <v/>
      </c>
      <c r="Z1060" s="322">
        <f>IFERROR(((VLOOKUP(Calculations[[#This Row],[Waste type 2]],WasteDisposalEmissions[#All],2,FALSE))*Calculations[[#This Row],[Total Kg]])*VLOOKUP(Calculations[[#This Row],[Waste 1]],WasteScenario[#All],2,FALSE),0)</f>
        <v>0</v>
      </c>
      <c r="AA1060" s="322">
        <f>IFERROR((VLOOKUP(Calculations[[#This Row],[Waste type 2]],WasteDisposalEmissions[#All],3,FALSE))*Calculations[[#This Row],[Total Kg]]*VLOOKUP(Calculations[[#This Row],[Waste 1]],WasteScenario[#All],3,FALSE),0)</f>
        <v>0</v>
      </c>
      <c r="AB1060" s="322">
        <f>SUM(Calculations[[#This Row],[C3 recyc]:[C3 incin]])</f>
        <v>0</v>
      </c>
      <c r="AC1060" s="334">
        <f>IFERROR((VLOOKUP(Calculations[[#This Row],[Waste type 2]],WasteLandfillEmissions[#All],2,FALSE))*Calculations[[#This Row],[Total Kg]]*VLOOKUP(Calculations[[#This Row],[Waste 1]],WasteScenario[#All],4,FALSE),0)</f>
        <v>0</v>
      </c>
      <c r="AD1060" s="322">
        <f>IFERROR((VLOOKUP(Calculations[[#This Row],[Waste type 2]],WasteLandfillEmissions[#All],3,FALSE))*Calculations[[#This Row],[Total Kg]]*VLOOKUP(Calculations[[#This Row],[Waste 1]],WasteScenario[#All],4,FALSE),0)</f>
        <v>0</v>
      </c>
      <c r="AE1060" s="322">
        <f>SUM(Calculations[[#This Row],[C4 landfill]:[C4 re-use]])</f>
        <v>0</v>
      </c>
      <c r="AF1060" s="322">
        <f>IFERROR(VLOOKUP(Calculations[[#This Row],[Material (choose from dropdown]],MaterialData[#All],8,FALSE),0)</f>
        <v>0</v>
      </c>
      <c r="AG1060" s="322">
        <f>IFERROR(Calculations[[#This Row],[Total Kg]]*Calculations[[#This Row],[Seq factor]],0)</f>
        <v>0</v>
      </c>
      <c r="AI1060" s="322">
        <f>Calculations[[#This Row],[A1-3]]+Calculations[[#This Row],[A4]]+Calculations[[#This Row],[A5]]+Calculations[[#This Row],[B4]]+Calculations[[#This Row],[C2 total]]+Calculations[[#This Row],[C3 total]]+Calculations[[#This Row],[C4 total]]</f>
        <v>0</v>
      </c>
      <c r="AJ1060" s="2">
        <f>IFERROR(VLOOKUP(Calculations[[#This Row],[Material (choose from dropdown]],MaterialData[[#Headers],[#Data]],9,FALSE),0)</f>
        <v>0</v>
      </c>
      <c r="AK1060" s="4">
        <f>IFERROR(VLOOKUP(Calculations[[#This Row],[Material (choose from dropdown]],MaterialData[[#Headers],[#Data]],10,FALSE),0)</f>
        <v>0</v>
      </c>
      <c r="AL1060" s="322">
        <f>IFERROR(Calculations[[#This Row],[Data Quality Score]]*Calculations[[#This Row],[Total Kg]],0)</f>
        <v>0</v>
      </c>
    </row>
    <row r="1061" spans="1:38" x14ac:dyDescent="0.3">
      <c r="A1061" s="6">
        <f>IFERROR(MaterialsBoQ[[#This Row],[Scope Element]],0)</f>
        <v>0</v>
      </c>
      <c r="B1061" t="str">
        <f>IFERROR(MaterialsBoQ[[#This Row],[Material ]],"")</f>
        <v/>
      </c>
      <c r="C1061" t="str">
        <f>IFERROR(MaterialsBoQ[[#This Row],[Unit]],"")</f>
        <v/>
      </c>
      <c r="D1061" s="322">
        <f>IFERROR(MaterialsBoQ[[#This Row],[Number]],0)</f>
        <v>0</v>
      </c>
      <c r="E1061" s="322">
        <f>IFERROR(MaterialsBoQ[[#This Row],[Kg per unit]],0)</f>
        <v>0</v>
      </c>
      <c r="F1061" s="322">
        <f>IFERROR(Calculations[[#This Row],[Number]]*Calculations[[#This Row],[Conversion factor]],0)</f>
        <v>0</v>
      </c>
      <c r="G1061" s="322">
        <f>IFERROR(VLOOKUP(Calculations[[#This Row],[Material (choose from dropdown]],MaterialData[#All],7,FALSE),0)</f>
        <v>0</v>
      </c>
      <c r="H1061" s="322">
        <f>Calculations[[#This Row],[Total Kg]]*Calculations[[#This Row],[Carbon Factor]]</f>
        <v>0</v>
      </c>
      <c r="I1061" t="str">
        <f>IFERROR(VLOOKUP(Calculations[[#This Row],[Material (choose from dropdown]],MaterialData[#All],2,FALSE),"")</f>
        <v/>
      </c>
      <c r="J1061" s="322">
        <f>IFERROR(((VLOOKUP(Calculations[[#This Row],[TransportSource]],TransportDistance[],2,FALSE)*'Stage assumptions'!$C$11)+VLOOKUP(Calculations[[#This Row],[TransportSource]],TransportDistance[],3,FALSE)*'Stage assumptions'!$C$12)*Calculations[[#This Row],[Total Kg]],0)</f>
        <v>0</v>
      </c>
      <c r="K1061">
        <f>IFERROR(VLOOKUP(Calculations[[#This Row],[Material (choose from dropdown]], MaterialData[#All],3, FALSE),0)</f>
        <v>0</v>
      </c>
      <c r="L1061" s="322">
        <f>IFERROR(VLOOKUP(Calculations[[#This Row],[A5type]],A5WastageRate[#All],2,FALSE)*Calculations[[#This Row],[A1-3]],0)</f>
        <v>0</v>
      </c>
      <c r="N1061">
        <f>IFERROR(ROUNDUP(50/VLOOKUP(Calculations[[#This Row],[Scope Element]],B4referenceServiceLife[[Tier 2 element]:[Default Service Life]],2, FALSE)-1,0),0)</f>
        <v>0</v>
      </c>
      <c r="O1061" s="322">
        <f>IFERROR((Calculations[[#This Row],[A1-3]]+Calculations[[#This Row],[A4]]+Calculations[[#This Row],[A5]]+Calculations[[#This Row],[C2 total]]+Calculations[[#This Row],[C3 total]]+Calculations[[#This Row],[C4 total]])*Calculations[[#This Row],[Replacements]],0)</f>
        <v>0</v>
      </c>
      <c r="S1061" t="str">
        <f>IFERROR(VLOOKUP(Calculations[[#This Row],[Material (choose from dropdown]],MaterialData[#All],4,FALSE),"")</f>
        <v/>
      </c>
      <c r="T1061" s="322" cm="1">
        <f t="array" ref="T1061">IFERROR(VLOOKUP(Calculations[[#This Row],[Waste 1]],WasteScenario[#All],2,FALSE)*'Stage assumptions'!$C$225*WasteTransportMethod[Emissions Factor
kgCO2e/kg.km]*Calculations[[#This Row],[Total Kg]],0)</f>
        <v>0</v>
      </c>
      <c r="U1061" s="322" cm="1">
        <f t="array" ref="U1061">IFERROR(VLOOKUP(Calculations[[#This Row],[Waste 1]],WasteScenario[#All],3,FALSE)*'Stage assumptions'!$C$224*WasteTransportMethod[Emissions Factor
kgCO2e/kg.km]*Calculations[[#This Row],[Total Kg]],0)</f>
        <v>0</v>
      </c>
      <c r="V1061" s="322" cm="1">
        <f t="array" ref="V1061">IFERROR(VLOOKUP(Calculations[[#This Row],[Waste 1]],WasteScenario[#All],4,FALSE)*'Stage assumptions'!$C$223*WasteTransportMethod[Emissions Factor
kgCO2e/kg.km]*Calculations[[#This Row],[Total Kg]],0)</f>
        <v>0</v>
      </c>
      <c r="W1061" s="322" cm="1">
        <f t="array" ref="W1061">IFERROR(VLOOKUP(Calculations[[#This Row],[Waste 1]],WasteScenario[#All],5,FALSE)*'Stage assumptions'!$C$226*WasteTransportMethod[Emissions Factor
kgCO2e/kg.km]*Calculations[[#This Row],[Total Kg]],0)</f>
        <v>0</v>
      </c>
      <c r="X1061" s="322">
        <f>SUM(Calculations[[#This Row],[C2 Recycle]:[C2 Reuse]])</f>
        <v>0</v>
      </c>
      <c r="Y1061" t="str">
        <f>IFERROR(VLOOKUP(Calculations[[#This Row],[Material (choose from dropdown]],MaterialData[#All],5,FALSE),"")</f>
        <v/>
      </c>
      <c r="Z1061" s="322">
        <f>IFERROR(((VLOOKUP(Calculations[[#This Row],[Waste type 2]],WasteDisposalEmissions[#All],2,FALSE))*Calculations[[#This Row],[Total Kg]])*VLOOKUP(Calculations[[#This Row],[Waste 1]],WasteScenario[#All],2,FALSE),0)</f>
        <v>0</v>
      </c>
      <c r="AA1061" s="322">
        <f>IFERROR((VLOOKUP(Calculations[[#This Row],[Waste type 2]],WasteDisposalEmissions[#All],3,FALSE))*Calculations[[#This Row],[Total Kg]]*VLOOKUP(Calculations[[#This Row],[Waste 1]],WasteScenario[#All],3,FALSE),0)</f>
        <v>0</v>
      </c>
      <c r="AB1061" s="322">
        <f>SUM(Calculations[[#This Row],[C3 recyc]:[C3 incin]])</f>
        <v>0</v>
      </c>
      <c r="AC1061" s="334">
        <f>IFERROR((VLOOKUP(Calculations[[#This Row],[Waste type 2]],WasteLandfillEmissions[#All],2,FALSE))*Calculations[[#This Row],[Total Kg]]*VLOOKUP(Calculations[[#This Row],[Waste 1]],WasteScenario[#All],4,FALSE),0)</f>
        <v>0</v>
      </c>
      <c r="AD1061" s="322">
        <f>IFERROR((VLOOKUP(Calculations[[#This Row],[Waste type 2]],WasteLandfillEmissions[#All],3,FALSE))*Calculations[[#This Row],[Total Kg]]*VLOOKUP(Calculations[[#This Row],[Waste 1]],WasteScenario[#All],4,FALSE),0)</f>
        <v>0</v>
      </c>
      <c r="AE1061" s="322">
        <f>SUM(Calculations[[#This Row],[C4 landfill]:[C4 re-use]])</f>
        <v>0</v>
      </c>
      <c r="AF1061" s="322">
        <f>IFERROR(VLOOKUP(Calculations[[#This Row],[Material (choose from dropdown]],MaterialData[#All],8,FALSE),0)</f>
        <v>0</v>
      </c>
      <c r="AG1061" s="322">
        <f>IFERROR(Calculations[[#This Row],[Total Kg]]*Calculations[[#This Row],[Seq factor]],0)</f>
        <v>0</v>
      </c>
      <c r="AI1061" s="322">
        <f>Calculations[[#This Row],[A1-3]]+Calculations[[#This Row],[A4]]+Calculations[[#This Row],[A5]]+Calculations[[#This Row],[B4]]+Calculations[[#This Row],[C2 total]]+Calculations[[#This Row],[C3 total]]+Calculations[[#This Row],[C4 total]]</f>
        <v>0</v>
      </c>
      <c r="AJ1061" s="2">
        <f>IFERROR(VLOOKUP(Calculations[[#This Row],[Material (choose from dropdown]],MaterialData[[#Headers],[#Data]],9,FALSE),0)</f>
        <v>0</v>
      </c>
      <c r="AK1061" s="4">
        <f>IFERROR(VLOOKUP(Calculations[[#This Row],[Material (choose from dropdown]],MaterialData[[#Headers],[#Data]],10,FALSE),0)</f>
        <v>0</v>
      </c>
      <c r="AL1061" s="322">
        <f>IFERROR(Calculations[[#This Row],[Data Quality Score]]*Calculations[[#This Row],[Total Kg]],0)</f>
        <v>0</v>
      </c>
    </row>
    <row r="1062" spans="1:38" x14ac:dyDescent="0.3">
      <c r="A1062" s="6">
        <f>IFERROR(MaterialsBoQ[[#This Row],[Scope Element]],0)</f>
        <v>0</v>
      </c>
      <c r="B1062" t="str">
        <f>IFERROR(MaterialsBoQ[[#This Row],[Material ]],"")</f>
        <v/>
      </c>
      <c r="C1062" t="str">
        <f>IFERROR(MaterialsBoQ[[#This Row],[Unit]],"")</f>
        <v/>
      </c>
      <c r="D1062" s="322">
        <f>IFERROR(MaterialsBoQ[[#This Row],[Number]],0)</f>
        <v>0</v>
      </c>
      <c r="E1062" s="322">
        <f>IFERROR(MaterialsBoQ[[#This Row],[Kg per unit]],0)</f>
        <v>0</v>
      </c>
      <c r="F1062" s="322">
        <f>IFERROR(Calculations[[#This Row],[Number]]*Calculations[[#This Row],[Conversion factor]],0)</f>
        <v>0</v>
      </c>
      <c r="G1062" s="322">
        <f>IFERROR(VLOOKUP(Calculations[[#This Row],[Material (choose from dropdown]],MaterialData[#All],7,FALSE),0)</f>
        <v>0</v>
      </c>
      <c r="H1062" s="322">
        <f>Calculations[[#This Row],[Total Kg]]*Calculations[[#This Row],[Carbon Factor]]</f>
        <v>0</v>
      </c>
      <c r="I1062" t="str">
        <f>IFERROR(VLOOKUP(Calculations[[#This Row],[Material (choose from dropdown]],MaterialData[#All],2,FALSE),"")</f>
        <v/>
      </c>
      <c r="J1062" s="322">
        <f>IFERROR(((VLOOKUP(Calculations[[#This Row],[TransportSource]],TransportDistance[],2,FALSE)*'Stage assumptions'!$C$11)+VLOOKUP(Calculations[[#This Row],[TransportSource]],TransportDistance[],3,FALSE)*'Stage assumptions'!$C$12)*Calculations[[#This Row],[Total Kg]],0)</f>
        <v>0</v>
      </c>
      <c r="K1062">
        <f>IFERROR(VLOOKUP(Calculations[[#This Row],[Material (choose from dropdown]], MaterialData[#All],3, FALSE),0)</f>
        <v>0</v>
      </c>
      <c r="L1062" s="322">
        <f>IFERROR(VLOOKUP(Calculations[[#This Row],[A5type]],A5WastageRate[#All],2,FALSE)*Calculations[[#This Row],[A1-3]],0)</f>
        <v>0</v>
      </c>
      <c r="N1062">
        <f>IFERROR(ROUNDUP(50/VLOOKUP(Calculations[[#This Row],[Scope Element]],B4referenceServiceLife[[Tier 2 element]:[Default Service Life]],2, FALSE)-1,0),0)</f>
        <v>0</v>
      </c>
      <c r="O1062" s="322">
        <f>IFERROR((Calculations[[#This Row],[A1-3]]+Calculations[[#This Row],[A4]]+Calculations[[#This Row],[A5]]+Calculations[[#This Row],[C2 total]]+Calculations[[#This Row],[C3 total]]+Calculations[[#This Row],[C4 total]])*Calculations[[#This Row],[Replacements]],0)</f>
        <v>0</v>
      </c>
      <c r="S1062" t="str">
        <f>IFERROR(VLOOKUP(Calculations[[#This Row],[Material (choose from dropdown]],MaterialData[#All],4,FALSE),"")</f>
        <v/>
      </c>
      <c r="T1062" s="322" cm="1">
        <f t="array" ref="T1062">IFERROR(VLOOKUP(Calculations[[#This Row],[Waste 1]],WasteScenario[#All],2,FALSE)*'Stage assumptions'!$C$225*WasteTransportMethod[Emissions Factor
kgCO2e/kg.km]*Calculations[[#This Row],[Total Kg]],0)</f>
        <v>0</v>
      </c>
      <c r="U1062" s="322" cm="1">
        <f t="array" ref="U1062">IFERROR(VLOOKUP(Calculations[[#This Row],[Waste 1]],WasteScenario[#All],3,FALSE)*'Stage assumptions'!$C$224*WasteTransportMethod[Emissions Factor
kgCO2e/kg.km]*Calculations[[#This Row],[Total Kg]],0)</f>
        <v>0</v>
      </c>
      <c r="V1062" s="322" cm="1">
        <f t="array" ref="V1062">IFERROR(VLOOKUP(Calculations[[#This Row],[Waste 1]],WasteScenario[#All],4,FALSE)*'Stage assumptions'!$C$223*WasteTransportMethod[Emissions Factor
kgCO2e/kg.km]*Calculations[[#This Row],[Total Kg]],0)</f>
        <v>0</v>
      </c>
      <c r="W1062" s="322" cm="1">
        <f t="array" ref="W1062">IFERROR(VLOOKUP(Calculations[[#This Row],[Waste 1]],WasteScenario[#All],5,FALSE)*'Stage assumptions'!$C$226*WasteTransportMethod[Emissions Factor
kgCO2e/kg.km]*Calculations[[#This Row],[Total Kg]],0)</f>
        <v>0</v>
      </c>
      <c r="X1062" s="322">
        <f>SUM(Calculations[[#This Row],[C2 Recycle]:[C2 Reuse]])</f>
        <v>0</v>
      </c>
      <c r="Y1062" t="str">
        <f>IFERROR(VLOOKUP(Calculations[[#This Row],[Material (choose from dropdown]],MaterialData[#All],5,FALSE),"")</f>
        <v/>
      </c>
      <c r="Z1062" s="322">
        <f>IFERROR(((VLOOKUP(Calculations[[#This Row],[Waste type 2]],WasteDisposalEmissions[#All],2,FALSE))*Calculations[[#This Row],[Total Kg]])*VLOOKUP(Calculations[[#This Row],[Waste 1]],WasteScenario[#All],2,FALSE),0)</f>
        <v>0</v>
      </c>
      <c r="AA1062" s="322">
        <f>IFERROR((VLOOKUP(Calculations[[#This Row],[Waste type 2]],WasteDisposalEmissions[#All],3,FALSE))*Calculations[[#This Row],[Total Kg]]*VLOOKUP(Calculations[[#This Row],[Waste 1]],WasteScenario[#All],3,FALSE),0)</f>
        <v>0</v>
      </c>
      <c r="AB1062" s="322">
        <f>SUM(Calculations[[#This Row],[C3 recyc]:[C3 incin]])</f>
        <v>0</v>
      </c>
      <c r="AC1062" s="334">
        <f>IFERROR((VLOOKUP(Calculations[[#This Row],[Waste type 2]],WasteLandfillEmissions[#All],2,FALSE))*Calculations[[#This Row],[Total Kg]]*VLOOKUP(Calculations[[#This Row],[Waste 1]],WasteScenario[#All],4,FALSE),0)</f>
        <v>0</v>
      </c>
      <c r="AD1062" s="322">
        <f>IFERROR((VLOOKUP(Calculations[[#This Row],[Waste type 2]],WasteLandfillEmissions[#All],3,FALSE))*Calculations[[#This Row],[Total Kg]]*VLOOKUP(Calculations[[#This Row],[Waste 1]],WasteScenario[#All],4,FALSE),0)</f>
        <v>0</v>
      </c>
      <c r="AE1062" s="322">
        <f>SUM(Calculations[[#This Row],[C4 landfill]:[C4 re-use]])</f>
        <v>0</v>
      </c>
      <c r="AF1062" s="322">
        <f>IFERROR(VLOOKUP(Calculations[[#This Row],[Material (choose from dropdown]],MaterialData[#All],8,FALSE),0)</f>
        <v>0</v>
      </c>
      <c r="AG1062" s="322">
        <f>IFERROR(Calculations[[#This Row],[Total Kg]]*Calculations[[#This Row],[Seq factor]],0)</f>
        <v>0</v>
      </c>
      <c r="AI1062" s="322">
        <f>Calculations[[#This Row],[A1-3]]+Calculations[[#This Row],[A4]]+Calculations[[#This Row],[A5]]+Calculations[[#This Row],[B4]]+Calculations[[#This Row],[C2 total]]+Calculations[[#This Row],[C3 total]]+Calculations[[#This Row],[C4 total]]</f>
        <v>0</v>
      </c>
      <c r="AJ1062" s="2">
        <f>IFERROR(VLOOKUP(Calculations[[#This Row],[Material (choose from dropdown]],MaterialData[[#Headers],[#Data]],9,FALSE),0)</f>
        <v>0</v>
      </c>
      <c r="AK1062" s="4">
        <f>IFERROR(VLOOKUP(Calculations[[#This Row],[Material (choose from dropdown]],MaterialData[[#Headers],[#Data]],10,FALSE),0)</f>
        <v>0</v>
      </c>
      <c r="AL1062" s="322">
        <f>IFERROR(Calculations[[#This Row],[Data Quality Score]]*Calculations[[#This Row],[Total Kg]],0)</f>
        <v>0</v>
      </c>
    </row>
    <row r="1063" spans="1:38" x14ac:dyDescent="0.3">
      <c r="A1063" s="6">
        <f>IFERROR(MaterialsBoQ[[#This Row],[Scope Element]],0)</f>
        <v>0</v>
      </c>
      <c r="B1063" t="str">
        <f>IFERROR(MaterialsBoQ[[#This Row],[Material ]],"")</f>
        <v/>
      </c>
      <c r="C1063" t="str">
        <f>IFERROR(MaterialsBoQ[[#This Row],[Unit]],"")</f>
        <v/>
      </c>
      <c r="D1063" s="322">
        <f>IFERROR(MaterialsBoQ[[#This Row],[Number]],0)</f>
        <v>0</v>
      </c>
      <c r="E1063" s="322">
        <f>IFERROR(MaterialsBoQ[[#This Row],[Kg per unit]],0)</f>
        <v>0</v>
      </c>
      <c r="F1063" s="322">
        <f>IFERROR(Calculations[[#This Row],[Number]]*Calculations[[#This Row],[Conversion factor]],0)</f>
        <v>0</v>
      </c>
      <c r="G1063" s="322">
        <f>IFERROR(VLOOKUP(Calculations[[#This Row],[Material (choose from dropdown]],MaterialData[#All],7,FALSE),0)</f>
        <v>0</v>
      </c>
      <c r="H1063" s="322">
        <f>Calculations[[#This Row],[Total Kg]]*Calculations[[#This Row],[Carbon Factor]]</f>
        <v>0</v>
      </c>
      <c r="I1063" t="str">
        <f>IFERROR(VLOOKUP(Calculations[[#This Row],[Material (choose from dropdown]],MaterialData[#All],2,FALSE),"")</f>
        <v/>
      </c>
      <c r="J1063" s="322">
        <f>IFERROR(((VLOOKUP(Calculations[[#This Row],[TransportSource]],TransportDistance[],2,FALSE)*'Stage assumptions'!$C$11)+VLOOKUP(Calculations[[#This Row],[TransportSource]],TransportDistance[],3,FALSE)*'Stage assumptions'!$C$12)*Calculations[[#This Row],[Total Kg]],0)</f>
        <v>0</v>
      </c>
      <c r="K1063">
        <f>IFERROR(VLOOKUP(Calculations[[#This Row],[Material (choose from dropdown]], MaterialData[#All],3, FALSE),0)</f>
        <v>0</v>
      </c>
      <c r="L1063" s="322">
        <f>IFERROR(VLOOKUP(Calculations[[#This Row],[A5type]],A5WastageRate[#All],2,FALSE)*Calculations[[#This Row],[A1-3]],0)</f>
        <v>0</v>
      </c>
      <c r="N1063">
        <f>IFERROR(ROUNDUP(50/VLOOKUP(Calculations[[#This Row],[Scope Element]],B4referenceServiceLife[[Tier 2 element]:[Default Service Life]],2, FALSE)-1,0),0)</f>
        <v>0</v>
      </c>
      <c r="O1063" s="322">
        <f>IFERROR((Calculations[[#This Row],[A1-3]]+Calculations[[#This Row],[A4]]+Calculations[[#This Row],[A5]]+Calculations[[#This Row],[C2 total]]+Calculations[[#This Row],[C3 total]]+Calculations[[#This Row],[C4 total]])*Calculations[[#This Row],[Replacements]],0)</f>
        <v>0</v>
      </c>
      <c r="S1063" t="str">
        <f>IFERROR(VLOOKUP(Calculations[[#This Row],[Material (choose from dropdown]],MaterialData[#All],4,FALSE),"")</f>
        <v/>
      </c>
      <c r="T1063" s="322" cm="1">
        <f t="array" ref="T1063">IFERROR(VLOOKUP(Calculations[[#This Row],[Waste 1]],WasteScenario[#All],2,FALSE)*'Stage assumptions'!$C$225*WasteTransportMethod[Emissions Factor
kgCO2e/kg.km]*Calculations[[#This Row],[Total Kg]],0)</f>
        <v>0</v>
      </c>
      <c r="U1063" s="322" cm="1">
        <f t="array" ref="U1063">IFERROR(VLOOKUP(Calculations[[#This Row],[Waste 1]],WasteScenario[#All],3,FALSE)*'Stage assumptions'!$C$224*WasteTransportMethod[Emissions Factor
kgCO2e/kg.km]*Calculations[[#This Row],[Total Kg]],0)</f>
        <v>0</v>
      </c>
      <c r="V1063" s="322" cm="1">
        <f t="array" ref="V1063">IFERROR(VLOOKUP(Calculations[[#This Row],[Waste 1]],WasteScenario[#All],4,FALSE)*'Stage assumptions'!$C$223*WasteTransportMethod[Emissions Factor
kgCO2e/kg.km]*Calculations[[#This Row],[Total Kg]],0)</f>
        <v>0</v>
      </c>
      <c r="W1063" s="322" cm="1">
        <f t="array" ref="W1063">IFERROR(VLOOKUP(Calculations[[#This Row],[Waste 1]],WasteScenario[#All],5,FALSE)*'Stage assumptions'!$C$226*WasteTransportMethod[Emissions Factor
kgCO2e/kg.km]*Calculations[[#This Row],[Total Kg]],0)</f>
        <v>0</v>
      </c>
      <c r="X1063" s="322">
        <f>SUM(Calculations[[#This Row],[C2 Recycle]:[C2 Reuse]])</f>
        <v>0</v>
      </c>
      <c r="Y1063" t="str">
        <f>IFERROR(VLOOKUP(Calculations[[#This Row],[Material (choose from dropdown]],MaterialData[#All],5,FALSE),"")</f>
        <v/>
      </c>
      <c r="Z1063" s="322">
        <f>IFERROR(((VLOOKUP(Calculations[[#This Row],[Waste type 2]],WasteDisposalEmissions[#All],2,FALSE))*Calculations[[#This Row],[Total Kg]])*VLOOKUP(Calculations[[#This Row],[Waste 1]],WasteScenario[#All],2,FALSE),0)</f>
        <v>0</v>
      </c>
      <c r="AA1063" s="322">
        <f>IFERROR((VLOOKUP(Calculations[[#This Row],[Waste type 2]],WasteDisposalEmissions[#All],3,FALSE))*Calculations[[#This Row],[Total Kg]]*VLOOKUP(Calculations[[#This Row],[Waste 1]],WasteScenario[#All],3,FALSE),0)</f>
        <v>0</v>
      </c>
      <c r="AB1063" s="322">
        <f>SUM(Calculations[[#This Row],[C3 recyc]:[C3 incin]])</f>
        <v>0</v>
      </c>
      <c r="AC1063" s="334">
        <f>IFERROR((VLOOKUP(Calculations[[#This Row],[Waste type 2]],WasteLandfillEmissions[#All],2,FALSE))*Calculations[[#This Row],[Total Kg]]*VLOOKUP(Calculations[[#This Row],[Waste 1]],WasteScenario[#All],4,FALSE),0)</f>
        <v>0</v>
      </c>
      <c r="AD1063" s="322">
        <f>IFERROR((VLOOKUP(Calculations[[#This Row],[Waste type 2]],WasteLandfillEmissions[#All],3,FALSE))*Calculations[[#This Row],[Total Kg]]*VLOOKUP(Calculations[[#This Row],[Waste 1]],WasteScenario[#All],4,FALSE),0)</f>
        <v>0</v>
      </c>
      <c r="AE1063" s="322">
        <f>SUM(Calculations[[#This Row],[C4 landfill]:[C4 re-use]])</f>
        <v>0</v>
      </c>
      <c r="AF1063" s="322">
        <f>IFERROR(VLOOKUP(Calculations[[#This Row],[Material (choose from dropdown]],MaterialData[#All],8,FALSE),0)</f>
        <v>0</v>
      </c>
      <c r="AG1063" s="322">
        <f>IFERROR(Calculations[[#This Row],[Total Kg]]*Calculations[[#This Row],[Seq factor]],0)</f>
        <v>0</v>
      </c>
      <c r="AI1063" s="322">
        <f>Calculations[[#This Row],[A1-3]]+Calculations[[#This Row],[A4]]+Calculations[[#This Row],[A5]]+Calculations[[#This Row],[B4]]+Calculations[[#This Row],[C2 total]]+Calculations[[#This Row],[C3 total]]+Calculations[[#This Row],[C4 total]]</f>
        <v>0</v>
      </c>
      <c r="AJ1063" s="2">
        <f>IFERROR(VLOOKUP(Calculations[[#This Row],[Material (choose from dropdown]],MaterialData[[#Headers],[#Data]],9,FALSE),0)</f>
        <v>0</v>
      </c>
      <c r="AK1063" s="4">
        <f>IFERROR(VLOOKUP(Calculations[[#This Row],[Material (choose from dropdown]],MaterialData[[#Headers],[#Data]],10,FALSE),0)</f>
        <v>0</v>
      </c>
      <c r="AL1063" s="322">
        <f>IFERROR(Calculations[[#This Row],[Data Quality Score]]*Calculations[[#This Row],[Total Kg]],0)</f>
        <v>0</v>
      </c>
    </row>
    <row r="1064" spans="1:38" x14ac:dyDescent="0.3">
      <c r="A1064" s="6">
        <f>IFERROR(MaterialsBoQ[[#This Row],[Scope Element]],0)</f>
        <v>0</v>
      </c>
      <c r="B1064" t="str">
        <f>IFERROR(MaterialsBoQ[[#This Row],[Material ]],"")</f>
        <v/>
      </c>
      <c r="C1064" t="str">
        <f>IFERROR(MaterialsBoQ[[#This Row],[Unit]],"")</f>
        <v/>
      </c>
      <c r="D1064" s="322">
        <f>IFERROR(MaterialsBoQ[[#This Row],[Number]],0)</f>
        <v>0</v>
      </c>
      <c r="E1064" s="322">
        <f>IFERROR(MaterialsBoQ[[#This Row],[Kg per unit]],0)</f>
        <v>0</v>
      </c>
      <c r="F1064" s="322">
        <f>IFERROR(Calculations[[#This Row],[Number]]*Calculations[[#This Row],[Conversion factor]],0)</f>
        <v>0</v>
      </c>
      <c r="G1064" s="322">
        <f>IFERROR(VLOOKUP(Calculations[[#This Row],[Material (choose from dropdown]],MaterialData[#All],7,FALSE),0)</f>
        <v>0</v>
      </c>
      <c r="H1064" s="322">
        <f>Calculations[[#This Row],[Total Kg]]*Calculations[[#This Row],[Carbon Factor]]</f>
        <v>0</v>
      </c>
      <c r="I1064" t="str">
        <f>IFERROR(VLOOKUP(Calculations[[#This Row],[Material (choose from dropdown]],MaterialData[#All],2,FALSE),"")</f>
        <v/>
      </c>
      <c r="J1064" s="322">
        <f>IFERROR(((VLOOKUP(Calculations[[#This Row],[TransportSource]],TransportDistance[],2,FALSE)*'Stage assumptions'!$C$11)+VLOOKUP(Calculations[[#This Row],[TransportSource]],TransportDistance[],3,FALSE)*'Stage assumptions'!$C$12)*Calculations[[#This Row],[Total Kg]],0)</f>
        <v>0</v>
      </c>
      <c r="K1064">
        <f>IFERROR(VLOOKUP(Calculations[[#This Row],[Material (choose from dropdown]], MaterialData[#All],3, FALSE),0)</f>
        <v>0</v>
      </c>
      <c r="L1064" s="322">
        <f>IFERROR(VLOOKUP(Calculations[[#This Row],[A5type]],A5WastageRate[#All],2,FALSE)*Calculations[[#This Row],[A1-3]],0)</f>
        <v>0</v>
      </c>
      <c r="N1064">
        <f>IFERROR(ROUNDUP(50/VLOOKUP(Calculations[[#This Row],[Scope Element]],B4referenceServiceLife[[Tier 2 element]:[Default Service Life]],2, FALSE)-1,0),0)</f>
        <v>0</v>
      </c>
      <c r="O1064" s="322">
        <f>IFERROR((Calculations[[#This Row],[A1-3]]+Calculations[[#This Row],[A4]]+Calculations[[#This Row],[A5]]+Calculations[[#This Row],[C2 total]]+Calculations[[#This Row],[C3 total]]+Calculations[[#This Row],[C4 total]])*Calculations[[#This Row],[Replacements]],0)</f>
        <v>0</v>
      </c>
      <c r="S1064" t="str">
        <f>IFERROR(VLOOKUP(Calculations[[#This Row],[Material (choose from dropdown]],MaterialData[#All],4,FALSE),"")</f>
        <v/>
      </c>
      <c r="T1064" s="322" cm="1">
        <f t="array" ref="T1064">IFERROR(VLOOKUP(Calculations[[#This Row],[Waste 1]],WasteScenario[#All],2,FALSE)*'Stage assumptions'!$C$225*WasteTransportMethod[Emissions Factor
kgCO2e/kg.km]*Calculations[[#This Row],[Total Kg]],0)</f>
        <v>0</v>
      </c>
      <c r="U1064" s="322" cm="1">
        <f t="array" ref="U1064">IFERROR(VLOOKUP(Calculations[[#This Row],[Waste 1]],WasteScenario[#All],3,FALSE)*'Stage assumptions'!$C$224*WasteTransportMethod[Emissions Factor
kgCO2e/kg.km]*Calculations[[#This Row],[Total Kg]],0)</f>
        <v>0</v>
      </c>
      <c r="V1064" s="322" cm="1">
        <f t="array" ref="V1064">IFERROR(VLOOKUP(Calculations[[#This Row],[Waste 1]],WasteScenario[#All],4,FALSE)*'Stage assumptions'!$C$223*WasteTransportMethod[Emissions Factor
kgCO2e/kg.km]*Calculations[[#This Row],[Total Kg]],0)</f>
        <v>0</v>
      </c>
      <c r="W1064" s="322" cm="1">
        <f t="array" ref="W1064">IFERROR(VLOOKUP(Calculations[[#This Row],[Waste 1]],WasteScenario[#All],5,FALSE)*'Stage assumptions'!$C$226*WasteTransportMethod[Emissions Factor
kgCO2e/kg.km]*Calculations[[#This Row],[Total Kg]],0)</f>
        <v>0</v>
      </c>
      <c r="X1064" s="322">
        <f>SUM(Calculations[[#This Row],[C2 Recycle]:[C2 Reuse]])</f>
        <v>0</v>
      </c>
      <c r="Y1064" t="str">
        <f>IFERROR(VLOOKUP(Calculations[[#This Row],[Material (choose from dropdown]],MaterialData[#All],5,FALSE),"")</f>
        <v/>
      </c>
      <c r="Z1064" s="322">
        <f>IFERROR(((VLOOKUP(Calculations[[#This Row],[Waste type 2]],WasteDisposalEmissions[#All],2,FALSE))*Calculations[[#This Row],[Total Kg]])*VLOOKUP(Calculations[[#This Row],[Waste 1]],WasteScenario[#All],2,FALSE),0)</f>
        <v>0</v>
      </c>
      <c r="AA1064" s="322">
        <f>IFERROR((VLOOKUP(Calculations[[#This Row],[Waste type 2]],WasteDisposalEmissions[#All],3,FALSE))*Calculations[[#This Row],[Total Kg]]*VLOOKUP(Calculations[[#This Row],[Waste 1]],WasteScenario[#All],3,FALSE),0)</f>
        <v>0</v>
      </c>
      <c r="AB1064" s="322">
        <f>SUM(Calculations[[#This Row],[C3 recyc]:[C3 incin]])</f>
        <v>0</v>
      </c>
      <c r="AC1064" s="334">
        <f>IFERROR((VLOOKUP(Calculations[[#This Row],[Waste type 2]],WasteLandfillEmissions[#All],2,FALSE))*Calculations[[#This Row],[Total Kg]]*VLOOKUP(Calculations[[#This Row],[Waste 1]],WasteScenario[#All],4,FALSE),0)</f>
        <v>0</v>
      </c>
      <c r="AD1064" s="322">
        <f>IFERROR((VLOOKUP(Calculations[[#This Row],[Waste type 2]],WasteLandfillEmissions[#All],3,FALSE))*Calculations[[#This Row],[Total Kg]]*VLOOKUP(Calculations[[#This Row],[Waste 1]],WasteScenario[#All],4,FALSE),0)</f>
        <v>0</v>
      </c>
      <c r="AE1064" s="322">
        <f>SUM(Calculations[[#This Row],[C4 landfill]:[C4 re-use]])</f>
        <v>0</v>
      </c>
      <c r="AF1064" s="322">
        <f>IFERROR(VLOOKUP(Calculations[[#This Row],[Material (choose from dropdown]],MaterialData[#All],8,FALSE),0)</f>
        <v>0</v>
      </c>
      <c r="AG1064" s="322">
        <f>IFERROR(Calculations[[#This Row],[Total Kg]]*Calculations[[#This Row],[Seq factor]],0)</f>
        <v>0</v>
      </c>
      <c r="AI1064" s="322">
        <f>Calculations[[#This Row],[A1-3]]+Calculations[[#This Row],[A4]]+Calculations[[#This Row],[A5]]+Calculations[[#This Row],[B4]]+Calculations[[#This Row],[C2 total]]+Calculations[[#This Row],[C3 total]]+Calculations[[#This Row],[C4 total]]</f>
        <v>0</v>
      </c>
      <c r="AJ1064" s="2">
        <f>IFERROR(VLOOKUP(Calculations[[#This Row],[Material (choose from dropdown]],MaterialData[[#Headers],[#Data]],9,FALSE),0)</f>
        <v>0</v>
      </c>
      <c r="AK1064" s="4">
        <f>IFERROR(VLOOKUP(Calculations[[#This Row],[Material (choose from dropdown]],MaterialData[[#Headers],[#Data]],10,FALSE),0)</f>
        <v>0</v>
      </c>
      <c r="AL1064" s="322">
        <f>IFERROR(Calculations[[#This Row],[Data Quality Score]]*Calculations[[#This Row],[Total Kg]],0)</f>
        <v>0</v>
      </c>
    </row>
    <row r="1065" spans="1:38" x14ac:dyDescent="0.3">
      <c r="A1065" s="6">
        <f>IFERROR(MaterialsBoQ[[#This Row],[Scope Element]],0)</f>
        <v>0</v>
      </c>
      <c r="B1065" t="str">
        <f>IFERROR(MaterialsBoQ[[#This Row],[Material ]],"")</f>
        <v/>
      </c>
      <c r="C1065" t="str">
        <f>IFERROR(MaterialsBoQ[[#This Row],[Unit]],"")</f>
        <v/>
      </c>
      <c r="D1065" s="322">
        <f>IFERROR(MaterialsBoQ[[#This Row],[Number]],0)</f>
        <v>0</v>
      </c>
      <c r="E1065" s="322">
        <f>IFERROR(MaterialsBoQ[[#This Row],[Kg per unit]],0)</f>
        <v>0</v>
      </c>
      <c r="F1065" s="322">
        <f>IFERROR(Calculations[[#This Row],[Number]]*Calculations[[#This Row],[Conversion factor]],0)</f>
        <v>0</v>
      </c>
      <c r="G1065" s="322">
        <f>IFERROR(VLOOKUP(Calculations[[#This Row],[Material (choose from dropdown]],MaterialData[#All],7,FALSE),0)</f>
        <v>0</v>
      </c>
      <c r="H1065" s="322">
        <f>Calculations[[#This Row],[Total Kg]]*Calculations[[#This Row],[Carbon Factor]]</f>
        <v>0</v>
      </c>
      <c r="I1065" t="str">
        <f>IFERROR(VLOOKUP(Calculations[[#This Row],[Material (choose from dropdown]],MaterialData[#All],2,FALSE),"")</f>
        <v/>
      </c>
      <c r="J1065" s="322">
        <f>IFERROR(((VLOOKUP(Calculations[[#This Row],[TransportSource]],TransportDistance[],2,FALSE)*'Stage assumptions'!$C$11)+VLOOKUP(Calculations[[#This Row],[TransportSource]],TransportDistance[],3,FALSE)*'Stage assumptions'!$C$12)*Calculations[[#This Row],[Total Kg]],0)</f>
        <v>0</v>
      </c>
      <c r="K1065">
        <f>IFERROR(VLOOKUP(Calculations[[#This Row],[Material (choose from dropdown]], MaterialData[#All],3, FALSE),0)</f>
        <v>0</v>
      </c>
      <c r="L1065" s="322">
        <f>IFERROR(VLOOKUP(Calculations[[#This Row],[A5type]],A5WastageRate[#All],2,FALSE)*Calculations[[#This Row],[A1-3]],0)</f>
        <v>0</v>
      </c>
      <c r="N1065">
        <f>IFERROR(ROUNDUP(50/VLOOKUP(Calculations[[#This Row],[Scope Element]],B4referenceServiceLife[[Tier 2 element]:[Default Service Life]],2, FALSE)-1,0),0)</f>
        <v>0</v>
      </c>
      <c r="O1065" s="322">
        <f>IFERROR((Calculations[[#This Row],[A1-3]]+Calculations[[#This Row],[A4]]+Calculations[[#This Row],[A5]]+Calculations[[#This Row],[C2 total]]+Calculations[[#This Row],[C3 total]]+Calculations[[#This Row],[C4 total]])*Calculations[[#This Row],[Replacements]],0)</f>
        <v>0</v>
      </c>
      <c r="S1065" t="str">
        <f>IFERROR(VLOOKUP(Calculations[[#This Row],[Material (choose from dropdown]],MaterialData[#All],4,FALSE),"")</f>
        <v/>
      </c>
      <c r="T1065" s="322" cm="1">
        <f t="array" ref="T1065">IFERROR(VLOOKUP(Calculations[[#This Row],[Waste 1]],WasteScenario[#All],2,FALSE)*'Stage assumptions'!$C$225*WasteTransportMethod[Emissions Factor
kgCO2e/kg.km]*Calculations[[#This Row],[Total Kg]],0)</f>
        <v>0</v>
      </c>
      <c r="U1065" s="322" cm="1">
        <f t="array" ref="U1065">IFERROR(VLOOKUP(Calculations[[#This Row],[Waste 1]],WasteScenario[#All],3,FALSE)*'Stage assumptions'!$C$224*WasteTransportMethod[Emissions Factor
kgCO2e/kg.km]*Calculations[[#This Row],[Total Kg]],0)</f>
        <v>0</v>
      </c>
      <c r="V1065" s="322" cm="1">
        <f t="array" ref="V1065">IFERROR(VLOOKUP(Calculations[[#This Row],[Waste 1]],WasteScenario[#All],4,FALSE)*'Stage assumptions'!$C$223*WasteTransportMethod[Emissions Factor
kgCO2e/kg.km]*Calculations[[#This Row],[Total Kg]],0)</f>
        <v>0</v>
      </c>
      <c r="W1065" s="322" cm="1">
        <f t="array" ref="W1065">IFERROR(VLOOKUP(Calculations[[#This Row],[Waste 1]],WasteScenario[#All],5,FALSE)*'Stage assumptions'!$C$226*WasteTransportMethod[Emissions Factor
kgCO2e/kg.km]*Calculations[[#This Row],[Total Kg]],0)</f>
        <v>0</v>
      </c>
      <c r="X1065" s="322">
        <f>SUM(Calculations[[#This Row],[C2 Recycle]:[C2 Reuse]])</f>
        <v>0</v>
      </c>
      <c r="Y1065" t="str">
        <f>IFERROR(VLOOKUP(Calculations[[#This Row],[Material (choose from dropdown]],MaterialData[#All],5,FALSE),"")</f>
        <v/>
      </c>
      <c r="Z1065" s="322">
        <f>IFERROR(((VLOOKUP(Calculations[[#This Row],[Waste type 2]],WasteDisposalEmissions[#All],2,FALSE))*Calculations[[#This Row],[Total Kg]])*VLOOKUP(Calculations[[#This Row],[Waste 1]],WasteScenario[#All],2,FALSE),0)</f>
        <v>0</v>
      </c>
      <c r="AA1065" s="322">
        <f>IFERROR((VLOOKUP(Calculations[[#This Row],[Waste type 2]],WasteDisposalEmissions[#All],3,FALSE))*Calculations[[#This Row],[Total Kg]]*VLOOKUP(Calculations[[#This Row],[Waste 1]],WasteScenario[#All],3,FALSE),0)</f>
        <v>0</v>
      </c>
      <c r="AB1065" s="322">
        <f>SUM(Calculations[[#This Row],[C3 recyc]:[C3 incin]])</f>
        <v>0</v>
      </c>
      <c r="AC1065" s="334">
        <f>IFERROR((VLOOKUP(Calculations[[#This Row],[Waste type 2]],WasteLandfillEmissions[#All],2,FALSE))*Calculations[[#This Row],[Total Kg]]*VLOOKUP(Calculations[[#This Row],[Waste 1]],WasteScenario[#All],4,FALSE),0)</f>
        <v>0</v>
      </c>
      <c r="AD1065" s="322">
        <f>IFERROR((VLOOKUP(Calculations[[#This Row],[Waste type 2]],WasteLandfillEmissions[#All],3,FALSE))*Calculations[[#This Row],[Total Kg]]*VLOOKUP(Calculations[[#This Row],[Waste 1]],WasteScenario[#All],4,FALSE),0)</f>
        <v>0</v>
      </c>
      <c r="AE1065" s="322">
        <f>SUM(Calculations[[#This Row],[C4 landfill]:[C4 re-use]])</f>
        <v>0</v>
      </c>
      <c r="AF1065" s="322">
        <f>IFERROR(VLOOKUP(Calculations[[#This Row],[Material (choose from dropdown]],MaterialData[#All],8,FALSE),0)</f>
        <v>0</v>
      </c>
      <c r="AG1065" s="322">
        <f>IFERROR(Calculations[[#This Row],[Total Kg]]*Calculations[[#This Row],[Seq factor]],0)</f>
        <v>0</v>
      </c>
      <c r="AI1065" s="322">
        <f>Calculations[[#This Row],[A1-3]]+Calculations[[#This Row],[A4]]+Calculations[[#This Row],[A5]]+Calculations[[#This Row],[B4]]+Calculations[[#This Row],[C2 total]]+Calculations[[#This Row],[C3 total]]+Calculations[[#This Row],[C4 total]]</f>
        <v>0</v>
      </c>
      <c r="AJ1065" s="2">
        <f>IFERROR(VLOOKUP(Calculations[[#This Row],[Material (choose from dropdown]],MaterialData[[#Headers],[#Data]],9,FALSE),0)</f>
        <v>0</v>
      </c>
      <c r="AK1065" s="4">
        <f>IFERROR(VLOOKUP(Calculations[[#This Row],[Material (choose from dropdown]],MaterialData[[#Headers],[#Data]],10,FALSE),0)</f>
        <v>0</v>
      </c>
      <c r="AL1065" s="322">
        <f>IFERROR(Calculations[[#This Row],[Data Quality Score]]*Calculations[[#This Row],[Total Kg]],0)</f>
        <v>0</v>
      </c>
    </row>
    <row r="1066" spans="1:38" x14ac:dyDescent="0.3">
      <c r="A1066" s="6">
        <f>IFERROR(MaterialsBoQ[[#This Row],[Scope Element]],0)</f>
        <v>0</v>
      </c>
      <c r="B1066" t="str">
        <f>IFERROR(MaterialsBoQ[[#This Row],[Material ]],"")</f>
        <v/>
      </c>
      <c r="C1066" t="str">
        <f>IFERROR(MaterialsBoQ[[#This Row],[Unit]],"")</f>
        <v/>
      </c>
      <c r="D1066" s="322">
        <f>IFERROR(MaterialsBoQ[[#This Row],[Number]],0)</f>
        <v>0</v>
      </c>
      <c r="E1066" s="322">
        <f>IFERROR(MaterialsBoQ[[#This Row],[Kg per unit]],0)</f>
        <v>0</v>
      </c>
      <c r="F1066" s="322">
        <f>IFERROR(Calculations[[#This Row],[Number]]*Calculations[[#This Row],[Conversion factor]],0)</f>
        <v>0</v>
      </c>
      <c r="G1066" s="322">
        <f>IFERROR(VLOOKUP(Calculations[[#This Row],[Material (choose from dropdown]],MaterialData[#All],7,FALSE),0)</f>
        <v>0</v>
      </c>
      <c r="H1066" s="322">
        <f>Calculations[[#This Row],[Total Kg]]*Calculations[[#This Row],[Carbon Factor]]</f>
        <v>0</v>
      </c>
      <c r="I1066" t="str">
        <f>IFERROR(VLOOKUP(Calculations[[#This Row],[Material (choose from dropdown]],MaterialData[#All],2,FALSE),"")</f>
        <v/>
      </c>
      <c r="J1066" s="322">
        <f>IFERROR(((VLOOKUP(Calculations[[#This Row],[TransportSource]],TransportDistance[],2,FALSE)*'Stage assumptions'!$C$11)+VLOOKUP(Calculations[[#This Row],[TransportSource]],TransportDistance[],3,FALSE)*'Stage assumptions'!$C$12)*Calculations[[#This Row],[Total Kg]],0)</f>
        <v>0</v>
      </c>
      <c r="K1066">
        <f>IFERROR(VLOOKUP(Calculations[[#This Row],[Material (choose from dropdown]], MaterialData[#All],3, FALSE),0)</f>
        <v>0</v>
      </c>
      <c r="L1066" s="322">
        <f>IFERROR(VLOOKUP(Calculations[[#This Row],[A5type]],A5WastageRate[#All],2,FALSE)*Calculations[[#This Row],[A1-3]],0)</f>
        <v>0</v>
      </c>
      <c r="N1066">
        <f>IFERROR(ROUNDUP(50/VLOOKUP(Calculations[[#This Row],[Scope Element]],B4referenceServiceLife[[Tier 2 element]:[Default Service Life]],2, FALSE)-1,0),0)</f>
        <v>0</v>
      </c>
      <c r="O1066" s="322">
        <f>IFERROR((Calculations[[#This Row],[A1-3]]+Calculations[[#This Row],[A4]]+Calculations[[#This Row],[A5]]+Calculations[[#This Row],[C2 total]]+Calculations[[#This Row],[C3 total]]+Calculations[[#This Row],[C4 total]])*Calculations[[#This Row],[Replacements]],0)</f>
        <v>0</v>
      </c>
      <c r="S1066" t="str">
        <f>IFERROR(VLOOKUP(Calculations[[#This Row],[Material (choose from dropdown]],MaterialData[#All],4,FALSE),"")</f>
        <v/>
      </c>
      <c r="T1066" s="322" cm="1">
        <f t="array" ref="T1066">IFERROR(VLOOKUP(Calculations[[#This Row],[Waste 1]],WasteScenario[#All],2,FALSE)*'Stage assumptions'!$C$225*WasteTransportMethod[Emissions Factor
kgCO2e/kg.km]*Calculations[[#This Row],[Total Kg]],0)</f>
        <v>0</v>
      </c>
      <c r="U1066" s="322" cm="1">
        <f t="array" ref="U1066">IFERROR(VLOOKUP(Calculations[[#This Row],[Waste 1]],WasteScenario[#All],3,FALSE)*'Stage assumptions'!$C$224*WasteTransportMethod[Emissions Factor
kgCO2e/kg.km]*Calculations[[#This Row],[Total Kg]],0)</f>
        <v>0</v>
      </c>
      <c r="V1066" s="322" cm="1">
        <f t="array" ref="V1066">IFERROR(VLOOKUP(Calculations[[#This Row],[Waste 1]],WasteScenario[#All],4,FALSE)*'Stage assumptions'!$C$223*WasteTransportMethod[Emissions Factor
kgCO2e/kg.km]*Calculations[[#This Row],[Total Kg]],0)</f>
        <v>0</v>
      </c>
      <c r="W1066" s="322" cm="1">
        <f t="array" ref="W1066">IFERROR(VLOOKUP(Calculations[[#This Row],[Waste 1]],WasteScenario[#All],5,FALSE)*'Stage assumptions'!$C$226*WasteTransportMethod[Emissions Factor
kgCO2e/kg.km]*Calculations[[#This Row],[Total Kg]],0)</f>
        <v>0</v>
      </c>
      <c r="X1066" s="322">
        <f>SUM(Calculations[[#This Row],[C2 Recycle]:[C2 Reuse]])</f>
        <v>0</v>
      </c>
      <c r="Y1066" t="str">
        <f>IFERROR(VLOOKUP(Calculations[[#This Row],[Material (choose from dropdown]],MaterialData[#All],5,FALSE),"")</f>
        <v/>
      </c>
      <c r="Z1066" s="322">
        <f>IFERROR(((VLOOKUP(Calculations[[#This Row],[Waste type 2]],WasteDisposalEmissions[#All],2,FALSE))*Calculations[[#This Row],[Total Kg]])*VLOOKUP(Calculations[[#This Row],[Waste 1]],WasteScenario[#All],2,FALSE),0)</f>
        <v>0</v>
      </c>
      <c r="AA1066" s="322">
        <f>IFERROR((VLOOKUP(Calculations[[#This Row],[Waste type 2]],WasteDisposalEmissions[#All],3,FALSE))*Calculations[[#This Row],[Total Kg]]*VLOOKUP(Calculations[[#This Row],[Waste 1]],WasteScenario[#All],3,FALSE),0)</f>
        <v>0</v>
      </c>
      <c r="AB1066" s="322">
        <f>SUM(Calculations[[#This Row],[C3 recyc]:[C3 incin]])</f>
        <v>0</v>
      </c>
      <c r="AC1066" s="334">
        <f>IFERROR((VLOOKUP(Calculations[[#This Row],[Waste type 2]],WasteLandfillEmissions[#All],2,FALSE))*Calculations[[#This Row],[Total Kg]]*VLOOKUP(Calculations[[#This Row],[Waste 1]],WasteScenario[#All],4,FALSE),0)</f>
        <v>0</v>
      </c>
      <c r="AD1066" s="322">
        <f>IFERROR((VLOOKUP(Calculations[[#This Row],[Waste type 2]],WasteLandfillEmissions[#All],3,FALSE))*Calculations[[#This Row],[Total Kg]]*VLOOKUP(Calculations[[#This Row],[Waste 1]],WasteScenario[#All],4,FALSE),0)</f>
        <v>0</v>
      </c>
      <c r="AE1066" s="322">
        <f>SUM(Calculations[[#This Row],[C4 landfill]:[C4 re-use]])</f>
        <v>0</v>
      </c>
      <c r="AF1066" s="322">
        <f>IFERROR(VLOOKUP(Calculations[[#This Row],[Material (choose from dropdown]],MaterialData[#All],8,FALSE),0)</f>
        <v>0</v>
      </c>
      <c r="AG1066" s="322">
        <f>IFERROR(Calculations[[#This Row],[Total Kg]]*Calculations[[#This Row],[Seq factor]],0)</f>
        <v>0</v>
      </c>
      <c r="AI1066" s="322">
        <f>Calculations[[#This Row],[A1-3]]+Calculations[[#This Row],[A4]]+Calculations[[#This Row],[A5]]+Calculations[[#This Row],[B4]]+Calculations[[#This Row],[C2 total]]+Calculations[[#This Row],[C3 total]]+Calculations[[#This Row],[C4 total]]</f>
        <v>0</v>
      </c>
      <c r="AJ1066" s="2">
        <f>IFERROR(VLOOKUP(Calculations[[#This Row],[Material (choose from dropdown]],MaterialData[[#Headers],[#Data]],9,FALSE),0)</f>
        <v>0</v>
      </c>
      <c r="AK1066" s="4">
        <f>IFERROR(VLOOKUP(Calculations[[#This Row],[Material (choose from dropdown]],MaterialData[[#Headers],[#Data]],10,FALSE),0)</f>
        <v>0</v>
      </c>
      <c r="AL1066" s="322">
        <f>IFERROR(Calculations[[#This Row],[Data Quality Score]]*Calculations[[#This Row],[Total Kg]],0)</f>
        <v>0</v>
      </c>
    </row>
    <row r="1067" spans="1:38" x14ac:dyDescent="0.3">
      <c r="A1067" s="6">
        <f>IFERROR(MaterialsBoQ[[#This Row],[Scope Element]],0)</f>
        <v>0</v>
      </c>
      <c r="B1067" t="str">
        <f>IFERROR(MaterialsBoQ[[#This Row],[Material ]],"")</f>
        <v/>
      </c>
      <c r="C1067" t="str">
        <f>IFERROR(MaterialsBoQ[[#This Row],[Unit]],"")</f>
        <v/>
      </c>
      <c r="D1067" s="322">
        <f>IFERROR(MaterialsBoQ[[#This Row],[Number]],0)</f>
        <v>0</v>
      </c>
      <c r="E1067" s="322">
        <f>IFERROR(MaterialsBoQ[[#This Row],[Kg per unit]],0)</f>
        <v>0</v>
      </c>
      <c r="F1067" s="322">
        <f>IFERROR(Calculations[[#This Row],[Number]]*Calculations[[#This Row],[Conversion factor]],0)</f>
        <v>0</v>
      </c>
      <c r="G1067" s="322">
        <f>IFERROR(VLOOKUP(Calculations[[#This Row],[Material (choose from dropdown]],MaterialData[#All],7,FALSE),0)</f>
        <v>0</v>
      </c>
      <c r="H1067" s="322">
        <f>Calculations[[#This Row],[Total Kg]]*Calculations[[#This Row],[Carbon Factor]]</f>
        <v>0</v>
      </c>
      <c r="I1067" t="str">
        <f>IFERROR(VLOOKUP(Calculations[[#This Row],[Material (choose from dropdown]],MaterialData[#All],2,FALSE),"")</f>
        <v/>
      </c>
      <c r="J1067" s="322">
        <f>IFERROR(((VLOOKUP(Calculations[[#This Row],[TransportSource]],TransportDistance[],2,FALSE)*'Stage assumptions'!$C$11)+VLOOKUP(Calculations[[#This Row],[TransportSource]],TransportDistance[],3,FALSE)*'Stage assumptions'!$C$12)*Calculations[[#This Row],[Total Kg]],0)</f>
        <v>0</v>
      </c>
      <c r="K1067">
        <f>IFERROR(VLOOKUP(Calculations[[#This Row],[Material (choose from dropdown]], MaterialData[#All],3, FALSE),0)</f>
        <v>0</v>
      </c>
      <c r="L1067" s="322">
        <f>IFERROR(VLOOKUP(Calculations[[#This Row],[A5type]],A5WastageRate[#All],2,FALSE)*Calculations[[#This Row],[A1-3]],0)</f>
        <v>0</v>
      </c>
      <c r="N1067">
        <f>IFERROR(ROUNDUP(50/VLOOKUP(Calculations[[#This Row],[Scope Element]],B4referenceServiceLife[[Tier 2 element]:[Default Service Life]],2, FALSE)-1,0),0)</f>
        <v>0</v>
      </c>
      <c r="O1067" s="322">
        <f>IFERROR((Calculations[[#This Row],[A1-3]]+Calculations[[#This Row],[A4]]+Calculations[[#This Row],[A5]]+Calculations[[#This Row],[C2 total]]+Calculations[[#This Row],[C3 total]]+Calculations[[#This Row],[C4 total]])*Calculations[[#This Row],[Replacements]],0)</f>
        <v>0</v>
      </c>
      <c r="S1067" t="str">
        <f>IFERROR(VLOOKUP(Calculations[[#This Row],[Material (choose from dropdown]],MaterialData[#All],4,FALSE),"")</f>
        <v/>
      </c>
      <c r="T1067" s="322" cm="1">
        <f t="array" ref="T1067">IFERROR(VLOOKUP(Calculations[[#This Row],[Waste 1]],WasteScenario[#All],2,FALSE)*'Stage assumptions'!$C$225*WasteTransportMethod[Emissions Factor
kgCO2e/kg.km]*Calculations[[#This Row],[Total Kg]],0)</f>
        <v>0</v>
      </c>
      <c r="U1067" s="322" cm="1">
        <f t="array" ref="U1067">IFERROR(VLOOKUP(Calculations[[#This Row],[Waste 1]],WasteScenario[#All],3,FALSE)*'Stage assumptions'!$C$224*WasteTransportMethod[Emissions Factor
kgCO2e/kg.km]*Calculations[[#This Row],[Total Kg]],0)</f>
        <v>0</v>
      </c>
      <c r="V1067" s="322" cm="1">
        <f t="array" ref="V1067">IFERROR(VLOOKUP(Calculations[[#This Row],[Waste 1]],WasteScenario[#All],4,FALSE)*'Stage assumptions'!$C$223*WasteTransportMethod[Emissions Factor
kgCO2e/kg.km]*Calculations[[#This Row],[Total Kg]],0)</f>
        <v>0</v>
      </c>
      <c r="W1067" s="322" cm="1">
        <f t="array" ref="W1067">IFERROR(VLOOKUP(Calculations[[#This Row],[Waste 1]],WasteScenario[#All],5,FALSE)*'Stage assumptions'!$C$226*WasteTransportMethod[Emissions Factor
kgCO2e/kg.km]*Calculations[[#This Row],[Total Kg]],0)</f>
        <v>0</v>
      </c>
      <c r="X1067" s="322">
        <f>SUM(Calculations[[#This Row],[C2 Recycle]:[C2 Reuse]])</f>
        <v>0</v>
      </c>
      <c r="Y1067" t="str">
        <f>IFERROR(VLOOKUP(Calculations[[#This Row],[Material (choose from dropdown]],MaterialData[#All],5,FALSE),"")</f>
        <v/>
      </c>
      <c r="Z1067" s="322">
        <f>IFERROR(((VLOOKUP(Calculations[[#This Row],[Waste type 2]],WasteDisposalEmissions[#All],2,FALSE))*Calculations[[#This Row],[Total Kg]])*VLOOKUP(Calculations[[#This Row],[Waste 1]],WasteScenario[#All],2,FALSE),0)</f>
        <v>0</v>
      </c>
      <c r="AA1067" s="322">
        <f>IFERROR((VLOOKUP(Calculations[[#This Row],[Waste type 2]],WasteDisposalEmissions[#All],3,FALSE))*Calculations[[#This Row],[Total Kg]]*VLOOKUP(Calculations[[#This Row],[Waste 1]],WasteScenario[#All],3,FALSE),0)</f>
        <v>0</v>
      </c>
      <c r="AB1067" s="322">
        <f>SUM(Calculations[[#This Row],[C3 recyc]:[C3 incin]])</f>
        <v>0</v>
      </c>
      <c r="AC1067" s="334">
        <f>IFERROR((VLOOKUP(Calculations[[#This Row],[Waste type 2]],WasteLandfillEmissions[#All],2,FALSE))*Calculations[[#This Row],[Total Kg]]*VLOOKUP(Calculations[[#This Row],[Waste 1]],WasteScenario[#All],4,FALSE),0)</f>
        <v>0</v>
      </c>
      <c r="AD1067" s="322">
        <f>IFERROR((VLOOKUP(Calculations[[#This Row],[Waste type 2]],WasteLandfillEmissions[#All],3,FALSE))*Calculations[[#This Row],[Total Kg]]*VLOOKUP(Calculations[[#This Row],[Waste 1]],WasteScenario[#All],4,FALSE),0)</f>
        <v>0</v>
      </c>
      <c r="AE1067" s="322">
        <f>SUM(Calculations[[#This Row],[C4 landfill]:[C4 re-use]])</f>
        <v>0</v>
      </c>
      <c r="AF1067" s="322">
        <f>IFERROR(VLOOKUP(Calculations[[#This Row],[Material (choose from dropdown]],MaterialData[#All],8,FALSE),0)</f>
        <v>0</v>
      </c>
      <c r="AG1067" s="322">
        <f>IFERROR(Calculations[[#This Row],[Total Kg]]*Calculations[[#This Row],[Seq factor]],0)</f>
        <v>0</v>
      </c>
      <c r="AI1067" s="322">
        <f>Calculations[[#This Row],[A1-3]]+Calculations[[#This Row],[A4]]+Calculations[[#This Row],[A5]]+Calculations[[#This Row],[B4]]+Calculations[[#This Row],[C2 total]]+Calculations[[#This Row],[C3 total]]+Calculations[[#This Row],[C4 total]]</f>
        <v>0</v>
      </c>
      <c r="AJ1067" s="2">
        <f>IFERROR(VLOOKUP(Calculations[[#This Row],[Material (choose from dropdown]],MaterialData[[#Headers],[#Data]],9,FALSE),0)</f>
        <v>0</v>
      </c>
      <c r="AK1067" s="4">
        <f>IFERROR(VLOOKUP(Calculations[[#This Row],[Material (choose from dropdown]],MaterialData[[#Headers],[#Data]],10,FALSE),0)</f>
        <v>0</v>
      </c>
      <c r="AL1067" s="322">
        <f>IFERROR(Calculations[[#This Row],[Data Quality Score]]*Calculations[[#This Row],[Total Kg]],0)</f>
        <v>0</v>
      </c>
    </row>
    <row r="1068" spans="1:38" x14ac:dyDescent="0.3">
      <c r="A1068" s="6">
        <f>IFERROR(MaterialsBoQ[[#This Row],[Scope Element]],0)</f>
        <v>0</v>
      </c>
      <c r="B1068" t="str">
        <f>IFERROR(MaterialsBoQ[[#This Row],[Material ]],"")</f>
        <v/>
      </c>
      <c r="C1068" t="str">
        <f>IFERROR(MaterialsBoQ[[#This Row],[Unit]],"")</f>
        <v/>
      </c>
      <c r="D1068" s="322">
        <f>IFERROR(MaterialsBoQ[[#This Row],[Number]],0)</f>
        <v>0</v>
      </c>
      <c r="E1068" s="322">
        <f>IFERROR(MaterialsBoQ[[#This Row],[Kg per unit]],0)</f>
        <v>0</v>
      </c>
      <c r="F1068" s="322">
        <f>IFERROR(Calculations[[#This Row],[Number]]*Calculations[[#This Row],[Conversion factor]],0)</f>
        <v>0</v>
      </c>
      <c r="G1068" s="322">
        <f>IFERROR(VLOOKUP(Calculations[[#This Row],[Material (choose from dropdown]],MaterialData[#All],7,FALSE),0)</f>
        <v>0</v>
      </c>
      <c r="H1068" s="322">
        <f>Calculations[[#This Row],[Total Kg]]*Calculations[[#This Row],[Carbon Factor]]</f>
        <v>0</v>
      </c>
      <c r="I1068" t="str">
        <f>IFERROR(VLOOKUP(Calculations[[#This Row],[Material (choose from dropdown]],MaterialData[#All],2,FALSE),"")</f>
        <v/>
      </c>
      <c r="J1068" s="322">
        <f>IFERROR(((VLOOKUP(Calculations[[#This Row],[TransportSource]],TransportDistance[],2,FALSE)*'Stage assumptions'!$C$11)+VLOOKUP(Calculations[[#This Row],[TransportSource]],TransportDistance[],3,FALSE)*'Stage assumptions'!$C$12)*Calculations[[#This Row],[Total Kg]],0)</f>
        <v>0</v>
      </c>
      <c r="K1068">
        <f>IFERROR(VLOOKUP(Calculations[[#This Row],[Material (choose from dropdown]], MaterialData[#All],3, FALSE),0)</f>
        <v>0</v>
      </c>
      <c r="L1068" s="322">
        <f>IFERROR(VLOOKUP(Calculations[[#This Row],[A5type]],A5WastageRate[#All],2,FALSE)*Calculations[[#This Row],[A1-3]],0)</f>
        <v>0</v>
      </c>
      <c r="N1068">
        <f>IFERROR(ROUNDUP(50/VLOOKUP(Calculations[[#This Row],[Scope Element]],B4referenceServiceLife[[Tier 2 element]:[Default Service Life]],2, FALSE)-1,0),0)</f>
        <v>0</v>
      </c>
      <c r="O1068" s="322">
        <f>IFERROR((Calculations[[#This Row],[A1-3]]+Calculations[[#This Row],[A4]]+Calculations[[#This Row],[A5]]+Calculations[[#This Row],[C2 total]]+Calculations[[#This Row],[C3 total]]+Calculations[[#This Row],[C4 total]])*Calculations[[#This Row],[Replacements]],0)</f>
        <v>0</v>
      </c>
      <c r="S1068" t="str">
        <f>IFERROR(VLOOKUP(Calculations[[#This Row],[Material (choose from dropdown]],MaterialData[#All],4,FALSE),"")</f>
        <v/>
      </c>
      <c r="T1068" s="322" cm="1">
        <f t="array" ref="T1068">IFERROR(VLOOKUP(Calculations[[#This Row],[Waste 1]],WasteScenario[#All],2,FALSE)*'Stage assumptions'!$C$225*WasteTransportMethod[Emissions Factor
kgCO2e/kg.km]*Calculations[[#This Row],[Total Kg]],0)</f>
        <v>0</v>
      </c>
      <c r="U1068" s="322" cm="1">
        <f t="array" ref="U1068">IFERROR(VLOOKUP(Calculations[[#This Row],[Waste 1]],WasteScenario[#All],3,FALSE)*'Stage assumptions'!$C$224*WasteTransportMethod[Emissions Factor
kgCO2e/kg.km]*Calculations[[#This Row],[Total Kg]],0)</f>
        <v>0</v>
      </c>
      <c r="V1068" s="322" cm="1">
        <f t="array" ref="V1068">IFERROR(VLOOKUP(Calculations[[#This Row],[Waste 1]],WasteScenario[#All],4,FALSE)*'Stage assumptions'!$C$223*WasteTransportMethod[Emissions Factor
kgCO2e/kg.km]*Calculations[[#This Row],[Total Kg]],0)</f>
        <v>0</v>
      </c>
      <c r="W1068" s="322" cm="1">
        <f t="array" ref="W1068">IFERROR(VLOOKUP(Calculations[[#This Row],[Waste 1]],WasteScenario[#All],5,FALSE)*'Stage assumptions'!$C$226*WasteTransportMethod[Emissions Factor
kgCO2e/kg.km]*Calculations[[#This Row],[Total Kg]],0)</f>
        <v>0</v>
      </c>
      <c r="X1068" s="322">
        <f>SUM(Calculations[[#This Row],[C2 Recycle]:[C2 Reuse]])</f>
        <v>0</v>
      </c>
      <c r="Y1068" t="str">
        <f>IFERROR(VLOOKUP(Calculations[[#This Row],[Material (choose from dropdown]],MaterialData[#All],5,FALSE),"")</f>
        <v/>
      </c>
      <c r="Z1068" s="322">
        <f>IFERROR(((VLOOKUP(Calculations[[#This Row],[Waste type 2]],WasteDisposalEmissions[#All],2,FALSE))*Calculations[[#This Row],[Total Kg]])*VLOOKUP(Calculations[[#This Row],[Waste 1]],WasteScenario[#All],2,FALSE),0)</f>
        <v>0</v>
      </c>
      <c r="AA1068" s="322">
        <f>IFERROR((VLOOKUP(Calculations[[#This Row],[Waste type 2]],WasteDisposalEmissions[#All],3,FALSE))*Calculations[[#This Row],[Total Kg]]*VLOOKUP(Calculations[[#This Row],[Waste 1]],WasteScenario[#All],3,FALSE),0)</f>
        <v>0</v>
      </c>
      <c r="AB1068" s="322">
        <f>SUM(Calculations[[#This Row],[C3 recyc]:[C3 incin]])</f>
        <v>0</v>
      </c>
      <c r="AC1068" s="334">
        <f>IFERROR((VLOOKUP(Calculations[[#This Row],[Waste type 2]],WasteLandfillEmissions[#All],2,FALSE))*Calculations[[#This Row],[Total Kg]]*VLOOKUP(Calculations[[#This Row],[Waste 1]],WasteScenario[#All],4,FALSE),0)</f>
        <v>0</v>
      </c>
      <c r="AD1068" s="322">
        <f>IFERROR((VLOOKUP(Calculations[[#This Row],[Waste type 2]],WasteLandfillEmissions[#All],3,FALSE))*Calculations[[#This Row],[Total Kg]]*VLOOKUP(Calculations[[#This Row],[Waste 1]],WasteScenario[#All],4,FALSE),0)</f>
        <v>0</v>
      </c>
      <c r="AE1068" s="322">
        <f>SUM(Calculations[[#This Row],[C4 landfill]:[C4 re-use]])</f>
        <v>0</v>
      </c>
      <c r="AF1068" s="322">
        <f>IFERROR(VLOOKUP(Calculations[[#This Row],[Material (choose from dropdown]],MaterialData[#All],8,FALSE),0)</f>
        <v>0</v>
      </c>
      <c r="AG1068" s="322">
        <f>IFERROR(Calculations[[#This Row],[Total Kg]]*Calculations[[#This Row],[Seq factor]],0)</f>
        <v>0</v>
      </c>
      <c r="AI1068" s="322">
        <f>Calculations[[#This Row],[A1-3]]+Calculations[[#This Row],[A4]]+Calculations[[#This Row],[A5]]+Calculations[[#This Row],[B4]]+Calculations[[#This Row],[C2 total]]+Calculations[[#This Row],[C3 total]]+Calculations[[#This Row],[C4 total]]</f>
        <v>0</v>
      </c>
      <c r="AJ1068" s="2">
        <f>IFERROR(VLOOKUP(Calculations[[#This Row],[Material (choose from dropdown]],MaterialData[[#Headers],[#Data]],9,FALSE),0)</f>
        <v>0</v>
      </c>
      <c r="AK1068" s="4">
        <f>IFERROR(VLOOKUP(Calculations[[#This Row],[Material (choose from dropdown]],MaterialData[[#Headers],[#Data]],10,FALSE),0)</f>
        <v>0</v>
      </c>
      <c r="AL1068" s="322">
        <f>IFERROR(Calculations[[#This Row],[Data Quality Score]]*Calculations[[#This Row],[Total Kg]],0)</f>
        <v>0</v>
      </c>
    </row>
    <row r="1069" spans="1:38" x14ac:dyDescent="0.3">
      <c r="A1069" s="6">
        <f>IFERROR(MaterialsBoQ[[#This Row],[Scope Element]],0)</f>
        <v>0</v>
      </c>
      <c r="B1069" t="str">
        <f>IFERROR(MaterialsBoQ[[#This Row],[Material ]],"")</f>
        <v/>
      </c>
      <c r="C1069" t="str">
        <f>IFERROR(MaterialsBoQ[[#This Row],[Unit]],"")</f>
        <v/>
      </c>
      <c r="D1069" s="322">
        <f>IFERROR(MaterialsBoQ[[#This Row],[Number]],0)</f>
        <v>0</v>
      </c>
      <c r="E1069" s="322">
        <f>IFERROR(MaterialsBoQ[[#This Row],[Kg per unit]],0)</f>
        <v>0</v>
      </c>
      <c r="F1069" s="322">
        <f>IFERROR(Calculations[[#This Row],[Number]]*Calculations[[#This Row],[Conversion factor]],0)</f>
        <v>0</v>
      </c>
      <c r="G1069" s="322">
        <f>IFERROR(VLOOKUP(Calculations[[#This Row],[Material (choose from dropdown]],MaterialData[#All],7,FALSE),0)</f>
        <v>0</v>
      </c>
      <c r="H1069" s="322">
        <f>Calculations[[#This Row],[Total Kg]]*Calculations[[#This Row],[Carbon Factor]]</f>
        <v>0</v>
      </c>
      <c r="I1069" t="str">
        <f>IFERROR(VLOOKUP(Calculations[[#This Row],[Material (choose from dropdown]],MaterialData[#All],2,FALSE),"")</f>
        <v/>
      </c>
      <c r="J1069" s="322">
        <f>IFERROR(((VLOOKUP(Calculations[[#This Row],[TransportSource]],TransportDistance[],2,FALSE)*'Stage assumptions'!$C$11)+VLOOKUP(Calculations[[#This Row],[TransportSource]],TransportDistance[],3,FALSE)*'Stage assumptions'!$C$12)*Calculations[[#This Row],[Total Kg]],0)</f>
        <v>0</v>
      </c>
      <c r="K1069">
        <f>IFERROR(VLOOKUP(Calculations[[#This Row],[Material (choose from dropdown]], MaterialData[#All],3, FALSE),0)</f>
        <v>0</v>
      </c>
      <c r="L1069" s="322">
        <f>IFERROR(VLOOKUP(Calculations[[#This Row],[A5type]],A5WastageRate[#All],2,FALSE)*Calculations[[#This Row],[A1-3]],0)</f>
        <v>0</v>
      </c>
      <c r="N1069">
        <f>IFERROR(ROUNDUP(50/VLOOKUP(Calculations[[#This Row],[Scope Element]],B4referenceServiceLife[[Tier 2 element]:[Default Service Life]],2, FALSE)-1,0),0)</f>
        <v>0</v>
      </c>
      <c r="O1069" s="322">
        <f>IFERROR((Calculations[[#This Row],[A1-3]]+Calculations[[#This Row],[A4]]+Calculations[[#This Row],[A5]]+Calculations[[#This Row],[C2 total]]+Calculations[[#This Row],[C3 total]]+Calculations[[#This Row],[C4 total]])*Calculations[[#This Row],[Replacements]],0)</f>
        <v>0</v>
      </c>
      <c r="S1069" t="str">
        <f>IFERROR(VLOOKUP(Calculations[[#This Row],[Material (choose from dropdown]],MaterialData[#All],4,FALSE),"")</f>
        <v/>
      </c>
      <c r="T1069" s="322" cm="1">
        <f t="array" ref="T1069">IFERROR(VLOOKUP(Calculations[[#This Row],[Waste 1]],WasteScenario[#All],2,FALSE)*'Stage assumptions'!$C$225*WasteTransportMethod[Emissions Factor
kgCO2e/kg.km]*Calculations[[#This Row],[Total Kg]],0)</f>
        <v>0</v>
      </c>
      <c r="U1069" s="322" cm="1">
        <f t="array" ref="U1069">IFERROR(VLOOKUP(Calculations[[#This Row],[Waste 1]],WasteScenario[#All],3,FALSE)*'Stage assumptions'!$C$224*WasteTransportMethod[Emissions Factor
kgCO2e/kg.km]*Calculations[[#This Row],[Total Kg]],0)</f>
        <v>0</v>
      </c>
      <c r="V1069" s="322" cm="1">
        <f t="array" ref="V1069">IFERROR(VLOOKUP(Calculations[[#This Row],[Waste 1]],WasteScenario[#All],4,FALSE)*'Stage assumptions'!$C$223*WasteTransportMethod[Emissions Factor
kgCO2e/kg.km]*Calculations[[#This Row],[Total Kg]],0)</f>
        <v>0</v>
      </c>
      <c r="W1069" s="322" cm="1">
        <f t="array" ref="W1069">IFERROR(VLOOKUP(Calculations[[#This Row],[Waste 1]],WasteScenario[#All],5,FALSE)*'Stage assumptions'!$C$226*WasteTransportMethod[Emissions Factor
kgCO2e/kg.km]*Calculations[[#This Row],[Total Kg]],0)</f>
        <v>0</v>
      </c>
      <c r="X1069" s="322">
        <f>SUM(Calculations[[#This Row],[C2 Recycle]:[C2 Reuse]])</f>
        <v>0</v>
      </c>
      <c r="Y1069" t="str">
        <f>IFERROR(VLOOKUP(Calculations[[#This Row],[Material (choose from dropdown]],MaterialData[#All],5,FALSE),"")</f>
        <v/>
      </c>
      <c r="Z1069" s="322">
        <f>IFERROR(((VLOOKUP(Calculations[[#This Row],[Waste type 2]],WasteDisposalEmissions[#All],2,FALSE))*Calculations[[#This Row],[Total Kg]])*VLOOKUP(Calculations[[#This Row],[Waste 1]],WasteScenario[#All],2,FALSE),0)</f>
        <v>0</v>
      </c>
      <c r="AA1069" s="322">
        <f>IFERROR((VLOOKUP(Calculations[[#This Row],[Waste type 2]],WasteDisposalEmissions[#All],3,FALSE))*Calculations[[#This Row],[Total Kg]]*VLOOKUP(Calculations[[#This Row],[Waste 1]],WasteScenario[#All],3,FALSE),0)</f>
        <v>0</v>
      </c>
      <c r="AB1069" s="322">
        <f>SUM(Calculations[[#This Row],[C3 recyc]:[C3 incin]])</f>
        <v>0</v>
      </c>
      <c r="AC1069" s="334">
        <f>IFERROR((VLOOKUP(Calculations[[#This Row],[Waste type 2]],WasteLandfillEmissions[#All],2,FALSE))*Calculations[[#This Row],[Total Kg]]*VLOOKUP(Calculations[[#This Row],[Waste 1]],WasteScenario[#All],4,FALSE),0)</f>
        <v>0</v>
      </c>
      <c r="AD1069" s="322">
        <f>IFERROR((VLOOKUP(Calculations[[#This Row],[Waste type 2]],WasteLandfillEmissions[#All],3,FALSE))*Calculations[[#This Row],[Total Kg]]*VLOOKUP(Calculations[[#This Row],[Waste 1]],WasteScenario[#All],4,FALSE),0)</f>
        <v>0</v>
      </c>
      <c r="AE1069" s="322">
        <f>SUM(Calculations[[#This Row],[C4 landfill]:[C4 re-use]])</f>
        <v>0</v>
      </c>
      <c r="AF1069" s="322">
        <f>IFERROR(VLOOKUP(Calculations[[#This Row],[Material (choose from dropdown]],MaterialData[#All],8,FALSE),0)</f>
        <v>0</v>
      </c>
      <c r="AG1069" s="322">
        <f>IFERROR(Calculations[[#This Row],[Total Kg]]*Calculations[[#This Row],[Seq factor]],0)</f>
        <v>0</v>
      </c>
      <c r="AI1069" s="322">
        <f>Calculations[[#This Row],[A1-3]]+Calculations[[#This Row],[A4]]+Calculations[[#This Row],[A5]]+Calculations[[#This Row],[B4]]+Calculations[[#This Row],[C2 total]]+Calculations[[#This Row],[C3 total]]+Calculations[[#This Row],[C4 total]]</f>
        <v>0</v>
      </c>
      <c r="AJ1069" s="2">
        <f>IFERROR(VLOOKUP(Calculations[[#This Row],[Material (choose from dropdown]],MaterialData[[#Headers],[#Data]],9,FALSE),0)</f>
        <v>0</v>
      </c>
      <c r="AK1069" s="4">
        <f>IFERROR(VLOOKUP(Calculations[[#This Row],[Material (choose from dropdown]],MaterialData[[#Headers],[#Data]],10,FALSE),0)</f>
        <v>0</v>
      </c>
      <c r="AL1069" s="322">
        <f>IFERROR(Calculations[[#This Row],[Data Quality Score]]*Calculations[[#This Row],[Total Kg]],0)</f>
        <v>0</v>
      </c>
    </row>
    <row r="1070" spans="1:38" x14ac:dyDescent="0.3">
      <c r="A1070" s="6">
        <f>IFERROR(MaterialsBoQ[[#This Row],[Scope Element]],0)</f>
        <v>0</v>
      </c>
      <c r="B1070" t="str">
        <f>IFERROR(MaterialsBoQ[[#This Row],[Material ]],"")</f>
        <v/>
      </c>
      <c r="C1070" t="str">
        <f>IFERROR(MaterialsBoQ[[#This Row],[Unit]],"")</f>
        <v/>
      </c>
      <c r="D1070" s="322">
        <f>IFERROR(MaterialsBoQ[[#This Row],[Number]],0)</f>
        <v>0</v>
      </c>
      <c r="E1070" s="322">
        <f>IFERROR(MaterialsBoQ[[#This Row],[Kg per unit]],0)</f>
        <v>0</v>
      </c>
      <c r="F1070" s="322">
        <f>IFERROR(Calculations[[#This Row],[Number]]*Calculations[[#This Row],[Conversion factor]],0)</f>
        <v>0</v>
      </c>
      <c r="G1070" s="322">
        <f>IFERROR(VLOOKUP(Calculations[[#This Row],[Material (choose from dropdown]],MaterialData[#All],7,FALSE),0)</f>
        <v>0</v>
      </c>
      <c r="H1070" s="322">
        <f>Calculations[[#This Row],[Total Kg]]*Calculations[[#This Row],[Carbon Factor]]</f>
        <v>0</v>
      </c>
      <c r="I1070" t="str">
        <f>IFERROR(VLOOKUP(Calculations[[#This Row],[Material (choose from dropdown]],MaterialData[#All],2,FALSE),"")</f>
        <v/>
      </c>
      <c r="J1070" s="322">
        <f>IFERROR(((VLOOKUP(Calculations[[#This Row],[TransportSource]],TransportDistance[],2,FALSE)*'Stage assumptions'!$C$11)+VLOOKUP(Calculations[[#This Row],[TransportSource]],TransportDistance[],3,FALSE)*'Stage assumptions'!$C$12)*Calculations[[#This Row],[Total Kg]],0)</f>
        <v>0</v>
      </c>
      <c r="K1070">
        <f>IFERROR(VLOOKUP(Calculations[[#This Row],[Material (choose from dropdown]], MaterialData[#All],3, FALSE),0)</f>
        <v>0</v>
      </c>
      <c r="L1070" s="322">
        <f>IFERROR(VLOOKUP(Calculations[[#This Row],[A5type]],A5WastageRate[#All],2,FALSE)*Calculations[[#This Row],[A1-3]],0)</f>
        <v>0</v>
      </c>
      <c r="N1070">
        <f>IFERROR(ROUNDUP(50/VLOOKUP(Calculations[[#This Row],[Scope Element]],B4referenceServiceLife[[Tier 2 element]:[Default Service Life]],2, FALSE)-1,0),0)</f>
        <v>0</v>
      </c>
      <c r="O1070" s="322">
        <f>IFERROR((Calculations[[#This Row],[A1-3]]+Calculations[[#This Row],[A4]]+Calculations[[#This Row],[A5]]+Calculations[[#This Row],[C2 total]]+Calculations[[#This Row],[C3 total]]+Calculations[[#This Row],[C4 total]])*Calculations[[#This Row],[Replacements]],0)</f>
        <v>0</v>
      </c>
      <c r="S1070" t="str">
        <f>IFERROR(VLOOKUP(Calculations[[#This Row],[Material (choose from dropdown]],MaterialData[#All],4,FALSE),"")</f>
        <v/>
      </c>
      <c r="T1070" s="322" cm="1">
        <f t="array" ref="T1070">IFERROR(VLOOKUP(Calculations[[#This Row],[Waste 1]],WasteScenario[#All],2,FALSE)*'Stage assumptions'!$C$225*WasteTransportMethod[Emissions Factor
kgCO2e/kg.km]*Calculations[[#This Row],[Total Kg]],0)</f>
        <v>0</v>
      </c>
      <c r="U1070" s="322" cm="1">
        <f t="array" ref="U1070">IFERROR(VLOOKUP(Calculations[[#This Row],[Waste 1]],WasteScenario[#All],3,FALSE)*'Stage assumptions'!$C$224*WasteTransportMethod[Emissions Factor
kgCO2e/kg.km]*Calculations[[#This Row],[Total Kg]],0)</f>
        <v>0</v>
      </c>
      <c r="V1070" s="322" cm="1">
        <f t="array" ref="V1070">IFERROR(VLOOKUP(Calculations[[#This Row],[Waste 1]],WasteScenario[#All],4,FALSE)*'Stage assumptions'!$C$223*WasteTransportMethod[Emissions Factor
kgCO2e/kg.km]*Calculations[[#This Row],[Total Kg]],0)</f>
        <v>0</v>
      </c>
      <c r="W1070" s="322" cm="1">
        <f t="array" ref="W1070">IFERROR(VLOOKUP(Calculations[[#This Row],[Waste 1]],WasteScenario[#All],5,FALSE)*'Stage assumptions'!$C$226*WasteTransportMethod[Emissions Factor
kgCO2e/kg.km]*Calculations[[#This Row],[Total Kg]],0)</f>
        <v>0</v>
      </c>
      <c r="X1070" s="322">
        <f>SUM(Calculations[[#This Row],[C2 Recycle]:[C2 Reuse]])</f>
        <v>0</v>
      </c>
      <c r="Y1070" t="str">
        <f>IFERROR(VLOOKUP(Calculations[[#This Row],[Material (choose from dropdown]],MaterialData[#All],5,FALSE),"")</f>
        <v/>
      </c>
      <c r="Z1070" s="322">
        <f>IFERROR(((VLOOKUP(Calculations[[#This Row],[Waste type 2]],WasteDisposalEmissions[#All],2,FALSE))*Calculations[[#This Row],[Total Kg]])*VLOOKUP(Calculations[[#This Row],[Waste 1]],WasteScenario[#All],2,FALSE),0)</f>
        <v>0</v>
      </c>
      <c r="AA1070" s="322">
        <f>IFERROR((VLOOKUP(Calculations[[#This Row],[Waste type 2]],WasteDisposalEmissions[#All],3,FALSE))*Calculations[[#This Row],[Total Kg]]*VLOOKUP(Calculations[[#This Row],[Waste 1]],WasteScenario[#All],3,FALSE),0)</f>
        <v>0</v>
      </c>
      <c r="AB1070" s="322">
        <f>SUM(Calculations[[#This Row],[C3 recyc]:[C3 incin]])</f>
        <v>0</v>
      </c>
      <c r="AC1070" s="334">
        <f>IFERROR((VLOOKUP(Calculations[[#This Row],[Waste type 2]],WasteLandfillEmissions[#All],2,FALSE))*Calculations[[#This Row],[Total Kg]]*VLOOKUP(Calculations[[#This Row],[Waste 1]],WasteScenario[#All],4,FALSE),0)</f>
        <v>0</v>
      </c>
      <c r="AD1070" s="322">
        <f>IFERROR((VLOOKUP(Calculations[[#This Row],[Waste type 2]],WasteLandfillEmissions[#All],3,FALSE))*Calculations[[#This Row],[Total Kg]]*VLOOKUP(Calculations[[#This Row],[Waste 1]],WasteScenario[#All],4,FALSE),0)</f>
        <v>0</v>
      </c>
      <c r="AE1070" s="322">
        <f>SUM(Calculations[[#This Row],[C4 landfill]:[C4 re-use]])</f>
        <v>0</v>
      </c>
      <c r="AF1070" s="322">
        <f>IFERROR(VLOOKUP(Calculations[[#This Row],[Material (choose from dropdown]],MaterialData[#All],8,FALSE),0)</f>
        <v>0</v>
      </c>
      <c r="AG1070" s="322">
        <f>IFERROR(Calculations[[#This Row],[Total Kg]]*Calculations[[#This Row],[Seq factor]],0)</f>
        <v>0</v>
      </c>
      <c r="AI1070" s="322">
        <f>Calculations[[#This Row],[A1-3]]+Calculations[[#This Row],[A4]]+Calculations[[#This Row],[A5]]+Calculations[[#This Row],[B4]]+Calculations[[#This Row],[C2 total]]+Calculations[[#This Row],[C3 total]]+Calculations[[#This Row],[C4 total]]</f>
        <v>0</v>
      </c>
      <c r="AJ1070" s="2">
        <f>IFERROR(VLOOKUP(Calculations[[#This Row],[Material (choose from dropdown]],MaterialData[[#Headers],[#Data]],9,FALSE),0)</f>
        <v>0</v>
      </c>
      <c r="AK1070" s="4">
        <f>IFERROR(VLOOKUP(Calculations[[#This Row],[Material (choose from dropdown]],MaterialData[[#Headers],[#Data]],10,FALSE),0)</f>
        <v>0</v>
      </c>
      <c r="AL1070" s="322">
        <f>IFERROR(Calculations[[#This Row],[Data Quality Score]]*Calculations[[#This Row],[Total Kg]],0)</f>
        <v>0</v>
      </c>
    </row>
    <row r="1071" spans="1:38" x14ac:dyDescent="0.3">
      <c r="A1071" s="6">
        <f>IFERROR(MaterialsBoQ[[#This Row],[Scope Element]],0)</f>
        <v>0</v>
      </c>
      <c r="B1071" t="str">
        <f>IFERROR(MaterialsBoQ[[#This Row],[Material ]],"")</f>
        <v/>
      </c>
      <c r="C1071" t="str">
        <f>IFERROR(MaterialsBoQ[[#This Row],[Unit]],"")</f>
        <v/>
      </c>
      <c r="D1071" s="322">
        <f>IFERROR(MaterialsBoQ[[#This Row],[Number]],0)</f>
        <v>0</v>
      </c>
      <c r="E1071" s="322">
        <f>IFERROR(MaterialsBoQ[[#This Row],[Kg per unit]],0)</f>
        <v>0</v>
      </c>
      <c r="F1071" s="322">
        <f>IFERROR(Calculations[[#This Row],[Number]]*Calculations[[#This Row],[Conversion factor]],0)</f>
        <v>0</v>
      </c>
      <c r="G1071" s="322">
        <f>IFERROR(VLOOKUP(Calculations[[#This Row],[Material (choose from dropdown]],MaterialData[#All],7,FALSE),0)</f>
        <v>0</v>
      </c>
      <c r="H1071" s="322">
        <f>Calculations[[#This Row],[Total Kg]]*Calculations[[#This Row],[Carbon Factor]]</f>
        <v>0</v>
      </c>
      <c r="I1071" t="str">
        <f>IFERROR(VLOOKUP(Calculations[[#This Row],[Material (choose from dropdown]],MaterialData[#All],2,FALSE),"")</f>
        <v/>
      </c>
      <c r="J1071" s="322">
        <f>IFERROR(((VLOOKUP(Calculations[[#This Row],[TransportSource]],TransportDistance[],2,FALSE)*'Stage assumptions'!$C$11)+VLOOKUP(Calculations[[#This Row],[TransportSource]],TransportDistance[],3,FALSE)*'Stage assumptions'!$C$12)*Calculations[[#This Row],[Total Kg]],0)</f>
        <v>0</v>
      </c>
      <c r="K1071">
        <f>IFERROR(VLOOKUP(Calculations[[#This Row],[Material (choose from dropdown]], MaterialData[#All],3, FALSE),0)</f>
        <v>0</v>
      </c>
      <c r="L1071" s="322">
        <f>IFERROR(VLOOKUP(Calculations[[#This Row],[A5type]],A5WastageRate[#All],2,FALSE)*Calculations[[#This Row],[A1-3]],0)</f>
        <v>0</v>
      </c>
      <c r="N1071">
        <f>IFERROR(ROUNDUP(50/VLOOKUP(Calculations[[#This Row],[Scope Element]],B4referenceServiceLife[[Tier 2 element]:[Default Service Life]],2, FALSE)-1,0),0)</f>
        <v>0</v>
      </c>
      <c r="O1071" s="322">
        <f>IFERROR((Calculations[[#This Row],[A1-3]]+Calculations[[#This Row],[A4]]+Calculations[[#This Row],[A5]]+Calculations[[#This Row],[C2 total]]+Calculations[[#This Row],[C3 total]]+Calculations[[#This Row],[C4 total]])*Calculations[[#This Row],[Replacements]],0)</f>
        <v>0</v>
      </c>
      <c r="S1071" t="str">
        <f>IFERROR(VLOOKUP(Calculations[[#This Row],[Material (choose from dropdown]],MaterialData[#All],4,FALSE),"")</f>
        <v/>
      </c>
      <c r="T1071" s="322" cm="1">
        <f t="array" ref="T1071">IFERROR(VLOOKUP(Calculations[[#This Row],[Waste 1]],WasteScenario[#All],2,FALSE)*'Stage assumptions'!$C$225*WasteTransportMethod[Emissions Factor
kgCO2e/kg.km]*Calculations[[#This Row],[Total Kg]],0)</f>
        <v>0</v>
      </c>
      <c r="U1071" s="322" cm="1">
        <f t="array" ref="U1071">IFERROR(VLOOKUP(Calculations[[#This Row],[Waste 1]],WasteScenario[#All],3,FALSE)*'Stage assumptions'!$C$224*WasteTransportMethod[Emissions Factor
kgCO2e/kg.km]*Calculations[[#This Row],[Total Kg]],0)</f>
        <v>0</v>
      </c>
      <c r="V1071" s="322" cm="1">
        <f t="array" ref="V1071">IFERROR(VLOOKUP(Calculations[[#This Row],[Waste 1]],WasteScenario[#All],4,FALSE)*'Stage assumptions'!$C$223*WasteTransportMethod[Emissions Factor
kgCO2e/kg.km]*Calculations[[#This Row],[Total Kg]],0)</f>
        <v>0</v>
      </c>
      <c r="W1071" s="322" cm="1">
        <f t="array" ref="W1071">IFERROR(VLOOKUP(Calculations[[#This Row],[Waste 1]],WasteScenario[#All],5,FALSE)*'Stage assumptions'!$C$226*WasteTransportMethod[Emissions Factor
kgCO2e/kg.km]*Calculations[[#This Row],[Total Kg]],0)</f>
        <v>0</v>
      </c>
      <c r="X1071" s="322">
        <f>SUM(Calculations[[#This Row],[C2 Recycle]:[C2 Reuse]])</f>
        <v>0</v>
      </c>
      <c r="Y1071" t="str">
        <f>IFERROR(VLOOKUP(Calculations[[#This Row],[Material (choose from dropdown]],MaterialData[#All],5,FALSE),"")</f>
        <v/>
      </c>
      <c r="Z1071" s="322">
        <f>IFERROR(((VLOOKUP(Calculations[[#This Row],[Waste type 2]],WasteDisposalEmissions[#All],2,FALSE))*Calculations[[#This Row],[Total Kg]])*VLOOKUP(Calculations[[#This Row],[Waste 1]],WasteScenario[#All],2,FALSE),0)</f>
        <v>0</v>
      </c>
      <c r="AA1071" s="322">
        <f>IFERROR((VLOOKUP(Calculations[[#This Row],[Waste type 2]],WasteDisposalEmissions[#All],3,FALSE))*Calculations[[#This Row],[Total Kg]]*VLOOKUP(Calculations[[#This Row],[Waste 1]],WasteScenario[#All],3,FALSE),0)</f>
        <v>0</v>
      </c>
      <c r="AB1071" s="322">
        <f>SUM(Calculations[[#This Row],[C3 recyc]:[C3 incin]])</f>
        <v>0</v>
      </c>
      <c r="AC1071" s="334">
        <f>IFERROR((VLOOKUP(Calculations[[#This Row],[Waste type 2]],WasteLandfillEmissions[#All],2,FALSE))*Calculations[[#This Row],[Total Kg]]*VLOOKUP(Calculations[[#This Row],[Waste 1]],WasteScenario[#All],4,FALSE),0)</f>
        <v>0</v>
      </c>
      <c r="AD1071" s="322">
        <f>IFERROR((VLOOKUP(Calculations[[#This Row],[Waste type 2]],WasteLandfillEmissions[#All],3,FALSE))*Calculations[[#This Row],[Total Kg]]*VLOOKUP(Calculations[[#This Row],[Waste 1]],WasteScenario[#All],4,FALSE),0)</f>
        <v>0</v>
      </c>
      <c r="AE1071" s="322">
        <f>SUM(Calculations[[#This Row],[C4 landfill]:[C4 re-use]])</f>
        <v>0</v>
      </c>
      <c r="AF1071" s="322">
        <f>IFERROR(VLOOKUP(Calculations[[#This Row],[Material (choose from dropdown]],MaterialData[#All],8,FALSE),0)</f>
        <v>0</v>
      </c>
      <c r="AG1071" s="322">
        <f>IFERROR(Calculations[[#This Row],[Total Kg]]*Calculations[[#This Row],[Seq factor]],0)</f>
        <v>0</v>
      </c>
      <c r="AI1071" s="322">
        <f>Calculations[[#This Row],[A1-3]]+Calculations[[#This Row],[A4]]+Calculations[[#This Row],[A5]]+Calculations[[#This Row],[B4]]+Calculations[[#This Row],[C2 total]]+Calculations[[#This Row],[C3 total]]+Calculations[[#This Row],[C4 total]]</f>
        <v>0</v>
      </c>
      <c r="AJ1071" s="2">
        <f>IFERROR(VLOOKUP(Calculations[[#This Row],[Material (choose from dropdown]],MaterialData[[#Headers],[#Data]],9,FALSE),0)</f>
        <v>0</v>
      </c>
      <c r="AK1071" s="4">
        <f>IFERROR(VLOOKUP(Calculations[[#This Row],[Material (choose from dropdown]],MaterialData[[#Headers],[#Data]],10,FALSE),0)</f>
        <v>0</v>
      </c>
      <c r="AL1071" s="322">
        <f>IFERROR(Calculations[[#This Row],[Data Quality Score]]*Calculations[[#This Row],[Total Kg]],0)</f>
        <v>0</v>
      </c>
    </row>
    <row r="1072" spans="1:38" x14ac:dyDescent="0.3">
      <c r="A1072" s="6">
        <f>IFERROR(MaterialsBoQ[[#This Row],[Scope Element]],0)</f>
        <v>0</v>
      </c>
      <c r="B1072" t="str">
        <f>IFERROR(MaterialsBoQ[[#This Row],[Material ]],"")</f>
        <v/>
      </c>
      <c r="C1072" t="str">
        <f>IFERROR(MaterialsBoQ[[#This Row],[Unit]],"")</f>
        <v/>
      </c>
      <c r="D1072" s="322">
        <f>IFERROR(MaterialsBoQ[[#This Row],[Number]],0)</f>
        <v>0</v>
      </c>
      <c r="E1072" s="322">
        <f>IFERROR(MaterialsBoQ[[#This Row],[Kg per unit]],0)</f>
        <v>0</v>
      </c>
      <c r="F1072" s="322">
        <f>IFERROR(Calculations[[#This Row],[Number]]*Calculations[[#This Row],[Conversion factor]],0)</f>
        <v>0</v>
      </c>
      <c r="G1072" s="322">
        <f>IFERROR(VLOOKUP(Calculations[[#This Row],[Material (choose from dropdown]],MaterialData[#All],7,FALSE),0)</f>
        <v>0</v>
      </c>
      <c r="H1072" s="322">
        <f>Calculations[[#This Row],[Total Kg]]*Calculations[[#This Row],[Carbon Factor]]</f>
        <v>0</v>
      </c>
      <c r="I1072" t="str">
        <f>IFERROR(VLOOKUP(Calculations[[#This Row],[Material (choose from dropdown]],MaterialData[#All],2,FALSE),"")</f>
        <v/>
      </c>
      <c r="J1072" s="322">
        <f>IFERROR(((VLOOKUP(Calculations[[#This Row],[TransportSource]],TransportDistance[],2,FALSE)*'Stage assumptions'!$C$11)+VLOOKUP(Calculations[[#This Row],[TransportSource]],TransportDistance[],3,FALSE)*'Stage assumptions'!$C$12)*Calculations[[#This Row],[Total Kg]],0)</f>
        <v>0</v>
      </c>
      <c r="K1072">
        <f>IFERROR(VLOOKUP(Calculations[[#This Row],[Material (choose from dropdown]], MaterialData[#All],3, FALSE),0)</f>
        <v>0</v>
      </c>
      <c r="L1072" s="322">
        <f>IFERROR(VLOOKUP(Calculations[[#This Row],[A5type]],A5WastageRate[#All],2,FALSE)*Calculations[[#This Row],[A1-3]],0)</f>
        <v>0</v>
      </c>
      <c r="N1072">
        <f>IFERROR(ROUNDUP(50/VLOOKUP(Calculations[[#This Row],[Scope Element]],B4referenceServiceLife[[Tier 2 element]:[Default Service Life]],2, FALSE)-1,0),0)</f>
        <v>0</v>
      </c>
      <c r="O1072" s="322">
        <f>IFERROR((Calculations[[#This Row],[A1-3]]+Calculations[[#This Row],[A4]]+Calculations[[#This Row],[A5]]+Calculations[[#This Row],[C2 total]]+Calculations[[#This Row],[C3 total]]+Calculations[[#This Row],[C4 total]])*Calculations[[#This Row],[Replacements]],0)</f>
        <v>0</v>
      </c>
      <c r="S1072" t="str">
        <f>IFERROR(VLOOKUP(Calculations[[#This Row],[Material (choose from dropdown]],MaterialData[#All],4,FALSE),"")</f>
        <v/>
      </c>
      <c r="T1072" s="322" cm="1">
        <f t="array" ref="T1072">IFERROR(VLOOKUP(Calculations[[#This Row],[Waste 1]],WasteScenario[#All],2,FALSE)*'Stage assumptions'!$C$225*WasteTransportMethod[Emissions Factor
kgCO2e/kg.km]*Calculations[[#This Row],[Total Kg]],0)</f>
        <v>0</v>
      </c>
      <c r="U1072" s="322" cm="1">
        <f t="array" ref="U1072">IFERROR(VLOOKUP(Calculations[[#This Row],[Waste 1]],WasteScenario[#All],3,FALSE)*'Stage assumptions'!$C$224*WasteTransportMethod[Emissions Factor
kgCO2e/kg.km]*Calculations[[#This Row],[Total Kg]],0)</f>
        <v>0</v>
      </c>
      <c r="V1072" s="322" cm="1">
        <f t="array" ref="V1072">IFERROR(VLOOKUP(Calculations[[#This Row],[Waste 1]],WasteScenario[#All],4,FALSE)*'Stage assumptions'!$C$223*WasteTransportMethod[Emissions Factor
kgCO2e/kg.km]*Calculations[[#This Row],[Total Kg]],0)</f>
        <v>0</v>
      </c>
      <c r="W1072" s="322" cm="1">
        <f t="array" ref="W1072">IFERROR(VLOOKUP(Calculations[[#This Row],[Waste 1]],WasteScenario[#All],5,FALSE)*'Stage assumptions'!$C$226*WasteTransportMethod[Emissions Factor
kgCO2e/kg.km]*Calculations[[#This Row],[Total Kg]],0)</f>
        <v>0</v>
      </c>
      <c r="X1072" s="322">
        <f>SUM(Calculations[[#This Row],[C2 Recycle]:[C2 Reuse]])</f>
        <v>0</v>
      </c>
      <c r="Y1072" t="str">
        <f>IFERROR(VLOOKUP(Calculations[[#This Row],[Material (choose from dropdown]],MaterialData[#All],5,FALSE),"")</f>
        <v/>
      </c>
      <c r="Z1072" s="322">
        <f>IFERROR(((VLOOKUP(Calculations[[#This Row],[Waste type 2]],WasteDisposalEmissions[#All],2,FALSE))*Calculations[[#This Row],[Total Kg]])*VLOOKUP(Calculations[[#This Row],[Waste 1]],WasteScenario[#All],2,FALSE),0)</f>
        <v>0</v>
      </c>
      <c r="AA1072" s="322">
        <f>IFERROR((VLOOKUP(Calculations[[#This Row],[Waste type 2]],WasteDisposalEmissions[#All],3,FALSE))*Calculations[[#This Row],[Total Kg]]*VLOOKUP(Calculations[[#This Row],[Waste 1]],WasteScenario[#All],3,FALSE),0)</f>
        <v>0</v>
      </c>
      <c r="AB1072" s="322">
        <f>SUM(Calculations[[#This Row],[C3 recyc]:[C3 incin]])</f>
        <v>0</v>
      </c>
      <c r="AC1072" s="334">
        <f>IFERROR((VLOOKUP(Calculations[[#This Row],[Waste type 2]],WasteLandfillEmissions[#All],2,FALSE))*Calculations[[#This Row],[Total Kg]]*VLOOKUP(Calculations[[#This Row],[Waste 1]],WasteScenario[#All],4,FALSE),0)</f>
        <v>0</v>
      </c>
      <c r="AD1072" s="322">
        <f>IFERROR((VLOOKUP(Calculations[[#This Row],[Waste type 2]],WasteLandfillEmissions[#All],3,FALSE))*Calculations[[#This Row],[Total Kg]]*VLOOKUP(Calculations[[#This Row],[Waste 1]],WasteScenario[#All],4,FALSE),0)</f>
        <v>0</v>
      </c>
      <c r="AE1072" s="322">
        <f>SUM(Calculations[[#This Row],[C4 landfill]:[C4 re-use]])</f>
        <v>0</v>
      </c>
      <c r="AF1072" s="322">
        <f>IFERROR(VLOOKUP(Calculations[[#This Row],[Material (choose from dropdown]],MaterialData[#All],8,FALSE),0)</f>
        <v>0</v>
      </c>
      <c r="AG1072" s="322">
        <f>IFERROR(Calculations[[#This Row],[Total Kg]]*Calculations[[#This Row],[Seq factor]],0)</f>
        <v>0</v>
      </c>
      <c r="AI1072" s="322">
        <f>Calculations[[#This Row],[A1-3]]+Calculations[[#This Row],[A4]]+Calculations[[#This Row],[A5]]+Calculations[[#This Row],[B4]]+Calculations[[#This Row],[C2 total]]+Calculations[[#This Row],[C3 total]]+Calculations[[#This Row],[C4 total]]</f>
        <v>0</v>
      </c>
      <c r="AJ1072" s="2">
        <f>IFERROR(VLOOKUP(Calculations[[#This Row],[Material (choose from dropdown]],MaterialData[[#Headers],[#Data]],9,FALSE),0)</f>
        <v>0</v>
      </c>
      <c r="AK1072" s="4">
        <f>IFERROR(VLOOKUP(Calculations[[#This Row],[Material (choose from dropdown]],MaterialData[[#Headers],[#Data]],10,FALSE),0)</f>
        <v>0</v>
      </c>
      <c r="AL1072" s="322">
        <f>IFERROR(Calculations[[#This Row],[Data Quality Score]]*Calculations[[#This Row],[Total Kg]],0)</f>
        <v>0</v>
      </c>
    </row>
    <row r="1073" spans="1:38" x14ac:dyDescent="0.3">
      <c r="A1073" s="6">
        <f>IFERROR(MaterialsBoQ[[#This Row],[Scope Element]],0)</f>
        <v>0</v>
      </c>
      <c r="B1073" t="str">
        <f>IFERROR(MaterialsBoQ[[#This Row],[Material ]],"")</f>
        <v/>
      </c>
      <c r="C1073" t="str">
        <f>IFERROR(MaterialsBoQ[[#This Row],[Unit]],"")</f>
        <v/>
      </c>
      <c r="D1073" s="322">
        <f>IFERROR(MaterialsBoQ[[#This Row],[Number]],0)</f>
        <v>0</v>
      </c>
      <c r="E1073" s="322">
        <f>IFERROR(MaterialsBoQ[[#This Row],[Kg per unit]],0)</f>
        <v>0</v>
      </c>
      <c r="F1073" s="322">
        <f>IFERROR(Calculations[[#This Row],[Number]]*Calculations[[#This Row],[Conversion factor]],0)</f>
        <v>0</v>
      </c>
      <c r="G1073" s="322">
        <f>IFERROR(VLOOKUP(Calculations[[#This Row],[Material (choose from dropdown]],MaterialData[#All],7,FALSE),0)</f>
        <v>0</v>
      </c>
      <c r="H1073" s="322">
        <f>Calculations[[#This Row],[Total Kg]]*Calculations[[#This Row],[Carbon Factor]]</f>
        <v>0</v>
      </c>
      <c r="I1073" t="str">
        <f>IFERROR(VLOOKUP(Calculations[[#This Row],[Material (choose from dropdown]],MaterialData[#All],2,FALSE),"")</f>
        <v/>
      </c>
      <c r="J1073" s="322">
        <f>IFERROR(((VLOOKUP(Calculations[[#This Row],[TransportSource]],TransportDistance[],2,FALSE)*'Stage assumptions'!$C$11)+VLOOKUP(Calculations[[#This Row],[TransportSource]],TransportDistance[],3,FALSE)*'Stage assumptions'!$C$12)*Calculations[[#This Row],[Total Kg]],0)</f>
        <v>0</v>
      </c>
      <c r="K1073">
        <f>IFERROR(VLOOKUP(Calculations[[#This Row],[Material (choose from dropdown]], MaterialData[#All],3, FALSE),0)</f>
        <v>0</v>
      </c>
      <c r="L1073" s="322">
        <f>IFERROR(VLOOKUP(Calculations[[#This Row],[A5type]],A5WastageRate[#All],2,FALSE)*Calculations[[#This Row],[A1-3]],0)</f>
        <v>0</v>
      </c>
      <c r="N1073">
        <f>IFERROR(ROUNDUP(50/VLOOKUP(Calculations[[#This Row],[Scope Element]],B4referenceServiceLife[[Tier 2 element]:[Default Service Life]],2, FALSE)-1,0),0)</f>
        <v>0</v>
      </c>
      <c r="O1073" s="322">
        <f>IFERROR((Calculations[[#This Row],[A1-3]]+Calculations[[#This Row],[A4]]+Calculations[[#This Row],[A5]]+Calculations[[#This Row],[C2 total]]+Calculations[[#This Row],[C3 total]]+Calculations[[#This Row],[C4 total]])*Calculations[[#This Row],[Replacements]],0)</f>
        <v>0</v>
      </c>
      <c r="S1073" t="str">
        <f>IFERROR(VLOOKUP(Calculations[[#This Row],[Material (choose from dropdown]],MaterialData[#All],4,FALSE),"")</f>
        <v/>
      </c>
      <c r="T1073" s="322" cm="1">
        <f t="array" ref="T1073">IFERROR(VLOOKUP(Calculations[[#This Row],[Waste 1]],WasteScenario[#All],2,FALSE)*'Stage assumptions'!$C$225*WasteTransportMethod[Emissions Factor
kgCO2e/kg.km]*Calculations[[#This Row],[Total Kg]],0)</f>
        <v>0</v>
      </c>
      <c r="U1073" s="322" cm="1">
        <f t="array" ref="U1073">IFERROR(VLOOKUP(Calculations[[#This Row],[Waste 1]],WasteScenario[#All],3,FALSE)*'Stage assumptions'!$C$224*WasteTransportMethod[Emissions Factor
kgCO2e/kg.km]*Calculations[[#This Row],[Total Kg]],0)</f>
        <v>0</v>
      </c>
      <c r="V1073" s="322" cm="1">
        <f t="array" ref="V1073">IFERROR(VLOOKUP(Calculations[[#This Row],[Waste 1]],WasteScenario[#All],4,FALSE)*'Stage assumptions'!$C$223*WasteTransportMethod[Emissions Factor
kgCO2e/kg.km]*Calculations[[#This Row],[Total Kg]],0)</f>
        <v>0</v>
      </c>
      <c r="W1073" s="322" cm="1">
        <f t="array" ref="W1073">IFERROR(VLOOKUP(Calculations[[#This Row],[Waste 1]],WasteScenario[#All],5,FALSE)*'Stage assumptions'!$C$226*WasteTransportMethod[Emissions Factor
kgCO2e/kg.km]*Calculations[[#This Row],[Total Kg]],0)</f>
        <v>0</v>
      </c>
      <c r="X1073" s="322">
        <f>SUM(Calculations[[#This Row],[C2 Recycle]:[C2 Reuse]])</f>
        <v>0</v>
      </c>
      <c r="Y1073" t="str">
        <f>IFERROR(VLOOKUP(Calculations[[#This Row],[Material (choose from dropdown]],MaterialData[#All],5,FALSE),"")</f>
        <v/>
      </c>
      <c r="Z1073" s="322">
        <f>IFERROR(((VLOOKUP(Calculations[[#This Row],[Waste type 2]],WasteDisposalEmissions[#All],2,FALSE))*Calculations[[#This Row],[Total Kg]])*VLOOKUP(Calculations[[#This Row],[Waste 1]],WasteScenario[#All],2,FALSE),0)</f>
        <v>0</v>
      </c>
      <c r="AA1073" s="322">
        <f>IFERROR((VLOOKUP(Calculations[[#This Row],[Waste type 2]],WasteDisposalEmissions[#All],3,FALSE))*Calculations[[#This Row],[Total Kg]]*VLOOKUP(Calculations[[#This Row],[Waste 1]],WasteScenario[#All],3,FALSE),0)</f>
        <v>0</v>
      </c>
      <c r="AB1073" s="322">
        <f>SUM(Calculations[[#This Row],[C3 recyc]:[C3 incin]])</f>
        <v>0</v>
      </c>
      <c r="AC1073" s="334">
        <f>IFERROR((VLOOKUP(Calculations[[#This Row],[Waste type 2]],WasteLandfillEmissions[#All],2,FALSE))*Calculations[[#This Row],[Total Kg]]*VLOOKUP(Calculations[[#This Row],[Waste 1]],WasteScenario[#All],4,FALSE),0)</f>
        <v>0</v>
      </c>
      <c r="AD1073" s="322">
        <f>IFERROR((VLOOKUP(Calculations[[#This Row],[Waste type 2]],WasteLandfillEmissions[#All],3,FALSE))*Calculations[[#This Row],[Total Kg]]*VLOOKUP(Calculations[[#This Row],[Waste 1]],WasteScenario[#All],4,FALSE),0)</f>
        <v>0</v>
      </c>
      <c r="AE1073" s="322">
        <f>SUM(Calculations[[#This Row],[C4 landfill]:[C4 re-use]])</f>
        <v>0</v>
      </c>
      <c r="AF1073" s="322">
        <f>IFERROR(VLOOKUP(Calculations[[#This Row],[Material (choose from dropdown]],MaterialData[#All],8,FALSE),0)</f>
        <v>0</v>
      </c>
      <c r="AG1073" s="322">
        <f>IFERROR(Calculations[[#This Row],[Total Kg]]*Calculations[[#This Row],[Seq factor]],0)</f>
        <v>0</v>
      </c>
      <c r="AI1073" s="322">
        <f>Calculations[[#This Row],[A1-3]]+Calculations[[#This Row],[A4]]+Calculations[[#This Row],[A5]]+Calculations[[#This Row],[B4]]+Calculations[[#This Row],[C2 total]]+Calculations[[#This Row],[C3 total]]+Calculations[[#This Row],[C4 total]]</f>
        <v>0</v>
      </c>
      <c r="AJ1073" s="2">
        <f>IFERROR(VLOOKUP(Calculations[[#This Row],[Material (choose from dropdown]],MaterialData[[#Headers],[#Data]],9,FALSE),0)</f>
        <v>0</v>
      </c>
      <c r="AK1073" s="4">
        <f>IFERROR(VLOOKUP(Calculations[[#This Row],[Material (choose from dropdown]],MaterialData[[#Headers],[#Data]],10,FALSE),0)</f>
        <v>0</v>
      </c>
      <c r="AL1073" s="322">
        <f>IFERROR(Calculations[[#This Row],[Data Quality Score]]*Calculations[[#This Row],[Total Kg]],0)</f>
        <v>0</v>
      </c>
    </row>
    <row r="1074" spans="1:38" x14ac:dyDescent="0.3">
      <c r="A1074" s="6">
        <f>IFERROR(MaterialsBoQ[[#This Row],[Scope Element]],0)</f>
        <v>0</v>
      </c>
      <c r="B1074" t="str">
        <f>IFERROR(MaterialsBoQ[[#This Row],[Material ]],"")</f>
        <v/>
      </c>
      <c r="C1074" t="str">
        <f>IFERROR(MaterialsBoQ[[#This Row],[Unit]],"")</f>
        <v/>
      </c>
      <c r="D1074" s="322">
        <f>IFERROR(MaterialsBoQ[[#This Row],[Number]],0)</f>
        <v>0</v>
      </c>
      <c r="E1074" s="322">
        <f>IFERROR(MaterialsBoQ[[#This Row],[Kg per unit]],0)</f>
        <v>0</v>
      </c>
      <c r="F1074" s="322">
        <f>IFERROR(Calculations[[#This Row],[Number]]*Calculations[[#This Row],[Conversion factor]],0)</f>
        <v>0</v>
      </c>
      <c r="G1074" s="322">
        <f>IFERROR(VLOOKUP(Calculations[[#This Row],[Material (choose from dropdown]],MaterialData[#All],7,FALSE),0)</f>
        <v>0</v>
      </c>
      <c r="H1074" s="322">
        <f>Calculations[[#This Row],[Total Kg]]*Calculations[[#This Row],[Carbon Factor]]</f>
        <v>0</v>
      </c>
      <c r="I1074" t="str">
        <f>IFERROR(VLOOKUP(Calculations[[#This Row],[Material (choose from dropdown]],MaterialData[#All],2,FALSE),"")</f>
        <v/>
      </c>
      <c r="J1074" s="322">
        <f>IFERROR(((VLOOKUP(Calculations[[#This Row],[TransportSource]],TransportDistance[],2,FALSE)*'Stage assumptions'!$C$11)+VLOOKUP(Calculations[[#This Row],[TransportSource]],TransportDistance[],3,FALSE)*'Stage assumptions'!$C$12)*Calculations[[#This Row],[Total Kg]],0)</f>
        <v>0</v>
      </c>
      <c r="K1074">
        <f>IFERROR(VLOOKUP(Calculations[[#This Row],[Material (choose from dropdown]], MaterialData[#All],3, FALSE),0)</f>
        <v>0</v>
      </c>
      <c r="L1074" s="322">
        <f>IFERROR(VLOOKUP(Calculations[[#This Row],[A5type]],A5WastageRate[#All],2,FALSE)*Calculations[[#This Row],[A1-3]],0)</f>
        <v>0</v>
      </c>
      <c r="N1074">
        <f>IFERROR(ROUNDUP(50/VLOOKUP(Calculations[[#This Row],[Scope Element]],B4referenceServiceLife[[Tier 2 element]:[Default Service Life]],2, FALSE)-1,0),0)</f>
        <v>0</v>
      </c>
      <c r="O1074" s="322">
        <f>IFERROR((Calculations[[#This Row],[A1-3]]+Calculations[[#This Row],[A4]]+Calculations[[#This Row],[A5]]+Calculations[[#This Row],[C2 total]]+Calculations[[#This Row],[C3 total]]+Calculations[[#This Row],[C4 total]])*Calculations[[#This Row],[Replacements]],0)</f>
        <v>0</v>
      </c>
      <c r="S1074" t="str">
        <f>IFERROR(VLOOKUP(Calculations[[#This Row],[Material (choose from dropdown]],MaterialData[#All],4,FALSE),"")</f>
        <v/>
      </c>
      <c r="T1074" s="322" cm="1">
        <f t="array" ref="T1074">IFERROR(VLOOKUP(Calculations[[#This Row],[Waste 1]],WasteScenario[#All],2,FALSE)*'Stage assumptions'!$C$225*WasteTransportMethod[Emissions Factor
kgCO2e/kg.km]*Calculations[[#This Row],[Total Kg]],0)</f>
        <v>0</v>
      </c>
      <c r="U1074" s="322" cm="1">
        <f t="array" ref="U1074">IFERROR(VLOOKUP(Calculations[[#This Row],[Waste 1]],WasteScenario[#All],3,FALSE)*'Stage assumptions'!$C$224*WasteTransportMethod[Emissions Factor
kgCO2e/kg.km]*Calculations[[#This Row],[Total Kg]],0)</f>
        <v>0</v>
      </c>
      <c r="V1074" s="322" cm="1">
        <f t="array" ref="V1074">IFERROR(VLOOKUP(Calculations[[#This Row],[Waste 1]],WasteScenario[#All],4,FALSE)*'Stage assumptions'!$C$223*WasteTransportMethod[Emissions Factor
kgCO2e/kg.km]*Calculations[[#This Row],[Total Kg]],0)</f>
        <v>0</v>
      </c>
      <c r="W1074" s="322" cm="1">
        <f t="array" ref="W1074">IFERROR(VLOOKUP(Calculations[[#This Row],[Waste 1]],WasteScenario[#All],5,FALSE)*'Stage assumptions'!$C$226*WasteTransportMethod[Emissions Factor
kgCO2e/kg.km]*Calculations[[#This Row],[Total Kg]],0)</f>
        <v>0</v>
      </c>
      <c r="X1074" s="322">
        <f>SUM(Calculations[[#This Row],[C2 Recycle]:[C2 Reuse]])</f>
        <v>0</v>
      </c>
      <c r="Y1074" t="str">
        <f>IFERROR(VLOOKUP(Calculations[[#This Row],[Material (choose from dropdown]],MaterialData[#All],5,FALSE),"")</f>
        <v/>
      </c>
      <c r="Z1074" s="322">
        <f>IFERROR(((VLOOKUP(Calculations[[#This Row],[Waste type 2]],WasteDisposalEmissions[#All],2,FALSE))*Calculations[[#This Row],[Total Kg]])*VLOOKUP(Calculations[[#This Row],[Waste 1]],WasteScenario[#All],2,FALSE),0)</f>
        <v>0</v>
      </c>
      <c r="AA1074" s="322">
        <f>IFERROR((VLOOKUP(Calculations[[#This Row],[Waste type 2]],WasteDisposalEmissions[#All],3,FALSE))*Calculations[[#This Row],[Total Kg]]*VLOOKUP(Calculations[[#This Row],[Waste 1]],WasteScenario[#All],3,FALSE),0)</f>
        <v>0</v>
      </c>
      <c r="AB1074" s="322">
        <f>SUM(Calculations[[#This Row],[C3 recyc]:[C3 incin]])</f>
        <v>0</v>
      </c>
      <c r="AC1074" s="334">
        <f>IFERROR((VLOOKUP(Calculations[[#This Row],[Waste type 2]],WasteLandfillEmissions[#All],2,FALSE))*Calculations[[#This Row],[Total Kg]]*VLOOKUP(Calculations[[#This Row],[Waste 1]],WasteScenario[#All],4,FALSE),0)</f>
        <v>0</v>
      </c>
      <c r="AD1074" s="322">
        <f>IFERROR((VLOOKUP(Calculations[[#This Row],[Waste type 2]],WasteLandfillEmissions[#All],3,FALSE))*Calculations[[#This Row],[Total Kg]]*VLOOKUP(Calculations[[#This Row],[Waste 1]],WasteScenario[#All],4,FALSE),0)</f>
        <v>0</v>
      </c>
      <c r="AE1074" s="322">
        <f>SUM(Calculations[[#This Row],[C4 landfill]:[C4 re-use]])</f>
        <v>0</v>
      </c>
      <c r="AF1074" s="322">
        <f>IFERROR(VLOOKUP(Calculations[[#This Row],[Material (choose from dropdown]],MaterialData[#All],8,FALSE),0)</f>
        <v>0</v>
      </c>
      <c r="AG1074" s="322">
        <f>IFERROR(Calculations[[#This Row],[Total Kg]]*Calculations[[#This Row],[Seq factor]],0)</f>
        <v>0</v>
      </c>
      <c r="AI1074" s="322">
        <f>Calculations[[#This Row],[A1-3]]+Calculations[[#This Row],[A4]]+Calculations[[#This Row],[A5]]+Calculations[[#This Row],[B4]]+Calculations[[#This Row],[C2 total]]+Calculations[[#This Row],[C3 total]]+Calculations[[#This Row],[C4 total]]</f>
        <v>0</v>
      </c>
      <c r="AJ1074" s="2">
        <f>IFERROR(VLOOKUP(Calculations[[#This Row],[Material (choose from dropdown]],MaterialData[[#Headers],[#Data]],9,FALSE),0)</f>
        <v>0</v>
      </c>
      <c r="AK1074" s="4">
        <f>IFERROR(VLOOKUP(Calculations[[#This Row],[Material (choose from dropdown]],MaterialData[[#Headers],[#Data]],10,FALSE),0)</f>
        <v>0</v>
      </c>
      <c r="AL1074" s="322">
        <f>IFERROR(Calculations[[#This Row],[Data Quality Score]]*Calculations[[#This Row],[Total Kg]],0)</f>
        <v>0</v>
      </c>
    </row>
    <row r="1075" spans="1:38" x14ac:dyDescent="0.3">
      <c r="A1075" s="6">
        <f>IFERROR(MaterialsBoQ[[#This Row],[Scope Element]],0)</f>
        <v>0</v>
      </c>
      <c r="B1075" t="str">
        <f>IFERROR(MaterialsBoQ[[#This Row],[Material ]],"")</f>
        <v/>
      </c>
      <c r="C1075" t="str">
        <f>IFERROR(MaterialsBoQ[[#This Row],[Unit]],"")</f>
        <v/>
      </c>
      <c r="D1075" s="322">
        <f>IFERROR(MaterialsBoQ[[#This Row],[Number]],0)</f>
        <v>0</v>
      </c>
      <c r="E1075" s="322">
        <f>IFERROR(MaterialsBoQ[[#This Row],[Kg per unit]],0)</f>
        <v>0</v>
      </c>
      <c r="F1075" s="322">
        <f>IFERROR(Calculations[[#This Row],[Number]]*Calculations[[#This Row],[Conversion factor]],0)</f>
        <v>0</v>
      </c>
      <c r="G1075" s="322">
        <f>IFERROR(VLOOKUP(Calculations[[#This Row],[Material (choose from dropdown]],MaterialData[#All],7,FALSE),0)</f>
        <v>0</v>
      </c>
      <c r="H1075" s="322">
        <f>Calculations[[#This Row],[Total Kg]]*Calculations[[#This Row],[Carbon Factor]]</f>
        <v>0</v>
      </c>
      <c r="I1075" t="str">
        <f>IFERROR(VLOOKUP(Calculations[[#This Row],[Material (choose from dropdown]],MaterialData[#All],2,FALSE),"")</f>
        <v/>
      </c>
      <c r="J1075" s="322">
        <f>IFERROR(((VLOOKUP(Calculations[[#This Row],[TransportSource]],TransportDistance[],2,FALSE)*'Stage assumptions'!$C$11)+VLOOKUP(Calculations[[#This Row],[TransportSource]],TransportDistance[],3,FALSE)*'Stage assumptions'!$C$12)*Calculations[[#This Row],[Total Kg]],0)</f>
        <v>0</v>
      </c>
      <c r="K1075">
        <f>IFERROR(VLOOKUP(Calculations[[#This Row],[Material (choose from dropdown]], MaterialData[#All],3, FALSE),0)</f>
        <v>0</v>
      </c>
      <c r="L1075" s="322">
        <f>IFERROR(VLOOKUP(Calculations[[#This Row],[A5type]],A5WastageRate[#All],2,FALSE)*Calculations[[#This Row],[A1-3]],0)</f>
        <v>0</v>
      </c>
      <c r="N1075">
        <f>IFERROR(ROUNDUP(50/VLOOKUP(Calculations[[#This Row],[Scope Element]],B4referenceServiceLife[[Tier 2 element]:[Default Service Life]],2, FALSE)-1,0),0)</f>
        <v>0</v>
      </c>
      <c r="O1075" s="322">
        <f>IFERROR((Calculations[[#This Row],[A1-3]]+Calculations[[#This Row],[A4]]+Calculations[[#This Row],[A5]]+Calculations[[#This Row],[C2 total]]+Calculations[[#This Row],[C3 total]]+Calculations[[#This Row],[C4 total]])*Calculations[[#This Row],[Replacements]],0)</f>
        <v>0</v>
      </c>
      <c r="S1075" t="str">
        <f>IFERROR(VLOOKUP(Calculations[[#This Row],[Material (choose from dropdown]],MaterialData[#All],4,FALSE),"")</f>
        <v/>
      </c>
      <c r="T1075" s="322" cm="1">
        <f t="array" ref="T1075">IFERROR(VLOOKUP(Calculations[[#This Row],[Waste 1]],WasteScenario[#All],2,FALSE)*'Stage assumptions'!$C$225*WasteTransportMethod[Emissions Factor
kgCO2e/kg.km]*Calculations[[#This Row],[Total Kg]],0)</f>
        <v>0</v>
      </c>
      <c r="U1075" s="322" cm="1">
        <f t="array" ref="U1075">IFERROR(VLOOKUP(Calculations[[#This Row],[Waste 1]],WasteScenario[#All],3,FALSE)*'Stage assumptions'!$C$224*WasteTransportMethod[Emissions Factor
kgCO2e/kg.km]*Calculations[[#This Row],[Total Kg]],0)</f>
        <v>0</v>
      </c>
      <c r="V1075" s="322" cm="1">
        <f t="array" ref="V1075">IFERROR(VLOOKUP(Calculations[[#This Row],[Waste 1]],WasteScenario[#All],4,FALSE)*'Stage assumptions'!$C$223*WasteTransportMethod[Emissions Factor
kgCO2e/kg.km]*Calculations[[#This Row],[Total Kg]],0)</f>
        <v>0</v>
      </c>
      <c r="W1075" s="322" cm="1">
        <f t="array" ref="W1075">IFERROR(VLOOKUP(Calculations[[#This Row],[Waste 1]],WasteScenario[#All],5,FALSE)*'Stage assumptions'!$C$226*WasteTransportMethod[Emissions Factor
kgCO2e/kg.km]*Calculations[[#This Row],[Total Kg]],0)</f>
        <v>0</v>
      </c>
      <c r="X1075" s="322">
        <f>SUM(Calculations[[#This Row],[C2 Recycle]:[C2 Reuse]])</f>
        <v>0</v>
      </c>
      <c r="Y1075" t="str">
        <f>IFERROR(VLOOKUP(Calculations[[#This Row],[Material (choose from dropdown]],MaterialData[#All],5,FALSE),"")</f>
        <v/>
      </c>
      <c r="Z1075" s="322">
        <f>IFERROR(((VLOOKUP(Calculations[[#This Row],[Waste type 2]],WasteDisposalEmissions[#All],2,FALSE))*Calculations[[#This Row],[Total Kg]])*VLOOKUP(Calculations[[#This Row],[Waste 1]],WasteScenario[#All],2,FALSE),0)</f>
        <v>0</v>
      </c>
      <c r="AA1075" s="322">
        <f>IFERROR((VLOOKUP(Calculations[[#This Row],[Waste type 2]],WasteDisposalEmissions[#All],3,FALSE))*Calculations[[#This Row],[Total Kg]]*VLOOKUP(Calculations[[#This Row],[Waste 1]],WasteScenario[#All],3,FALSE),0)</f>
        <v>0</v>
      </c>
      <c r="AB1075" s="322">
        <f>SUM(Calculations[[#This Row],[C3 recyc]:[C3 incin]])</f>
        <v>0</v>
      </c>
      <c r="AC1075" s="334">
        <f>IFERROR((VLOOKUP(Calculations[[#This Row],[Waste type 2]],WasteLandfillEmissions[#All],2,FALSE))*Calculations[[#This Row],[Total Kg]]*VLOOKUP(Calculations[[#This Row],[Waste 1]],WasteScenario[#All],4,FALSE),0)</f>
        <v>0</v>
      </c>
      <c r="AD1075" s="322">
        <f>IFERROR((VLOOKUP(Calculations[[#This Row],[Waste type 2]],WasteLandfillEmissions[#All],3,FALSE))*Calculations[[#This Row],[Total Kg]]*VLOOKUP(Calculations[[#This Row],[Waste 1]],WasteScenario[#All],4,FALSE),0)</f>
        <v>0</v>
      </c>
      <c r="AE1075" s="322">
        <f>SUM(Calculations[[#This Row],[C4 landfill]:[C4 re-use]])</f>
        <v>0</v>
      </c>
      <c r="AF1075" s="322">
        <f>IFERROR(VLOOKUP(Calculations[[#This Row],[Material (choose from dropdown]],MaterialData[#All],8,FALSE),0)</f>
        <v>0</v>
      </c>
      <c r="AG1075" s="322">
        <f>IFERROR(Calculations[[#This Row],[Total Kg]]*Calculations[[#This Row],[Seq factor]],0)</f>
        <v>0</v>
      </c>
      <c r="AI1075" s="322">
        <f>Calculations[[#This Row],[A1-3]]+Calculations[[#This Row],[A4]]+Calculations[[#This Row],[A5]]+Calculations[[#This Row],[B4]]+Calculations[[#This Row],[C2 total]]+Calculations[[#This Row],[C3 total]]+Calculations[[#This Row],[C4 total]]</f>
        <v>0</v>
      </c>
      <c r="AJ1075" s="2">
        <f>IFERROR(VLOOKUP(Calculations[[#This Row],[Material (choose from dropdown]],MaterialData[[#Headers],[#Data]],9,FALSE),0)</f>
        <v>0</v>
      </c>
      <c r="AK1075" s="4">
        <f>IFERROR(VLOOKUP(Calculations[[#This Row],[Material (choose from dropdown]],MaterialData[[#Headers],[#Data]],10,FALSE),0)</f>
        <v>0</v>
      </c>
      <c r="AL1075" s="322">
        <f>IFERROR(Calculations[[#This Row],[Data Quality Score]]*Calculations[[#This Row],[Total Kg]],0)</f>
        <v>0</v>
      </c>
    </row>
    <row r="1076" spans="1:38" x14ac:dyDescent="0.3">
      <c r="A1076" s="6">
        <f>IFERROR(MaterialsBoQ[[#This Row],[Scope Element]],0)</f>
        <v>0</v>
      </c>
      <c r="B1076" t="str">
        <f>IFERROR(MaterialsBoQ[[#This Row],[Material ]],"")</f>
        <v/>
      </c>
      <c r="C1076" t="str">
        <f>IFERROR(MaterialsBoQ[[#This Row],[Unit]],"")</f>
        <v/>
      </c>
      <c r="D1076" s="322">
        <f>IFERROR(MaterialsBoQ[[#This Row],[Number]],0)</f>
        <v>0</v>
      </c>
      <c r="E1076" s="322">
        <f>IFERROR(MaterialsBoQ[[#This Row],[Kg per unit]],0)</f>
        <v>0</v>
      </c>
      <c r="F1076" s="322">
        <f>IFERROR(Calculations[[#This Row],[Number]]*Calculations[[#This Row],[Conversion factor]],0)</f>
        <v>0</v>
      </c>
      <c r="G1076" s="322">
        <f>IFERROR(VLOOKUP(Calculations[[#This Row],[Material (choose from dropdown]],MaterialData[#All],7,FALSE),0)</f>
        <v>0</v>
      </c>
      <c r="H1076" s="322">
        <f>Calculations[[#This Row],[Total Kg]]*Calculations[[#This Row],[Carbon Factor]]</f>
        <v>0</v>
      </c>
      <c r="I1076" t="str">
        <f>IFERROR(VLOOKUP(Calculations[[#This Row],[Material (choose from dropdown]],MaterialData[#All],2,FALSE),"")</f>
        <v/>
      </c>
      <c r="J1076" s="322">
        <f>IFERROR(((VLOOKUP(Calculations[[#This Row],[TransportSource]],TransportDistance[],2,FALSE)*'Stage assumptions'!$C$11)+VLOOKUP(Calculations[[#This Row],[TransportSource]],TransportDistance[],3,FALSE)*'Stage assumptions'!$C$12)*Calculations[[#This Row],[Total Kg]],0)</f>
        <v>0</v>
      </c>
      <c r="K1076">
        <f>IFERROR(VLOOKUP(Calculations[[#This Row],[Material (choose from dropdown]], MaterialData[#All],3, FALSE),0)</f>
        <v>0</v>
      </c>
      <c r="L1076" s="322">
        <f>IFERROR(VLOOKUP(Calculations[[#This Row],[A5type]],A5WastageRate[#All],2,FALSE)*Calculations[[#This Row],[A1-3]],0)</f>
        <v>0</v>
      </c>
      <c r="N1076">
        <f>IFERROR(ROUNDUP(50/VLOOKUP(Calculations[[#This Row],[Scope Element]],B4referenceServiceLife[[Tier 2 element]:[Default Service Life]],2, FALSE)-1,0),0)</f>
        <v>0</v>
      </c>
      <c r="O1076" s="322">
        <f>IFERROR((Calculations[[#This Row],[A1-3]]+Calculations[[#This Row],[A4]]+Calculations[[#This Row],[A5]]+Calculations[[#This Row],[C2 total]]+Calculations[[#This Row],[C3 total]]+Calculations[[#This Row],[C4 total]])*Calculations[[#This Row],[Replacements]],0)</f>
        <v>0</v>
      </c>
      <c r="S1076" t="str">
        <f>IFERROR(VLOOKUP(Calculations[[#This Row],[Material (choose from dropdown]],MaterialData[#All],4,FALSE),"")</f>
        <v/>
      </c>
      <c r="T1076" s="322" cm="1">
        <f t="array" ref="T1076">IFERROR(VLOOKUP(Calculations[[#This Row],[Waste 1]],WasteScenario[#All],2,FALSE)*'Stage assumptions'!$C$225*WasteTransportMethod[Emissions Factor
kgCO2e/kg.km]*Calculations[[#This Row],[Total Kg]],0)</f>
        <v>0</v>
      </c>
      <c r="U1076" s="322" cm="1">
        <f t="array" ref="U1076">IFERROR(VLOOKUP(Calculations[[#This Row],[Waste 1]],WasteScenario[#All],3,FALSE)*'Stage assumptions'!$C$224*WasteTransportMethod[Emissions Factor
kgCO2e/kg.km]*Calculations[[#This Row],[Total Kg]],0)</f>
        <v>0</v>
      </c>
      <c r="V1076" s="322" cm="1">
        <f t="array" ref="V1076">IFERROR(VLOOKUP(Calculations[[#This Row],[Waste 1]],WasteScenario[#All],4,FALSE)*'Stage assumptions'!$C$223*WasteTransportMethod[Emissions Factor
kgCO2e/kg.km]*Calculations[[#This Row],[Total Kg]],0)</f>
        <v>0</v>
      </c>
      <c r="W1076" s="322" cm="1">
        <f t="array" ref="W1076">IFERROR(VLOOKUP(Calculations[[#This Row],[Waste 1]],WasteScenario[#All],5,FALSE)*'Stage assumptions'!$C$226*WasteTransportMethod[Emissions Factor
kgCO2e/kg.km]*Calculations[[#This Row],[Total Kg]],0)</f>
        <v>0</v>
      </c>
      <c r="X1076" s="322">
        <f>SUM(Calculations[[#This Row],[C2 Recycle]:[C2 Reuse]])</f>
        <v>0</v>
      </c>
      <c r="Y1076" t="str">
        <f>IFERROR(VLOOKUP(Calculations[[#This Row],[Material (choose from dropdown]],MaterialData[#All],5,FALSE),"")</f>
        <v/>
      </c>
      <c r="Z1076" s="322">
        <f>IFERROR(((VLOOKUP(Calculations[[#This Row],[Waste type 2]],WasteDisposalEmissions[#All],2,FALSE))*Calculations[[#This Row],[Total Kg]])*VLOOKUP(Calculations[[#This Row],[Waste 1]],WasteScenario[#All],2,FALSE),0)</f>
        <v>0</v>
      </c>
      <c r="AA1076" s="322">
        <f>IFERROR((VLOOKUP(Calculations[[#This Row],[Waste type 2]],WasteDisposalEmissions[#All],3,FALSE))*Calculations[[#This Row],[Total Kg]]*VLOOKUP(Calculations[[#This Row],[Waste 1]],WasteScenario[#All],3,FALSE),0)</f>
        <v>0</v>
      </c>
      <c r="AB1076" s="322">
        <f>SUM(Calculations[[#This Row],[C3 recyc]:[C3 incin]])</f>
        <v>0</v>
      </c>
      <c r="AC1076" s="334">
        <f>IFERROR((VLOOKUP(Calculations[[#This Row],[Waste type 2]],WasteLandfillEmissions[#All],2,FALSE))*Calculations[[#This Row],[Total Kg]]*VLOOKUP(Calculations[[#This Row],[Waste 1]],WasteScenario[#All],4,FALSE),0)</f>
        <v>0</v>
      </c>
      <c r="AD1076" s="322">
        <f>IFERROR((VLOOKUP(Calculations[[#This Row],[Waste type 2]],WasteLandfillEmissions[#All],3,FALSE))*Calculations[[#This Row],[Total Kg]]*VLOOKUP(Calculations[[#This Row],[Waste 1]],WasteScenario[#All],4,FALSE),0)</f>
        <v>0</v>
      </c>
      <c r="AE1076" s="322">
        <f>SUM(Calculations[[#This Row],[C4 landfill]:[C4 re-use]])</f>
        <v>0</v>
      </c>
      <c r="AF1076" s="322">
        <f>IFERROR(VLOOKUP(Calculations[[#This Row],[Material (choose from dropdown]],MaterialData[#All],8,FALSE),0)</f>
        <v>0</v>
      </c>
      <c r="AG1076" s="322">
        <f>IFERROR(Calculations[[#This Row],[Total Kg]]*Calculations[[#This Row],[Seq factor]],0)</f>
        <v>0</v>
      </c>
      <c r="AI1076" s="322">
        <f>Calculations[[#This Row],[A1-3]]+Calculations[[#This Row],[A4]]+Calculations[[#This Row],[A5]]+Calculations[[#This Row],[B4]]+Calculations[[#This Row],[C2 total]]+Calculations[[#This Row],[C3 total]]+Calculations[[#This Row],[C4 total]]</f>
        <v>0</v>
      </c>
      <c r="AJ1076" s="2">
        <f>IFERROR(VLOOKUP(Calculations[[#This Row],[Material (choose from dropdown]],MaterialData[[#Headers],[#Data]],9,FALSE),0)</f>
        <v>0</v>
      </c>
      <c r="AK1076" s="4">
        <f>IFERROR(VLOOKUP(Calculations[[#This Row],[Material (choose from dropdown]],MaterialData[[#Headers],[#Data]],10,FALSE),0)</f>
        <v>0</v>
      </c>
      <c r="AL1076" s="322">
        <f>IFERROR(Calculations[[#This Row],[Data Quality Score]]*Calculations[[#This Row],[Total Kg]],0)</f>
        <v>0</v>
      </c>
    </row>
    <row r="1077" spans="1:38" x14ac:dyDescent="0.3">
      <c r="A1077" s="6">
        <f>IFERROR(MaterialsBoQ[[#This Row],[Scope Element]],0)</f>
        <v>0</v>
      </c>
      <c r="B1077" t="str">
        <f>IFERROR(MaterialsBoQ[[#This Row],[Material ]],"")</f>
        <v/>
      </c>
      <c r="C1077" t="str">
        <f>IFERROR(MaterialsBoQ[[#This Row],[Unit]],"")</f>
        <v/>
      </c>
      <c r="D1077" s="322">
        <f>IFERROR(MaterialsBoQ[[#This Row],[Number]],0)</f>
        <v>0</v>
      </c>
      <c r="E1077" s="322">
        <f>IFERROR(MaterialsBoQ[[#This Row],[Kg per unit]],0)</f>
        <v>0</v>
      </c>
      <c r="F1077" s="322">
        <f>IFERROR(Calculations[[#This Row],[Number]]*Calculations[[#This Row],[Conversion factor]],0)</f>
        <v>0</v>
      </c>
      <c r="G1077" s="322">
        <f>IFERROR(VLOOKUP(Calculations[[#This Row],[Material (choose from dropdown]],MaterialData[#All],7,FALSE),0)</f>
        <v>0</v>
      </c>
      <c r="H1077" s="322">
        <f>Calculations[[#This Row],[Total Kg]]*Calculations[[#This Row],[Carbon Factor]]</f>
        <v>0</v>
      </c>
      <c r="I1077" t="str">
        <f>IFERROR(VLOOKUP(Calculations[[#This Row],[Material (choose from dropdown]],MaterialData[#All],2,FALSE),"")</f>
        <v/>
      </c>
      <c r="J1077" s="322">
        <f>IFERROR(((VLOOKUP(Calculations[[#This Row],[TransportSource]],TransportDistance[],2,FALSE)*'Stage assumptions'!$C$11)+VLOOKUP(Calculations[[#This Row],[TransportSource]],TransportDistance[],3,FALSE)*'Stage assumptions'!$C$12)*Calculations[[#This Row],[Total Kg]],0)</f>
        <v>0</v>
      </c>
      <c r="K1077">
        <f>IFERROR(VLOOKUP(Calculations[[#This Row],[Material (choose from dropdown]], MaterialData[#All],3, FALSE),0)</f>
        <v>0</v>
      </c>
      <c r="L1077" s="322">
        <f>IFERROR(VLOOKUP(Calculations[[#This Row],[A5type]],A5WastageRate[#All],2,FALSE)*Calculations[[#This Row],[A1-3]],0)</f>
        <v>0</v>
      </c>
      <c r="N1077">
        <f>IFERROR(ROUNDUP(50/VLOOKUP(Calculations[[#This Row],[Scope Element]],B4referenceServiceLife[[Tier 2 element]:[Default Service Life]],2, FALSE)-1,0),0)</f>
        <v>0</v>
      </c>
      <c r="O1077" s="322">
        <f>IFERROR((Calculations[[#This Row],[A1-3]]+Calculations[[#This Row],[A4]]+Calculations[[#This Row],[A5]]+Calculations[[#This Row],[C2 total]]+Calculations[[#This Row],[C3 total]]+Calculations[[#This Row],[C4 total]])*Calculations[[#This Row],[Replacements]],0)</f>
        <v>0</v>
      </c>
      <c r="S1077" t="str">
        <f>IFERROR(VLOOKUP(Calculations[[#This Row],[Material (choose from dropdown]],MaterialData[#All],4,FALSE),"")</f>
        <v/>
      </c>
      <c r="T1077" s="322" cm="1">
        <f t="array" ref="T1077">IFERROR(VLOOKUP(Calculations[[#This Row],[Waste 1]],WasteScenario[#All],2,FALSE)*'Stage assumptions'!$C$225*WasteTransportMethod[Emissions Factor
kgCO2e/kg.km]*Calculations[[#This Row],[Total Kg]],0)</f>
        <v>0</v>
      </c>
      <c r="U1077" s="322" cm="1">
        <f t="array" ref="U1077">IFERROR(VLOOKUP(Calculations[[#This Row],[Waste 1]],WasteScenario[#All],3,FALSE)*'Stage assumptions'!$C$224*WasteTransportMethod[Emissions Factor
kgCO2e/kg.km]*Calculations[[#This Row],[Total Kg]],0)</f>
        <v>0</v>
      </c>
      <c r="V1077" s="322" cm="1">
        <f t="array" ref="V1077">IFERROR(VLOOKUP(Calculations[[#This Row],[Waste 1]],WasteScenario[#All],4,FALSE)*'Stage assumptions'!$C$223*WasteTransportMethod[Emissions Factor
kgCO2e/kg.km]*Calculations[[#This Row],[Total Kg]],0)</f>
        <v>0</v>
      </c>
      <c r="W1077" s="322" cm="1">
        <f t="array" ref="W1077">IFERROR(VLOOKUP(Calculations[[#This Row],[Waste 1]],WasteScenario[#All],5,FALSE)*'Stage assumptions'!$C$226*WasteTransportMethod[Emissions Factor
kgCO2e/kg.km]*Calculations[[#This Row],[Total Kg]],0)</f>
        <v>0</v>
      </c>
      <c r="X1077" s="322">
        <f>SUM(Calculations[[#This Row],[C2 Recycle]:[C2 Reuse]])</f>
        <v>0</v>
      </c>
      <c r="Y1077" t="str">
        <f>IFERROR(VLOOKUP(Calculations[[#This Row],[Material (choose from dropdown]],MaterialData[#All],5,FALSE),"")</f>
        <v/>
      </c>
      <c r="Z1077" s="322">
        <f>IFERROR(((VLOOKUP(Calculations[[#This Row],[Waste type 2]],WasteDisposalEmissions[#All],2,FALSE))*Calculations[[#This Row],[Total Kg]])*VLOOKUP(Calculations[[#This Row],[Waste 1]],WasteScenario[#All],2,FALSE),0)</f>
        <v>0</v>
      </c>
      <c r="AA1077" s="322">
        <f>IFERROR((VLOOKUP(Calculations[[#This Row],[Waste type 2]],WasteDisposalEmissions[#All],3,FALSE))*Calculations[[#This Row],[Total Kg]]*VLOOKUP(Calculations[[#This Row],[Waste 1]],WasteScenario[#All],3,FALSE),0)</f>
        <v>0</v>
      </c>
      <c r="AB1077" s="322">
        <f>SUM(Calculations[[#This Row],[C3 recyc]:[C3 incin]])</f>
        <v>0</v>
      </c>
      <c r="AC1077" s="334">
        <f>IFERROR((VLOOKUP(Calculations[[#This Row],[Waste type 2]],WasteLandfillEmissions[#All],2,FALSE))*Calculations[[#This Row],[Total Kg]]*VLOOKUP(Calculations[[#This Row],[Waste 1]],WasteScenario[#All],4,FALSE),0)</f>
        <v>0</v>
      </c>
      <c r="AD1077" s="322">
        <f>IFERROR((VLOOKUP(Calculations[[#This Row],[Waste type 2]],WasteLandfillEmissions[#All],3,FALSE))*Calculations[[#This Row],[Total Kg]]*VLOOKUP(Calculations[[#This Row],[Waste 1]],WasteScenario[#All],4,FALSE),0)</f>
        <v>0</v>
      </c>
      <c r="AE1077" s="322">
        <f>SUM(Calculations[[#This Row],[C4 landfill]:[C4 re-use]])</f>
        <v>0</v>
      </c>
      <c r="AF1077" s="322">
        <f>IFERROR(VLOOKUP(Calculations[[#This Row],[Material (choose from dropdown]],MaterialData[#All],8,FALSE),0)</f>
        <v>0</v>
      </c>
      <c r="AG1077" s="322">
        <f>IFERROR(Calculations[[#This Row],[Total Kg]]*Calculations[[#This Row],[Seq factor]],0)</f>
        <v>0</v>
      </c>
      <c r="AI1077" s="322">
        <f>Calculations[[#This Row],[A1-3]]+Calculations[[#This Row],[A4]]+Calculations[[#This Row],[A5]]+Calculations[[#This Row],[B4]]+Calculations[[#This Row],[C2 total]]+Calculations[[#This Row],[C3 total]]+Calculations[[#This Row],[C4 total]]</f>
        <v>0</v>
      </c>
      <c r="AJ1077" s="2">
        <f>IFERROR(VLOOKUP(Calculations[[#This Row],[Material (choose from dropdown]],MaterialData[[#Headers],[#Data]],9,FALSE),0)</f>
        <v>0</v>
      </c>
      <c r="AK1077" s="4">
        <f>IFERROR(VLOOKUP(Calculations[[#This Row],[Material (choose from dropdown]],MaterialData[[#Headers],[#Data]],10,FALSE),0)</f>
        <v>0</v>
      </c>
      <c r="AL1077" s="322">
        <f>IFERROR(Calculations[[#This Row],[Data Quality Score]]*Calculations[[#This Row],[Total Kg]],0)</f>
        <v>0</v>
      </c>
    </row>
    <row r="1078" spans="1:38" x14ac:dyDescent="0.3">
      <c r="A1078" s="6">
        <f>IFERROR(MaterialsBoQ[[#This Row],[Scope Element]],0)</f>
        <v>0</v>
      </c>
      <c r="B1078" t="str">
        <f>IFERROR(MaterialsBoQ[[#This Row],[Material ]],"")</f>
        <v/>
      </c>
      <c r="C1078" t="str">
        <f>IFERROR(MaterialsBoQ[[#This Row],[Unit]],"")</f>
        <v/>
      </c>
      <c r="D1078" s="322">
        <f>IFERROR(MaterialsBoQ[[#This Row],[Number]],0)</f>
        <v>0</v>
      </c>
      <c r="E1078" s="322">
        <f>IFERROR(MaterialsBoQ[[#This Row],[Kg per unit]],0)</f>
        <v>0</v>
      </c>
      <c r="F1078" s="322">
        <f>IFERROR(Calculations[[#This Row],[Number]]*Calculations[[#This Row],[Conversion factor]],0)</f>
        <v>0</v>
      </c>
      <c r="G1078" s="322">
        <f>IFERROR(VLOOKUP(Calculations[[#This Row],[Material (choose from dropdown]],MaterialData[#All],7,FALSE),0)</f>
        <v>0</v>
      </c>
      <c r="H1078" s="322">
        <f>Calculations[[#This Row],[Total Kg]]*Calculations[[#This Row],[Carbon Factor]]</f>
        <v>0</v>
      </c>
      <c r="I1078" t="str">
        <f>IFERROR(VLOOKUP(Calculations[[#This Row],[Material (choose from dropdown]],MaterialData[#All],2,FALSE),"")</f>
        <v/>
      </c>
      <c r="J1078" s="322">
        <f>IFERROR(((VLOOKUP(Calculations[[#This Row],[TransportSource]],TransportDistance[],2,FALSE)*'Stage assumptions'!$C$11)+VLOOKUP(Calculations[[#This Row],[TransportSource]],TransportDistance[],3,FALSE)*'Stage assumptions'!$C$12)*Calculations[[#This Row],[Total Kg]],0)</f>
        <v>0</v>
      </c>
      <c r="K1078">
        <f>IFERROR(VLOOKUP(Calculations[[#This Row],[Material (choose from dropdown]], MaterialData[#All],3, FALSE),0)</f>
        <v>0</v>
      </c>
      <c r="L1078" s="322">
        <f>IFERROR(VLOOKUP(Calculations[[#This Row],[A5type]],A5WastageRate[#All],2,FALSE)*Calculations[[#This Row],[A1-3]],0)</f>
        <v>0</v>
      </c>
      <c r="N1078">
        <f>IFERROR(ROUNDUP(50/VLOOKUP(Calculations[[#This Row],[Scope Element]],B4referenceServiceLife[[Tier 2 element]:[Default Service Life]],2, FALSE)-1,0),0)</f>
        <v>0</v>
      </c>
      <c r="O1078" s="322">
        <f>IFERROR((Calculations[[#This Row],[A1-3]]+Calculations[[#This Row],[A4]]+Calculations[[#This Row],[A5]]+Calculations[[#This Row],[C2 total]]+Calculations[[#This Row],[C3 total]]+Calculations[[#This Row],[C4 total]])*Calculations[[#This Row],[Replacements]],0)</f>
        <v>0</v>
      </c>
      <c r="S1078" t="str">
        <f>IFERROR(VLOOKUP(Calculations[[#This Row],[Material (choose from dropdown]],MaterialData[#All],4,FALSE),"")</f>
        <v/>
      </c>
      <c r="T1078" s="322" cm="1">
        <f t="array" ref="T1078">IFERROR(VLOOKUP(Calculations[[#This Row],[Waste 1]],WasteScenario[#All],2,FALSE)*'Stage assumptions'!$C$225*WasteTransportMethod[Emissions Factor
kgCO2e/kg.km]*Calculations[[#This Row],[Total Kg]],0)</f>
        <v>0</v>
      </c>
      <c r="U1078" s="322" cm="1">
        <f t="array" ref="U1078">IFERROR(VLOOKUP(Calculations[[#This Row],[Waste 1]],WasteScenario[#All],3,FALSE)*'Stage assumptions'!$C$224*WasteTransportMethod[Emissions Factor
kgCO2e/kg.km]*Calculations[[#This Row],[Total Kg]],0)</f>
        <v>0</v>
      </c>
      <c r="V1078" s="322" cm="1">
        <f t="array" ref="V1078">IFERROR(VLOOKUP(Calculations[[#This Row],[Waste 1]],WasteScenario[#All],4,FALSE)*'Stage assumptions'!$C$223*WasteTransportMethod[Emissions Factor
kgCO2e/kg.km]*Calculations[[#This Row],[Total Kg]],0)</f>
        <v>0</v>
      </c>
      <c r="W1078" s="322" cm="1">
        <f t="array" ref="W1078">IFERROR(VLOOKUP(Calculations[[#This Row],[Waste 1]],WasteScenario[#All],5,FALSE)*'Stage assumptions'!$C$226*WasteTransportMethod[Emissions Factor
kgCO2e/kg.km]*Calculations[[#This Row],[Total Kg]],0)</f>
        <v>0</v>
      </c>
      <c r="X1078" s="322">
        <f>SUM(Calculations[[#This Row],[C2 Recycle]:[C2 Reuse]])</f>
        <v>0</v>
      </c>
      <c r="Y1078" t="str">
        <f>IFERROR(VLOOKUP(Calculations[[#This Row],[Material (choose from dropdown]],MaterialData[#All],5,FALSE),"")</f>
        <v/>
      </c>
      <c r="Z1078" s="322">
        <f>IFERROR(((VLOOKUP(Calculations[[#This Row],[Waste type 2]],WasteDisposalEmissions[#All],2,FALSE))*Calculations[[#This Row],[Total Kg]])*VLOOKUP(Calculations[[#This Row],[Waste 1]],WasteScenario[#All],2,FALSE),0)</f>
        <v>0</v>
      </c>
      <c r="AA1078" s="322">
        <f>IFERROR((VLOOKUP(Calculations[[#This Row],[Waste type 2]],WasteDisposalEmissions[#All],3,FALSE))*Calculations[[#This Row],[Total Kg]]*VLOOKUP(Calculations[[#This Row],[Waste 1]],WasteScenario[#All],3,FALSE),0)</f>
        <v>0</v>
      </c>
      <c r="AB1078" s="322">
        <f>SUM(Calculations[[#This Row],[C3 recyc]:[C3 incin]])</f>
        <v>0</v>
      </c>
      <c r="AC1078" s="334">
        <f>IFERROR((VLOOKUP(Calculations[[#This Row],[Waste type 2]],WasteLandfillEmissions[#All],2,FALSE))*Calculations[[#This Row],[Total Kg]]*VLOOKUP(Calculations[[#This Row],[Waste 1]],WasteScenario[#All],4,FALSE),0)</f>
        <v>0</v>
      </c>
      <c r="AD1078" s="322">
        <f>IFERROR((VLOOKUP(Calculations[[#This Row],[Waste type 2]],WasteLandfillEmissions[#All],3,FALSE))*Calculations[[#This Row],[Total Kg]]*VLOOKUP(Calculations[[#This Row],[Waste 1]],WasteScenario[#All],4,FALSE),0)</f>
        <v>0</v>
      </c>
      <c r="AE1078" s="322">
        <f>SUM(Calculations[[#This Row],[C4 landfill]:[C4 re-use]])</f>
        <v>0</v>
      </c>
      <c r="AF1078" s="322">
        <f>IFERROR(VLOOKUP(Calculations[[#This Row],[Material (choose from dropdown]],MaterialData[#All],8,FALSE),0)</f>
        <v>0</v>
      </c>
      <c r="AG1078" s="322">
        <f>IFERROR(Calculations[[#This Row],[Total Kg]]*Calculations[[#This Row],[Seq factor]],0)</f>
        <v>0</v>
      </c>
      <c r="AI1078" s="322">
        <f>Calculations[[#This Row],[A1-3]]+Calculations[[#This Row],[A4]]+Calculations[[#This Row],[A5]]+Calculations[[#This Row],[B4]]+Calculations[[#This Row],[C2 total]]+Calculations[[#This Row],[C3 total]]+Calculations[[#This Row],[C4 total]]</f>
        <v>0</v>
      </c>
      <c r="AJ1078" s="2">
        <f>IFERROR(VLOOKUP(Calculations[[#This Row],[Material (choose from dropdown]],MaterialData[[#Headers],[#Data]],9,FALSE),0)</f>
        <v>0</v>
      </c>
      <c r="AK1078" s="4">
        <f>IFERROR(VLOOKUP(Calculations[[#This Row],[Material (choose from dropdown]],MaterialData[[#Headers],[#Data]],10,FALSE),0)</f>
        <v>0</v>
      </c>
      <c r="AL1078" s="322">
        <f>IFERROR(Calculations[[#This Row],[Data Quality Score]]*Calculations[[#This Row],[Total Kg]],0)</f>
        <v>0</v>
      </c>
    </row>
    <row r="1079" spans="1:38" x14ac:dyDescent="0.3">
      <c r="A1079" s="6">
        <f>IFERROR(MaterialsBoQ[[#This Row],[Scope Element]],0)</f>
        <v>0</v>
      </c>
      <c r="B1079" t="str">
        <f>IFERROR(MaterialsBoQ[[#This Row],[Material ]],"")</f>
        <v/>
      </c>
      <c r="C1079" t="str">
        <f>IFERROR(MaterialsBoQ[[#This Row],[Unit]],"")</f>
        <v/>
      </c>
      <c r="D1079" s="322">
        <f>IFERROR(MaterialsBoQ[[#This Row],[Number]],0)</f>
        <v>0</v>
      </c>
      <c r="E1079" s="322">
        <f>IFERROR(MaterialsBoQ[[#This Row],[Kg per unit]],0)</f>
        <v>0</v>
      </c>
      <c r="F1079" s="322">
        <f>IFERROR(Calculations[[#This Row],[Number]]*Calculations[[#This Row],[Conversion factor]],0)</f>
        <v>0</v>
      </c>
      <c r="G1079" s="322">
        <f>IFERROR(VLOOKUP(Calculations[[#This Row],[Material (choose from dropdown]],MaterialData[#All],7,FALSE),0)</f>
        <v>0</v>
      </c>
      <c r="H1079" s="322">
        <f>Calculations[[#This Row],[Total Kg]]*Calculations[[#This Row],[Carbon Factor]]</f>
        <v>0</v>
      </c>
      <c r="I1079" t="str">
        <f>IFERROR(VLOOKUP(Calculations[[#This Row],[Material (choose from dropdown]],MaterialData[#All],2,FALSE),"")</f>
        <v/>
      </c>
      <c r="J1079" s="322">
        <f>IFERROR(((VLOOKUP(Calculations[[#This Row],[TransportSource]],TransportDistance[],2,FALSE)*'Stage assumptions'!$C$11)+VLOOKUP(Calculations[[#This Row],[TransportSource]],TransportDistance[],3,FALSE)*'Stage assumptions'!$C$12)*Calculations[[#This Row],[Total Kg]],0)</f>
        <v>0</v>
      </c>
      <c r="K1079">
        <f>IFERROR(VLOOKUP(Calculations[[#This Row],[Material (choose from dropdown]], MaterialData[#All],3, FALSE),0)</f>
        <v>0</v>
      </c>
      <c r="L1079" s="322">
        <f>IFERROR(VLOOKUP(Calculations[[#This Row],[A5type]],A5WastageRate[#All],2,FALSE)*Calculations[[#This Row],[A1-3]],0)</f>
        <v>0</v>
      </c>
      <c r="N1079">
        <f>IFERROR(ROUNDUP(50/VLOOKUP(Calculations[[#This Row],[Scope Element]],B4referenceServiceLife[[Tier 2 element]:[Default Service Life]],2, FALSE)-1,0),0)</f>
        <v>0</v>
      </c>
      <c r="O1079" s="322">
        <f>IFERROR((Calculations[[#This Row],[A1-3]]+Calculations[[#This Row],[A4]]+Calculations[[#This Row],[A5]]+Calculations[[#This Row],[C2 total]]+Calculations[[#This Row],[C3 total]]+Calculations[[#This Row],[C4 total]])*Calculations[[#This Row],[Replacements]],0)</f>
        <v>0</v>
      </c>
      <c r="S1079" t="str">
        <f>IFERROR(VLOOKUP(Calculations[[#This Row],[Material (choose from dropdown]],MaterialData[#All],4,FALSE),"")</f>
        <v/>
      </c>
      <c r="T1079" s="322" cm="1">
        <f t="array" ref="T1079">IFERROR(VLOOKUP(Calculations[[#This Row],[Waste 1]],WasteScenario[#All],2,FALSE)*'Stage assumptions'!$C$225*WasteTransportMethod[Emissions Factor
kgCO2e/kg.km]*Calculations[[#This Row],[Total Kg]],0)</f>
        <v>0</v>
      </c>
      <c r="U1079" s="322" cm="1">
        <f t="array" ref="U1079">IFERROR(VLOOKUP(Calculations[[#This Row],[Waste 1]],WasteScenario[#All],3,FALSE)*'Stage assumptions'!$C$224*WasteTransportMethod[Emissions Factor
kgCO2e/kg.km]*Calculations[[#This Row],[Total Kg]],0)</f>
        <v>0</v>
      </c>
      <c r="V1079" s="322" cm="1">
        <f t="array" ref="V1079">IFERROR(VLOOKUP(Calculations[[#This Row],[Waste 1]],WasteScenario[#All],4,FALSE)*'Stage assumptions'!$C$223*WasteTransportMethod[Emissions Factor
kgCO2e/kg.km]*Calculations[[#This Row],[Total Kg]],0)</f>
        <v>0</v>
      </c>
      <c r="W1079" s="322" cm="1">
        <f t="array" ref="W1079">IFERROR(VLOOKUP(Calculations[[#This Row],[Waste 1]],WasteScenario[#All],5,FALSE)*'Stage assumptions'!$C$226*WasteTransportMethod[Emissions Factor
kgCO2e/kg.km]*Calculations[[#This Row],[Total Kg]],0)</f>
        <v>0</v>
      </c>
      <c r="X1079" s="322">
        <f>SUM(Calculations[[#This Row],[C2 Recycle]:[C2 Reuse]])</f>
        <v>0</v>
      </c>
      <c r="Y1079" t="str">
        <f>IFERROR(VLOOKUP(Calculations[[#This Row],[Material (choose from dropdown]],MaterialData[#All],5,FALSE),"")</f>
        <v/>
      </c>
      <c r="Z1079" s="322">
        <f>IFERROR(((VLOOKUP(Calculations[[#This Row],[Waste type 2]],WasteDisposalEmissions[#All],2,FALSE))*Calculations[[#This Row],[Total Kg]])*VLOOKUP(Calculations[[#This Row],[Waste 1]],WasteScenario[#All],2,FALSE),0)</f>
        <v>0</v>
      </c>
      <c r="AA1079" s="322">
        <f>IFERROR((VLOOKUP(Calculations[[#This Row],[Waste type 2]],WasteDisposalEmissions[#All],3,FALSE))*Calculations[[#This Row],[Total Kg]]*VLOOKUP(Calculations[[#This Row],[Waste 1]],WasteScenario[#All],3,FALSE),0)</f>
        <v>0</v>
      </c>
      <c r="AB1079" s="322">
        <f>SUM(Calculations[[#This Row],[C3 recyc]:[C3 incin]])</f>
        <v>0</v>
      </c>
      <c r="AC1079" s="334">
        <f>IFERROR((VLOOKUP(Calculations[[#This Row],[Waste type 2]],WasteLandfillEmissions[#All],2,FALSE))*Calculations[[#This Row],[Total Kg]]*VLOOKUP(Calculations[[#This Row],[Waste 1]],WasteScenario[#All],4,FALSE),0)</f>
        <v>0</v>
      </c>
      <c r="AD1079" s="322">
        <f>IFERROR((VLOOKUP(Calculations[[#This Row],[Waste type 2]],WasteLandfillEmissions[#All],3,FALSE))*Calculations[[#This Row],[Total Kg]]*VLOOKUP(Calculations[[#This Row],[Waste 1]],WasteScenario[#All],4,FALSE),0)</f>
        <v>0</v>
      </c>
      <c r="AE1079" s="322">
        <f>SUM(Calculations[[#This Row],[C4 landfill]:[C4 re-use]])</f>
        <v>0</v>
      </c>
      <c r="AF1079" s="322">
        <f>IFERROR(VLOOKUP(Calculations[[#This Row],[Material (choose from dropdown]],MaterialData[#All],8,FALSE),0)</f>
        <v>0</v>
      </c>
      <c r="AG1079" s="322">
        <f>IFERROR(Calculations[[#This Row],[Total Kg]]*Calculations[[#This Row],[Seq factor]],0)</f>
        <v>0</v>
      </c>
      <c r="AI1079" s="322">
        <f>Calculations[[#This Row],[A1-3]]+Calculations[[#This Row],[A4]]+Calculations[[#This Row],[A5]]+Calculations[[#This Row],[B4]]+Calculations[[#This Row],[C2 total]]+Calculations[[#This Row],[C3 total]]+Calculations[[#This Row],[C4 total]]</f>
        <v>0</v>
      </c>
      <c r="AJ1079" s="2">
        <f>IFERROR(VLOOKUP(Calculations[[#This Row],[Material (choose from dropdown]],MaterialData[[#Headers],[#Data]],9,FALSE),0)</f>
        <v>0</v>
      </c>
      <c r="AK1079" s="4">
        <f>IFERROR(VLOOKUP(Calculations[[#This Row],[Material (choose from dropdown]],MaterialData[[#Headers],[#Data]],10,FALSE),0)</f>
        <v>0</v>
      </c>
      <c r="AL1079" s="322">
        <f>IFERROR(Calculations[[#This Row],[Data Quality Score]]*Calculations[[#This Row],[Total Kg]],0)</f>
        <v>0</v>
      </c>
    </row>
    <row r="1080" spans="1:38" x14ac:dyDescent="0.3">
      <c r="A1080" s="6">
        <f>IFERROR(MaterialsBoQ[[#This Row],[Scope Element]],0)</f>
        <v>0</v>
      </c>
      <c r="B1080" t="str">
        <f>IFERROR(MaterialsBoQ[[#This Row],[Material ]],"")</f>
        <v/>
      </c>
      <c r="C1080" t="str">
        <f>IFERROR(MaterialsBoQ[[#This Row],[Unit]],"")</f>
        <v/>
      </c>
      <c r="D1080" s="322">
        <f>IFERROR(MaterialsBoQ[[#This Row],[Number]],0)</f>
        <v>0</v>
      </c>
      <c r="E1080" s="322">
        <f>IFERROR(MaterialsBoQ[[#This Row],[Kg per unit]],0)</f>
        <v>0</v>
      </c>
      <c r="F1080" s="322">
        <f>IFERROR(Calculations[[#This Row],[Number]]*Calculations[[#This Row],[Conversion factor]],0)</f>
        <v>0</v>
      </c>
      <c r="G1080" s="322">
        <f>IFERROR(VLOOKUP(Calculations[[#This Row],[Material (choose from dropdown]],MaterialData[#All],7,FALSE),0)</f>
        <v>0</v>
      </c>
      <c r="H1080" s="322">
        <f>Calculations[[#This Row],[Total Kg]]*Calculations[[#This Row],[Carbon Factor]]</f>
        <v>0</v>
      </c>
      <c r="I1080" t="str">
        <f>IFERROR(VLOOKUP(Calculations[[#This Row],[Material (choose from dropdown]],MaterialData[#All],2,FALSE),"")</f>
        <v/>
      </c>
      <c r="J1080" s="322">
        <f>IFERROR(((VLOOKUP(Calculations[[#This Row],[TransportSource]],TransportDistance[],2,FALSE)*'Stage assumptions'!$C$11)+VLOOKUP(Calculations[[#This Row],[TransportSource]],TransportDistance[],3,FALSE)*'Stage assumptions'!$C$12)*Calculations[[#This Row],[Total Kg]],0)</f>
        <v>0</v>
      </c>
      <c r="K1080">
        <f>IFERROR(VLOOKUP(Calculations[[#This Row],[Material (choose from dropdown]], MaterialData[#All],3, FALSE),0)</f>
        <v>0</v>
      </c>
      <c r="L1080" s="322">
        <f>IFERROR(VLOOKUP(Calculations[[#This Row],[A5type]],A5WastageRate[#All],2,FALSE)*Calculations[[#This Row],[A1-3]],0)</f>
        <v>0</v>
      </c>
      <c r="N1080">
        <f>IFERROR(ROUNDUP(50/VLOOKUP(Calculations[[#This Row],[Scope Element]],B4referenceServiceLife[[Tier 2 element]:[Default Service Life]],2, FALSE)-1,0),0)</f>
        <v>0</v>
      </c>
      <c r="O1080" s="322">
        <f>IFERROR((Calculations[[#This Row],[A1-3]]+Calculations[[#This Row],[A4]]+Calculations[[#This Row],[A5]]+Calculations[[#This Row],[C2 total]]+Calculations[[#This Row],[C3 total]]+Calculations[[#This Row],[C4 total]])*Calculations[[#This Row],[Replacements]],0)</f>
        <v>0</v>
      </c>
      <c r="S1080" t="str">
        <f>IFERROR(VLOOKUP(Calculations[[#This Row],[Material (choose from dropdown]],MaterialData[#All],4,FALSE),"")</f>
        <v/>
      </c>
      <c r="T1080" s="322" cm="1">
        <f t="array" ref="T1080">IFERROR(VLOOKUP(Calculations[[#This Row],[Waste 1]],WasteScenario[#All],2,FALSE)*'Stage assumptions'!$C$225*WasteTransportMethod[Emissions Factor
kgCO2e/kg.km]*Calculations[[#This Row],[Total Kg]],0)</f>
        <v>0</v>
      </c>
      <c r="U1080" s="322" cm="1">
        <f t="array" ref="U1080">IFERROR(VLOOKUP(Calculations[[#This Row],[Waste 1]],WasteScenario[#All],3,FALSE)*'Stage assumptions'!$C$224*WasteTransportMethod[Emissions Factor
kgCO2e/kg.km]*Calculations[[#This Row],[Total Kg]],0)</f>
        <v>0</v>
      </c>
      <c r="V1080" s="322" cm="1">
        <f t="array" ref="V1080">IFERROR(VLOOKUP(Calculations[[#This Row],[Waste 1]],WasteScenario[#All],4,FALSE)*'Stage assumptions'!$C$223*WasteTransportMethod[Emissions Factor
kgCO2e/kg.km]*Calculations[[#This Row],[Total Kg]],0)</f>
        <v>0</v>
      </c>
      <c r="W1080" s="322" cm="1">
        <f t="array" ref="W1080">IFERROR(VLOOKUP(Calculations[[#This Row],[Waste 1]],WasteScenario[#All],5,FALSE)*'Stage assumptions'!$C$226*WasteTransportMethod[Emissions Factor
kgCO2e/kg.km]*Calculations[[#This Row],[Total Kg]],0)</f>
        <v>0</v>
      </c>
      <c r="X1080" s="322">
        <f>SUM(Calculations[[#This Row],[C2 Recycle]:[C2 Reuse]])</f>
        <v>0</v>
      </c>
      <c r="Y1080" t="str">
        <f>IFERROR(VLOOKUP(Calculations[[#This Row],[Material (choose from dropdown]],MaterialData[#All],5,FALSE),"")</f>
        <v/>
      </c>
      <c r="Z1080" s="322">
        <f>IFERROR(((VLOOKUP(Calculations[[#This Row],[Waste type 2]],WasteDisposalEmissions[#All],2,FALSE))*Calculations[[#This Row],[Total Kg]])*VLOOKUP(Calculations[[#This Row],[Waste 1]],WasteScenario[#All],2,FALSE),0)</f>
        <v>0</v>
      </c>
      <c r="AA1080" s="322">
        <f>IFERROR((VLOOKUP(Calculations[[#This Row],[Waste type 2]],WasteDisposalEmissions[#All],3,FALSE))*Calculations[[#This Row],[Total Kg]]*VLOOKUP(Calculations[[#This Row],[Waste 1]],WasteScenario[#All],3,FALSE),0)</f>
        <v>0</v>
      </c>
      <c r="AB1080" s="322">
        <f>SUM(Calculations[[#This Row],[C3 recyc]:[C3 incin]])</f>
        <v>0</v>
      </c>
      <c r="AC1080" s="334">
        <f>IFERROR((VLOOKUP(Calculations[[#This Row],[Waste type 2]],WasteLandfillEmissions[#All],2,FALSE))*Calculations[[#This Row],[Total Kg]]*VLOOKUP(Calculations[[#This Row],[Waste 1]],WasteScenario[#All],4,FALSE),0)</f>
        <v>0</v>
      </c>
      <c r="AD1080" s="322">
        <f>IFERROR((VLOOKUP(Calculations[[#This Row],[Waste type 2]],WasteLandfillEmissions[#All],3,FALSE))*Calculations[[#This Row],[Total Kg]]*VLOOKUP(Calculations[[#This Row],[Waste 1]],WasteScenario[#All],4,FALSE),0)</f>
        <v>0</v>
      </c>
      <c r="AE1080" s="322">
        <f>SUM(Calculations[[#This Row],[C4 landfill]:[C4 re-use]])</f>
        <v>0</v>
      </c>
      <c r="AF1080" s="322">
        <f>IFERROR(VLOOKUP(Calculations[[#This Row],[Material (choose from dropdown]],MaterialData[#All],8,FALSE),0)</f>
        <v>0</v>
      </c>
      <c r="AG1080" s="322">
        <f>IFERROR(Calculations[[#This Row],[Total Kg]]*Calculations[[#This Row],[Seq factor]],0)</f>
        <v>0</v>
      </c>
      <c r="AI1080" s="322">
        <f>Calculations[[#This Row],[A1-3]]+Calculations[[#This Row],[A4]]+Calculations[[#This Row],[A5]]+Calculations[[#This Row],[B4]]+Calculations[[#This Row],[C2 total]]+Calculations[[#This Row],[C3 total]]+Calculations[[#This Row],[C4 total]]</f>
        <v>0</v>
      </c>
      <c r="AJ1080" s="2">
        <f>IFERROR(VLOOKUP(Calculations[[#This Row],[Material (choose from dropdown]],MaterialData[[#Headers],[#Data]],9,FALSE),0)</f>
        <v>0</v>
      </c>
      <c r="AK1080" s="4">
        <f>IFERROR(VLOOKUP(Calculations[[#This Row],[Material (choose from dropdown]],MaterialData[[#Headers],[#Data]],10,FALSE),0)</f>
        <v>0</v>
      </c>
      <c r="AL1080" s="322">
        <f>IFERROR(Calculations[[#This Row],[Data Quality Score]]*Calculations[[#This Row],[Total Kg]],0)</f>
        <v>0</v>
      </c>
    </row>
    <row r="1081" spans="1:38" x14ac:dyDescent="0.3">
      <c r="A1081" s="6">
        <f>IFERROR(MaterialsBoQ[[#This Row],[Scope Element]],0)</f>
        <v>0</v>
      </c>
      <c r="B1081" t="str">
        <f>IFERROR(MaterialsBoQ[[#This Row],[Material ]],"")</f>
        <v/>
      </c>
      <c r="C1081" t="str">
        <f>IFERROR(MaterialsBoQ[[#This Row],[Unit]],"")</f>
        <v/>
      </c>
      <c r="D1081" s="322">
        <f>IFERROR(MaterialsBoQ[[#This Row],[Number]],0)</f>
        <v>0</v>
      </c>
      <c r="E1081" s="322">
        <f>IFERROR(MaterialsBoQ[[#This Row],[Kg per unit]],0)</f>
        <v>0</v>
      </c>
      <c r="F1081" s="322">
        <f>IFERROR(Calculations[[#This Row],[Number]]*Calculations[[#This Row],[Conversion factor]],0)</f>
        <v>0</v>
      </c>
      <c r="G1081" s="322">
        <f>IFERROR(VLOOKUP(Calculations[[#This Row],[Material (choose from dropdown]],MaterialData[#All],7,FALSE),0)</f>
        <v>0</v>
      </c>
      <c r="H1081" s="322">
        <f>Calculations[[#This Row],[Total Kg]]*Calculations[[#This Row],[Carbon Factor]]</f>
        <v>0</v>
      </c>
      <c r="I1081" t="str">
        <f>IFERROR(VLOOKUP(Calculations[[#This Row],[Material (choose from dropdown]],MaterialData[#All],2,FALSE),"")</f>
        <v/>
      </c>
      <c r="J1081" s="322">
        <f>IFERROR(((VLOOKUP(Calculations[[#This Row],[TransportSource]],TransportDistance[],2,FALSE)*'Stage assumptions'!$C$11)+VLOOKUP(Calculations[[#This Row],[TransportSource]],TransportDistance[],3,FALSE)*'Stage assumptions'!$C$12)*Calculations[[#This Row],[Total Kg]],0)</f>
        <v>0</v>
      </c>
      <c r="K1081">
        <f>IFERROR(VLOOKUP(Calculations[[#This Row],[Material (choose from dropdown]], MaterialData[#All],3, FALSE),0)</f>
        <v>0</v>
      </c>
      <c r="L1081" s="322">
        <f>IFERROR(VLOOKUP(Calculations[[#This Row],[A5type]],A5WastageRate[#All],2,FALSE)*Calculations[[#This Row],[A1-3]],0)</f>
        <v>0</v>
      </c>
      <c r="N1081">
        <f>IFERROR(ROUNDUP(50/VLOOKUP(Calculations[[#This Row],[Scope Element]],B4referenceServiceLife[[Tier 2 element]:[Default Service Life]],2, FALSE)-1,0),0)</f>
        <v>0</v>
      </c>
      <c r="O1081" s="322">
        <f>IFERROR((Calculations[[#This Row],[A1-3]]+Calculations[[#This Row],[A4]]+Calculations[[#This Row],[A5]]+Calculations[[#This Row],[C2 total]]+Calculations[[#This Row],[C3 total]]+Calculations[[#This Row],[C4 total]])*Calculations[[#This Row],[Replacements]],0)</f>
        <v>0</v>
      </c>
      <c r="S1081" t="str">
        <f>IFERROR(VLOOKUP(Calculations[[#This Row],[Material (choose from dropdown]],MaterialData[#All],4,FALSE),"")</f>
        <v/>
      </c>
      <c r="T1081" s="322" cm="1">
        <f t="array" ref="T1081">IFERROR(VLOOKUP(Calculations[[#This Row],[Waste 1]],WasteScenario[#All],2,FALSE)*'Stage assumptions'!$C$225*WasteTransportMethod[Emissions Factor
kgCO2e/kg.km]*Calculations[[#This Row],[Total Kg]],0)</f>
        <v>0</v>
      </c>
      <c r="U1081" s="322" cm="1">
        <f t="array" ref="U1081">IFERROR(VLOOKUP(Calculations[[#This Row],[Waste 1]],WasteScenario[#All],3,FALSE)*'Stage assumptions'!$C$224*WasteTransportMethod[Emissions Factor
kgCO2e/kg.km]*Calculations[[#This Row],[Total Kg]],0)</f>
        <v>0</v>
      </c>
      <c r="V1081" s="322" cm="1">
        <f t="array" ref="V1081">IFERROR(VLOOKUP(Calculations[[#This Row],[Waste 1]],WasteScenario[#All],4,FALSE)*'Stage assumptions'!$C$223*WasteTransportMethod[Emissions Factor
kgCO2e/kg.km]*Calculations[[#This Row],[Total Kg]],0)</f>
        <v>0</v>
      </c>
      <c r="W1081" s="322" cm="1">
        <f t="array" ref="W1081">IFERROR(VLOOKUP(Calculations[[#This Row],[Waste 1]],WasteScenario[#All],5,FALSE)*'Stage assumptions'!$C$226*WasteTransportMethod[Emissions Factor
kgCO2e/kg.km]*Calculations[[#This Row],[Total Kg]],0)</f>
        <v>0</v>
      </c>
      <c r="X1081" s="322">
        <f>SUM(Calculations[[#This Row],[C2 Recycle]:[C2 Reuse]])</f>
        <v>0</v>
      </c>
      <c r="Y1081" t="str">
        <f>IFERROR(VLOOKUP(Calculations[[#This Row],[Material (choose from dropdown]],MaterialData[#All],5,FALSE),"")</f>
        <v/>
      </c>
      <c r="Z1081" s="322">
        <f>IFERROR(((VLOOKUP(Calculations[[#This Row],[Waste type 2]],WasteDisposalEmissions[#All],2,FALSE))*Calculations[[#This Row],[Total Kg]])*VLOOKUP(Calculations[[#This Row],[Waste 1]],WasteScenario[#All],2,FALSE),0)</f>
        <v>0</v>
      </c>
      <c r="AA1081" s="322">
        <f>IFERROR((VLOOKUP(Calculations[[#This Row],[Waste type 2]],WasteDisposalEmissions[#All],3,FALSE))*Calculations[[#This Row],[Total Kg]]*VLOOKUP(Calculations[[#This Row],[Waste 1]],WasteScenario[#All],3,FALSE),0)</f>
        <v>0</v>
      </c>
      <c r="AB1081" s="322">
        <f>SUM(Calculations[[#This Row],[C3 recyc]:[C3 incin]])</f>
        <v>0</v>
      </c>
      <c r="AC1081" s="334">
        <f>IFERROR((VLOOKUP(Calculations[[#This Row],[Waste type 2]],WasteLandfillEmissions[#All],2,FALSE))*Calculations[[#This Row],[Total Kg]]*VLOOKUP(Calculations[[#This Row],[Waste 1]],WasteScenario[#All],4,FALSE),0)</f>
        <v>0</v>
      </c>
      <c r="AD1081" s="322">
        <f>IFERROR((VLOOKUP(Calculations[[#This Row],[Waste type 2]],WasteLandfillEmissions[#All],3,FALSE))*Calculations[[#This Row],[Total Kg]]*VLOOKUP(Calculations[[#This Row],[Waste 1]],WasteScenario[#All],4,FALSE),0)</f>
        <v>0</v>
      </c>
      <c r="AE1081" s="322">
        <f>SUM(Calculations[[#This Row],[C4 landfill]:[C4 re-use]])</f>
        <v>0</v>
      </c>
      <c r="AF1081" s="322">
        <f>IFERROR(VLOOKUP(Calculations[[#This Row],[Material (choose from dropdown]],MaterialData[#All],8,FALSE),0)</f>
        <v>0</v>
      </c>
      <c r="AG1081" s="322">
        <f>IFERROR(Calculations[[#This Row],[Total Kg]]*Calculations[[#This Row],[Seq factor]],0)</f>
        <v>0</v>
      </c>
      <c r="AI1081" s="322">
        <f>Calculations[[#This Row],[A1-3]]+Calculations[[#This Row],[A4]]+Calculations[[#This Row],[A5]]+Calculations[[#This Row],[B4]]+Calculations[[#This Row],[C2 total]]+Calculations[[#This Row],[C3 total]]+Calculations[[#This Row],[C4 total]]</f>
        <v>0</v>
      </c>
      <c r="AJ1081" s="2">
        <f>IFERROR(VLOOKUP(Calculations[[#This Row],[Material (choose from dropdown]],MaterialData[[#Headers],[#Data]],9,FALSE),0)</f>
        <v>0</v>
      </c>
      <c r="AK1081" s="4">
        <f>IFERROR(VLOOKUP(Calculations[[#This Row],[Material (choose from dropdown]],MaterialData[[#Headers],[#Data]],10,FALSE),0)</f>
        <v>0</v>
      </c>
      <c r="AL1081" s="322">
        <f>IFERROR(Calculations[[#This Row],[Data Quality Score]]*Calculations[[#This Row],[Total Kg]],0)</f>
        <v>0</v>
      </c>
    </row>
    <row r="1082" spans="1:38" x14ac:dyDescent="0.3">
      <c r="A1082" s="6">
        <f>IFERROR(MaterialsBoQ[[#This Row],[Scope Element]],0)</f>
        <v>0</v>
      </c>
      <c r="B1082" t="str">
        <f>IFERROR(MaterialsBoQ[[#This Row],[Material ]],"")</f>
        <v/>
      </c>
      <c r="C1082" t="str">
        <f>IFERROR(MaterialsBoQ[[#This Row],[Unit]],"")</f>
        <v/>
      </c>
      <c r="D1082" s="322">
        <f>IFERROR(MaterialsBoQ[[#This Row],[Number]],0)</f>
        <v>0</v>
      </c>
      <c r="E1082" s="322">
        <f>IFERROR(MaterialsBoQ[[#This Row],[Kg per unit]],0)</f>
        <v>0</v>
      </c>
      <c r="F1082" s="322">
        <f>IFERROR(Calculations[[#This Row],[Number]]*Calculations[[#This Row],[Conversion factor]],0)</f>
        <v>0</v>
      </c>
      <c r="G1082" s="322">
        <f>IFERROR(VLOOKUP(Calculations[[#This Row],[Material (choose from dropdown]],MaterialData[#All],7,FALSE),0)</f>
        <v>0</v>
      </c>
      <c r="H1082" s="322">
        <f>Calculations[[#This Row],[Total Kg]]*Calculations[[#This Row],[Carbon Factor]]</f>
        <v>0</v>
      </c>
      <c r="I1082" t="str">
        <f>IFERROR(VLOOKUP(Calculations[[#This Row],[Material (choose from dropdown]],MaterialData[#All],2,FALSE),"")</f>
        <v/>
      </c>
      <c r="J1082" s="322">
        <f>IFERROR(((VLOOKUP(Calculations[[#This Row],[TransportSource]],TransportDistance[],2,FALSE)*'Stage assumptions'!$C$11)+VLOOKUP(Calculations[[#This Row],[TransportSource]],TransportDistance[],3,FALSE)*'Stage assumptions'!$C$12)*Calculations[[#This Row],[Total Kg]],0)</f>
        <v>0</v>
      </c>
      <c r="K1082">
        <f>IFERROR(VLOOKUP(Calculations[[#This Row],[Material (choose from dropdown]], MaterialData[#All],3, FALSE),0)</f>
        <v>0</v>
      </c>
      <c r="L1082" s="322">
        <f>IFERROR(VLOOKUP(Calculations[[#This Row],[A5type]],A5WastageRate[#All],2,FALSE)*Calculations[[#This Row],[A1-3]],0)</f>
        <v>0</v>
      </c>
      <c r="N1082">
        <f>IFERROR(ROUNDUP(50/VLOOKUP(Calculations[[#This Row],[Scope Element]],B4referenceServiceLife[[Tier 2 element]:[Default Service Life]],2, FALSE)-1,0),0)</f>
        <v>0</v>
      </c>
      <c r="O1082" s="322">
        <f>IFERROR((Calculations[[#This Row],[A1-3]]+Calculations[[#This Row],[A4]]+Calculations[[#This Row],[A5]]+Calculations[[#This Row],[C2 total]]+Calculations[[#This Row],[C3 total]]+Calculations[[#This Row],[C4 total]])*Calculations[[#This Row],[Replacements]],0)</f>
        <v>0</v>
      </c>
      <c r="S1082" t="str">
        <f>IFERROR(VLOOKUP(Calculations[[#This Row],[Material (choose from dropdown]],MaterialData[#All],4,FALSE),"")</f>
        <v/>
      </c>
      <c r="T1082" s="322" cm="1">
        <f t="array" ref="T1082">IFERROR(VLOOKUP(Calculations[[#This Row],[Waste 1]],WasteScenario[#All],2,FALSE)*'Stage assumptions'!$C$225*WasteTransportMethod[Emissions Factor
kgCO2e/kg.km]*Calculations[[#This Row],[Total Kg]],0)</f>
        <v>0</v>
      </c>
      <c r="U1082" s="322" cm="1">
        <f t="array" ref="U1082">IFERROR(VLOOKUP(Calculations[[#This Row],[Waste 1]],WasteScenario[#All],3,FALSE)*'Stage assumptions'!$C$224*WasteTransportMethod[Emissions Factor
kgCO2e/kg.km]*Calculations[[#This Row],[Total Kg]],0)</f>
        <v>0</v>
      </c>
      <c r="V1082" s="322" cm="1">
        <f t="array" ref="V1082">IFERROR(VLOOKUP(Calculations[[#This Row],[Waste 1]],WasteScenario[#All],4,FALSE)*'Stage assumptions'!$C$223*WasteTransportMethod[Emissions Factor
kgCO2e/kg.km]*Calculations[[#This Row],[Total Kg]],0)</f>
        <v>0</v>
      </c>
      <c r="W1082" s="322" cm="1">
        <f t="array" ref="W1082">IFERROR(VLOOKUP(Calculations[[#This Row],[Waste 1]],WasteScenario[#All],5,FALSE)*'Stage assumptions'!$C$226*WasteTransportMethod[Emissions Factor
kgCO2e/kg.km]*Calculations[[#This Row],[Total Kg]],0)</f>
        <v>0</v>
      </c>
      <c r="X1082" s="322">
        <f>SUM(Calculations[[#This Row],[C2 Recycle]:[C2 Reuse]])</f>
        <v>0</v>
      </c>
      <c r="Y1082" t="str">
        <f>IFERROR(VLOOKUP(Calculations[[#This Row],[Material (choose from dropdown]],MaterialData[#All],5,FALSE),"")</f>
        <v/>
      </c>
      <c r="Z1082" s="322">
        <f>IFERROR(((VLOOKUP(Calculations[[#This Row],[Waste type 2]],WasteDisposalEmissions[#All],2,FALSE))*Calculations[[#This Row],[Total Kg]])*VLOOKUP(Calculations[[#This Row],[Waste 1]],WasteScenario[#All],2,FALSE),0)</f>
        <v>0</v>
      </c>
      <c r="AA1082" s="322">
        <f>IFERROR((VLOOKUP(Calculations[[#This Row],[Waste type 2]],WasteDisposalEmissions[#All],3,FALSE))*Calculations[[#This Row],[Total Kg]]*VLOOKUP(Calculations[[#This Row],[Waste 1]],WasteScenario[#All],3,FALSE),0)</f>
        <v>0</v>
      </c>
      <c r="AB1082" s="322">
        <f>SUM(Calculations[[#This Row],[C3 recyc]:[C3 incin]])</f>
        <v>0</v>
      </c>
      <c r="AC1082" s="334">
        <f>IFERROR((VLOOKUP(Calculations[[#This Row],[Waste type 2]],WasteLandfillEmissions[#All],2,FALSE))*Calculations[[#This Row],[Total Kg]]*VLOOKUP(Calculations[[#This Row],[Waste 1]],WasteScenario[#All],4,FALSE),0)</f>
        <v>0</v>
      </c>
      <c r="AD1082" s="322">
        <f>IFERROR((VLOOKUP(Calculations[[#This Row],[Waste type 2]],WasteLandfillEmissions[#All],3,FALSE))*Calculations[[#This Row],[Total Kg]]*VLOOKUP(Calculations[[#This Row],[Waste 1]],WasteScenario[#All],4,FALSE),0)</f>
        <v>0</v>
      </c>
      <c r="AE1082" s="322">
        <f>SUM(Calculations[[#This Row],[C4 landfill]:[C4 re-use]])</f>
        <v>0</v>
      </c>
      <c r="AF1082" s="322">
        <f>IFERROR(VLOOKUP(Calculations[[#This Row],[Material (choose from dropdown]],MaterialData[#All],8,FALSE),0)</f>
        <v>0</v>
      </c>
      <c r="AG1082" s="322">
        <f>IFERROR(Calculations[[#This Row],[Total Kg]]*Calculations[[#This Row],[Seq factor]],0)</f>
        <v>0</v>
      </c>
      <c r="AI1082" s="322">
        <f>Calculations[[#This Row],[A1-3]]+Calculations[[#This Row],[A4]]+Calculations[[#This Row],[A5]]+Calculations[[#This Row],[B4]]+Calculations[[#This Row],[C2 total]]+Calculations[[#This Row],[C3 total]]+Calculations[[#This Row],[C4 total]]</f>
        <v>0</v>
      </c>
      <c r="AJ1082" s="2">
        <f>IFERROR(VLOOKUP(Calculations[[#This Row],[Material (choose from dropdown]],MaterialData[[#Headers],[#Data]],9,FALSE),0)</f>
        <v>0</v>
      </c>
      <c r="AK1082" s="4">
        <f>IFERROR(VLOOKUP(Calculations[[#This Row],[Material (choose from dropdown]],MaterialData[[#Headers],[#Data]],10,FALSE),0)</f>
        <v>0</v>
      </c>
      <c r="AL1082" s="322">
        <f>IFERROR(Calculations[[#This Row],[Data Quality Score]]*Calculations[[#This Row],[Total Kg]],0)</f>
        <v>0</v>
      </c>
    </row>
    <row r="1083" spans="1:38" x14ac:dyDescent="0.3">
      <c r="A1083" s="6">
        <f>IFERROR(MaterialsBoQ[[#This Row],[Scope Element]],0)</f>
        <v>0</v>
      </c>
      <c r="B1083" t="str">
        <f>IFERROR(MaterialsBoQ[[#This Row],[Material ]],"")</f>
        <v/>
      </c>
      <c r="C1083" t="str">
        <f>IFERROR(MaterialsBoQ[[#This Row],[Unit]],"")</f>
        <v/>
      </c>
      <c r="D1083" s="322">
        <f>IFERROR(MaterialsBoQ[[#This Row],[Number]],0)</f>
        <v>0</v>
      </c>
      <c r="E1083" s="322">
        <f>IFERROR(MaterialsBoQ[[#This Row],[Kg per unit]],0)</f>
        <v>0</v>
      </c>
      <c r="F1083" s="322">
        <f>IFERROR(Calculations[[#This Row],[Number]]*Calculations[[#This Row],[Conversion factor]],0)</f>
        <v>0</v>
      </c>
      <c r="G1083" s="322">
        <f>IFERROR(VLOOKUP(Calculations[[#This Row],[Material (choose from dropdown]],MaterialData[#All],7,FALSE),0)</f>
        <v>0</v>
      </c>
      <c r="H1083" s="322">
        <f>Calculations[[#This Row],[Total Kg]]*Calculations[[#This Row],[Carbon Factor]]</f>
        <v>0</v>
      </c>
      <c r="I1083" t="str">
        <f>IFERROR(VLOOKUP(Calculations[[#This Row],[Material (choose from dropdown]],MaterialData[#All],2,FALSE),"")</f>
        <v/>
      </c>
      <c r="J1083" s="322">
        <f>IFERROR(((VLOOKUP(Calculations[[#This Row],[TransportSource]],TransportDistance[],2,FALSE)*'Stage assumptions'!$C$11)+VLOOKUP(Calculations[[#This Row],[TransportSource]],TransportDistance[],3,FALSE)*'Stage assumptions'!$C$12)*Calculations[[#This Row],[Total Kg]],0)</f>
        <v>0</v>
      </c>
      <c r="K1083">
        <f>IFERROR(VLOOKUP(Calculations[[#This Row],[Material (choose from dropdown]], MaterialData[#All],3, FALSE),0)</f>
        <v>0</v>
      </c>
      <c r="L1083" s="322">
        <f>IFERROR(VLOOKUP(Calculations[[#This Row],[A5type]],A5WastageRate[#All],2,FALSE)*Calculations[[#This Row],[A1-3]],0)</f>
        <v>0</v>
      </c>
      <c r="N1083">
        <f>IFERROR(ROUNDUP(50/VLOOKUP(Calculations[[#This Row],[Scope Element]],B4referenceServiceLife[[Tier 2 element]:[Default Service Life]],2, FALSE)-1,0),0)</f>
        <v>0</v>
      </c>
      <c r="O1083" s="322">
        <f>IFERROR((Calculations[[#This Row],[A1-3]]+Calculations[[#This Row],[A4]]+Calculations[[#This Row],[A5]]+Calculations[[#This Row],[C2 total]]+Calculations[[#This Row],[C3 total]]+Calculations[[#This Row],[C4 total]])*Calculations[[#This Row],[Replacements]],0)</f>
        <v>0</v>
      </c>
      <c r="S1083" t="str">
        <f>IFERROR(VLOOKUP(Calculations[[#This Row],[Material (choose from dropdown]],MaterialData[#All],4,FALSE),"")</f>
        <v/>
      </c>
      <c r="T1083" s="322" cm="1">
        <f t="array" ref="T1083">IFERROR(VLOOKUP(Calculations[[#This Row],[Waste 1]],WasteScenario[#All],2,FALSE)*'Stage assumptions'!$C$225*WasteTransportMethod[Emissions Factor
kgCO2e/kg.km]*Calculations[[#This Row],[Total Kg]],0)</f>
        <v>0</v>
      </c>
      <c r="U1083" s="322" cm="1">
        <f t="array" ref="U1083">IFERROR(VLOOKUP(Calculations[[#This Row],[Waste 1]],WasteScenario[#All],3,FALSE)*'Stage assumptions'!$C$224*WasteTransportMethod[Emissions Factor
kgCO2e/kg.km]*Calculations[[#This Row],[Total Kg]],0)</f>
        <v>0</v>
      </c>
      <c r="V1083" s="322" cm="1">
        <f t="array" ref="V1083">IFERROR(VLOOKUP(Calculations[[#This Row],[Waste 1]],WasteScenario[#All],4,FALSE)*'Stage assumptions'!$C$223*WasteTransportMethod[Emissions Factor
kgCO2e/kg.km]*Calculations[[#This Row],[Total Kg]],0)</f>
        <v>0</v>
      </c>
      <c r="W1083" s="322" cm="1">
        <f t="array" ref="W1083">IFERROR(VLOOKUP(Calculations[[#This Row],[Waste 1]],WasteScenario[#All],5,FALSE)*'Stage assumptions'!$C$226*WasteTransportMethod[Emissions Factor
kgCO2e/kg.km]*Calculations[[#This Row],[Total Kg]],0)</f>
        <v>0</v>
      </c>
      <c r="X1083" s="322">
        <f>SUM(Calculations[[#This Row],[C2 Recycle]:[C2 Reuse]])</f>
        <v>0</v>
      </c>
      <c r="Y1083" t="str">
        <f>IFERROR(VLOOKUP(Calculations[[#This Row],[Material (choose from dropdown]],MaterialData[#All],5,FALSE),"")</f>
        <v/>
      </c>
      <c r="Z1083" s="322">
        <f>IFERROR(((VLOOKUP(Calculations[[#This Row],[Waste type 2]],WasteDisposalEmissions[#All],2,FALSE))*Calculations[[#This Row],[Total Kg]])*VLOOKUP(Calculations[[#This Row],[Waste 1]],WasteScenario[#All],2,FALSE),0)</f>
        <v>0</v>
      </c>
      <c r="AA1083" s="322">
        <f>IFERROR((VLOOKUP(Calculations[[#This Row],[Waste type 2]],WasteDisposalEmissions[#All],3,FALSE))*Calculations[[#This Row],[Total Kg]]*VLOOKUP(Calculations[[#This Row],[Waste 1]],WasteScenario[#All],3,FALSE),0)</f>
        <v>0</v>
      </c>
      <c r="AB1083" s="322">
        <f>SUM(Calculations[[#This Row],[C3 recyc]:[C3 incin]])</f>
        <v>0</v>
      </c>
      <c r="AC1083" s="334">
        <f>IFERROR((VLOOKUP(Calculations[[#This Row],[Waste type 2]],WasteLandfillEmissions[#All],2,FALSE))*Calculations[[#This Row],[Total Kg]]*VLOOKUP(Calculations[[#This Row],[Waste 1]],WasteScenario[#All],4,FALSE),0)</f>
        <v>0</v>
      </c>
      <c r="AD1083" s="322">
        <f>IFERROR((VLOOKUP(Calculations[[#This Row],[Waste type 2]],WasteLandfillEmissions[#All],3,FALSE))*Calculations[[#This Row],[Total Kg]]*VLOOKUP(Calculations[[#This Row],[Waste 1]],WasteScenario[#All],4,FALSE),0)</f>
        <v>0</v>
      </c>
      <c r="AE1083" s="322">
        <f>SUM(Calculations[[#This Row],[C4 landfill]:[C4 re-use]])</f>
        <v>0</v>
      </c>
      <c r="AF1083" s="322">
        <f>IFERROR(VLOOKUP(Calculations[[#This Row],[Material (choose from dropdown]],MaterialData[#All],8,FALSE),0)</f>
        <v>0</v>
      </c>
      <c r="AG1083" s="322">
        <f>IFERROR(Calculations[[#This Row],[Total Kg]]*Calculations[[#This Row],[Seq factor]],0)</f>
        <v>0</v>
      </c>
      <c r="AI1083" s="322">
        <f>Calculations[[#This Row],[A1-3]]+Calculations[[#This Row],[A4]]+Calculations[[#This Row],[A5]]+Calculations[[#This Row],[B4]]+Calculations[[#This Row],[C2 total]]+Calculations[[#This Row],[C3 total]]+Calculations[[#This Row],[C4 total]]</f>
        <v>0</v>
      </c>
      <c r="AJ1083" s="2">
        <f>IFERROR(VLOOKUP(Calculations[[#This Row],[Material (choose from dropdown]],MaterialData[[#Headers],[#Data]],9,FALSE),0)</f>
        <v>0</v>
      </c>
      <c r="AK1083" s="4">
        <f>IFERROR(VLOOKUP(Calculations[[#This Row],[Material (choose from dropdown]],MaterialData[[#Headers],[#Data]],10,FALSE),0)</f>
        <v>0</v>
      </c>
      <c r="AL1083" s="322">
        <f>IFERROR(Calculations[[#This Row],[Data Quality Score]]*Calculations[[#This Row],[Total Kg]],0)</f>
        <v>0</v>
      </c>
    </row>
    <row r="1084" spans="1:38" x14ac:dyDescent="0.3">
      <c r="A1084" s="6">
        <f>IFERROR(MaterialsBoQ[[#This Row],[Scope Element]],0)</f>
        <v>0</v>
      </c>
      <c r="B1084" t="str">
        <f>IFERROR(MaterialsBoQ[[#This Row],[Material ]],"")</f>
        <v/>
      </c>
      <c r="C1084" t="str">
        <f>IFERROR(MaterialsBoQ[[#This Row],[Unit]],"")</f>
        <v/>
      </c>
      <c r="D1084" s="322">
        <f>IFERROR(MaterialsBoQ[[#This Row],[Number]],0)</f>
        <v>0</v>
      </c>
      <c r="E1084" s="322">
        <f>IFERROR(MaterialsBoQ[[#This Row],[Kg per unit]],0)</f>
        <v>0</v>
      </c>
      <c r="F1084" s="322">
        <f>IFERROR(Calculations[[#This Row],[Number]]*Calculations[[#This Row],[Conversion factor]],0)</f>
        <v>0</v>
      </c>
      <c r="G1084" s="322">
        <f>IFERROR(VLOOKUP(Calculations[[#This Row],[Material (choose from dropdown]],MaterialData[#All],7,FALSE),0)</f>
        <v>0</v>
      </c>
      <c r="H1084" s="322">
        <f>Calculations[[#This Row],[Total Kg]]*Calculations[[#This Row],[Carbon Factor]]</f>
        <v>0</v>
      </c>
      <c r="I1084" t="str">
        <f>IFERROR(VLOOKUP(Calculations[[#This Row],[Material (choose from dropdown]],MaterialData[#All],2,FALSE),"")</f>
        <v/>
      </c>
      <c r="J1084" s="322">
        <f>IFERROR(((VLOOKUP(Calculations[[#This Row],[TransportSource]],TransportDistance[],2,FALSE)*'Stage assumptions'!$C$11)+VLOOKUP(Calculations[[#This Row],[TransportSource]],TransportDistance[],3,FALSE)*'Stage assumptions'!$C$12)*Calculations[[#This Row],[Total Kg]],0)</f>
        <v>0</v>
      </c>
      <c r="K1084">
        <f>IFERROR(VLOOKUP(Calculations[[#This Row],[Material (choose from dropdown]], MaterialData[#All],3, FALSE),0)</f>
        <v>0</v>
      </c>
      <c r="L1084" s="322">
        <f>IFERROR(VLOOKUP(Calculations[[#This Row],[A5type]],A5WastageRate[#All],2,FALSE)*Calculations[[#This Row],[A1-3]],0)</f>
        <v>0</v>
      </c>
      <c r="N1084">
        <f>IFERROR(ROUNDUP(50/VLOOKUP(Calculations[[#This Row],[Scope Element]],B4referenceServiceLife[[Tier 2 element]:[Default Service Life]],2, FALSE)-1,0),0)</f>
        <v>0</v>
      </c>
      <c r="O1084" s="322">
        <f>IFERROR((Calculations[[#This Row],[A1-3]]+Calculations[[#This Row],[A4]]+Calculations[[#This Row],[A5]]+Calculations[[#This Row],[C2 total]]+Calculations[[#This Row],[C3 total]]+Calculations[[#This Row],[C4 total]])*Calculations[[#This Row],[Replacements]],0)</f>
        <v>0</v>
      </c>
      <c r="S1084" t="str">
        <f>IFERROR(VLOOKUP(Calculations[[#This Row],[Material (choose from dropdown]],MaterialData[#All],4,FALSE),"")</f>
        <v/>
      </c>
      <c r="T1084" s="322" cm="1">
        <f t="array" ref="T1084">IFERROR(VLOOKUP(Calculations[[#This Row],[Waste 1]],WasteScenario[#All],2,FALSE)*'Stage assumptions'!$C$225*WasteTransportMethod[Emissions Factor
kgCO2e/kg.km]*Calculations[[#This Row],[Total Kg]],0)</f>
        <v>0</v>
      </c>
      <c r="U1084" s="322" cm="1">
        <f t="array" ref="U1084">IFERROR(VLOOKUP(Calculations[[#This Row],[Waste 1]],WasteScenario[#All],3,FALSE)*'Stage assumptions'!$C$224*WasteTransportMethod[Emissions Factor
kgCO2e/kg.km]*Calculations[[#This Row],[Total Kg]],0)</f>
        <v>0</v>
      </c>
      <c r="V1084" s="322" cm="1">
        <f t="array" ref="V1084">IFERROR(VLOOKUP(Calculations[[#This Row],[Waste 1]],WasteScenario[#All],4,FALSE)*'Stage assumptions'!$C$223*WasteTransportMethod[Emissions Factor
kgCO2e/kg.km]*Calculations[[#This Row],[Total Kg]],0)</f>
        <v>0</v>
      </c>
      <c r="W1084" s="322" cm="1">
        <f t="array" ref="W1084">IFERROR(VLOOKUP(Calculations[[#This Row],[Waste 1]],WasteScenario[#All],5,FALSE)*'Stage assumptions'!$C$226*WasteTransportMethod[Emissions Factor
kgCO2e/kg.km]*Calculations[[#This Row],[Total Kg]],0)</f>
        <v>0</v>
      </c>
      <c r="X1084" s="322">
        <f>SUM(Calculations[[#This Row],[C2 Recycle]:[C2 Reuse]])</f>
        <v>0</v>
      </c>
      <c r="Y1084" t="str">
        <f>IFERROR(VLOOKUP(Calculations[[#This Row],[Material (choose from dropdown]],MaterialData[#All],5,FALSE),"")</f>
        <v/>
      </c>
      <c r="Z1084" s="322">
        <f>IFERROR(((VLOOKUP(Calculations[[#This Row],[Waste type 2]],WasteDisposalEmissions[#All],2,FALSE))*Calculations[[#This Row],[Total Kg]])*VLOOKUP(Calculations[[#This Row],[Waste 1]],WasteScenario[#All],2,FALSE),0)</f>
        <v>0</v>
      </c>
      <c r="AA1084" s="322">
        <f>IFERROR((VLOOKUP(Calculations[[#This Row],[Waste type 2]],WasteDisposalEmissions[#All],3,FALSE))*Calculations[[#This Row],[Total Kg]]*VLOOKUP(Calculations[[#This Row],[Waste 1]],WasteScenario[#All],3,FALSE),0)</f>
        <v>0</v>
      </c>
      <c r="AB1084" s="322">
        <f>SUM(Calculations[[#This Row],[C3 recyc]:[C3 incin]])</f>
        <v>0</v>
      </c>
      <c r="AC1084" s="334">
        <f>IFERROR((VLOOKUP(Calculations[[#This Row],[Waste type 2]],WasteLandfillEmissions[#All],2,FALSE))*Calculations[[#This Row],[Total Kg]]*VLOOKUP(Calculations[[#This Row],[Waste 1]],WasteScenario[#All],4,FALSE),0)</f>
        <v>0</v>
      </c>
      <c r="AD1084" s="322">
        <f>IFERROR((VLOOKUP(Calculations[[#This Row],[Waste type 2]],WasteLandfillEmissions[#All],3,FALSE))*Calculations[[#This Row],[Total Kg]]*VLOOKUP(Calculations[[#This Row],[Waste 1]],WasteScenario[#All],4,FALSE),0)</f>
        <v>0</v>
      </c>
      <c r="AE1084" s="322">
        <f>SUM(Calculations[[#This Row],[C4 landfill]:[C4 re-use]])</f>
        <v>0</v>
      </c>
      <c r="AF1084" s="322">
        <f>IFERROR(VLOOKUP(Calculations[[#This Row],[Material (choose from dropdown]],MaterialData[#All],8,FALSE),0)</f>
        <v>0</v>
      </c>
      <c r="AG1084" s="322">
        <f>IFERROR(Calculations[[#This Row],[Total Kg]]*Calculations[[#This Row],[Seq factor]],0)</f>
        <v>0</v>
      </c>
      <c r="AI1084" s="322">
        <f>Calculations[[#This Row],[A1-3]]+Calculations[[#This Row],[A4]]+Calculations[[#This Row],[A5]]+Calculations[[#This Row],[B4]]+Calculations[[#This Row],[C2 total]]+Calculations[[#This Row],[C3 total]]+Calculations[[#This Row],[C4 total]]</f>
        <v>0</v>
      </c>
      <c r="AJ1084" s="2">
        <f>IFERROR(VLOOKUP(Calculations[[#This Row],[Material (choose from dropdown]],MaterialData[[#Headers],[#Data]],9,FALSE),0)</f>
        <v>0</v>
      </c>
      <c r="AK1084" s="4">
        <f>IFERROR(VLOOKUP(Calculations[[#This Row],[Material (choose from dropdown]],MaterialData[[#Headers],[#Data]],10,FALSE),0)</f>
        <v>0</v>
      </c>
      <c r="AL1084" s="322">
        <f>IFERROR(Calculations[[#This Row],[Data Quality Score]]*Calculations[[#This Row],[Total Kg]],0)</f>
        <v>0</v>
      </c>
    </row>
    <row r="1085" spans="1:38" x14ac:dyDescent="0.3">
      <c r="A1085" s="6">
        <f>IFERROR(MaterialsBoQ[[#This Row],[Scope Element]],0)</f>
        <v>0</v>
      </c>
      <c r="B1085" t="str">
        <f>IFERROR(MaterialsBoQ[[#This Row],[Material ]],"")</f>
        <v/>
      </c>
      <c r="C1085" t="str">
        <f>IFERROR(MaterialsBoQ[[#This Row],[Unit]],"")</f>
        <v/>
      </c>
      <c r="D1085" s="322">
        <f>IFERROR(MaterialsBoQ[[#This Row],[Number]],0)</f>
        <v>0</v>
      </c>
      <c r="E1085" s="322">
        <f>IFERROR(MaterialsBoQ[[#This Row],[Kg per unit]],0)</f>
        <v>0</v>
      </c>
      <c r="F1085" s="322">
        <f>IFERROR(Calculations[[#This Row],[Number]]*Calculations[[#This Row],[Conversion factor]],0)</f>
        <v>0</v>
      </c>
      <c r="G1085" s="322">
        <f>IFERROR(VLOOKUP(Calculations[[#This Row],[Material (choose from dropdown]],MaterialData[#All],7,FALSE),0)</f>
        <v>0</v>
      </c>
      <c r="H1085" s="322">
        <f>Calculations[[#This Row],[Total Kg]]*Calculations[[#This Row],[Carbon Factor]]</f>
        <v>0</v>
      </c>
      <c r="I1085" t="str">
        <f>IFERROR(VLOOKUP(Calculations[[#This Row],[Material (choose from dropdown]],MaterialData[#All],2,FALSE),"")</f>
        <v/>
      </c>
      <c r="J1085" s="322">
        <f>IFERROR(((VLOOKUP(Calculations[[#This Row],[TransportSource]],TransportDistance[],2,FALSE)*'Stage assumptions'!$C$11)+VLOOKUP(Calculations[[#This Row],[TransportSource]],TransportDistance[],3,FALSE)*'Stage assumptions'!$C$12)*Calculations[[#This Row],[Total Kg]],0)</f>
        <v>0</v>
      </c>
      <c r="K1085">
        <f>IFERROR(VLOOKUP(Calculations[[#This Row],[Material (choose from dropdown]], MaterialData[#All],3, FALSE),0)</f>
        <v>0</v>
      </c>
      <c r="L1085" s="322">
        <f>IFERROR(VLOOKUP(Calculations[[#This Row],[A5type]],A5WastageRate[#All],2,FALSE)*Calculations[[#This Row],[A1-3]],0)</f>
        <v>0</v>
      </c>
      <c r="N1085">
        <f>IFERROR(ROUNDUP(50/VLOOKUP(Calculations[[#This Row],[Scope Element]],B4referenceServiceLife[[Tier 2 element]:[Default Service Life]],2, FALSE)-1,0),0)</f>
        <v>0</v>
      </c>
      <c r="O1085" s="322">
        <f>IFERROR((Calculations[[#This Row],[A1-3]]+Calculations[[#This Row],[A4]]+Calculations[[#This Row],[A5]]+Calculations[[#This Row],[C2 total]]+Calculations[[#This Row],[C3 total]]+Calculations[[#This Row],[C4 total]])*Calculations[[#This Row],[Replacements]],0)</f>
        <v>0</v>
      </c>
      <c r="S1085" t="str">
        <f>IFERROR(VLOOKUP(Calculations[[#This Row],[Material (choose from dropdown]],MaterialData[#All],4,FALSE),"")</f>
        <v/>
      </c>
      <c r="T1085" s="322" cm="1">
        <f t="array" ref="T1085">IFERROR(VLOOKUP(Calculations[[#This Row],[Waste 1]],WasteScenario[#All],2,FALSE)*'Stage assumptions'!$C$225*WasteTransportMethod[Emissions Factor
kgCO2e/kg.km]*Calculations[[#This Row],[Total Kg]],0)</f>
        <v>0</v>
      </c>
      <c r="U1085" s="322" cm="1">
        <f t="array" ref="U1085">IFERROR(VLOOKUP(Calculations[[#This Row],[Waste 1]],WasteScenario[#All],3,FALSE)*'Stage assumptions'!$C$224*WasteTransportMethod[Emissions Factor
kgCO2e/kg.km]*Calculations[[#This Row],[Total Kg]],0)</f>
        <v>0</v>
      </c>
      <c r="V1085" s="322" cm="1">
        <f t="array" ref="V1085">IFERROR(VLOOKUP(Calculations[[#This Row],[Waste 1]],WasteScenario[#All],4,FALSE)*'Stage assumptions'!$C$223*WasteTransportMethod[Emissions Factor
kgCO2e/kg.km]*Calculations[[#This Row],[Total Kg]],0)</f>
        <v>0</v>
      </c>
      <c r="W1085" s="322" cm="1">
        <f t="array" ref="W1085">IFERROR(VLOOKUP(Calculations[[#This Row],[Waste 1]],WasteScenario[#All],5,FALSE)*'Stage assumptions'!$C$226*WasteTransportMethod[Emissions Factor
kgCO2e/kg.km]*Calculations[[#This Row],[Total Kg]],0)</f>
        <v>0</v>
      </c>
      <c r="X1085" s="322">
        <f>SUM(Calculations[[#This Row],[C2 Recycle]:[C2 Reuse]])</f>
        <v>0</v>
      </c>
      <c r="Y1085" t="str">
        <f>IFERROR(VLOOKUP(Calculations[[#This Row],[Material (choose from dropdown]],MaterialData[#All],5,FALSE),"")</f>
        <v/>
      </c>
      <c r="Z1085" s="322">
        <f>IFERROR(((VLOOKUP(Calculations[[#This Row],[Waste type 2]],WasteDisposalEmissions[#All],2,FALSE))*Calculations[[#This Row],[Total Kg]])*VLOOKUP(Calculations[[#This Row],[Waste 1]],WasteScenario[#All],2,FALSE),0)</f>
        <v>0</v>
      </c>
      <c r="AA1085" s="322">
        <f>IFERROR((VLOOKUP(Calculations[[#This Row],[Waste type 2]],WasteDisposalEmissions[#All],3,FALSE))*Calculations[[#This Row],[Total Kg]]*VLOOKUP(Calculations[[#This Row],[Waste 1]],WasteScenario[#All],3,FALSE),0)</f>
        <v>0</v>
      </c>
      <c r="AB1085" s="322">
        <f>SUM(Calculations[[#This Row],[C3 recyc]:[C3 incin]])</f>
        <v>0</v>
      </c>
      <c r="AC1085" s="334">
        <f>IFERROR((VLOOKUP(Calculations[[#This Row],[Waste type 2]],WasteLandfillEmissions[#All],2,FALSE))*Calculations[[#This Row],[Total Kg]]*VLOOKUP(Calculations[[#This Row],[Waste 1]],WasteScenario[#All],4,FALSE),0)</f>
        <v>0</v>
      </c>
      <c r="AD1085" s="322">
        <f>IFERROR((VLOOKUP(Calculations[[#This Row],[Waste type 2]],WasteLandfillEmissions[#All],3,FALSE))*Calculations[[#This Row],[Total Kg]]*VLOOKUP(Calculations[[#This Row],[Waste 1]],WasteScenario[#All],4,FALSE),0)</f>
        <v>0</v>
      </c>
      <c r="AE1085" s="322">
        <f>SUM(Calculations[[#This Row],[C4 landfill]:[C4 re-use]])</f>
        <v>0</v>
      </c>
      <c r="AF1085" s="322">
        <f>IFERROR(VLOOKUP(Calculations[[#This Row],[Material (choose from dropdown]],MaterialData[#All],8,FALSE),0)</f>
        <v>0</v>
      </c>
      <c r="AG1085" s="322">
        <f>IFERROR(Calculations[[#This Row],[Total Kg]]*Calculations[[#This Row],[Seq factor]],0)</f>
        <v>0</v>
      </c>
      <c r="AI1085" s="322">
        <f>Calculations[[#This Row],[A1-3]]+Calculations[[#This Row],[A4]]+Calculations[[#This Row],[A5]]+Calculations[[#This Row],[B4]]+Calculations[[#This Row],[C2 total]]+Calculations[[#This Row],[C3 total]]+Calculations[[#This Row],[C4 total]]</f>
        <v>0</v>
      </c>
      <c r="AJ1085" s="2">
        <f>IFERROR(VLOOKUP(Calculations[[#This Row],[Material (choose from dropdown]],MaterialData[[#Headers],[#Data]],9,FALSE),0)</f>
        <v>0</v>
      </c>
      <c r="AK1085" s="4">
        <f>IFERROR(VLOOKUP(Calculations[[#This Row],[Material (choose from dropdown]],MaterialData[[#Headers],[#Data]],10,FALSE),0)</f>
        <v>0</v>
      </c>
      <c r="AL1085" s="322">
        <f>IFERROR(Calculations[[#This Row],[Data Quality Score]]*Calculations[[#This Row],[Total Kg]],0)</f>
        <v>0</v>
      </c>
    </row>
    <row r="1086" spans="1:38" x14ac:dyDescent="0.3">
      <c r="A1086" s="6">
        <f>IFERROR(MaterialsBoQ[[#This Row],[Scope Element]],0)</f>
        <v>0</v>
      </c>
      <c r="B1086" t="str">
        <f>IFERROR(MaterialsBoQ[[#This Row],[Material ]],"")</f>
        <v/>
      </c>
      <c r="C1086" t="str">
        <f>IFERROR(MaterialsBoQ[[#This Row],[Unit]],"")</f>
        <v/>
      </c>
      <c r="D1086" s="322">
        <f>IFERROR(MaterialsBoQ[[#This Row],[Number]],0)</f>
        <v>0</v>
      </c>
      <c r="E1086" s="322">
        <f>IFERROR(MaterialsBoQ[[#This Row],[Kg per unit]],0)</f>
        <v>0</v>
      </c>
      <c r="F1086" s="322">
        <f>IFERROR(Calculations[[#This Row],[Number]]*Calculations[[#This Row],[Conversion factor]],0)</f>
        <v>0</v>
      </c>
      <c r="G1086" s="322">
        <f>IFERROR(VLOOKUP(Calculations[[#This Row],[Material (choose from dropdown]],MaterialData[#All],7,FALSE),0)</f>
        <v>0</v>
      </c>
      <c r="H1086" s="322">
        <f>Calculations[[#This Row],[Total Kg]]*Calculations[[#This Row],[Carbon Factor]]</f>
        <v>0</v>
      </c>
      <c r="I1086" t="str">
        <f>IFERROR(VLOOKUP(Calculations[[#This Row],[Material (choose from dropdown]],MaterialData[#All],2,FALSE),"")</f>
        <v/>
      </c>
      <c r="J1086" s="322">
        <f>IFERROR(((VLOOKUP(Calculations[[#This Row],[TransportSource]],TransportDistance[],2,FALSE)*'Stage assumptions'!$C$11)+VLOOKUP(Calculations[[#This Row],[TransportSource]],TransportDistance[],3,FALSE)*'Stage assumptions'!$C$12)*Calculations[[#This Row],[Total Kg]],0)</f>
        <v>0</v>
      </c>
      <c r="K1086">
        <f>IFERROR(VLOOKUP(Calculations[[#This Row],[Material (choose from dropdown]], MaterialData[#All],3, FALSE),0)</f>
        <v>0</v>
      </c>
      <c r="L1086" s="322">
        <f>IFERROR(VLOOKUP(Calculations[[#This Row],[A5type]],A5WastageRate[#All],2,FALSE)*Calculations[[#This Row],[A1-3]],0)</f>
        <v>0</v>
      </c>
      <c r="N1086">
        <f>IFERROR(ROUNDUP(50/VLOOKUP(Calculations[[#This Row],[Scope Element]],B4referenceServiceLife[[Tier 2 element]:[Default Service Life]],2, FALSE)-1,0),0)</f>
        <v>0</v>
      </c>
      <c r="O1086" s="322">
        <f>IFERROR((Calculations[[#This Row],[A1-3]]+Calculations[[#This Row],[A4]]+Calculations[[#This Row],[A5]]+Calculations[[#This Row],[C2 total]]+Calculations[[#This Row],[C3 total]]+Calculations[[#This Row],[C4 total]])*Calculations[[#This Row],[Replacements]],0)</f>
        <v>0</v>
      </c>
      <c r="S1086" t="str">
        <f>IFERROR(VLOOKUP(Calculations[[#This Row],[Material (choose from dropdown]],MaterialData[#All],4,FALSE),"")</f>
        <v/>
      </c>
      <c r="T1086" s="322" cm="1">
        <f t="array" ref="T1086">IFERROR(VLOOKUP(Calculations[[#This Row],[Waste 1]],WasteScenario[#All],2,FALSE)*'Stage assumptions'!$C$225*WasteTransportMethod[Emissions Factor
kgCO2e/kg.km]*Calculations[[#This Row],[Total Kg]],0)</f>
        <v>0</v>
      </c>
      <c r="U1086" s="322" cm="1">
        <f t="array" ref="U1086">IFERROR(VLOOKUP(Calculations[[#This Row],[Waste 1]],WasteScenario[#All],3,FALSE)*'Stage assumptions'!$C$224*WasteTransportMethod[Emissions Factor
kgCO2e/kg.km]*Calculations[[#This Row],[Total Kg]],0)</f>
        <v>0</v>
      </c>
      <c r="V1086" s="322" cm="1">
        <f t="array" ref="V1086">IFERROR(VLOOKUP(Calculations[[#This Row],[Waste 1]],WasteScenario[#All],4,FALSE)*'Stage assumptions'!$C$223*WasteTransportMethod[Emissions Factor
kgCO2e/kg.km]*Calculations[[#This Row],[Total Kg]],0)</f>
        <v>0</v>
      </c>
      <c r="W1086" s="322" cm="1">
        <f t="array" ref="W1086">IFERROR(VLOOKUP(Calculations[[#This Row],[Waste 1]],WasteScenario[#All],5,FALSE)*'Stage assumptions'!$C$226*WasteTransportMethod[Emissions Factor
kgCO2e/kg.km]*Calculations[[#This Row],[Total Kg]],0)</f>
        <v>0</v>
      </c>
      <c r="X1086" s="322">
        <f>SUM(Calculations[[#This Row],[C2 Recycle]:[C2 Reuse]])</f>
        <v>0</v>
      </c>
      <c r="Y1086" t="str">
        <f>IFERROR(VLOOKUP(Calculations[[#This Row],[Material (choose from dropdown]],MaterialData[#All],5,FALSE),"")</f>
        <v/>
      </c>
      <c r="Z1086" s="322">
        <f>IFERROR(((VLOOKUP(Calculations[[#This Row],[Waste type 2]],WasteDisposalEmissions[#All],2,FALSE))*Calculations[[#This Row],[Total Kg]])*VLOOKUP(Calculations[[#This Row],[Waste 1]],WasteScenario[#All],2,FALSE),0)</f>
        <v>0</v>
      </c>
      <c r="AA1086" s="322">
        <f>IFERROR((VLOOKUP(Calculations[[#This Row],[Waste type 2]],WasteDisposalEmissions[#All],3,FALSE))*Calculations[[#This Row],[Total Kg]]*VLOOKUP(Calculations[[#This Row],[Waste 1]],WasteScenario[#All],3,FALSE),0)</f>
        <v>0</v>
      </c>
      <c r="AB1086" s="322">
        <f>SUM(Calculations[[#This Row],[C3 recyc]:[C3 incin]])</f>
        <v>0</v>
      </c>
      <c r="AC1086" s="334">
        <f>IFERROR((VLOOKUP(Calculations[[#This Row],[Waste type 2]],WasteLandfillEmissions[#All],2,FALSE))*Calculations[[#This Row],[Total Kg]]*VLOOKUP(Calculations[[#This Row],[Waste 1]],WasteScenario[#All],4,FALSE),0)</f>
        <v>0</v>
      </c>
      <c r="AD1086" s="322">
        <f>IFERROR((VLOOKUP(Calculations[[#This Row],[Waste type 2]],WasteLandfillEmissions[#All],3,FALSE))*Calculations[[#This Row],[Total Kg]]*VLOOKUP(Calculations[[#This Row],[Waste 1]],WasteScenario[#All],4,FALSE),0)</f>
        <v>0</v>
      </c>
      <c r="AE1086" s="322">
        <f>SUM(Calculations[[#This Row],[C4 landfill]:[C4 re-use]])</f>
        <v>0</v>
      </c>
      <c r="AF1086" s="322">
        <f>IFERROR(VLOOKUP(Calculations[[#This Row],[Material (choose from dropdown]],MaterialData[#All],8,FALSE),0)</f>
        <v>0</v>
      </c>
      <c r="AG1086" s="322">
        <f>IFERROR(Calculations[[#This Row],[Total Kg]]*Calculations[[#This Row],[Seq factor]],0)</f>
        <v>0</v>
      </c>
      <c r="AI1086" s="322">
        <f>Calculations[[#This Row],[A1-3]]+Calculations[[#This Row],[A4]]+Calculations[[#This Row],[A5]]+Calculations[[#This Row],[B4]]+Calculations[[#This Row],[C2 total]]+Calculations[[#This Row],[C3 total]]+Calculations[[#This Row],[C4 total]]</f>
        <v>0</v>
      </c>
      <c r="AJ1086" s="2">
        <f>IFERROR(VLOOKUP(Calculations[[#This Row],[Material (choose from dropdown]],MaterialData[[#Headers],[#Data]],9,FALSE),0)</f>
        <v>0</v>
      </c>
      <c r="AK1086" s="4">
        <f>IFERROR(VLOOKUP(Calculations[[#This Row],[Material (choose from dropdown]],MaterialData[[#Headers],[#Data]],10,FALSE),0)</f>
        <v>0</v>
      </c>
      <c r="AL1086" s="322">
        <f>IFERROR(Calculations[[#This Row],[Data Quality Score]]*Calculations[[#This Row],[Total Kg]],0)</f>
        <v>0</v>
      </c>
    </row>
    <row r="1087" spans="1:38" x14ac:dyDescent="0.3">
      <c r="A1087" s="6">
        <f>IFERROR(MaterialsBoQ[[#This Row],[Scope Element]],0)</f>
        <v>0</v>
      </c>
      <c r="B1087" t="str">
        <f>IFERROR(MaterialsBoQ[[#This Row],[Material ]],"")</f>
        <v/>
      </c>
      <c r="C1087" t="str">
        <f>IFERROR(MaterialsBoQ[[#This Row],[Unit]],"")</f>
        <v/>
      </c>
      <c r="D1087" s="322">
        <f>IFERROR(MaterialsBoQ[[#This Row],[Number]],0)</f>
        <v>0</v>
      </c>
      <c r="E1087" s="322">
        <f>IFERROR(MaterialsBoQ[[#This Row],[Kg per unit]],0)</f>
        <v>0</v>
      </c>
      <c r="F1087" s="322">
        <f>IFERROR(Calculations[[#This Row],[Number]]*Calculations[[#This Row],[Conversion factor]],0)</f>
        <v>0</v>
      </c>
      <c r="G1087" s="322">
        <f>IFERROR(VLOOKUP(Calculations[[#This Row],[Material (choose from dropdown]],MaterialData[#All],7,FALSE),0)</f>
        <v>0</v>
      </c>
      <c r="H1087" s="322">
        <f>Calculations[[#This Row],[Total Kg]]*Calculations[[#This Row],[Carbon Factor]]</f>
        <v>0</v>
      </c>
      <c r="I1087" t="str">
        <f>IFERROR(VLOOKUP(Calculations[[#This Row],[Material (choose from dropdown]],MaterialData[#All],2,FALSE),"")</f>
        <v/>
      </c>
      <c r="J1087" s="322">
        <f>IFERROR(((VLOOKUP(Calculations[[#This Row],[TransportSource]],TransportDistance[],2,FALSE)*'Stage assumptions'!$C$11)+VLOOKUP(Calculations[[#This Row],[TransportSource]],TransportDistance[],3,FALSE)*'Stage assumptions'!$C$12)*Calculations[[#This Row],[Total Kg]],0)</f>
        <v>0</v>
      </c>
      <c r="K1087">
        <f>IFERROR(VLOOKUP(Calculations[[#This Row],[Material (choose from dropdown]], MaterialData[#All],3, FALSE),0)</f>
        <v>0</v>
      </c>
      <c r="L1087" s="322">
        <f>IFERROR(VLOOKUP(Calculations[[#This Row],[A5type]],A5WastageRate[#All],2,FALSE)*Calculations[[#This Row],[A1-3]],0)</f>
        <v>0</v>
      </c>
      <c r="N1087">
        <f>IFERROR(ROUNDUP(50/VLOOKUP(Calculations[[#This Row],[Scope Element]],B4referenceServiceLife[[Tier 2 element]:[Default Service Life]],2, FALSE)-1,0),0)</f>
        <v>0</v>
      </c>
      <c r="O1087" s="322">
        <f>IFERROR((Calculations[[#This Row],[A1-3]]+Calculations[[#This Row],[A4]]+Calculations[[#This Row],[A5]]+Calculations[[#This Row],[C2 total]]+Calculations[[#This Row],[C3 total]]+Calculations[[#This Row],[C4 total]])*Calculations[[#This Row],[Replacements]],0)</f>
        <v>0</v>
      </c>
      <c r="S1087" t="str">
        <f>IFERROR(VLOOKUP(Calculations[[#This Row],[Material (choose from dropdown]],MaterialData[#All],4,FALSE),"")</f>
        <v/>
      </c>
      <c r="T1087" s="322" cm="1">
        <f t="array" ref="T1087">IFERROR(VLOOKUP(Calculations[[#This Row],[Waste 1]],WasteScenario[#All],2,FALSE)*'Stage assumptions'!$C$225*WasteTransportMethod[Emissions Factor
kgCO2e/kg.km]*Calculations[[#This Row],[Total Kg]],0)</f>
        <v>0</v>
      </c>
      <c r="U1087" s="322" cm="1">
        <f t="array" ref="U1087">IFERROR(VLOOKUP(Calculations[[#This Row],[Waste 1]],WasteScenario[#All],3,FALSE)*'Stage assumptions'!$C$224*WasteTransportMethod[Emissions Factor
kgCO2e/kg.km]*Calculations[[#This Row],[Total Kg]],0)</f>
        <v>0</v>
      </c>
      <c r="V1087" s="322" cm="1">
        <f t="array" ref="V1087">IFERROR(VLOOKUP(Calculations[[#This Row],[Waste 1]],WasteScenario[#All],4,FALSE)*'Stage assumptions'!$C$223*WasteTransportMethod[Emissions Factor
kgCO2e/kg.km]*Calculations[[#This Row],[Total Kg]],0)</f>
        <v>0</v>
      </c>
      <c r="W1087" s="322" cm="1">
        <f t="array" ref="W1087">IFERROR(VLOOKUP(Calculations[[#This Row],[Waste 1]],WasteScenario[#All],5,FALSE)*'Stage assumptions'!$C$226*WasteTransportMethod[Emissions Factor
kgCO2e/kg.km]*Calculations[[#This Row],[Total Kg]],0)</f>
        <v>0</v>
      </c>
      <c r="X1087" s="322">
        <f>SUM(Calculations[[#This Row],[C2 Recycle]:[C2 Reuse]])</f>
        <v>0</v>
      </c>
      <c r="Y1087" t="str">
        <f>IFERROR(VLOOKUP(Calculations[[#This Row],[Material (choose from dropdown]],MaterialData[#All],5,FALSE),"")</f>
        <v/>
      </c>
      <c r="Z1087" s="322">
        <f>IFERROR(((VLOOKUP(Calculations[[#This Row],[Waste type 2]],WasteDisposalEmissions[#All],2,FALSE))*Calculations[[#This Row],[Total Kg]])*VLOOKUP(Calculations[[#This Row],[Waste 1]],WasteScenario[#All],2,FALSE),0)</f>
        <v>0</v>
      </c>
      <c r="AA1087" s="322">
        <f>IFERROR((VLOOKUP(Calculations[[#This Row],[Waste type 2]],WasteDisposalEmissions[#All],3,FALSE))*Calculations[[#This Row],[Total Kg]]*VLOOKUP(Calculations[[#This Row],[Waste 1]],WasteScenario[#All],3,FALSE),0)</f>
        <v>0</v>
      </c>
      <c r="AB1087" s="322">
        <f>SUM(Calculations[[#This Row],[C3 recyc]:[C3 incin]])</f>
        <v>0</v>
      </c>
      <c r="AC1087" s="334">
        <f>IFERROR((VLOOKUP(Calculations[[#This Row],[Waste type 2]],WasteLandfillEmissions[#All],2,FALSE))*Calculations[[#This Row],[Total Kg]]*VLOOKUP(Calculations[[#This Row],[Waste 1]],WasteScenario[#All],4,FALSE),0)</f>
        <v>0</v>
      </c>
      <c r="AD1087" s="322">
        <f>IFERROR((VLOOKUP(Calculations[[#This Row],[Waste type 2]],WasteLandfillEmissions[#All],3,FALSE))*Calculations[[#This Row],[Total Kg]]*VLOOKUP(Calculations[[#This Row],[Waste 1]],WasteScenario[#All],4,FALSE),0)</f>
        <v>0</v>
      </c>
      <c r="AE1087" s="322">
        <f>SUM(Calculations[[#This Row],[C4 landfill]:[C4 re-use]])</f>
        <v>0</v>
      </c>
      <c r="AF1087" s="322">
        <f>IFERROR(VLOOKUP(Calculations[[#This Row],[Material (choose from dropdown]],MaterialData[#All],8,FALSE),0)</f>
        <v>0</v>
      </c>
      <c r="AG1087" s="322">
        <f>IFERROR(Calculations[[#This Row],[Total Kg]]*Calculations[[#This Row],[Seq factor]],0)</f>
        <v>0</v>
      </c>
      <c r="AI1087" s="322">
        <f>Calculations[[#This Row],[A1-3]]+Calculations[[#This Row],[A4]]+Calculations[[#This Row],[A5]]+Calculations[[#This Row],[B4]]+Calculations[[#This Row],[C2 total]]+Calculations[[#This Row],[C3 total]]+Calculations[[#This Row],[C4 total]]</f>
        <v>0</v>
      </c>
      <c r="AJ1087" s="2">
        <f>IFERROR(VLOOKUP(Calculations[[#This Row],[Material (choose from dropdown]],MaterialData[[#Headers],[#Data]],9,FALSE),0)</f>
        <v>0</v>
      </c>
      <c r="AK1087" s="4">
        <f>IFERROR(VLOOKUP(Calculations[[#This Row],[Material (choose from dropdown]],MaterialData[[#Headers],[#Data]],10,FALSE),0)</f>
        <v>0</v>
      </c>
      <c r="AL1087" s="322">
        <f>IFERROR(Calculations[[#This Row],[Data Quality Score]]*Calculations[[#This Row],[Total Kg]],0)</f>
        <v>0</v>
      </c>
    </row>
    <row r="1088" spans="1:38" x14ac:dyDescent="0.3">
      <c r="A1088" s="6">
        <f>IFERROR(MaterialsBoQ[[#This Row],[Scope Element]],0)</f>
        <v>0</v>
      </c>
      <c r="B1088" t="str">
        <f>IFERROR(MaterialsBoQ[[#This Row],[Material ]],"")</f>
        <v/>
      </c>
      <c r="C1088" t="str">
        <f>IFERROR(MaterialsBoQ[[#This Row],[Unit]],"")</f>
        <v/>
      </c>
      <c r="D1088" s="322">
        <f>IFERROR(MaterialsBoQ[[#This Row],[Number]],0)</f>
        <v>0</v>
      </c>
      <c r="E1088" s="322">
        <f>IFERROR(MaterialsBoQ[[#This Row],[Kg per unit]],0)</f>
        <v>0</v>
      </c>
      <c r="F1088" s="322">
        <f>IFERROR(Calculations[[#This Row],[Number]]*Calculations[[#This Row],[Conversion factor]],0)</f>
        <v>0</v>
      </c>
      <c r="G1088" s="322">
        <f>IFERROR(VLOOKUP(Calculations[[#This Row],[Material (choose from dropdown]],MaterialData[#All],7,FALSE),0)</f>
        <v>0</v>
      </c>
      <c r="H1088" s="322">
        <f>Calculations[[#This Row],[Total Kg]]*Calculations[[#This Row],[Carbon Factor]]</f>
        <v>0</v>
      </c>
      <c r="I1088" t="str">
        <f>IFERROR(VLOOKUP(Calculations[[#This Row],[Material (choose from dropdown]],MaterialData[#All],2,FALSE),"")</f>
        <v/>
      </c>
      <c r="J1088" s="322">
        <f>IFERROR(((VLOOKUP(Calculations[[#This Row],[TransportSource]],TransportDistance[],2,FALSE)*'Stage assumptions'!$C$11)+VLOOKUP(Calculations[[#This Row],[TransportSource]],TransportDistance[],3,FALSE)*'Stage assumptions'!$C$12)*Calculations[[#This Row],[Total Kg]],0)</f>
        <v>0</v>
      </c>
      <c r="K1088">
        <f>IFERROR(VLOOKUP(Calculations[[#This Row],[Material (choose from dropdown]], MaterialData[#All],3, FALSE),0)</f>
        <v>0</v>
      </c>
      <c r="L1088" s="322">
        <f>IFERROR(VLOOKUP(Calculations[[#This Row],[A5type]],A5WastageRate[#All],2,FALSE)*Calculations[[#This Row],[A1-3]],0)</f>
        <v>0</v>
      </c>
      <c r="N1088">
        <f>IFERROR(ROUNDUP(50/VLOOKUP(Calculations[[#This Row],[Scope Element]],B4referenceServiceLife[[Tier 2 element]:[Default Service Life]],2, FALSE)-1,0),0)</f>
        <v>0</v>
      </c>
      <c r="O1088" s="322">
        <f>IFERROR((Calculations[[#This Row],[A1-3]]+Calculations[[#This Row],[A4]]+Calculations[[#This Row],[A5]]+Calculations[[#This Row],[C2 total]]+Calculations[[#This Row],[C3 total]]+Calculations[[#This Row],[C4 total]])*Calculations[[#This Row],[Replacements]],0)</f>
        <v>0</v>
      </c>
      <c r="S1088" t="str">
        <f>IFERROR(VLOOKUP(Calculations[[#This Row],[Material (choose from dropdown]],MaterialData[#All],4,FALSE),"")</f>
        <v/>
      </c>
      <c r="T1088" s="322" cm="1">
        <f t="array" ref="T1088">IFERROR(VLOOKUP(Calculations[[#This Row],[Waste 1]],WasteScenario[#All],2,FALSE)*'Stage assumptions'!$C$225*WasteTransportMethod[Emissions Factor
kgCO2e/kg.km]*Calculations[[#This Row],[Total Kg]],0)</f>
        <v>0</v>
      </c>
      <c r="U1088" s="322" cm="1">
        <f t="array" ref="U1088">IFERROR(VLOOKUP(Calculations[[#This Row],[Waste 1]],WasteScenario[#All],3,FALSE)*'Stage assumptions'!$C$224*WasteTransportMethod[Emissions Factor
kgCO2e/kg.km]*Calculations[[#This Row],[Total Kg]],0)</f>
        <v>0</v>
      </c>
      <c r="V1088" s="322" cm="1">
        <f t="array" ref="V1088">IFERROR(VLOOKUP(Calculations[[#This Row],[Waste 1]],WasteScenario[#All],4,FALSE)*'Stage assumptions'!$C$223*WasteTransportMethod[Emissions Factor
kgCO2e/kg.km]*Calculations[[#This Row],[Total Kg]],0)</f>
        <v>0</v>
      </c>
      <c r="W1088" s="322" cm="1">
        <f t="array" ref="W1088">IFERROR(VLOOKUP(Calculations[[#This Row],[Waste 1]],WasteScenario[#All],5,FALSE)*'Stage assumptions'!$C$226*WasteTransportMethod[Emissions Factor
kgCO2e/kg.km]*Calculations[[#This Row],[Total Kg]],0)</f>
        <v>0</v>
      </c>
      <c r="X1088" s="322">
        <f>SUM(Calculations[[#This Row],[C2 Recycle]:[C2 Reuse]])</f>
        <v>0</v>
      </c>
      <c r="Y1088" t="str">
        <f>IFERROR(VLOOKUP(Calculations[[#This Row],[Material (choose from dropdown]],MaterialData[#All],5,FALSE),"")</f>
        <v/>
      </c>
      <c r="Z1088" s="322">
        <f>IFERROR(((VLOOKUP(Calculations[[#This Row],[Waste type 2]],WasteDisposalEmissions[#All],2,FALSE))*Calculations[[#This Row],[Total Kg]])*VLOOKUP(Calculations[[#This Row],[Waste 1]],WasteScenario[#All],2,FALSE),0)</f>
        <v>0</v>
      </c>
      <c r="AA1088" s="322">
        <f>IFERROR((VLOOKUP(Calculations[[#This Row],[Waste type 2]],WasteDisposalEmissions[#All],3,FALSE))*Calculations[[#This Row],[Total Kg]]*VLOOKUP(Calculations[[#This Row],[Waste 1]],WasteScenario[#All],3,FALSE),0)</f>
        <v>0</v>
      </c>
      <c r="AB1088" s="322">
        <f>SUM(Calculations[[#This Row],[C3 recyc]:[C3 incin]])</f>
        <v>0</v>
      </c>
      <c r="AC1088" s="334">
        <f>IFERROR((VLOOKUP(Calculations[[#This Row],[Waste type 2]],WasteLandfillEmissions[#All],2,FALSE))*Calculations[[#This Row],[Total Kg]]*VLOOKUP(Calculations[[#This Row],[Waste 1]],WasteScenario[#All],4,FALSE),0)</f>
        <v>0</v>
      </c>
      <c r="AD1088" s="322">
        <f>IFERROR((VLOOKUP(Calculations[[#This Row],[Waste type 2]],WasteLandfillEmissions[#All],3,FALSE))*Calculations[[#This Row],[Total Kg]]*VLOOKUP(Calculations[[#This Row],[Waste 1]],WasteScenario[#All],4,FALSE),0)</f>
        <v>0</v>
      </c>
      <c r="AE1088" s="322">
        <f>SUM(Calculations[[#This Row],[C4 landfill]:[C4 re-use]])</f>
        <v>0</v>
      </c>
      <c r="AF1088" s="322">
        <f>IFERROR(VLOOKUP(Calculations[[#This Row],[Material (choose from dropdown]],MaterialData[#All],8,FALSE),0)</f>
        <v>0</v>
      </c>
      <c r="AG1088" s="322">
        <f>IFERROR(Calculations[[#This Row],[Total Kg]]*Calculations[[#This Row],[Seq factor]],0)</f>
        <v>0</v>
      </c>
      <c r="AI1088" s="322">
        <f>Calculations[[#This Row],[A1-3]]+Calculations[[#This Row],[A4]]+Calculations[[#This Row],[A5]]+Calculations[[#This Row],[B4]]+Calculations[[#This Row],[C2 total]]+Calculations[[#This Row],[C3 total]]+Calculations[[#This Row],[C4 total]]</f>
        <v>0</v>
      </c>
      <c r="AJ1088" s="2">
        <f>IFERROR(VLOOKUP(Calculations[[#This Row],[Material (choose from dropdown]],MaterialData[[#Headers],[#Data]],9,FALSE),0)</f>
        <v>0</v>
      </c>
      <c r="AK1088" s="4">
        <f>IFERROR(VLOOKUP(Calculations[[#This Row],[Material (choose from dropdown]],MaterialData[[#Headers],[#Data]],10,FALSE),0)</f>
        <v>0</v>
      </c>
      <c r="AL1088" s="322">
        <f>IFERROR(Calculations[[#This Row],[Data Quality Score]]*Calculations[[#This Row],[Total Kg]],0)</f>
        <v>0</v>
      </c>
    </row>
    <row r="1089" spans="1:38" x14ac:dyDescent="0.3">
      <c r="A1089" s="6">
        <f>IFERROR(MaterialsBoQ[[#This Row],[Scope Element]],0)</f>
        <v>0</v>
      </c>
      <c r="B1089" t="str">
        <f>IFERROR(MaterialsBoQ[[#This Row],[Material ]],"")</f>
        <v/>
      </c>
      <c r="C1089" t="str">
        <f>IFERROR(MaterialsBoQ[[#This Row],[Unit]],"")</f>
        <v/>
      </c>
      <c r="D1089" s="322">
        <f>IFERROR(MaterialsBoQ[[#This Row],[Number]],0)</f>
        <v>0</v>
      </c>
      <c r="E1089" s="322">
        <f>IFERROR(MaterialsBoQ[[#This Row],[Kg per unit]],0)</f>
        <v>0</v>
      </c>
      <c r="F1089" s="322">
        <f>IFERROR(Calculations[[#This Row],[Number]]*Calculations[[#This Row],[Conversion factor]],0)</f>
        <v>0</v>
      </c>
      <c r="G1089" s="322">
        <f>IFERROR(VLOOKUP(Calculations[[#This Row],[Material (choose from dropdown]],MaterialData[#All],7,FALSE),0)</f>
        <v>0</v>
      </c>
      <c r="H1089" s="322">
        <f>Calculations[[#This Row],[Total Kg]]*Calculations[[#This Row],[Carbon Factor]]</f>
        <v>0</v>
      </c>
      <c r="I1089" t="str">
        <f>IFERROR(VLOOKUP(Calculations[[#This Row],[Material (choose from dropdown]],MaterialData[#All],2,FALSE),"")</f>
        <v/>
      </c>
      <c r="J1089" s="322">
        <f>IFERROR(((VLOOKUP(Calculations[[#This Row],[TransportSource]],TransportDistance[],2,FALSE)*'Stage assumptions'!$C$11)+VLOOKUP(Calculations[[#This Row],[TransportSource]],TransportDistance[],3,FALSE)*'Stage assumptions'!$C$12)*Calculations[[#This Row],[Total Kg]],0)</f>
        <v>0</v>
      </c>
      <c r="K1089">
        <f>IFERROR(VLOOKUP(Calculations[[#This Row],[Material (choose from dropdown]], MaterialData[#All],3, FALSE),0)</f>
        <v>0</v>
      </c>
      <c r="L1089" s="322">
        <f>IFERROR(VLOOKUP(Calculations[[#This Row],[A5type]],A5WastageRate[#All],2,FALSE)*Calculations[[#This Row],[A1-3]],0)</f>
        <v>0</v>
      </c>
      <c r="N1089">
        <f>IFERROR(ROUNDUP(50/VLOOKUP(Calculations[[#This Row],[Scope Element]],B4referenceServiceLife[[Tier 2 element]:[Default Service Life]],2, FALSE)-1,0),0)</f>
        <v>0</v>
      </c>
      <c r="O1089" s="322">
        <f>IFERROR((Calculations[[#This Row],[A1-3]]+Calculations[[#This Row],[A4]]+Calculations[[#This Row],[A5]]+Calculations[[#This Row],[C2 total]]+Calculations[[#This Row],[C3 total]]+Calculations[[#This Row],[C4 total]])*Calculations[[#This Row],[Replacements]],0)</f>
        <v>0</v>
      </c>
      <c r="S1089" t="str">
        <f>IFERROR(VLOOKUP(Calculations[[#This Row],[Material (choose from dropdown]],MaterialData[#All],4,FALSE),"")</f>
        <v/>
      </c>
      <c r="T1089" s="322" cm="1">
        <f t="array" ref="T1089">IFERROR(VLOOKUP(Calculations[[#This Row],[Waste 1]],WasteScenario[#All],2,FALSE)*'Stage assumptions'!$C$225*WasteTransportMethod[Emissions Factor
kgCO2e/kg.km]*Calculations[[#This Row],[Total Kg]],0)</f>
        <v>0</v>
      </c>
      <c r="U1089" s="322" cm="1">
        <f t="array" ref="U1089">IFERROR(VLOOKUP(Calculations[[#This Row],[Waste 1]],WasteScenario[#All],3,FALSE)*'Stage assumptions'!$C$224*WasteTransportMethod[Emissions Factor
kgCO2e/kg.km]*Calculations[[#This Row],[Total Kg]],0)</f>
        <v>0</v>
      </c>
      <c r="V1089" s="322" cm="1">
        <f t="array" ref="V1089">IFERROR(VLOOKUP(Calculations[[#This Row],[Waste 1]],WasteScenario[#All],4,FALSE)*'Stage assumptions'!$C$223*WasteTransportMethod[Emissions Factor
kgCO2e/kg.km]*Calculations[[#This Row],[Total Kg]],0)</f>
        <v>0</v>
      </c>
      <c r="W1089" s="322" cm="1">
        <f t="array" ref="W1089">IFERROR(VLOOKUP(Calculations[[#This Row],[Waste 1]],WasteScenario[#All],5,FALSE)*'Stage assumptions'!$C$226*WasteTransportMethod[Emissions Factor
kgCO2e/kg.km]*Calculations[[#This Row],[Total Kg]],0)</f>
        <v>0</v>
      </c>
      <c r="X1089" s="322">
        <f>SUM(Calculations[[#This Row],[C2 Recycle]:[C2 Reuse]])</f>
        <v>0</v>
      </c>
      <c r="Y1089" t="str">
        <f>IFERROR(VLOOKUP(Calculations[[#This Row],[Material (choose from dropdown]],MaterialData[#All],5,FALSE),"")</f>
        <v/>
      </c>
      <c r="Z1089" s="322">
        <f>IFERROR(((VLOOKUP(Calculations[[#This Row],[Waste type 2]],WasteDisposalEmissions[#All],2,FALSE))*Calculations[[#This Row],[Total Kg]])*VLOOKUP(Calculations[[#This Row],[Waste 1]],WasteScenario[#All],2,FALSE),0)</f>
        <v>0</v>
      </c>
      <c r="AA1089" s="322">
        <f>IFERROR((VLOOKUP(Calculations[[#This Row],[Waste type 2]],WasteDisposalEmissions[#All],3,FALSE))*Calculations[[#This Row],[Total Kg]]*VLOOKUP(Calculations[[#This Row],[Waste 1]],WasteScenario[#All],3,FALSE),0)</f>
        <v>0</v>
      </c>
      <c r="AB1089" s="322">
        <f>SUM(Calculations[[#This Row],[C3 recyc]:[C3 incin]])</f>
        <v>0</v>
      </c>
      <c r="AC1089" s="334">
        <f>IFERROR((VLOOKUP(Calculations[[#This Row],[Waste type 2]],WasteLandfillEmissions[#All],2,FALSE))*Calculations[[#This Row],[Total Kg]]*VLOOKUP(Calculations[[#This Row],[Waste 1]],WasteScenario[#All],4,FALSE),0)</f>
        <v>0</v>
      </c>
      <c r="AD1089" s="322">
        <f>IFERROR((VLOOKUP(Calculations[[#This Row],[Waste type 2]],WasteLandfillEmissions[#All],3,FALSE))*Calculations[[#This Row],[Total Kg]]*VLOOKUP(Calculations[[#This Row],[Waste 1]],WasteScenario[#All],4,FALSE),0)</f>
        <v>0</v>
      </c>
      <c r="AE1089" s="322">
        <f>SUM(Calculations[[#This Row],[C4 landfill]:[C4 re-use]])</f>
        <v>0</v>
      </c>
      <c r="AF1089" s="322">
        <f>IFERROR(VLOOKUP(Calculations[[#This Row],[Material (choose from dropdown]],MaterialData[#All],8,FALSE),0)</f>
        <v>0</v>
      </c>
      <c r="AG1089" s="322">
        <f>IFERROR(Calculations[[#This Row],[Total Kg]]*Calculations[[#This Row],[Seq factor]],0)</f>
        <v>0</v>
      </c>
      <c r="AI1089" s="322">
        <f>Calculations[[#This Row],[A1-3]]+Calculations[[#This Row],[A4]]+Calculations[[#This Row],[A5]]+Calculations[[#This Row],[B4]]+Calculations[[#This Row],[C2 total]]+Calculations[[#This Row],[C3 total]]+Calculations[[#This Row],[C4 total]]</f>
        <v>0</v>
      </c>
      <c r="AJ1089" s="2">
        <f>IFERROR(VLOOKUP(Calculations[[#This Row],[Material (choose from dropdown]],MaterialData[[#Headers],[#Data]],9,FALSE),0)</f>
        <v>0</v>
      </c>
      <c r="AK1089" s="4">
        <f>IFERROR(VLOOKUP(Calculations[[#This Row],[Material (choose from dropdown]],MaterialData[[#Headers],[#Data]],10,FALSE),0)</f>
        <v>0</v>
      </c>
      <c r="AL1089" s="322">
        <f>IFERROR(Calculations[[#This Row],[Data Quality Score]]*Calculations[[#This Row],[Total Kg]],0)</f>
        <v>0</v>
      </c>
    </row>
    <row r="1090" spans="1:38" x14ac:dyDescent="0.3">
      <c r="A1090" s="6">
        <f>IFERROR(MaterialsBoQ[[#This Row],[Scope Element]],0)</f>
        <v>0</v>
      </c>
      <c r="B1090" t="str">
        <f>IFERROR(MaterialsBoQ[[#This Row],[Material ]],"")</f>
        <v/>
      </c>
      <c r="C1090" t="str">
        <f>IFERROR(MaterialsBoQ[[#This Row],[Unit]],"")</f>
        <v/>
      </c>
      <c r="D1090" s="322">
        <f>IFERROR(MaterialsBoQ[[#This Row],[Number]],0)</f>
        <v>0</v>
      </c>
      <c r="E1090" s="322">
        <f>IFERROR(MaterialsBoQ[[#This Row],[Kg per unit]],0)</f>
        <v>0</v>
      </c>
      <c r="F1090" s="322">
        <f>IFERROR(Calculations[[#This Row],[Number]]*Calculations[[#This Row],[Conversion factor]],0)</f>
        <v>0</v>
      </c>
      <c r="G1090" s="322">
        <f>IFERROR(VLOOKUP(Calculations[[#This Row],[Material (choose from dropdown]],MaterialData[#All],7,FALSE),0)</f>
        <v>0</v>
      </c>
      <c r="H1090" s="322">
        <f>Calculations[[#This Row],[Total Kg]]*Calculations[[#This Row],[Carbon Factor]]</f>
        <v>0</v>
      </c>
      <c r="I1090" t="str">
        <f>IFERROR(VLOOKUP(Calculations[[#This Row],[Material (choose from dropdown]],MaterialData[#All],2,FALSE),"")</f>
        <v/>
      </c>
      <c r="J1090" s="322">
        <f>IFERROR(((VLOOKUP(Calculations[[#This Row],[TransportSource]],TransportDistance[],2,FALSE)*'Stage assumptions'!$C$11)+VLOOKUP(Calculations[[#This Row],[TransportSource]],TransportDistance[],3,FALSE)*'Stage assumptions'!$C$12)*Calculations[[#This Row],[Total Kg]],0)</f>
        <v>0</v>
      </c>
      <c r="K1090">
        <f>IFERROR(VLOOKUP(Calculations[[#This Row],[Material (choose from dropdown]], MaterialData[#All],3, FALSE),0)</f>
        <v>0</v>
      </c>
      <c r="L1090" s="322">
        <f>IFERROR(VLOOKUP(Calculations[[#This Row],[A5type]],A5WastageRate[#All],2,FALSE)*Calculations[[#This Row],[A1-3]],0)</f>
        <v>0</v>
      </c>
      <c r="N1090">
        <f>IFERROR(ROUNDUP(50/VLOOKUP(Calculations[[#This Row],[Scope Element]],B4referenceServiceLife[[Tier 2 element]:[Default Service Life]],2, FALSE)-1,0),0)</f>
        <v>0</v>
      </c>
      <c r="O1090" s="322">
        <f>IFERROR((Calculations[[#This Row],[A1-3]]+Calculations[[#This Row],[A4]]+Calculations[[#This Row],[A5]]+Calculations[[#This Row],[C2 total]]+Calculations[[#This Row],[C3 total]]+Calculations[[#This Row],[C4 total]])*Calculations[[#This Row],[Replacements]],0)</f>
        <v>0</v>
      </c>
      <c r="S1090" t="str">
        <f>IFERROR(VLOOKUP(Calculations[[#This Row],[Material (choose from dropdown]],MaterialData[#All],4,FALSE),"")</f>
        <v/>
      </c>
      <c r="T1090" s="322" cm="1">
        <f t="array" ref="T1090">IFERROR(VLOOKUP(Calculations[[#This Row],[Waste 1]],WasteScenario[#All],2,FALSE)*'Stage assumptions'!$C$225*WasteTransportMethod[Emissions Factor
kgCO2e/kg.km]*Calculations[[#This Row],[Total Kg]],0)</f>
        <v>0</v>
      </c>
      <c r="U1090" s="322" cm="1">
        <f t="array" ref="U1090">IFERROR(VLOOKUP(Calculations[[#This Row],[Waste 1]],WasteScenario[#All],3,FALSE)*'Stage assumptions'!$C$224*WasteTransportMethod[Emissions Factor
kgCO2e/kg.km]*Calculations[[#This Row],[Total Kg]],0)</f>
        <v>0</v>
      </c>
      <c r="V1090" s="322" cm="1">
        <f t="array" ref="V1090">IFERROR(VLOOKUP(Calculations[[#This Row],[Waste 1]],WasteScenario[#All],4,FALSE)*'Stage assumptions'!$C$223*WasteTransportMethod[Emissions Factor
kgCO2e/kg.km]*Calculations[[#This Row],[Total Kg]],0)</f>
        <v>0</v>
      </c>
      <c r="W1090" s="322" cm="1">
        <f t="array" ref="W1090">IFERROR(VLOOKUP(Calculations[[#This Row],[Waste 1]],WasteScenario[#All],5,FALSE)*'Stage assumptions'!$C$226*WasteTransportMethod[Emissions Factor
kgCO2e/kg.km]*Calculations[[#This Row],[Total Kg]],0)</f>
        <v>0</v>
      </c>
      <c r="X1090" s="322">
        <f>SUM(Calculations[[#This Row],[C2 Recycle]:[C2 Reuse]])</f>
        <v>0</v>
      </c>
      <c r="Y1090" t="str">
        <f>IFERROR(VLOOKUP(Calculations[[#This Row],[Material (choose from dropdown]],MaterialData[#All],5,FALSE),"")</f>
        <v/>
      </c>
      <c r="Z1090" s="322">
        <f>IFERROR(((VLOOKUP(Calculations[[#This Row],[Waste type 2]],WasteDisposalEmissions[#All],2,FALSE))*Calculations[[#This Row],[Total Kg]])*VLOOKUP(Calculations[[#This Row],[Waste 1]],WasteScenario[#All],2,FALSE),0)</f>
        <v>0</v>
      </c>
      <c r="AA1090" s="322">
        <f>IFERROR((VLOOKUP(Calculations[[#This Row],[Waste type 2]],WasteDisposalEmissions[#All],3,FALSE))*Calculations[[#This Row],[Total Kg]]*VLOOKUP(Calculations[[#This Row],[Waste 1]],WasteScenario[#All],3,FALSE),0)</f>
        <v>0</v>
      </c>
      <c r="AB1090" s="322">
        <f>SUM(Calculations[[#This Row],[C3 recyc]:[C3 incin]])</f>
        <v>0</v>
      </c>
      <c r="AC1090" s="334">
        <f>IFERROR((VLOOKUP(Calculations[[#This Row],[Waste type 2]],WasteLandfillEmissions[#All],2,FALSE))*Calculations[[#This Row],[Total Kg]]*VLOOKUP(Calculations[[#This Row],[Waste 1]],WasteScenario[#All],4,FALSE),0)</f>
        <v>0</v>
      </c>
      <c r="AD1090" s="322">
        <f>IFERROR((VLOOKUP(Calculations[[#This Row],[Waste type 2]],WasteLandfillEmissions[#All],3,FALSE))*Calculations[[#This Row],[Total Kg]]*VLOOKUP(Calculations[[#This Row],[Waste 1]],WasteScenario[#All],4,FALSE),0)</f>
        <v>0</v>
      </c>
      <c r="AE1090" s="322">
        <f>SUM(Calculations[[#This Row],[C4 landfill]:[C4 re-use]])</f>
        <v>0</v>
      </c>
      <c r="AF1090" s="322">
        <f>IFERROR(VLOOKUP(Calculations[[#This Row],[Material (choose from dropdown]],MaterialData[#All],8,FALSE),0)</f>
        <v>0</v>
      </c>
      <c r="AG1090" s="322">
        <f>IFERROR(Calculations[[#This Row],[Total Kg]]*Calculations[[#This Row],[Seq factor]],0)</f>
        <v>0</v>
      </c>
      <c r="AI1090" s="322">
        <f>Calculations[[#This Row],[A1-3]]+Calculations[[#This Row],[A4]]+Calculations[[#This Row],[A5]]+Calculations[[#This Row],[B4]]+Calculations[[#This Row],[C2 total]]+Calculations[[#This Row],[C3 total]]+Calculations[[#This Row],[C4 total]]</f>
        <v>0</v>
      </c>
      <c r="AJ1090" s="2">
        <f>IFERROR(VLOOKUP(Calculations[[#This Row],[Material (choose from dropdown]],MaterialData[[#Headers],[#Data]],9,FALSE),0)</f>
        <v>0</v>
      </c>
      <c r="AK1090" s="4">
        <f>IFERROR(VLOOKUP(Calculations[[#This Row],[Material (choose from dropdown]],MaterialData[[#Headers],[#Data]],10,FALSE),0)</f>
        <v>0</v>
      </c>
      <c r="AL1090" s="322">
        <f>IFERROR(Calculations[[#This Row],[Data Quality Score]]*Calculations[[#This Row],[Total Kg]],0)</f>
        <v>0</v>
      </c>
    </row>
    <row r="1091" spans="1:38" x14ac:dyDescent="0.3">
      <c r="A1091" s="6">
        <f>IFERROR(MaterialsBoQ[[#This Row],[Scope Element]],0)</f>
        <v>0</v>
      </c>
      <c r="B1091" t="str">
        <f>IFERROR(MaterialsBoQ[[#This Row],[Material ]],"")</f>
        <v/>
      </c>
      <c r="C1091" t="str">
        <f>IFERROR(MaterialsBoQ[[#This Row],[Unit]],"")</f>
        <v/>
      </c>
      <c r="D1091" s="322">
        <f>IFERROR(MaterialsBoQ[[#This Row],[Number]],0)</f>
        <v>0</v>
      </c>
      <c r="E1091" s="322">
        <f>IFERROR(MaterialsBoQ[[#This Row],[Kg per unit]],0)</f>
        <v>0</v>
      </c>
      <c r="F1091" s="322">
        <f>IFERROR(Calculations[[#This Row],[Number]]*Calculations[[#This Row],[Conversion factor]],0)</f>
        <v>0</v>
      </c>
      <c r="G1091" s="322">
        <f>IFERROR(VLOOKUP(Calculations[[#This Row],[Material (choose from dropdown]],MaterialData[#All],7,FALSE),0)</f>
        <v>0</v>
      </c>
      <c r="H1091" s="322">
        <f>Calculations[[#This Row],[Total Kg]]*Calculations[[#This Row],[Carbon Factor]]</f>
        <v>0</v>
      </c>
      <c r="I1091" t="str">
        <f>IFERROR(VLOOKUP(Calculations[[#This Row],[Material (choose from dropdown]],MaterialData[#All],2,FALSE),"")</f>
        <v/>
      </c>
      <c r="J1091" s="322">
        <f>IFERROR(((VLOOKUP(Calculations[[#This Row],[TransportSource]],TransportDistance[],2,FALSE)*'Stage assumptions'!$C$11)+VLOOKUP(Calculations[[#This Row],[TransportSource]],TransportDistance[],3,FALSE)*'Stage assumptions'!$C$12)*Calculations[[#This Row],[Total Kg]],0)</f>
        <v>0</v>
      </c>
      <c r="K1091">
        <f>IFERROR(VLOOKUP(Calculations[[#This Row],[Material (choose from dropdown]], MaterialData[#All],3, FALSE),0)</f>
        <v>0</v>
      </c>
      <c r="L1091" s="322">
        <f>IFERROR(VLOOKUP(Calculations[[#This Row],[A5type]],A5WastageRate[#All],2,FALSE)*Calculations[[#This Row],[A1-3]],0)</f>
        <v>0</v>
      </c>
      <c r="N1091">
        <f>IFERROR(ROUNDUP(50/VLOOKUP(Calculations[[#This Row],[Scope Element]],B4referenceServiceLife[[Tier 2 element]:[Default Service Life]],2, FALSE)-1,0),0)</f>
        <v>0</v>
      </c>
      <c r="O1091" s="322">
        <f>IFERROR((Calculations[[#This Row],[A1-3]]+Calculations[[#This Row],[A4]]+Calculations[[#This Row],[A5]]+Calculations[[#This Row],[C2 total]]+Calculations[[#This Row],[C3 total]]+Calculations[[#This Row],[C4 total]])*Calculations[[#This Row],[Replacements]],0)</f>
        <v>0</v>
      </c>
      <c r="S1091" t="str">
        <f>IFERROR(VLOOKUP(Calculations[[#This Row],[Material (choose from dropdown]],MaterialData[#All],4,FALSE),"")</f>
        <v/>
      </c>
      <c r="T1091" s="322" cm="1">
        <f t="array" ref="T1091">IFERROR(VLOOKUP(Calculations[[#This Row],[Waste 1]],WasteScenario[#All],2,FALSE)*'Stage assumptions'!$C$225*WasteTransportMethod[Emissions Factor
kgCO2e/kg.km]*Calculations[[#This Row],[Total Kg]],0)</f>
        <v>0</v>
      </c>
      <c r="U1091" s="322" cm="1">
        <f t="array" ref="U1091">IFERROR(VLOOKUP(Calculations[[#This Row],[Waste 1]],WasteScenario[#All],3,FALSE)*'Stage assumptions'!$C$224*WasteTransportMethod[Emissions Factor
kgCO2e/kg.km]*Calculations[[#This Row],[Total Kg]],0)</f>
        <v>0</v>
      </c>
      <c r="V1091" s="322" cm="1">
        <f t="array" ref="V1091">IFERROR(VLOOKUP(Calculations[[#This Row],[Waste 1]],WasteScenario[#All],4,FALSE)*'Stage assumptions'!$C$223*WasteTransportMethod[Emissions Factor
kgCO2e/kg.km]*Calculations[[#This Row],[Total Kg]],0)</f>
        <v>0</v>
      </c>
      <c r="W1091" s="322" cm="1">
        <f t="array" ref="W1091">IFERROR(VLOOKUP(Calculations[[#This Row],[Waste 1]],WasteScenario[#All],5,FALSE)*'Stage assumptions'!$C$226*WasteTransportMethod[Emissions Factor
kgCO2e/kg.km]*Calculations[[#This Row],[Total Kg]],0)</f>
        <v>0</v>
      </c>
      <c r="X1091" s="322">
        <f>SUM(Calculations[[#This Row],[C2 Recycle]:[C2 Reuse]])</f>
        <v>0</v>
      </c>
      <c r="Y1091" t="str">
        <f>IFERROR(VLOOKUP(Calculations[[#This Row],[Material (choose from dropdown]],MaterialData[#All],5,FALSE),"")</f>
        <v/>
      </c>
      <c r="Z1091" s="322">
        <f>IFERROR(((VLOOKUP(Calculations[[#This Row],[Waste type 2]],WasteDisposalEmissions[#All],2,FALSE))*Calculations[[#This Row],[Total Kg]])*VLOOKUP(Calculations[[#This Row],[Waste 1]],WasteScenario[#All],2,FALSE),0)</f>
        <v>0</v>
      </c>
      <c r="AA1091" s="322">
        <f>IFERROR((VLOOKUP(Calculations[[#This Row],[Waste type 2]],WasteDisposalEmissions[#All],3,FALSE))*Calculations[[#This Row],[Total Kg]]*VLOOKUP(Calculations[[#This Row],[Waste 1]],WasteScenario[#All],3,FALSE),0)</f>
        <v>0</v>
      </c>
      <c r="AB1091" s="322">
        <f>SUM(Calculations[[#This Row],[C3 recyc]:[C3 incin]])</f>
        <v>0</v>
      </c>
      <c r="AC1091" s="334">
        <f>IFERROR((VLOOKUP(Calculations[[#This Row],[Waste type 2]],WasteLandfillEmissions[#All],2,FALSE))*Calculations[[#This Row],[Total Kg]]*VLOOKUP(Calculations[[#This Row],[Waste 1]],WasteScenario[#All],4,FALSE),0)</f>
        <v>0</v>
      </c>
      <c r="AD1091" s="322">
        <f>IFERROR((VLOOKUP(Calculations[[#This Row],[Waste type 2]],WasteLandfillEmissions[#All],3,FALSE))*Calculations[[#This Row],[Total Kg]]*VLOOKUP(Calculations[[#This Row],[Waste 1]],WasteScenario[#All],4,FALSE),0)</f>
        <v>0</v>
      </c>
      <c r="AE1091" s="322">
        <f>SUM(Calculations[[#This Row],[C4 landfill]:[C4 re-use]])</f>
        <v>0</v>
      </c>
      <c r="AF1091" s="322">
        <f>IFERROR(VLOOKUP(Calculations[[#This Row],[Material (choose from dropdown]],MaterialData[#All],8,FALSE),0)</f>
        <v>0</v>
      </c>
      <c r="AG1091" s="322">
        <f>IFERROR(Calculations[[#This Row],[Total Kg]]*Calculations[[#This Row],[Seq factor]],0)</f>
        <v>0</v>
      </c>
      <c r="AI1091" s="322">
        <f>Calculations[[#This Row],[A1-3]]+Calculations[[#This Row],[A4]]+Calculations[[#This Row],[A5]]+Calculations[[#This Row],[B4]]+Calculations[[#This Row],[C2 total]]+Calculations[[#This Row],[C3 total]]+Calculations[[#This Row],[C4 total]]</f>
        <v>0</v>
      </c>
      <c r="AJ1091" s="2">
        <f>IFERROR(VLOOKUP(Calculations[[#This Row],[Material (choose from dropdown]],MaterialData[[#Headers],[#Data]],9,FALSE),0)</f>
        <v>0</v>
      </c>
      <c r="AK1091" s="4">
        <f>IFERROR(VLOOKUP(Calculations[[#This Row],[Material (choose from dropdown]],MaterialData[[#Headers],[#Data]],10,FALSE),0)</f>
        <v>0</v>
      </c>
      <c r="AL1091" s="322">
        <f>IFERROR(Calculations[[#This Row],[Data Quality Score]]*Calculations[[#This Row],[Total Kg]],0)</f>
        <v>0</v>
      </c>
    </row>
    <row r="1092" spans="1:38" x14ac:dyDescent="0.3">
      <c r="A1092" s="6">
        <f>IFERROR(MaterialsBoQ[[#This Row],[Scope Element]],0)</f>
        <v>0</v>
      </c>
      <c r="B1092" t="str">
        <f>IFERROR(MaterialsBoQ[[#This Row],[Material ]],"")</f>
        <v/>
      </c>
      <c r="C1092" t="str">
        <f>IFERROR(MaterialsBoQ[[#This Row],[Unit]],"")</f>
        <v/>
      </c>
      <c r="D1092" s="322">
        <f>IFERROR(MaterialsBoQ[[#This Row],[Number]],0)</f>
        <v>0</v>
      </c>
      <c r="E1092" s="322">
        <f>IFERROR(MaterialsBoQ[[#This Row],[Kg per unit]],0)</f>
        <v>0</v>
      </c>
      <c r="F1092" s="322">
        <f>IFERROR(Calculations[[#This Row],[Number]]*Calculations[[#This Row],[Conversion factor]],0)</f>
        <v>0</v>
      </c>
      <c r="G1092" s="322">
        <f>IFERROR(VLOOKUP(Calculations[[#This Row],[Material (choose from dropdown]],MaterialData[#All],7,FALSE),0)</f>
        <v>0</v>
      </c>
      <c r="H1092" s="322">
        <f>Calculations[[#This Row],[Total Kg]]*Calculations[[#This Row],[Carbon Factor]]</f>
        <v>0</v>
      </c>
      <c r="I1092" t="str">
        <f>IFERROR(VLOOKUP(Calculations[[#This Row],[Material (choose from dropdown]],MaterialData[#All],2,FALSE),"")</f>
        <v/>
      </c>
      <c r="J1092" s="322">
        <f>IFERROR(((VLOOKUP(Calculations[[#This Row],[TransportSource]],TransportDistance[],2,FALSE)*'Stage assumptions'!$C$11)+VLOOKUP(Calculations[[#This Row],[TransportSource]],TransportDistance[],3,FALSE)*'Stage assumptions'!$C$12)*Calculations[[#This Row],[Total Kg]],0)</f>
        <v>0</v>
      </c>
      <c r="K1092">
        <f>IFERROR(VLOOKUP(Calculations[[#This Row],[Material (choose from dropdown]], MaterialData[#All],3, FALSE),0)</f>
        <v>0</v>
      </c>
      <c r="L1092" s="322">
        <f>IFERROR(VLOOKUP(Calculations[[#This Row],[A5type]],A5WastageRate[#All],2,FALSE)*Calculations[[#This Row],[A1-3]],0)</f>
        <v>0</v>
      </c>
      <c r="N1092">
        <f>IFERROR(ROUNDUP(50/VLOOKUP(Calculations[[#This Row],[Scope Element]],B4referenceServiceLife[[Tier 2 element]:[Default Service Life]],2, FALSE)-1,0),0)</f>
        <v>0</v>
      </c>
      <c r="O1092" s="322">
        <f>IFERROR((Calculations[[#This Row],[A1-3]]+Calculations[[#This Row],[A4]]+Calculations[[#This Row],[A5]]+Calculations[[#This Row],[C2 total]]+Calculations[[#This Row],[C3 total]]+Calculations[[#This Row],[C4 total]])*Calculations[[#This Row],[Replacements]],0)</f>
        <v>0</v>
      </c>
      <c r="S1092" t="str">
        <f>IFERROR(VLOOKUP(Calculations[[#This Row],[Material (choose from dropdown]],MaterialData[#All],4,FALSE),"")</f>
        <v/>
      </c>
      <c r="T1092" s="322" cm="1">
        <f t="array" ref="T1092">IFERROR(VLOOKUP(Calculations[[#This Row],[Waste 1]],WasteScenario[#All],2,FALSE)*'Stage assumptions'!$C$225*WasteTransportMethod[Emissions Factor
kgCO2e/kg.km]*Calculations[[#This Row],[Total Kg]],0)</f>
        <v>0</v>
      </c>
      <c r="U1092" s="322" cm="1">
        <f t="array" ref="U1092">IFERROR(VLOOKUP(Calculations[[#This Row],[Waste 1]],WasteScenario[#All],3,FALSE)*'Stage assumptions'!$C$224*WasteTransportMethod[Emissions Factor
kgCO2e/kg.km]*Calculations[[#This Row],[Total Kg]],0)</f>
        <v>0</v>
      </c>
      <c r="V1092" s="322" cm="1">
        <f t="array" ref="V1092">IFERROR(VLOOKUP(Calculations[[#This Row],[Waste 1]],WasteScenario[#All],4,FALSE)*'Stage assumptions'!$C$223*WasteTransportMethod[Emissions Factor
kgCO2e/kg.km]*Calculations[[#This Row],[Total Kg]],0)</f>
        <v>0</v>
      </c>
      <c r="W1092" s="322" cm="1">
        <f t="array" ref="W1092">IFERROR(VLOOKUP(Calculations[[#This Row],[Waste 1]],WasteScenario[#All],5,FALSE)*'Stage assumptions'!$C$226*WasteTransportMethod[Emissions Factor
kgCO2e/kg.km]*Calculations[[#This Row],[Total Kg]],0)</f>
        <v>0</v>
      </c>
      <c r="X1092" s="322">
        <f>SUM(Calculations[[#This Row],[C2 Recycle]:[C2 Reuse]])</f>
        <v>0</v>
      </c>
      <c r="Y1092" t="str">
        <f>IFERROR(VLOOKUP(Calculations[[#This Row],[Material (choose from dropdown]],MaterialData[#All],5,FALSE),"")</f>
        <v/>
      </c>
      <c r="Z1092" s="322">
        <f>IFERROR(((VLOOKUP(Calculations[[#This Row],[Waste type 2]],WasteDisposalEmissions[#All],2,FALSE))*Calculations[[#This Row],[Total Kg]])*VLOOKUP(Calculations[[#This Row],[Waste 1]],WasteScenario[#All],2,FALSE),0)</f>
        <v>0</v>
      </c>
      <c r="AA1092" s="322">
        <f>IFERROR((VLOOKUP(Calculations[[#This Row],[Waste type 2]],WasteDisposalEmissions[#All],3,FALSE))*Calculations[[#This Row],[Total Kg]]*VLOOKUP(Calculations[[#This Row],[Waste 1]],WasteScenario[#All],3,FALSE),0)</f>
        <v>0</v>
      </c>
      <c r="AB1092" s="322">
        <f>SUM(Calculations[[#This Row],[C3 recyc]:[C3 incin]])</f>
        <v>0</v>
      </c>
      <c r="AC1092" s="334">
        <f>IFERROR((VLOOKUP(Calculations[[#This Row],[Waste type 2]],WasteLandfillEmissions[#All],2,FALSE))*Calculations[[#This Row],[Total Kg]]*VLOOKUP(Calculations[[#This Row],[Waste 1]],WasteScenario[#All],4,FALSE),0)</f>
        <v>0</v>
      </c>
      <c r="AD1092" s="322">
        <f>IFERROR((VLOOKUP(Calculations[[#This Row],[Waste type 2]],WasteLandfillEmissions[#All],3,FALSE))*Calculations[[#This Row],[Total Kg]]*VLOOKUP(Calculations[[#This Row],[Waste 1]],WasteScenario[#All],4,FALSE),0)</f>
        <v>0</v>
      </c>
      <c r="AE1092" s="322">
        <f>SUM(Calculations[[#This Row],[C4 landfill]:[C4 re-use]])</f>
        <v>0</v>
      </c>
      <c r="AF1092" s="322">
        <f>IFERROR(VLOOKUP(Calculations[[#This Row],[Material (choose from dropdown]],MaterialData[#All],8,FALSE),0)</f>
        <v>0</v>
      </c>
      <c r="AG1092" s="322">
        <f>IFERROR(Calculations[[#This Row],[Total Kg]]*Calculations[[#This Row],[Seq factor]],0)</f>
        <v>0</v>
      </c>
      <c r="AI1092" s="322">
        <f>Calculations[[#This Row],[A1-3]]+Calculations[[#This Row],[A4]]+Calculations[[#This Row],[A5]]+Calculations[[#This Row],[B4]]+Calculations[[#This Row],[C2 total]]+Calculations[[#This Row],[C3 total]]+Calculations[[#This Row],[C4 total]]</f>
        <v>0</v>
      </c>
      <c r="AJ1092" s="2">
        <f>IFERROR(VLOOKUP(Calculations[[#This Row],[Material (choose from dropdown]],MaterialData[[#Headers],[#Data]],9,FALSE),0)</f>
        <v>0</v>
      </c>
      <c r="AK1092" s="4">
        <f>IFERROR(VLOOKUP(Calculations[[#This Row],[Material (choose from dropdown]],MaterialData[[#Headers],[#Data]],10,FALSE),0)</f>
        <v>0</v>
      </c>
      <c r="AL1092" s="322">
        <f>IFERROR(Calculations[[#This Row],[Data Quality Score]]*Calculations[[#This Row],[Total Kg]],0)</f>
        <v>0</v>
      </c>
    </row>
    <row r="1093" spans="1:38" x14ac:dyDescent="0.3">
      <c r="A1093" s="6">
        <f>IFERROR(MaterialsBoQ[[#This Row],[Scope Element]],0)</f>
        <v>0</v>
      </c>
      <c r="B1093" t="str">
        <f>IFERROR(MaterialsBoQ[[#This Row],[Material ]],"")</f>
        <v/>
      </c>
      <c r="C1093" t="str">
        <f>IFERROR(MaterialsBoQ[[#This Row],[Unit]],"")</f>
        <v/>
      </c>
      <c r="D1093" s="322">
        <f>IFERROR(MaterialsBoQ[[#This Row],[Number]],0)</f>
        <v>0</v>
      </c>
      <c r="E1093" s="322">
        <f>IFERROR(MaterialsBoQ[[#This Row],[Kg per unit]],0)</f>
        <v>0</v>
      </c>
      <c r="F1093" s="322">
        <f>IFERROR(Calculations[[#This Row],[Number]]*Calculations[[#This Row],[Conversion factor]],0)</f>
        <v>0</v>
      </c>
      <c r="G1093" s="322">
        <f>IFERROR(VLOOKUP(Calculations[[#This Row],[Material (choose from dropdown]],MaterialData[#All],7,FALSE),0)</f>
        <v>0</v>
      </c>
      <c r="H1093" s="322">
        <f>Calculations[[#This Row],[Total Kg]]*Calculations[[#This Row],[Carbon Factor]]</f>
        <v>0</v>
      </c>
      <c r="I1093" t="str">
        <f>IFERROR(VLOOKUP(Calculations[[#This Row],[Material (choose from dropdown]],MaterialData[#All],2,FALSE),"")</f>
        <v/>
      </c>
      <c r="J1093" s="322">
        <f>IFERROR(((VLOOKUP(Calculations[[#This Row],[TransportSource]],TransportDistance[],2,FALSE)*'Stage assumptions'!$C$11)+VLOOKUP(Calculations[[#This Row],[TransportSource]],TransportDistance[],3,FALSE)*'Stage assumptions'!$C$12)*Calculations[[#This Row],[Total Kg]],0)</f>
        <v>0</v>
      </c>
      <c r="K1093">
        <f>IFERROR(VLOOKUP(Calculations[[#This Row],[Material (choose from dropdown]], MaterialData[#All],3, FALSE),0)</f>
        <v>0</v>
      </c>
      <c r="L1093" s="322">
        <f>IFERROR(VLOOKUP(Calculations[[#This Row],[A5type]],A5WastageRate[#All],2,FALSE)*Calculations[[#This Row],[A1-3]],0)</f>
        <v>0</v>
      </c>
      <c r="N1093">
        <f>IFERROR(ROUNDUP(50/VLOOKUP(Calculations[[#This Row],[Scope Element]],B4referenceServiceLife[[Tier 2 element]:[Default Service Life]],2, FALSE)-1,0),0)</f>
        <v>0</v>
      </c>
      <c r="O1093" s="322">
        <f>IFERROR((Calculations[[#This Row],[A1-3]]+Calculations[[#This Row],[A4]]+Calculations[[#This Row],[A5]]+Calculations[[#This Row],[C2 total]]+Calculations[[#This Row],[C3 total]]+Calculations[[#This Row],[C4 total]])*Calculations[[#This Row],[Replacements]],0)</f>
        <v>0</v>
      </c>
      <c r="S1093" t="str">
        <f>IFERROR(VLOOKUP(Calculations[[#This Row],[Material (choose from dropdown]],MaterialData[#All],4,FALSE),"")</f>
        <v/>
      </c>
      <c r="T1093" s="322" cm="1">
        <f t="array" ref="T1093">IFERROR(VLOOKUP(Calculations[[#This Row],[Waste 1]],WasteScenario[#All],2,FALSE)*'Stage assumptions'!$C$225*WasteTransportMethod[Emissions Factor
kgCO2e/kg.km]*Calculations[[#This Row],[Total Kg]],0)</f>
        <v>0</v>
      </c>
      <c r="U1093" s="322" cm="1">
        <f t="array" ref="U1093">IFERROR(VLOOKUP(Calculations[[#This Row],[Waste 1]],WasteScenario[#All],3,FALSE)*'Stage assumptions'!$C$224*WasteTransportMethod[Emissions Factor
kgCO2e/kg.km]*Calculations[[#This Row],[Total Kg]],0)</f>
        <v>0</v>
      </c>
      <c r="V1093" s="322" cm="1">
        <f t="array" ref="V1093">IFERROR(VLOOKUP(Calculations[[#This Row],[Waste 1]],WasteScenario[#All],4,FALSE)*'Stage assumptions'!$C$223*WasteTransportMethod[Emissions Factor
kgCO2e/kg.km]*Calculations[[#This Row],[Total Kg]],0)</f>
        <v>0</v>
      </c>
      <c r="W1093" s="322" cm="1">
        <f t="array" ref="W1093">IFERROR(VLOOKUP(Calculations[[#This Row],[Waste 1]],WasteScenario[#All],5,FALSE)*'Stage assumptions'!$C$226*WasteTransportMethod[Emissions Factor
kgCO2e/kg.km]*Calculations[[#This Row],[Total Kg]],0)</f>
        <v>0</v>
      </c>
      <c r="X1093" s="322">
        <f>SUM(Calculations[[#This Row],[C2 Recycle]:[C2 Reuse]])</f>
        <v>0</v>
      </c>
      <c r="Y1093" t="str">
        <f>IFERROR(VLOOKUP(Calculations[[#This Row],[Material (choose from dropdown]],MaterialData[#All],5,FALSE),"")</f>
        <v/>
      </c>
      <c r="Z1093" s="322">
        <f>IFERROR(((VLOOKUP(Calculations[[#This Row],[Waste type 2]],WasteDisposalEmissions[#All],2,FALSE))*Calculations[[#This Row],[Total Kg]])*VLOOKUP(Calculations[[#This Row],[Waste 1]],WasteScenario[#All],2,FALSE),0)</f>
        <v>0</v>
      </c>
      <c r="AA1093" s="322">
        <f>IFERROR((VLOOKUP(Calculations[[#This Row],[Waste type 2]],WasteDisposalEmissions[#All],3,FALSE))*Calculations[[#This Row],[Total Kg]]*VLOOKUP(Calculations[[#This Row],[Waste 1]],WasteScenario[#All],3,FALSE),0)</f>
        <v>0</v>
      </c>
      <c r="AB1093" s="322">
        <f>SUM(Calculations[[#This Row],[C3 recyc]:[C3 incin]])</f>
        <v>0</v>
      </c>
      <c r="AC1093" s="334">
        <f>IFERROR((VLOOKUP(Calculations[[#This Row],[Waste type 2]],WasteLandfillEmissions[#All],2,FALSE))*Calculations[[#This Row],[Total Kg]]*VLOOKUP(Calculations[[#This Row],[Waste 1]],WasteScenario[#All],4,FALSE),0)</f>
        <v>0</v>
      </c>
      <c r="AD1093" s="322">
        <f>IFERROR((VLOOKUP(Calculations[[#This Row],[Waste type 2]],WasteLandfillEmissions[#All],3,FALSE))*Calculations[[#This Row],[Total Kg]]*VLOOKUP(Calculations[[#This Row],[Waste 1]],WasteScenario[#All],4,FALSE),0)</f>
        <v>0</v>
      </c>
      <c r="AE1093" s="322">
        <f>SUM(Calculations[[#This Row],[C4 landfill]:[C4 re-use]])</f>
        <v>0</v>
      </c>
      <c r="AF1093" s="322">
        <f>IFERROR(VLOOKUP(Calculations[[#This Row],[Material (choose from dropdown]],MaterialData[#All],8,FALSE),0)</f>
        <v>0</v>
      </c>
      <c r="AG1093" s="322">
        <f>IFERROR(Calculations[[#This Row],[Total Kg]]*Calculations[[#This Row],[Seq factor]],0)</f>
        <v>0</v>
      </c>
      <c r="AI1093" s="322">
        <f>Calculations[[#This Row],[A1-3]]+Calculations[[#This Row],[A4]]+Calculations[[#This Row],[A5]]+Calculations[[#This Row],[B4]]+Calculations[[#This Row],[C2 total]]+Calculations[[#This Row],[C3 total]]+Calculations[[#This Row],[C4 total]]</f>
        <v>0</v>
      </c>
      <c r="AJ1093" s="2">
        <f>IFERROR(VLOOKUP(Calculations[[#This Row],[Material (choose from dropdown]],MaterialData[[#Headers],[#Data]],9,FALSE),0)</f>
        <v>0</v>
      </c>
      <c r="AK1093" s="4">
        <f>IFERROR(VLOOKUP(Calculations[[#This Row],[Material (choose from dropdown]],MaterialData[[#Headers],[#Data]],10,FALSE),0)</f>
        <v>0</v>
      </c>
      <c r="AL1093" s="322">
        <f>IFERROR(Calculations[[#This Row],[Data Quality Score]]*Calculations[[#This Row],[Total Kg]],0)</f>
        <v>0</v>
      </c>
    </row>
    <row r="1094" spans="1:38" x14ac:dyDescent="0.3">
      <c r="A1094" s="6">
        <f>IFERROR(MaterialsBoQ[[#This Row],[Scope Element]],0)</f>
        <v>0</v>
      </c>
      <c r="B1094" t="str">
        <f>IFERROR(MaterialsBoQ[[#This Row],[Material ]],"")</f>
        <v/>
      </c>
      <c r="C1094" t="str">
        <f>IFERROR(MaterialsBoQ[[#This Row],[Unit]],"")</f>
        <v/>
      </c>
      <c r="D1094" s="322">
        <f>IFERROR(MaterialsBoQ[[#This Row],[Number]],0)</f>
        <v>0</v>
      </c>
      <c r="E1094" s="322">
        <f>IFERROR(MaterialsBoQ[[#This Row],[Kg per unit]],0)</f>
        <v>0</v>
      </c>
      <c r="F1094" s="322">
        <f>IFERROR(Calculations[[#This Row],[Number]]*Calculations[[#This Row],[Conversion factor]],0)</f>
        <v>0</v>
      </c>
      <c r="G1094" s="322">
        <f>IFERROR(VLOOKUP(Calculations[[#This Row],[Material (choose from dropdown]],MaterialData[#All],7,FALSE),0)</f>
        <v>0</v>
      </c>
      <c r="H1094" s="322">
        <f>Calculations[[#This Row],[Total Kg]]*Calculations[[#This Row],[Carbon Factor]]</f>
        <v>0</v>
      </c>
      <c r="I1094" t="str">
        <f>IFERROR(VLOOKUP(Calculations[[#This Row],[Material (choose from dropdown]],MaterialData[#All],2,FALSE),"")</f>
        <v/>
      </c>
      <c r="J1094" s="322">
        <f>IFERROR(((VLOOKUP(Calculations[[#This Row],[TransportSource]],TransportDistance[],2,FALSE)*'Stage assumptions'!$C$11)+VLOOKUP(Calculations[[#This Row],[TransportSource]],TransportDistance[],3,FALSE)*'Stage assumptions'!$C$12)*Calculations[[#This Row],[Total Kg]],0)</f>
        <v>0</v>
      </c>
      <c r="K1094">
        <f>IFERROR(VLOOKUP(Calculations[[#This Row],[Material (choose from dropdown]], MaterialData[#All],3, FALSE),0)</f>
        <v>0</v>
      </c>
      <c r="L1094" s="322">
        <f>IFERROR(VLOOKUP(Calculations[[#This Row],[A5type]],A5WastageRate[#All],2,FALSE)*Calculations[[#This Row],[A1-3]],0)</f>
        <v>0</v>
      </c>
      <c r="N1094">
        <f>IFERROR(ROUNDUP(50/VLOOKUP(Calculations[[#This Row],[Scope Element]],B4referenceServiceLife[[Tier 2 element]:[Default Service Life]],2, FALSE)-1,0),0)</f>
        <v>0</v>
      </c>
      <c r="O1094" s="322">
        <f>IFERROR((Calculations[[#This Row],[A1-3]]+Calculations[[#This Row],[A4]]+Calculations[[#This Row],[A5]]+Calculations[[#This Row],[C2 total]]+Calculations[[#This Row],[C3 total]]+Calculations[[#This Row],[C4 total]])*Calculations[[#This Row],[Replacements]],0)</f>
        <v>0</v>
      </c>
      <c r="S1094" t="str">
        <f>IFERROR(VLOOKUP(Calculations[[#This Row],[Material (choose from dropdown]],MaterialData[#All],4,FALSE),"")</f>
        <v/>
      </c>
      <c r="T1094" s="322" cm="1">
        <f t="array" ref="T1094">IFERROR(VLOOKUP(Calculations[[#This Row],[Waste 1]],WasteScenario[#All],2,FALSE)*'Stage assumptions'!$C$225*WasteTransportMethod[Emissions Factor
kgCO2e/kg.km]*Calculations[[#This Row],[Total Kg]],0)</f>
        <v>0</v>
      </c>
      <c r="U1094" s="322" cm="1">
        <f t="array" ref="U1094">IFERROR(VLOOKUP(Calculations[[#This Row],[Waste 1]],WasteScenario[#All],3,FALSE)*'Stage assumptions'!$C$224*WasteTransportMethod[Emissions Factor
kgCO2e/kg.km]*Calculations[[#This Row],[Total Kg]],0)</f>
        <v>0</v>
      </c>
      <c r="V1094" s="322" cm="1">
        <f t="array" ref="V1094">IFERROR(VLOOKUP(Calculations[[#This Row],[Waste 1]],WasteScenario[#All],4,FALSE)*'Stage assumptions'!$C$223*WasteTransportMethod[Emissions Factor
kgCO2e/kg.km]*Calculations[[#This Row],[Total Kg]],0)</f>
        <v>0</v>
      </c>
      <c r="W1094" s="322" cm="1">
        <f t="array" ref="W1094">IFERROR(VLOOKUP(Calculations[[#This Row],[Waste 1]],WasteScenario[#All],5,FALSE)*'Stage assumptions'!$C$226*WasteTransportMethod[Emissions Factor
kgCO2e/kg.km]*Calculations[[#This Row],[Total Kg]],0)</f>
        <v>0</v>
      </c>
      <c r="X1094" s="322">
        <f>SUM(Calculations[[#This Row],[C2 Recycle]:[C2 Reuse]])</f>
        <v>0</v>
      </c>
      <c r="Y1094" t="str">
        <f>IFERROR(VLOOKUP(Calculations[[#This Row],[Material (choose from dropdown]],MaterialData[#All],5,FALSE),"")</f>
        <v/>
      </c>
      <c r="Z1094" s="322">
        <f>IFERROR(((VLOOKUP(Calculations[[#This Row],[Waste type 2]],WasteDisposalEmissions[#All],2,FALSE))*Calculations[[#This Row],[Total Kg]])*VLOOKUP(Calculations[[#This Row],[Waste 1]],WasteScenario[#All],2,FALSE),0)</f>
        <v>0</v>
      </c>
      <c r="AA1094" s="322">
        <f>IFERROR((VLOOKUP(Calculations[[#This Row],[Waste type 2]],WasteDisposalEmissions[#All],3,FALSE))*Calculations[[#This Row],[Total Kg]]*VLOOKUP(Calculations[[#This Row],[Waste 1]],WasteScenario[#All],3,FALSE),0)</f>
        <v>0</v>
      </c>
      <c r="AB1094" s="322">
        <f>SUM(Calculations[[#This Row],[C3 recyc]:[C3 incin]])</f>
        <v>0</v>
      </c>
      <c r="AC1094" s="334">
        <f>IFERROR((VLOOKUP(Calculations[[#This Row],[Waste type 2]],WasteLandfillEmissions[#All],2,FALSE))*Calculations[[#This Row],[Total Kg]]*VLOOKUP(Calculations[[#This Row],[Waste 1]],WasteScenario[#All],4,FALSE),0)</f>
        <v>0</v>
      </c>
      <c r="AD1094" s="322">
        <f>IFERROR((VLOOKUP(Calculations[[#This Row],[Waste type 2]],WasteLandfillEmissions[#All],3,FALSE))*Calculations[[#This Row],[Total Kg]]*VLOOKUP(Calculations[[#This Row],[Waste 1]],WasteScenario[#All],4,FALSE),0)</f>
        <v>0</v>
      </c>
      <c r="AE1094" s="322">
        <f>SUM(Calculations[[#This Row],[C4 landfill]:[C4 re-use]])</f>
        <v>0</v>
      </c>
      <c r="AF1094" s="322">
        <f>IFERROR(VLOOKUP(Calculations[[#This Row],[Material (choose from dropdown]],MaterialData[#All],8,FALSE),0)</f>
        <v>0</v>
      </c>
      <c r="AG1094" s="322">
        <f>IFERROR(Calculations[[#This Row],[Total Kg]]*Calculations[[#This Row],[Seq factor]],0)</f>
        <v>0</v>
      </c>
      <c r="AI1094" s="322">
        <f>Calculations[[#This Row],[A1-3]]+Calculations[[#This Row],[A4]]+Calculations[[#This Row],[A5]]+Calculations[[#This Row],[B4]]+Calculations[[#This Row],[C2 total]]+Calculations[[#This Row],[C3 total]]+Calculations[[#This Row],[C4 total]]</f>
        <v>0</v>
      </c>
      <c r="AJ1094" s="2">
        <f>IFERROR(VLOOKUP(Calculations[[#This Row],[Material (choose from dropdown]],MaterialData[[#Headers],[#Data]],9,FALSE),0)</f>
        <v>0</v>
      </c>
      <c r="AK1094" s="4">
        <f>IFERROR(VLOOKUP(Calculations[[#This Row],[Material (choose from dropdown]],MaterialData[[#Headers],[#Data]],10,FALSE),0)</f>
        <v>0</v>
      </c>
      <c r="AL1094" s="322">
        <f>IFERROR(Calculations[[#This Row],[Data Quality Score]]*Calculations[[#This Row],[Total Kg]],0)</f>
        <v>0</v>
      </c>
    </row>
    <row r="1095" spans="1:38" x14ac:dyDescent="0.3">
      <c r="A1095" s="6">
        <f>IFERROR(MaterialsBoQ[[#This Row],[Scope Element]],0)</f>
        <v>0</v>
      </c>
      <c r="B1095" t="str">
        <f>IFERROR(MaterialsBoQ[[#This Row],[Material ]],"")</f>
        <v/>
      </c>
      <c r="C1095" t="str">
        <f>IFERROR(MaterialsBoQ[[#This Row],[Unit]],"")</f>
        <v/>
      </c>
      <c r="D1095" s="322">
        <f>IFERROR(MaterialsBoQ[[#This Row],[Number]],0)</f>
        <v>0</v>
      </c>
      <c r="E1095" s="322">
        <f>IFERROR(MaterialsBoQ[[#This Row],[Kg per unit]],0)</f>
        <v>0</v>
      </c>
      <c r="F1095" s="322">
        <f>IFERROR(Calculations[[#This Row],[Number]]*Calculations[[#This Row],[Conversion factor]],0)</f>
        <v>0</v>
      </c>
      <c r="G1095" s="322">
        <f>IFERROR(VLOOKUP(Calculations[[#This Row],[Material (choose from dropdown]],MaterialData[#All],7,FALSE),0)</f>
        <v>0</v>
      </c>
      <c r="H1095" s="322">
        <f>Calculations[[#This Row],[Total Kg]]*Calculations[[#This Row],[Carbon Factor]]</f>
        <v>0</v>
      </c>
      <c r="I1095" t="str">
        <f>IFERROR(VLOOKUP(Calculations[[#This Row],[Material (choose from dropdown]],MaterialData[#All],2,FALSE),"")</f>
        <v/>
      </c>
      <c r="J1095" s="322">
        <f>IFERROR(((VLOOKUP(Calculations[[#This Row],[TransportSource]],TransportDistance[],2,FALSE)*'Stage assumptions'!$C$11)+VLOOKUP(Calculations[[#This Row],[TransportSource]],TransportDistance[],3,FALSE)*'Stage assumptions'!$C$12)*Calculations[[#This Row],[Total Kg]],0)</f>
        <v>0</v>
      </c>
      <c r="K1095">
        <f>IFERROR(VLOOKUP(Calculations[[#This Row],[Material (choose from dropdown]], MaterialData[#All],3, FALSE),0)</f>
        <v>0</v>
      </c>
      <c r="L1095" s="322">
        <f>IFERROR(VLOOKUP(Calculations[[#This Row],[A5type]],A5WastageRate[#All],2,FALSE)*Calculations[[#This Row],[A1-3]],0)</f>
        <v>0</v>
      </c>
      <c r="N1095">
        <f>IFERROR(ROUNDUP(50/VLOOKUP(Calculations[[#This Row],[Scope Element]],B4referenceServiceLife[[Tier 2 element]:[Default Service Life]],2, FALSE)-1,0),0)</f>
        <v>0</v>
      </c>
      <c r="O1095" s="322">
        <f>IFERROR((Calculations[[#This Row],[A1-3]]+Calculations[[#This Row],[A4]]+Calculations[[#This Row],[A5]]+Calculations[[#This Row],[C2 total]]+Calculations[[#This Row],[C3 total]]+Calculations[[#This Row],[C4 total]])*Calculations[[#This Row],[Replacements]],0)</f>
        <v>0</v>
      </c>
      <c r="S1095" t="str">
        <f>IFERROR(VLOOKUP(Calculations[[#This Row],[Material (choose from dropdown]],MaterialData[#All],4,FALSE),"")</f>
        <v/>
      </c>
      <c r="T1095" s="322" cm="1">
        <f t="array" ref="T1095">IFERROR(VLOOKUP(Calculations[[#This Row],[Waste 1]],WasteScenario[#All],2,FALSE)*'Stage assumptions'!$C$225*WasteTransportMethod[Emissions Factor
kgCO2e/kg.km]*Calculations[[#This Row],[Total Kg]],0)</f>
        <v>0</v>
      </c>
      <c r="U1095" s="322" cm="1">
        <f t="array" ref="U1095">IFERROR(VLOOKUP(Calculations[[#This Row],[Waste 1]],WasteScenario[#All],3,FALSE)*'Stage assumptions'!$C$224*WasteTransportMethod[Emissions Factor
kgCO2e/kg.km]*Calculations[[#This Row],[Total Kg]],0)</f>
        <v>0</v>
      </c>
      <c r="V1095" s="322" cm="1">
        <f t="array" ref="V1095">IFERROR(VLOOKUP(Calculations[[#This Row],[Waste 1]],WasteScenario[#All],4,FALSE)*'Stage assumptions'!$C$223*WasteTransportMethod[Emissions Factor
kgCO2e/kg.km]*Calculations[[#This Row],[Total Kg]],0)</f>
        <v>0</v>
      </c>
      <c r="W1095" s="322" cm="1">
        <f t="array" ref="W1095">IFERROR(VLOOKUP(Calculations[[#This Row],[Waste 1]],WasteScenario[#All],5,FALSE)*'Stage assumptions'!$C$226*WasteTransportMethod[Emissions Factor
kgCO2e/kg.km]*Calculations[[#This Row],[Total Kg]],0)</f>
        <v>0</v>
      </c>
      <c r="X1095" s="322">
        <f>SUM(Calculations[[#This Row],[C2 Recycle]:[C2 Reuse]])</f>
        <v>0</v>
      </c>
      <c r="Y1095" t="str">
        <f>IFERROR(VLOOKUP(Calculations[[#This Row],[Material (choose from dropdown]],MaterialData[#All],5,FALSE),"")</f>
        <v/>
      </c>
      <c r="Z1095" s="322">
        <f>IFERROR(((VLOOKUP(Calculations[[#This Row],[Waste type 2]],WasteDisposalEmissions[#All],2,FALSE))*Calculations[[#This Row],[Total Kg]])*VLOOKUP(Calculations[[#This Row],[Waste 1]],WasteScenario[#All],2,FALSE),0)</f>
        <v>0</v>
      </c>
      <c r="AA1095" s="322">
        <f>IFERROR((VLOOKUP(Calculations[[#This Row],[Waste type 2]],WasteDisposalEmissions[#All],3,FALSE))*Calculations[[#This Row],[Total Kg]]*VLOOKUP(Calculations[[#This Row],[Waste 1]],WasteScenario[#All],3,FALSE),0)</f>
        <v>0</v>
      </c>
      <c r="AB1095" s="322">
        <f>SUM(Calculations[[#This Row],[C3 recyc]:[C3 incin]])</f>
        <v>0</v>
      </c>
      <c r="AC1095" s="334">
        <f>IFERROR((VLOOKUP(Calculations[[#This Row],[Waste type 2]],WasteLandfillEmissions[#All],2,FALSE))*Calculations[[#This Row],[Total Kg]]*VLOOKUP(Calculations[[#This Row],[Waste 1]],WasteScenario[#All],4,FALSE),0)</f>
        <v>0</v>
      </c>
      <c r="AD1095" s="322">
        <f>IFERROR((VLOOKUP(Calculations[[#This Row],[Waste type 2]],WasteLandfillEmissions[#All],3,FALSE))*Calculations[[#This Row],[Total Kg]]*VLOOKUP(Calculations[[#This Row],[Waste 1]],WasteScenario[#All],4,FALSE),0)</f>
        <v>0</v>
      </c>
      <c r="AE1095" s="322">
        <f>SUM(Calculations[[#This Row],[C4 landfill]:[C4 re-use]])</f>
        <v>0</v>
      </c>
      <c r="AF1095" s="322">
        <f>IFERROR(VLOOKUP(Calculations[[#This Row],[Material (choose from dropdown]],MaterialData[#All],8,FALSE),0)</f>
        <v>0</v>
      </c>
      <c r="AG1095" s="322">
        <f>IFERROR(Calculations[[#This Row],[Total Kg]]*Calculations[[#This Row],[Seq factor]],0)</f>
        <v>0</v>
      </c>
      <c r="AI1095" s="322">
        <f>Calculations[[#This Row],[A1-3]]+Calculations[[#This Row],[A4]]+Calculations[[#This Row],[A5]]+Calculations[[#This Row],[B4]]+Calculations[[#This Row],[C2 total]]+Calculations[[#This Row],[C3 total]]+Calculations[[#This Row],[C4 total]]</f>
        <v>0</v>
      </c>
      <c r="AJ1095" s="2">
        <f>IFERROR(VLOOKUP(Calculations[[#This Row],[Material (choose from dropdown]],MaterialData[[#Headers],[#Data]],9,FALSE),0)</f>
        <v>0</v>
      </c>
      <c r="AK1095" s="4">
        <f>IFERROR(VLOOKUP(Calculations[[#This Row],[Material (choose from dropdown]],MaterialData[[#Headers],[#Data]],10,FALSE),0)</f>
        <v>0</v>
      </c>
      <c r="AL1095" s="322">
        <f>IFERROR(Calculations[[#This Row],[Data Quality Score]]*Calculations[[#This Row],[Total Kg]],0)</f>
        <v>0</v>
      </c>
    </row>
    <row r="1096" spans="1:38" x14ac:dyDescent="0.3">
      <c r="A1096" s="6">
        <f>IFERROR(MaterialsBoQ[[#This Row],[Scope Element]],0)</f>
        <v>0</v>
      </c>
      <c r="B1096" t="str">
        <f>IFERROR(MaterialsBoQ[[#This Row],[Material ]],"")</f>
        <v/>
      </c>
      <c r="C1096" t="str">
        <f>IFERROR(MaterialsBoQ[[#This Row],[Unit]],"")</f>
        <v/>
      </c>
      <c r="D1096" s="322">
        <f>IFERROR(MaterialsBoQ[[#This Row],[Number]],0)</f>
        <v>0</v>
      </c>
      <c r="E1096" s="322">
        <f>IFERROR(MaterialsBoQ[[#This Row],[Kg per unit]],0)</f>
        <v>0</v>
      </c>
      <c r="F1096" s="322">
        <f>IFERROR(Calculations[[#This Row],[Number]]*Calculations[[#This Row],[Conversion factor]],0)</f>
        <v>0</v>
      </c>
      <c r="G1096" s="322">
        <f>IFERROR(VLOOKUP(Calculations[[#This Row],[Material (choose from dropdown]],MaterialData[#All],7,FALSE),0)</f>
        <v>0</v>
      </c>
      <c r="H1096" s="322">
        <f>Calculations[[#This Row],[Total Kg]]*Calculations[[#This Row],[Carbon Factor]]</f>
        <v>0</v>
      </c>
      <c r="I1096" t="str">
        <f>IFERROR(VLOOKUP(Calculations[[#This Row],[Material (choose from dropdown]],MaterialData[#All],2,FALSE),"")</f>
        <v/>
      </c>
      <c r="J1096" s="322">
        <f>IFERROR(((VLOOKUP(Calculations[[#This Row],[TransportSource]],TransportDistance[],2,FALSE)*'Stage assumptions'!$C$11)+VLOOKUP(Calculations[[#This Row],[TransportSource]],TransportDistance[],3,FALSE)*'Stage assumptions'!$C$12)*Calculations[[#This Row],[Total Kg]],0)</f>
        <v>0</v>
      </c>
      <c r="K1096">
        <f>IFERROR(VLOOKUP(Calculations[[#This Row],[Material (choose from dropdown]], MaterialData[#All],3, FALSE),0)</f>
        <v>0</v>
      </c>
      <c r="L1096" s="322">
        <f>IFERROR(VLOOKUP(Calculations[[#This Row],[A5type]],A5WastageRate[#All],2,FALSE)*Calculations[[#This Row],[A1-3]],0)</f>
        <v>0</v>
      </c>
      <c r="N1096">
        <f>IFERROR(ROUNDUP(50/VLOOKUP(Calculations[[#This Row],[Scope Element]],B4referenceServiceLife[[Tier 2 element]:[Default Service Life]],2, FALSE)-1,0),0)</f>
        <v>0</v>
      </c>
      <c r="O1096" s="322">
        <f>IFERROR((Calculations[[#This Row],[A1-3]]+Calculations[[#This Row],[A4]]+Calculations[[#This Row],[A5]]+Calculations[[#This Row],[C2 total]]+Calculations[[#This Row],[C3 total]]+Calculations[[#This Row],[C4 total]])*Calculations[[#This Row],[Replacements]],0)</f>
        <v>0</v>
      </c>
      <c r="S1096" t="str">
        <f>IFERROR(VLOOKUP(Calculations[[#This Row],[Material (choose from dropdown]],MaterialData[#All],4,FALSE),"")</f>
        <v/>
      </c>
      <c r="T1096" s="322" cm="1">
        <f t="array" ref="T1096">IFERROR(VLOOKUP(Calculations[[#This Row],[Waste 1]],WasteScenario[#All],2,FALSE)*'Stage assumptions'!$C$225*WasteTransportMethod[Emissions Factor
kgCO2e/kg.km]*Calculations[[#This Row],[Total Kg]],0)</f>
        <v>0</v>
      </c>
      <c r="U1096" s="322" cm="1">
        <f t="array" ref="U1096">IFERROR(VLOOKUP(Calculations[[#This Row],[Waste 1]],WasteScenario[#All],3,FALSE)*'Stage assumptions'!$C$224*WasteTransportMethod[Emissions Factor
kgCO2e/kg.km]*Calculations[[#This Row],[Total Kg]],0)</f>
        <v>0</v>
      </c>
      <c r="V1096" s="322" cm="1">
        <f t="array" ref="V1096">IFERROR(VLOOKUP(Calculations[[#This Row],[Waste 1]],WasteScenario[#All],4,FALSE)*'Stage assumptions'!$C$223*WasteTransportMethod[Emissions Factor
kgCO2e/kg.km]*Calculations[[#This Row],[Total Kg]],0)</f>
        <v>0</v>
      </c>
      <c r="W1096" s="322" cm="1">
        <f t="array" ref="W1096">IFERROR(VLOOKUP(Calculations[[#This Row],[Waste 1]],WasteScenario[#All],5,FALSE)*'Stage assumptions'!$C$226*WasteTransportMethod[Emissions Factor
kgCO2e/kg.km]*Calculations[[#This Row],[Total Kg]],0)</f>
        <v>0</v>
      </c>
      <c r="X1096" s="322">
        <f>SUM(Calculations[[#This Row],[C2 Recycle]:[C2 Reuse]])</f>
        <v>0</v>
      </c>
      <c r="Y1096" t="str">
        <f>IFERROR(VLOOKUP(Calculations[[#This Row],[Material (choose from dropdown]],MaterialData[#All],5,FALSE),"")</f>
        <v/>
      </c>
      <c r="Z1096" s="322">
        <f>IFERROR(((VLOOKUP(Calculations[[#This Row],[Waste type 2]],WasteDisposalEmissions[#All],2,FALSE))*Calculations[[#This Row],[Total Kg]])*VLOOKUP(Calculations[[#This Row],[Waste 1]],WasteScenario[#All],2,FALSE),0)</f>
        <v>0</v>
      </c>
      <c r="AA1096" s="322">
        <f>IFERROR((VLOOKUP(Calculations[[#This Row],[Waste type 2]],WasteDisposalEmissions[#All],3,FALSE))*Calculations[[#This Row],[Total Kg]]*VLOOKUP(Calculations[[#This Row],[Waste 1]],WasteScenario[#All],3,FALSE),0)</f>
        <v>0</v>
      </c>
      <c r="AB1096" s="322">
        <f>SUM(Calculations[[#This Row],[C3 recyc]:[C3 incin]])</f>
        <v>0</v>
      </c>
      <c r="AC1096" s="334">
        <f>IFERROR((VLOOKUP(Calculations[[#This Row],[Waste type 2]],WasteLandfillEmissions[#All],2,FALSE))*Calculations[[#This Row],[Total Kg]]*VLOOKUP(Calculations[[#This Row],[Waste 1]],WasteScenario[#All],4,FALSE),0)</f>
        <v>0</v>
      </c>
      <c r="AD1096" s="322">
        <f>IFERROR((VLOOKUP(Calculations[[#This Row],[Waste type 2]],WasteLandfillEmissions[#All],3,FALSE))*Calculations[[#This Row],[Total Kg]]*VLOOKUP(Calculations[[#This Row],[Waste 1]],WasteScenario[#All],4,FALSE),0)</f>
        <v>0</v>
      </c>
      <c r="AE1096" s="322">
        <f>SUM(Calculations[[#This Row],[C4 landfill]:[C4 re-use]])</f>
        <v>0</v>
      </c>
      <c r="AF1096" s="322">
        <f>IFERROR(VLOOKUP(Calculations[[#This Row],[Material (choose from dropdown]],MaterialData[#All],8,FALSE),0)</f>
        <v>0</v>
      </c>
      <c r="AG1096" s="322">
        <f>IFERROR(Calculations[[#This Row],[Total Kg]]*Calculations[[#This Row],[Seq factor]],0)</f>
        <v>0</v>
      </c>
      <c r="AI1096" s="322">
        <f>Calculations[[#This Row],[A1-3]]+Calculations[[#This Row],[A4]]+Calculations[[#This Row],[A5]]+Calculations[[#This Row],[B4]]+Calculations[[#This Row],[C2 total]]+Calculations[[#This Row],[C3 total]]+Calculations[[#This Row],[C4 total]]</f>
        <v>0</v>
      </c>
      <c r="AJ1096" s="2">
        <f>IFERROR(VLOOKUP(Calculations[[#This Row],[Material (choose from dropdown]],MaterialData[[#Headers],[#Data]],9,FALSE),0)</f>
        <v>0</v>
      </c>
      <c r="AK1096" s="4">
        <f>IFERROR(VLOOKUP(Calculations[[#This Row],[Material (choose from dropdown]],MaterialData[[#Headers],[#Data]],10,FALSE),0)</f>
        <v>0</v>
      </c>
      <c r="AL1096" s="322">
        <f>IFERROR(Calculations[[#This Row],[Data Quality Score]]*Calculations[[#This Row],[Total Kg]],0)</f>
        <v>0</v>
      </c>
    </row>
    <row r="1097" spans="1:38" x14ac:dyDescent="0.3">
      <c r="A1097" s="6">
        <f>IFERROR(MaterialsBoQ[[#This Row],[Scope Element]],0)</f>
        <v>0</v>
      </c>
      <c r="B1097" t="str">
        <f>IFERROR(MaterialsBoQ[[#This Row],[Material ]],"")</f>
        <v/>
      </c>
      <c r="C1097" t="str">
        <f>IFERROR(MaterialsBoQ[[#This Row],[Unit]],"")</f>
        <v/>
      </c>
      <c r="D1097" s="322">
        <f>IFERROR(MaterialsBoQ[[#This Row],[Number]],0)</f>
        <v>0</v>
      </c>
      <c r="E1097" s="322">
        <f>IFERROR(MaterialsBoQ[[#This Row],[Kg per unit]],0)</f>
        <v>0</v>
      </c>
      <c r="F1097" s="322">
        <f>IFERROR(Calculations[[#This Row],[Number]]*Calculations[[#This Row],[Conversion factor]],0)</f>
        <v>0</v>
      </c>
      <c r="G1097" s="322">
        <f>IFERROR(VLOOKUP(Calculations[[#This Row],[Material (choose from dropdown]],MaterialData[#All],7,FALSE),0)</f>
        <v>0</v>
      </c>
      <c r="H1097" s="322">
        <f>Calculations[[#This Row],[Total Kg]]*Calculations[[#This Row],[Carbon Factor]]</f>
        <v>0</v>
      </c>
      <c r="I1097" t="str">
        <f>IFERROR(VLOOKUP(Calculations[[#This Row],[Material (choose from dropdown]],MaterialData[#All],2,FALSE),"")</f>
        <v/>
      </c>
      <c r="J1097" s="322">
        <f>IFERROR(((VLOOKUP(Calculations[[#This Row],[TransportSource]],TransportDistance[],2,FALSE)*'Stage assumptions'!$C$11)+VLOOKUP(Calculations[[#This Row],[TransportSource]],TransportDistance[],3,FALSE)*'Stage assumptions'!$C$12)*Calculations[[#This Row],[Total Kg]],0)</f>
        <v>0</v>
      </c>
      <c r="K1097">
        <f>IFERROR(VLOOKUP(Calculations[[#This Row],[Material (choose from dropdown]], MaterialData[#All],3, FALSE),0)</f>
        <v>0</v>
      </c>
      <c r="L1097" s="322">
        <f>IFERROR(VLOOKUP(Calculations[[#This Row],[A5type]],A5WastageRate[#All],2,FALSE)*Calculations[[#This Row],[A1-3]],0)</f>
        <v>0</v>
      </c>
      <c r="N1097">
        <f>IFERROR(ROUNDUP(50/VLOOKUP(Calculations[[#This Row],[Scope Element]],B4referenceServiceLife[[Tier 2 element]:[Default Service Life]],2, FALSE)-1,0),0)</f>
        <v>0</v>
      </c>
      <c r="O1097" s="322">
        <f>IFERROR((Calculations[[#This Row],[A1-3]]+Calculations[[#This Row],[A4]]+Calculations[[#This Row],[A5]]+Calculations[[#This Row],[C2 total]]+Calculations[[#This Row],[C3 total]]+Calculations[[#This Row],[C4 total]])*Calculations[[#This Row],[Replacements]],0)</f>
        <v>0</v>
      </c>
      <c r="S1097" t="str">
        <f>IFERROR(VLOOKUP(Calculations[[#This Row],[Material (choose from dropdown]],MaterialData[#All],4,FALSE),"")</f>
        <v/>
      </c>
      <c r="T1097" s="322" cm="1">
        <f t="array" ref="T1097">IFERROR(VLOOKUP(Calculations[[#This Row],[Waste 1]],WasteScenario[#All],2,FALSE)*'Stage assumptions'!$C$225*WasteTransportMethod[Emissions Factor
kgCO2e/kg.km]*Calculations[[#This Row],[Total Kg]],0)</f>
        <v>0</v>
      </c>
      <c r="U1097" s="322" cm="1">
        <f t="array" ref="U1097">IFERROR(VLOOKUP(Calculations[[#This Row],[Waste 1]],WasteScenario[#All],3,FALSE)*'Stage assumptions'!$C$224*WasteTransportMethod[Emissions Factor
kgCO2e/kg.km]*Calculations[[#This Row],[Total Kg]],0)</f>
        <v>0</v>
      </c>
      <c r="V1097" s="322" cm="1">
        <f t="array" ref="V1097">IFERROR(VLOOKUP(Calculations[[#This Row],[Waste 1]],WasteScenario[#All],4,FALSE)*'Stage assumptions'!$C$223*WasteTransportMethod[Emissions Factor
kgCO2e/kg.km]*Calculations[[#This Row],[Total Kg]],0)</f>
        <v>0</v>
      </c>
      <c r="W1097" s="322" cm="1">
        <f t="array" ref="W1097">IFERROR(VLOOKUP(Calculations[[#This Row],[Waste 1]],WasteScenario[#All],5,FALSE)*'Stage assumptions'!$C$226*WasteTransportMethod[Emissions Factor
kgCO2e/kg.km]*Calculations[[#This Row],[Total Kg]],0)</f>
        <v>0</v>
      </c>
      <c r="X1097" s="322">
        <f>SUM(Calculations[[#This Row],[C2 Recycle]:[C2 Reuse]])</f>
        <v>0</v>
      </c>
      <c r="Y1097" t="str">
        <f>IFERROR(VLOOKUP(Calculations[[#This Row],[Material (choose from dropdown]],MaterialData[#All],5,FALSE),"")</f>
        <v/>
      </c>
      <c r="Z1097" s="322">
        <f>IFERROR(((VLOOKUP(Calculations[[#This Row],[Waste type 2]],WasteDisposalEmissions[#All],2,FALSE))*Calculations[[#This Row],[Total Kg]])*VLOOKUP(Calculations[[#This Row],[Waste 1]],WasteScenario[#All],2,FALSE),0)</f>
        <v>0</v>
      </c>
      <c r="AA1097" s="322">
        <f>IFERROR((VLOOKUP(Calculations[[#This Row],[Waste type 2]],WasteDisposalEmissions[#All],3,FALSE))*Calculations[[#This Row],[Total Kg]]*VLOOKUP(Calculations[[#This Row],[Waste 1]],WasteScenario[#All],3,FALSE),0)</f>
        <v>0</v>
      </c>
      <c r="AB1097" s="322">
        <f>SUM(Calculations[[#This Row],[C3 recyc]:[C3 incin]])</f>
        <v>0</v>
      </c>
      <c r="AC1097" s="334">
        <f>IFERROR((VLOOKUP(Calculations[[#This Row],[Waste type 2]],WasteLandfillEmissions[#All],2,FALSE))*Calculations[[#This Row],[Total Kg]]*VLOOKUP(Calculations[[#This Row],[Waste 1]],WasteScenario[#All],4,FALSE),0)</f>
        <v>0</v>
      </c>
      <c r="AD1097" s="322">
        <f>IFERROR((VLOOKUP(Calculations[[#This Row],[Waste type 2]],WasteLandfillEmissions[#All],3,FALSE))*Calculations[[#This Row],[Total Kg]]*VLOOKUP(Calculations[[#This Row],[Waste 1]],WasteScenario[#All],4,FALSE),0)</f>
        <v>0</v>
      </c>
      <c r="AE1097" s="322">
        <f>SUM(Calculations[[#This Row],[C4 landfill]:[C4 re-use]])</f>
        <v>0</v>
      </c>
      <c r="AF1097" s="322">
        <f>IFERROR(VLOOKUP(Calculations[[#This Row],[Material (choose from dropdown]],MaterialData[#All],8,FALSE),0)</f>
        <v>0</v>
      </c>
      <c r="AG1097" s="322">
        <f>IFERROR(Calculations[[#This Row],[Total Kg]]*Calculations[[#This Row],[Seq factor]],0)</f>
        <v>0</v>
      </c>
      <c r="AI1097" s="322">
        <f>Calculations[[#This Row],[A1-3]]+Calculations[[#This Row],[A4]]+Calculations[[#This Row],[A5]]+Calculations[[#This Row],[B4]]+Calculations[[#This Row],[C2 total]]+Calculations[[#This Row],[C3 total]]+Calculations[[#This Row],[C4 total]]</f>
        <v>0</v>
      </c>
      <c r="AJ1097" s="2">
        <f>IFERROR(VLOOKUP(Calculations[[#This Row],[Material (choose from dropdown]],MaterialData[[#Headers],[#Data]],9,FALSE),0)</f>
        <v>0</v>
      </c>
      <c r="AK1097" s="4">
        <f>IFERROR(VLOOKUP(Calculations[[#This Row],[Material (choose from dropdown]],MaterialData[[#Headers],[#Data]],10,FALSE),0)</f>
        <v>0</v>
      </c>
      <c r="AL1097" s="322">
        <f>IFERROR(Calculations[[#This Row],[Data Quality Score]]*Calculations[[#This Row],[Total Kg]],0)</f>
        <v>0</v>
      </c>
    </row>
    <row r="1098" spans="1:38" x14ac:dyDescent="0.3">
      <c r="A1098" s="6">
        <f>IFERROR(MaterialsBoQ[[#This Row],[Scope Element]],0)</f>
        <v>0</v>
      </c>
      <c r="B1098" t="str">
        <f>IFERROR(MaterialsBoQ[[#This Row],[Material ]],"")</f>
        <v/>
      </c>
      <c r="C1098" t="str">
        <f>IFERROR(MaterialsBoQ[[#This Row],[Unit]],"")</f>
        <v/>
      </c>
      <c r="D1098" s="322">
        <f>IFERROR(MaterialsBoQ[[#This Row],[Number]],0)</f>
        <v>0</v>
      </c>
      <c r="E1098" s="322">
        <f>IFERROR(MaterialsBoQ[[#This Row],[Kg per unit]],0)</f>
        <v>0</v>
      </c>
      <c r="F1098" s="322">
        <f>IFERROR(Calculations[[#This Row],[Number]]*Calculations[[#This Row],[Conversion factor]],0)</f>
        <v>0</v>
      </c>
      <c r="G1098" s="322">
        <f>IFERROR(VLOOKUP(Calculations[[#This Row],[Material (choose from dropdown]],MaterialData[#All],7,FALSE),0)</f>
        <v>0</v>
      </c>
      <c r="H1098" s="322">
        <f>Calculations[[#This Row],[Total Kg]]*Calculations[[#This Row],[Carbon Factor]]</f>
        <v>0</v>
      </c>
      <c r="I1098" t="str">
        <f>IFERROR(VLOOKUP(Calculations[[#This Row],[Material (choose from dropdown]],MaterialData[#All],2,FALSE),"")</f>
        <v/>
      </c>
      <c r="J1098" s="322">
        <f>IFERROR(((VLOOKUP(Calculations[[#This Row],[TransportSource]],TransportDistance[],2,FALSE)*'Stage assumptions'!$C$11)+VLOOKUP(Calculations[[#This Row],[TransportSource]],TransportDistance[],3,FALSE)*'Stage assumptions'!$C$12)*Calculations[[#This Row],[Total Kg]],0)</f>
        <v>0</v>
      </c>
      <c r="K1098">
        <f>IFERROR(VLOOKUP(Calculations[[#This Row],[Material (choose from dropdown]], MaterialData[#All],3, FALSE),0)</f>
        <v>0</v>
      </c>
      <c r="L1098" s="322">
        <f>IFERROR(VLOOKUP(Calculations[[#This Row],[A5type]],A5WastageRate[#All],2,FALSE)*Calculations[[#This Row],[A1-3]],0)</f>
        <v>0</v>
      </c>
      <c r="N1098">
        <f>IFERROR(ROUNDUP(50/VLOOKUP(Calculations[[#This Row],[Scope Element]],B4referenceServiceLife[[Tier 2 element]:[Default Service Life]],2, FALSE)-1,0),0)</f>
        <v>0</v>
      </c>
      <c r="O1098" s="322">
        <f>IFERROR((Calculations[[#This Row],[A1-3]]+Calculations[[#This Row],[A4]]+Calculations[[#This Row],[A5]]+Calculations[[#This Row],[C2 total]]+Calculations[[#This Row],[C3 total]]+Calculations[[#This Row],[C4 total]])*Calculations[[#This Row],[Replacements]],0)</f>
        <v>0</v>
      </c>
      <c r="S1098" t="str">
        <f>IFERROR(VLOOKUP(Calculations[[#This Row],[Material (choose from dropdown]],MaterialData[#All],4,FALSE),"")</f>
        <v/>
      </c>
      <c r="T1098" s="322" cm="1">
        <f t="array" ref="T1098">IFERROR(VLOOKUP(Calculations[[#This Row],[Waste 1]],WasteScenario[#All],2,FALSE)*'Stage assumptions'!$C$225*WasteTransportMethod[Emissions Factor
kgCO2e/kg.km]*Calculations[[#This Row],[Total Kg]],0)</f>
        <v>0</v>
      </c>
      <c r="U1098" s="322" cm="1">
        <f t="array" ref="U1098">IFERROR(VLOOKUP(Calculations[[#This Row],[Waste 1]],WasteScenario[#All],3,FALSE)*'Stage assumptions'!$C$224*WasteTransportMethod[Emissions Factor
kgCO2e/kg.km]*Calculations[[#This Row],[Total Kg]],0)</f>
        <v>0</v>
      </c>
      <c r="V1098" s="322" cm="1">
        <f t="array" ref="V1098">IFERROR(VLOOKUP(Calculations[[#This Row],[Waste 1]],WasteScenario[#All],4,FALSE)*'Stage assumptions'!$C$223*WasteTransportMethod[Emissions Factor
kgCO2e/kg.km]*Calculations[[#This Row],[Total Kg]],0)</f>
        <v>0</v>
      </c>
      <c r="W1098" s="322" cm="1">
        <f t="array" ref="W1098">IFERROR(VLOOKUP(Calculations[[#This Row],[Waste 1]],WasteScenario[#All],5,FALSE)*'Stage assumptions'!$C$226*WasteTransportMethod[Emissions Factor
kgCO2e/kg.km]*Calculations[[#This Row],[Total Kg]],0)</f>
        <v>0</v>
      </c>
      <c r="X1098" s="322">
        <f>SUM(Calculations[[#This Row],[C2 Recycle]:[C2 Reuse]])</f>
        <v>0</v>
      </c>
      <c r="Y1098" t="str">
        <f>IFERROR(VLOOKUP(Calculations[[#This Row],[Material (choose from dropdown]],MaterialData[#All],5,FALSE),"")</f>
        <v/>
      </c>
      <c r="Z1098" s="322">
        <f>IFERROR(((VLOOKUP(Calculations[[#This Row],[Waste type 2]],WasteDisposalEmissions[#All],2,FALSE))*Calculations[[#This Row],[Total Kg]])*VLOOKUP(Calculations[[#This Row],[Waste 1]],WasteScenario[#All],2,FALSE),0)</f>
        <v>0</v>
      </c>
      <c r="AA1098" s="322">
        <f>IFERROR((VLOOKUP(Calculations[[#This Row],[Waste type 2]],WasteDisposalEmissions[#All],3,FALSE))*Calculations[[#This Row],[Total Kg]]*VLOOKUP(Calculations[[#This Row],[Waste 1]],WasteScenario[#All],3,FALSE),0)</f>
        <v>0</v>
      </c>
      <c r="AB1098" s="322">
        <f>SUM(Calculations[[#This Row],[C3 recyc]:[C3 incin]])</f>
        <v>0</v>
      </c>
      <c r="AC1098" s="334">
        <f>IFERROR((VLOOKUP(Calculations[[#This Row],[Waste type 2]],WasteLandfillEmissions[#All],2,FALSE))*Calculations[[#This Row],[Total Kg]]*VLOOKUP(Calculations[[#This Row],[Waste 1]],WasteScenario[#All],4,FALSE),0)</f>
        <v>0</v>
      </c>
      <c r="AD1098" s="322">
        <f>IFERROR((VLOOKUP(Calculations[[#This Row],[Waste type 2]],WasteLandfillEmissions[#All],3,FALSE))*Calculations[[#This Row],[Total Kg]]*VLOOKUP(Calculations[[#This Row],[Waste 1]],WasteScenario[#All],4,FALSE),0)</f>
        <v>0</v>
      </c>
      <c r="AE1098" s="322">
        <f>SUM(Calculations[[#This Row],[C4 landfill]:[C4 re-use]])</f>
        <v>0</v>
      </c>
      <c r="AF1098" s="322">
        <f>IFERROR(VLOOKUP(Calculations[[#This Row],[Material (choose from dropdown]],MaterialData[#All],8,FALSE),0)</f>
        <v>0</v>
      </c>
      <c r="AG1098" s="322">
        <f>IFERROR(Calculations[[#This Row],[Total Kg]]*Calculations[[#This Row],[Seq factor]],0)</f>
        <v>0</v>
      </c>
      <c r="AI1098" s="322">
        <f>Calculations[[#This Row],[A1-3]]+Calculations[[#This Row],[A4]]+Calculations[[#This Row],[A5]]+Calculations[[#This Row],[B4]]+Calculations[[#This Row],[C2 total]]+Calculations[[#This Row],[C3 total]]+Calculations[[#This Row],[C4 total]]</f>
        <v>0</v>
      </c>
      <c r="AJ1098" s="2">
        <f>IFERROR(VLOOKUP(Calculations[[#This Row],[Material (choose from dropdown]],MaterialData[[#Headers],[#Data]],9,FALSE),0)</f>
        <v>0</v>
      </c>
      <c r="AK1098" s="4">
        <f>IFERROR(VLOOKUP(Calculations[[#This Row],[Material (choose from dropdown]],MaterialData[[#Headers],[#Data]],10,FALSE),0)</f>
        <v>0</v>
      </c>
      <c r="AL1098" s="322">
        <f>IFERROR(Calculations[[#This Row],[Data Quality Score]]*Calculations[[#This Row],[Total Kg]],0)</f>
        <v>0</v>
      </c>
    </row>
    <row r="1099" spans="1:38" x14ac:dyDescent="0.3">
      <c r="A1099" s="6">
        <f>IFERROR(MaterialsBoQ[[#This Row],[Scope Element]],0)</f>
        <v>0</v>
      </c>
      <c r="B1099" t="str">
        <f>IFERROR(MaterialsBoQ[[#This Row],[Material ]],"")</f>
        <v/>
      </c>
      <c r="C1099" t="str">
        <f>IFERROR(MaterialsBoQ[[#This Row],[Unit]],"")</f>
        <v/>
      </c>
      <c r="D1099" s="322">
        <f>IFERROR(MaterialsBoQ[[#This Row],[Number]],0)</f>
        <v>0</v>
      </c>
      <c r="E1099" s="322">
        <f>IFERROR(MaterialsBoQ[[#This Row],[Kg per unit]],0)</f>
        <v>0</v>
      </c>
      <c r="F1099" s="322">
        <f>IFERROR(Calculations[[#This Row],[Number]]*Calculations[[#This Row],[Conversion factor]],0)</f>
        <v>0</v>
      </c>
      <c r="G1099" s="322">
        <f>IFERROR(VLOOKUP(Calculations[[#This Row],[Material (choose from dropdown]],MaterialData[#All],7,FALSE),0)</f>
        <v>0</v>
      </c>
      <c r="H1099" s="322">
        <f>Calculations[[#This Row],[Total Kg]]*Calculations[[#This Row],[Carbon Factor]]</f>
        <v>0</v>
      </c>
      <c r="I1099" t="str">
        <f>IFERROR(VLOOKUP(Calculations[[#This Row],[Material (choose from dropdown]],MaterialData[#All],2,FALSE),"")</f>
        <v/>
      </c>
      <c r="J1099" s="322">
        <f>IFERROR(((VLOOKUP(Calculations[[#This Row],[TransportSource]],TransportDistance[],2,FALSE)*'Stage assumptions'!$C$11)+VLOOKUP(Calculations[[#This Row],[TransportSource]],TransportDistance[],3,FALSE)*'Stage assumptions'!$C$12)*Calculations[[#This Row],[Total Kg]],0)</f>
        <v>0</v>
      </c>
      <c r="K1099">
        <f>IFERROR(VLOOKUP(Calculations[[#This Row],[Material (choose from dropdown]], MaterialData[#All],3, FALSE),0)</f>
        <v>0</v>
      </c>
      <c r="L1099" s="322">
        <f>IFERROR(VLOOKUP(Calculations[[#This Row],[A5type]],A5WastageRate[#All],2,FALSE)*Calculations[[#This Row],[A1-3]],0)</f>
        <v>0</v>
      </c>
      <c r="N1099">
        <f>IFERROR(ROUNDUP(50/VLOOKUP(Calculations[[#This Row],[Scope Element]],B4referenceServiceLife[[Tier 2 element]:[Default Service Life]],2, FALSE)-1,0),0)</f>
        <v>0</v>
      </c>
      <c r="O1099" s="322">
        <f>IFERROR((Calculations[[#This Row],[A1-3]]+Calculations[[#This Row],[A4]]+Calculations[[#This Row],[A5]]+Calculations[[#This Row],[C2 total]]+Calculations[[#This Row],[C3 total]]+Calculations[[#This Row],[C4 total]])*Calculations[[#This Row],[Replacements]],0)</f>
        <v>0</v>
      </c>
      <c r="S1099" t="str">
        <f>IFERROR(VLOOKUP(Calculations[[#This Row],[Material (choose from dropdown]],MaterialData[#All],4,FALSE),"")</f>
        <v/>
      </c>
      <c r="T1099" s="322" cm="1">
        <f t="array" ref="T1099">IFERROR(VLOOKUP(Calculations[[#This Row],[Waste 1]],WasteScenario[#All],2,FALSE)*'Stage assumptions'!$C$225*WasteTransportMethod[Emissions Factor
kgCO2e/kg.km]*Calculations[[#This Row],[Total Kg]],0)</f>
        <v>0</v>
      </c>
      <c r="U1099" s="322" cm="1">
        <f t="array" ref="U1099">IFERROR(VLOOKUP(Calculations[[#This Row],[Waste 1]],WasteScenario[#All],3,FALSE)*'Stage assumptions'!$C$224*WasteTransportMethod[Emissions Factor
kgCO2e/kg.km]*Calculations[[#This Row],[Total Kg]],0)</f>
        <v>0</v>
      </c>
      <c r="V1099" s="322" cm="1">
        <f t="array" ref="V1099">IFERROR(VLOOKUP(Calculations[[#This Row],[Waste 1]],WasteScenario[#All],4,FALSE)*'Stage assumptions'!$C$223*WasteTransportMethod[Emissions Factor
kgCO2e/kg.km]*Calculations[[#This Row],[Total Kg]],0)</f>
        <v>0</v>
      </c>
      <c r="W1099" s="322" cm="1">
        <f t="array" ref="W1099">IFERROR(VLOOKUP(Calculations[[#This Row],[Waste 1]],WasteScenario[#All],5,FALSE)*'Stage assumptions'!$C$226*WasteTransportMethod[Emissions Factor
kgCO2e/kg.km]*Calculations[[#This Row],[Total Kg]],0)</f>
        <v>0</v>
      </c>
      <c r="X1099" s="322">
        <f>SUM(Calculations[[#This Row],[C2 Recycle]:[C2 Reuse]])</f>
        <v>0</v>
      </c>
      <c r="Y1099" t="str">
        <f>IFERROR(VLOOKUP(Calculations[[#This Row],[Material (choose from dropdown]],MaterialData[#All],5,FALSE),"")</f>
        <v/>
      </c>
      <c r="Z1099" s="322">
        <f>IFERROR(((VLOOKUP(Calculations[[#This Row],[Waste type 2]],WasteDisposalEmissions[#All],2,FALSE))*Calculations[[#This Row],[Total Kg]])*VLOOKUP(Calculations[[#This Row],[Waste 1]],WasteScenario[#All],2,FALSE),0)</f>
        <v>0</v>
      </c>
      <c r="AA1099" s="322">
        <f>IFERROR((VLOOKUP(Calculations[[#This Row],[Waste type 2]],WasteDisposalEmissions[#All],3,FALSE))*Calculations[[#This Row],[Total Kg]]*VLOOKUP(Calculations[[#This Row],[Waste 1]],WasteScenario[#All],3,FALSE),0)</f>
        <v>0</v>
      </c>
      <c r="AB1099" s="322">
        <f>SUM(Calculations[[#This Row],[C3 recyc]:[C3 incin]])</f>
        <v>0</v>
      </c>
      <c r="AC1099" s="334">
        <f>IFERROR((VLOOKUP(Calculations[[#This Row],[Waste type 2]],WasteLandfillEmissions[#All],2,FALSE))*Calculations[[#This Row],[Total Kg]]*VLOOKUP(Calculations[[#This Row],[Waste 1]],WasteScenario[#All],4,FALSE),0)</f>
        <v>0</v>
      </c>
      <c r="AD1099" s="322">
        <f>IFERROR((VLOOKUP(Calculations[[#This Row],[Waste type 2]],WasteLandfillEmissions[#All],3,FALSE))*Calculations[[#This Row],[Total Kg]]*VLOOKUP(Calculations[[#This Row],[Waste 1]],WasteScenario[#All],4,FALSE),0)</f>
        <v>0</v>
      </c>
      <c r="AE1099" s="322">
        <f>SUM(Calculations[[#This Row],[C4 landfill]:[C4 re-use]])</f>
        <v>0</v>
      </c>
      <c r="AF1099" s="322">
        <f>IFERROR(VLOOKUP(Calculations[[#This Row],[Material (choose from dropdown]],MaterialData[#All],8,FALSE),0)</f>
        <v>0</v>
      </c>
      <c r="AG1099" s="322">
        <f>IFERROR(Calculations[[#This Row],[Total Kg]]*Calculations[[#This Row],[Seq factor]],0)</f>
        <v>0</v>
      </c>
      <c r="AI1099" s="322">
        <f>Calculations[[#This Row],[A1-3]]+Calculations[[#This Row],[A4]]+Calculations[[#This Row],[A5]]+Calculations[[#This Row],[B4]]+Calculations[[#This Row],[C2 total]]+Calculations[[#This Row],[C3 total]]+Calculations[[#This Row],[C4 total]]</f>
        <v>0</v>
      </c>
      <c r="AJ1099" s="2">
        <f>IFERROR(VLOOKUP(Calculations[[#This Row],[Material (choose from dropdown]],MaterialData[[#Headers],[#Data]],9,FALSE),0)</f>
        <v>0</v>
      </c>
      <c r="AK1099" s="4">
        <f>IFERROR(VLOOKUP(Calculations[[#This Row],[Material (choose from dropdown]],MaterialData[[#Headers],[#Data]],10,FALSE),0)</f>
        <v>0</v>
      </c>
      <c r="AL1099" s="322">
        <f>IFERROR(Calculations[[#This Row],[Data Quality Score]]*Calculations[[#This Row],[Total Kg]],0)</f>
        <v>0</v>
      </c>
    </row>
    <row r="1100" spans="1:38" x14ac:dyDescent="0.3">
      <c r="A1100" s="6">
        <f>IFERROR(MaterialsBoQ[[#This Row],[Scope Element]],0)</f>
        <v>0</v>
      </c>
      <c r="B1100" t="str">
        <f>IFERROR(MaterialsBoQ[[#This Row],[Material ]],"")</f>
        <v/>
      </c>
      <c r="C1100" t="str">
        <f>IFERROR(MaterialsBoQ[[#This Row],[Unit]],"")</f>
        <v/>
      </c>
      <c r="D1100" s="322">
        <f>IFERROR(MaterialsBoQ[[#This Row],[Number]],0)</f>
        <v>0</v>
      </c>
      <c r="E1100" s="322">
        <f>IFERROR(MaterialsBoQ[[#This Row],[Kg per unit]],0)</f>
        <v>0</v>
      </c>
      <c r="F1100" s="322">
        <f>IFERROR(Calculations[[#This Row],[Number]]*Calculations[[#This Row],[Conversion factor]],0)</f>
        <v>0</v>
      </c>
      <c r="G1100" s="322">
        <f>IFERROR(VLOOKUP(Calculations[[#This Row],[Material (choose from dropdown]],MaterialData[#All],7,FALSE),0)</f>
        <v>0</v>
      </c>
      <c r="H1100" s="322">
        <f>Calculations[[#This Row],[Total Kg]]*Calculations[[#This Row],[Carbon Factor]]</f>
        <v>0</v>
      </c>
      <c r="I1100" t="str">
        <f>IFERROR(VLOOKUP(Calculations[[#This Row],[Material (choose from dropdown]],MaterialData[#All],2,FALSE),"")</f>
        <v/>
      </c>
      <c r="J1100" s="322">
        <f>IFERROR(((VLOOKUP(Calculations[[#This Row],[TransportSource]],TransportDistance[],2,FALSE)*'Stage assumptions'!$C$11)+VLOOKUP(Calculations[[#This Row],[TransportSource]],TransportDistance[],3,FALSE)*'Stage assumptions'!$C$12)*Calculations[[#This Row],[Total Kg]],0)</f>
        <v>0</v>
      </c>
      <c r="K1100">
        <f>IFERROR(VLOOKUP(Calculations[[#This Row],[Material (choose from dropdown]], MaterialData[#All],3, FALSE),0)</f>
        <v>0</v>
      </c>
      <c r="L1100" s="322">
        <f>IFERROR(VLOOKUP(Calculations[[#This Row],[A5type]],A5WastageRate[#All],2,FALSE)*Calculations[[#This Row],[A1-3]],0)</f>
        <v>0</v>
      </c>
      <c r="N1100">
        <f>IFERROR(ROUNDUP(50/VLOOKUP(Calculations[[#This Row],[Scope Element]],B4referenceServiceLife[[Tier 2 element]:[Default Service Life]],2, FALSE)-1,0),0)</f>
        <v>0</v>
      </c>
      <c r="O1100" s="322">
        <f>IFERROR((Calculations[[#This Row],[A1-3]]+Calculations[[#This Row],[A4]]+Calculations[[#This Row],[A5]]+Calculations[[#This Row],[C2 total]]+Calculations[[#This Row],[C3 total]]+Calculations[[#This Row],[C4 total]])*Calculations[[#This Row],[Replacements]],0)</f>
        <v>0</v>
      </c>
      <c r="S1100" t="str">
        <f>IFERROR(VLOOKUP(Calculations[[#This Row],[Material (choose from dropdown]],MaterialData[#All],4,FALSE),"")</f>
        <v/>
      </c>
      <c r="T1100" s="322" cm="1">
        <f t="array" ref="T1100">IFERROR(VLOOKUP(Calculations[[#This Row],[Waste 1]],WasteScenario[#All],2,FALSE)*'Stage assumptions'!$C$225*WasteTransportMethod[Emissions Factor
kgCO2e/kg.km]*Calculations[[#This Row],[Total Kg]],0)</f>
        <v>0</v>
      </c>
      <c r="U1100" s="322" cm="1">
        <f t="array" ref="U1100">IFERROR(VLOOKUP(Calculations[[#This Row],[Waste 1]],WasteScenario[#All],3,FALSE)*'Stage assumptions'!$C$224*WasteTransportMethod[Emissions Factor
kgCO2e/kg.km]*Calculations[[#This Row],[Total Kg]],0)</f>
        <v>0</v>
      </c>
      <c r="V1100" s="322" cm="1">
        <f t="array" ref="V1100">IFERROR(VLOOKUP(Calculations[[#This Row],[Waste 1]],WasteScenario[#All],4,FALSE)*'Stage assumptions'!$C$223*WasteTransportMethod[Emissions Factor
kgCO2e/kg.km]*Calculations[[#This Row],[Total Kg]],0)</f>
        <v>0</v>
      </c>
      <c r="W1100" s="322" cm="1">
        <f t="array" ref="W1100">IFERROR(VLOOKUP(Calculations[[#This Row],[Waste 1]],WasteScenario[#All],5,FALSE)*'Stage assumptions'!$C$226*WasteTransportMethod[Emissions Factor
kgCO2e/kg.km]*Calculations[[#This Row],[Total Kg]],0)</f>
        <v>0</v>
      </c>
      <c r="X1100" s="322">
        <f>SUM(Calculations[[#This Row],[C2 Recycle]:[C2 Reuse]])</f>
        <v>0</v>
      </c>
      <c r="Y1100" t="str">
        <f>IFERROR(VLOOKUP(Calculations[[#This Row],[Material (choose from dropdown]],MaterialData[#All],5,FALSE),"")</f>
        <v/>
      </c>
      <c r="Z1100" s="322">
        <f>IFERROR(((VLOOKUP(Calculations[[#This Row],[Waste type 2]],WasteDisposalEmissions[#All],2,FALSE))*Calculations[[#This Row],[Total Kg]])*VLOOKUP(Calculations[[#This Row],[Waste 1]],WasteScenario[#All],2,FALSE),0)</f>
        <v>0</v>
      </c>
      <c r="AA1100" s="322">
        <f>IFERROR((VLOOKUP(Calculations[[#This Row],[Waste type 2]],WasteDisposalEmissions[#All],3,FALSE))*Calculations[[#This Row],[Total Kg]]*VLOOKUP(Calculations[[#This Row],[Waste 1]],WasteScenario[#All],3,FALSE),0)</f>
        <v>0</v>
      </c>
      <c r="AB1100" s="322">
        <f>SUM(Calculations[[#This Row],[C3 recyc]:[C3 incin]])</f>
        <v>0</v>
      </c>
      <c r="AC1100" s="334">
        <f>IFERROR((VLOOKUP(Calculations[[#This Row],[Waste type 2]],WasteLandfillEmissions[#All],2,FALSE))*Calculations[[#This Row],[Total Kg]]*VLOOKUP(Calculations[[#This Row],[Waste 1]],WasteScenario[#All],4,FALSE),0)</f>
        <v>0</v>
      </c>
      <c r="AD1100" s="322">
        <f>IFERROR((VLOOKUP(Calculations[[#This Row],[Waste type 2]],WasteLandfillEmissions[#All],3,FALSE))*Calculations[[#This Row],[Total Kg]]*VLOOKUP(Calculations[[#This Row],[Waste 1]],WasteScenario[#All],4,FALSE),0)</f>
        <v>0</v>
      </c>
      <c r="AE1100" s="322">
        <f>SUM(Calculations[[#This Row],[C4 landfill]:[C4 re-use]])</f>
        <v>0</v>
      </c>
      <c r="AF1100" s="322">
        <f>IFERROR(VLOOKUP(Calculations[[#This Row],[Material (choose from dropdown]],MaterialData[#All],8,FALSE),0)</f>
        <v>0</v>
      </c>
      <c r="AG1100" s="322">
        <f>IFERROR(Calculations[[#This Row],[Total Kg]]*Calculations[[#This Row],[Seq factor]],0)</f>
        <v>0</v>
      </c>
      <c r="AI1100" s="322">
        <f>Calculations[[#This Row],[A1-3]]+Calculations[[#This Row],[A4]]+Calculations[[#This Row],[A5]]+Calculations[[#This Row],[B4]]+Calculations[[#This Row],[C2 total]]+Calculations[[#This Row],[C3 total]]+Calculations[[#This Row],[C4 total]]</f>
        <v>0</v>
      </c>
      <c r="AJ1100" s="2">
        <f>IFERROR(VLOOKUP(Calculations[[#This Row],[Material (choose from dropdown]],MaterialData[[#Headers],[#Data]],9,FALSE),0)</f>
        <v>0</v>
      </c>
      <c r="AK1100" s="4">
        <f>IFERROR(VLOOKUP(Calculations[[#This Row],[Material (choose from dropdown]],MaterialData[[#Headers],[#Data]],10,FALSE),0)</f>
        <v>0</v>
      </c>
      <c r="AL1100" s="322">
        <f>IFERROR(Calculations[[#This Row],[Data Quality Score]]*Calculations[[#This Row],[Total Kg]],0)</f>
        <v>0</v>
      </c>
    </row>
    <row r="1101" spans="1:38" x14ac:dyDescent="0.3">
      <c r="A1101" s="6">
        <f>IFERROR(MaterialsBoQ[[#This Row],[Scope Element]],0)</f>
        <v>0</v>
      </c>
      <c r="B1101" t="str">
        <f>IFERROR(MaterialsBoQ[[#This Row],[Material ]],"")</f>
        <v/>
      </c>
      <c r="C1101" t="str">
        <f>IFERROR(MaterialsBoQ[[#This Row],[Unit]],"")</f>
        <v/>
      </c>
      <c r="D1101" s="322">
        <f>IFERROR(MaterialsBoQ[[#This Row],[Number]],0)</f>
        <v>0</v>
      </c>
      <c r="E1101" s="322">
        <f>IFERROR(MaterialsBoQ[[#This Row],[Kg per unit]],0)</f>
        <v>0</v>
      </c>
      <c r="F1101" s="322">
        <f>IFERROR(Calculations[[#This Row],[Number]]*Calculations[[#This Row],[Conversion factor]],0)</f>
        <v>0</v>
      </c>
      <c r="G1101" s="322">
        <f>IFERROR(VLOOKUP(Calculations[[#This Row],[Material (choose from dropdown]],MaterialData[#All],7,FALSE),0)</f>
        <v>0</v>
      </c>
      <c r="H1101" s="322">
        <f>Calculations[[#This Row],[Total Kg]]*Calculations[[#This Row],[Carbon Factor]]</f>
        <v>0</v>
      </c>
      <c r="I1101" t="str">
        <f>IFERROR(VLOOKUP(Calculations[[#This Row],[Material (choose from dropdown]],MaterialData[#All],2,FALSE),"")</f>
        <v/>
      </c>
      <c r="J1101" s="322">
        <f>IFERROR(((VLOOKUP(Calculations[[#This Row],[TransportSource]],TransportDistance[],2,FALSE)*'Stage assumptions'!$C$11)+VLOOKUP(Calculations[[#This Row],[TransportSource]],TransportDistance[],3,FALSE)*'Stage assumptions'!$C$12)*Calculations[[#This Row],[Total Kg]],0)</f>
        <v>0</v>
      </c>
      <c r="K1101">
        <f>IFERROR(VLOOKUP(Calculations[[#This Row],[Material (choose from dropdown]], MaterialData[#All],3, FALSE),0)</f>
        <v>0</v>
      </c>
      <c r="L1101" s="322">
        <f>IFERROR(VLOOKUP(Calculations[[#This Row],[A5type]],A5WastageRate[#All],2,FALSE)*Calculations[[#This Row],[A1-3]],0)</f>
        <v>0</v>
      </c>
      <c r="N1101">
        <f>IFERROR(ROUNDUP(50/VLOOKUP(Calculations[[#This Row],[Scope Element]],B4referenceServiceLife[[Tier 2 element]:[Default Service Life]],2, FALSE)-1,0),0)</f>
        <v>0</v>
      </c>
      <c r="O1101" s="322">
        <f>IFERROR((Calculations[[#This Row],[A1-3]]+Calculations[[#This Row],[A4]]+Calculations[[#This Row],[A5]]+Calculations[[#This Row],[C2 total]]+Calculations[[#This Row],[C3 total]]+Calculations[[#This Row],[C4 total]])*Calculations[[#This Row],[Replacements]],0)</f>
        <v>0</v>
      </c>
      <c r="S1101" t="str">
        <f>IFERROR(VLOOKUP(Calculations[[#This Row],[Material (choose from dropdown]],MaterialData[#All],4,FALSE),"")</f>
        <v/>
      </c>
      <c r="T1101" s="322" cm="1">
        <f t="array" ref="T1101">IFERROR(VLOOKUP(Calculations[[#This Row],[Waste 1]],WasteScenario[#All],2,FALSE)*'Stage assumptions'!$C$225*WasteTransportMethod[Emissions Factor
kgCO2e/kg.km]*Calculations[[#This Row],[Total Kg]],0)</f>
        <v>0</v>
      </c>
      <c r="U1101" s="322" cm="1">
        <f t="array" ref="U1101">IFERROR(VLOOKUP(Calculations[[#This Row],[Waste 1]],WasteScenario[#All],3,FALSE)*'Stage assumptions'!$C$224*WasteTransportMethod[Emissions Factor
kgCO2e/kg.km]*Calculations[[#This Row],[Total Kg]],0)</f>
        <v>0</v>
      </c>
      <c r="V1101" s="322" cm="1">
        <f t="array" ref="V1101">IFERROR(VLOOKUP(Calculations[[#This Row],[Waste 1]],WasteScenario[#All],4,FALSE)*'Stage assumptions'!$C$223*WasteTransportMethod[Emissions Factor
kgCO2e/kg.km]*Calculations[[#This Row],[Total Kg]],0)</f>
        <v>0</v>
      </c>
      <c r="W1101" s="322" cm="1">
        <f t="array" ref="W1101">IFERROR(VLOOKUP(Calculations[[#This Row],[Waste 1]],WasteScenario[#All],5,FALSE)*'Stage assumptions'!$C$226*WasteTransportMethod[Emissions Factor
kgCO2e/kg.km]*Calculations[[#This Row],[Total Kg]],0)</f>
        <v>0</v>
      </c>
      <c r="X1101" s="322">
        <f>SUM(Calculations[[#This Row],[C2 Recycle]:[C2 Reuse]])</f>
        <v>0</v>
      </c>
      <c r="Y1101" t="str">
        <f>IFERROR(VLOOKUP(Calculations[[#This Row],[Material (choose from dropdown]],MaterialData[#All],5,FALSE),"")</f>
        <v/>
      </c>
      <c r="Z1101" s="322">
        <f>IFERROR(((VLOOKUP(Calculations[[#This Row],[Waste type 2]],WasteDisposalEmissions[#All],2,FALSE))*Calculations[[#This Row],[Total Kg]])*VLOOKUP(Calculations[[#This Row],[Waste 1]],WasteScenario[#All],2,FALSE),0)</f>
        <v>0</v>
      </c>
      <c r="AA1101" s="322">
        <f>IFERROR((VLOOKUP(Calculations[[#This Row],[Waste type 2]],WasteDisposalEmissions[#All],3,FALSE))*Calculations[[#This Row],[Total Kg]]*VLOOKUP(Calculations[[#This Row],[Waste 1]],WasteScenario[#All],3,FALSE),0)</f>
        <v>0</v>
      </c>
      <c r="AB1101" s="322">
        <f>SUM(Calculations[[#This Row],[C3 recyc]:[C3 incin]])</f>
        <v>0</v>
      </c>
      <c r="AC1101" s="334">
        <f>IFERROR((VLOOKUP(Calculations[[#This Row],[Waste type 2]],WasteLandfillEmissions[#All],2,FALSE))*Calculations[[#This Row],[Total Kg]]*VLOOKUP(Calculations[[#This Row],[Waste 1]],WasteScenario[#All],4,FALSE),0)</f>
        <v>0</v>
      </c>
      <c r="AD1101" s="322">
        <f>IFERROR((VLOOKUP(Calculations[[#This Row],[Waste type 2]],WasteLandfillEmissions[#All],3,FALSE))*Calculations[[#This Row],[Total Kg]]*VLOOKUP(Calculations[[#This Row],[Waste 1]],WasteScenario[#All],4,FALSE),0)</f>
        <v>0</v>
      </c>
      <c r="AE1101" s="322">
        <f>SUM(Calculations[[#This Row],[C4 landfill]:[C4 re-use]])</f>
        <v>0</v>
      </c>
      <c r="AF1101" s="322">
        <f>IFERROR(VLOOKUP(Calculations[[#This Row],[Material (choose from dropdown]],MaterialData[#All],8,FALSE),0)</f>
        <v>0</v>
      </c>
      <c r="AG1101" s="322">
        <f>IFERROR(Calculations[[#This Row],[Total Kg]]*Calculations[[#This Row],[Seq factor]],0)</f>
        <v>0</v>
      </c>
      <c r="AI1101" s="322">
        <f>Calculations[[#This Row],[A1-3]]+Calculations[[#This Row],[A4]]+Calculations[[#This Row],[A5]]+Calculations[[#This Row],[B4]]+Calculations[[#This Row],[C2 total]]+Calculations[[#This Row],[C3 total]]+Calculations[[#This Row],[C4 total]]</f>
        <v>0</v>
      </c>
      <c r="AJ1101" s="2">
        <f>IFERROR(VLOOKUP(Calculations[[#This Row],[Material (choose from dropdown]],MaterialData[[#Headers],[#Data]],9,FALSE),0)</f>
        <v>0</v>
      </c>
      <c r="AK1101" s="4">
        <f>IFERROR(VLOOKUP(Calculations[[#This Row],[Material (choose from dropdown]],MaterialData[[#Headers],[#Data]],10,FALSE),0)</f>
        <v>0</v>
      </c>
      <c r="AL1101" s="322">
        <f>IFERROR(Calculations[[#This Row],[Data Quality Score]]*Calculations[[#This Row],[Total Kg]],0)</f>
        <v>0</v>
      </c>
    </row>
    <row r="1102" spans="1:38" x14ac:dyDescent="0.3">
      <c r="A1102" s="6">
        <f>IFERROR(MaterialsBoQ[[#This Row],[Scope Element]],0)</f>
        <v>0</v>
      </c>
      <c r="B1102" t="str">
        <f>IFERROR(MaterialsBoQ[[#This Row],[Material ]],"")</f>
        <v/>
      </c>
      <c r="C1102" t="str">
        <f>IFERROR(MaterialsBoQ[[#This Row],[Unit]],"")</f>
        <v/>
      </c>
      <c r="D1102" s="322">
        <f>IFERROR(MaterialsBoQ[[#This Row],[Number]],0)</f>
        <v>0</v>
      </c>
      <c r="E1102" s="322">
        <f>IFERROR(MaterialsBoQ[[#This Row],[Kg per unit]],0)</f>
        <v>0</v>
      </c>
      <c r="F1102" s="322">
        <f>IFERROR(Calculations[[#This Row],[Number]]*Calculations[[#This Row],[Conversion factor]],0)</f>
        <v>0</v>
      </c>
      <c r="G1102" s="322">
        <f>IFERROR(VLOOKUP(Calculations[[#This Row],[Material (choose from dropdown]],MaterialData[#All],7,FALSE),0)</f>
        <v>0</v>
      </c>
      <c r="H1102" s="322">
        <f>Calculations[[#This Row],[Total Kg]]*Calculations[[#This Row],[Carbon Factor]]</f>
        <v>0</v>
      </c>
      <c r="I1102" t="str">
        <f>IFERROR(VLOOKUP(Calculations[[#This Row],[Material (choose from dropdown]],MaterialData[#All],2,FALSE),"")</f>
        <v/>
      </c>
      <c r="J1102" s="322">
        <f>IFERROR(((VLOOKUP(Calculations[[#This Row],[TransportSource]],TransportDistance[],2,FALSE)*'Stage assumptions'!$C$11)+VLOOKUP(Calculations[[#This Row],[TransportSource]],TransportDistance[],3,FALSE)*'Stage assumptions'!$C$12)*Calculations[[#This Row],[Total Kg]],0)</f>
        <v>0</v>
      </c>
      <c r="K1102">
        <f>IFERROR(VLOOKUP(Calculations[[#This Row],[Material (choose from dropdown]], MaterialData[#All],3, FALSE),0)</f>
        <v>0</v>
      </c>
      <c r="L1102" s="322">
        <f>IFERROR(VLOOKUP(Calculations[[#This Row],[A5type]],A5WastageRate[#All],2,FALSE)*Calculations[[#This Row],[A1-3]],0)</f>
        <v>0</v>
      </c>
      <c r="N1102">
        <f>IFERROR(ROUNDUP(50/VLOOKUP(Calculations[[#This Row],[Scope Element]],B4referenceServiceLife[[Tier 2 element]:[Default Service Life]],2, FALSE)-1,0),0)</f>
        <v>0</v>
      </c>
      <c r="O1102" s="322">
        <f>IFERROR((Calculations[[#This Row],[A1-3]]+Calculations[[#This Row],[A4]]+Calculations[[#This Row],[A5]]+Calculations[[#This Row],[C2 total]]+Calculations[[#This Row],[C3 total]]+Calculations[[#This Row],[C4 total]])*Calculations[[#This Row],[Replacements]],0)</f>
        <v>0</v>
      </c>
      <c r="S1102" t="str">
        <f>IFERROR(VLOOKUP(Calculations[[#This Row],[Material (choose from dropdown]],MaterialData[#All],4,FALSE),"")</f>
        <v/>
      </c>
      <c r="T1102" s="322" cm="1">
        <f t="array" ref="T1102">IFERROR(VLOOKUP(Calculations[[#This Row],[Waste 1]],WasteScenario[#All],2,FALSE)*'Stage assumptions'!$C$225*WasteTransportMethod[Emissions Factor
kgCO2e/kg.km]*Calculations[[#This Row],[Total Kg]],0)</f>
        <v>0</v>
      </c>
      <c r="U1102" s="322" cm="1">
        <f t="array" ref="U1102">IFERROR(VLOOKUP(Calculations[[#This Row],[Waste 1]],WasteScenario[#All],3,FALSE)*'Stage assumptions'!$C$224*WasteTransportMethod[Emissions Factor
kgCO2e/kg.km]*Calculations[[#This Row],[Total Kg]],0)</f>
        <v>0</v>
      </c>
      <c r="V1102" s="322" cm="1">
        <f t="array" ref="V1102">IFERROR(VLOOKUP(Calculations[[#This Row],[Waste 1]],WasteScenario[#All],4,FALSE)*'Stage assumptions'!$C$223*WasteTransportMethod[Emissions Factor
kgCO2e/kg.km]*Calculations[[#This Row],[Total Kg]],0)</f>
        <v>0</v>
      </c>
      <c r="W1102" s="322" cm="1">
        <f t="array" ref="W1102">IFERROR(VLOOKUP(Calculations[[#This Row],[Waste 1]],WasteScenario[#All],5,FALSE)*'Stage assumptions'!$C$226*WasteTransportMethod[Emissions Factor
kgCO2e/kg.km]*Calculations[[#This Row],[Total Kg]],0)</f>
        <v>0</v>
      </c>
      <c r="X1102" s="322">
        <f>SUM(Calculations[[#This Row],[C2 Recycle]:[C2 Reuse]])</f>
        <v>0</v>
      </c>
      <c r="Y1102" t="str">
        <f>IFERROR(VLOOKUP(Calculations[[#This Row],[Material (choose from dropdown]],MaterialData[#All],5,FALSE),"")</f>
        <v/>
      </c>
      <c r="Z1102" s="322">
        <f>IFERROR(((VLOOKUP(Calculations[[#This Row],[Waste type 2]],WasteDisposalEmissions[#All],2,FALSE))*Calculations[[#This Row],[Total Kg]])*VLOOKUP(Calculations[[#This Row],[Waste 1]],WasteScenario[#All],2,FALSE),0)</f>
        <v>0</v>
      </c>
      <c r="AA1102" s="322">
        <f>IFERROR((VLOOKUP(Calculations[[#This Row],[Waste type 2]],WasteDisposalEmissions[#All],3,FALSE))*Calculations[[#This Row],[Total Kg]]*VLOOKUP(Calculations[[#This Row],[Waste 1]],WasteScenario[#All],3,FALSE),0)</f>
        <v>0</v>
      </c>
      <c r="AB1102" s="322">
        <f>SUM(Calculations[[#This Row],[C3 recyc]:[C3 incin]])</f>
        <v>0</v>
      </c>
      <c r="AC1102" s="334">
        <f>IFERROR((VLOOKUP(Calculations[[#This Row],[Waste type 2]],WasteLandfillEmissions[#All],2,FALSE))*Calculations[[#This Row],[Total Kg]]*VLOOKUP(Calculations[[#This Row],[Waste 1]],WasteScenario[#All],4,FALSE),0)</f>
        <v>0</v>
      </c>
      <c r="AD1102" s="322">
        <f>IFERROR((VLOOKUP(Calculations[[#This Row],[Waste type 2]],WasteLandfillEmissions[#All],3,FALSE))*Calculations[[#This Row],[Total Kg]]*VLOOKUP(Calculations[[#This Row],[Waste 1]],WasteScenario[#All],4,FALSE),0)</f>
        <v>0</v>
      </c>
      <c r="AE1102" s="322">
        <f>SUM(Calculations[[#This Row],[C4 landfill]:[C4 re-use]])</f>
        <v>0</v>
      </c>
      <c r="AF1102" s="322">
        <f>IFERROR(VLOOKUP(Calculations[[#This Row],[Material (choose from dropdown]],MaterialData[#All],8,FALSE),0)</f>
        <v>0</v>
      </c>
      <c r="AG1102" s="322">
        <f>IFERROR(Calculations[[#This Row],[Total Kg]]*Calculations[[#This Row],[Seq factor]],0)</f>
        <v>0</v>
      </c>
      <c r="AI1102" s="322">
        <f>Calculations[[#This Row],[A1-3]]+Calculations[[#This Row],[A4]]+Calculations[[#This Row],[A5]]+Calculations[[#This Row],[B4]]+Calculations[[#This Row],[C2 total]]+Calculations[[#This Row],[C3 total]]+Calculations[[#This Row],[C4 total]]</f>
        <v>0</v>
      </c>
      <c r="AJ1102" s="2">
        <f>IFERROR(VLOOKUP(Calculations[[#This Row],[Material (choose from dropdown]],MaterialData[[#Headers],[#Data]],9,FALSE),0)</f>
        <v>0</v>
      </c>
      <c r="AK1102" s="4">
        <f>IFERROR(VLOOKUP(Calculations[[#This Row],[Material (choose from dropdown]],MaterialData[[#Headers],[#Data]],10,FALSE),0)</f>
        <v>0</v>
      </c>
      <c r="AL1102" s="322">
        <f>IFERROR(Calculations[[#This Row],[Data Quality Score]]*Calculations[[#This Row],[Total Kg]],0)</f>
        <v>0</v>
      </c>
    </row>
    <row r="1103" spans="1:38" x14ac:dyDescent="0.3">
      <c r="A1103" s="6">
        <f>IFERROR(MaterialsBoQ[[#This Row],[Scope Element]],0)</f>
        <v>0</v>
      </c>
      <c r="B1103" t="str">
        <f>IFERROR(MaterialsBoQ[[#This Row],[Material ]],"")</f>
        <v/>
      </c>
      <c r="C1103" t="str">
        <f>IFERROR(MaterialsBoQ[[#This Row],[Unit]],"")</f>
        <v/>
      </c>
      <c r="D1103" s="322">
        <f>IFERROR(MaterialsBoQ[[#This Row],[Number]],0)</f>
        <v>0</v>
      </c>
      <c r="E1103" s="322">
        <f>IFERROR(MaterialsBoQ[[#This Row],[Kg per unit]],0)</f>
        <v>0</v>
      </c>
      <c r="F1103" s="322">
        <f>IFERROR(Calculations[[#This Row],[Number]]*Calculations[[#This Row],[Conversion factor]],0)</f>
        <v>0</v>
      </c>
      <c r="G1103" s="322">
        <f>IFERROR(VLOOKUP(Calculations[[#This Row],[Material (choose from dropdown]],MaterialData[#All],7,FALSE),0)</f>
        <v>0</v>
      </c>
      <c r="H1103" s="322">
        <f>Calculations[[#This Row],[Total Kg]]*Calculations[[#This Row],[Carbon Factor]]</f>
        <v>0</v>
      </c>
      <c r="I1103" t="str">
        <f>IFERROR(VLOOKUP(Calculations[[#This Row],[Material (choose from dropdown]],MaterialData[#All],2,FALSE),"")</f>
        <v/>
      </c>
      <c r="J1103" s="322">
        <f>IFERROR(((VLOOKUP(Calculations[[#This Row],[TransportSource]],TransportDistance[],2,FALSE)*'Stage assumptions'!$C$11)+VLOOKUP(Calculations[[#This Row],[TransportSource]],TransportDistance[],3,FALSE)*'Stage assumptions'!$C$12)*Calculations[[#This Row],[Total Kg]],0)</f>
        <v>0</v>
      </c>
      <c r="K1103">
        <f>IFERROR(VLOOKUP(Calculations[[#This Row],[Material (choose from dropdown]], MaterialData[#All],3, FALSE),0)</f>
        <v>0</v>
      </c>
      <c r="L1103" s="322">
        <f>IFERROR(VLOOKUP(Calculations[[#This Row],[A5type]],A5WastageRate[#All],2,FALSE)*Calculations[[#This Row],[A1-3]],0)</f>
        <v>0</v>
      </c>
      <c r="N1103">
        <f>IFERROR(ROUNDUP(50/VLOOKUP(Calculations[[#This Row],[Scope Element]],B4referenceServiceLife[[Tier 2 element]:[Default Service Life]],2, FALSE)-1,0),0)</f>
        <v>0</v>
      </c>
      <c r="O1103" s="322">
        <f>IFERROR((Calculations[[#This Row],[A1-3]]+Calculations[[#This Row],[A4]]+Calculations[[#This Row],[A5]]+Calculations[[#This Row],[C2 total]]+Calculations[[#This Row],[C3 total]]+Calculations[[#This Row],[C4 total]])*Calculations[[#This Row],[Replacements]],0)</f>
        <v>0</v>
      </c>
      <c r="S1103" t="str">
        <f>IFERROR(VLOOKUP(Calculations[[#This Row],[Material (choose from dropdown]],MaterialData[#All],4,FALSE),"")</f>
        <v/>
      </c>
      <c r="T1103" s="322" cm="1">
        <f t="array" ref="T1103">IFERROR(VLOOKUP(Calculations[[#This Row],[Waste 1]],WasteScenario[#All],2,FALSE)*'Stage assumptions'!$C$225*WasteTransportMethod[Emissions Factor
kgCO2e/kg.km]*Calculations[[#This Row],[Total Kg]],0)</f>
        <v>0</v>
      </c>
      <c r="U1103" s="322" cm="1">
        <f t="array" ref="U1103">IFERROR(VLOOKUP(Calculations[[#This Row],[Waste 1]],WasteScenario[#All],3,FALSE)*'Stage assumptions'!$C$224*WasteTransportMethod[Emissions Factor
kgCO2e/kg.km]*Calculations[[#This Row],[Total Kg]],0)</f>
        <v>0</v>
      </c>
      <c r="V1103" s="322" cm="1">
        <f t="array" ref="V1103">IFERROR(VLOOKUP(Calculations[[#This Row],[Waste 1]],WasteScenario[#All],4,FALSE)*'Stage assumptions'!$C$223*WasteTransportMethod[Emissions Factor
kgCO2e/kg.km]*Calculations[[#This Row],[Total Kg]],0)</f>
        <v>0</v>
      </c>
      <c r="W1103" s="322" cm="1">
        <f t="array" ref="W1103">IFERROR(VLOOKUP(Calculations[[#This Row],[Waste 1]],WasteScenario[#All],5,FALSE)*'Stage assumptions'!$C$226*WasteTransportMethod[Emissions Factor
kgCO2e/kg.km]*Calculations[[#This Row],[Total Kg]],0)</f>
        <v>0</v>
      </c>
      <c r="X1103" s="322">
        <f>SUM(Calculations[[#This Row],[C2 Recycle]:[C2 Reuse]])</f>
        <v>0</v>
      </c>
      <c r="Y1103" t="str">
        <f>IFERROR(VLOOKUP(Calculations[[#This Row],[Material (choose from dropdown]],MaterialData[#All],5,FALSE),"")</f>
        <v/>
      </c>
      <c r="Z1103" s="322">
        <f>IFERROR(((VLOOKUP(Calculations[[#This Row],[Waste type 2]],WasteDisposalEmissions[#All],2,FALSE))*Calculations[[#This Row],[Total Kg]])*VLOOKUP(Calculations[[#This Row],[Waste 1]],WasteScenario[#All],2,FALSE),0)</f>
        <v>0</v>
      </c>
      <c r="AA1103" s="322">
        <f>IFERROR((VLOOKUP(Calculations[[#This Row],[Waste type 2]],WasteDisposalEmissions[#All],3,FALSE))*Calculations[[#This Row],[Total Kg]]*VLOOKUP(Calculations[[#This Row],[Waste 1]],WasteScenario[#All],3,FALSE),0)</f>
        <v>0</v>
      </c>
      <c r="AB1103" s="322">
        <f>SUM(Calculations[[#This Row],[C3 recyc]:[C3 incin]])</f>
        <v>0</v>
      </c>
      <c r="AC1103" s="334">
        <f>IFERROR((VLOOKUP(Calculations[[#This Row],[Waste type 2]],WasteLandfillEmissions[#All],2,FALSE))*Calculations[[#This Row],[Total Kg]]*VLOOKUP(Calculations[[#This Row],[Waste 1]],WasteScenario[#All],4,FALSE),0)</f>
        <v>0</v>
      </c>
      <c r="AD1103" s="322">
        <f>IFERROR((VLOOKUP(Calculations[[#This Row],[Waste type 2]],WasteLandfillEmissions[#All],3,FALSE))*Calculations[[#This Row],[Total Kg]]*VLOOKUP(Calculations[[#This Row],[Waste 1]],WasteScenario[#All],4,FALSE),0)</f>
        <v>0</v>
      </c>
      <c r="AE1103" s="322">
        <f>SUM(Calculations[[#This Row],[C4 landfill]:[C4 re-use]])</f>
        <v>0</v>
      </c>
      <c r="AF1103" s="322">
        <f>IFERROR(VLOOKUP(Calculations[[#This Row],[Material (choose from dropdown]],MaterialData[#All],8,FALSE),0)</f>
        <v>0</v>
      </c>
      <c r="AG1103" s="322">
        <f>IFERROR(Calculations[[#This Row],[Total Kg]]*Calculations[[#This Row],[Seq factor]],0)</f>
        <v>0</v>
      </c>
      <c r="AI1103" s="322">
        <f>Calculations[[#This Row],[A1-3]]+Calculations[[#This Row],[A4]]+Calculations[[#This Row],[A5]]+Calculations[[#This Row],[B4]]+Calculations[[#This Row],[C2 total]]+Calculations[[#This Row],[C3 total]]+Calculations[[#This Row],[C4 total]]</f>
        <v>0</v>
      </c>
      <c r="AJ1103" s="2">
        <f>IFERROR(VLOOKUP(Calculations[[#This Row],[Material (choose from dropdown]],MaterialData[[#Headers],[#Data]],9,FALSE),0)</f>
        <v>0</v>
      </c>
      <c r="AK1103" s="4">
        <f>IFERROR(VLOOKUP(Calculations[[#This Row],[Material (choose from dropdown]],MaterialData[[#Headers],[#Data]],10,FALSE),0)</f>
        <v>0</v>
      </c>
      <c r="AL1103" s="322">
        <f>IFERROR(Calculations[[#This Row],[Data Quality Score]]*Calculations[[#This Row],[Total Kg]],0)</f>
        <v>0</v>
      </c>
    </row>
    <row r="1104" spans="1:38" x14ac:dyDescent="0.3">
      <c r="A1104" s="6">
        <f>IFERROR(MaterialsBoQ[[#This Row],[Scope Element]],0)</f>
        <v>0</v>
      </c>
      <c r="B1104" t="str">
        <f>IFERROR(MaterialsBoQ[[#This Row],[Material ]],"")</f>
        <v/>
      </c>
      <c r="C1104" t="str">
        <f>IFERROR(MaterialsBoQ[[#This Row],[Unit]],"")</f>
        <v/>
      </c>
      <c r="D1104" s="322">
        <f>IFERROR(MaterialsBoQ[[#This Row],[Number]],0)</f>
        <v>0</v>
      </c>
      <c r="E1104" s="322">
        <f>IFERROR(MaterialsBoQ[[#This Row],[Kg per unit]],0)</f>
        <v>0</v>
      </c>
      <c r="F1104" s="322">
        <f>IFERROR(Calculations[[#This Row],[Number]]*Calculations[[#This Row],[Conversion factor]],0)</f>
        <v>0</v>
      </c>
      <c r="G1104" s="322">
        <f>IFERROR(VLOOKUP(Calculations[[#This Row],[Material (choose from dropdown]],MaterialData[#All],7,FALSE),0)</f>
        <v>0</v>
      </c>
      <c r="H1104" s="322">
        <f>Calculations[[#This Row],[Total Kg]]*Calculations[[#This Row],[Carbon Factor]]</f>
        <v>0</v>
      </c>
      <c r="I1104" t="str">
        <f>IFERROR(VLOOKUP(Calculations[[#This Row],[Material (choose from dropdown]],MaterialData[#All],2,FALSE),"")</f>
        <v/>
      </c>
      <c r="J1104" s="322">
        <f>IFERROR(((VLOOKUP(Calculations[[#This Row],[TransportSource]],TransportDistance[],2,FALSE)*'Stage assumptions'!$C$11)+VLOOKUP(Calculations[[#This Row],[TransportSource]],TransportDistance[],3,FALSE)*'Stage assumptions'!$C$12)*Calculations[[#This Row],[Total Kg]],0)</f>
        <v>0</v>
      </c>
      <c r="K1104">
        <f>IFERROR(VLOOKUP(Calculations[[#This Row],[Material (choose from dropdown]], MaterialData[#All],3, FALSE),0)</f>
        <v>0</v>
      </c>
      <c r="L1104" s="322">
        <f>IFERROR(VLOOKUP(Calculations[[#This Row],[A5type]],A5WastageRate[#All],2,FALSE)*Calculations[[#This Row],[A1-3]],0)</f>
        <v>0</v>
      </c>
      <c r="N1104">
        <f>IFERROR(ROUNDUP(50/VLOOKUP(Calculations[[#This Row],[Scope Element]],B4referenceServiceLife[[Tier 2 element]:[Default Service Life]],2, FALSE)-1,0),0)</f>
        <v>0</v>
      </c>
      <c r="O1104" s="322">
        <f>IFERROR((Calculations[[#This Row],[A1-3]]+Calculations[[#This Row],[A4]]+Calculations[[#This Row],[A5]]+Calculations[[#This Row],[C2 total]]+Calculations[[#This Row],[C3 total]]+Calculations[[#This Row],[C4 total]])*Calculations[[#This Row],[Replacements]],0)</f>
        <v>0</v>
      </c>
      <c r="S1104" t="str">
        <f>IFERROR(VLOOKUP(Calculations[[#This Row],[Material (choose from dropdown]],MaterialData[#All],4,FALSE),"")</f>
        <v/>
      </c>
      <c r="T1104" s="322" cm="1">
        <f t="array" ref="T1104">IFERROR(VLOOKUP(Calculations[[#This Row],[Waste 1]],WasteScenario[#All],2,FALSE)*'Stage assumptions'!$C$225*WasteTransportMethod[Emissions Factor
kgCO2e/kg.km]*Calculations[[#This Row],[Total Kg]],0)</f>
        <v>0</v>
      </c>
      <c r="U1104" s="322" cm="1">
        <f t="array" ref="U1104">IFERROR(VLOOKUP(Calculations[[#This Row],[Waste 1]],WasteScenario[#All],3,FALSE)*'Stage assumptions'!$C$224*WasteTransportMethod[Emissions Factor
kgCO2e/kg.km]*Calculations[[#This Row],[Total Kg]],0)</f>
        <v>0</v>
      </c>
      <c r="V1104" s="322" cm="1">
        <f t="array" ref="V1104">IFERROR(VLOOKUP(Calculations[[#This Row],[Waste 1]],WasteScenario[#All],4,FALSE)*'Stage assumptions'!$C$223*WasteTransportMethod[Emissions Factor
kgCO2e/kg.km]*Calculations[[#This Row],[Total Kg]],0)</f>
        <v>0</v>
      </c>
      <c r="W1104" s="322" cm="1">
        <f t="array" ref="W1104">IFERROR(VLOOKUP(Calculations[[#This Row],[Waste 1]],WasteScenario[#All],5,FALSE)*'Stage assumptions'!$C$226*WasteTransportMethod[Emissions Factor
kgCO2e/kg.km]*Calculations[[#This Row],[Total Kg]],0)</f>
        <v>0</v>
      </c>
      <c r="X1104" s="322">
        <f>SUM(Calculations[[#This Row],[C2 Recycle]:[C2 Reuse]])</f>
        <v>0</v>
      </c>
      <c r="Y1104" t="str">
        <f>IFERROR(VLOOKUP(Calculations[[#This Row],[Material (choose from dropdown]],MaterialData[#All],5,FALSE),"")</f>
        <v/>
      </c>
      <c r="Z1104" s="322">
        <f>IFERROR(((VLOOKUP(Calculations[[#This Row],[Waste type 2]],WasteDisposalEmissions[#All],2,FALSE))*Calculations[[#This Row],[Total Kg]])*VLOOKUP(Calculations[[#This Row],[Waste 1]],WasteScenario[#All],2,FALSE),0)</f>
        <v>0</v>
      </c>
      <c r="AA1104" s="322">
        <f>IFERROR((VLOOKUP(Calculations[[#This Row],[Waste type 2]],WasteDisposalEmissions[#All],3,FALSE))*Calculations[[#This Row],[Total Kg]]*VLOOKUP(Calculations[[#This Row],[Waste 1]],WasteScenario[#All],3,FALSE),0)</f>
        <v>0</v>
      </c>
      <c r="AB1104" s="322">
        <f>SUM(Calculations[[#This Row],[C3 recyc]:[C3 incin]])</f>
        <v>0</v>
      </c>
      <c r="AC1104" s="334">
        <f>IFERROR((VLOOKUP(Calculations[[#This Row],[Waste type 2]],WasteLandfillEmissions[#All],2,FALSE))*Calculations[[#This Row],[Total Kg]]*VLOOKUP(Calculations[[#This Row],[Waste 1]],WasteScenario[#All],4,FALSE),0)</f>
        <v>0</v>
      </c>
      <c r="AD1104" s="322">
        <f>IFERROR((VLOOKUP(Calculations[[#This Row],[Waste type 2]],WasteLandfillEmissions[#All],3,FALSE))*Calculations[[#This Row],[Total Kg]]*VLOOKUP(Calculations[[#This Row],[Waste 1]],WasteScenario[#All],4,FALSE),0)</f>
        <v>0</v>
      </c>
      <c r="AE1104" s="322">
        <f>SUM(Calculations[[#This Row],[C4 landfill]:[C4 re-use]])</f>
        <v>0</v>
      </c>
      <c r="AF1104" s="322">
        <f>IFERROR(VLOOKUP(Calculations[[#This Row],[Material (choose from dropdown]],MaterialData[#All],8,FALSE),0)</f>
        <v>0</v>
      </c>
      <c r="AG1104" s="322">
        <f>IFERROR(Calculations[[#This Row],[Total Kg]]*Calculations[[#This Row],[Seq factor]],0)</f>
        <v>0</v>
      </c>
      <c r="AI1104" s="322">
        <f>Calculations[[#This Row],[A1-3]]+Calculations[[#This Row],[A4]]+Calculations[[#This Row],[A5]]+Calculations[[#This Row],[B4]]+Calculations[[#This Row],[C2 total]]+Calculations[[#This Row],[C3 total]]+Calculations[[#This Row],[C4 total]]</f>
        <v>0</v>
      </c>
      <c r="AJ1104" s="2">
        <f>IFERROR(VLOOKUP(Calculations[[#This Row],[Material (choose from dropdown]],MaterialData[[#Headers],[#Data]],9,FALSE),0)</f>
        <v>0</v>
      </c>
      <c r="AK1104" s="4">
        <f>IFERROR(VLOOKUP(Calculations[[#This Row],[Material (choose from dropdown]],MaterialData[[#Headers],[#Data]],10,FALSE),0)</f>
        <v>0</v>
      </c>
      <c r="AL1104" s="322">
        <f>IFERROR(Calculations[[#This Row],[Data Quality Score]]*Calculations[[#This Row],[Total Kg]],0)</f>
        <v>0</v>
      </c>
    </row>
    <row r="1105" spans="1:38" x14ac:dyDescent="0.3">
      <c r="A1105" s="6">
        <f>IFERROR(MaterialsBoQ[[#This Row],[Scope Element]],0)</f>
        <v>0</v>
      </c>
      <c r="B1105" t="str">
        <f>IFERROR(MaterialsBoQ[[#This Row],[Material ]],"")</f>
        <v/>
      </c>
      <c r="C1105" t="str">
        <f>IFERROR(MaterialsBoQ[[#This Row],[Unit]],"")</f>
        <v/>
      </c>
      <c r="D1105" s="322">
        <f>IFERROR(MaterialsBoQ[[#This Row],[Number]],0)</f>
        <v>0</v>
      </c>
      <c r="E1105" s="322">
        <f>IFERROR(MaterialsBoQ[[#This Row],[Kg per unit]],0)</f>
        <v>0</v>
      </c>
      <c r="F1105" s="322">
        <f>IFERROR(Calculations[[#This Row],[Number]]*Calculations[[#This Row],[Conversion factor]],0)</f>
        <v>0</v>
      </c>
      <c r="G1105" s="322">
        <f>IFERROR(VLOOKUP(Calculations[[#This Row],[Material (choose from dropdown]],MaterialData[#All],7,FALSE),0)</f>
        <v>0</v>
      </c>
      <c r="H1105" s="322">
        <f>Calculations[[#This Row],[Total Kg]]*Calculations[[#This Row],[Carbon Factor]]</f>
        <v>0</v>
      </c>
      <c r="I1105" t="str">
        <f>IFERROR(VLOOKUP(Calculations[[#This Row],[Material (choose from dropdown]],MaterialData[#All],2,FALSE),"")</f>
        <v/>
      </c>
      <c r="J1105" s="322">
        <f>IFERROR(((VLOOKUP(Calculations[[#This Row],[TransportSource]],TransportDistance[],2,FALSE)*'Stage assumptions'!$C$11)+VLOOKUP(Calculations[[#This Row],[TransportSource]],TransportDistance[],3,FALSE)*'Stage assumptions'!$C$12)*Calculations[[#This Row],[Total Kg]],0)</f>
        <v>0</v>
      </c>
      <c r="K1105">
        <f>IFERROR(VLOOKUP(Calculations[[#This Row],[Material (choose from dropdown]], MaterialData[#All],3, FALSE),0)</f>
        <v>0</v>
      </c>
      <c r="L1105" s="322">
        <f>IFERROR(VLOOKUP(Calculations[[#This Row],[A5type]],A5WastageRate[#All],2,FALSE)*Calculations[[#This Row],[A1-3]],0)</f>
        <v>0</v>
      </c>
      <c r="N1105">
        <f>IFERROR(ROUNDUP(50/VLOOKUP(Calculations[[#This Row],[Scope Element]],B4referenceServiceLife[[Tier 2 element]:[Default Service Life]],2, FALSE)-1,0),0)</f>
        <v>0</v>
      </c>
      <c r="O1105" s="322">
        <f>IFERROR((Calculations[[#This Row],[A1-3]]+Calculations[[#This Row],[A4]]+Calculations[[#This Row],[A5]]+Calculations[[#This Row],[C2 total]]+Calculations[[#This Row],[C3 total]]+Calculations[[#This Row],[C4 total]])*Calculations[[#This Row],[Replacements]],0)</f>
        <v>0</v>
      </c>
      <c r="S1105" t="str">
        <f>IFERROR(VLOOKUP(Calculations[[#This Row],[Material (choose from dropdown]],MaterialData[#All],4,FALSE),"")</f>
        <v/>
      </c>
      <c r="T1105" s="322" cm="1">
        <f t="array" ref="T1105">IFERROR(VLOOKUP(Calculations[[#This Row],[Waste 1]],WasteScenario[#All],2,FALSE)*'Stage assumptions'!$C$225*WasteTransportMethod[Emissions Factor
kgCO2e/kg.km]*Calculations[[#This Row],[Total Kg]],0)</f>
        <v>0</v>
      </c>
      <c r="U1105" s="322" cm="1">
        <f t="array" ref="U1105">IFERROR(VLOOKUP(Calculations[[#This Row],[Waste 1]],WasteScenario[#All],3,FALSE)*'Stage assumptions'!$C$224*WasteTransportMethod[Emissions Factor
kgCO2e/kg.km]*Calculations[[#This Row],[Total Kg]],0)</f>
        <v>0</v>
      </c>
      <c r="V1105" s="322" cm="1">
        <f t="array" ref="V1105">IFERROR(VLOOKUP(Calculations[[#This Row],[Waste 1]],WasteScenario[#All],4,FALSE)*'Stage assumptions'!$C$223*WasteTransportMethod[Emissions Factor
kgCO2e/kg.km]*Calculations[[#This Row],[Total Kg]],0)</f>
        <v>0</v>
      </c>
      <c r="W1105" s="322" cm="1">
        <f t="array" ref="W1105">IFERROR(VLOOKUP(Calculations[[#This Row],[Waste 1]],WasteScenario[#All],5,FALSE)*'Stage assumptions'!$C$226*WasteTransportMethod[Emissions Factor
kgCO2e/kg.km]*Calculations[[#This Row],[Total Kg]],0)</f>
        <v>0</v>
      </c>
      <c r="X1105" s="322">
        <f>SUM(Calculations[[#This Row],[C2 Recycle]:[C2 Reuse]])</f>
        <v>0</v>
      </c>
      <c r="Y1105" t="str">
        <f>IFERROR(VLOOKUP(Calculations[[#This Row],[Material (choose from dropdown]],MaterialData[#All],5,FALSE),"")</f>
        <v/>
      </c>
      <c r="Z1105" s="322">
        <f>IFERROR(((VLOOKUP(Calculations[[#This Row],[Waste type 2]],WasteDisposalEmissions[#All],2,FALSE))*Calculations[[#This Row],[Total Kg]])*VLOOKUP(Calculations[[#This Row],[Waste 1]],WasteScenario[#All],2,FALSE),0)</f>
        <v>0</v>
      </c>
      <c r="AA1105" s="322">
        <f>IFERROR((VLOOKUP(Calculations[[#This Row],[Waste type 2]],WasteDisposalEmissions[#All],3,FALSE))*Calculations[[#This Row],[Total Kg]]*VLOOKUP(Calculations[[#This Row],[Waste 1]],WasteScenario[#All],3,FALSE),0)</f>
        <v>0</v>
      </c>
      <c r="AB1105" s="322">
        <f>SUM(Calculations[[#This Row],[C3 recyc]:[C3 incin]])</f>
        <v>0</v>
      </c>
      <c r="AC1105" s="334">
        <f>IFERROR((VLOOKUP(Calculations[[#This Row],[Waste type 2]],WasteLandfillEmissions[#All],2,FALSE))*Calculations[[#This Row],[Total Kg]]*VLOOKUP(Calculations[[#This Row],[Waste 1]],WasteScenario[#All],4,FALSE),0)</f>
        <v>0</v>
      </c>
      <c r="AD1105" s="322">
        <f>IFERROR((VLOOKUP(Calculations[[#This Row],[Waste type 2]],WasteLandfillEmissions[#All],3,FALSE))*Calculations[[#This Row],[Total Kg]]*VLOOKUP(Calculations[[#This Row],[Waste 1]],WasteScenario[#All],4,FALSE),0)</f>
        <v>0</v>
      </c>
      <c r="AE1105" s="322">
        <f>SUM(Calculations[[#This Row],[C4 landfill]:[C4 re-use]])</f>
        <v>0</v>
      </c>
      <c r="AF1105" s="322">
        <f>IFERROR(VLOOKUP(Calculations[[#This Row],[Material (choose from dropdown]],MaterialData[#All],8,FALSE),0)</f>
        <v>0</v>
      </c>
      <c r="AG1105" s="322">
        <f>IFERROR(Calculations[[#This Row],[Total Kg]]*Calculations[[#This Row],[Seq factor]],0)</f>
        <v>0</v>
      </c>
      <c r="AI1105" s="322">
        <f>Calculations[[#This Row],[A1-3]]+Calculations[[#This Row],[A4]]+Calculations[[#This Row],[A5]]+Calculations[[#This Row],[B4]]+Calculations[[#This Row],[C2 total]]+Calculations[[#This Row],[C3 total]]+Calculations[[#This Row],[C4 total]]</f>
        <v>0</v>
      </c>
      <c r="AJ1105" s="2">
        <f>IFERROR(VLOOKUP(Calculations[[#This Row],[Material (choose from dropdown]],MaterialData[[#Headers],[#Data]],9,FALSE),0)</f>
        <v>0</v>
      </c>
      <c r="AK1105" s="4">
        <f>IFERROR(VLOOKUP(Calculations[[#This Row],[Material (choose from dropdown]],MaterialData[[#Headers],[#Data]],10,FALSE),0)</f>
        <v>0</v>
      </c>
      <c r="AL1105" s="322">
        <f>IFERROR(Calculations[[#This Row],[Data Quality Score]]*Calculations[[#This Row],[Total Kg]],0)</f>
        <v>0</v>
      </c>
    </row>
    <row r="1106" spans="1:38" x14ac:dyDescent="0.3">
      <c r="A1106" s="6">
        <f>IFERROR(MaterialsBoQ[[#This Row],[Scope Element]],0)</f>
        <v>0</v>
      </c>
      <c r="B1106" t="str">
        <f>IFERROR(MaterialsBoQ[[#This Row],[Material ]],"")</f>
        <v/>
      </c>
      <c r="C1106" t="str">
        <f>IFERROR(MaterialsBoQ[[#This Row],[Unit]],"")</f>
        <v/>
      </c>
      <c r="D1106" s="322">
        <f>IFERROR(MaterialsBoQ[[#This Row],[Number]],0)</f>
        <v>0</v>
      </c>
      <c r="E1106" s="322">
        <f>IFERROR(MaterialsBoQ[[#This Row],[Kg per unit]],0)</f>
        <v>0</v>
      </c>
      <c r="F1106" s="322">
        <f>IFERROR(Calculations[[#This Row],[Number]]*Calculations[[#This Row],[Conversion factor]],0)</f>
        <v>0</v>
      </c>
      <c r="G1106" s="322">
        <f>IFERROR(VLOOKUP(Calculations[[#This Row],[Material (choose from dropdown]],MaterialData[#All],7,FALSE),0)</f>
        <v>0</v>
      </c>
      <c r="H1106" s="322">
        <f>Calculations[[#This Row],[Total Kg]]*Calculations[[#This Row],[Carbon Factor]]</f>
        <v>0</v>
      </c>
      <c r="I1106" t="str">
        <f>IFERROR(VLOOKUP(Calculations[[#This Row],[Material (choose from dropdown]],MaterialData[#All],2,FALSE),"")</f>
        <v/>
      </c>
      <c r="J1106" s="322">
        <f>IFERROR(((VLOOKUP(Calculations[[#This Row],[TransportSource]],TransportDistance[],2,FALSE)*'Stage assumptions'!$C$11)+VLOOKUP(Calculations[[#This Row],[TransportSource]],TransportDistance[],3,FALSE)*'Stage assumptions'!$C$12)*Calculations[[#This Row],[Total Kg]],0)</f>
        <v>0</v>
      </c>
      <c r="K1106">
        <f>IFERROR(VLOOKUP(Calculations[[#This Row],[Material (choose from dropdown]], MaterialData[#All],3, FALSE),0)</f>
        <v>0</v>
      </c>
      <c r="L1106" s="322">
        <f>IFERROR(VLOOKUP(Calculations[[#This Row],[A5type]],A5WastageRate[#All],2,FALSE)*Calculations[[#This Row],[A1-3]],0)</f>
        <v>0</v>
      </c>
      <c r="N1106">
        <f>IFERROR(ROUNDUP(50/VLOOKUP(Calculations[[#This Row],[Scope Element]],B4referenceServiceLife[[Tier 2 element]:[Default Service Life]],2, FALSE)-1,0),0)</f>
        <v>0</v>
      </c>
      <c r="O1106" s="322">
        <f>IFERROR((Calculations[[#This Row],[A1-3]]+Calculations[[#This Row],[A4]]+Calculations[[#This Row],[A5]]+Calculations[[#This Row],[C2 total]]+Calculations[[#This Row],[C3 total]]+Calculations[[#This Row],[C4 total]])*Calculations[[#This Row],[Replacements]],0)</f>
        <v>0</v>
      </c>
      <c r="S1106" t="str">
        <f>IFERROR(VLOOKUP(Calculations[[#This Row],[Material (choose from dropdown]],MaterialData[#All],4,FALSE),"")</f>
        <v/>
      </c>
      <c r="T1106" s="322" cm="1">
        <f t="array" ref="T1106">IFERROR(VLOOKUP(Calculations[[#This Row],[Waste 1]],WasteScenario[#All],2,FALSE)*'Stage assumptions'!$C$225*WasteTransportMethod[Emissions Factor
kgCO2e/kg.km]*Calculations[[#This Row],[Total Kg]],0)</f>
        <v>0</v>
      </c>
      <c r="U1106" s="322" cm="1">
        <f t="array" ref="U1106">IFERROR(VLOOKUP(Calculations[[#This Row],[Waste 1]],WasteScenario[#All],3,FALSE)*'Stage assumptions'!$C$224*WasteTransportMethod[Emissions Factor
kgCO2e/kg.km]*Calculations[[#This Row],[Total Kg]],0)</f>
        <v>0</v>
      </c>
      <c r="V1106" s="322" cm="1">
        <f t="array" ref="V1106">IFERROR(VLOOKUP(Calculations[[#This Row],[Waste 1]],WasteScenario[#All],4,FALSE)*'Stage assumptions'!$C$223*WasteTransportMethod[Emissions Factor
kgCO2e/kg.km]*Calculations[[#This Row],[Total Kg]],0)</f>
        <v>0</v>
      </c>
      <c r="W1106" s="322" cm="1">
        <f t="array" ref="W1106">IFERROR(VLOOKUP(Calculations[[#This Row],[Waste 1]],WasteScenario[#All],5,FALSE)*'Stage assumptions'!$C$226*WasteTransportMethod[Emissions Factor
kgCO2e/kg.km]*Calculations[[#This Row],[Total Kg]],0)</f>
        <v>0</v>
      </c>
      <c r="X1106" s="322">
        <f>SUM(Calculations[[#This Row],[C2 Recycle]:[C2 Reuse]])</f>
        <v>0</v>
      </c>
      <c r="Y1106" t="str">
        <f>IFERROR(VLOOKUP(Calculations[[#This Row],[Material (choose from dropdown]],MaterialData[#All],5,FALSE),"")</f>
        <v/>
      </c>
      <c r="Z1106" s="322">
        <f>IFERROR(((VLOOKUP(Calculations[[#This Row],[Waste type 2]],WasteDisposalEmissions[#All],2,FALSE))*Calculations[[#This Row],[Total Kg]])*VLOOKUP(Calculations[[#This Row],[Waste 1]],WasteScenario[#All],2,FALSE),0)</f>
        <v>0</v>
      </c>
      <c r="AA1106" s="322">
        <f>IFERROR((VLOOKUP(Calculations[[#This Row],[Waste type 2]],WasteDisposalEmissions[#All],3,FALSE))*Calculations[[#This Row],[Total Kg]]*VLOOKUP(Calculations[[#This Row],[Waste 1]],WasteScenario[#All],3,FALSE),0)</f>
        <v>0</v>
      </c>
      <c r="AB1106" s="322">
        <f>SUM(Calculations[[#This Row],[C3 recyc]:[C3 incin]])</f>
        <v>0</v>
      </c>
      <c r="AC1106" s="334">
        <f>IFERROR((VLOOKUP(Calculations[[#This Row],[Waste type 2]],WasteLandfillEmissions[#All],2,FALSE))*Calculations[[#This Row],[Total Kg]]*VLOOKUP(Calculations[[#This Row],[Waste 1]],WasteScenario[#All],4,FALSE),0)</f>
        <v>0</v>
      </c>
      <c r="AD1106" s="322">
        <f>IFERROR((VLOOKUP(Calculations[[#This Row],[Waste type 2]],WasteLandfillEmissions[#All],3,FALSE))*Calculations[[#This Row],[Total Kg]]*VLOOKUP(Calculations[[#This Row],[Waste 1]],WasteScenario[#All],4,FALSE),0)</f>
        <v>0</v>
      </c>
      <c r="AE1106" s="322">
        <f>SUM(Calculations[[#This Row],[C4 landfill]:[C4 re-use]])</f>
        <v>0</v>
      </c>
      <c r="AF1106" s="322">
        <f>IFERROR(VLOOKUP(Calculations[[#This Row],[Material (choose from dropdown]],MaterialData[#All],8,FALSE),0)</f>
        <v>0</v>
      </c>
      <c r="AG1106" s="322">
        <f>IFERROR(Calculations[[#This Row],[Total Kg]]*Calculations[[#This Row],[Seq factor]],0)</f>
        <v>0</v>
      </c>
      <c r="AI1106" s="322">
        <f>Calculations[[#This Row],[A1-3]]+Calculations[[#This Row],[A4]]+Calculations[[#This Row],[A5]]+Calculations[[#This Row],[B4]]+Calculations[[#This Row],[C2 total]]+Calculations[[#This Row],[C3 total]]+Calculations[[#This Row],[C4 total]]</f>
        <v>0</v>
      </c>
      <c r="AJ1106" s="2">
        <f>IFERROR(VLOOKUP(Calculations[[#This Row],[Material (choose from dropdown]],MaterialData[[#Headers],[#Data]],9,FALSE),0)</f>
        <v>0</v>
      </c>
      <c r="AK1106" s="4">
        <f>IFERROR(VLOOKUP(Calculations[[#This Row],[Material (choose from dropdown]],MaterialData[[#Headers],[#Data]],10,FALSE),0)</f>
        <v>0</v>
      </c>
      <c r="AL1106" s="322">
        <f>IFERROR(Calculations[[#This Row],[Data Quality Score]]*Calculations[[#This Row],[Total Kg]],0)</f>
        <v>0</v>
      </c>
    </row>
    <row r="1107" spans="1:38" x14ac:dyDescent="0.3">
      <c r="A1107" s="6">
        <f>IFERROR(MaterialsBoQ[[#This Row],[Scope Element]],0)</f>
        <v>0</v>
      </c>
      <c r="B1107" t="str">
        <f>IFERROR(MaterialsBoQ[[#This Row],[Material ]],"")</f>
        <v/>
      </c>
      <c r="C1107" t="str">
        <f>IFERROR(MaterialsBoQ[[#This Row],[Unit]],"")</f>
        <v/>
      </c>
      <c r="D1107" s="322">
        <f>IFERROR(MaterialsBoQ[[#This Row],[Number]],0)</f>
        <v>0</v>
      </c>
      <c r="E1107" s="322">
        <f>IFERROR(MaterialsBoQ[[#This Row],[Kg per unit]],0)</f>
        <v>0</v>
      </c>
      <c r="F1107" s="322">
        <f>IFERROR(Calculations[[#This Row],[Number]]*Calculations[[#This Row],[Conversion factor]],0)</f>
        <v>0</v>
      </c>
      <c r="G1107" s="322">
        <f>IFERROR(VLOOKUP(Calculations[[#This Row],[Material (choose from dropdown]],MaterialData[#All],7,FALSE),0)</f>
        <v>0</v>
      </c>
      <c r="H1107" s="322">
        <f>Calculations[[#This Row],[Total Kg]]*Calculations[[#This Row],[Carbon Factor]]</f>
        <v>0</v>
      </c>
      <c r="I1107" t="str">
        <f>IFERROR(VLOOKUP(Calculations[[#This Row],[Material (choose from dropdown]],MaterialData[#All],2,FALSE),"")</f>
        <v/>
      </c>
      <c r="J1107" s="322">
        <f>IFERROR(((VLOOKUP(Calculations[[#This Row],[TransportSource]],TransportDistance[],2,FALSE)*'Stage assumptions'!$C$11)+VLOOKUP(Calculations[[#This Row],[TransportSource]],TransportDistance[],3,FALSE)*'Stage assumptions'!$C$12)*Calculations[[#This Row],[Total Kg]],0)</f>
        <v>0</v>
      </c>
      <c r="K1107">
        <f>IFERROR(VLOOKUP(Calculations[[#This Row],[Material (choose from dropdown]], MaterialData[#All],3, FALSE),0)</f>
        <v>0</v>
      </c>
      <c r="L1107" s="322">
        <f>IFERROR(VLOOKUP(Calculations[[#This Row],[A5type]],A5WastageRate[#All],2,FALSE)*Calculations[[#This Row],[A1-3]],0)</f>
        <v>0</v>
      </c>
      <c r="N1107">
        <f>IFERROR(ROUNDUP(50/VLOOKUP(Calculations[[#This Row],[Scope Element]],B4referenceServiceLife[[Tier 2 element]:[Default Service Life]],2, FALSE)-1,0),0)</f>
        <v>0</v>
      </c>
      <c r="O1107" s="322">
        <f>IFERROR((Calculations[[#This Row],[A1-3]]+Calculations[[#This Row],[A4]]+Calculations[[#This Row],[A5]]+Calculations[[#This Row],[C2 total]]+Calculations[[#This Row],[C3 total]]+Calculations[[#This Row],[C4 total]])*Calculations[[#This Row],[Replacements]],0)</f>
        <v>0</v>
      </c>
      <c r="S1107" t="str">
        <f>IFERROR(VLOOKUP(Calculations[[#This Row],[Material (choose from dropdown]],MaterialData[#All],4,FALSE),"")</f>
        <v/>
      </c>
      <c r="T1107" s="322" cm="1">
        <f t="array" ref="T1107">IFERROR(VLOOKUP(Calculations[[#This Row],[Waste 1]],WasteScenario[#All],2,FALSE)*'Stage assumptions'!$C$225*WasteTransportMethod[Emissions Factor
kgCO2e/kg.km]*Calculations[[#This Row],[Total Kg]],0)</f>
        <v>0</v>
      </c>
      <c r="U1107" s="322" cm="1">
        <f t="array" ref="U1107">IFERROR(VLOOKUP(Calculations[[#This Row],[Waste 1]],WasteScenario[#All],3,FALSE)*'Stage assumptions'!$C$224*WasteTransportMethod[Emissions Factor
kgCO2e/kg.km]*Calculations[[#This Row],[Total Kg]],0)</f>
        <v>0</v>
      </c>
      <c r="V1107" s="322" cm="1">
        <f t="array" ref="V1107">IFERROR(VLOOKUP(Calculations[[#This Row],[Waste 1]],WasteScenario[#All],4,FALSE)*'Stage assumptions'!$C$223*WasteTransportMethod[Emissions Factor
kgCO2e/kg.km]*Calculations[[#This Row],[Total Kg]],0)</f>
        <v>0</v>
      </c>
      <c r="W1107" s="322" cm="1">
        <f t="array" ref="W1107">IFERROR(VLOOKUP(Calculations[[#This Row],[Waste 1]],WasteScenario[#All],5,FALSE)*'Stage assumptions'!$C$226*WasteTransportMethod[Emissions Factor
kgCO2e/kg.km]*Calculations[[#This Row],[Total Kg]],0)</f>
        <v>0</v>
      </c>
      <c r="X1107" s="322">
        <f>SUM(Calculations[[#This Row],[C2 Recycle]:[C2 Reuse]])</f>
        <v>0</v>
      </c>
      <c r="Y1107" t="str">
        <f>IFERROR(VLOOKUP(Calculations[[#This Row],[Material (choose from dropdown]],MaterialData[#All],5,FALSE),"")</f>
        <v/>
      </c>
      <c r="Z1107" s="322">
        <f>IFERROR(((VLOOKUP(Calculations[[#This Row],[Waste type 2]],WasteDisposalEmissions[#All],2,FALSE))*Calculations[[#This Row],[Total Kg]])*VLOOKUP(Calculations[[#This Row],[Waste 1]],WasteScenario[#All],2,FALSE),0)</f>
        <v>0</v>
      </c>
      <c r="AA1107" s="322">
        <f>IFERROR((VLOOKUP(Calculations[[#This Row],[Waste type 2]],WasteDisposalEmissions[#All],3,FALSE))*Calculations[[#This Row],[Total Kg]]*VLOOKUP(Calculations[[#This Row],[Waste 1]],WasteScenario[#All],3,FALSE),0)</f>
        <v>0</v>
      </c>
      <c r="AB1107" s="322">
        <f>SUM(Calculations[[#This Row],[C3 recyc]:[C3 incin]])</f>
        <v>0</v>
      </c>
      <c r="AC1107" s="334">
        <f>IFERROR((VLOOKUP(Calculations[[#This Row],[Waste type 2]],WasteLandfillEmissions[#All],2,FALSE))*Calculations[[#This Row],[Total Kg]]*VLOOKUP(Calculations[[#This Row],[Waste 1]],WasteScenario[#All],4,FALSE),0)</f>
        <v>0</v>
      </c>
      <c r="AD1107" s="322">
        <f>IFERROR((VLOOKUP(Calculations[[#This Row],[Waste type 2]],WasteLandfillEmissions[#All],3,FALSE))*Calculations[[#This Row],[Total Kg]]*VLOOKUP(Calculations[[#This Row],[Waste 1]],WasteScenario[#All],4,FALSE),0)</f>
        <v>0</v>
      </c>
      <c r="AE1107" s="322">
        <f>SUM(Calculations[[#This Row],[C4 landfill]:[C4 re-use]])</f>
        <v>0</v>
      </c>
      <c r="AF1107" s="322">
        <f>IFERROR(VLOOKUP(Calculations[[#This Row],[Material (choose from dropdown]],MaterialData[#All],8,FALSE),0)</f>
        <v>0</v>
      </c>
      <c r="AG1107" s="322">
        <f>IFERROR(Calculations[[#This Row],[Total Kg]]*Calculations[[#This Row],[Seq factor]],0)</f>
        <v>0</v>
      </c>
      <c r="AI1107" s="322">
        <f>Calculations[[#This Row],[A1-3]]+Calculations[[#This Row],[A4]]+Calculations[[#This Row],[A5]]+Calculations[[#This Row],[B4]]+Calculations[[#This Row],[C2 total]]+Calculations[[#This Row],[C3 total]]+Calculations[[#This Row],[C4 total]]</f>
        <v>0</v>
      </c>
      <c r="AJ1107" s="2">
        <f>IFERROR(VLOOKUP(Calculations[[#This Row],[Material (choose from dropdown]],MaterialData[[#Headers],[#Data]],9,FALSE),0)</f>
        <v>0</v>
      </c>
      <c r="AK1107" s="4">
        <f>IFERROR(VLOOKUP(Calculations[[#This Row],[Material (choose from dropdown]],MaterialData[[#Headers],[#Data]],10,FALSE),0)</f>
        <v>0</v>
      </c>
      <c r="AL1107" s="322">
        <f>IFERROR(Calculations[[#This Row],[Data Quality Score]]*Calculations[[#This Row],[Total Kg]],0)</f>
        <v>0</v>
      </c>
    </row>
    <row r="1108" spans="1:38" x14ac:dyDescent="0.3">
      <c r="A1108" s="6">
        <f>IFERROR(MaterialsBoQ[[#This Row],[Scope Element]],0)</f>
        <v>0</v>
      </c>
      <c r="B1108" t="str">
        <f>IFERROR(MaterialsBoQ[[#This Row],[Material ]],"")</f>
        <v/>
      </c>
      <c r="C1108" t="str">
        <f>IFERROR(MaterialsBoQ[[#This Row],[Unit]],"")</f>
        <v/>
      </c>
      <c r="D1108" s="322">
        <f>IFERROR(MaterialsBoQ[[#This Row],[Number]],0)</f>
        <v>0</v>
      </c>
      <c r="E1108" s="322">
        <f>IFERROR(MaterialsBoQ[[#This Row],[Kg per unit]],0)</f>
        <v>0</v>
      </c>
      <c r="F1108" s="322">
        <f>IFERROR(Calculations[[#This Row],[Number]]*Calculations[[#This Row],[Conversion factor]],0)</f>
        <v>0</v>
      </c>
      <c r="G1108" s="322">
        <f>IFERROR(VLOOKUP(Calculations[[#This Row],[Material (choose from dropdown]],MaterialData[#All],7,FALSE),0)</f>
        <v>0</v>
      </c>
      <c r="H1108" s="322">
        <f>Calculations[[#This Row],[Total Kg]]*Calculations[[#This Row],[Carbon Factor]]</f>
        <v>0</v>
      </c>
      <c r="I1108" t="str">
        <f>IFERROR(VLOOKUP(Calculations[[#This Row],[Material (choose from dropdown]],MaterialData[#All],2,FALSE),"")</f>
        <v/>
      </c>
      <c r="J1108" s="322">
        <f>IFERROR(((VLOOKUP(Calculations[[#This Row],[TransportSource]],TransportDistance[],2,FALSE)*'Stage assumptions'!$C$11)+VLOOKUP(Calculations[[#This Row],[TransportSource]],TransportDistance[],3,FALSE)*'Stage assumptions'!$C$12)*Calculations[[#This Row],[Total Kg]],0)</f>
        <v>0</v>
      </c>
      <c r="K1108">
        <f>IFERROR(VLOOKUP(Calculations[[#This Row],[Material (choose from dropdown]], MaterialData[#All],3, FALSE),0)</f>
        <v>0</v>
      </c>
      <c r="L1108" s="322">
        <f>IFERROR(VLOOKUP(Calculations[[#This Row],[A5type]],A5WastageRate[#All],2,FALSE)*Calculations[[#This Row],[A1-3]],0)</f>
        <v>0</v>
      </c>
      <c r="N1108">
        <f>IFERROR(ROUNDUP(50/VLOOKUP(Calculations[[#This Row],[Scope Element]],B4referenceServiceLife[[Tier 2 element]:[Default Service Life]],2, FALSE)-1,0),0)</f>
        <v>0</v>
      </c>
      <c r="O1108" s="322">
        <f>IFERROR((Calculations[[#This Row],[A1-3]]+Calculations[[#This Row],[A4]]+Calculations[[#This Row],[A5]]+Calculations[[#This Row],[C2 total]]+Calculations[[#This Row],[C3 total]]+Calculations[[#This Row],[C4 total]])*Calculations[[#This Row],[Replacements]],0)</f>
        <v>0</v>
      </c>
      <c r="S1108" t="str">
        <f>IFERROR(VLOOKUP(Calculations[[#This Row],[Material (choose from dropdown]],MaterialData[#All],4,FALSE),"")</f>
        <v/>
      </c>
      <c r="T1108" s="322" cm="1">
        <f t="array" ref="T1108">IFERROR(VLOOKUP(Calculations[[#This Row],[Waste 1]],WasteScenario[#All],2,FALSE)*'Stage assumptions'!$C$225*WasteTransportMethod[Emissions Factor
kgCO2e/kg.km]*Calculations[[#This Row],[Total Kg]],0)</f>
        <v>0</v>
      </c>
      <c r="U1108" s="322" cm="1">
        <f t="array" ref="U1108">IFERROR(VLOOKUP(Calculations[[#This Row],[Waste 1]],WasteScenario[#All],3,FALSE)*'Stage assumptions'!$C$224*WasteTransportMethod[Emissions Factor
kgCO2e/kg.km]*Calculations[[#This Row],[Total Kg]],0)</f>
        <v>0</v>
      </c>
      <c r="V1108" s="322" cm="1">
        <f t="array" ref="V1108">IFERROR(VLOOKUP(Calculations[[#This Row],[Waste 1]],WasteScenario[#All],4,FALSE)*'Stage assumptions'!$C$223*WasteTransportMethod[Emissions Factor
kgCO2e/kg.km]*Calculations[[#This Row],[Total Kg]],0)</f>
        <v>0</v>
      </c>
      <c r="W1108" s="322" cm="1">
        <f t="array" ref="W1108">IFERROR(VLOOKUP(Calculations[[#This Row],[Waste 1]],WasteScenario[#All],5,FALSE)*'Stage assumptions'!$C$226*WasteTransportMethod[Emissions Factor
kgCO2e/kg.km]*Calculations[[#This Row],[Total Kg]],0)</f>
        <v>0</v>
      </c>
      <c r="X1108" s="322">
        <f>SUM(Calculations[[#This Row],[C2 Recycle]:[C2 Reuse]])</f>
        <v>0</v>
      </c>
      <c r="Y1108" t="str">
        <f>IFERROR(VLOOKUP(Calculations[[#This Row],[Material (choose from dropdown]],MaterialData[#All],5,FALSE),"")</f>
        <v/>
      </c>
      <c r="Z1108" s="322">
        <f>IFERROR(((VLOOKUP(Calculations[[#This Row],[Waste type 2]],WasteDisposalEmissions[#All],2,FALSE))*Calculations[[#This Row],[Total Kg]])*VLOOKUP(Calculations[[#This Row],[Waste 1]],WasteScenario[#All],2,FALSE),0)</f>
        <v>0</v>
      </c>
      <c r="AA1108" s="322">
        <f>IFERROR((VLOOKUP(Calculations[[#This Row],[Waste type 2]],WasteDisposalEmissions[#All],3,FALSE))*Calculations[[#This Row],[Total Kg]]*VLOOKUP(Calculations[[#This Row],[Waste 1]],WasteScenario[#All],3,FALSE),0)</f>
        <v>0</v>
      </c>
      <c r="AB1108" s="322">
        <f>SUM(Calculations[[#This Row],[C3 recyc]:[C3 incin]])</f>
        <v>0</v>
      </c>
      <c r="AC1108" s="334">
        <f>IFERROR((VLOOKUP(Calculations[[#This Row],[Waste type 2]],WasteLandfillEmissions[#All],2,FALSE))*Calculations[[#This Row],[Total Kg]]*VLOOKUP(Calculations[[#This Row],[Waste 1]],WasteScenario[#All],4,FALSE),0)</f>
        <v>0</v>
      </c>
      <c r="AD1108" s="322">
        <f>IFERROR((VLOOKUP(Calculations[[#This Row],[Waste type 2]],WasteLandfillEmissions[#All],3,FALSE))*Calculations[[#This Row],[Total Kg]]*VLOOKUP(Calculations[[#This Row],[Waste 1]],WasteScenario[#All],4,FALSE),0)</f>
        <v>0</v>
      </c>
      <c r="AE1108" s="322">
        <f>SUM(Calculations[[#This Row],[C4 landfill]:[C4 re-use]])</f>
        <v>0</v>
      </c>
      <c r="AF1108" s="322">
        <f>IFERROR(VLOOKUP(Calculations[[#This Row],[Material (choose from dropdown]],MaterialData[#All],8,FALSE),0)</f>
        <v>0</v>
      </c>
      <c r="AG1108" s="322">
        <f>IFERROR(Calculations[[#This Row],[Total Kg]]*Calculations[[#This Row],[Seq factor]],0)</f>
        <v>0</v>
      </c>
      <c r="AI1108" s="322">
        <f>Calculations[[#This Row],[A1-3]]+Calculations[[#This Row],[A4]]+Calculations[[#This Row],[A5]]+Calculations[[#This Row],[B4]]+Calculations[[#This Row],[C2 total]]+Calculations[[#This Row],[C3 total]]+Calculations[[#This Row],[C4 total]]</f>
        <v>0</v>
      </c>
      <c r="AJ1108" s="2">
        <f>IFERROR(VLOOKUP(Calculations[[#This Row],[Material (choose from dropdown]],MaterialData[[#Headers],[#Data]],9,FALSE),0)</f>
        <v>0</v>
      </c>
      <c r="AK1108" s="4">
        <f>IFERROR(VLOOKUP(Calculations[[#This Row],[Material (choose from dropdown]],MaterialData[[#Headers],[#Data]],10,FALSE),0)</f>
        <v>0</v>
      </c>
      <c r="AL1108" s="322">
        <f>IFERROR(Calculations[[#This Row],[Data Quality Score]]*Calculations[[#This Row],[Total Kg]],0)</f>
        <v>0</v>
      </c>
    </row>
    <row r="1109" spans="1:38" x14ac:dyDescent="0.3">
      <c r="A1109" s="6">
        <f>IFERROR(MaterialsBoQ[[#This Row],[Scope Element]],0)</f>
        <v>0</v>
      </c>
      <c r="B1109" t="str">
        <f>IFERROR(MaterialsBoQ[[#This Row],[Material ]],"")</f>
        <v/>
      </c>
      <c r="C1109" t="str">
        <f>IFERROR(MaterialsBoQ[[#This Row],[Unit]],"")</f>
        <v/>
      </c>
      <c r="D1109" s="322">
        <f>IFERROR(MaterialsBoQ[[#This Row],[Number]],0)</f>
        <v>0</v>
      </c>
      <c r="E1109" s="322">
        <f>IFERROR(MaterialsBoQ[[#This Row],[Kg per unit]],0)</f>
        <v>0</v>
      </c>
      <c r="F1109" s="322">
        <f>IFERROR(Calculations[[#This Row],[Number]]*Calculations[[#This Row],[Conversion factor]],0)</f>
        <v>0</v>
      </c>
      <c r="G1109" s="322">
        <f>IFERROR(VLOOKUP(Calculations[[#This Row],[Material (choose from dropdown]],MaterialData[#All],7,FALSE),0)</f>
        <v>0</v>
      </c>
      <c r="H1109" s="322">
        <f>Calculations[[#This Row],[Total Kg]]*Calculations[[#This Row],[Carbon Factor]]</f>
        <v>0</v>
      </c>
      <c r="I1109" t="str">
        <f>IFERROR(VLOOKUP(Calculations[[#This Row],[Material (choose from dropdown]],MaterialData[#All],2,FALSE),"")</f>
        <v/>
      </c>
      <c r="J1109" s="322">
        <f>IFERROR(((VLOOKUP(Calculations[[#This Row],[TransportSource]],TransportDistance[],2,FALSE)*'Stage assumptions'!$C$11)+VLOOKUP(Calculations[[#This Row],[TransportSource]],TransportDistance[],3,FALSE)*'Stage assumptions'!$C$12)*Calculations[[#This Row],[Total Kg]],0)</f>
        <v>0</v>
      </c>
      <c r="K1109">
        <f>IFERROR(VLOOKUP(Calculations[[#This Row],[Material (choose from dropdown]], MaterialData[#All],3, FALSE),0)</f>
        <v>0</v>
      </c>
      <c r="L1109" s="322">
        <f>IFERROR(VLOOKUP(Calculations[[#This Row],[A5type]],A5WastageRate[#All],2,FALSE)*Calculations[[#This Row],[A1-3]],0)</f>
        <v>0</v>
      </c>
      <c r="N1109">
        <f>IFERROR(ROUNDUP(50/VLOOKUP(Calculations[[#This Row],[Scope Element]],B4referenceServiceLife[[Tier 2 element]:[Default Service Life]],2, FALSE)-1,0),0)</f>
        <v>0</v>
      </c>
      <c r="O1109" s="322">
        <f>IFERROR((Calculations[[#This Row],[A1-3]]+Calculations[[#This Row],[A4]]+Calculations[[#This Row],[A5]]+Calculations[[#This Row],[C2 total]]+Calculations[[#This Row],[C3 total]]+Calculations[[#This Row],[C4 total]])*Calculations[[#This Row],[Replacements]],0)</f>
        <v>0</v>
      </c>
      <c r="S1109" t="str">
        <f>IFERROR(VLOOKUP(Calculations[[#This Row],[Material (choose from dropdown]],MaterialData[#All],4,FALSE),"")</f>
        <v/>
      </c>
      <c r="T1109" s="322" cm="1">
        <f t="array" ref="T1109">IFERROR(VLOOKUP(Calculations[[#This Row],[Waste 1]],WasteScenario[#All],2,FALSE)*'Stage assumptions'!$C$225*WasteTransportMethod[Emissions Factor
kgCO2e/kg.km]*Calculations[[#This Row],[Total Kg]],0)</f>
        <v>0</v>
      </c>
      <c r="U1109" s="322" cm="1">
        <f t="array" ref="U1109">IFERROR(VLOOKUP(Calculations[[#This Row],[Waste 1]],WasteScenario[#All],3,FALSE)*'Stage assumptions'!$C$224*WasteTransportMethod[Emissions Factor
kgCO2e/kg.km]*Calculations[[#This Row],[Total Kg]],0)</f>
        <v>0</v>
      </c>
      <c r="V1109" s="322" cm="1">
        <f t="array" ref="V1109">IFERROR(VLOOKUP(Calculations[[#This Row],[Waste 1]],WasteScenario[#All],4,FALSE)*'Stage assumptions'!$C$223*WasteTransportMethod[Emissions Factor
kgCO2e/kg.km]*Calculations[[#This Row],[Total Kg]],0)</f>
        <v>0</v>
      </c>
      <c r="W1109" s="322" cm="1">
        <f t="array" ref="W1109">IFERROR(VLOOKUP(Calculations[[#This Row],[Waste 1]],WasteScenario[#All],5,FALSE)*'Stage assumptions'!$C$226*WasteTransportMethod[Emissions Factor
kgCO2e/kg.km]*Calculations[[#This Row],[Total Kg]],0)</f>
        <v>0</v>
      </c>
      <c r="X1109" s="322">
        <f>SUM(Calculations[[#This Row],[C2 Recycle]:[C2 Reuse]])</f>
        <v>0</v>
      </c>
      <c r="Y1109" t="str">
        <f>IFERROR(VLOOKUP(Calculations[[#This Row],[Material (choose from dropdown]],MaterialData[#All],5,FALSE),"")</f>
        <v/>
      </c>
      <c r="Z1109" s="322">
        <f>IFERROR(((VLOOKUP(Calculations[[#This Row],[Waste type 2]],WasteDisposalEmissions[#All],2,FALSE))*Calculations[[#This Row],[Total Kg]])*VLOOKUP(Calculations[[#This Row],[Waste 1]],WasteScenario[#All],2,FALSE),0)</f>
        <v>0</v>
      </c>
      <c r="AA1109" s="322">
        <f>IFERROR((VLOOKUP(Calculations[[#This Row],[Waste type 2]],WasteDisposalEmissions[#All],3,FALSE))*Calculations[[#This Row],[Total Kg]]*VLOOKUP(Calculations[[#This Row],[Waste 1]],WasteScenario[#All],3,FALSE),0)</f>
        <v>0</v>
      </c>
      <c r="AB1109" s="322">
        <f>SUM(Calculations[[#This Row],[C3 recyc]:[C3 incin]])</f>
        <v>0</v>
      </c>
      <c r="AC1109" s="334">
        <f>IFERROR((VLOOKUP(Calculations[[#This Row],[Waste type 2]],WasteLandfillEmissions[#All],2,FALSE))*Calculations[[#This Row],[Total Kg]]*VLOOKUP(Calculations[[#This Row],[Waste 1]],WasteScenario[#All],4,FALSE),0)</f>
        <v>0</v>
      </c>
      <c r="AD1109" s="322">
        <f>IFERROR((VLOOKUP(Calculations[[#This Row],[Waste type 2]],WasteLandfillEmissions[#All],3,FALSE))*Calculations[[#This Row],[Total Kg]]*VLOOKUP(Calculations[[#This Row],[Waste 1]],WasteScenario[#All],4,FALSE),0)</f>
        <v>0</v>
      </c>
      <c r="AE1109" s="322">
        <f>SUM(Calculations[[#This Row],[C4 landfill]:[C4 re-use]])</f>
        <v>0</v>
      </c>
      <c r="AF1109" s="322">
        <f>IFERROR(VLOOKUP(Calculations[[#This Row],[Material (choose from dropdown]],MaterialData[#All],8,FALSE),0)</f>
        <v>0</v>
      </c>
      <c r="AG1109" s="322">
        <f>IFERROR(Calculations[[#This Row],[Total Kg]]*Calculations[[#This Row],[Seq factor]],0)</f>
        <v>0</v>
      </c>
      <c r="AI1109" s="322">
        <f>Calculations[[#This Row],[A1-3]]+Calculations[[#This Row],[A4]]+Calculations[[#This Row],[A5]]+Calculations[[#This Row],[B4]]+Calculations[[#This Row],[C2 total]]+Calculations[[#This Row],[C3 total]]+Calculations[[#This Row],[C4 total]]</f>
        <v>0</v>
      </c>
      <c r="AJ1109" s="2">
        <f>IFERROR(VLOOKUP(Calculations[[#This Row],[Material (choose from dropdown]],MaterialData[[#Headers],[#Data]],9,FALSE),0)</f>
        <v>0</v>
      </c>
      <c r="AK1109" s="4">
        <f>IFERROR(VLOOKUP(Calculations[[#This Row],[Material (choose from dropdown]],MaterialData[[#Headers],[#Data]],10,FALSE),0)</f>
        <v>0</v>
      </c>
      <c r="AL1109" s="322">
        <f>IFERROR(Calculations[[#This Row],[Data Quality Score]]*Calculations[[#This Row],[Total Kg]],0)</f>
        <v>0</v>
      </c>
    </row>
    <row r="1110" spans="1:38" x14ac:dyDescent="0.3">
      <c r="A1110" s="6">
        <f>IFERROR(MaterialsBoQ[[#This Row],[Scope Element]],0)</f>
        <v>0</v>
      </c>
      <c r="B1110" t="str">
        <f>IFERROR(MaterialsBoQ[[#This Row],[Material ]],"")</f>
        <v/>
      </c>
      <c r="C1110" t="str">
        <f>IFERROR(MaterialsBoQ[[#This Row],[Unit]],"")</f>
        <v/>
      </c>
      <c r="D1110" s="322">
        <f>IFERROR(MaterialsBoQ[[#This Row],[Number]],0)</f>
        <v>0</v>
      </c>
      <c r="E1110" s="322">
        <f>IFERROR(MaterialsBoQ[[#This Row],[Kg per unit]],0)</f>
        <v>0</v>
      </c>
      <c r="F1110" s="322">
        <f>IFERROR(Calculations[[#This Row],[Number]]*Calculations[[#This Row],[Conversion factor]],0)</f>
        <v>0</v>
      </c>
      <c r="G1110" s="322">
        <f>IFERROR(VLOOKUP(Calculations[[#This Row],[Material (choose from dropdown]],MaterialData[#All],7,FALSE),0)</f>
        <v>0</v>
      </c>
      <c r="H1110" s="322">
        <f>Calculations[[#This Row],[Total Kg]]*Calculations[[#This Row],[Carbon Factor]]</f>
        <v>0</v>
      </c>
      <c r="I1110" t="str">
        <f>IFERROR(VLOOKUP(Calculations[[#This Row],[Material (choose from dropdown]],MaterialData[#All],2,FALSE),"")</f>
        <v/>
      </c>
      <c r="J1110" s="322">
        <f>IFERROR(((VLOOKUP(Calculations[[#This Row],[TransportSource]],TransportDistance[],2,FALSE)*'Stage assumptions'!$C$11)+VLOOKUP(Calculations[[#This Row],[TransportSource]],TransportDistance[],3,FALSE)*'Stage assumptions'!$C$12)*Calculations[[#This Row],[Total Kg]],0)</f>
        <v>0</v>
      </c>
      <c r="K1110">
        <f>IFERROR(VLOOKUP(Calculations[[#This Row],[Material (choose from dropdown]], MaterialData[#All],3, FALSE),0)</f>
        <v>0</v>
      </c>
      <c r="L1110" s="322">
        <f>IFERROR(VLOOKUP(Calculations[[#This Row],[A5type]],A5WastageRate[#All],2,FALSE)*Calculations[[#This Row],[A1-3]],0)</f>
        <v>0</v>
      </c>
      <c r="N1110">
        <f>IFERROR(ROUNDUP(50/VLOOKUP(Calculations[[#This Row],[Scope Element]],B4referenceServiceLife[[Tier 2 element]:[Default Service Life]],2, FALSE)-1,0),0)</f>
        <v>0</v>
      </c>
      <c r="O1110" s="322">
        <f>IFERROR((Calculations[[#This Row],[A1-3]]+Calculations[[#This Row],[A4]]+Calculations[[#This Row],[A5]]+Calculations[[#This Row],[C2 total]]+Calculations[[#This Row],[C3 total]]+Calculations[[#This Row],[C4 total]])*Calculations[[#This Row],[Replacements]],0)</f>
        <v>0</v>
      </c>
      <c r="S1110" t="str">
        <f>IFERROR(VLOOKUP(Calculations[[#This Row],[Material (choose from dropdown]],MaterialData[#All],4,FALSE),"")</f>
        <v/>
      </c>
      <c r="T1110" s="322" cm="1">
        <f t="array" ref="T1110">IFERROR(VLOOKUP(Calculations[[#This Row],[Waste 1]],WasteScenario[#All],2,FALSE)*'Stage assumptions'!$C$225*WasteTransportMethod[Emissions Factor
kgCO2e/kg.km]*Calculations[[#This Row],[Total Kg]],0)</f>
        <v>0</v>
      </c>
      <c r="U1110" s="322" cm="1">
        <f t="array" ref="U1110">IFERROR(VLOOKUP(Calculations[[#This Row],[Waste 1]],WasteScenario[#All],3,FALSE)*'Stage assumptions'!$C$224*WasteTransportMethod[Emissions Factor
kgCO2e/kg.km]*Calculations[[#This Row],[Total Kg]],0)</f>
        <v>0</v>
      </c>
      <c r="V1110" s="322" cm="1">
        <f t="array" ref="V1110">IFERROR(VLOOKUP(Calculations[[#This Row],[Waste 1]],WasteScenario[#All],4,FALSE)*'Stage assumptions'!$C$223*WasteTransportMethod[Emissions Factor
kgCO2e/kg.km]*Calculations[[#This Row],[Total Kg]],0)</f>
        <v>0</v>
      </c>
      <c r="W1110" s="322" cm="1">
        <f t="array" ref="W1110">IFERROR(VLOOKUP(Calculations[[#This Row],[Waste 1]],WasteScenario[#All],5,FALSE)*'Stage assumptions'!$C$226*WasteTransportMethod[Emissions Factor
kgCO2e/kg.km]*Calculations[[#This Row],[Total Kg]],0)</f>
        <v>0</v>
      </c>
      <c r="X1110" s="322">
        <f>SUM(Calculations[[#This Row],[C2 Recycle]:[C2 Reuse]])</f>
        <v>0</v>
      </c>
      <c r="Y1110" t="str">
        <f>IFERROR(VLOOKUP(Calculations[[#This Row],[Material (choose from dropdown]],MaterialData[#All],5,FALSE),"")</f>
        <v/>
      </c>
      <c r="Z1110" s="322">
        <f>IFERROR(((VLOOKUP(Calculations[[#This Row],[Waste type 2]],WasteDisposalEmissions[#All],2,FALSE))*Calculations[[#This Row],[Total Kg]])*VLOOKUP(Calculations[[#This Row],[Waste 1]],WasteScenario[#All],2,FALSE),0)</f>
        <v>0</v>
      </c>
      <c r="AA1110" s="322">
        <f>IFERROR((VLOOKUP(Calculations[[#This Row],[Waste type 2]],WasteDisposalEmissions[#All],3,FALSE))*Calculations[[#This Row],[Total Kg]]*VLOOKUP(Calculations[[#This Row],[Waste 1]],WasteScenario[#All],3,FALSE),0)</f>
        <v>0</v>
      </c>
      <c r="AB1110" s="322">
        <f>SUM(Calculations[[#This Row],[C3 recyc]:[C3 incin]])</f>
        <v>0</v>
      </c>
      <c r="AC1110" s="334">
        <f>IFERROR((VLOOKUP(Calculations[[#This Row],[Waste type 2]],WasteLandfillEmissions[#All],2,FALSE))*Calculations[[#This Row],[Total Kg]]*VLOOKUP(Calculations[[#This Row],[Waste 1]],WasteScenario[#All],4,FALSE),0)</f>
        <v>0</v>
      </c>
      <c r="AD1110" s="322">
        <f>IFERROR((VLOOKUP(Calculations[[#This Row],[Waste type 2]],WasteLandfillEmissions[#All],3,FALSE))*Calculations[[#This Row],[Total Kg]]*VLOOKUP(Calculations[[#This Row],[Waste 1]],WasteScenario[#All],4,FALSE),0)</f>
        <v>0</v>
      </c>
      <c r="AE1110" s="322">
        <f>SUM(Calculations[[#This Row],[C4 landfill]:[C4 re-use]])</f>
        <v>0</v>
      </c>
      <c r="AF1110" s="322">
        <f>IFERROR(VLOOKUP(Calculations[[#This Row],[Material (choose from dropdown]],MaterialData[#All],8,FALSE),0)</f>
        <v>0</v>
      </c>
      <c r="AG1110" s="322">
        <f>IFERROR(Calculations[[#This Row],[Total Kg]]*Calculations[[#This Row],[Seq factor]],0)</f>
        <v>0</v>
      </c>
      <c r="AI1110" s="322">
        <f>Calculations[[#This Row],[A1-3]]+Calculations[[#This Row],[A4]]+Calculations[[#This Row],[A5]]+Calculations[[#This Row],[B4]]+Calculations[[#This Row],[C2 total]]+Calculations[[#This Row],[C3 total]]+Calculations[[#This Row],[C4 total]]</f>
        <v>0</v>
      </c>
      <c r="AJ1110" s="2">
        <f>IFERROR(VLOOKUP(Calculations[[#This Row],[Material (choose from dropdown]],MaterialData[[#Headers],[#Data]],9,FALSE),0)</f>
        <v>0</v>
      </c>
      <c r="AK1110" s="4">
        <f>IFERROR(VLOOKUP(Calculations[[#This Row],[Material (choose from dropdown]],MaterialData[[#Headers],[#Data]],10,FALSE),0)</f>
        <v>0</v>
      </c>
      <c r="AL1110" s="322">
        <f>IFERROR(Calculations[[#This Row],[Data Quality Score]]*Calculations[[#This Row],[Total Kg]],0)</f>
        <v>0</v>
      </c>
    </row>
    <row r="1111" spans="1:38" x14ac:dyDescent="0.3">
      <c r="A1111" s="6">
        <f>IFERROR(MaterialsBoQ[[#This Row],[Scope Element]],0)</f>
        <v>0</v>
      </c>
      <c r="B1111" t="str">
        <f>IFERROR(MaterialsBoQ[[#This Row],[Material ]],"")</f>
        <v/>
      </c>
      <c r="C1111" t="str">
        <f>IFERROR(MaterialsBoQ[[#This Row],[Unit]],"")</f>
        <v/>
      </c>
      <c r="D1111" s="322">
        <f>IFERROR(MaterialsBoQ[[#This Row],[Number]],0)</f>
        <v>0</v>
      </c>
      <c r="E1111" s="322">
        <f>IFERROR(MaterialsBoQ[[#This Row],[Kg per unit]],0)</f>
        <v>0</v>
      </c>
      <c r="F1111" s="322">
        <f>IFERROR(Calculations[[#This Row],[Number]]*Calculations[[#This Row],[Conversion factor]],0)</f>
        <v>0</v>
      </c>
      <c r="G1111" s="322">
        <f>IFERROR(VLOOKUP(Calculations[[#This Row],[Material (choose from dropdown]],MaterialData[#All],7,FALSE),0)</f>
        <v>0</v>
      </c>
      <c r="H1111" s="322">
        <f>Calculations[[#This Row],[Total Kg]]*Calculations[[#This Row],[Carbon Factor]]</f>
        <v>0</v>
      </c>
      <c r="I1111" t="str">
        <f>IFERROR(VLOOKUP(Calculations[[#This Row],[Material (choose from dropdown]],MaterialData[#All],2,FALSE),"")</f>
        <v/>
      </c>
      <c r="J1111" s="322">
        <f>IFERROR(((VLOOKUP(Calculations[[#This Row],[TransportSource]],TransportDistance[],2,FALSE)*'Stage assumptions'!$C$11)+VLOOKUP(Calculations[[#This Row],[TransportSource]],TransportDistance[],3,FALSE)*'Stage assumptions'!$C$12)*Calculations[[#This Row],[Total Kg]],0)</f>
        <v>0</v>
      </c>
      <c r="K1111">
        <f>IFERROR(VLOOKUP(Calculations[[#This Row],[Material (choose from dropdown]], MaterialData[#All],3, FALSE),0)</f>
        <v>0</v>
      </c>
      <c r="L1111" s="322">
        <f>IFERROR(VLOOKUP(Calculations[[#This Row],[A5type]],A5WastageRate[#All],2,FALSE)*Calculations[[#This Row],[A1-3]],0)</f>
        <v>0</v>
      </c>
      <c r="N1111">
        <f>IFERROR(ROUNDUP(50/VLOOKUP(Calculations[[#This Row],[Scope Element]],B4referenceServiceLife[[Tier 2 element]:[Default Service Life]],2, FALSE)-1,0),0)</f>
        <v>0</v>
      </c>
      <c r="O1111" s="322">
        <f>IFERROR((Calculations[[#This Row],[A1-3]]+Calculations[[#This Row],[A4]]+Calculations[[#This Row],[A5]]+Calculations[[#This Row],[C2 total]]+Calculations[[#This Row],[C3 total]]+Calculations[[#This Row],[C4 total]])*Calculations[[#This Row],[Replacements]],0)</f>
        <v>0</v>
      </c>
      <c r="S1111" t="str">
        <f>IFERROR(VLOOKUP(Calculations[[#This Row],[Material (choose from dropdown]],MaterialData[#All],4,FALSE),"")</f>
        <v/>
      </c>
      <c r="T1111" s="322" cm="1">
        <f t="array" ref="T1111">IFERROR(VLOOKUP(Calculations[[#This Row],[Waste 1]],WasteScenario[#All],2,FALSE)*'Stage assumptions'!$C$225*WasteTransportMethod[Emissions Factor
kgCO2e/kg.km]*Calculations[[#This Row],[Total Kg]],0)</f>
        <v>0</v>
      </c>
      <c r="U1111" s="322" cm="1">
        <f t="array" ref="U1111">IFERROR(VLOOKUP(Calculations[[#This Row],[Waste 1]],WasteScenario[#All],3,FALSE)*'Stage assumptions'!$C$224*WasteTransportMethod[Emissions Factor
kgCO2e/kg.km]*Calculations[[#This Row],[Total Kg]],0)</f>
        <v>0</v>
      </c>
      <c r="V1111" s="322" cm="1">
        <f t="array" ref="V1111">IFERROR(VLOOKUP(Calculations[[#This Row],[Waste 1]],WasteScenario[#All],4,FALSE)*'Stage assumptions'!$C$223*WasteTransportMethod[Emissions Factor
kgCO2e/kg.km]*Calculations[[#This Row],[Total Kg]],0)</f>
        <v>0</v>
      </c>
      <c r="W1111" s="322" cm="1">
        <f t="array" ref="W1111">IFERROR(VLOOKUP(Calculations[[#This Row],[Waste 1]],WasteScenario[#All],5,FALSE)*'Stage assumptions'!$C$226*WasteTransportMethod[Emissions Factor
kgCO2e/kg.km]*Calculations[[#This Row],[Total Kg]],0)</f>
        <v>0</v>
      </c>
      <c r="X1111" s="322">
        <f>SUM(Calculations[[#This Row],[C2 Recycle]:[C2 Reuse]])</f>
        <v>0</v>
      </c>
      <c r="Y1111" t="str">
        <f>IFERROR(VLOOKUP(Calculations[[#This Row],[Material (choose from dropdown]],MaterialData[#All],5,FALSE),"")</f>
        <v/>
      </c>
      <c r="Z1111" s="322">
        <f>IFERROR(((VLOOKUP(Calculations[[#This Row],[Waste type 2]],WasteDisposalEmissions[#All],2,FALSE))*Calculations[[#This Row],[Total Kg]])*VLOOKUP(Calculations[[#This Row],[Waste 1]],WasteScenario[#All],2,FALSE),0)</f>
        <v>0</v>
      </c>
      <c r="AA1111" s="322">
        <f>IFERROR((VLOOKUP(Calculations[[#This Row],[Waste type 2]],WasteDisposalEmissions[#All],3,FALSE))*Calculations[[#This Row],[Total Kg]]*VLOOKUP(Calculations[[#This Row],[Waste 1]],WasteScenario[#All],3,FALSE),0)</f>
        <v>0</v>
      </c>
      <c r="AB1111" s="322">
        <f>SUM(Calculations[[#This Row],[C3 recyc]:[C3 incin]])</f>
        <v>0</v>
      </c>
      <c r="AC1111" s="334">
        <f>IFERROR((VLOOKUP(Calculations[[#This Row],[Waste type 2]],WasteLandfillEmissions[#All],2,FALSE))*Calculations[[#This Row],[Total Kg]]*VLOOKUP(Calculations[[#This Row],[Waste 1]],WasteScenario[#All],4,FALSE),0)</f>
        <v>0</v>
      </c>
      <c r="AD1111" s="322">
        <f>IFERROR((VLOOKUP(Calculations[[#This Row],[Waste type 2]],WasteLandfillEmissions[#All],3,FALSE))*Calculations[[#This Row],[Total Kg]]*VLOOKUP(Calculations[[#This Row],[Waste 1]],WasteScenario[#All],4,FALSE),0)</f>
        <v>0</v>
      </c>
      <c r="AE1111" s="322">
        <f>SUM(Calculations[[#This Row],[C4 landfill]:[C4 re-use]])</f>
        <v>0</v>
      </c>
      <c r="AF1111" s="322">
        <f>IFERROR(VLOOKUP(Calculations[[#This Row],[Material (choose from dropdown]],MaterialData[#All],8,FALSE),0)</f>
        <v>0</v>
      </c>
      <c r="AG1111" s="322">
        <f>IFERROR(Calculations[[#This Row],[Total Kg]]*Calculations[[#This Row],[Seq factor]],0)</f>
        <v>0</v>
      </c>
      <c r="AI1111" s="322">
        <f>Calculations[[#This Row],[A1-3]]+Calculations[[#This Row],[A4]]+Calculations[[#This Row],[A5]]+Calculations[[#This Row],[B4]]+Calculations[[#This Row],[C2 total]]+Calculations[[#This Row],[C3 total]]+Calculations[[#This Row],[C4 total]]</f>
        <v>0</v>
      </c>
      <c r="AJ1111" s="2">
        <f>IFERROR(VLOOKUP(Calculations[[#This Row],[Material (choose from dropdown]],MaterialData[[#Headers],[#Data]],9,FALSE),0)</f>
        <v>0</v>
      </c>
      <c r="AK1111" s="4">
        <f>IFERROR(VLOOKUP(Calculations[[#This Row],[Material (choose from dropdown]],MaterialData[[#Headers],[#Data]],10,FALSE),0)</f>
        <v>0</v>
      </c>
      <c r="AL1111" s="322">
        <f>IFERROR(Calculations[[#This Row],[Data Quality Score]]*Calculations[[#This Row],[Total Kg]],0)</f>
        <v>0</v>
      </c>
    </row>
    <row r="1112" spans="1:38" x14ac:dyDescent="0.3">
      <c r="A1112" s="6">
        <f>IFERROR(MaterialsBoQ[[#This Row],[Scope Element]],0)</f>
        <v>0</v>
      </c>
      <c r="B1112" t="str">
        <f>IFERROR(MaterialsBoQ[[#This Row],[Material ]],"")</f>
        <v/>
      </c>
      <c r="C1112" t="str">
        <f>IFERROR(MaterialsBoQ[[#This Row],[Unit]],"")</f>
        <v/>
      </c>
      <c r="D1112" s="322">
        <f>IFERROR(MaterialsBoQ[[#This Row],[Number]],0)</f>
        <v>0</v>
      </c>
      <c r="E1112" s="322">
        <f>IFERROR(MaterialsBoQ[[#This Row],[Kg per unit]],0)</f>
        <v>0</v>
      </c>
      <c r="F1112" s="322">
        <f>IFERROR(Calculations[[#This Row],[Number]]*Calculations[[#This Row],[Conversion factor]],0)</f>
        <v>0</v>
      </c>
      <c r="G1112" s="322">
        <f>IFERROR(VLOOKUP(Calculations[[#This Row],[Material (choose from dropdown]],MaterialData[#All],7,FALSE),0)</f>
        <v>0</v>
      </c>
      <c r="H1112" s="322">
        <f>Calculations[[#This Row],[Total Kg]]*Calculations[[#This Row],[Carbon Factor]]</f>
        <v>0</v>
      </c>
      <c r="I1112" t="str">
        <f>IFERROR(VLOOKUP(Calculations[[#This Row],[Material (choose from dropdown]],MaterialData[#All],2,FALSE),"")</f>
        <v/>
      </c>
      <c r="J1112" s="322">
        <f>IFERROR(((VLOOKUP(Calculations[[#This Row],[TransportSource]],TransportDistance[],2,FALSE)*'Stage assumptions'!$C$11)+VLOOKUP(Calculations[[#This Row],[TransportSource]],TransportDistance[],3,FALSE)*'Stage assumptions'!$C$12)*Calculations[[#This Row],[Total Kg]],0)</f>
        <v>0</v>
      </c>
      <c r="K1112">
        <f>IFERROR(VLOOKUP(Calculations[[#This Row],[Material (choose from dropdown]], MaterialData[#All],3, FALSE),0)</f>
        <v>0</v>
      </c>
      <c r="L1112" s="322">
        <f>IFERROR(VLOOKUP(Calculations[[#This Row],[A5type]],A5WastageRate[#All],2,FALSE)*Calculations[[#This Row],[A1-3]],0)</f>
        <v>0</v>
      </c>
      <c r="N1112">
        <f>IFERROR(ROUNDUP(50/VLOOKUP(Calculations[[#This Row],[Scope Element]],B4referenceServiceLife[[Tier 2 element]:[Default Service Life]],2, FALSE)-1,0),0)</f>
        <v>0</v>
      </c>
      <c r="O1112" s="322">
        <f>IFERROR((Calculations[[#This Row],[A1-3]]+Calculations[[#This Row],[A4]]+Calculations[[#This Row],[A5]]+Calculations[[#This Row],[C2 total]]+Calculations[[#This Row],[C3 total]]+Calculations[[#This Row],[C4 total]])*Calculations[[#This Row],[Replacements]],0)</f>
        <v>0</v>
      </c>
      <c r="S1112" t="str">
        <f>IFERROR(VLOOKUP(Calculations[[#This Row],[Material (choose from dropdown]],MaterialData[#All],4,FALSE),"")</f>
        <v/>
      </c>
      <c r="T1112" s="322" cm="1">
        <f t="array" ref="T1112">IFERROR(VLOOKUP(Calculations[[#This Row],[Waste 1]],WasteScenario[#All],2,FALSE)*'Stage assumptions'!$C$225*WasteTransportMethod[Emissions Factor
kgCO2e/kg.km]*Calculations[[#This Row],[Total Kg]],0)</f>
        <v>0</v>
      </c>
      <c r="U1112" s="322" cm="1">
        <f t="array" ref="U1112">IFERROR(VLOOKUP(Calculations[[#This Row],[Waste 1]],WasteScenario[#All],3,FALSE)*'Stage assumptions'!$C$224*WasteTransportMethod[Emissions Factor
kgCO2e/kg.km]*Calculations[[#This Row],[Total Kg]],0)</f>
        <v>0</v>
      </c>
      <c r="V1112" s="322" cm="1">
        <f t="array" ref="V1112">IFERROR(VLOOKUP(Calculations[[#This Row],[Waste 1]],WasteScenario[#All],4,FALSE)*'Stage assumptions'!$C$223*WasteTransportMethod[Emissions Factor
kgCO2e/kg.km]*Calculations[[#This Row],[Total Kg]],0)</f>
        <v>0</v>
      </c>
      <c r="W1112" s="322" cm="1">
        <f t="array" ref="W1112">IFERROR(VLOOKUP(Calculations[[#This Row],[Waste 1]],WasteScenario[#All],5,FALSE)*'Stage assumptions'!$C$226*WasteTransportMethod[Emissions Factor
kgCO2e/kg.km]*Calculations[[#This Row],[Total Kg]],0)</f>
        <v>0</v>
      </c>
      <c r="X1112" s="322">
        <f>SUM(Calculations[[#This Row],[C2 Recycle]:[C2 Reuse]])</f>
        <v>0</v>
      </c>
      <c r="Y1112" t="str">
        <f>IFERROR(VLOOKUP(Calculations[[#This Row],[Material (choose from dropdown]],MaterialData[#All],5,FALSE),"")</f>
        <v/>
      </c>
      <c r="Z1112" s="322">
        <f>IFERROR(((VLOOKUP(Calculations[[#This Row],[Waste type 2]],WasteDisposalEmissions[#All],2,FALSE))*Calculations[[#This Row],[Total Kg]])*VLOOKUP(Calculations[[#This Row],[Waste 1]],WasteScenario[#All],2,FALSE),0)</f>
        <v>0</v>
      </c>
      <c r="AA1112" s="322">
        <f>IFERROR((VLOOKUP(Calculations[[#This Row],[Waste type 2]],WasteDisposalEmissions[#All],3,FALSE))*Calculations[[#This Row],[Total Kg]]*VLOOKUP(Calculations[[#This Row],[Waste 1]],WasteScenario[#All],3,FALSE),0)</f>
        <v>0</v>
      </c>
      <c r="AB1112" s="322">
        <f>SUM(Calculations[[#This Row],[C3 recyc]:[C3 incin]])</f>
        <v>0</v>
      </c>
      <c r="AC1112" s="334">
        <f>IFERROR((VLOOKUP(Calculations[[#This Row],[Waste type 2]],WasteLandfillEmissions[#All],2,FALSE))*Calculations[[#This Row],[Total Kg]]*VLOOKUP(Calculations[[#This Row],[Waste 1]],WasteScenario[#All],4,FALSE),0)</f>
        <v>0</v>
      </c>
      <c r="AD1112" s="322">
        <f>IFERROR((VLOOKUP(Calculations[[#This Row],[Waste type 2]],WasteLandfillEmissions[#All],3,FALSE))*Calculations[[#This Row],[Total Kg]]*VLOOKUP(Calculations[[#This Row],[Waste 1]],WasteScenario[#All],4,FALSE),0)</f>
        <v>0</v>
      </c>
      <c r="AE1112" s="322">
        <f>SUM(Calculations[[#This Row],[C4 landfill]:[C4 re-use]])</f>
        <v>0</v>
      </c>
      <c r="AF1112" s="322">
        <f>IFERROR(VLOOKUP(Calculations[[#This Row],[Material (choose from dropdown]],MaterialData[#All],8,FALSE),0)</f>
        <v>0</v>
      </c>
      <c r="AG1112" s="322">
        <f>IFERROR(Calculations[[#This Row],[Total Kg]]*Calculations[[#This Row],[Seq factor]],0)</f>
        <v>0</v>
      </c>
      <c r="AI1112" s="322">
        <f>Calculations[[#This Row],[A1-3]]+Calculations[[#This Row],[A4]]+Calculations[[#This Row],[A5]]+Calculations[[#This Row],[B4]]+Calculations[[#This Row],[C2 total]]+Calculations[[#This Row],[C3 total]]+Calculations[[#This Row],[C4 total]]</f>
        <v>0</v>
      </c>
      <c r="AJ1112" s="2">
        <f>IFERROR(VLOOKUP(Calculations[[#This Row],[Material (choose from dropdown]],MaterialData[[#Headers],[#Data]],9,FALSE),0)</f>
        <v>0</v>
      </c>
      <c r="AK1112" s="4">
        <f>IFERROR(VLOOKUP(Calculations[[#This Row],[Material (choose from dropdown]],MaterialData[[#Headers],[#Data]],10,FALSE),0)</f>
        <v>0</v>
      </c>
      <c r="AL1112" s="322">
        <f>IFERROR(Calculations[[#This Row],[Data Quality Score]]*Calculations[[#This Row],[Total Kg]],0)</f>
        <v>0</v>
      </c>
    </row>
    <row r="1113" spans="1:38" x14ac:dyDescent="0.3">
      <c r="A1113" s="6">
        <f>IFERROR(MaterialsBoQ[[#This Row],[Scope Element]],0)</f>
        <v>0</v>
      </c>
      <c r="B1113" t="str">
        <f>IFERROR(MaterialsBoQ[[#This Row],[Material ]],"")</f>
        <v/>
      </c>
      <c r="C1113" t="str">
        <f>IFERROR(MaterialsBoQ[[#This Row],[Unit]],"")</f>
        <v/>
      </c>
      <c r="D1113" s="322">
        <f>IFERROR(MaterialsBoQ[[#This Row],[Number]],0)</f>
        <v>0</v>
      </c>
      <c r="E1113" s="322">
        <f>IFERROR(MaterialsBoQ[[#This Row],[Kg per unit]],0)</f>
        <v>0</v>
      </c>
      <c r="F1113" s="322">
        <f>IFERROR(Calculations[[#This Row],[Number]]*Calculations[[#This Row],[Conversion factor]],0)</f>
        <v>0</v>
      </c>
      <c r="G1113" s="322">
        <f>IFERROR(VLOOKUP(Calculations[[#This Row],[Material (choose from dropdown]],MaterialData[#All],7,FALSE),0)</f>
        <v>0</v>
      </c>
      <c r="H1113" s="322">
        <f>Calculations[[#This Row],[Total Kg]]*Calculations[[#This Row],[Carbon Factor]]</f>
        <v>0</v>
      </c>
      <c r="I1113" t="str">
        <f>IFERROR(VLOOKUP(Calculations[[#This Row],[Material (choose from dropdown]],MaterialData[#All],2,FALSE),"")</f>
        <v/>
      </c>
      <c r="J1113" s="322">
        <f>IFERROR(((VLOOKUP(Calculations[[#This Row],[TransportSource]],TransportDistance[],2,FALSE)*'Stage assumptions'!$C$11)+VLOOKUP(Calculations[[#This Row],[TransportSource]],TransportDistance[],3,FALSE)*'Stage assumptions'!$C$12)*Calculations[[#This Row],[Total Kg]],0)</f>
        <v>0</v>
      </c>
      <c r="K1113">
        <f>IFERROR(VLOOKUP(Calculations[[#This Row],[Material (choose from dropdown]], MaterialData[#All],3, FALSE),0)</f>
        <v>0</v>
      </c>
      <c r="L1113" s="322">
        <f>IFERROR(VLOOKUP(Calculations[[#This Row],[A5type]],A5WastageRate[#All],2,FALSE)*Calculations[[#This Row],[A1-3]],0)</f>
        <v>0</v>
      </c>
      <c r="N1113">
        <f>IFERROR(ROUNDUP(50/VLOOKUP(Calculations[[#This Row],[Scope Element]],B4referenceServiceLife[[Tier 2 element]:[Default Service Life]],2, FALSE)-1,0),0)</f>
        <v>0</v>
      </c>
      <c r="O1113" s="322">
        <f>IFERROR((Calculations[[#This Row],[A1-3]]+Calculations[[#This Row],[A4]]+Calculations[[#This Row],[A5]]+Calculations[[#This Row],[C2 total]]+Calculations[[#This Row],[C3 total]]+Calculations[[#This Row],[C4 total]])*Calculations[[#This Row],[Replacements]],0)</f>
        <v>0</v>
      </c>
      <c r="S1113" t="str">
        <f>IFERROR(VLOOKUP(Calculations[[#This Row],[Material (choose from dropdown]],MaterialData[#All],4,FALSE),"")</f>
        <v/>
      </c>
      <c r="T1113" s="322" cm="1">
        <f t="array" ref="T1113">IFERROR(VLOOKUP(Calculations[[#This Row],[Waste 1]],WasteScenario[#All],2,FALSE)*'Stage assumptions'!$C$225*WasteTransportMethod[Emissions Factor
kgCO2e/kg.km]*Calculations[[#This Row],[Total Kg]],0)</f>
        <v>0</v>
      </c>
      <c r="U1113" s="322" cm="1">
        <f t="array" ref="U1113">IFERROR(VLOOKUP(Calculations[[#This Row],[Waste 1]],WasteScenario[#All],3,FALSE)*'Stage assumptions'!$C$224*WasteTransportMethod[Emissions Factor
kgCO2e/kg.km]*Calculations[[#This Row],[Total Kg]],0)</f>
        <v>0</v>
      </c>
      <c r="V1113" s="322" cm="1">
        <f t="array" ref="V1113">IFERROR(VLOOKUP(Calculations[[#This Row],[Waste 1]],WasteScenario[#All],4,FALSE)*'Stage assumptions'!$C$223*WasteTransportMethod[Emissions Factor
kgCO2e/kg.km]*Calculations[[#This Row],[Total Kg]],0)</f>
        <v>0</v>
      </c>
      <c r="W1113" s="322" cm="1">
        <f t="array" ref="W1113">IFERROR(VLOOKUP(Calculations[[#This Row],[Waste 1]],WasteScenario[#All],5,FALSE)*'Stage assumptions'!$C$226*WasteTransportMethod[Emissions Factor
kgCO2e/kg.km]*Calculations[[#This Row],[Total Kg]],0)</f>
        <v>0</v>
      </c>
      <c r="X1113" s="322">
        <f>SUM(Calculations[[#This Row],[C2 Recycle]:[C2 Reuse]])</f>
        <v>0</v>
      </c>
      <c r="Y1113" t="str">
        <f>IFERROR(VLOOKUP(Calculations[[#This Row],[Material (choose from dropdown]],MaterialData[#All],5,FALSE),"")</f>
        <v/>
      </c>
      <c r="Z1113" s="322">
        <f>IFERROR(((VLOOKUP(Calculations[[#This Row],[Waste type 2]],WasteDisposalEmissions[#All],2,FALSE))*Calculations[[#This Row],[Total Kg]])*VLOOKUP(Calculations[[#This Row],[Waste 1]],WasteScenario[#All],2,FALSE),0)</f>
        <v>0</v>
      </c>
      <c r="AA1113" s="322">
        <f>IFERROR((VLOOKUP(Calculations[[#This Row],[Waste type 2]],WasteDisposalEmissions[#All],3,FALSE))*Calculations[[#This Row],[Total Kg]]*VLOOKUP(Calculations[[#This Row],[Waste 1]],WasteScenario[#All],3,FALSE),0)</f>
        <v>0</v>
      </c>
      <c r="AB1113" s="322">
        <f>SUM(Calculations[[#This Row],[C3 recyc]:[C3 incin]])</f>
        <v>0</v>
      </c>
      <c r="AC1113" s="334">
        <f>IFERROR((VLOOKUP(Calculations[[#This Row],[Waste type 2]],WasteLandfillEmissions[#All],2,FALSE))*Calculations[[#This Row],[Total Kg]]*VLOOKUP(Calculations[[#This Row],[Waste 1]],WasteScenario[#All],4,FALSE),0)</f>
        <v>0</v>
      </c>
      <c r="AD1113" s="322">
        <f>IFERROR((VLOOKUP(Calculations[[#This Row],[Waste type 2]],WasteLandfillEmissions[#All],3,FALSE))*Calculations[[#This Row],[Total Kg]]*VLOOKUP(Calculations[[#This Row],[Waste 1]],WasteScenario[#All],4,FALSE),0)</f>
        <v>0</v>
      </c>
      <c r="AE1113" s="322">
        <f>SUM(Calculations[[#This Row],[C4 landfill]:[C4 re-use]])</f>
        <v>0</v>
      </c>
      <c r="AF1113" s="322">
        <f>IFERROR(VLOOKUP(Calculations[[#This Row],[Material (choose from dropdown]],MaterialData[#All],8,FALSE),0)</f>
        <v>0</v>
      </c>
      <c r="AG1113" s="322">
        <f>IFERROR(Calculations[[#This Row],[Total Kg]]*Calculations[[#This Row],[Seq factor]],0)</f>
        <v>0</v>
      </c>
      <c r="AI1113" s="322">
        <f>Calculations[[#This Row],[A1-3]]+Calculations[[#This Row],[A4]]+Calculations[[#This Row],[A5]]+Calculations[[#This Row],[B4]]+Calculations[[#This Row],[C2 total]]+Calculations[[#This Row],[C3 total]]+Calculations[[#This Row],[C4 total]]</f>
        <v>0</v>
      </c>
      <c r="AJ1113" s="2">
        <f>IFERROR(VLOOKUP(Calculations[[#This Row],[Material (choose from dropdown]],MaterialData[[#Headers],[#Data]],9,FALSE),0)</f>
        <v>0</v>
      </c>
      <c r="AK1113" s="4">
        <f>IFERROR(VLOOKUP(Calculations[[#This Row],[Material (choose from dropdown]],MaterialData[[#Headers],[#Data]],10,FALSE),0)</f>
        <v>0</v>
      </c>
      <c r="AL1113" s="322">
        <f>IFERROR(Calculations[[#This Row],[Data Quality Score]]*Calculations[[#This Row],[Total Kg]],0)</f>
        <v>0</v>
      </c>
    </row>
    <row r="1114" spans="1:38" x14ac:dyDescent="0.3">
      <c r="A1114" s="6">
        <f>IFERROR(MaterialsBoQ[[#This Row],[Scope Element]],0)</f>
        <v>0</v>
      </c>
      <c r="B1114" t="str">
        <f>IFERROR(MaterialsBoQ[[#This Row],[Material ]],"")</f>
        <v/>
      </c>
      <c r="C1114" t="str">
        <f>IFERROR(MaterialsBoQ[[#This Row],[Unit]],"")</f>
        <v/>
      </c>
      <c r="D1114" s="322">
        <f>IFERROR(MaterialsBoQ[[#This Row],[Number]],0)</f>
        <v>0</v>
      </c>
      <c r="E1114" s="322">
        <f>IFERROR(MaterialsBoQ[[#This Row],[Kg per unit]],0)</f>
        <v>0</v>
      </c>
      <c r="F1114" s="322">
        <f>IFERROR(Calculations[[#This Row],[Number]]*Calculations[[#This Row],[Conversion factor]],0)</f>
        <v>0</v>
      </c>
      <c r="G1114" s="322">
        <f>IFERROR(VLOOKUP(Calculations[[#This Row],[Material (choose from dropdown]],MaterialData[#All],7,FALSE),0)</f>
        <v>0</v>
      </c>
      <c r="H1114" s="322">
        <f>Calculations[[#This Row],[Total Kg]]*Calculations[[#This Row],[Carbon Factor]]</f>
        <v>0</v>
      </c>
      <c r="I1114" t="str">
        <f>IFERROR(VLOOKUP(Calculations[[#This Row],[Material (choose from dropdown]],MaterialData[#All],2,FALSE),"")</f>
        <v/>
      </c>
      <c r="J1114" s="322">
        <f>IFERROR(((VLOOKUP(Calculations[[#This Row],[TransportSource]],TransportDistance[],2,FALSE)*'Stage assumptions'!$C$11)+VLOOKUP(Calculations[[#This Row],[TransportSource]],TransportDistance[],3,FALSE)*'Stage assumptions'!$C$12)*Calculations[[#This Row],[Total Kg]],0)</f>
        <v>0</v>
      </c>
      <c r="K1114">
        <f>IFERROR(VLOOKUP(Calculations[[#This Row],[Material (choose from dropdown]], MaterialData[#All],3, FALSE),0)</f>
        <v>0</v>
      </c>
      <c r="L1114" s="322">
        <f>IFERROR(VLOOKUP(Calculations[[#This Row],[A5type]],A5WastageRate[#All],2,FALSE)*Calculations[[#This Row],[A1-3]],0)</f>
        <v>0</v>
      </c>
      <c r="N1114">
        <f>IFERROR(ROUNDUP(50/VLOOKUP(Calculations[[#This Row],[Scope Element]],B4referenceServiceLife[[Tier 2 element]:[Default Service Life]],2, FALSE)-1,0),0)</f>
        <v>0</v>
      </c>
      <c r="O1114" s="322">
        <f>IFERROR((Calculations[[#This Row],[A1-3]]+Calculations[[#This Row],[A4]]+Calculations[[#This Row],[A5]]+Calculations[[#This Row],[C2 total]]+Calculations[[#This Row],[C3 total]]+Calculations[[#This Row],[C4 total]])*Calculations[[#This Row],[Replacements]],0)</f>
        <v>0</v>
      </c>
      <c r="S1114" t="str">
        <f>IFERROR(VLOOKUP(Calculations[[#This Row],[Material (choose from dropdown]],MaterialData[#All],4,FALSE),"")</f>
        <v/>
      </c>
      <c r="T1114" s="322" cm="1">
        <f t="array" ref="T1114">IFERROR(VLOOKUP(Calculations[[#This Row],[Waste 1]],WasteScenario[#All],2,FALSE)*'Stage assumptions'!$C$225*WasteTransportMethod[Emissions Factor
kgCO2e/kg.km]*Calculations[[#This Row],[Total Kg]],0)</f>
        <v>0</v>
      </c>
      <c r="U1114" s="322" cm="1">
        <f t="array" ref="U1114">IFERROR(VLOOKUP(Calculations[[#This Row],[Waste 1]],WasteScenario[#All],3,FALSE)*'Stage assumptions'!$C$224*WasteTransportMethod[Emissions Factor
kgCO2e/kg.km]*Calculations[[#This Row],[Total Kg]],0)</f>
        <v>0</v>
      </c>
      <c r="V1114" s="322" cm="1">
        <f t="array" ref="V1114">IFERROR(VLOOKUP(Calculations[[#This Row],[Waste 1]],WasteScenario[#All],4,FALSE)*'Stage assumptions'!$C$223*WasteTransportMethod[Emissions Factor
kgCO2e/kg.km]*Calculations[[#This Row],[Total Kg]],0)</f>
        <v>0</v>
      </c>
      <c r="W1114" s="322" cm="1">
        <f t="array" ref="W1114">IFERROR(VLOOKUP(Calculations[[#This Row],[Waste 1]],WasteScenario[#All],5,FALSE)*'Stage assumptions'!$C$226*WasteTransportMethod[Emissions Factor
kgCO2e/kg.km]*Calculations[[#This Row],[Total Kg]],0)</f>
        <v>0</v>
      </c>
      <c r="X1114" s="322">
        <f>SUM(Calculations[[#This Row],[C2 Recycle]:[C2 Reuse]])</f>
        <v>0</v>
      </c>
      <c r="Y1114" t="str">
        <f>IFERROR(VLOOKUP(Calculations[[#This Row],[Material (choose from dropdown]],MaterialData[#All],5,FALSE),"")</f>
        <v/>
      </c>
      <c r="Z1114" s="322">
        <f>IFERROR(((VLOOKUP(Calculations[[#This Row],[Waste type 2]],WasteDisposalEmissions[#All],2,FALSE))*Calculations[[#This Row],[Total Kg]])*VLOOKUP(Calculations[[#This Row],[Waste 1]],WasteScenario[#All],2,FALSE),0)</f>
        <v>0</v>
      </c>
      <c r="AA1114" s="322">
        <f>IFERROR((VLOOKUP(Calculations[[#This Row],[Waste type 2]],WasteDisposalEmissions[#All],3,FALSE))*Calculations[[#This Row],[Total Kg]]*VLOOKUP(Calculations[[#This Row],[Waste 1]],WasteScenario[#All],3,FALSE),0)</f>
        <v>0</v>
      </c>
      <c r="AB1114" s="322">
        <f>SUM(Calculations[[#This Row],[C3 recyc]:[C3 incin]])</f>
        <v>0</v>
      </c>
      <c r="AC1114" s="334">
        <f>IFERROR((VLOOKUP(Calculations[[#This Row],[Waste type 2]],WasteLandfillEmissions[#All],2,FALSE))*Calculations[[#This Row],[Total Kg]]*VLOOKUP(Calculations[[#This Row],[Waste 1]],WasteScenario[#All],4,FALSE),0)</f>
        <v>0</v>
      </c>
      <c r="AD1114" s="322">
        <f>IFERROR((VLOOKUP(Calculations[[#This Row],[Waste type 2]],WasteLandfillEmissions[#All],3,FALSE))*Calculations[[#This Row],[Total Kg]]*VLOOKUP(Calculations[[#This Row],[Waste 1]],WasteScenario[#All],4,FALSE),0)</f>
        <v>0</v>
      </c>
      <c r="AE1114" s="322">
        <f>SUM(Calculations[[#This Row],[C4 landfill]:[C4 re-use]])</f>
        <v>0</v>
      </c>
      <c r="AF1114" s="322">
        <f>IFERROR(VLOOKUP(Calculations[[#This Row],[Material (choose from dropdown]],MaterialData[#All],8,FALSE),0)</f>
        <v>0</v>
      </c>
      <c r="AG1114" s="322">
        <f>IFERROR(Calculations[[#This Row],[Total Kg]]*Calculations[[#This Row],[Seq factor]],0)</f>
        <v>0</v>
      </c>
      <c r="AI1114" s="322">
        <f>Calculations[[#This Row],[A1-3]]+Calculations[[#This Row],[A4]]+Calculations[[#This Row],[A5]]+Calculations[[#This Row],[B4]]+Calculations[[#This Row],[C2 total]]+Calculations[[#This Row],[C3 total]]+Calculations[[#This Row],[C4 total]]</f>
        <v>0</v>
      </c>
      <c r="AJ1114" s="2">
        <f>IFERROR(VLOOKUP(Calculations[[#This Row],[Material (choose from dropdown]],MaterialData[[#Headers],[#Data]],9,FALSE),0)</f>
        <v>0</v>
      </c>
      <c r="AK1114" s="4">
        <f>IFERROR(VLOOKUP(Calculations[[#This Row],[Material (choose from dropdown]],MaterialData[[#Headers],[#Data]],10,FALSE),0)</f>
        <v>0</v>
      </c>
      <c r="AL1114" s="322">
        <f>IFERROR(Calculations[[#This Row],[Data Quality Score]]*Calculations[[#This Row],[Total Kg]],0)</f>
        <v>0</v>
      </c>
    </row>
    <row r="1115" spans="1:38" x14ac:dyDescent="0.3">
      <c r="A1115" s="6">
        <f>IFERROR(MaterialsBoQ[[#This Row],[Scope Element]],0)</f>
        <v>0</v>
      </c>
      <c r="B1115" t="str">
        <f>IFERROR(MaterialsBoQ[[#This Row],[Material ]],"")</f>
        <v/>
      </c>
      <c r="C1115" t="str">
        <f>IFERROR(MaterialsBoQ[[#This Row],[Unit]],"")</f>
        <v/>
      </c>
      <c r="D1115" s="322">
        <f>IFERROR(MaterialsBoQ[[#This Row],[Number]],0)</f>
        <v>0</v>
      </c>
      <c r="E1115" s="322">
        <f>IFERROR(MaterialsBoQ[[#This Row],[Kg per unit]],0)</f>
        <v>0</v>
      </c>
      <c r="F1115" s="322">
        <f>IFERROR(Calculations[[#This Row],[Number]]*Calculations[[#This Row],[Conversion factor]],0)</f>
        <v>0</v>
      </c>
      <c r="G1115" s="322">
        <f>IFERROR(VLOOKUP(Calculations[[#This Row],[Material (choose from dropdown]],MaterialData[#All],7,FALSE),0)</f>
        <v>0</v>
      </c>
      <c r="H1115" s="322">
        <f>Calculations[[#This Row],[Total Kg]]*Calculations[[#This Row],[Carbon Factor]]</f>
        <v>0</v>
      </c>
      <c r="I1115" t="str">
        <f>IFERROR(VLOOKUP(Calculations[[#This Row],[Material (choose from dropdown]],MaterialData[#All],2,FALSE),"")</f>
        <v/>
      </c>
      <c r="J1115" s="322">
        <f>IFERROR(((VLOOKUP(Calculations[[#This Row],[TransportSource]],TransportDistance[],2,FALSE)*'Stage assumptions'!$C$11)+VLOOKUP(Calculations[[#This Row],[TransportSource]],TransportDistance[],3,FALSE)*'Stage assumptions'!$C$12)*Calculations[[#This Row],[Total Kg]],0)</f>
        <v>0</v>
      </c>
      <c r="K1115">
        <f>IFERROR(VLOOKUP(Calculations[[#This Row],[Material (choose from dropdown]], MaterialData[#All],3, FALSE),0)</f>
        <v>0</v>
      </c>
      <c r="L1115" s="322">
        <f>IFERROR(VLOOKUP(Calculations[[#This Row],[A5type]],A5WastageRate[#All],2,FALSE)*Calculations[[#This Row],[A1-3]],0)</f>
        <v>0</v>
      </c>
      <c r="N1115">
        <f>IFERROR(ROUNDUP(50/VLOOKUP(Calculations[[#This Row],[Scope Element]],B4referenceServiceLife[[Tier 2 element]:[Default Service Life]],2, FALSE)-1,0),0)</f>
        <v>0</v>
      </c>
      <c r="O1115" s="322">
        <f>IFERROR((Calculations[[#This Row],[A1-3]]+Calculations[[#This Row],[A4]]+Calculations[[#This Row],[A5]]+Calculations[[#This Row],[C2 total]]+Calculations[[#This Row],[C3 total]]+Calculations[[#This Row],[C4 total]])*Calculations[[#This Row],[Replacements]],0)</f>
        <v>0</v>
      </c>
      <c r="S1115" t="str">
        <f>IFERROR(VLOOKUP(Calculations[[#This Row],[Material (choose from dropdown]],MaterialData[#All],4,FALSE),"")</f>
        <v/>
      </c>
      <c r="T1115" s="322" cm="1">
        <f t="array" ref="T1115">IFERROR(VLOOKUP(Calculations[[#This Row],[Waste 1]],WasteScenario[#All],2,FALSE)*'Stage assumptions'!$C$225*WasteTransportMethod[Emissions Factor
kgCO2e/kg.km]*Calculations[[#This Row],[Total Kg]],0)</f>
        <v>0</v>
      </c>
      <c r="U1115" s="322" cm="1">
        <f t="array" ref="U1115">IFERROR(VLOOKUP(Calculations[[#This Row],[Waste 1]],WasteScenario[#All],3,FALSE)*'Stage assumptions'!$C$224*WasteTransportMethod[Emissions Factor
kgCO2e/kg.km]*Calculations[[#This Row],[Total Kg]],0)</f>
        <v>0</v>
      </c>
      <c r="V1115" s="322" cm="1">
        <f t="array" ref="V1115">IFERROR(VLOOKUP(Calculations[[#This Row],[Waste 1]],WasteScenario[#All],4,FALSE)*'Stage assumptions'!$C$223*WasteTransportMethod[Emissions Factor
kgCO2e/kg.km]*Calculations[[#This Row],[Total Kg]],0)</f>
        <v>0</v>
      </c>
      <c r="W1115" s="322" cm="1">
        <f t="array" ref="W1115">IFERROR(VLOOKUP(Calculations[[#This Row],[Waste 1]],WasteScenario[#All],5,FALSE)*'Stage assumptions'!$C$226*WasteTransportMethod[Emissions Factor
kgCO2e/kg.km]*Calculations[[#This Row],[Total Kg]],0)</f>
        <v>0</v>
      </c>
      <c r="X1115" s="322">
        <f>SUM(Calculations[[#This Row],[C2 Recycle]:[C2 Reuse]])</f>
        <v>0</v>
      </c>
      <c r="Y1115" t="str">
        <f>IFERROR(VLOOKUP(Calculations[[#This Row],[Material (choose from dropdown]],MaterialData[#All],5,FALSE),"")</f>
        <v/>
      </c>
      <c r="Z1115" s="322">
        <f>IFERROR(((VLOOKUP(Calculations[[#This Row],[Waste type 2]],WasteDisposalEmissions[#All],2,FALSE))*Calculations[[#This Row],[Total Kg]])*VLOOKUP(Calculations[[#This Row],[Waste 1]],WasteScenario[#All],2,FALSE),0)</f>
        <v>0</v>
      </c>
      <c r="AA1115" s="322">
        <f>IFERROR((VLOOKUP(Calculations[[#This Row],[Waste type 2]],WasteDisposalEmissions[#All],3,FALSE))*Calculations[[#This Row],[Total Kg]]*VLOOKUP(Calculations[[#This Row],[Waste 1]],WasteScenario[#All],3,FALSE),0)</f>
        <v>0</v>
      </c>
      <c r="AB1115" s="322">
        <f>SUM(Calculations[[#This Row],[C3 recyc]:[C3 incin]])</f>
        <v>0</v>
      </c>
      <c r="AC1115" s="334">
        <f>IFERROR((VLOOKUP(Calculations[[#This Row],[Waste type 2]],WasteLandfillEmissions[#All],2,FALSE))*Calculations[[#This Row],[Total Kg]]*VLOOKUP(Calculations[[#This Row],[Waste 1]],WasteScenario[#All],4,FALSE),0)</f>
        <v>0</v>
      </c>
      <c r="AD1115" s="322">
        <f>IFERROR((VLOOKUP(Calculations[[#This Row],[Waste type 2]],WasteLandfillEmissions[#All],3,FALSE))*Calculations[[#This Row],[Total Kg]]*VLOOKUP(Calculations[[#This Row],[Waste 1]],WasteScenario[#All],4,FALSE),0)</f>
        <v>0</v>
      </c>
      <c r="AE1115" s="322">
        <f>SUM(Calculations[[#This Row],[C4 landfill]:[C4 re-use]])</f>
        <v>0</v>
      </c>
      <c r="AF1115" s="322">
        <f>IFERROR(VLOOKUP(Calculations[[#This Row],[Material (choose from dropdown]],MaterialData[#All],8,FALSE),0)</f>
        <v>0</v>
      </c>
      <c r="AG1115" s="322">
        <f>IFERROR(Calculations[[#This Row],[Total Kg]]*Calculations[[#This Row],[Seq factor]],0)</f>
        <v>0</v>
      </c>
      <c r="AI1115" s="322">
        <f>Calculations[[#This Row],[A1-3]]+Calculations[[#This Row],[A4]]+Calculations[[#This Row],[A5]]+Calculations[[#This Row],[B4]]+Calculations[[#This Row],[C2 total]]+Calculations[[#This Row],[C3 total]]+Calculations[[#This Row],[C4 total]]</f>
        <v>0</v>
      </c>
      <c r="AJ1115" s="2">
        <f>IFERROR(VLOOKUP(Calculations[[#This Row],[Material (choose from dropdown]],MaterialData[[#Headers],[#Data]],9,FALSE),0)</f>
        <v>0</v>
      </c>
      <c r="AK1115" s="4">
        <f>IFERROR(VLOOKUP(Calculations[[#This Row],[Material (choose from dropdown]],MaterialData[[#Headers],[#Data]],10,FALSE),0)</f>
        <v>0</v>
      </c>
      <c r="AL1115" s="322">
        <f>IFERROR(Calculations[[#This Row],[Data Quality Score]]*Calculations[[#This Row],[Total Kg]],0)</f>
        <v>0</v>
      </c>
    </row>
    <row r="1116" spans="1:38" x14ac:dyDescent="0.3">
      <c r="A1116" s="6">
        <f>IFERROR(MaterialsBoQ[[#This Row],[Scope Element]],0)</f>
        <v>0</v>
      </c>
      <c r="B1116" t="str">
        <f>IFERROR(MaterialsBoQ[[#This Row],[Material ]],"")</f>
        <v/>
      </c>
      <c r="C1116" t="str">
        <f>IFERROR(MaterialsBoQ[[#This Row],[Unit]],"")</f>
        <v/>
      </c>
      <c r="D1116" s="322">
        <f>IFERROR(MaterialsBoQ[[#This Row],[Number]],0)</f>
        <v>0</v>
      </c>
      <c r="E1116" s="322">
        <f>IFERROR(MaterialsBoQ[[#This Row],[Kg per unit]],0)</f>
        <v>0</v>
      </c>
      <c r="F1116" s="322">
        <f>IFERROR(Calculations[[#This Row],[Number]]*Calculations[[#This Row],[Conversion factor]],0)</f>
        <v>0</v>
      </c>
      <c r="G1116" s="322">
        <f>IFERROR(VLOOKUP(Calculations[[#This Row],[Material (choose from dropdown]],MaterialData[#All],7,FALSE),0)</f>
        <v>0</v>
      </c>
      <c r="H1116" s="322">
        <f>Calculations[[#This Row],[Total Kg]]*Calculations[[#This Row],[Carbon Factor]]</f>
        <v>0</v>
      </c>
      <c r="I1116" t="str">
        <f>IFERROR(VLOOKUP(Calculations[[#This Row],[Material (choose from dropdown]],MaterialData[#All],2,FALSE),"")</f>
        <v/>
      </c>
      <c r="J1116" s="322">
        <f>IFERROR(((VLOOKUP(Calculations[[#This Row],[TransportSource]],TransportDistance[],2,FALSE)*'Stage assumptions'!$C$11)+VLOOKUP(Calculations[[#This Row],[TransportSource]],TransportDistance[],3,FALSE)*'Stage assumptions'!$C$12)*Calculations[[#This Row],[Total Kg]],0)</f>
        <v>0</v>
      </c>
      <c r="K1116">
        <f>IFERROR(VLOOKUP(Calculations[[#This Row],[Material (choose from dropdown]], MaterialData[#All],3, FALSE),0)</f>
        <v>0</v>
      </c>
      <c r="L1116" s="322">
        <f>IFERROR(VLOOKUP(Calculations[[#This Row],[A5type]],A5WastageRate[#All],2,FALSE)*Calculations[[#This Row],[A1-3]],0)</f>
        <v>0</v>
      </c>
      <c r="N1116">
        <f>IFERROR(ROUNDUP(50/VLOOKUP(Calculations[[#This Row],[Scope Element]],B4referenceServiceLife[[Tier 2 element]:[Default Service Life]],2, FALSE)-1,0),0)</f>
        <v>0</v>
      </c>
      <c r="O1116" s="322">
        <f>IFERROR((Calculations[[#This Row],[A1-3]]+Calculations[[#This Row],[A4]]+Calculations[[#This Row],[A5]]+Calculations[[#This Row],[C2 total]]+Calculations[[#This Row],[C3 total]]+Calculations[[#This Row],[C4 total]])*Calculations[[#This Row],[Replacements]],0)</f>
        <v>0</v>
      </c>
      <c r="S1116" t="str">
        <f>IFERROR(VLOOKUP(Calculations[[#This Row],[Material (choose from dropdown]],MaterialData[#All],4,FALSE),"")</f>
        <v/>
      </c>
      <c r="T1116" s="322" cm="1">
        <f t="array" ref="T1116">IFERROR(VLOOKUP(Calculations[[#This Row],[Waste 1]],WasteScenario[#All],2,FALSE)*'Stage assumptions'!$C$225*WasteTransportMethod[Emissions Factor
kgCO2e/kg.km]*Calculations[[#This Row],[Total Kg]],0)</f>
        <v>0</v>
      </c>
      <c r="U1116" s="322" cm="1">
        <f t="array" ref="U1116">IFERROR(VLOOKUP(Calculations[[#This Row],[Waste 1]],WasteScenario[#All],3,FALSE)*'Stage assumptions'!$C$224*WasteTransportMethod[Emissions Factor
kgCO2e/kg.km]*Calculations[[#This Row],[Total Kg]],0)</f>
        <v>0</v>
      </c>
      <c r="V1116" s="322" cm="1">
        <f t="array" ref="V1116">IFERROR(VLOOKUP(Calculations[[#This Row],[Waste 1]],WasteScenario[#All],4,FALSE)*'Stage assumptions'!$C$223*WasteTransportMethod[Emissions Factor
kgCO2e/kg.km]*Calculations[[#This Row],[Total Kg]],0)</f>
        <v>0</v>
      </c>
      <c r="W1116" s="322" cm="1">
        <f t="array" ref="W1116">IFERROR(VLOOKUP(Calculations[[#This Row],[Waste 1]],WasteScenario[#All],5,FALSE)*'Stage assumptions'!$C$226*WasteTransportMethod[Emissions Factor
kgCO2e/kg.km]*Calculations[[#This Row],[Total Kg]],0)</f>
        <v>0</v>
      </c>
      <c r="X1116" s="322">
        <f>SUM(Calculations[[#This Row],[C2 Recycle]:[C2 Reuse]])</f>
        <v>0</v>
      </c>
      <c r="Y1116" t="str">
        <f>IFERROR(VLOOKUP(Calculations[[#This Row],[Material (choose from dropdown]],MaterialData[#All],5,FALSE),"")</f>
        <v/>
      </c>
      <c r="Z1116" s="322">
        <f>IFERROR(((VLOOKUP(Calculations[[#This Row],[Waste type 2]],WasteDisposalEmissions[#All],2,FALSE))*Calculations[[#This Row],[Total Kg]])*VLOOKUP(Calculations[[#This Row],[Waste 1]],WasteScenario[#All],2,FALSE),0)</f>
        <v>0</v>
      </c>
      <c r="AA1116" s="322">
        <f>IFERROR((VLOOKUP(Calculations[[#This Row],[Waste type 2]],WasteDisposalEmissions[#All],3,FALSE))*Calculations[[#This Row],[Total Kg]]*VLOOKUP(Calculations[[#This Row],[Waste 1]],WasteScenario[#All],3,FALSE),0)</f>
        <v>0</v>
      </c>
      <c r="AB1116" s="322">
        <f>SUM(Calculations[[#This Row],[C3 recyc]:[C3 incin]])</f>
        <v>0</v>
      </c>
      <c r="AC1116" s="334">
        <f>IFERROR((VLOOKUP(Calculations[[#This Row],[Waste type 2]],WasteLandfillEmissions[#All],2,FALSE))*Calculations[[#This Row],[Total Kg]]*VLOOKUP(Calculations[[#This Row],[Waste 1]],WasteScenario[#All],4,FALSE),0)</f>
        <v>0</v>
      </c>
      <c r="AD1116" s="322">
        <f>IFERROR((VLOOKUP(Calculations[[#This Row],[Waste type 2]],WasteLandfillEmissions[#All],3,FALSE))*Calculations[[#This Row],[Total Kg]]*VLOOKUP(Calculations[[#This Row],[Waste 1]],WasteScenario[#All],4,FALSE),0)</f>
        <v>0</v>
      </c>
      <c r="AE1116" s="322">
        <f>SUM(Calculations[[#This Row],[C4 landfill]:[C4 re-use]])</f>
        <v>0</v>
      </c>
      <c r="AF1116" s="322">
        <f>IFERROR(VLOOKUP(Calculations[[#This Row],[Material (choose from dropdown]],MaterialData[#All],8,FALSE),0)</f>
        <v>0</v>
      </c>
      <c r="AG1116" s="322">
        <f>IFERROR(Calculations[[#This Row],[Total Kg]]*Calculations[[#This Row],[Seq factor]],0)</f>
        <v>0</v>
      </c>
      <c r="AI1116" s="322">
        <f>Calculations[[#This Row],[A1-3]]+Calculations[[#This Row],[A4]]+Calculations[[#This Row],[A5]]+Calculations[[#This Row],[B4]]+Calculations[[#This Row],[C2 total]]+Calculations[[#This Row],[C3 total]]+Calculations[[#This Row],[C4 total]]</f>
        <v>0</v>
      </c>
      <c r="AJ1116" s="2">
        <f>IFERROR(VLOOKUP(Calculations[[#This Row],[Material (choose from dropdown]],MaterialData[[#Headers],[#Data]],9,FALSE),0)</f>
        <v>0</v>
      </c>
      <c r="AK1116" s="4">
        <f>IFERROR(VLOOKUP(Calculations[[#This Row],[Material (choose from dropdown]],MaterialData[[#Headers],[#Data]],10,FALSE),0)</f>
        <v>0</v>
      </c>
      <c r="AL1116" s="322">
        <f>IFERROR(Calculations[[#This Row],[Data Quality Score]]*Calculations[[#This Row],[Total Kg]],0)</f>
        <v>0</v>
      </c>
    </row>
    <row r="1117" spans="1:38" x14ac:dyDescent="0.3">
      <c r="A1117" s="6">
        <f>IFERROR(MaterialsBoQ[[#This Row],[Scope Element]],0)</f>
        <v>0</v>
      </c>
      <c r="B1117" t="str">
        <f>IFERROR(MaterialsBoQ[[#This Row],[Material ]],"")</f>
        <v/>
      </c>
      <c r="C1117" t="str">
        <f>IFERROR(MaterialsBoQ[[#This Row],[Unit]],"")</f>
        <v/>
      </c>
      <c r="D1117" s="322">
        <f>IFERROR(MaterialsBoQ[[#This Row],[Number]],0)</f>
        <v>0</v>
      </c>
      <c r="E1117" s="322">
        <f>IFERROR(MaterialsBoQ[[#This Row],[Kg per unit]],0)</f>
        <v>0</v>
      </c>
      <c r="F1117" s="322">
        <f>IFERROR(Calculations[[#This Row],[Number]]*Calculations[[#This Row],[Conversion factor]],0)</f>
        <v>0</v>
      </c>
      <c r="G1117" s="322">
        <f>IFERROR(VLOOKUP(Calculations[[#This Row],[Material (choose from dropdown]],MaterialData[#All],7,FALSE),0)</f>
        <v>0</v>
      </c>
      <c r="H1117" s="322">
        <f>Calculations[[#This Row],[Total Kg]]*Calculations[[#This Row],[Carbon Factor]]</f>
        <v>0</v>
      </c>
      <c r="I1117" t="str">
        <f>IFERROR(VLOOKUP(Calculations[[#This Row],[Material (choose from dropdown]],MaterialData[#All],2,FALSE),"")</f>
        <v/>
      </c>
      <c r="J1117" s="322">
        <f>IFERROR(((VLOOKUP(Calculations[[#This Row],[TransportSource]],TransportDistance[],2,FALSE)*'Stage assumptions'!$C$11)+VLOOKUP(Calculations[[#This Row],[TransportSource]],TransportDistance[],3,FALSE)*'Stage assumptions'!$C$12)*Calculations[[#This Row],[Total Kg]],0)</f>
        <v>0</v>
      </c>
      <c r="K1117">
        <f>IFERROR(VLOOKUP(Calculations[[#This Row],[Material (choose from dropdown]], MaterialData[#All],3, FALSE),0)</f>
        <v>0</v>
      </c>
      <c r="L1117" s="322">
        <f>IFERROR(VLOOKUP(Calculations[[#This Row],[A5type]],A5WastageRate[#All],2,FALSE)*Calculations[[#This Row],[A1-3]],0)</f>
        <v>0</v>
      </c>
      <c r="N1117">
        <f>IFERROR(ROUNDUP(50/VLOOKUP(Calculations[[#This Row],[Scope Element]],B4referenceServiceLife[[Tier 2 element]:[Default Service Life]],2, FALSE)-1,0),0)</f>
        <v>0</v>
      </c>
      <c r="O1117" s="322">
        <f>IFERROR((Calculations[[#This Row],[A1-3]]+Calculations[[#This Row],[A4]]+Calculations[[#This Row],[A5]]+Calculations[[#This Row],[C2 total]]+Calculations[[#This Row],[C3 total]]+Calculations[[#This Row],[C4 total]])*Calculations[[#This Row],[Replacements]],0)</f>
        <v>0</v>
      </c>
      <c r="S1117" t="str">
        <f>IFERROR(VLOOKUP(Calculations[[#This Row],[Material (choose from dropdown]],MaterialData[#All],4,FALSE),"")</f>
        <v/>
      </c>
      <c r="T1117" s="322" cm="1">
        <f t="array" ref="T1117">IFERROR(VLOOKUP(Calculations[[#This Row],[Waste 1]],WasteScenario[#All],2,FALSE)*'Stage assumptions'!$C$225*WasteTransportMethod[Emissions Factor
kgCO2e/kg.km]*Calculations[[#This Row],[Total Kg]],0)</f>
        <v>0</v>
      </c>
      <c r="U1117" s="322" cm="1">
        <f t="array" ref="U1117">IFERROR(VLOOKUP(Calculations[[#This Row],[Waste 1]],WasteScenario[#All],3,FALSE)*'Stage assumptions'!$C$224*WasteTransportMethod[Emissions Factor
kgCO2e/kg.km]*Calculations[[#This Row],[Total Kg]],0)</f>
        <v>0</v>
      </c>
      <c r="V1117" s="322" cm="1">
        <f t="array" ref="V1117">IFERROR(VLOOKUP(Calculations[[#This Row],[Waste 1]],WasteScenario[#All],4,FALSE)*'Stage assumptions'!$C$223*WasteTransportMethod[Emissions Factor
kgCO2e/kg.km]*Calculations[[#This Row],[Total Kg]],0)</f>
        <v>0</v>
      </c>
      <c r="W1117" s="322" cm="1">
        <f t="array" ref="W1117">IFERROR(VLOOKUP(Calculations[[#This Row],[Waste 1]],WasteScenario[#All],5,FALSE)*'Stage assumptions'!$C$226*WasteTransportMethod[Emissions Factor
kgCO2e/kg.km]*Calculations[[#This Row],[Total Kg]],0)</f>
        <v>0</v>
      </c>
      <c r="X1117" s="322">
        <f>SUM(Calculations[[#This Row],[C2 Recycle]:[C2 Reuse]])</f>
        <v>0</v>
      </c>
      <c r="Y1117" t="str">
        <f>IFERROR(VLOOKUP(Calculations[[#This Row],[Material (choose from dropdown]],MaterialData[#All],5,FALSE),"")</f>
        <v/>
      </c>
      <c r="Z1117" s="322">
        <f>IFERROR(((VLOOKUP(Calculations[[#This Row],[Waste type 2]],WasteDisposalEmissions[#All],2,FALSE))*Calculations[[#This Row],[Total Kg]])*VLOOKUP(Calculations[[#This Row],[Waste 1]],WasteScenario[#All],2,FALSE),0)</f>
        <v>0</v>
      </c>
      <c r="AA1117" s="322">
        <f>IFERROR((VLOOKUP(Calculations[[#This Row],[Waste type 2]],WasteDisposalEmissions[#All],3,FALSE))*Calculations[[#This Row],[Total Kg]]*VLOOKUP(Calculations[[#This Row],[Waste 1]],WasteScenario[#All],3,FALSE),0)</f>
        <v>0</v>
      </c>
      <c r="AB1117" s="322">
        <f>SUM(Calculations[[#This Row],[C3 recyc]:[C3 incin]])</f>
        <v>0</v>
      </c>
      <c r="AC1117" s="334">
        <f>IFERROR((VLOOKUP(Calculations[[#This Row],[Waste type 2]],WasteLandfillEmissions[#All],2,FALSE))*Calculations[[#This Row],[Total Kg]]*VLOOKUP(Calculations[[#This Row],[Waste 1]],WasteScenario[#All],4,FALSE),0)</f>
        <v>0</v>
      </c>
      <c r="AD1117" s="322">
        <f>IFERROR((VLOOKUP(Calculations[[#This Row],[Waste type 2]],WasteLandfillEmissions[#All],3,FALSE))*Calculations[[#This Row],[Total Kg]]*VLOOKUP(Calculations[[#This Row],[Waste 1]],WasteScenario[#All],4,FALSE),0)</f>
        <v>0</v>
      </c>
      <c r="AE1117" s="322">
        <f>SUM(Calculations[[#This Row],[C4 landfill]:[C4 re-use]])</f>
        <v>0</v>
      </c>
      <c r="AF1117" s="322">
        <f>IFERROR(VLOOKUP(Calculations[[#This Row],[Material (choose from dropdown]],MaterialData[#All],8,FALSE),0)</f>
        <v>0</v>
      </c>
      <c r="AG1117" s="322">
        <f>IFERROR(Calculations[[#This Row],[Total Kg]]*Calculations[[#This Row],[Seq factor]],0)</f>
        <v>0</v>
      </c>
      <c r="AI1117" s="322">
        <f>Calculations[[#This Row],[A1-3]]+Calculations[[#This Row],[A4]]+Calculations[[#This Row],[A5]]+Calculations[[#This Row],[B4]]+Calculations[[#This Row],[C2 total]]+Calculations[[#This Row],[C3 total]]+Calculations[[#This Row],[C4 total]]</f>
        <v>0</v>
      </c>
      <c r="AJ1117" s="2">
        <f>IFERROR(VLOOKUP(Calculations[[#This Row],[Material (choose from dropdown]],MaterialData[[#Headers],[#Data]],9,FALSE),0)</f>
        <v>0</v>
      </c>
      <c r="AK1117" s="4">
        <f>IFERROR(VLOOKUP(Calculations[[#This Row],[Material (choose from dropdown]],MaterialData[[#Headers],[#Data]],10,FALSE),0)</f>
        <v>0</v>
      </c>
      <c r="AL1117" s="322">
        <f>IFERROR(Calculations[[#This Row],[Data Quality Score]]*Calculations[[#This Row],[Total Kg]],0)</f>
        <v>0</v>
      </c>
    </row>
    <row r="1118" spans="1:38" x14ac:dyDescent="0.3">
      <c r="A1118" s="6">
        <f>IFERROR(MaterialsBoQ[[#This Row],[Scope Element]],0)</f>
        <v>0</v>
      </c>
      <c r="B1118" t="str">
        <f>IFERROR(MaterialsBoQ[[#This Row],[Material ]],"")</f>
        <v/>
      </c>
      <c r="C1118" t="str">
        <f>IFERROR(MaterialsBoQ[[#This Row],[Unit]],"")</f>
        <v/>
      </c>
      <c r="D1118" s="322">
        <f>IFERROR(MaterialsBoQ[[#This Row],[Number]],0)</f>
        <v>0</v>
      </c>
      <c r="E1118" s="322">
        <f>IFERROR(MaterialsBoQ[[#This Row],[Kg per unit]],0)</f>
        <v>0</v>
      </c>
      <c r="F1118" s="322">
        <f>IFERROR(Calculations[[#This Row],[Number]]*Calculations[[#This Row],[Conversion factor]],0)</f>
        <v>0</v>
      </c>
      <c r="G1118" s="322">
        <f>IFERROR(VLOOKUP(Calculations[[#This Row],[Material (choose from dropdown]],MaterialData[#All],7,FALSE),0)</f>
        <v>0</v>
      </c>
      <c r="H1118" s="322">
        <f>Calculations[[#This Row],[Total Kg]]*Calculations[[#This Row],[Carbon Factor]]</f>
        <v>0</v>
      </c>
      <c r="I1118" t="str">
        <f>IFERROR(VLOOKUP(Calculations[[#This Row],[Material (choose from dropdown]],MaterialData[#All],2,FALSE),"")</f>
        <v/>
      </c>
      <c r="J1118" s="322">
        <f>IFERROR(((VLOOKUP(Calculations[[#This Row],[TransportSource]],TransportDistance[],2,FALSE)*'Stage assumptions'!$C$11)+VLOOKUP(Calculations[[#This Row],[TransportSource]],TransportDistance[],3,FALSE)*'Stage assumptions'!$C$12)*Calculations[[#This Row],[Total Kg]],0)</f>
        <v>0</v>
      </c>
      <c r="K1118">
        <f>IFERROR(VLOOKUP(Calculations[[#This Row],[Material (choose from dropdown]], MaterialData[#All],3, FALSE),0)</f>
        <v>0</v>
      </c>
      <c r="L1118" s="322">
        <f>IFERROR(VLOOKUP(Calculations[[#This Row],[A5type]],A5WastageRate[#All],2,FALSE)*Calculations[[#This Row],[A1-3]],0)</f>
        <v>0</v>
      </c>
      <c r="N1118">
        <f>IFERROR(ROUNDUP(50/VLOOKUP(Calculations[[#This Row],[Scope Element]],B4referenceServiceLife[[Tier 2 element]:[Default Service Life]],2, FALSE)-1,0),0)</f>
        <v>0</v>
      </c>
      <c r="O1118" s="322">
        <f>IFERROR((Calculations[[#This Row],[A1-3]]+Calculations[[#This Row],[A4]]+Calculations[[#This Row],[A5]]+Calculations[[#This Row],[C2 total]]+Calculations[[#This Row],[C3 total]]+Calculations[[#This Row],[C4 total]])*Calculations[[#This Row],[Replacements]],0)</f>
        <v>0</v>
      </c>
      <c r="S1118" t="str">
        <f>IFERROR(VLOOKUP(Calculations[[#This Row],[Material (choose from dropdown]],MaterialData[#All],4,FALSE),"")</f>
        <v/>
      </c>
      <c r="T1118" s="322" cm="1">
        <f t="array" ref="T1118">IFERROR(VLOOKUP(Calculations[[#This Row],[Waste 1]],WasteScenario[#All],2,FALSE)*'Stage assumptions'!$C$225*WasteTransportMethod[Emissions Factor
kgCO2e/kg.km]*Calculations[[#This Row],[Total Kg]],0)</f>
        <v>0</v>
      </c>
      <c r="U1118" s="322" cm="1">
        <f t="array" ref="U1118">IFERROR(VLOOKUP(Calculations[[#This Row],[Waste 1]],WasteScenario[#All],3,FALSE)*'Stage assumptions'!$C$224*WasteTransportMethod[Emissions Factor
kgCO2e/kg.km]*Calculations[[#This Row],[Total Kg]],0)</f>
        <v>0</v>
      </c>
      <c r="V1118" s="322" cm="1">
        <f t="array" ref="V1118">IFERROR(VLOOKUP(Calculations[[#This Row],[Waste 1]],WasteScenario[#All],4,FALSE)*'Stage assumptions'!$C$223*WasteTransportMethod[Emissions Factor
kgCO2e/kg.km]*Calculations[[#This Row],[Total Kg]],0)</f>
        <v>0</v>
      </c>
      <c r="W1118" s="322" cm="1">
        <f t="array" ref="W1118">IFERROR(VLOOKUP(Calculations[[#This Row],[Waste 1]],WasteScenario[#All],5,FALSE)*'Stage assumptions'!$C$226*WasteTransportMethod[Emissions Factor
kgCO2e/kg.km]*Calculations[[#This Row],[Total Kg]],0)</f>
        <v>0</v>
      </c>
      <c r="X1118" s="322">
        <f>SUM(Calculations[[#This Row],[C2 Recycle]:[C2 Reuse]])</f>
        <v>0</v>
      </c>
      <c r="Y1118" t="str">
        <f>IFERROR(VLOOKUP(Calculations[[#This Row],[Material (choose from dropdown]],MaterialData[#All],5,FALSE),"")</f>
        <v/>
      </c>
      <c r="Z1118" s="322">
        <f>IFERROR(((VLOOKUP(Calculations[[#This Row],[Waste type 2]],WasteDisposalEmissions[#All],2,FALSE))*Calculations[[#This Row],[Total Kg]])*VLOOKUP(Calculations[[#This Row],[Waste 1]],WasteScenario[#All],2,FALSE),0)</f>
        <v>0</v>
      </c>
      <c r="AA1118" s="322">
        <f>IFERROR((VLOOKUP(Calculations[[#This Row],[Waste type 2]],WasteDisposalEmissions[#All],3,FALSE))*Calculations[[#This Row],[Total Kg]]*VLOOKUP(Calculations[[#This Row],[Waste 1]],WasteScenario[#All],3,FALSE),0)</f>
        <v>0</v>
      </c>
      <c r="AB1118" s="322">
        <f>SUM(Calculations[[#This Row],[C3 recyc]:[C3 incin]])</f>
        <v>0</v>
      </c>
      <c r="AC1118" s="334">
        <f>IFERROR((VLOOKUP(Calculations[[#This Row],[Waste type 2]],WasteLandfillEmissions[#All],2,FALSE))*Calculations[[#This Row],[Total Kg]]*VLOOKUP(Calculations[[#This Row],[Waste 1]],WasteScenario[#All],4,FALSE),0)</f>
        <v>0</v>
      </c>
      <c r="AD1118" s="322">
        <f>IFERROR((VLOOKUP(Calculations[[#This Row],[Waste type 2]],WasteLandfillEmissions[#All],3,FALSE))*Calculations[[#This Row],[Total Kg]]*VLOOKUP(Calculations[[#This Row],[Waste 1]],WasteScenario[#All],4,FALSE),0)</f>
        <v>0</v>
      </c>
      <c r="AE1118" s="322">
        <f>SUM(Calculations[[#This Row],[C4 landfill]:[C4 re-use]])</f>
        <v>0</v>
      </c>
      <c r="AF1118" s="322">
        <f>IFERROR(VLOOKUP(Calculations[[#This Row],[Material (choose from dropdown]],MaterialData[#All],8,FALSE),0)</f>
        <v>0</v>
      </c>
      <c r="AG1118" s="322">
        <f>IFERROR(Calculations[[#This Row],[Total Kg]]*Calculations[[#This Row],[Seq factor]],0)</f>
        <v>0</v>
      </c>
      <c r="AI1118" s="322">
        <f>Calculations[[#This Row],[A1-3]]+Calculations[[#This Row],[A4]]+Calculations[[#This Row],[A5]]+Calculations[[#This Row],[B4]]+Calculations[[#This Row],[C2 total]]+Calculations[[#This Row],[C3 total]]+Calculations[[#This Row],[C4 total]]</f>
        <v>0</v>
      </c>
      <c r="AJ1118" s="2">
        <f>IFERROR(VLOOKUP(Calculations[[#This Row],[Material (choose from dropdown]],MaterialData[[#Headers],[#Data]],9,FALSE),0)</f>
        <v>0</v>
      </c>
      <c r="AK1118" s="4">
        <f>IFERROR(VLOOKUP(Calculations[[#This Row],[Material (choose from dropdown]],MaterialData[[#Headers],[#Data]],10,FALSE),0)</f>
        <v>0</v>
      </c>
      <c r="AL1118" s="322">
        <f>IFERROR(Calculations[[#This Row],[Data Quality Score]]*Calculations[[#This Row],[Total Kg]],0)</f>
        <v>0</v>
      </c>
    </row>
    <row r="1119" spans="1:38" x14ac:dyDescent="0.3">
      <c r="A1119" s="6">
        <f>IFERROR(MaterialsBoQ[[#This Row],[Scope Element]],0)</f>
        <v>0</v>
      </c>
      <c r="B1119" t="str">
        <f>IFERROR(MaterialsBoQ[[#This Row],[Material ]],"")</f>
        <v/>
      </c>
      <c r="C1119" t="str">
        <f>IFERROR(MaterialsBoQ[[#This Row],[Unit]],"")</f>
        <v/>
      </c>
      <c r="D1119" s="322">
        <f>IFERROR(MaterialsBoQ[[#This Row],[Number]],0)</f>
        <v>0</v>
      </c>
      <c r="E1119" s="322">
        <f>IFERROR(MaterialsBoQ[[#This Row],[Kg per unit]],0)</f>
        <v>0</v>
      </c>
      <c r="F1119" s="322">
        <f>IFERROR(Calculations[[#This Row],[Number]]*Calculations[[#This Row],[Conversion factor]],0)</f>
        <v>0</v>
      </c>
      <c r="G1119" s="322">
        <f>IFERROR(VLOOKUP(Calculations[[#This Row],[Material (choose from dropdown]],MaterialData[#All],7,FALSE),0)</f>
        <v>0</v>
      </c>
      <c r="H1119" s="322">
        <f>Calculations[[#This Row],[Total Kg]]*Calculations[[#This Row],[Carbon Factor]]</f>
        <v>0</v>
      </c>
      <c r="I1119" t="str">
        <f>IFERROR(VLOOKUP(Calculations[[#This Row],[Material (choose from dropdown]],MaterialData[#All],2,FALSE),"")</f>
        <v/>
      </c>
      <c r="J1119" s="322">
        <f>IFERROR(((VLOOKUP(Calculations[[#This Row],[TransportSource]],TransportDistance[],2,FALSE)*'Stage assumptions'!$C$11)+VLOOKUP(Calculations[[#This Row],[TransportSource]],TransportDistance[],3,FALSE)*'Stage assumptions'!$C$12)*Calculations[[#This Row],[Total Kg]],0)</f>
        <v>0</v>
      </c>
      <c r="K1119">
        <f>IFERROR(VLOOKUP(Calculations[[#This Row],[Material (choose from dropdown]], MaterialData[#All],3, FALSE),0)</f>
        <v>0</v>
      </c>
      <c r="L1119" s="322">
        <f>IFERROR(VLOOKUP(Calculations[[#This Row],[A5type]],A5WastageRate[#All],2,FALSE)*Calculations[[#This Row],[A1-3]],0)</f>
        <v>0</v>
      </c>
      <c r="N1119">
        <f>IFERROR(ROUNDUP(50/VLOOKUP(Calculations[[#This Row],[Scope Element]],B4referenceServiceLife[[Tier 2 element]:[Default Service Life]],2, FALSE)-1,0),0)</f>
        <v>0</v>
      </c>
      <c r="O1119" s="322">
        <f>IFERROR((Calculations[[#This Row],[A1-3]]+Calculations[[#This Row],[A4]]+Calculations[[#This Row],[A5]]+Calculations[[#This Row],[C2 total]]+Calculations[[#This Row],[C3 total]]+Calculations[[#This Row],[C4 total]])*Calculations[[#This Row],[Replacements]],0)</f>
        <v>0</v>
      </c>
      <c r="S1119" t="str">
        <f>IFERROR(VLOOKUP(Calculations[[#This Row],[Material (choose from dropdown]],MaterialData[#All],4,FALSE),"")</f>
        <v/>
      </c>
      <c r="T1119" s="322" cm="1">
        <f t="array" ref="T1119">IFERROR(VLOOKUP(Calculations[[#This Row],[Waste 1]],WasteScenario[#All],2,FALSE)*'Stage assumptions'!$C$225*WasteTransportMethod[Emissions Factor
kgCO2e/kg.km]*Calculations[[#This Row],[Total Kg]],0)</f>
        <v>0</v>
      </c>
      <c r="U1119" s="322" cm="1">
        <f t="array" ref="U1119">IFERROR(VLOOKUP(Calculations[[#This Row],[Waste 1]],WasteScenario[#All],3,FALSE)*'Stage assumptions'!$C$224*WasteTransportMethod[Emissions Factor
kgCO2e/kg.km]*Calculations[[#This Row],[Total Kg]],0)</f>
        <v>0</v>
      </c>
      <c r="V1119" s="322" cm="1">
        <f t="array" ref="V1119">IFERROR(VLOOKUP(Calculations[[#This Row],[Waste 1]],WasteScenario[#All],4,FALSE)*'Stage assumptions'!$C$223*WasteTransportMethod[Emissions Factor
kgCO2e/kg.km]*Calculations[[#This Row],[Total Kg]],0)</f>
        <v>0</v>
      </c>
      <c r="W1119" s="322" cm="1">
        <f t="array" ref="W1119">IFERROR(VLOOKUP(Calculations[[#This Row],[Waste 1]],WasteScenario[#All],5,FALSE)*'Stage assumptions'!$C$226*WasteTransportMethod[Emissions Factor
kgCO2e/kg.km]*Calculations[[#This Row],[Total Kg]],0)</f>
        <v>0</v>
      </c>
      <c r="X1119" s="322">
        <f>SUM(Calculations[[#This Row],[C2 Recycle]:[C2 Reuse]])</f>
        <v>0</v>
      </c>
      <c r="Y1119" t="str">
        <f>IFERROR(VLOOKUP(Calculations[[#This Row],[Material (choose from dropdown]],MaterialData[#All],5,FALSE),"")</f>
        <v/>
      </c>
      <c r="Z1119" s="322">
        <f>IFERROR(((VLOOKUP(Calculations[[#This Row],[Waste type 2]],WasteDisposalEmissions[#All],2,FALSE))*Calculations[[#This Row],[Total Kg]])*VLOOKUP(Calculations[[#This Row],[Waste 1]],WasteScenario[#All],2,FALSE),0)</f>
        <v>0</v>
      </c>
      <c r="AA1119" s="322">
        <f>IFERROR((VLOOKUP(Calculations[[#This Row],[Waste type 2]],WasteDisposalEmissions[#All],3,FALSE))*Calculations[[#This Row],[Total Kg]]*VLOOKUP(Calculations[[#This Row],[Waste 1]],WasteScenario[#All],3,FALSE),0)</f>
        <v>0</v>
      </c>
      <c r="AB1119" s="322">
        <f>SUM(Calculations[[#This Row],[C3 recyc]:[C3 incin]])</f>
        <v>0</v>
      </c>
      <c r="AC1119" s="334">
        <f>IFERROR((VLOOKUP(Calculations[[#This Row],[Waste type 2]],WasteLandfillEmissions[#All],2,FALSE))*Calculations[[#This Row],[Total Kg]]*VLOOKUP(Calculations[[#This Row],[Waste 1]],WasteScenario[#All],4,FALSE),0)</f>
        <v>0</v>
      </c>
      <c r="AD1119" s="322">
        <f>IFERROR((VLOOKUP(Calculations[[#This Row],[Waste type 2]],WasteLandfillEmissions[#All],3,FALSE))*Calculations[[#This Row],[Total Kg]]*VLOOKUP(Calculations[[#This Row],[Waste 1]],WasteScenario[#All],4,FALSE),0)</f>
        <v>0</v>
      </c>
      <c r="AE1119" s="322">
        <f>SUM(Calculations[[#This Row],[C4 landfill]:[C4 re-use]])</f>
        <v>0</v>
      </c>
      <c r="AF1119" s="322">
        <f>IFERROR(VLOOKUP(Calculations[[#This Row],[Material (choose from dropdown]],MaterialData[#All],8,FALSE),0)</f>
        <v>0</v>
      </c>
      <c r="AG1119" s="322">
        <f>IFERROR(Calculations[[#This Row],[Total Kg]]*Calculations[[#This Row],[Seq factor]],0)</f>
        <v>0</v>
      </c>
      <c r="AI1119" s="322">
        <f>Calculations[[#This Row],[A1-3]]+Calculations[[#This Row],[A4]]+Calculations[[#This Row],[A5]]+Calculations[[#This Row],[B4]]+Calculations[[#This Row],[C2 total]]+Calculations[[#This Row],[C3 total]]+Calculations[[#This Row],[C4 total]]</f>
        <v>0</v>
      </c>
      <c r="AJ1119" s="2">
        <f>IFERROR(VLOOKUP(Calculations[[#This Row],[Material (choose from dropdown]],MaterialData[[#Headers],[#Data]],9,FALSE),0)</f>
        <v>0</v>
      </c>
      <c r="AK1119" s="4">
        <f>IFERROR(VLOOKUP(Calculations[[#This Row],[Material (choose from dropdown]],MaterialData[[#Headers],[#Data]],10,FALSE),0)</f>
        <v>0</v>
      </c>
      <c r="AL1119" s="322">
        <f>IFERROR(Calculations[[#This Row],[Data Quality Score]]*Calculations[[#This Row],[Total Kg]],0)</f>
        <v>0</v>
      </c>
    </row>
    <row r="1120" spans="1:38" x14ac:dyDescent="0.3">
      <c r="A1120" s="6">
        <f>IFERROR(MaterialsBoQ[[#This Row],[Scope Element]],0)</f>
        <v>0</v>
      </c>
      <c r="B1120" t="str">
        <f>IFERROR(MaterialsBoQ[[#This Row],[Material ]],"")</f>
        <v/>
      </c>
      <c r="C1120" t="str">
        <f>IFERROR(MaterialsBoQ[[#This Row],[Unit]],"")</f>
        <v/>
      </c>
      <c r="D1120" s="322">
        <f>IFERROR(MaterialsBoQ[[#This Row],[Number]],0)</f>
        <v>0</v>
      </c>
      <c r="E1120" s="322">
        <f>IFERROR(MaterialsBoQ[[#This Row],[Kg per unit]],0)</f>
        <v>0</v>
      </c>
      <c r="F1120" s="322">
        <f>IFERROR(Calculations[[#This Row],[Number]]*Calculations[[#This Row],[Conversion factor]],0)</f>
        <v>0</v>
      </c>
      <c r="G1120" s="322">
        <f>IFERROR(VLOOKUP(Calculations[[#This Row],[Material (choose from dropdown]],MaterialData[#All],7,FALSE),0)</f>
        <v>0</v>
      </c>
      <c r="H1120" s="322">
        <f>Calculations[[#This Row],[Total Kg]]*Calculations[[#This Row],[Carbon Factor]]</f>
        <v>0</v>
      </c>
      <c r="I1120" t="str">
        <f>IFERROR(VLOOKUP(Calculations[[#This Row],[Material (choose from dropdown]],MaterialData[#All],2,FALSE),"")</f>
        <v/>
      </c>
      <c r="J1120" s="322">
        <f>IFERROR(((VLOOKUP(Calculations[[#This Row],[TransportSource]],TransportDistance[],2,FALSE)*'Stage assumptions'!$C$11)+VLOOKUP(Calculations[[#This Row],[TransportSource]],TransportDistance[],3,FALSE)*'Stage assumptions'!$C$12)*Calculations[[#This Row],[Total Kg]],0)</f>
        <v>0</v>
      </c>
      <c r="K1120">
        <f>IFERROR(VLOOKUP(Calculations[[#This Row],[Material (choose from dropdown]], MaterialData[#All],3, FALSE),0)</f>
        <v>0</v>
      </c>
      <c r="L1120" s="322">
        <f>IFERROR(VLOOKUP(Calculations[[#This Row],[A5type]],A5WastageRate[#All],2,FALSE)*Calculations[[#This Row],[A1-3]],0)</f>
        <v>0</v>
      </c>
      <c r="N1120">
        <f>IFERROR(ROUNDUP(50/VLOOKUP(Calculations[[#This Row],[Scope Element]],B4referenceServiceLife[[Tier 2 element]:[Default Service Life]],2, FALSE)-1,0),0)</f>
        <v>0</v>
      </c>
      <c r="O1120" s="322">
        <f>IFERROR((Calculations[[#This Row],[A1-3]]+Calculations[[#This Row],[A4]]+Calculations[[#This Row],[A5]]+Calculations[[#This Row],[C2 total]]+Calculations[[#This Row],[C3 total]]+Calculations[[#This Row],[C4 total]])*Calculations[[#This Row],[Replacements]],0)</f>
        <v>0</v>
      </c>
      <c r="S1120" t="str">
        <f>IFERROR(VLOOKUP(Calculations[[#This Row],[Material (choose from dropdown]],MaterialData[#All],4,FALSE),"")</f>
        <v/>
      </c>
      <c r="T1120" s="322" cm="1">
        <f t="array" ref="T1120">IFERROR(VLOOKUP(Calculations[[#This Row],[Waste 1]],WasteScenario[#All],2,FALSE)*'Stage assumptions'!$C$225*WasteTransportMethod[Emissions Factor
kgCO2e/kg.km]*Calculations[[#This Row],[Total Kg]],0)</f>
        <v>0</v>
      </c>
      <c r="U1120" s="322" cm="1">
        <f t="array" ref="U1120">IFERROR(VLOOKUP(Calculations[[#This Row],[Waste 1]],WasteScenario[#All],3,FALSE)*'Stage assumptions'!$C$224*WasteTransportMethod[Emissions Factor
kgCO2e/kg.km]*Calculations[[#This Row],[Total Kg]],0)</f>
        <v>0</v>
      </c>
      <c r="V1120" s="322" cm="1">
        <f t="array" ref="V1120">IFERROR(VLOOKUP(Calculations[[#This Row],[Waste 1]],WasteScenario[#All],4,FALSE)*'Stage assumptions'!$C$223*WasteTransportMethod[Emissions Factor
kgCO2e/kg.km]*Calculations[[#This Row],[Total Kg]],0)</f>
        <v>0</v>
      </c>
      <c r="W1120" s="322" cm="1">
        <f t="array" ref="W1120">IFERROR(VLOOKUP(Calculations[[#This Row],[Waste 1]],WasteScenario[#All],5,FALSE)*'Stage assumptions'!$C$226*WasteTransportMethod[Emissions Factor
kgCO2e/kg.km]*Calculations[[#This Row],[Total Kg]],0)</f>
        <v>0</v>
      </c>
      <c r="X1120" s="322">
        <f>SUM(Calculations[[#This Row],[C2 Recycle]:[C2 Reuse]])</f>
        <v>0</v>
      </c>
      <c r="Y1120" t="str">
        <f>IFERROR(VLOOKUP(Calculations[[#This Row],[Material (choose from dropdown]],MaterialData[#All],5,FALSE),"")</f>
        <v/>
      </c>
      <c r="Z1120" s="322">
        <f>IFERROR(((VLOOKUP(Calculations[[#This Row],[Waste type 2]],WasteDisposalEmissions[#All],2,FALSE))*Calculations[[#This Row],[Total Kg]])*VLOOKUP(Calculations[[#This Row],[Waste 1]],WasteScenario[#All],2,FALSE),0)</f>
        <v>0</v>
      </c>
      <c r="AA1120" s="322">
        <f>IFERROR((VLOOKUP(Calculations[[#This Row],[Waste type 2]],WasteDisposalEmissions[#All],3,FALSE))*Calculations[[#This Row],[Total Kg]]*VLOOKUP(Calculations[[#This Row],[Waste 1]],WasteScenario[#All],3,FALSE),0)</f>
        <v>0</v>
      </c>
      <c r="AB1120" s="322">
        <f>SUM(Calculations[[#This Row],[C3 recyc]:[C3 incin]])</f>
        <v>0</v>
      </c>
      <c r="AC1120" s="334">
        <f>IFERROR((VLOOKUP(Calculations[[#This Row],[Waste type 2]],WasteLandfillEmissions[#All],2,FALSE))*Calculations[[#This Row],[Total Kg]]*VLOOKUP(Calculations[[#This Row],[Waste 1]],WasteScenario[#All],4,FALSE),0)</f>
        <v>0</v>
      </c>
      <c r="AD1120" s="322">
        <f>IFERROR((VLOOKUP(Calculations[[#This Row],[Waste type 2]],WasteLandfillEmissions[#All],3,FALSE))*Calculations[[#This Row],[Total Kg]]*VLOOKUP(Calculations[[#This Row],[Waste 1]],WasteScenario[#All],4,FALSE),0)</f>
        <v>0</v>
      </c>
      <c r="AE1120" s="322">
        <f>SUM(Calculations[[#This Row],[C4 landfill]:[C4 re-use]])</f>
        <v>0</v>
      </c>
      <c r="AF1120" s="322">
        <f>IFERROR(VLOOKUP(Calculations[[#This Row],[Material (choose from dropdown]],MaterialData[#All],8,FALSE),0)</f>
        <v>0</v>
      </c>
      <c r="AG1120" s="322">
        <f>IFERROR(Calculations[[#This Row],[Total Kg]]*Calculations[[#This Row],[Seq factor]],0)</f>
        <v>0</v>
      </c>
      <c r="AI1120" s="322">
        <f>Calculations[[#This Row],[A1-3]]+Calculations[[#This Row],[A4]]+Calculations[[#This Row],[A5]]+Calculations[[#This Row],[B4]]+Calculations[[#This Row],[C2 total]]+Calculations[[#This Row],[C3 total]]+Calculations[[#This Row],[C4 total]]</f>
        <v>0</v>
      </c>
      <c r="AJ1120" s="2">
        <f>IFERROR(VLOOKUP(Calculations[[#This Row],[Material (choose from dropdown]],MaterialData[[#Headers],[#Data]],9,FALSE),0)</f>
        <v>0</v>
      </c>
      <c r="AK1120" s="4">
        <f>IFERROR(VLOOKUP(Calculations[[#This Row],[Material (choose from dropdown]],MaterialData[[#Headers],[#Data]],10,FALSE),0)</f>
        <v>0</v>
      </c>
      <c r="AL1120" s="322">
        <f>IFERROR(Calculations[[#This Row],[Data Quality Score]]*Calculations[[#This Row],[Total Kg]],0)</f>
        <v>0</v>
      </c>
    </row>
    <row r="1121" spans="1:38" x14ac:dyDescent="0.3">
      <c r="A1121" s="6">
        <f>IFERROR(MaterialsBoQ[[#This Row],[Scope Element]],0)</f>
        <v>0</v>
      </c>
      <c r="B1121" t="str">
        <f>IFERROR(MaterialsBoQ[[#This Row],[Material ]],"")</f>
        <v/>
      </c>
      <c r="C1121" t="str">
        <f>IFERROR(MaterialsBoQ[[#This Row],[Unit]],"")</f>
        <v/>
      </c>
      <c r="D1121" s="322">
        <f>IFERROR(MaterialsBoQ[[#This Row],[Number]],0)</f>
        <v>0</v>
      </c>
      <c r="E1121" s="322">
        <f>IFERROR(MaterialsBoQ[[#This Row],[Kg per unit]],0)</f>
        <v>0</v>
      </c>
      <c r="F1121" s="322">
        <f>IFERROR(Calculations[[#This Row],[Number]]*Calculations[[#This Row],[Conversion factor]],0)</f>
        <v>0</v>
      </c>
      <c r="G1121" s="322">
        <f>IFERROR(VLOOKUP(Calculations[[#This Row],[Material (choose from dropdown]],MaterialData[#All],7,FALSE),0)</f>
        <v>0</v>
      </c>
      <c r="H1121" s="322">
        <f>Calculations[[#This Row],[Total Kg]]*Calculations[[#This Row],[Carbon Factor]]</f>
        <v>0</v>
      </c>
      <c r="I1121" t="str">
        <f>IFERROR(VLOOKUP(Calculations[[#This Row],[Material (choose from dropdown]],MaterialData[#All],2,FALSE),"")</f>
        <v/>
      </c>
      <c r="J1121" s="322">
        <f>IFERROR(((VLOOKUP(Calculations[[#This Row],[TransportSource]],TransportDistance[],2,FALSE)*'Stage assumptions'!$C$11)+VLOOKUP(Calculations[[#This Row],[TransportSource]],TransportDistance[],3,FALSE)*'Stage assumptions'!$C$12)*Calculations[[#This Row],[Total Kg]],0)</f>
        <v>0</v>
      </c>
      <c r="K1121">
        <f>IFERROR(VLOOKUP(Calculations[[#This Row],[Material (choose from dropdown]], MaterialData[#All],3, FALSE),0)</f>
        <v>0</v>
      </c>
      <c r="L1121" s="322">
        <f>IFERROR(VLOOKUP(Calculations[[#This Row],[A5type]],A5WastageRate[#All],2,FALSE)*Calculations[[#This Row],[A1-3]],0)</f>
        <v>0</v>
      </c>
      <c r="N1121">
        <f>IFERROR(ROUNDUP(50/VLOOKUP(Calculations[[#This Row],[Scope Element]],B4referenceServiceLife[[Tier 2 element]:[Default Service Life]],2, FALSE)-1,0),0)</f>
        <v>0</v>
      </c>
      <c r="O1121" s="322">
        <f>IFERROR((Calculations[[#This Row],[A1-3]]+Calculations[[#This Row],[A4]]+Calculations[[#This Row],[A5]]+Calculations[[#This Row],[C2 total]]+Calculations[[#This Row],[C3 total]]+Calculations[[#This Row],[C4 total]])*Calculations[[#This Row],[Replacements]],0)</f>
        <v>0</v>
      </c>
      <c r="S1121" t="str">
        <f>IFERROR(VLOOKUP(Calculations[[#This Row],[Material (choose from dropdown]],MaterialData[#All],4,FALSE),"")</f>
        <v/>
      </c>
      <c r="T1121" s="322" cm="1">
        <f t="array" ref="T1121">IFERROR(VLOOKUP(Calculations[[#This Row],[Waste 1]],WasteScenario[#All],2,FALSE)*'Stage assumptions'!$C$225*WasteTransportMethod[Emissions Factor
kgCO2e/kg.km]*Calculations[[#This Row],[Total Kg]],0)</f>
        <v>0</v>
      </c>
      <c r="U1121" s="322" cm="1">
        <f t="array" ref="U1121">IFERROR(VLOOKUP(Calculations[[#This Row],[Waste 1]],WasteScenario[#All],3,FALSE)*'Stage assumptions'!$C$224*WasteTransportMethod[Emissions Factor
kgCO2e/kg.km]*Calculations[[#This Row],[Total Kg]],0)</f>
        <v>0</v>
      </c>
      <c r="V1121" s="322" cm="1">
        <f t="array" ref="V1121">IFERROR(VLOOKUP(Calculations[[#This Row],[Waste 1]],WasteScenario[#All],4,FALSE)*'Stage assumptions'!$C$223*WasteTransportMethod[Emissions Factor
kgCO2e/kg.km]*Calculations[[#This Row],[Total Kg]],0)</f>
        <v>0</v>
      </c>
      <c r="W1121" s="322" cm="1">
        <f t="array" ref="W1121">IFERROR(VLOOKUP(Calculations[[#This Row],[Waste 1]],WasteScenario[#All],5,FALSE)*'Stage assumptions'!$C$226*WasteTransportMethod[Emissions Factor
kgCO2e/kg.km]*Calculations[[#This Row],[Total Kg]],0)</f>
        <v>0</v>
      </c>
      <c r="X1121" s="322">
        <f>SUM(Calculations[[#This Row],[C2 Recycle]:[C2 Reuse]])</f>
        <v>0</v>
      </c>
      <c r="Y1121" t="str">
        <f>IFERROR(VLOOKUP(Calculations[[#This Row],[Material (choose from dropdown]],MaterialData[#All],5,FALSE),"")</f>
        <v/>
      </c>
      <c r="Z1121" s="322">
        <f>IFERROR(((VLOOKUP(Calculations[[#This Row],[Waste type 2]],WasteDisposalEmissions[#All],2,FALSE))*Calculations[[#This Row],[Total Kg]])*VLOOKUP(Calculations[[#This Row],[Waste 1]],WasteScenario[#All],2,FALSE),0)</f>
        <v>0</v>
      </c>
      <c r="AA1121" s="322">
        <f>IFERROR((VLOOKUP(Calculations[[#This Row],[Waste type 2]],WasteDisposalEmissions[#All],3,FALSE))*Calculations[[#This Row],[Total Kg]]*VLOOKUP(Calculations[[#This Row],[Waste 1]],WasteScenario[#All],3,FALSE),0)</f>
        <v>0</v>
      </c>
      <c r="AB1121" s="322">
        <f>SUM(Calculations[[#This Row],[C3 recyc]:[C3 incin]])</f>
        <v>0</v>
      </c>
      <c r="AC1121" s="334">
        <f>IFERROR((VLOOKUP(Calculations[[#This Row],[Waste type 2]],WasteLandfillEmissions[#All],2,FALSE))*Calculations[[#This Row],[Total Kg]]*VLOOKUP(Calculations[[#This Row],[Waste 1]],WasteScenario[#All],4,FALSE),0)</f>
        <v>0</v>
      </c>
      <c r="AD1121" s="322">
        <f>IFERROR((VLOOKUP(Calculations[[#This Row],[Waste type 2]],WasteLandfillEmissions[#All],3,FALSE))*Calculations[[#This Row],[Total Kg]]*VLOOKUP(Calculations[[#This Row],[Waste 1]],WasteScenario[#All],4,FALSE),0)</f>
        <v>0</v>
      </c>
      <c r="AE1121" s="322">
        <f>SUM(Calculations[[#This Row],[C4 landfill]:[C4 re-use]])</f>
        <v>0</v>
      </c>
      <c r="AF1121" s="322">
        <f>IFERROR(VLOOKUP(Calculations[[#This Row],[Material (choose from dropdown]],MaterialData[#All],8,FALSE),0)</f>
        <v>0</v>
      </c>
      <c r="AG1121" s="322">
        <f>IFERROR(Calculations[[#This Row],[Total Kg]]*Calculations[[#This Row],[Seq factor]],0)</f>
        <v>0</v>
      </c>
      <c r="AI1121" s="322">
        <f>Calculations[[#This Row],[A1-3]]+Calculations[[#This Row],[A4]]+Calculations[[#This Row],[A5]]+Calculations[[#This Row],[B4]]+Calculations[[#This Row],[C2 total]]+Calculations[[#This Row],[C3 total]]+Calculations[[#This Row],[C4 total]]</f>
        <v>0</v>
      </c>
      <c r="AJ1121" s="2">
        <f>IFERROR(VLOOKUP(Calculations[[#This Row],[Material (choose from dropdown]],MaterialData[[#Headers],[#Data]],9,FALSE),0)</f>
        <v>0</v>
      </c>
      <c r="AK1121" s="4">
        <f>IFERROR(VLOOKUP(Calculations[[#This Row],[Material (choose from dropdown]],MaterialData[[#Headers],[#Data]],10,FALSE),0)</f>
        <v>0</v>
      </c>
      <c r="AL1121" s="322">
        <f>IFERROR(Calculations[[#This Row],[Data Quality Score]]*Calculations[[#This Row],[Total Kg]],0)</f>
        <v>0</v>
      </c>
    </row>
    <row r="1122" spans="1:38" x14ac:dyDescent="0.3">
      <c r="A1122" s="6">
        <f>IFERROR(MaterialsBoQ[[#This Row],[Scope Element]],0)</f>
        <v>0</v>
      </c>
      <c r="B1122" t="str">
        <f>IFERROR(MaterialsBoQ[[#This Row],[Material ]],"")</f>
        <v/>
      </c>
      <c r="C1122" t="str">
        <f>IFERROR(MaterialsBoQ[[#This Row],[Unit]],"")</f>
        <v/>
      </c>
      <c r="D1122" s="322">
        <f>IFERROR(MaterialsBoQ[[#This Row],[Number]],0)</f>
        <v>0</v>
      </c>
      <c r="E1122" s="322">
        <f>IFERROR(MaterialsBoQ[[#This Row],[Kg per unit]],0)</f>
        <v>0</v>
      </c>
      <c r="F1122" s="322">
        <f>IFERROR(Calculations[[#This Row],[Number]]*Calculations[[#This Row],[Conversion factor]],0)</f>
        <v>0</v>
      </c>
      <c r="G1122" s="322">
        <f>IFERROR(VLOOKUP(Calculations[[#This Row],[Material (choose from dropdown]],MaterialData[#All],7,FALSE),0)</f>
        <v>0</v>
      </c>
      <c r="H1122" s="322">
        <f>Calculations[[#This Row],[Total Kg]]*Calculations[[#This Row],[Carbon Factor]]</f>
        <v>0</v>
      </c>
      <c r="I1122" t="str">
        <f>IFERROR(VLOOKUP(Calculations[[#This Row],[Material (choose from dropdown]],MaterialData[#All],2,FALSE),"")</f>
        <v/>
      </c>
      <c r="J1122" s="322">
        <f>IFERROR(((VLOOKUP(Calculations[[#This Row],[TransportSource]],TransportDistance[],2,FALSE)*'Stage assumptions'!$C$11)+VLOOKUP(Calculations[[#This Row],[TransportSource]],TransportDistance[],3,FALSE)*'Stage assumptions'!$C$12)*Calculations[[#This Row],[Total Kg]],0)</f>
        <v>0</v>
      </c>
      <c r="K1122">
        <f>IFERROR(VLOOKUP(Calculations[[#This Row],[Material (choose from dropdown]], MaterialData[#All],3, FALSE),0)</f>
        <v>0</v>
      </c>
      <c r="L1122" s="322">
        <f>IFERROR(VLOOKUP(Calculations[[#This Row],[A5type]],A5WastageRate[#All],2,FALSE)*Calculations[[#This Row],[A1-3]],0)</f>
        <v>0</v>
      </c>
      <c r="N1122">
        <f>IFERROR(ROUNDUP(50/VLOOKUP(Calculations[[#This Row],[Scope Element]],B4referenceServiceLife[[Tier 2 element]:[Default Service Life]],2, FALSE)-1,0),0)</f>
        <v>0</v>
      </c>
      <c r="O1122" s="322">
        <f>IFERROR((Calculations[[#This Row],[A1-3]]+Calculations[[#This Row],[A4]]+Calculations[[#This Row],[A5]]+Calculations[[#This Row],[C2 total]]+Calculations[[#This Row],[C3 total]]+Calculations[[#This Row],[C4 total]])*Calculations[[#This Row],[Replacements]],0)</f>
        <v>0</v>
      </c>
      <c r="S1122" t="str">
        <f>IFERROR(VLOOKUP(Calculations[[#This Row],[Material (choose from dropdown]],MaterialData[#All],4,FALSE),"")</f>
        <v/>
      </c>
      <c r="T1122" s="322" cm="1">
        <f t="array" ref="T1122">IFERROR(VLOOKUP(Calculations[[#This Row],[Waste 1]],WasteScenario[#All],2,FALSE)*'Stage assumptions'!$C$225*WasteTransportMethod[Emissions Factor
kgCO2e/kg.km]*Calculations[[#This Row],[Total Kg]],0)</f>
        <v>0</v>
      </c>
      <c r="U1122" s="322" cm="1">
        <f t="array" ref="U1122">IFERROR(VLOOKUP(Calculations[[#This Row],[Waste 1]],WasteScenario[#All],3,FALSE)*'Stage assumptions'!$C$224*WasteTransportMethod[Emissions Factor
kgCO2e/kg.km]*Calculations[[#This Row],[Total Kg]],0)</f>
        <v>0</v>
      </c>
      <c r="V1122" s="322" cm="1">
        <f t="array" ref="V1122">IFERROR(VLOOKUP(Calculations[[#This Row],[Waste 1]],WasteScenario[#All],4,FALSE)*'Stage assumptions'!$C$223*WasteTransportMethod[Emissions Factor
kgCO2e/kg.km]*Calculations[[#This Row],[Total Kg]],0)</f>
        <v>0</v>
      </c>
      <c r="W1122" s="322" cm="1">
        <f t="array" ref="W1122">IFERROR(VLOOKUP(Calculations[[#This Row],[Waste 1]],WasteScenario[#All],5,FALSE)*'Stage assumptions'!$C$226*WasteTransportMethod[Emissions Factor
kgCO2e/kg.km]*Calculations[[#This Row],[Total Kg]],0)</f>
        <v>0</v>
      </c>
      <c r="X1122" s="322">
        <f>SUM(Calculations[[#This Row],[C2 Recycle]:[C2 Reuse]])</f>
        <v>0</v>
      </c>
      <c r="Y1122" t="str">
        <f>IFERROR(VLOOKUP(Calculations[[#This Row],[Material (choose from dropdown]],MaterialData[#All],5,FALSE),"")</f>
        <v/>
      </c>
      <c r="Z1122" s="322">
        <f>IFERROR(((VLOOKUP(Calculations[[#This Row],[Waste type 2]],WasteDisposalEmissions[#All],2,FALSE))*Calculations[[#This Row],[Total Kg]])*VLOOKUP(Calculations[[#This Row],[Waste 1]],WasteScenario[#All],2,FALSE),0)</f>
        <v>0</v>
      </c>
      <c r="AA1122" s="322">
        <f>IFERROR((VLOOKUP(Calculations[[#This Row],[Waste type 2]],WasteDisposalEmissions[#All],3,FALSE))*Calculations[[#This Row],[Total Kg]]*VLOOKUP(Calculations[[#This Row],[Waste 1]],WasteScenario[#All],3,FALSE),0)</f>
        <v>0</v>
      </c>
      <c r="AB1122" s="322">
        <f>SUM(Calculations[[#This Row],[C3 recyc]:[C3 incin]])</f>
        <v>0</v>
      </c>
      <c r="AC1122" s="334">
        <f>IFERROR((VLOOKUP(Calculations[[#This Row],[Waste type 2]],WasteLandfillEmissions[#All],2,FALSE))*Calculations[[#This Row],[Total Kg]]*VLOOKUP(Calculations[[#This Row],[Waste 1]],WasteScenario[#All],4,FALSE),0)</f>
        <v>0</v>
      </c>
      <c r="AD1122" s="322">
        <f>IFERROR((VLOOKUP(Calculations[[#This Row],[Waste type 2]],WasteLandfillEmissions[#All],3,FALSE))*Calculations[[#This Row],[Total Kg]]*VLOOKUP(Calculations[[#This Row],[Waste 1]],WasteScenario[#All],4,FALSE),0)</f>
        <v>0</v>
      </c>
      <c r="AE1122" s="322">
        <f>SUM(Calculations[[#This Row],[C4 landfill]:[C4 re-use]])</f>
        <v>0</v>
      </c>
      <c r="AF1122" s="322">
        <f>IFERROR(VLOOKUP(Calculations[[#This Row],[Material (choose from dropdown]],MaterialData[#All],8,FALSE),0)</f>
        <v>0</v>
      </c>
      <c r="AG1122" s="322">
        <f>IFERROR(Calculations[[#This Row],[Total Kg]]*Calculations[[#This Row],[Seq factor]],0)</f>
        <v>0</v>
      </c>
      <c r="AI1122" s="322">
        <f>Calculations[[#This Row],[A1-3]]+Calculations[[#This Row],[A4]]+Calculations[[#This Row],[A5]]+Calculations[[#This Row],[B4]]+Calculations[[#This Row],[C2 total]]+Calculations[[#This Row],[C3 total]]+Calculations[[#This Row],[C4 total]]</f>
        <v>0</v>
      </c>
      <c r="AJ1122" s="2">
        <f>IFERROR(VLOOKUP(Calculations[[#This Row],[Material (choose from dropdown]],MaterialData[[#Headers],[#Data]],9,FALSE),0)</f>
        <v>0</v>
      </c>
      <c r="AK1122" s="4">
        <f>IFERROR(VLOOKUP(Calculations[[#This Row],[Material (choose from dropdown]],MaterialData[[#Headers],[#Data]],10,FALSE),0)</f>
        <v>0</v>
      </c>
      <c r="AL1122" s="322">
        <f>IFERROR(Calculations[[#This Row],[Data Quality Score]]*Calculations[[#This Row],[Total Kg]],0)</f>
        <v>0</v>
      </c>
    </row>
    <row r="1123" spans="1:38" x14ac:dyDescent="0.3">
      <c r="A1123" s="6">
        <f>IFERROR(MaterialsBoQ[[#This Row],[Scope Element]],0)</f>
        <v>0</v>
      </c>
      <c r="B1123" t="str">
        <f>IFERROR(MaterialsBoQ[[#This Row],[Material ]],"")</f>
        <v/>
      </c>
      <c r="C1123" t="str">
        <f>IFERROR(MaterialsBoQ[[#This Row],[Unit]],"")</f>
        <v/>
      </c>
      <c r="D1123" s="322">
        <f>IFERROR(MaterialsBoQ[[#This Row],[Number]],0)</f>
        <v>0</v>
      </c>
      <c r="E1123" s="322">
        <f>IFERROR(MaterialsBoQ[[#This Row],[Kg per unit]],0)</f>
        <v>0</v>
      </c>
      <c r="F1123" s="322">
        <f>IFERROR(Calculations[[#This Row],[Number]]*Calculations[[#This Row],[Conversion factor]],0)</f>
        <v>0</v>
      </c>
      <c r="G1123" s="322">
        <f>IFERROR(VLOOKUP(Calculations[[#This Row],[Material (choose from dropdown]],MaterialData[#All],7,FALSE),0)</f>
        <v>0</v>
      </c>
      <c r="H1123" s="322">
        <f>Calculations[[#This Row],[Total Kg]]*Calculations[[#This Row],[Carbon Factor]]</f>
        <v>0</v>
      </c>
      <c r="I1123" t="str">
        <f>IFERROR(VLOOKUP(Calculations[[#This Row],[Material (choose from dropdown]],MaterialData[#All],2,FALSE),"")</f>
        <v/>
      </c>
      <c r="J1123" s="322">
        <f>IFERROR(((VLOOKUP(Calculations[[#This Row],[TransportSource]],TransportDistance[],2,FALSE)*'Stage assumptions'!$C$11)+VLOOKUP(Calculations[[#This Row],[TransportSource]],TransportDistance[],3,FALSE)*'Stage assumptions'!$C$12)*Calculations[[#This Row],[Total Kg]],0)</f>
        <v>0</v>
      </c>
      <c r="K1123">
        <f>IFERROR(VLOOKUP(Calculations[[#This Row],[Material (choose from dropdown]], MaterialData[#All],3, FALSE),0)</f>
        <v>0</v>
      </c>
      <c r="L1123" s="322">
        <f>IFERROR(VLOOKUP(Calculations[[#This Row],[A5type]],A5WastageRate[#All],2,FALSE)*Calculations[[#This Row],[A1-3]],0)</f>
        <v>0</v>
      </c>
      <c r="N1123">
        <f>IFERROR(ROUNDUP(50/VLOOKUP(Calculations[[#This Row],[Scope Element]],B4referenceServiceLife[[Tier 2 element]:[Default Service Life]],2, FALSE)-1,0),0)</f>
        <v>0</v>
      </c>
      <c r="O1123" s="322">
        <f>IFERROR((Calculations[[#This Row],[A1-3]]+Calculations[[#This Row],[A4]]+Calculations[[#This Row],[A5]]+Calculations[[#This Row],[C2 total]]+Calculations[[#This Row],[C3 total]]+Calculations[[#This Row],[C4 total]])*Calculations[[#This Row],[Replacements]],0)</f>
        <v>0</v>
      </c>
      <c r="S1123" t="str">
        <f>IFERROR(VLOOKUP(Calculations[[#This Row],[Material (choose from dropdown]],MaterialData[#All],4,FALSE),"")</f>
        <v/>
      </c>
      <c r="T1123" s="322" cm="1">
        <f t="array" ref="T1123">IFERROR(VLOOKUP(Calculations[[#This Row],[Waste 1]],WasteScenario[#All],2,FALSE)*'Stage assumptions'!$C$225*WasteTransportMethod[Emissions Factor
kgCO2e/kg.km]*Calculations[[#This Row],[Total Kg]],0)</f>
        <v>0</v>
      </c>
      <c r="U1123" s="322" cm="1">
        <f t="array" ref="U1123">IFERROR(VLOOKUP(Calculations[[#This Row],[Waste 1]],WasteScenario[#All],3,FALSE)*'Stage assumptions'!$C$224*WasteTransportMethod[Emissions Factor
kgCO2e/kg.km]*Calculations[[#This Row],[Total Kg]],0)</f>
        <v>0</v>
      </c>
      <c r="V1123" s="322" cm="1">
        <f t="array" ref="V1123">IFERROR(VLOOKUP(Calculations[[#This Row],[Waste 1]],WasteScenario[#All],4,FALSE)*'Stage assumptions'!$C$223*WasteTransportMethod[Emissions Factor
kgCO2e/kg.km]*Calculations[[#This Row],[Total Kg]],0)</f>
        <v>0</v>
      </c>
      <c r="W1123" s="322" cm="1">
        <f t="array" ref="W1123">IFERROR(VLOOKUP(Calculations[[#This Row],[Waste 1]],WasteScenario[#All],5,FALSE)*'Stage assumptions'!$C$226*WasteTransportMethod[Emissions Factor
kgCO2e/kg.km]*Calculations[[#This Row],[Total Kg]],0)</f>
        <v>0</v>
      </c>
      <c r="X1123" s="322">
        <f>SUM(Calculations[[#This Row],[C2 Recycle]:[C2 Reuse]])</f>
        <v>0</v>
      </c>
      <c r="Y1123" t="str">
        <f>IFERROR(VLOOKUP(Calculations[[#This Row],[Material (choose from dropdown]],MaterialData[#All],5,FALSE),"")</f>
        <v/>
      </c>
      <c r="Z1123" s="322">
        <f>IFERROR(((VLOOKUP(Calculations[[#This Row],[Waste type 2]],WasteDisposalEmissions[#All],2,FALSE))*Calculations[[#This Row],[Total Kg]])*VLOOKUP(Calculations[[#This Row],[Waste 1]],WasteScenario[#All],2,FALSE),0)</f>
        <v>0</v>
      </c>
      <c r="AA1123" s="322">
        <f>IFERROR((VLOOKUP(Calculations[[#This Row],[Waste type 2]],WasteDisposalEmissions[#All],3,FALSE))*Calculations[[#This Row],[Total Kg]]*VLOOKUP(Calculations[[#This Row],[Waste 1]],WasteScenario[#All],3,FALSE),0)</f>
        <v>0</v>
      </c>
      <c r="AB1123" s="322">
        <f>SUM(Calculations[[#This Row],[C3 recyc]:[C3 incin]])</f>
        <v>0</v>
      </c>
      <c r="AC1123" s="334">
        <f>IFERROR((VLOOKUP(Calculations[[#This Row],[Waste type 2]],WasteLandfillEmissions[#All],2,FALSE))*Calculations[[#This Row],[Total Kg]]*VLOOKUP(Calculations[[#This Row],[Waste 1]],WasteScenario[#All],4,FALSE),0)</f>
        <v>0</v>
      </c>
      <c r="AD1123" s="322">
        <f>IFERROR((VLOOKUP(Calculations[[#This Row],[Waste type 2]],WasteLandfillEmissions[#All],3,FALSE))*Calculations[[#This Row],[Total Kg]]*VLOOKUP(Calculations[[#This Row],[Waste 1]],WasteScenario[#All],4,FALSE),0)</f>
        <v>0</v>
      </c>
      <c r="AE1123" s="322">
        <f>SUM(Calculations[[#This Row],[C4 landfill]:[C4 re-use]])</f>
        <v>0</v>
      </c>
      <c r="AF1123" s="322">
        <f>IFERROR(VLOOKUP(Calculations[[#This Row],[Material (choose from dropdown]],MaterialData[#All],8,FALSE),0)</f>
        <v>0</v>
      </c>
      <c r="AG1123" s="322">
        <f>IFERROR(Calculations[[#This Row],[Total Kg]]*Calculations[[#This Row],[Seq factor]],0)</f>
        <v>0</v>
      </c>
      <c r="AI1123" s="322">
        <f>Calculations[[#This Row],[A1-3]]+Calculations[[#This Row],[A4]]+Calculations[[#This Row],[A5]]+Calculations[[#This Row],[B4]]+Calculations[[#This Row],[C2 total]]+Calculations[[#This Row],[C3 total]]+Calculations[[#This Row],[C4 total]]</f>
        <v>0</v>
      </c>
      <c r="AJ1123" s="2">
        <f>IFERROR(VLOOKUP(Calculations[[#This Row],[Material (choose from dropdown]],MaterialData[[#Headers],[#Data]],9,FALSE),0)</f>
        <v>0</v>
      </c>
      <c r="AK1123" s="4">
        <f>IFERROR(VLOOKUP(Calculations[[#This Row],[Material (choose from dropdown]],MaterialData[[#Headers],[#Data]],10,FALSE),0)</f>
        <v>0</v>
      </c>
      <c r="AL1123" s="322">
        <f>IFERROR(Calculations[[#This Row],[Data Quality Score]]*Calculations[[#This Row],[Total Kg]],0)</f>
        <v>0</v>
      </c>
    </row>
    <row r="1124" spans="1:38" x14ac:dyDescent="0.3">
      <c r="A1124" s="6">
        <f>IFERROR(MaterialsBoQ[[#This Row],[Scope Element]],0)</f>
        <v>0</v>
      </c>
      <c r="B1124" t="str">
        <f>IFERROR(MaterialsBoQ[[#This Row],[Material ]],"")</f>
        <v/>
      </c>
      <c r="C1124" t="str">
        <f>IFERROR(MaterialsBoQ[[#This Row],[Unit]],"")</f>
        <v/>
      </c>
      <c r="D1124" s="322">
        <f>IFERROR(MaterialsBoQ[[#This Row],[Number]],0)</f>
        <v>0</v>
      </c>
      <c r="E1124" s="322">
        <f>IFERROR(MaterialsBoQ[[#This Row],[Kg per unit]],0)</f>
        <v>0</v>
      </c>
      <c r="F1124" s="322">
        <f>IFERROR(Calculations[[#This Row],[Number]]*Calculations[[#This Row],[Conversion factor]],0)</f>
        <v>0</v>
      </c>
      <c r="G1124" s="322">
        <f>IFERROR(VLOOKUP(Calculations[[#This Row],[Material (choose from dropdown]],MaterialData[#All],7,FALSE),0)</f>
        <v>0</v>
      </c>
      <c r="H1124" s="322">
        <f>Calculations[[#This Row],[Total Kg]]*Calculations[[#This Row],[Carbon Factor]]</f>
        <v>0</v>
      </c>
      <c r="I1124" t="str">
        <f>IFERROR(VLOOKUP(Calculations[[#This Row],[Material (choose from dropdown]],MaterialData[#All],2,FALSE),"")</f>
        <v/>
      </c>
      <c r="J1124" s="322">
        <f>IFERROR(((VLOOKUP(Calculations[[#This Row],[TransportSource]],TransportDistance[],2,FALSE)*'Stage assumptions'!$C$11)+VLOOKUP(Calculations[[#This Row],[TransportSource]],TransportDistance[],3,FALSE)*'Stage assumptions'!$C$12)*Calculations[[#This Row],[Total Kg]],0)</f>
        <v>0</v>
      </c>
      <c r="K1124">
        <f>IFERROR(VLOOKUP(Calculations[[#This Row],[Material (choose from dropdown]], MaterialData[#All],3, FALSE),0)</f>
        <v>0</v>
      </c>
      <c r="L1124" s="322">
        <f>IFERROR(VLOOKUP(Calculations[[#This Row],[A5type]],A5WastageRate[#All],2,FALSE)*Calculations[[#This Row],[A1-3]],0)</f>
        <v>0</v>
      </c>
      <c r="N1124">
        <f>IFERROR(ROUNDUP(50/VLOOKUP(Calculations[[#This Row],[Scope Element]],B4referenceServiceLife[[Tier 2 element]:[Default Service Life]],2, FALSE)-1,0),0)</f>
        <v>0</v>
      </c>
      <c r="O1124" s="322">
        <f>IFERROR((Calculations[[#This Row],[A1-3]]+Calculations[[#This Row],[A4]]+Calculations[[#This Row],[A5]]+Calculations[[#This Row],[C2 total]]+Calculations[[#This Row],[C3 total]]+Calculations[[#This Row],[C4 total]])*Calculations[[#This Row],[Replacements]],0)</f>
        <v>0</v>
      </c>
      <c r="S1124" t="str">
        <f>IFERROR(VLOOKUP(Calculations[[#This Row],[Material (choose from dropdown]],MaterialData[#All],4,FALSE),"")</f>
        <v/>
      </c>
      <c r="T1124" s="322" cm="1">
        <f t="array" ref="T1124">IFERROR(VLOOKUP(Calculations[[#This Row],[Waste 1]],WasteScenario[#All],2,FALSE)*'Stage assumptions'!$C$225*WasteTransportMethod[Emissions Factor
kgCO2e/kg.km]*Calculations[[#This Row],[Total Kg]],0)</f>
        <v>0</v>
      </c>
      <c r="U1124" s="322" cm="1">
        <f t="array" ref="U1124">IFERROR(VLOOKUP(Calculations[[#This Row],[Waste 1]],WasteScenario[#All],3,FALSE)*'Stage assumptions'!$C$224*WasteTransportMethod[Emissions Factor
kgCO2e/kg.km]*Calculations[[#This Row],[Total Kg]],0)</f>
        <v>0</v>
      </c>
      <c r="V1124" s="322" cm="1">
        <f t="array" ref="V1124">IFERROR(VLOOKUP(Calculations[[#This Row],[Waste 1]],WasteScenario[#All],4,FALSE)*'Stage assumptions'!$C$223*WasteTransportMethod[Emissions Factor
kgCO2e/kg.km]*Calculations[[#This Row],[Total Kg]],0)</f>
        <v>0</v>
      </c>
      <c r="W1124" s="322" cm="1">
        <f t="array" ref="W1124">IFERROR(VLOOKUP(Calculations[[#This Row],[Waste 1]],WasteScenario[#All],5,FALSE)*'Stage assumptions'!$C$226*WasteTransportMethod[Emissions Factor
kgCO2e/kg.km]*Calculations[[#This Row],[Total Kg]],0)</f>
        <v>0</v>
      </c>
      <c r="X1124" s="322">
        <f>SUM(Calculations[[#This Row],[C2 Recycle]:[C2 Reuse]])</f>
        <v>0</v>
      </c>
      <c r="Y1124" t="str">
        <f>IFERROR(VLOOKUP(Calculations[[#This Row],[Material (choose from dropdown]],MaterialData[#All],5,FALSE),"")</f>
        <v/>
      </c>
      <c r="Z1124" s="322">
        <f>IFERROR(((VLOOKUP(Calculations[[#This Row],[Waste type 2]],WasteDisposalEmissions[#All],2,FALSE))*Calculations[[#This Row],[Total Kg]])*VLOOKUP(Calculations[[#This Row],[Waste 1]],WasteScenario[#All],2,FALSE),0)</f>
        <v>0</v>
      </c>
      <c r="AA1124" s="322">
        <f>IFERROR((VLOOKUP(Calculations[[#This Row],[Waste type 2]],WasteDisposalEmissions[#All],3,FALSE))*Calculations[[#This Row],[Total Kg]]*VLOOKUP(Calculations[[#This Row],[Waste 1]],WasteScenario[#All],3,FALSE),0)</f>
        <v>0</v>
      </c>
      <c r="AB1124" s="322">
        <f>SUM(Calculations[[#This Row],[C3 recyc]:[C3 incin]])</f>
        <v>0</v>
      </c>
      <c r="AC1124" s="334">
        <f>IFERROR((VLOOKUP(Calculations[[#This Row],[Waste type 2]],WasteLandfillEmissions[#All],2,FALSE))*Calculations[[#This Row],[Total Kg]]*VLOOKUP(Calculations[[#This Row],[Waste 1]],WasteScenario[#All],4,FALSE),0)</f>
        <v>0</v>
      </c>
      <c r="AD1124" s="322">
        <f>IFERROR((VLOOKUP(Calculations[[#This Row],[Waste type 2]],WasteLandfillEmissions[#All],3,FALSE))*Calculations[[#This Row],[Total Kg]]*VLOOKUP(Calculations[[#This Row],[Waste 1]],WasteScenario[#All],4,FALSE),0)</f>
        <v>0</v>
      </c>
      <c r="AE1124" s="322">
        <f>SUM(Calculations[[#This Row],[C4 landfill]:[C4 re-use]])</f>
        <v>0</v>
      </c>
      <c r="AF1124" s="322">
        <f>IFERROR(VLOOKUP(Calculations[[#This Row],[Material (choose from dropdown]],MaterialData[#All],8,FALSE),0)</f>
        <v>0</v>
      </c>
      <c r="AG1124" s="322">
        <f>IFERROR(Calculations[[#This Row],[Total Kg]]*Calculations[[#This Row],[Seq factor]],0)</f>
        <v>0</v>
      </c>
      <c r="AI1124" s="322">
        <f>Calculations[[#This Row],[A1-3]]+Calculations[[#This Row],[A4]]+Calculations[[#This Row],[A5]]+Calculations[[#This Row],[B4]]+Calculations[[#This Row],[C2 total]]+Calculations[[#This Row],[C3 total]]+Calculations[[#This Row],[C4 total]]</f>
        <v>0</v>
      </c>
      <c r="AJ1124" s="2">
        <f>IFERROR(VLOOKUP(Calculations[[#This Row],[Material (choose from dropdown]],MaterialData[[#Headers],[#Data]],9,FALSE),0)</f>
        <v>0</v>
      </c>
      <c r="AK1124" s="4">
        <f>IFERROR(VLOOKUP(Calculations[[#This Row],[Material (choose from dropdown]],MaterialData[[#Headers],[#Data]],10,FALSE),0)</f>
        <v>0</v>
      </c>
      <c r="AL1124" s="322">
        <f>IFERROR(Calculations[[#This Row],[Data Quality Score]]*Calculations[[#This Row],[Total Kg]],0)</f>
        <v>0</v>
      </c>
    </row>
    <row r="1125" spans="1:38" x14ac:dyDescent="0.3">
      <c r="A1125" s="6">
        <f>IFERROR(MaterialsBoQ[[#This Row],[Scope Element]],0)</f>
        <v>0</v>
      </c>
      <c r="B1125" t="str">
        <f>IFERROR(MaterialsBoQ[[#This Row],[Material ]],"")</f>
        <v/>
      </c>
      <c r="C1125" t="str">
        <f>IFERROR(MaterialsBoQ[[#This Row],[Unit]],"")</f>
        <v/>
      </c>
      <c r="D1125" s="322">
        <f>IFERROR(MaterialsBoQ[[#This Row],[Number]],0)</f>
        <v>0</v>
      </c>
      <c r="E1125" s="322">
        <f>IFERROR(MaterialsBoQ[[#This Row],[Kg per unit]],0)</f>
        <v>0</v>
      </c>
      <c r="F1125" s="322">
        <f>IFERROR(Calculations[[#This Row],[Number]]*Calculations[[#This Row],[Conversion factor]],0)</f>
        <v>0</v>
      </c>
      <c r="G1125" s="322">
        <f>IFERROR(VLOOKUP(Calculations[[#This Row],[Material (choose from dropdown]],MaterialData[#All],7,FALSE),0)</f>
        <v>0</v>
      </c>
      <c r="H1125" s="322">
        <f>Calculations[[#This Row],[Total Kg]]*Calculations[[#This Row],[Carbon Factor]]</f>
        <v>0</v>
      </c>
      <c r="I1125" t="str">
        <f>IFERROR(VLOOKUP(Calculations[[#This Row],[Material (choose from dropdown]],MaterialData[#All],2,FALSE),"")</f>
        <v/>
      </c>
      <c r="J1125" s="322">
        <f>IFERROR(((VLOOKUP(Calculations[[#This Row],[TransportSource]],TransportDistance[],2,FALSE)*'Stage assumptions'!$C$11)+VLOOKUP(Calculations[[#This Row],[TransportSource]],TransportDistance[],3,FALSE)*'Stage assumptions'!$C$12)*Calculations[[#This Row],[Total Kg]],0)</f>
        <v>0</v>
      </c>
      <c r="K1125">
        <f>IFERROR(VLOOKUP(Calculations[[#This Row],[Material (choose from dropdown]], MaterialData[#All],3, FALSE),0)</f>
        <v>0</v>
      </c>
      <c r="L1125" s="322">
        <f>IFERROR(VLOOKUP(Calculations[[#This Row],[A5type]],A5WastageRate[#All],2,FALSE)*Calculations[[#This Row],[A1-3]],0)</f>
        <v>0</v>
      </c>
      <c r="N1125">
        <f>IFERROR(ROUNDUP(50/VLOOKUP(Calculations[[#This Row],[Scope Element]],B4referenceServiceLife[[Tier 2 element]:[Default Service Life]],2, FALSE)-1,0),0)</f>
        <v>0</v>
      </c>
      <c r="O1125" s="322">
        <f>IFERROR((Calculations[[#This Row],[A1-3]]+Calculations[[#This Row],[A4]]+Calculations[[#This Row],[A5]]+Calculations[[#This Row],[C2 total]]+Calculations[[#This Row],[C3 total]]+Calculations[[#This Row],[C4 total]])*Calculations[[#This Row],[Replacements]],0)</f>
        <v>0</v>
      </c>
      <c r="S1125" t="str">
        <f>IFERROR(VLOOKUP(Calculations[[#This Row],[Material (choose from dropdown]],MaterialData[#All],4,FALSE),"")</f>
        <v/>
      </c>
      <c r="T1125" s="322" cm="1">
        <f t="array" ref="T1125">IFERROR(VLOOKUP(Calculations[[#This Row],[Waste 1]],WasteScenario[#All],2,FALSE)*'Stage assumptions'!$C$225*WasteTransportMethod[Emissions Factor
kgCO2e/kg.km]*Calculations[[#This Row],[Total Kg]],0)</f>
        <v>0</v>
      </c>
      <c r="U1125" s="322" cm="1">
        <f t="array" ref="U1125">IFERROR(VLOOKUP(Calculations[[#This Row],[Waste 1]],WasteScenario[#All],3,FALSE)*'Stage assumptions'!$C$224*WasteTransportMethod[Emissions Factor
kgCO2e/kg.km]*Calculations[[#This Row],[Total Kg]],0)</f>
        <v>0</v>
      </c>
      <c r="V1125" s="322" cm="1">
        <f t="array" ref="V1125">IFERROR(VLOOKUP(Calculations[[#This Row],[Waste 1]],WasteScenario[#All],4,FALSE)*'Stage assumptions'!$C$223*WasteTransportMethod[Emissions Factor
kgCO2e/kg.km]*Calculations[[#This Row],[Total Kg]],0)</f>
        <v>0</v>
      </c>
      <c r="W1125" s="322" cm="1">
        <f t="array" ref="W1125">IFERROR(VLOOKUP(Calculations[[#This Row],[Waste 1]],WasteScenario[#All],5,FALSE)*'Stage assumptions'!$C$226*WasteTransportMethod[Emissions Factor
kgCO2e/kg.km]*Calculations[[#This Row],[Total Kg]],0)</f>
        <v>0</v>
      </c>
      <c r="X1125" s="322">
        <f>SUM(Calculations[[#This Row],[C2 Recycle]:[C2 Reuse]])</f>
        <v>0</v>
      </c>
      <c r="Y1125" t="str">
        <f>IFERROR(VLOOKUP(Calculations[[#This Row],[Material (choose from dropdown]],MaterialData[#All],5,FALSE),"")</f>
        <v/>
      </c>
      <c r="Z1125" s="322">
        <f>IFERROR(((VLOOKUP(Calculations[[#This Row],[Waste type 2]],WasteDisposalEmissions[#All],2,FALSE))*Calculations[[#This Row],[Total Kg]])*VLOOKUP(Calculations[[#This Row],[Waste 1]],WasteScenario[#All],2,FALSE),0)</f>
        <v>0</v>
      </c>
      <c r="AA1125" s="322">
        <f>IFERROR((VLOOKUP(Calculations[[#This Row],[Waste type 2]],WasteDisposalEmissions[#All],3,FALSE))*Calculations[[#This Row],[Total Kg]]*VLOOKUP(Calculations[[#This Row],[Waste 1]],WasteScenario[#All],3,FALSE),0)</f>
        <v>0</v>
      </c>
      <c r="AB1125" s="322">
        <f>SUM(Calculations[[#This Row],[C3 recyc]:[C3 incin]])</f>
        <v>0</v>
      </c>
      <c r="AC1125" s="334">
        <f>IFERROR((VLOOKUP(Calculations[[#This Row],[Waste type 2]],WasteLandfillEmissions[#All],2,FALSE))*Calculations[[#This Row],[Total Kg]]*VLOOKUP(Calculations[[#This Row],[Waste 1]],WasteScenario[#All],4,FALSE),0)</f>
        <v>0</v>
      </c>
      <c r="AD1125" s="322">
        <f>IFERROR((VLOOKUP(Calculations[[#This Row],[Waste type 2]],WasteLandfillEmissions[#All],3,FALSE))*Calculations[[#This Row],[Total Kg]]*VLOOKUP(Calculations[[#This Row],[Waste 1]],WasteScenario[#All],4,FALSE),0)</f>
        <v>0</v>
      </c>
      <c r="AE1125" s="322">
        <f>SUM(Calculations[[#This Row],[C4 landfill]:[C4 re-use]])</f>
        <v>0</v>
      </c>
      <c r="AF1125" s="322">
        <f>IFERROR(VLOOKUP(Calculations[[#This Row],[Material (choose from dropdown]],MaterialData[#All],8,FALSE),0)</f>
        <v>0</v>
      </c>
      <c r="AG1125" s="322">
        <f>IFERROR(Calculations[[#This Row],[Total Kg]]*Calculations[[#This Row],[Seq factor]],0)</f>
        <v>0</v>
      </c>
      <c r="AI1125" s="322">
        <f>Calculations[[#This Row],[A1-3]]+Calculations[[#This Row],[A4]]+Calculations[[#This Row],[A5]]+Calculations[[#This Row],[B4]]+Calculations[[#This Row],[C2 total]]+Calculations[[#This Row],[C3 total]]+Calculations[[#This Row],[C4 total]]</f>
        <v>0</v>
      </c>
      <c r="AJ1125" s="2">
        <f>IFERROR(VLOOKUP(Calculations[[#This Row],[Material (choose from dropdown]],MaterialData[[#Headers],[#Data]],9,FALSE),0)</f>
        <v>0</v>
      </c>
      <c r="AK1125" s="4">
        <f>IFERROR(VLOOKUP(Calculations[[#This Row],[Material (choose from dropdown]],MaterialData[[#Headers],[#Data]],10,FALSE),0)</f>
        <v>0</v>
      </c>
      <c r="AL1125" s="322">
        <f>IFERROR(Calculations[[#This Row],[Data Quality Score]]*Calculations[[#This Row],[Total Kg]],0)</f>
        <v>0</v>
      </c>
    </row>
    <row r="1126" spans="1:38" x14ac:dyDescent="0.3">
      <c r="A1126" s="6">
        <f>IFERROR(MaterialsBoQ[[#This Row],[Scope Element]],0)</f>
        <v>0</v>
      </c>
      <c r="B1126" t="str">
        <f>IFERROR(MaterialsBoQ[[#This Row],[Material ]],"")</f>
        <v/>
      </c>
      <c r="C1126" t="str">
        <f>IFERROR(MaterialsBoQ[[#This Row],[Unit]],"")</f>
        <v/>
      </c>
      <c r="D1126" s="322">
        <f>IFERROR(MaterialsBoQ[[#This Row],[Number]],0)</f>
        <v>0</v>
      </c>
      <c r="E1126" s="322">
        <f>IFERROR(MaterialsBoQ[[#This Row],[Kg per unit]],0)</f>
        <v>0</v>
      </c>
      <c r="F1126" s="322">
        <f>IFERROR(Calculations[[#This Row],[Number]]*Calculations[[#This Row],[Conversion factor]],0)</f>
        <v>0</v>
      </c>
      <c r="G1126" s="322">
        <f>IFERROR(VLOOKUP(Calculations[[#This Row],[Material (choose from dropdown]],MaterialData[#All],7,FALSE),0)</f>
        <v>0</v>
      </c>
      <c r="H1126" s="322">
        <f>Calculations[[#This Row],[Total Kg]]*Calculations[[#This Row],[Carbon Factor]]</f>
        <v>0</v>
      </c>
      <c r="I1126" t="str">
        <f>IFERROR(VLOOKUP(Calculations[[#This Row],[Material (choose from dropdown]],MaterialData[#All],2,FALSE),"")</f>
        <v/>
      </c>
      <c r="J1126" s="322">
        <f>IFERROR(((VLOOKUP(Calculations[[#This Row],[TransportSource]],TransportDistance[],2,FALSE)*'Stage assumptions'!$C$11)+VLOOKUP(Calculations[[#This Row],[TransportSource]],TransportDistance[],3,FALSE)*'Stage assumptions'!$C$12)*Calculations[[#This Row],[Total Kg]],0)</f>
        <v>0</v>
      </c>
      <c r="K1126">
        <f>IFERROR(VLOOKUP(Calculations[[#This Row],[Material (choose from dropdown]], MaterialData[#All],3, FALSE),0)</f>
        <v>0</v>
      </c>
      <c r="L1126" s="322">
        <f>IFERROR(VLOOKUP(Calculations[[#This Row],[A5type]],A5WastageRate[#All],2,FALSE)*Calculations[[#This Row],[A1-3]],0)</f>
        <v>0</v>
      </c>
      <c r="N1126">
        <f>IFERROR(ROUNDUP(50/VLOOKUP(Calculations[[#This Row],[Scope Element]],B4referenceServiceLife[[Tier 2 element]:[Default Service Life]],2, FALSE)-1,0),0)</f>
        <v>0</v>
      </c>
      <c r="O1126" s="322">
        <f>IFERROR((Calculations[[#This Row],[A1-3]]+Calculations[[#This Row],[A4]]+Calculations[[#This Row],[A5]]+Calculations[[#This Row],[C2 total]]+Calculations[[#This Row],[C3 total]]+Calculations[[#This Row],[C4 total]])*Calculations[[#This Row],[Replacements]],0)</f>
        <v>0</v>
      </c>
      <c r="S1126" t="str">
        <f>IFERROR(VLOOKUP(Calculations[[#This Row],[Material (choose from dropdown]],MaterialData[#All],4,FALSE),"")</f>
        <v/>
      </c>
      <c r="T1126" s="322" cm="1">
        <f t="array" ref="T1126">IFERROR(VLOOKUP(Calculations[[#This Row],[Waste 1]],WasteScenario[#All],2,FALSE)*'Stage assumptions'!$C$225*WasteTransportMethod[Emissions Factor
kgCO2e/kg.km]*Calculations[[#This Row],[Total Kg]],0)</f>
        <v>0</v>
      </c>
      <c r="U1126" s="322" cm="1">
        <f t="array" ref="U1126">IFERROR(VLOOKUP(Calculations[[#This Row],[Waste 1]],WasteScenario[#All],3,FALSE)*'Stage assumptions'!$C$224*WasteTransportMethod[Emissions Factor
kgCO2e/kg.km]*Calculations[[#This Row],[Total Kg]],0)</f>
        <v>0</v>
      </c>
      <c r="V1126" s="322" cm="1">
        <f t="array" ref="V1126">IFERROR(VLOOKUP(Calculations[[#This Row],[Waste 1]],WasteScenario[#All],4,FALSE)*'Stage assumptions'!$C$223*WasteTransportMethod[Emissions Factor
kgCO2e/kg.km]*Calculations[[#This Row],[Total Kg]],0)</f>
        <v>0</v>
      </c>
      <c r="W1126" s="322" cm="1">
        <f t="array" ref="W1126">IFERROR(VLOOKUP(Calculations[[#This Row],[Waste 1]],WasteScenario[#All],5,FALSE)*'Stage assumptions'!$C$226*WasteTransportMethod[Emissions Factor
kgCO2e/kg.km]*Calculations[[#This Row],[Total Kg]],0)</f>
        <v>0</v>
      </c>
      <c r="X1126" s="322">
        <f>SUM(Calculations[[#This Row],[C2 Recycle]:[C2 Reuse]])</f>
        <v>0</v>
      </c>
      <c r="Y1126" t="str">
        <f>IFERROR(VLOOKUP(Calculations[[#This Row],[Material (choose from dropdown]],MaterialData[#All],5,FALSE),"")</f>
        <v/>
      </c>
      <c r="Z1126" s="322">
        <f>IFERROR(((VLOOKUP(Calculations[[#This Row],[Waste type 2]],WasteDisposalEmissions[#All],2,FALSE))*Calculations[[#This Row],[Total Kg]])*VLOOKUP(Calculations[[#This Row],[Waste 1]],WasteScenario[#All],2,FALSE),0)</f>
        <v>0</v>
      </c>
      <c r="AA1126" s="322">
        <f>IFERROR((VLOOKUP(Calculations[[#This Row],[Waste type 2]],WasteDisposalEmissions[#All],3,FALSE))*Calculations[[#This Row],[Total Kg]]*VLOOKUP(Calculations[[#This Row],[Waste 1]],WasteScenario[#All],3,FALSE),0)</f>
        <v>0</v>
      </c>
      <c r="AB1126" s="322">
        <f>SUM(Calculations[[#This Row],[C3 recyc]:[C3 incin]])</f>
        <v>0</v>
      </c>
      <c r="AC1126" s="334">
        <f>IFERROR((VLOOKUP(Calculations[[#This Row],[Waste type 2]],WasteLandfillEmissions[#All],2,FALSE))*Calculations[[#This Row],[Total Kg]]*VLOOKUP(Calculations[[#This Row],[Waste 1]],WasteScenario[#All],4,FALSE),0)</f>
        <v>0</v>
      </c>
      <c r="AD1126" s="322">
        <f>IFERROR((VLOOKUP(Calculations[[#This Row],[Waste type 2]],WasteLandfillEmissions[#All],3,FALSE))*Calculations[[#This Row],[Total Kg]]*VLOOKUP(Calculations[[#This Row],[Waste 1]],WasteScenario[#All],4,FALSE),0)</f>
        <v>0</v>
      </c>
      <c r="AE1126" s="322">
        <f>SUM(Calculations[[#This Row],[C4 landfill]:[C4 re-use]])</f>
        <v>0</v>
      </c>
      <c r="AF1126" s="322">
        <f>IFERROR(VLOOKUP(Calculations[[#This Row],[Material (choose from dropdown]],MaterialData[#All],8,FALSE),0)</f>
        <v>0</v>
      </c>
      <c r="AG1126" s="322">
        <f>IFERROR(Calculations[[#This Row],[Total Kg]]*Calculations[[#This Row],[Seq factor]],0)</f>
        <v>0</v>
      </c>
      <c r="AI1126" s="322">
        <f>Calculations[[#This Row],[A1-3]]+Calculations[[#This Row],[A4]]+Calculations[[#This Row],[A5]]+Calculations[[#This Row],[B4]]+Calculations[[#This Row],[C2 total]]+Calculations[[#This Row],[C3 total]]+Calculations[[#This Row],[C4 total]]</f>
        <v>0</v>
      </c>
      <c r="AJ1126" s="2">
        <f>IFERROR(VLOOKUP(Calculations[[#This Row],[Material (choose from dropdown]],MaterialData[[#Headers],[#Data]],9,FALSE),0)</f>
        <v>0</v>
      </c>
      <c r="AK1126" s="4">
        <f>IFERROR(VLOOKUP(Calculations[[#This Row],[Material (choose from dropdown]],MaterialData[[#Headers],[#Data]],10,FALSE),0)</f>
        <v>0</v>
      </c>
      <c r="AL1126" s="322">
        <f>IFERROR(Calculations[[#This Row],[Data Quality Score]]*Calculations[[#This Row],[Total Kg]],0)</f>
        <v>0</v>
      </c>
    </row>
    <row r="1127" spans="1:38" x14ac:dyDescent="0.3">
      <c r="A1127" s="6">
        <f>IFERROR(MaterialsBoQ[[#This Row],[Scope Element]],0)</f>
        <v>0</v>
      </c>
      <c r="B1127" t="str">
        <f>IFERROR(MaterialsBoQ[[#This Row],[Material ]],"")</f>
        <v/>
      </c>
      <c r="C1127" t="str">
        <f>IFERROR(MaterialsBoQ[[#This Row],[Unit]],"")</f>
        <v/>
      </c>
      <c r="D1127" s="322">
        <f>IFERROR(MaterialsBoQ[[#This Row],[Number]],0)</f>
        <v>0</v>
      </c>
      <c r="E1127" s="322">
        <f>IFERROR(MaterialsBoQ[[#This Row],[Kg per unit]],0)</f>
        <v>0</v>
      </c>
      <c r="F1127" s="322">
        <f>IFERROR(Calculations[[#This Row],[Number]]*Calculations[[#This Row],[Conversion factor]],0)</f>
        <v>0</v>
      </c>
      <c r="G1127" s="322">
        <f>IFERROR(VLOOKUP(Calculations[[#This Row],[Material (choose from dropdown]],MaterialData[#All],7,FALSE),0)</f>
        <v>0</v>
      </c>
      <c r="H1127" s="322">
        <f>Calculations[[#This Row],[Total Kg]]*Calculations[[#This Row],[Carbon Factor]]</f>
        <v>0</v>
      </c>
      <c r="I1127" t="str">
        <f>IFERROR(VLOOKUP(Calculations[[#This Row],[Material (choose from dropdown]],MaterialData[#All],2,FALSE),"")</f>
        <v/>
      </c>
      <c r="J1127" s="322">
        <f>IFERROR(((VLOOKUP(Calculations[[#This Row],[TransportSource]],TransportDistance[],2,FALSE)*'Stage assumptions'!$C$11)+VLOOKUP(Calculations[[#This Row],[TransportSource]],TransportDistance[],3,FALSE)*'Stage assumptions'!$C$12)*Calculations[[#This Row],[Total Kg]],0)</f>
        <v>0</v>
      </c>
      <c r="K1127">
        <f>IFERROR(VLOOKUP(Calculations[[#This Row],[Material (choose from dropdown]], MaterialData[#All],3, FALSE),0)</f>
        <v>0</v>
      </c>
      <c r="L1127" s="322">
        <f>IFERROR(VLOOKUP(Calculations[[#This Row],[A5type]],A5WastageRate[#All],2,FALSE)*Calculations[[#This Row],[A1-3]],0)</f>
        <v>0</v>
      </c>
      <c r="N1127">
        <f>IFERROR(ROUNDUP(50/VLOOKUP(Calculations[[#This Row],[Scope Element]],B4referenceServiceLife[[Tier 2 element]:[Default Service Life]],2, FALSE)-1,0),0)</f>
        <v>0</v>
      </c>
      <c r="O1127" s="322">
        <f>IFERROR((Calculations[[#This Row],[A1-3]]+Calculations[[#This Row],[A4]]+Calculations[[#This Row],[A5]]+Calculations[[#This Row],[C2 total]]+Calculations[[#This Row],[C3 total]]+Calculations[[#This Row],[C4 total]])*Calculations[[#This Row],[Replacements]],0)</f>
        <v>0</v>
      </c>
      <c r="S1127" t="str">
        <f>IFERROR(VLOOKUP(Calculations[[#This Row],[Material (choose from dropdown]],MaterialData[#All],4,FALSE),"")</f>
        <v/>
      </c>
      <c r="T1127" s="322" cm="1">
        <f t="array" ref="T1127">IFERROR(VLOOKUP(Calculations[[#This Row],[Waste 1]],WasteScenario[#All],2,FALSE)*'Stage assumptions'!$C$225*WasteTransportMethod[Emissions Factor
kgCO2e/kg.km]*Calculations[[#This Row],[Total Kg]],0)</f>
        <v>0</v>
      </c>
      <c r="U1127" s="322" cm="1">
        <f t="array" ref="U1127">IFERROR(VLOOKUP(Calculations[[#This Row],[Waste 1]],WasteScenario[#All],3,FALSE)*'Stage assumptions'!$C$224*WasteTransportMethod[Emissions Factor
kgCO2e/kg.km]*Calculations[[#This Row],[Total Kg]],0)</f>
        <v>0</v>
      </c>
      <c r="V1127" s="322" cm="1">
        <f t="array" ref="V1127">IFERROR(VLOOKUP(Calculations[[#This Row],[Waste 1]],WasteScenario[#All],4,FALSE)*'Stage assumptions'!$C$223*WasteTransportMethod[Emissions Factor
kgCO2e/kg.km]*Calculations[[#This Row],[Total Kg]],0)</f>
        <v>0</v>
      </c>
      <c r="W1127" s="322" cm="1">
        <f t="array" ref="W1127">IFERROR(VLOOKUP(Calculations[[#This Row],[Waste 1]],WasteScenario[#All],5,FALSE)*'Stage assumptions'!$C$226*WasteTransportMethod[Emissions Factor
kgCO2e/kg.km]*Calculations[[#This Row],[Total Kg]],0)</f>
        <v>0</v>
      </c>
      <c r="X1127" s="322">
        <f>SUM(Calculations[[#This Row],[C2 Recycle]:[C2 Reuse]])</f>
        <v>0</v>
      </c>
      <c r="Y1127" t="str">
        <f>IFERROR(VLOOKUP(Calculations[[#This Row],[Material (choose from dropdown]],MaterialData[#All],5,FALSE),"")</f>
        <v/>
      </c>
      <c r="Z1127" s="322">
        <f>IFERROR(((VLOOKUP(Calculations[[#This Row],[Waste type 2]],WasteDisposalEmissions[#All],2,FALSE))*Calculations[[#This Row],[Total Kg]])*VLOOKUP(Calculations[[#This Row],[Waste 1]],WasteScenario[#All],2,FALSE),0)</f>
        <v>0</v>
      </c>
      <c r="AA1127" s="322">
        <f>IFERROR((VLOOKUP(Calculations[[#This Row],[Waste type 2]],WasteDisposalEmissions[#All],3,FALSE))*Calculations[[#This Row],[Total Kg]]*VLOOKUP(Calculations[[#This Row],[Waste 1]],WasteScenario[#All],3,FALSE),0)</f>
        <v>0</v>
      </c>
      <c r="AB1127" s="322">
        <f>SUM(Calculations[[#This Row],[C3 recyc]:[C3 incin]])</f>
        <v>0</v>
      </c>
      <c r="AC1127" s="334">
        <f>IFERROR((VLOOKUP(Calculations[[#This Row],[Waste type 2]],WasteLandfillEmissions[#All],2,FALSE))*Calculations[[#This Row],[Total Kg]]*VLOOKUP(Calculations[[#This Row],[Waste 1]],WasteScenario[#All],4,FALSE),0)</f>
        <v>0</v>
      </c>
      <c r="AD1127" s="322">
        <f>IFERROR((VLOOKUP(Calculations[[#This Row],[Waste type 2]],WasteLandfillEmissions[#All],3,FALSE))*Calculations[[#This Row],[Total Kg]]*VLOOKUP(Calculations[[#This Row],[Waste 1]],WasteScenario[#All],4,FALSE),0)</f>
        <v>0</v>
      </c>
      <c r="AE1127" s="322">
        <f>SUM(Calculations[[#This Row],[C4 landfill]:[C4 re-use]])</f>
        <v>0</v>
      </c>
      <c r="AF1127" s="322">
        <f>IFERROR(VLOOKUP(Calculations[[#This Row],[Material (choose from dropdown]],MaterialData[#All],8,FALSE),0)</f>
        <v>0</v>
      </c>
      <c r="AG1127" s="322">
        <f>IFERROR(Calculations[[#This Row],[Total Kg]]*Calculations[[#This Row],[Seq factor]],0)</f>
        <v>0</v>
      </c>
      <c r="AI1127" s="322">
        <f>Calculations[[#This Row],[A1-3]]+Calculations[[#This Row],[A4]]+Calculations[[#This Row],[A5]]+Calculations[[#This Row],[B4]]+Calculations[[#This Row],[C2 total]]+Calculations[[#This Row],[C3 total]]+Calculations[[#This Row],[C4 total]]</f>
        <v>0</v>
      </c>
      <c r="AJ1127" s="2">
        <f>IFERROR(VLOOKUP(Calculations[[#This Row],[Material (choose from dropdown]],MaterialData[[#Headers],[#Data]],9,FALSE),0)</f>
        <v>0</v>
      </c>
      <c r="AK1127" s="4">
        <f>IFERROR(VLOOKUP(Calculations[[#This Row],[Material (choose from dropdown]],MaterialData[[#Headers],[#Data]],10,FALSE),0)</f>
        <v>0</v>
      </c>
      <c r="AL1127" s="322">
        <f>IFERROR(Calculations[[#This Row],[Data Quality Score]]*Calculations[[#This Row],[Total Kg]],0)</f>
        <v>0</v>
      </c>
    </row>
    <row r="1128" spans="1:38" x14ac:dyDescent="0.3">
      <c r="A1128" s="6">
        <f>IFERROR(MaterialsBoQ[[#This Row],[Scope Element]],0)</f>
        <v>0</v>
      </c>
      <c r="B1128" t="str">
        <f>IFERROR(MaterialsBoQ[[#This Row],[Material ]],"")</f>
        <v/>
      </c>
      <c r="C1128" t="str">
        <f>IFERROR(MaterialsBoQ[[#This Row],[Unit]],"")</f>
        <v/>
      </c>
      <c r="D1128" s="322">
        <f>IFERROR(MaterialsBoQ[[#This Row],[Number]],0)</f>
        <v>0</v>
      </c>
      <c r="E1128" s="322">
        <f>IFERROR(MaterialsBoQ[[#This Row],[Kg per unit]],0)</f>
        <v>0</v>
      </c>
      <c r="F1128" s="322">
        <f>IFERROR(Calculations[[#This Row],[Number]]*Calculations[[#This Row],[Conversion factor]],0)</f>
        <v>0</v>
      </c>
      <c r="G1128" s="322">
        <f>IFERROR(VLOOKUP(Calculations[[#This Row],[Material (choose from dropdown]],MaterialData[#All],7,FALSE),0)</f>
        <v>0</v>
      </c>
      <c r="H1128" s="322">
        <f>Calculations[[#This Row],[Total Kg]]*Calculations[[#This Row],[Carbon Factor]]</f>
        <v>0</v>
      </c>
      <c r="I1128" t="str">
        <f>IFERROR(VLOOKUP(Calculations[[#This Row],[Material (choose from dropdown]],MaterialData[#All],2,FALSE),"")</f>
        <v/>
      </c>
      <c r="J1128" s="322">
        <f>IFERROR(((VLOOKUP(Calculations[[#This Row],[TransportSource]],TransportDistance[],2,FALSE)*'Stage assumptions'!$C$11)+VLOOKUP(Calculations[[#This Row],[TransportSource]],TransportDistance[],3,FALSE)*'Stage assumptions'!$C$12)*Calculations[[#This Row],[Total Kg]],0)</f>
        <v>0</v>
      </c>
      <c r="K1128">
        <f>IFERROR(VLOOKUP(Calculations[[#This Row],[Material (choose from dropdown]], MaterialData[#All],3, FALSE),0)</f>
        <v>0</v>
      </c>
      <c r="L1128" s="322">
        <f>IFERROR(VLOOKUP(Calculations[[#This Row],[A5type]],A5WastageRate[#All],2,FALSE)*Calculations[[#This Row],[A1-3]],0)</f>
        <v>0</v>
      </c>
      <c r="N1128">
        <f>IFERROR(ROUNDUP(50/VLOOKUP(Calculations[[#This Row],[Scope Element]],B4referenceServiceLife[[Tier 2 element]:[Default Service Life]],2, FALSE)-1,0),0)</f>
        <v>0</v>
      </c>
      <c r="O1128" s="322">
        <f>IFERROR((Calculations[[#This Row],[A1-3]]+Calculations[[#This Row],[A4]]+Calculations[[#This Row],[A5]]+Calculations[[#This Row],[C2 total]]+Calculations[[#This Row],[C3 total]]+Calculations[[#This Row],[C4 total]])*Calculations[[#This Row],[Replacements]],0)</f>
        <v>0</v>
      </c>
      <c r="S1128" t="str">
        <f>IFERROR(VLOOKUP(Calculations[[#This Row],[Material (choose from dropdown]],MaterialData[#All],4,FALSE),"")</f>
        <v/>
      </c>
      <c r="T1128" s="322" cm="1">
        <f t="array" ref="T1128">IFERROR(VLOOKUP(Calculations[[#This Row],[Waste 1]],WasteScenario[#All],2,FALSE)*'Stage assumptions'!$C$225*WasteTransportMethod[Emissions Factor
kgCO2e/kg.km]*Calculations[[#This Row],[Total Kg]],0)</f>
        <v>0</v>
      </c>
      <c r="U1128" s="322" cm="1">
        <f t="array" ref="U1128">IFERROR(VLOOKUP(Calculations[[#This Row],[Waste 1]],WasteScenario[#All],3,FALSE)*'Stage assumptions'!$C$224*WasteTransportMethod[Emissions Factor
kgCO2e/kg.km]*Calculations[[#This Row],[Total Kg]],0)</f>
        <v>0</v>
      </c>
      <c r="V1128" s="322" cm="1">
        <f t="array" ref="V1128">IFERROR(VLOOKUP(Calculations[[#This Row],[Waste 1]],WasteScenario[#All],4,FALSE)*'Stage assumptions'!$C$223*WasteTransportMethod[Emissions Factor
kgCO2e/kg.km]*Calculations[[#This Row],[Total Kg]],0)</f>
        <v>0</v>
      </c>
      <c r="W1128" s="322" cm="1">
        <f t="array" ref="W1128">IFERROR(VLOOKUP(Calculations[[#This Row],[Waste 1]],WasteScenario[#All],5,FALSE)*'Stage assumptions'!$C$226*WasteTransportMethod[Emissions Factor
kgCO2e/kg.km]*Calculations[[#This Row],[Total Kg]],0)</f>
        <v>0</v>
      </c>
      <c r="X1128" s="322">
        <f>SUM(Calculations[[#This Row],[C2 Recycle]:[C2 Reuse]])</f>
        <v>0</v>
      </c>
      <c r="Y1128" t="str">
        <f>IFERROR(VLOOKUP(Calculations[[#This Row],[Material (choose from dropdown]],MaterialData[#All],5,FALSE),"")</f>
        <v/>
      </c>
      <c r="Z1128" s="322">
        <f>IFERROR(((VLOOKUP(Calculations[[#This Row],[Waste type 2]],WasteDisposalEmissions[#All],2,FALSE))*Calculations[[#This Row],[Total Kg]])*VLOOKUP(Calculations[[#This Row],[Waste 1]],WasteScenario[#All],2,FALSE),0)</f>
        <v>0</v>
      </c>
      <c r="AA1128" s="322">
        <f>IFERROR((VLOOKUP(Calculations[[#This Row],[Waste type 2]],WasteDisposalEmissions[#All],3,FALSE))*Calculations[[#This Row],[Total Kg]]*VLOOKUP(Calculations[[#This Row],[Waste 1]],WasteScenario[#All],3,FALSE),0)</f>
        <v>0</v>
      </c>
      <c r="AB1128" s="322">
        <f>SUM(Calculations[[#This Row],[C3 recyc]:[C3 incin]])</f>
        <v>0</v>
      </c>
      <c r="AC1128" s="334">
        <f>IFERROR((VLOOKUP(Calculations[[#This Row],[Waste type 2]],WasteLandfillEmissions[#All],2,FALSE))*Calculations[[#This Row],[Total Kg]]*VLOOKUP(Calculations[[#This Row],[Waste 1]],WasteScenario[#All],4,FALSE),0)</f>
        <v>0</v>
      </c>
      <c r="AD1128" s="322">
        <f>IFERROR((VLOOKUP(Calculations[[#This Row],[Waste type 2]],WasteLandfillEmissions[#All],3,FALSE))*Calculations[[#This Row],[Total Kg]]*VLOOKUP(Calculations[[#This Row],[Waste 1]],WasteScenario[#All],4,FALSE),0)</f>
        <v>0</v>
      </c>
      <c r="AE1128" s="322">
        <f>SUM(Calculations[[#This Row],[C4 landfill]:[C4 re-use]])</f>
        <v>0</v>
      </c>
      <c r="AF1128" s="322">
        <f>IFERROR(VLOOKUP(Calculations[[#This Row],[Material (choose from dropdown]],MaterialData[#All],8,FALSE),0)</f>
        <v>0</v>
      </c>
      <c r="AG1128" s="322">
        <f>IFERROR(Calculations[[#This Row],[Total Kg]]*Calculations[[#This Row],[Seq factor]],0)</f>
        <v>0</v>
      </c>
      <c r="AI1128" s="322">
        <f>Calculations[[#This Row],[A1-3]]+Calculations[[#This Row],[A4]]+Calculations[[#This Row],[A5]]+Calculations[[#This Row],[B4]]+Calculations[[#This Row],[C2 total]]+Calculations[[#This Row],[C3 total]]+Calculations[[#This Row],[C4 total]]</f>
        <v>0</v>
      </c>
      <c r="AJ1128" s="2">
        <f>IFERROR(VLOOKUP(Calculations[[#This Row],[Material (choose from dropdown]],MaterialData[[#Headers],[#Data]],9,FALSE),0)</f>
        <v>0</v>
      </c>
      <c r="AK1128" s="4">
        <f>IFERROR(VLOOKUP(Calculations[[#This Row],[Material (choose from dropdown]],MaterialData[[#Headers],[#Data]],10,FALSE),0)</f>
        <v>0</v>
      </c>
      <c r="AL1128" s="322">
        <f>IFERROR(Calculations[[#This Row],[Data Quality Score]]*Calculations[[#This Row],[Total Kg]],0)</f>
        <v>0</v>
      </c>
    </row>
    <row r="1129" spans="1:38" x14ac:dyDescent="0.3">
      <c r="A1129" s="6">
        <f>IFERROR(MaterialsBoQ[[#This Row],[Scope Element]],0)</f>
        <v>0</v>
      </c>
      <c r="B1129" t="str">
        <f>IFERROR(MaterialsBoQ[[#This Row],[Material ]],"")</f>
        <v/>
      </c>
      <c r="C1129" t="str">
        <f>IFERROR(MaterialsBoQ[[#This Row],[Unit]],"")</f>
        <v/>
      </c>
      <c r="D1129" s="322">
        <f>IFERROR(MaterialsBoQ[[#This Row],[Number]],0)</f>
        <v>0</v>
      </c>
      <c r="E1129" s="322">
        <f>IFERROR(MaterialsBoQ[[#This Row],[Kg per unit]],0)</f>
        <v>0</v>
      </c>
      <c r="F1129" s="322">
        <f>IFERROR(Calculations[[#This Row],[Number]]*Calculations[[#This Row],[Conversion factor]],0)</f>
        <v>0</v>
      </c>
      <c r="G1129" s="322">
        <f>IFERROR(VLOOKUP(Calculations[[#This Row],[Material (choose from dropdown]],MaterialData[#All],7,FALSE),0)</f>
        <v>0</v>
      </c>
      <c r="H1129" s="322">
        <f>Calculations[[#This Row],[Total Kg]]*Calculations[[#This Row],[Carbon Factor]]</f>
        <v>0</v>
      </c>
      <c r="I1129" t="str">
        <f>IFERROR(VLOOKUP(Calculations[[#This Row],[Material (choose from dropdown]],MaterialData[#All],2,FALSE),"")</f>
        <v/>
      </c>
      <c r="J1129" s="322">
        <f>IFERROR(((VLOOKUP(Calculations[[#This Row],[TransportSource]],TransportDistance[],2,FALSE)*'Stage assumptions'!$C$11)+VLOOKUP(Calculations[[#This Row],[TransportSource]],TransportDistance[],3,FALSE)*'Stage assumptions'!$C$12)*Calculations[[#This Row],[Total Kg]],0)</f>
        <v>0</v>
      </c>
      <c r="K1129">
        <f>IFERROR(VLOOKUP(Calculations[[#This Row],[Material (choose from dropdown]], MaterialData[#All],3, FALSE),0)</f>
        <v>0</v>
      </c>
      <c r="L1129" s="322">
        <f>IFERROR(VLOOKUP(Calculations[[#This Row],[A5type]],A5WastageRate[#All],2,FALSE)*Calculations[[#This Row],[A1-3]],0)</f>
        <v>0</v>
      </c>
      <c r="N1129">
        <f>IFERROR(ROUNDUP(50/VLOOKUP(Calculations[[#This Row],[Scope Element]],B4referenceServiceLife[[Tier 2 element]:[Default Service Life]],2, FALSE)-1,0),0)</f>
        <v>0</v>
      </c>
      <c r="O1129" s="322">
        <f>IFERROR((Calculations[[#This Row],[A1-3]]+Calculations[[#This Row],[A4]]+Calculations[[#This Row],[A5]]+Calculations[[#This Row],[C2 total]]+Calculations[[#This Row],[C3 total]]+Calculations[[#This Row],[C4 total]])*Calculations[[#This Row],[Replacements]],0)</f>
        <v>0</v>
      </c>
      <c r="S1129" t="str">
        <f>IFERROR(VLOOKUP(Calculations[[#This Row],[Material (choose from dropdown]],MaterialData[#All],4,FALSE),"")</f>
        <v/>
      </c>
      <c r="T1129" s="322" cm="1">
        <f t="array" ref="T1129">IFERROR(VLOOKUP(Calculations[[#This Row],[Waste 1]],WasteScenario[#All],2,FALSE)*'Stage assumptions'!$C$225*WasteTransportMethod[Emissions Factor
kgCO2e/kg.km]*Calculations[[#This Row],[Total Kg]],0)</f>
        <v>0</v>
      </c>
      <c r="U1129" s="322" cm="1">
        <f t="array" ref="U1129">IFERROR(VLOOKUP(Calculations[[#This Row],[Waste 1]],WasteScenario[#All],3,FALSE)*'Stage assumptions'!$C$224*WasteTransportMethod[Emissions Factor
kgCO2e/kg.km]*Calculations[[#This Row],[Total Kg]],0)</f>
        <v>0</v>
      </c>
      <c r="V1129" s="322" cm="1">
        <f t="array" ref="V1129">IFERROR(VLOOKUP(Calculations[[#This Row],[Waste 1]],WasteScenario[#All],4,FALSE)*'Stage assumptions'!$C$223*WasteTransportMethod[Emissions Factor
kgCO2e/kg.km]*Calculations[[#This Row],[Total Kg]],0)</f>
        <v>0</v>
      </c>
      <c r="W1129" s="322" cm="1">
        <f t="array" ref="W1129">IFERROR(VLOOKUP(Calculations[[#This Row],[Waste 1]],WasteScenario[#All],5,FALSE)*'Stage assumptions'!$C$226*WasteTransportMethod[Emissions Factor
kgCO2e/kg.km]*Calculations[[#This Row],[Total Kg]],0)</f>
        <v>0</v>
      </c>
      <c r="X1129" s="322">
        <f>SUM(Calculations[[#This Row],[C2 Recycle]:[C2 Reuse]])</f>
        <v>0</v>
      </c>
      <c r="Y1129" t="str">
        <f>IFERROR(VLOOKUP(Calculations[[#This Row],[Material (choose from dropdown]],MaterialData[#All],5,FALSE),"")</f>
        <v/>
      </c>
      <c r="Z1129" s="322">
        <f>IFERROR(((VLOOKUP(Calculations[[#This Row],[Waste type 2]],WasteDisposalEmissions[#All],2,FALSE))*Calculations[[#This Row],[Total Kg]])*VLOOKUP(Calculations[[#This Row],[Waste 1]],WasteScenario[#All],2,FALSE),0)</f>
        <v>0</v>
      </c>
      <c r="AA1129" s="322">
        <f>IFERROR((VLOOKUP(Calculations[[#This Row],[Waste type 2]],WasteDisposalEmissions[#All],3,FALSE))*Calculations[[#This Row],[Total Kg]]*VLOOKUP(Calculations[[#This Row],[Waste 1]],WasteScenario[#All],3,FALSE),0)</f>
        <v>0</v>
      </c>
      <c r="AB1129" s="322">
        <f>SUM(Calculations[[#This Row],[C3 recyc]:[C3 incin]])</f>
        <v>0</v>
      </c>
      <c r="AC1129" s="334">
        <f>IFERROR((VLOOKUP(Calculations[[#This Row],[Waste type 2]],WasteLandfillEmissions[#All],2,FALSE))*Calculations[[#This Row],[Total Kg]]*VLOOKUP(Calculations[[#This Row],[Waste 1]],WasteScenario[#All],4,FALSE),0)</f>
        <v>0</v>
      </c>
      <c r="AD1129" s="322">
        <f>IFERROR((VLOOKUP(Calculations[[#This Row],[Waste type 2]],WasteLandfillEmissions[#All],3,FALSE))*Calculations[[#This Row],[Total Kg]]*VLOOKUP(Calculations[[#This Row],[Waste 1]],WasteScenario[#All],4,FALSE),0)</f>
        <v>0</v>
      </c>
      <c r="AE1129" s="322">
        <f>SUM(Calculations[[#This Row],[C4 landfill]:[C4 re-use]])</f>
        <v>0</v>
      </c>
      <c r="AF1129" s="322">
        <f>IFERROR(VLOOKUP(Calculations[[#This Row],[Material (choose from dropdown]],MaterialData[#All],8,FALSE),0)</f>
        <v>0</v>
      </c>
      <c r="AG1129" s="322">
        <f>IFERROR(Calculations[[#This Row],[Total Kg]]*Calculations[[#This Row],[Seq factor]],0)</f>
        <v>0</v>
      </c>
      <c r="AI1129" s="322">
        <f>Calculations[[#This Row],[A1-3]]+Calculations[[#This Row],[A4]]+Calculations[[#This Row],[A5]]+Calculations[[#This Row],[B4]]+Calculations[[#This Row],[C2 total]]+Calculations[[#This Row],[C3 total]]+Calculations[[#This Row],[C4 total]]</f>
        <v>0</v>
      </c>
      <c r="AJ1129" s="2">
        <f>IFERROR(VLOOKUP(Calculations[[#This Row],[Material (choose from dropdown]],MaterialData[[#Headers],[#Data]],9,FALSE),0)</f>
        <v>0</v>
      </c>
      <c r="AK1129" s="4">
        <f>IFERROR(VLOOKUP(Calculations[[#This Row],[Material (choose from dropdown]],MaterialData[[#Headers],[#Data]],10,FALSE),0)</f>
        <v>0</v>
      </c>
      <c r="AL1129" s="322">
        <f>IFERROR(Calculations[[#This Row],[Data Quality Score]]*Calculations[[#This Row],[Total Kg]],0)</f>
        <v>0</v>
      </c>
    </row>
    <row r="1130" spans="1:38" x14ac:dyDescent="0.3">
      <c r="A1130" s="6">
        <f>IFERROR(MaterialsBoQ[[#This Row],[Scope Element]],0)</f>
        <v>0</v>
      </c>
      <c r="B1130" t="str">
        <f>IFERROR(MaterialsBoQ[[#This Row],[Material ]],"")</f>
        <v/>
      </c>
      <c r="C1130" t="str">
        <f>IFERROR(MaterialsBoQ[[#This Row],[Unit]],"")</f>
        <v/>
      </c>
      <c r="D1130" s="322">
        <f>IFERROR(MaterialsBoQ[[#This Row],[Number]],0)</f>
        <v>0</v>
      </c>
      <c r="E1130" s="322">
        <f>IFERROR(MaterialsBoQ[[#This Row],[Kg per unit]],0)</f>
        <v>0</v>
      </c>
      <c r="F1130" s="322">
        <f>IFERROR(Calculations[[#This Row],[Number]]*Calculations[[#This Row],[Conversion factor]],0)</f>
        <v>0</v>
      </c>
      <c r="G1130" s="322">
        <f>IFERROR(VLOOKUP(Calculations[[#This Row],[Material (choose from dropdown]],MaterialData[#All],7,FALSE),0)</f>
        <v>0</v>
      </c>
      <c r="H1130" s="322">
        <f>Calculations[[#This Row],[Total Kg]]*Calculations[[#This Row],[Carbon Factor]]</f>
        <v>0</v>
      </c>
      <c r="I1130" t="str">
        <f>IFERROR(VLOOKUP(Calculations[[#This Row],[Material (choose from dropdown]],MaterialData[#All],2,FALSE),"")</f>
        <v/>
      </c>
      <c r="J1130" s="322">
        <f>IFERROR(((VLOOKUP(Calculations[[#This Row],[TransportSource]],TransportDistance[],2,FALSE)*'Stage assumptions'!$C$11)+VLOOKUP(Calculations[[#This Row],[TransportSource]],TransportDistance[],3,FALSE)*'Stage assumptions'!$C$12)*Calculations[[#This Row],[Total Kg]],0)</f>
        <v>0</v>
      </c>
      <c r="K1130">
        <f>IFERROR(VLOOKUP(Calculations[[#This Row],[Material (choose from dropdown]], MaterialData[#All],3, FALSE),0)</f>
        <v>0</v>
      </c>
      <c r="L1130" s="322">
        <f>IFERROR(VLOOKUP(Calculations[[#This Row],[A5type]],A5WastageRate[#All],2,FALSE)*Calculations[[#This Row],[A1-3]],0)</f>
        <v>0</v>
      </c>
      <c r="N1130">
        <f>IFERROR(ROUNDUP(50/VLOOKUP(Calculations[[#This Row],[Scope Element]],B4referenceServiceLife[[Tier 2 element]:[Default Service Life]],2, FALSE)-1,0),0)</f>
        <v>0</v>
      </c>
      <c r="O1130" s="322">
        <f>IFERROR((Calculations[[#This Row],[A1-3]]+Calculations[[#This Row],[A4]]+Calculations[[#This Row],[A5]]+Calculations[[#This Row],[C2 total]]+Calculations[[#This Row],[C3 total]]+Calculations[[#This Row],[C4 total]])*Calculations[[#This Row],[Replacements]],0)</f>
        <v>0</v>
      </c>
      <c r="S1130" t="str">
        <f>IFERROR(VLOOKUP(Calculations[[#This Row],[Material (choose from dropdown]],MaterialData[#All],4,FALSE),"")</f>
        <v/>
      </c>
      <c r="T1130" s="322" cm="1">
        <f t="array" ref="T1130">IFERROR(VLOOKUP(Calculations[[#This Row],[Waste 1]],WasteScenario[#All],2,FALSE)*'Stage assumptions'!$C$225*WasteTransportMethod[Emissions Factor
kgCO2e/kg.km]*Calculations[[#This Row],[Total Kg]],0)</f>
        <v>0</v>
      </c>
      <c r="U1130" s="322" cm="1">
        <f t="array" ref="U1130">IFERROR(VLOOKUP(Calculations[[#This Row],[Waste 1]],WasteScenario[#All],3,FALSE)*'Stage assumptions'!$C$224*WasteTransportMethod[Emissions Factor
kgCO2e/kg.km]*Calculations[[#This Row],[Total Kg]],0)</f>
        <v>0</v>
      </c>
      <c r="V1130" s="322" cm="1">
        <f t="array" ref="V1130">IFERROR(VLOOKUP(Calculations[[#This Row],[Waste 1]],WasteScenario[#All],4,FALSE)*'Stage assumptions'!$C$223*WasteTransportMethod[Emissions Factor
kgCO2e/kg.km]*Calculations[[#This Row],[Total Kg]],0)</f>
        <v>0</v>
      </c>
      <c r="W1130" s="322" cm="1">
        <f t="array" ref="W1130">IFERROR(VLOOKUP(Calculations[[#This Row],[Waste 1]],WasteScenario[#All],5,FALSE)*'Stage assumptions'!$C$226*WasteTransportMethod[Emissions Factor
kgCO2e/kg.km]*Calculations[[#This Row],[Total Kg]],0)</f>
        <v>0</v>
      </c>
      <c r="X1130" s="322">
        <f>SUM(Calculations[[#This Row],[C2 Recycle]:[C2 Reuse]])</f>
        <v>0</v>
      </c>
      <c r="Y1130" t="str">
        <f>IFERROR(VLOOKUP(Calculations[[#This Row],[Material (choose from dropdown]],MaterialData[#All],5,FALSE),"")</f>
        <v/>
      </c>
      <c r="Z1130" s="322">
        <f>IFERROR(((VLOOKUP(Calculations[[#This Row],[Waste type 2]],WasteDisposalEmissions[#All],2,FALSE))*Calculations[[#This Row],[Total Kg]])*VLOOKUP(Calculations[[#This Row],[Waste 1]],WasteScenario[#All],2,FALSE),0)</f>
        <v>0</v>
      </c>
      <c r="AA1130" s="322">
        <f>IFERROR((VLOOKUP(Calculations[[#This Row],[Waste type 2]],WasteDisposalEmissions[#All],3,FALSE))*Calculations[[#This Row],[Total Kg]]*VLOOKUP(Calculations[[#This Row],[Waste 1]],WasteScenario[#All],3,FALSE),0)</f>
        <v>0</v>
      </c>
      <c r="AB1130" s="322">
        <f>SUM(Calculations[[#This Row],[C3 recyc]:[C3 incin]])</f>
        <v>0</v>
      </c>
      <c r="AC1130" s="334">
        <f>IFERROR((VLOOKUP(Calculations[[#This Row],[Waste type 2]],WasteLandfillEmissions[#All],2,FALSE))*Calculations[[#This Row],[Total Kg]]*VLOOKUP(Calculations[[#This Row],[Waste 1]],WasteScenario[#All],4,FALSE),0)</f>
        <v>0</v>
      </c>
      <c r="AD1130" s="322">
        <f>IFERROR((VLOOKUP(Calculations[[#This Row],[Waste type 2]],WasteLandfillEmissions[#All],3,FALSE))*Calculations[[#This Row],[Total Kg]]*VLOOKUP(Calculations[[#This Row],[Waste 1]],WasteScenario[#All],4,FALSE),0)</f>
        <v>0</v>
      </c>
      <c r="AE1130" s="322">
        <f>SUM(Calculations[[#This Row],[C4 landfill]:[C4 re-use]])</f>
        <v>0</v>
      </c>
      <c r="AF1130" s="322">
        <f>IFERROR(VLOOKUP(Calculations[[#This Row],[Material (choose from dropdown]],MaterialData[#All],8,FALSE),0)</f>
        <v>0</v>
      </c>
      <c r="AG1130" s="322">
        <f>IFERROR(Calculations[[#This Row],[Total Kg]]*Calculations[[#This Row],[Seq factor]],0)</f>
        <v>0</v>
      </c>
      <c r="AI1130" s="322">
        <f>Calculations[[#This Row],[A1-3]]+Calculations[[#This Row],[A4]]+Calculations[[#This Row],[A5]]+Calculations[[#This Row],[B4]]+Calculations[[#This Row],[C2 total]]+Calculations[[#This Row],[C3 total]]+Calculations[[#This Row],[C4 total]]</f>
        <v>0</v>
      </c>
      <c r="AJ1130" s="2">
        <f>IFERROR(VLOOKUP(Calculations[[#This Row],[Material (choose from dropdown]],MaterialData[[#Headers],[#Data]],9,FALSE),0)</f>
        <v>0</v>
      </c>
      <c r="AK1130" s="4">
        <f>IFERROR(VLOOKUP(Calculations[[#This Row],[Material (choose from dropdown]],MaterialData[[#Headers],[#Data]],10,FALSE),0)</f>
        <v>0</v>
      </c>
      <c r="AL1130" s="322">
        <f>IFERROR(Calculations[[#This Row],[Data Quality Score]]*Calculations[[#This Row],[Total Kg]],0)</f>
        <v>0</v>
      </c>
    </row>
    <row r="1131" spans="1:38" x14ac:dyDescent="0.3">
      <c r="A1131" s="6">
        <f>IFERROR(MaterialsBoQ[[#This Row],[Scope Element]],0)</f>
        <v>0</v>
      </c>
      <c r="B1131" t="str">
        <f>IFERROR(MaterialsBoQ[[#This Row],[Material ]],"")</f>
        <v/>
      </c>
      <c r="C1131" t="str">
        <f>IFERROR(MaterialsBoQ[[#This Row],[Unit]],"")</f>
        <v/>
      </c>
      <c r="D1131" s="322">
        <f>IFERROR(MaterialsBoQ[[#This Row],[Number]],0)</f>
        <v>0</v>
      </c>
      <c r="E1131" s="322">
        <f>IFERROR(MaterialsBoQ[[#This Row],[Kg per unit]],0)</f>
        <v>0</v>
      </c>
      <c r="F1131" s="322">
        <f>IFERROR(Calculations[[#This Row],[Number]]*Calculations[[#This Row],[Conversion factor]],0)</f>
        <v>0</v>
      </c>
      <c r="G1131" s="322">
        <f>IFERROR(VLOOKUP(Calculations[[#This Row],[Material (choose from dropdown]],MaterialData[#All],7,FALSE),0)</f>
        <v>0</v>
      </c>
      <c r="H1131" s="322">
        <f>Calculations[[#This Row],[Total Kg]]*Calculations[[#This Row],[Carbon Factor]]</f>
        <v>0</v>
      </c>
      <c r="I1131" t="str">
        <f>IFERROR(VLOOKUP(Calculations[[#This Row],[Material (choose from dropdown]],MaterialData[#All],2,FALSE),"")</f>
        <v/>
      </c>
      <c r="J1131" s="322">
        <f>IFERROR(((VLOOKUP(Calculations[[#This Row],[TransportSource]],TransportDistance[],2,FALSE)*'Stage assumptions'!$C$11)+VLOOKUP(Calculations[[#This Row],[TransportSource]],TransportDistance[],3,FALSE)*'Stage assumptions'!$C$12)*Calculations[[#This Row],[Total Kg]],0)</f>
        <v>0</v>
      </c>
      <c r="K1131">
        <f>IFERROR(VLOOKUP(Calculations[[#This Row],[Material (choose from dropdown]], MaterialData[#All],3, FALSE),0)</f>
        <v>0</v>
      </c>
      <c r="L1131" s="322">
        <f>IFERROR(VLOOKUP(Calculations[[#This Row],[A5type]],A5WastageRate[#All],2,FALSE)*Calculations[[#This Row],[A1-3]],0)</f>
        <v>0</v>
      </c>
      <c r="N1131">
        <f>IFERROR(ROUNDUP(50/VLOOKUP(Calculations[[#This Row],[Scope Element]],B4referenceServiceLife[[Tier 2 element]:[Default Service Life]],2, FALSE)-1,0),0)</f>
        <v>0</v>
      </c>
      <c r="O1131" s="322">
        <f>IFERROR((Calculations[[#This Row],[A1-3]]+Calculations[[#This Row],[A4]]+Calculations[[#This Row],[A5]]+Calculations[[#This Row],[C2 total]]+Calculations[[#This Row],[C3 total]]+Calculations[[#This Row],[C4 total]])*Calculations[[#This Row],[Replacements]],0)</f>
        <v>0</v>
      </c>
      <c r="S1131" t="str">
        <f>IFERROR(VLOOKUP(Calculations[[#This Row],[Material (choose from dropdown]],MaterialData[#All],4,FALSE),"")</f>
        <v/>
      </c>
      <c r="T1131" s="322" cm="1">
        <f t="array" ref="T1131">IFERROR(VLOOKUP(Calculations[[#This Row],[Waste 1]],WasteScenario[#All],2,FALSE)*'Stage assumptions'!$C$225*WasteTransportMethod[Emissions Factor
kgCO2e/kg.km]*Calculations[[#This Row],[Total Kg]],0)</f>
        <v>0</v>
      </c>
      <c r="U1131" s="322" cm="1">
        <f t="array" ref="U1131">IFERROR(VLOOKUP(Calculations[[#This Row],[Waste 1]],WasteScenario[#All],3,FALSE)*'Stage assumptions'!$C$224*WasteTransportMethod[Emissions Factor
kgCO2e/kg.km]*Calculations[[#This Row],[Total Kg]],0)</f>
        <v>0</v>
      </c>
      <c r="V1131" s="322" cm="1">
        <f t="array" ref="V1131">IFERROR(VLOOKUP(Calculations[[#This Row],[Waste 1]],WasteScenario[#All],4,FALSE)*'Stage assumptions'!$C$223*WasteTransportMethod[Emissions Factor
kgCO2e/kg.km]*Calculations[[#This Row],[Total Kg]],0)</f>
        <v>0</v>
      </c>
      <c r="W1131" s="322" cm="1">
        <f t="array" ref="W1131">IFERROR(VLOOKUP(Calculations[[#This Row],[Waste 1]],WasteScenario[#All],5,FALSE)*'Stage assumptions'!$C$226*WasteTransportMethod[Emissions Factor
kgCO2e/kg.km]*Calculations[[#This Row],[Total Kg]],0)</f>
        <v>0</v>
      </c>
      <c r="X1131" s="322">
        <f>SUM(Calculations[[#This Row],[C2 Recycle]:[C2 Reuse]])</f>
        <v>0</v>
      </c>
      <c r="Y1131" t="str">
        <f>IFERROR(VLOOKUP(Calculations[[#This Row],[Material (choose from dropdown]],MaterialData[#All],5,FALSE),"")</f>
        <v/>
      </c>
      <c r="Z1131" s="322">
        <f>IFERROR(((VLOOKUP(Calculations[[#This Row],[Waste type 2]],WasteDisposalEmissions[#All],2,FALSE))*Calculations[[#This Row],[Total Kg]])*VLOOKUP(Calculations[[#This Row],[Waste 1]],WasteScenario[#All],2,FALSE),0)</f>
        <v>0</v>
      </c>
      <c r="AA1131" s="322">
        <f>IFERROR((VLOOKUP(Calculations[[#This Row],[Waste type 2]],WasteDisposalEmissions[#All],3,FALSE))*Calculations[[#This Row],[Total Kg]]*VLOOKUP(Calculations[[#This Row],[Waste 1]],WasteScenario[#All],3,FALSE),0)</f>
        <v>0</v>
      </c>
      <c r="AB1131" s="322">
        <f>SUM(Calculations[[#This Row],[C3 recyc]:[C3 incin]])</f>
        <v>0</v>
      </c>
      <c r="AC1131" s="334">
        <f>IFERROR((VLOOKUP(Calculations[[#This Row],[Waste type 2]],WasteLandfillEmissions[#All],2,FALSE))*Calculations[[#This Row],[Total Kg]]*VLOOKUP(Calculations[[#This Row],[Waste 1]],WasteScenario[#All],4,FALSE),0)</f>
        <v>0</v>
      </c>
      <c r="AD1131" s="322">
        <f>IFERROR((VLOOKUP(Calculations[[#This Row],[Waste type 2]],WasteLandfillEmissions[#All],3,FALSE))*Calculations[[#This Row],[Total Kg]]*VLOOKUP(Calculations[[#This Row],[Waste 1]],WasteScenario[#All],4,FALSE),0)</f>
        <v>0</v>
      </c>
      <c r="AE1131" s="322">
        <f>SUM(Calculations[[#This Row],[C4 landfill]:[C4 re-use]])</f>
        <v>0</v>
      </c>
      <c r="AF1131" s="322">
        <f>IFERROR(VLOOKUP(Calculations[[#This Row],[Material (choose from dropdown]],MaterialData[#All],8,FALSE),0)</f>
        <v>0</v>
      </c>
      <c r="AG1131" s="322">
        <f>IFERROR(Calculations[[#This Row],[Total Kg]]*Calculations[[#This Row],[Seq factor]],0)</f>
        <v>0</v>
      </c>
      <c r="AI1131" s="322">
        <f>Calculations[[#This Row],[A1-3]]+Calculations[[#This Row],[A4]]+Calculations[[#This Row],[A5]]+Calculations[[#This Row],[B4]]+Calculations[[#This Row],[C2 total]]+Calculations[[#This Row],[C3 total]]+Calculations[[#This Row],[C4 total]]</f>
        <v>0</v>
      </c>
      <c r="AJ1131" s="2">
        <f>IFERROR(VLOOKUP(Calculations[[#This Row],[Material (choose from dropdown]],MaterialData[[#Headers],[#Data]],9,FALSE),0)</f>
        <v>0</v>
      </c>
      <c r="AK1131" s="4">
        <f>IFERROR(VLOOKUP(Calculations[[#This Row],[Material (choose from dropdown]],MaterialData[[#Headers],[#Data]],10,FALSE),0)</f>
        <v>0</v>
      </c>
      <c r="AL1131" s="322">
        <f>IFERROR(Calculations[[#This Row],[Data Quality Score]]*Calculations[[#This Row],[Total Kg]],0)</f>
        <v>0</v>
      </c>
    </row>
    <row r="1132" spans="1:38" x14ac:dyDescent="0.3">
      <c r="A1132" s="6">
        <f>IFERROR(MaterialsBoQ[[#This Row],[Scope Element]],0)</f>
        <v>0</v>
      </c>
      <c r="B1132" t="str">
        <f>IFERROR(MaterialsBoQ[[#This Row],[Material ]],"")</f>
        <v/>
      </c>
      <c r="C1132" t="str">
        <f>IFERROR(MaterialsBoQ[[#This Row],[Unit]],"")</f>
        <v/>
      </c>
      <c r="D1132" s="322">
        <f>IFERROR(MaterialsBoQ[[#This Row],[Number]],0)</f>
        <v>0</v>
      </c>
      <c r="E1132" s="322">
        <f>IFERROR(MaterialsBoQ[[#This Row],[Kg per unit]],0)</f>
        <v>0</v>
      </c>
      <c r="F1132" s="322">
        <f>IFERROR(Calculations[[#This Row],[Number]]*Calculations[[#This Row],[Conversion factor]],0)</f>
        <v>0</v>
      </c>
      <c r="G1132" s="322">
        <f>IFERROR(VLOOKUP(Calculations[[#This Row],[Material (choose from dropdown]],MaterialData[#All],7,FALSE),0)</f>
        <v>0</v>
      </c>
      <c r="H1132" s="322">
        <f>Calculations[[#This Row],[Total Kg]]*Calculations[[#This Row],[Carbon Factor]]</f>
        <v>0</v>
      </c>
      <c r="I1132" t="str">
        <f>IFERROR(VLOOKUP(Calculations[[#This Row],[Material (choose from dropdown]],MaterialData[#All],2,FALSE),"")</f>
        <v/>
      </c>
      <c r="J1132" s="322">
        <f>IFERROR(((VLOOKUP(Calculations[[#This Row],[TransportSource]],TransportDistance[],2,FALSE)*'Stage assumptions'!$C$11)+VLOOKUP(Calculations[[#This Row],[TransportSource]],TransportDistance[],3,FALSE)*'Stage assumptions'!$C$12)*Calculations[[#This Row],[Total Kg]],0)</f>
        <v>0</v>
      </c>
      <c r="K1132">
        <f>IFERROR(VLOOKUP(Calculations[[#This Row],[Material (choose from dropdown]], MaterialData[#All],3, FALSE),0)</f>
        <v>0</v>
      </c>
      <c r="L1132" s="322">
        <f>IFERROR(VLOOKUP(Calculations[[#This Row],[A5type]],A5WastageRate[#All],2,FALSE)*Calculations[[#This Row],[A1-3]],0)</f>
        <v>0</v>
      </c>
      <c r="N1132">
        <f>IFERROR(ROUNDUP(50/VLOOKUP(Calculations[[#This Row],[Scope Element]],B4referenceServiceLife[[Tier 2 element]:[Default Service Life]],2, FALSE)-1,0),0)</f>
        <v>0</v>
      </c>
      <c r="O1132" s="322">
        <f>IFERROR((Calculations[[#This Row],[A1-3]]+Calculations[[#This Row],[A4]]+Calculations[[#This Row],[A5]]+Calculations[[#This Row],[C2 total]]+Calculations[[#This Row],[C3 total]]+Calculations[[#This Row],[C4 total]])*Calculations[[#This Row],[Replacements]],0)</f>
        <v>0</v>
      </c>
      <c r="S1132" t="str">
        <f>IFERROR(VLOOKUP(Calculations[[#This Row],[Material (choose from dropdown]],MaterialData[#All],4,FALSE),"")</f>
        <v/>
      </c>
      <c r="T1132" s="322" cm="1">
        <f t="array" ref="T1132">IFERROR(VLOOKUP(Calculations[[#This Row],[Waste 1]],WasteScenario[#All],2,FALSE)*'Stage assumptions'!$C$225*WasteTransportMethod[Emissions Factor
kgCO2e/kg.km]*Calculations[[#This Row],[Total Kg]],0)</f>
        <v>0</v>
      </c>
      <c r="U1132" s="322" cm="1">
        <f t="array" ref="U1132">IFERROR(VLOOKUP(Calculations[[#This Row],[Waste 1]],WasteScenario[#All],3,FALSE)*'Stage assumptions'!$C$224*WasteTransportMethod[Emissions Factor
kgCO2e/kg.km]*Calculations[[#This Row],[Total Kg]],0)</f>
        <v>0</v>
      </c>
      <c r="V1132" s="322" cm="1">
        <f t="array" ref="V1132">IFERROR(VLOOKUP(Calculations[[#This Row],[Waste 1]],WasteScenario[#All],4,FALSE)*'Stage assumptions'!$C$223*WasteTransportMethod[Emissions Factor
kgCO2e/kg.km]*Calculations[[#This Row],[Total Kg]],0)</f>
        <v>0</v>
      </c>
      <c r="W1132" s="322" cm="1">
        <f t="array" ref="W1132">IFERROR(VLOOKUP(Calculations[[#This Row],[Waste 1]],WasteScenario[#All],5,FALSE)*'Stage assumptions'!$C$226*WasteTransportMethod[Emissions Factor
kgCO2e/kg.km]*Calculations[[#This Row],[Total Kg]],0)</f>
        <v>0</v>
      </c>
      <c r="X1132" s="322">
        <f>SUM(Calculations[[#This Row],[C2 Recycle]:[C2 Reuse]])</f>
        <v>0</v>
      </c>
      <c r="Y1132" t="str">
        <f>IFERROR(VLOOKUP(Calculations[[#This Row],[Material (choose from dropdown]],MaterialData[#All],5,FALSE),"")</f>
        <v/>
      </c>
      <c r="Z1132" s="322">
        <f>IFERROR(((VLOOKUP(Calculations[[#This Row],[Waste type 2]],WasteDisposalEmissions[#All],2,FALSE))*Calculations[[#This Row],[Total Kg]])*VLOOKUP(Calculations[[#This Row],[Waste 1]],WasteScenario[#All],2,FALSE),0)</f>
        <v>0</v>
      </c>
      <c r="AA1132" s="322">
        <f>IFERROR((VLOOKUP(Calculations[[#This Row],[Waste type 2]],WasteDisposalEmissions[#All],3,FALSE))*Calculations[[#This Row],[Total Kg]]*VLOOKUP(Calculations[[#This Row],[Waste 1]],WasteScenario[#All],3,FALSE),0)</f>
        <v>0</v>
      </c>
      <c r="AB1132" s="322">
        <f>SUM(Calculations[[#This Row],[C3 recyc]:[C3 incin]])</f>
        <v>0</v>
      </c>
      <c r="AC1132" s="334">
        <f>IFERROR((VLOOKUP(Calculations[[#This Row],[Waste type 2]],WasteLandfillEmissions[#All],2,FALSE))*Calculations[[#This Row],[Total Kg]]*VLOOKUP(Calculations[[#This Row],[Waste 1]],WasteScenario[#All],4,FALSE),0)</f>
        <v>0</v>
      </c>
      <c r="AD1132" s="322">
        <f>IFERROR((VLOOKUP(Calculations[[#This Row],[Waste type 2]],WasteLandfillEmissions[#All],3,FALSE))*Calculations[[#This Row],[Total Kg]]*VLOOKUP(Calculations[[#This Row],[Waste 1]],WasteScenario[#All],4,FALSE),0)</f>
        <v>0</v>
      </c>
      <c r="AE1132" s="322">
        <f>SUM(Calculations[[#This Row],[C4 landfill]:[C4 re-use]])</f>
        <v>0</v>
      </c>
      <c r="AF1132" s="322">
        <f>IFERROR(VLOOKUP(Calculations[[#This Row],[Material (choose from dropdown]],MaterialData[#All],8,FALSE),0)</f>
        <v>0</v>
      </c>
      <c r="AG1132" s="322">
        <f>IFERROR(Calculations[[#This Row],[Total Kg]]*Calculations[[#This Row],[Seq factor]],0)</f>
        <v>0</v>
      </c>
      <c r="AI1132" s="322">
        <f>Calculations[[#This Row],[A1-3]]+Calculations[[#This Row],[A4]]+Calculations[[#This Row],[A5]]+Calculations[[#This Row],[B4]]+Calculations[[#This Row],[C2 total]]+Calculations[[#This Row],[C3 total]]+Calculations[[#This Row],[C4 total]]</f>
        <v>0</v>
      </c>
      <c r="AJ1132" s="2">
        <f>IFERROR(VLOOKUP(Calculations[[#This Row],[Material (choose from dropdown]],MaterialData[[#Headers],[#Data]],9,FALSE),0)</f>
        <v>0</v>
      </c>
      <c r="AK1132" s="4">
        <f>IFERROR(VLOOKUP(Calculations[[#This Row],[Material (choose from dropdown]],MaterialData[[#Headers],[#Data]],10,FALSE),0)</f>
        <v>0</v>
      </c>
      <c r="AL1132" s="322">
        <f>IFERROR(Calculations[[#This Row],[Data Quality Score]]*Calculations[[#This Row],[Total Kg]],0)</f>
        <v>0</v>
      </c>
    </row>
    <row r="1133" spans="1:38" x14ac:dyDescent="0.3">
      <c r="A1133" s="6">
        <f>IFERROR(MaterialsBoQ[[#This Row],[Scope Element]],0)</f>
        <v>0</v>
      </c>
      <c r="B1133" t="str">
        <f>IFERROR(MaterialsBoQ[[#This Row],[Material ]],"")</f>
        <v/>
      </c>
      <c r="C1133" t="str">
        <f>IFERROR(MaterialsBoQ[[#This Row],[Unit]],"")</f>
        <v/>
      </c>
      <c r="D1133" s="322">
        <f>IFERROR(MaterialsBoQ[[#This Row],[Number]],0)</f>
        <v>0</v>
      </c>
      <c r="E1133" s="322">
        <f>IFERROR(MaterialsBoQ[[#This Row],[Kg per unit]],0)</f>
        <v>0</v>
      </c>
      <c r="F1133" s="322">
        <f>IFERROR(Calculations[[#This Row],[Number]]*Calculations[[#This Row],[Conversion factor]],0)</f>
        <v>0</v>
      </c>
      <c r="G1133" s="322">
        <f>IFERROR(VLOOKUP(Calculations[[#This Row],[Material (choose from dropdown]],MaterialData[#All],7,FALSE),0)</f>
        <v>0</v>
      </c>
      <c r="H1133" s="322">
        <f>Calculations[[#This Row],[Total Kg]]*Calculations[[#This Row],[Carbon Factor]]</f>
        <v>0</v>
      </c>
      <c r="I1133" t="str">
        <f>IFERROR(VLOOKUP(Calculations[[#This Row],[Material (choose from dropdown]],MaterialData[#All],2,FALSE),"")</f>
        <v/>
      </c>
      <c r="J1133" s="322">
        <f>IFERROR(((VLOOKUP(Calculations[[#This Row],[TransportSource]],TransportDistance[],2,FALSE)*'Stage assumptions'!$C$11)+VLOOKUP(Calculations[[#This Row],[TransportSource]],TransportDistance[],3,FALSE)*'Stage assumptions'!$C$12)*Calculations[[#This Row],[Total Kg]],0)</f>
        <v>0</v>
      </c>
      <c r="K1133">
        <f>IFERROR(VLOOKUP(Calculations[[#This Row],[Material (choose from dropdown]], MaterialData[#All],3, FALSE),0)</f>
        <v>0</v>
      </c>
      <c r="L1133" s="322">
        <f>IFERROR(VLOOKUP(Calculations[[#This Row],[A5type]],A5WastageRate[#All],2,FALSE)*Calculations[[#This Row],[A1-3]],0)</f>
        <v>0</v>
      </c>
      <c r="N1133">
        <f>IFERROR(ROUNDUP(50/VLOOKUP(Calculations[[#This Row],[Scope Element]],B4referenceServiceLife[[Tier 2 element]:[Default Service Life]],2, FALSE)-1,0),0)</f>
        <v>0</v>
      </c>
      <c r="O1133" s="322">
        <f>IFERROR((Calculations[[#This Row],[A1-3]]+Calculations[[#This Row],[A4]]+Calculations[[#This Row],[A5]]+Calculations[[#This Row],[C2 total]]+Calculations[[#This Row],[C3 total]]+Calculations[[#This Row],[C4 total]])*Calculations[[#This Row],[Replacements]],0)</f>
        <v>0</v>
      </c>
      <c r="S1133" t="str">
        <f>IFERROR(VLOOKUP(Calculations[[#This Row],[Material (choose from dropdown]],MaterialData[#All],4,FALSE),"")</f>
        <v/>
      </c>
      <c r="T1133" s="322" cm="1">
        <f t="array" ref="T1133">IFERROR(VLOOKUP(Calculations[[#This Row],[Waste 1]],WasteScenario[#All],2,FALSE)*'Stage assumptions'!$C$225*WasteTransportMethod[Emissions Factor
kgCO2e/kg.km]*Calculations[[#This Row],[Total Kg]],0)</f>
        <v>0</v>
      </c>
      <c r="U1133" s="322" cm="1">
        <f t="array" ref="U1133">IFERROR(VLOOKUP(Calculations[[#This Row],[Waste 1]],WasteScenario[#All],3,FALSE)*'Stage assumptions'!$C$224*WasteTransportMethod[Emissions Factor
kgCO2e/kg.km]*Calculations[[#This Row],[Total Kg]],0)</f>
        <v>0</v>
      </c>
      <c r="V1133" s="322" cm="1">
        <f t="array" ref="V1133">IFERROR(VLOOKUP(Calculations[[#This Row],[Waste 1]],WasteScenario[#All],4,FALSE)*'Stage assumptions'!$C$223*WasteTransportMethod[Emissions Factor
kgCO2e/kg.km]*Calculations[[#This Row],[Total Kg]],0)</f>
        <v>0</v>
      </c>
      <c r="W1133" s="322" cm="1">
        <f t="array" ref="W1133">IFERROR(VLOOKUP(Calculations[[#This Row],[Waste 1]],WasteScenario[#All],5,FALSE)*'Stage assumptions'!$C$226*WasteTransportMethod[Emissions Factor
kgCO2e/kg.km]*Calculations[[#This Row],[Total Kg]],0)</f>
        <v>0</v>
      </c>
      <c r="X1133" s="322">
        <f>SUM(Calculations[[#This Row],[C2 Recycle]:[C2 Reuse]])</f>
        <v>0</v>
      </c>
      <c r="Y1133" t="str">
        <f>IFERROR(VLOOKUP(Calculations[[#This Row],[Material (choose from dropdown]],MaterialData[#All],5,FALSE),"")</f>
        <v/>
      </c>
      <c r="Z1133" s="322">
        <f>IFERROR(((VLOOKUP(Calculations[[#This Row],[Waste type 2]],WasteDisposalEmissions[#All],2,FALSE))*Calculations[[#This Row],[Total Kg]])*VLOOKUP(Calculations[[#This Row],[Waste 1]],WasteScenario[#All],2,FALSE),0)</f>
        <v>0</v>
      </c>
      <c r="AA1133" s="322">
        <f>IFERROR((VLOOKUP(Calculations[[#This Row],[Waste type 2]],WasteDisposalEmissions[#All],3,FALSE))*Calculations[[#This Row],[Total Kg]]*VLOOKUP(Calculations[[#This Row],[Waste 1]],WasteScenario[#All],3,FALSE),0)</f>
        <v>0</v>
      </c>
      <c r="AB1133" s="322">
        <f>SUM(Calculations[[#This Row],[C3 recyc]:[C3 incin]])</f>
        <v>0</v>
      </c>
      <c r="AC1133" s="334">
        <f>IFERROR((VLOOKUP(Calculations[[#This Row],[Waste type 2]],WasteLandfillEmissions[#All],2,FALSE))*Calculations[[#This Row],[Total Kg]]*VLOOKUP(Calculations[[#This Row],[Waste 1]],WasteScenario[#All],4,FALSE),0)</f>
        <v>0</v>
      </c>
      <c r="AD1133" s="322">
        <f>IFERROR((VLOOKUP(Calculations[[#This Row],[Waste type 2]],WasteLandfillEmissions[#All],3,FALSE))*Calculations[[#This Row],[Total Kg]]*VLOOKUP(Calculations[[#This Row],[Waste 1]],WasteScenario[#All],4,FALSE),0)</f>
        <v>0</v>
      </c>
      <c r="AE1133" s="322">
        <f>SUM(Calculations[[#This Row],[C4 landfill]:[C4 re-use]])</f>
        <v>0</v>
      </c>
      <c r="AF1133" s="322">
        <f>IFERROR(VLOOKUP(Calculations[[#This Row],[Material (choose from dropdown]],MaterialData[#All],8,FALSE),0)</f>
        <v>0</v>
      </c>
      <c r="AG1133" s="322">
        <f>IFERROR(Calculations[[#This Row],[Total Kg]]*Calculations[[#This Row],[Seq factor]],0)</f>
        <v>0</v>
      </c>
      <c r="AI1133" s="322">
        <f>Calculations[[#This Row],[A1-3]]+Calculations[[#This Row],[A4]]+Calculations[[#This Row],[A5]]+Calculations[[#This Row],[B4]]+Calculations[[#This Row],[C2 total]]+Calculations[[#This Row],[C3 total]]+Calculations[[#This Row],[C4 total]]</f>
        <v>0</v>
      </c>
      <c r="AJ1133" s="2">
        <f>IFERROR(VLOOKUP(Calculations[[#This Row],[Material (choose from dropdown]],MaterialData[[#Headers],[#Data]],9,FALSE),0)</f>
        <v>0</v>
      </c>
      <c r="AK1133" s="4">
        <f>IFERROR(VLOOKUP(Calculations[[#This Row],[Material (choose from dropdown]],MaterialData[[#Headers],[#Data]],10,FALSE),0)</f>
        <v>0</v>
      </c>
      <c r="AL1133" s="322">
        <f>IFERROR(Calculations[[#This Row],[Data Quality Score]]*Calculations[[#This Row],[Total Kg]],0)</f>
        <v>0</v>
      </c>
    </row>
    <row r="1134" spans="1:38" x14ac:dyDescent="0.3">
      <c r="A1134" s="6">
        <f>IFERROR(MaterialsBoQ[[#This Row],[Scope Element]],0)</f>
        <v>0</v>
      </c>
      <c r="B1134" t="str">
        <f>IFERROR(MaterialsBoQ[[#This Row],[Material ]],"")</f>
        <v/>
      </c>
      <c r="C1134" t="str">
        <f>IFERROR(MaterialsBoQ[[#This Row],[Unit]],"")</f>
        <v/>
      </c>
      <c r="D1134" s="322">
        <f>IFERROR(MaterialsBoQ[[#This Row],[Number]],0)</f>
        <v>0</v>
      </c>
      <c r="E1134" s="322">
        <f>IFERROR(MaterialsBoQ[[#This Row],[Kg per unit]],0)</f>
        <v>0</v>
      </c>
      <c r="F1134" s="322">
        <f>IFERROR(Calculations[[#This Row],[Number]]*Calculations[[#This Row],[Conversion factor]],0)</f>
        <v>0</v>
      </c>
      <c r="G1134" s="322">
        <f>IFERROR(VLOOKUP(Calculations[[#This Row],[Material (choose from dropdown]],MaterialData[#All],7,FALSE),0)</f>
        <v>0</v>
      </c>
      <c r="H1134" s="322">
        <f>Calculations[[#This Row],[Total Kg]]*Calculations[[#This Row],[Carbon Factor]]</f>
        <v>0</v>
      </c>
      <c r="I1134" t="str">
        <f>IFERROR(VLOOKUP(Calculations[[#This Row],[Material (choose from dropdown]],MaterialData[#All],2,FALSE),"")</f>
        <v/>
      </c>
      <c r="J1134" s="322">
        <f>IFERROR(((VLOOKUP(Calculations[[#This Row],[TransportSource]],TransportDistance[],2,FALSE)*'Stage assumptions'!$C$11)+VLOOKUP(Calculations[[#This Row],[TransportSource]],TransportDistance[],3,FALSE)*'Stage assumptions'!$C$12)*Calculations[[#This Row],[Total Kg]],0)</f>
        <v>0</v>
      </c>
      <c r="K1134">
        <f>IFERROR(VLOOKUP(Calculations[[#This Row],[Material (choose from dropdown]], MaterialData[#All],3, FALSE),0)</f>
        <v>0</v>
      </c>
      <c r="L1134" s="322">
        <f>IFERROR(VLOOKUP(Calculations[[#This Row],[A5type]],A5WastageRate[#All],2,FALSE)*Calculations[[#This Row],[A1-3]],0)</f>
        <v>0</v>
      </c>
      <c r="N1134">
        <f>IFERROR(ROUNDUP(50/VLOOKUP(Calculations[[#This Row],[Scope Element]],B4referenceServiceLife[[Tier 2 element]:[Default Service Life]],2, FALSE)-1,0),0)</f>
        <v>0</v>
      </c>
      <c r="O1134" s="322">
        <f>IFERROR((Calculations[[#This Row],[A1-3]]+Calculations[[#This Row],[A4]]+Calculations[[#This Row],[A5]]+Calculations[[#This Row],[C2 total]]+Calculations[[#This Row],[C3 total]]+Calculations[[#This Row],[C4 total]])*Calculations[[#This Row],[Replacements]],0)</f>
        <v>0</v>
      </c>
      <c r="S1134" t="str">
        <f>IFERROR(VLOOKUP(Calculations[[#This Row],[Material (choose from dropdown]],MaterialData[#All],4,FALSE),"")</f>
        <v/>
      </c>
      <c r="T1134" s="322" cm="1">
        <f t="array" ref="T1134">IFERROR(VLOOKUP(Calculations[[#This Row],[Waste 1]],WasteScenario[#All],2,FALSE)*'Stage assumptions'!$C$225*WasteTransportMethod[Emissions Factor
kgCO2e/kg.km]*Calculations[[#This Row],[Total Kg]],0)</f>
        <v>0</v>
      </c>
      <c r="U1134" s="322" cm="1">
        <f t="array" ref="U1134">IFERROR(VLOOKUP(Calculations[[#This Row],[Waste 1]],WasteScenario[#All],3,FALSE)*'Stage assumptions'!$C$224*WasteTransportMethod[Emissions Factor
kgCO2e/kg.km]*Calculations[[#This Row],[Total Kg]],0)</f>
        <v>0</v>
      </c>
      <c r="V1134" s="322" cm="1">
        <f t="array" ref="V1134">IFERROR(VLOOKUP(Calculations[[#This Row],[Waste 1]],WasteScenario[#All],4,FALSE)*'Stage assumptions'!$C$223*WasteTransportMethod[Emissions Factor
kgCO2e/kg.km]*Calculations[[#This Row],[Total Kg]],0)</f>
        <v>0</v>
      </c>
      <c r="W1134" s="322" cm="1">
        <f t="array" ref="W1134">IFERROR(VLOOKUP(Calculations[[#This Row],[Waste 1]],WasteScenario[#All],5,FALSE)*'Stage assumptions'!$C$226*WasteTransportMethod[Emissions Factor
kgCO2e/kg.km]*Calculations[[#This Row],[Total Kg]],0)</f>
        <v>0</v>
      </c>
      <c r="X1134" s="322">
        <f>SUM(Calculations[[#This Row],[C2 Recycle]:[C2 Reuse]])</f>
        <v>0</v>
      </c>
      <c r="Y1134" t="str">
        <f>IFERROR(VLOOKUP(Calculations[[#This Row],[Material (choose from dropdown]],MaterialData[#All],5,FALSE),"")</f>
        <v/>
      </c>
      <c r="Z1134" s="322">
        <f>IFERROR(((VLOOKUP(Calculations[[#This Row],[Waste type 2]],WasteDisposalEmissions[#All],2,FALSE))*Calculations[[#This Row],[Total Kg]])*VLOOKUP(Calculations[[#This Row],[Waste 1]],WasteScenario[#All],2,FALSE),0)</f>
        <v>0</v>
      </c>
      <c r="AA1134" s="322">
        <f>IFERROR((VLOOKUP(Calculations[[#This Row],[Waste type 2]],WasteDisposalEmissions[#All],3,FALSE))*Calculations[[#This Row],[Total Kg]]*VLOOKUP(Calculations[[#This Row],[Waste 1]],WasteScenario[#All],3,FALSE),0)</f>
        <v>0</v>
      </c>
      <c r="AB1134" s="322">
        <f>SUM(Calculations[[#This Row],[C3 recyc]:[C3 incin]])</f>
        <v>0</v>
      </c>
      <c r="AC1134" s="334">
        <f>IFERROR((VLOOKUP(Calculations[[#This Row],[Waste type 2]],WasteLandfillEmissions[#All],2,FALSE))*Calculations[[#This Row],[Total Kg]]*VLOOKUP(Calculations[[#This Row],[Waste 1]],WasteScenario[#All],4,FALSE),0)</f>
        <v>0</v>
      </c>
      <c r="AD1134" s="322">
        <f>IFERROR((VLOOKUP(Calculations[[#This Row],[Waste type 2]],WasteLandfillEmissions[#All],3,FALSE))*Calculations[[#This Row],[Total Kg]]*VLOOKUP(Calculations[[#This Row],[Waste 1]],WasteScenario[#All],4,FALSE),0)</f>
        <v>0</v>
      </c>
      <c r="AE1134" s="322">
        <f>SUM(Calculations[[#This Row],[C4 landfill]:[C4 re-use]])</f>
        <v>0</v>
      </c>
      <c r="AF1134" s="322">
        <f>IFERROR(VLOOKUP(Calculations[[#This Row],[Material (choose from dropdown]],MaterialData[#All],8,FALSE),0)</f>
        <v>0</v>
      </c>
      <c r="AG1134" s="322">
        <f>IFERROR(Calculations[[#This Row],[Total Kg]]*Calculations[[#This Row],[Seq factor]],0)</f>
        <v>0</v>
      </c>
      <c r="AI1134" s="322">
        <f>Calculations[[#This Row],[A1-3]]+Calculations[[#This Row],[A4]]+Calculations[[#This Row],[A5]]+Calculations[[#This Row],[B4]]+Calculations[[#This Row],[C2 total]]+Calculations[[#This Row],[C3 total]]+Calculations[[#This Row],[C4 total]]</f>
        <v>0</v>
      </c>
      <c r="AJ1134" s="2">
        <f>IFERROR(VLOOKUP(Calculations[[#This Row],[Material (choose from dropdown]],MaterialData[[#Headers],[#Data]],9,FALSE),0)</f>
        <v>0</v>
      </c>
      <c r="AK1134" s="4">
        <f>IFERROR(VLOOKUP(Calculations[[#This Row],[Material (choose from dropdown]],MaterialData[[#Headers],[#Data]],10,FALSE),0)</f>
        <v>0</v>
      </c>
      <c r="AL1134" s="322">
        <f>IFERROR(Calculations[[#This Row],[Data Quality Score]]*Calculations[[#This Row],[Total Kg]],0)</f>
        <v>0</v>
      </c>
    </row>
    <row r="1135" spans="1:38" x14ac:dyDescent="0.3">
      <c r="A1135" s="6">
        <f>IFERROR(MaterialsBoQ[[#This Row],[Scope Element]],0)</f>
        <v>0</v>
      </c>
      <c r="B1135" t="str">
        <f>IFERROR(MaterialsBoQ[[#This Row],[Material ]],"")</f>
        <v/>
      </c>
      <c r="C1135" t="str">
        <f>IFERROR(MaterialsBoQ[[#This Row],[Unit]],"")</f>
        <v/>
      </c>
      <c r="D1135" s="322">
        <f>IFERROR(MaterialsBoQ[[#This Row],[Number]],0)</f>
        <v>0</v>
      </c>
      <c r="E1135" s="322">
        <f>IFERROR(MaterialsBoQ[[#This Row],[Kg per unit]],0)</f>
        <v>0</v>
      </c>
      <c r="F1135" s="322">
        <f>IFERROR(Calculations[[#This Row],[Number]]*Calculations[[#This Row],[Conversion factor]],0)</f>
        <v>0</v>
      </c>
      <c r="G1135" s="322">
        <f>IFERROR(VLOOKUP(Calculations[[#This Row],[Material (choose from dropdown]],MaterialData[#All],7,FALSE),0)</f>
        <v>0</v>
      </c>
      <c r="H1135" s="322">
        <f>Calculations[[#This Row],[Total Kg]]*Calculations[[#This Row],[Carbon Factor]]</f>
        <v>0</v>
      </c>
      <c r="I1135" t="str">
        <f>IFERROR(VLOOKUP(Calculations[[#This Row],[Material (choose from dropdown]],MaterialData[#All],2,FALSE),"")</f>
        <v/>
      </c>
      <c r="J1135" s="322">
        <f>IFERROR(((VLOOKUP(Calculations[[#This Row],[TransportSource]],TransportDistance[],2,FALSE)*'Stage assumptions'!$C$11)+VLOOKUP(Calculations[[#This Row],[TransportSource]],TransportDistance[],3,FALSE)*'Stage assumptions'!$C$12)*Calculations[[#This Row],[Total Kg]],0)</f>
        <v>0</v>
      </c>
      <c r="K1135">
        <f>IFERROR(VLOOKUP(Calculations[[#This Row],[Material (choose from dropdown]], MaterialData[#All],3, FALSE),0)</f>
        <v>0</v>
      </c>
      <c r="L1135" s="322">
        <f>IFERROR(VLOOKUP(Calculations[[#This Row],[A5type]],A5WastageRate[#All],2,FALSE)*Calculations[[#This Row],[A1-3]],0)</f>
        <v>0</v>
      </c>
      <c r="N1135">
        <f>IFERROR(ROUNDUP(50/VLOOKUP(Calculations[[#This Row],[Scope Element]],B4referenceServiceLife[[Tier 2 element]:[Default Service Life]],2, FALSE)-1,0),0)</f>
        <v>0</v>
      </c>
      <c r="O1135" s="322">
        <f>IFERROR((Calculations[[#This Row],[A1-3]]+Calculations[[#This Row],[A4]]+Calculations[[#This Row],[A5]]+Calculations[[#This Row],[C2 total]]+Calculations[[#This Row],[C3 total]]+Calculations[[#This Row],[C4 total]])*Calculations[[#This Row],[Replacements]],0)</f>
        <v>0</v>
      </c>
      <c r="S1135" t="str">
        <f>IFERROR(VLOOKUP(Calculations[[#This Row],[Material (choose from dropdown]],MaterialData[#All],4,FALSE),"")</f>
        <v/>
      </c>
      <c r="T1135" s="322" cm="1">
        <f t="array" ref="T1135">IFERROR(VLOOKUP(Calculations[[#This Row],[Waste 1]],WasteScenario[#All],2,FALSE)*'Stage assumptions'!$C$225*WasteTransportMethod[Emissions Factor
kgCO2e/kg.km]*Calculations[[#This Row],[Total Kg]],0)</f>
        <v>0</v>
      </c>
      <c r="U1135" s="322" cm="1">
        <f t="array" ref="U1135">IFERROR(VLOOKUP(Calculations[[#This Row],[Waste 1]],WasteScenario[#All],3,FALSE)*'Stage assumptions'!$C$224*WasteTransportMethod[Emissions Factor
kgCO2e/kg.km]*Calculations[[#This Row],[Total Kg]],0)</f>
        <v>0</v>
      </c>
      <c r="V1135" s="322" cm="1">
        <f t="array" ref="V1135">IFERROR(VLOOKUP(Calculations[[#This Row],[Waste 1]],WasteScenario[#All],4,FALSE)*'Stage assumptions'!$C$223*WasteTransportMethod[Emissions Factor
kgCO2e/kg.km]*Calculations[[#This Row],[Total Kg]],0)</f>
        <v>0</v>
      </c>
      <c r="W1135" s="322" cm="1">
        <f t="array" ref="W1135">IFERROR(VLOOKUP(Calculations[[#This Row],[Waste 1]],WasteScenario[#All],5,FALSE)*'Stage assumptions'!$C$226*WasteTransportMethod[Emissions Factor
kgCO2e/kg.km]*Calculations[[#This Row],[Total Kg]],0)</f>
        <v>0</v>
      </c>
      <c r="X1135" s="322">
        <f>SUM(Calculations[[#This Row],[C2 Recycle]:[C2 Reuse]])</f>
        <v>0</v>
      </c>
      <c r="Y1135" t="str">
        <f>IFERROR(VLOOKUP(Calculations[[#This Row],[Material (choose from dropdown]],MaterialData[#All],5,FALSE),"")</f>
        <v/>
      </c>
      <c r="Z1135" s="322">
        <f>IFERROR(((VLOOKUP(Calculations[[#This Row],[Waste type 2]],WasteDisposalEmissions[#All],2,FALSE))*Calculations[[#This Row],[Total Kg]])*VLOOKUP(Calculations[[#This Row],[Waste 1]],WasteScenario[#All],2,FALSE),0)</f>
        <v>0</v>
      </c>
      <c r="AA1135" s="322">
        <f>IFERROR((VLOOKUP(Calculations[[#This Row],[Waste type 2]],WasteDisposalEmissions[#All],3,FALSE))*Calculations[[#This Row],[Total Kg]]*VLOOKUP(Calculations[[#This Row],[Waste 1]],WasteScenario[#All],3,FALSE),0)</f>
        <v>0</v>
      </c>
      <c r="AB1135" s="322">
        <f>SUM(Calculations[[#This Row],[C3 recyc]:[C3 incin]])</f>
        <v>0</v>
      </c>
      <c r="AC1135" s="334">
        <f>IFERROR((VLOOKUP(Calculations[[#This Row],[Waste type 2]],WasteLandfillEmissions[#All],2,FALSE))*Calculations[[#This Row],[Total Kg]]*VLOOKUP(Calculations[[#This Row],[Waste 1]],WasteScenario[#All],4,FALSE),0)</f>
        <v>0</v>
      </c>
      <c r="AD1135" s="322">
        <f>IFERROR((VLOOKUP(Calculations[[#This Row],[Waste type 2]],WasteLandfillEmissions[#All],3,FALSE))*Calculations[[#This Row],[Total Kg]]*VLOOKUP(Calculations[[#This Row],[Waste 1]],WasteScenario[#All],4,FALSE),0)</f>
        <v>0</v>
      </c>
      <c r="AE1135" s="322">
        <f>SUM(Calculations[[#This Row],[C4 landfill]:[C4 re-use]])</f>
        <v>0</v>
      </c>
      <c r="AF1135" s="322">
        <f>IFERROR(VLOOKUP(Calculations[[#This Row],[Material (choose from dropdown]],MaterialData[#All],8,FALSE),0)</f>
        <v>0</v>
      </c>
      <c r="AG1135" s="322">
        <f>IFERROR(Calculations[[#This Row],[Total Kg]]*Calculations[[#This Row],[Seq factor]],0)</f>
        <v>0</v>
      </c>
      <c r="AI1135" s="322">
        <f>Calculations[[#This Row],[A1-3]]+Calculations[[#This Row],[A4]]+Calculations[[#This Row],[A5]]+Calculations[[#This Row],[B4]]+Calculations[[#This Row],[C2 total]]+Calculations[[#This Row],[C3 total]]+Calculations[[#This Row],[C4 total]]</f>
        <v>0</v>
      </c>
      <c r="AJ1135" s="2">
        <f>IFERROR(VLOOKUP(Calculations[[#This Row],[Material (choose from dropdown]],MaterialData[[#Headers],[#Data]],9,FALSE),0)</f>
        <v>0</v>
      </c>
      <c r="AK1135" s="4">
        <f>IFERROR(VLOOKUP(Calculations[[#This Row],[Material (choose from dropdown]],MaterialData[[#Headers],[#Data]],10,FALSE),0)</f>
        <v>0</v>
      </c>
      <c r="AL1135" s="322">
        <f>IFERROR(Calculations[[#This Row],[Data Quality Score]]*Calculations[[#This Row],[Total Kg]],0)</f>
        <v>0</v>
      </c>
    </row>
    <row r="1136" spans="1:38" x14ac:dyDescent="0.3">
      <c r="A1136" s="6">
        <f>IFERROR(MaterialsBoQ[[#This Row],[Scope Element]],0)</f>
        <v>0</v>
      </c>
      <c r="B1136" t="str">
        <f>IFERROR(MaterialsBoQ[[#This Row],[Material ]],"")</f>
        <v/>
      </c>
      <c r="C1136" t="str">
        <f>IFERROR(MaterialsBoQ[[#This Row],[Unit]],"")</f>
        <v/>
      </c>
      <c r="D1136" s="322">
        <f>IFERROR(MaterialsBoQ[[#This Row],[Number]],0)</f>
        <v>0</v>
      </c>
      <c r="E1136" s="322">
        <f>IFERROR(MaterialsBoQ[[#This Row],[Kg per unit]],0)</f>
        <v>0</v>
      </c>
      <c r="F1136" s="322">
        <f>IFERROR(Calculations[[#This Row],[Number]]*Calculations[[#This Row],[Conversion factor]],0)</f>
        <v>0</v>
      </c>
      <c r="G1136" s="322">
        <f>IFERROR(VLOOKUP(Calculations[[#This Row],[Material (choose from dropdown]],MaterialData[#All],7,FALSE),0)</f>
        <v>0</v>
      </c>
      <c r="H1136" s="322">
        <f>Calculations[[#This Row],[Total Kg]]*Calculations[[#This Row],[Carbon Factor]]</f>
        <v>0</v>
      </c>
      <c r="I1136" t="str">
        <f>IFERROR(VLOOKUP(Calculations[[#This Row],[Material (choose from dropdown]],MaterialData[#All],2,FALSE),"")</f>
        <v/>
      </c>
      <c r="J1136" s="322">
        <f>IFERROR(((VLOOKUP(Calculations[[#This Row],[TransportSource]],TransportDistance[],2,FALSE)*'Stage assumptions'!$C$11)+VLOOKUP(Calculations[[#This Row],[TransportSource]],TransportDistance[],3,FALSE)*'Stage assumptions'!$C$12)*Calculations[[#This Row],[Total Kg]],0)</f>
        <v>0</v>
      </c>
      <c r="K1136">
        <f>IFERROR(VLOOKUP(Calculations[[#This Row],[Material (choose from dropdown]], MaterialData[#All],3, FALSE),0)</f>
        <v>0</v>
      </c>
      <c r="L1136" s="322">
        <f>IFERROR(VLOOKUP(Calculations[[#This Row],[A5type]],A5WastageRate[#All],2,FALSE)*Calculations[[#This Row],[A1-3]],0)</f>
        <v>0</v>
      </c>
      <c r="N1136">
        <f>IFERROR(ROUNDUP(50/VLOOKUP(Calculations[[#This Row],[Scope Element]],B4referenceServiceLife[[Tier 2 element]:[Default Service Life]],2, FALSE)-1,0),0)</f>
        <v>0</v>
      </c>
      <c r="O1136" s="322">
        <f>IFERROR((Calculations[[#This Row],[A1-3]]+Calculations[[#This Row],[A4]]+Calculations[[#This Row],[A5]]+Calculations[[#This Row],[C2 total]]+Calculations[[#This Row],[C3 total]]+Calculations[[#This Row],[C4 total]])*Calculations[[#This Row],[Replacements]],0)</f>
        <v>0</v>
      </c>
      <c r="S1136" t="str">
        <f>IFERROR(VLOOKUP(Calculations[[#This Row],[Material (choose from dropdown]],MaterialData[#All],4,FALSE),"")</f>
        <v/>
      </c>
      <c r="T1136" s="322" cm="1">
        <f t="array" ref="T1136">IFERROR(VLOOKUP(Calculations[[#This Row],[Waste 1]],WasteScenario[#All],2,FALSE)*'Stage assumptions'!$C$225*WasteTransportMethod[Emissions Factor
kgCO2e/kg.km]*Calculations[[#This Row],[Total Kg]],0)</f>
        <v>0</v>
      </c>
      <c r="U1136" s="322" cm="1">
        <f t="array" ref="U1136">IFERROR(VLOOKUP(Calculations[[#This Row],[Waste 1]],WasteScenario[#All],3,FALSE)*'Stage assumptions'!$C$224*WasteTransportMethod[Emissions Factor
kgCO2e/kg.km]*Calculations[[#This Row],[Total Kg]],0)</f>
        <v>0</v>
      </c>
      <c r="V1136" s="322" cm="1">
        <f t="array" ref="V1136">IFERROR(VLOOKUP(Calculations[[#This Row],[Waste 1]],WasteScenario[#All],4,FALSE)*'Stage assumptions'!$C$223*WasteTransportMethod[Emissions Factor
kgCO2e/kg.km]*Calculations[[#This Row],[Total Kg]],0)</f>
        <v>0</v>
      </c>
      <c r="W1136" s="322" cm="1">
        <f t="array" ref="W1136">IFERROR(VLOOKUP(Calculations[[#This Row],[Waste 1]],WasteScenario[#All],5,FALSE)*'Stage assumptions'!$C$226*WasteTransportMethod[Emissions Factor
kgCO2e/kg.km]*Calculations[[#This Row],[Total Kg]],0)</f>
        <v>0</v>
      </c>
      <c r="X1136" s="322">
        <f>SUM(Calculations[[#This Row],[C2 Recycle]:[C2 Reuse]])</f>
        <v>0</v>
      </c>
      <c r="Y1136" t="str">
        <f>IFERROR(VLOOKUP(Calculations[[#This Row],[Material (choose from dropdown]],MaterialData[#All],5,FALSE),"")</f>
        <v/>
      </c>
      <c r="Z1136" s="322">
        <f>IFERROR(((VLOOKUP(Calculations[[#This Row],[Waste type 2]],WasteDisposalEmissions[#All],2,FALSE))*Calculations[[#This Row],[Total Kg]])*VLOOKUP(Calculations[[#This Row],[Waste 1]],WasteScenario[#All],2,FALSE),0)</f>
        <v>0</v>
      </c>
      <c r="AA1136" s="322">
        <f>IFERROR((VLOOKUP(Calculations[[#This Row],[Waste type 2]],WasteDisposalEmissions[#All],3,FALSE))*Calculations[[#This Row],[Total Kg]]*VLOOKUP(Calculations[[#This Row],[Waste 1]],WasteScenario[#All],3,FALSE),0)</f>
        <v>0</v>
      </c>
      <c r="AB1136" s="322">
        <f>SUM(Calculations[[#This Row],[C3 recyc]:[C3 incin]])</f>
        <v>0</v>
      </c>
      <c r="AC1136" s="334">
        <f>IFERROR((VLOOKUP(Calculations[[#This Row],[Waste type 2]],WasteLandfillEmissions[#All],2,FALSE))*Calculations[[#This Row],[Total Kg]]*VLOOKUP(Calculations[[#This Row],[Waste 1]],WasteScenario[#All],4,FALSE),0)</f>
        <v>0</v>
      </c>
      <c r="AD1136" s="322">
        <f>IFERROR((VLOOKUP(Calculations[[#This Row],[Waste type 2]],WasteLandfillEmissions[#All],3,FALSE))*Calculations[[#This Row],[Total Kg]]*VLOOKUP(Calculations[[#This Row],[Waste 1]],WasteScenario[#All],4,FALSE),0)</f>
        <v>0</v>
      </c>
      <c r="AE1136" s="322">
        <f>SUM(Calculations[[#This Row],[C4 landfill]:[C4 re-use]])</f>
        <v>0</v>
      </c>
      <c r="AF1136" s="322">
        <f>IFERROR(VLOOKUP(Calculations[[#This Row],[Material (choose from dropdown]],MaterialData[#All],8,FALSE),0)</f>
        <v>0</v>
      </c>
      <c r="AG1136" s="322">
        <f>IFERROR(Calculations[[#This Row],[Total Kg]]*Calculations[[#This Row],[Seq factor]],0)</f>
        <v>0</v>
      </c>
      <c r="AI1136" s="322">
        <f>Calculations[[#This Row],[A1-3]]+Calculations[[#This Row],[A4]]+Calculations[[#This Row],[A5]]+Calculations[[#This Row],[B4]]+Calculations[[#This Row],[C2 total]]+Calculations[[#This Row],[C3 total]]+Calculations[[#This Row],[C4 total]]</f>
        <v>0</v>
      </c>
      <c r="AJ1136" s="2">
        <f>IFERROR(VLOOKUP(Calculations[[#This Row],[Material (choose from dropdown]],MaterialData[[#Headers],[#Data]],9,FALSE),0)</f>
        <v>0</v>
      </c>
      <c r="AK1136" s="4">
        <f>IFERROR(VLOOKUP(Calculations[[#This Row],[Material (choose from dropdown]],MaterialData[[#Headers],[#Data]],10,FALSE),0)</f>
        <v>0</v>
      </c>
      <c r="AL1136" s="322">
        <f>IFERROR(Calculations[[#This Row],[Data Quality Score]]*Calculations[[#This Row],[Total Kg]],0)</f>
        <v>0</v>
      </c>
    </row>
    <row r="1137" spans="1:38" x14ac:dyDescent="0.3">
      <c r="A1137" s="6">
        <f>IFERROR(MaterialsBoQ[[#This Row],[Scope Element]],0)</f>
        <v>0</v>
      </c>
      <c r="B1137" t="str">
        <f>IFERROR(MaterialsBoQ[[#This Row],[Material ]],"")</f>
        <v/>
      </c>
      <c r="C1137" t="str">
        <f>IFERROR(MaterialsBoQ[[#This Row],[Unit]],"")</f>
        <v/>
      </c>
      <c r="D1137" s="322">
        <f>IFERROR(MaterialsBoQ[[#This Row],[Number]],0)</f>
        <v>0</v>
      </c>
      <c r="E1137" s="322">
        <f>IFERROR(MaterialsBoQ[[#This Row],[Kg per unit]],0)</f>
        <v>0</v>
      </c>
      <c r="F1137" s="322">
        <f>IFERROR(Calculations[[#This Row],[Number]]*Calculations[[#This Row],[Conversion factor]],0)</f>
        <v>0</v>
      </c>
      <c r="G1137" s="322">
        <f>IFERROR(VLOOKUP(Calculations[[#This Row],[Material (choose from dropdown]],MaterialData[#All],7,FALSE),0)</f>
        <v>0</v>
      </c>
      <c r="H1137" s="322">
        <f>Calculations[[#This Row],[Total Kg]]*Calculations[[#This Row],[Carbon Factor]]</f>
        <v>0</v>
      </c>
      <c r="I1137" t="str">
        <f>IFERROR(VLOOKUP(Calculations[[#This Row],[Material (choose from dropdown]],MaterialData[#All],2,FALSE),"")</f>
        <v/>
      </c>
      <c r="J1137" s="322">
        <f>IFERROR(((VLOOKUP(Calculations[[#This Row],[TransportSource]],TransportDistance[],2,FALSE)*'Stage assumptions'!$C$11)+VLOOKUP(Calculations[[#This Row],[TransportSource]],TransportDistance[],3,FALSE)*'Stage assumptions'!$C$12)*Calculations[[#This Row],[Total Kg]],0)</f>
        <v>0</v>
      </c>
      <c r="K1137">
        <f>IFERROR(VLOOKUP(Calculations[[#This Row],[Material (choose from dropdown]], MaterialData[#All],3, FALSE),0)</f>
        <v>0</v>
      </c>
      <c r="L1137" s="322">
        <f>IFERROR(VLOOKUP(Calculations[[#This Row],[A5type]],A5WastageRate[#All],2,FALSE)*Calculations[[#This Row],[A1-3]],0)</f>
        <v>0</v>
      </c>
      <c r="N1137">
        <f>IFERROR(ROUNDUP(50/VLOOKUP(Calculations[[#This Row],[Scope Element]],B4referenceServiceLife[[Tier 2 element]:[Default Service Life]],2, FALSE)-1,0),0)</f>
        <v>0</v>
      </c>
      <c r="O1137" s="322">
        <f>IFERROR((Calculations[[#This Row],[A1-3]]+Calculations[[#This Row],[A4]]+Calculations[[#This Row],[A5]]+Calculations[[#This Row],[C2 total]]+Calculations[[#This Row],[C3 total]]+Calculations[[#This Row],[C4 total]])*Calculations[[#This Row],[Replacements]],0)</f>
        <v>0</v>
      </c>
      <c r="S1137" t="str">
        <f>IFERROR(VLOOKUP(Calculations[[#This Row],[Material (choose from dropdown]],MaterialData[#All],4,FALSE),"")</f>
        <v/>
      </c>
      <c r="T1137" s="322" cm="1">
        <f t="array" ref="T1137">IFERROR(VLOOKUP(Calculations[[#This Row],[Waste 1]],WasteScenario[#All],2,FALSE)*'Stage assumptions'!$C$225*WasteTransportMethod[Emissions Factor
kgCO2e/kg.km]*Calculations[[#This Row],[Total Kg]],0)</f>
        <v>0</v>
      </c>
      <c r="U1137" s="322" cm="1">
        <f t="array" ref="U1137">IFERROR(VLOOKUP(Calculations[[#This Row],[Waste 1]],WasteScenario[#All],3,FALSE)*'Stage assumptions'!$C$224*WasteTransportMethod[Emissions Factor
kgCO2e/kg.km]*Calculations[[#This Row],[Total Kg]],0)</f>
        <v>0</v>
      </c>
      <c r="V1137" s="322" cm="1">
        <f t="array" ref="V1137">IFERROR(VLOOKUP(Calculations[[#This Row],[Waste 1]],WasteScenario[#All],4,FALSE)*'Stage assumptions'!$C$223*WasteTransportMethod[Emissions Factor
kgCO2e/kg.km]*Calculations[[#This Row],[Total Kg]],0)</f>
        <v>0</v>
      </c>
      <c r="W1137" s="322" cm="1">
        <f t="array" ref="W1137">IFERROR(VLOOKUP(Calculations[[#This Row],[Waste 1]],WasteScenario[#All],5,FALSE)*'Stage assumptions'!$C$226*WasteTransportMethod[Emissions Factor
kgCO2e/kg.km]*Calculations[[#This Row],[Total Kg]],0)</f>
        <v>0</v>
      </c>
      <c r="X1137" s="322">
        <f>SUM(Calculations[[#This Row],[C2 Recycle]:[C2 Reuse]])</f>
        <v>0</v>
      </c>
      <c r="Y1137" t="str">
        <f>IFERROR(VLOOKUP(Calculations[[#This Row],[Material (choose from dropdown]],MaterialData[#All],5,FALSE),"")</f>
        <v/>
      </c>
      <c r="Z1137" s="322">
        <f>IFERROR(((VLOOKUP(Calculations[[#This Row],[Waste type 2]],WasteDisposalEmissions[#All],2,FALSE))*Calculations[[#This Row],[Total Kg]])*VLOOKUP(Calculations[[#This Row],[Waste 1]],WasteScenario[#All],2,FALSE),0)</f>
        <v>0</v>
      </c>
      <c r="AA1137" s="322">
        <f>IFERROR((VLOOKUP(Calculations[[#This Row],[Waste type 2]],WasteDisposalEmissions[#All],3,FALSE))*Calculations[[#This Row],[Total Kg]]*VLOOKUP(Calculations[[#This Row],[Waste 1]],WasteScenario[#All],3,FALSE),0)</f>
        <v>0</v>
      </c>
      <c r="AB1137" s="322">
        <f>SUM(Calculations[[#This Row],[C3 recyc]:[C3 incin]])</f>
        <v>0</v>
      </c>
      <c r="AC1137" s="334">
        <f>IFERROR((VLOOKUP(Calculations[[#This Row],[Waste type 2]],WasteLandfillEmissions[#All],2,FALSE))*Calculations[[#This Row],[Total Kg]]*VLOOKUP(Calculations[[#This Row],[Waste 1]],WasteScenario[#All],4,FALSE),0)</f>
        <v>0</v>
      </c>
      <c r="AD1137" s="322">
        <f>IFERROR((VLOOKUP(Calculations[[#This Row],[Waste type 2]],WasteLandfillEmissions[#All],3,FALSE))*Calculations[[#This Row],[Total Kg]]*VLOOKUP(Calculations[[#This Row],[Waste 1]],WasteScenario[#All],4,FALSE),0)</f>
        <v>0</v>
      </c>
      <c r="AE1137" s="322">
        <f>SUM(Calculations[[#This Row],[C4 landfill]:[C4 re-use]])</f>
        <v>0</v>
      </c>
      <c r="AF1137" s="322">
        <f>IFERROR(VLOOKUP(Calculations[[#This Row],[Material (choose from dropdown]],MaterialData[#All],8,FALSE),0)</f>
        <v>0</v>
      </c>
      <c r="AG1137" s="322">
        <f>IFERROR(Calculations[[#This Row],[Total Kg]]*Calculations[[#This Row],[Seq factor]],0)</f>
        <v>0</v>
      </c>
      <c r="AI1137" s="322">
        <f>Calculations[[#This Row],[A1-3]]+Calculations[[#This Row],[A4]]+Calculations[[#This Row],[A5]]+Calculations[[#This Row],[B4]]+Calculations[[#This Row],[C2 total]]+Calculations[[#This Row],[C3 total]]+Calculations[[#This Row],[C4 total]]</f>
        <v>0</v>
      </c>
      <c r="AJ1137" s="2">
        <f>IFERROR(VLOOKUP(Calculations[[#This Row],[Material (choose from dropdown]],MaterialData[[#Headers],[#Data]],9,FALSE),0)</f>
        <v>0</v>
      </c>
      <c r="AK1137" s="4">
        <f>IFERROR(VLOOKUP(Calculations[[#This Row],[Material (choose from dropdown]],MaterialData[[#Headers],[#Data]],10,FALSE),0)</f>
        <v>0</v>
      </c>
      <c r="AL1137" s="322">
        <f>IFERROR(Calculations[[#This Row],[Data Quality Score]]*Calculations[[#This Row],[Total Kg]],0)</f>
        <v>0</v>
      </c>
    </row>
    <row r="1138" spans="1:38" x14ac:dyDescent="0.3">
      <c r="A1138" s="6">
        <f>IFERROR(MaterialsBoQ[[#This Row],[Scope Element]],0)</f>
        <v>0</v>
      </c>
      <c r="B1138" t="str">
        <f>IFERROR(MaterialsBoQ[[#This Row],[Material ]],"")</f>
        <v/>
      </c>
      <c r="C1138" t="str">
        <f>IFERROR(MaterialsBoQ[[#This Row],[Unit]],"")</f>
        <v/>
      </c>
      <c r="D1138" s="322">
        <f>IFERROR(MaterialsBoQ[[#This Row],[Number]],0)</f>
        <v>0</v>
      </c>
      <c r="E1138" s="322">
        <f>IFERROR(MaterialsBoQ[[#This Row],[Kg per unit]],0)</f>
        <v>0</v>
      </c>
      <c r="F1138" s="322">
        <f>IFERROR(Calculations[[#This Row],[Number]]*Calculations[[#This Row],[Conversion factor]],0)</f>
        <v>0</v>
      </c>
      <c r="G1138" s="322">
        <f>IFERROR(VLOOKUP(Calculations[[#This Row],[Material (choose from dropdown]],MaterialData[#All],7,FALSE),0)</f>
        <v>0</v>
      </c>
      <c r="H1138" s="322">
        <f>Calculations[[#This Row],[Total Kg]]*Calculations[[#This Row],[Carbon Factor]]</f>
        <v>0</v>
      </c>
      <c r="I1138" t="str">
        <f>IFERROR(VLOOKUP(Calculations[[#This Row],[Material (choose from dropdown]],MaterialData[#All],2,FALSE),"")</f>
        <v/>
      </c>
      <c r="J1138" s="322">
        <f>IFERROR(((VLOOKUP(Calculations[[#This Row],[TransportSource]],TransportDistance[],2,FALSE)*'Stage assumptions'!$C$11)+VLOOKUP(Calculations[[#This Row],[TransportSource]],TransportDistance[],3,FALSE)*'Stage assumptions'!$C$12)*Calculations[[#This Row],[Total Kg]],0)</f>
        <v>0</v>
      </c>
      <c r="K1138">
        <f>IFERROR(VLOOKUP(Calculations[[#This Row],[Material (choose from dropdown]], MaterialData[#All],3, FALSE),0)</f>
        <v>0</v>
      </c>
      <c r="L1138" s="322">
        <f>IFERROR(VLOOKUP(Calculations[[#This Row],[A5type]],A5WastageRate[#All],2,FALSE)*Calculations[[#This Row],[A1-3]],0)</f>
        <v>0</v>
      </c>
      <c r="N1138">
        <f>IFERROR(ROUNDUP(50/VLOOKUP(Calculations[[#This Row],[Scope Element]],B4referenceServiceLife[[Tier 2 element]:[Default Service Life]],2, FALSE)-1,0),0)</f>
        <v>0</v>
      </c>
      <c r="O1138" s="322">
        <f>IFERROR((Calculations[[#This Row],[A1-3]]+Calculations[[#This Row],[A4]]+Calculations[[#This Row],[A5]]+Calculations[[#This Row],[C2 total]]+Calculations[[#This Row],[C3 total]]+Calculations[[#This Row],[C4 total]])*Calculations[[#This Row],[Replacements]],0)</f>
        <v>0</v>
      </c>
      <c r="S1138" t="str">
        <f>IFERROR(VLOOKUP(Calculations[[#This Row],[Material (choose from dropdown]],MaterialData[#All],4,FALSE),"")</f>
        <v/>
      </c>
      <c r="T1138" s="322" cm="1">
        <f t="array" ref="T1138">IFERROR(VLOOKUP(Calculations[[#This Row],[Waste 1]],WasteScenario[#All],2,FALSE)*'Stage assumptions'!$C$225*WasteTransportMethod[Emissions Factor
kgCO2e/kg.km]*Calculations[[#This Row],[Total Kg]],0)</f>
        <v>0</v>
      </c>
      <c r="U1138" s="322" cm="1">
        <f t="array" ref="U1138">IFERROR(VLOOKUP(Calculations[[#This Row],[Waste 1]],WasteScenario[#All],3,FALSE)*'Stage assumptions'!$C$224*WasteTransportMethod[Emissions Factor
kgCO2e/kg.km]*Calculations[[#This Row],[Total Kg]],0)</f>
        <v>0</v>
      </c>
      <c r="V1138" s="322" cm="1">
        <f t="array" ref="V1138">IFERROR(VLOOKUP(Calculations[[#This Row],[Waste 1]],WasteScenario[#All],4,FALSE)*'Stage assumptions'!$C$223*WasteTransportMethod[Emissions Factor
kgCO2e/kg.km]*Calculations[[#This Row],[Total Kg]],0)</f>
        <v>0</v>
      </c>
      <c r="W1138" s="322" cm="1">
        <f t="array" ref="W1138">IFERROR(VLOOKUP(Calculations[[#This Row],[Waste 1]],WasteScenario[#All],5,FALSE)*'Stage assumptions'!$C$226*WasteTransportMethod[Emissions Factor
kgCO2e/kg.km]*Calculations[[#This Row],[Total Kg]],0)</f>
        <v>0</v>
      </c>
      <c r="X1138" s="322">
        <f>SUM(Calculations[[#This Row],[C2 Recycle]:[C2 Reuse]])</f>
        <v>0</v>
      </c>
      <c r="Y1138" t="str">
        <f>IFERROR(VLOOKUP(Calculations[[#This Row],[Material (choose from dropdown]],MaterialData[#All],5,FALSE),"")</f>
        <v/>
      </c>
      <c r="Z1138" s="322">
        <f>IFERROR(((VLOOKUP(Calculations[[#This Row],[Waste type 2]],WasteDisposalEmissions[#All],2,FALSE))*Calculations[[#This Row],[Total Kg]])*VLOOKUP(Calculations[[#This Row],[Waste 1]],WasteScenario[#All],2,FALSE),0)</f>
        <v>0</v>
      </c>
      <c r="AA1138" s="322">
        <f>IFERROR((VLOOKUP(Calculations[[#This Row],[Waste type 2]],WasteDisposalEmissions[#All],3,FALSE))*Calculations[[#This Row],[Total Kg]]*VLOOKUP(Calculations[[#This Row],[Waste 1]],WasteScenario[#All],3,FALSE),0)</f>
        <v>0</v>
      </c>
      <c r="AB1138" s="322">
        <f>SUM(Calculations[[#This Row],[C3 recyc]:[C3 incin]])</f>
        <v>0</v>
      </c>
      <c r="AC1138" s="334">
        <f>IFERROR((VLOOKUP(Calculations[[#This Row],[Waste type 2]],WasteLandfillEmissions[#All],2,FALSE))*Calculations[[#This Row],[Total Kg]]*VLOOKUP(Calculations[[#This Row],[Waste 1]],WasteScenario[#All],4,FALSE),0)</f>
        <v>0</v>
      </c>
      <c r="AD1138" s="322">
        <f>IFERROR((VLOOKUP(Calculations[[#This Row],[Waste type 2]],WasteLandfillEmissions[#All],3,FALSE))*Calculations[[#This Row],[Total Kg]]*VLOOKUP(Calculations[[#This Row],[Waste 1]],WasteScenario[#All],4,FALSE),0)</f>
        <v>0</v>
      </c>
      <c r="AE1138" s="322">
        <f>SUM(Calculations[[#This Row],[C4 landfill]:[C4 re-use]])</f>
        <v>0</v>
      </c>
      <c r="AF1138" s="322">
        <f>IFERROR(VLOOKUP(Calculations[[#This Row],[Material (choose from dropdown]],MaterialData[#All],8,FALSE),0)</f>
        <v>0</v>
      </c>
      <c r="AG1138" s="322">
        <f>IFERROR(Calculations[[#This Row],[Total Kg]]*Calculations[[#This Row],[Seq factor]],0)</f>
        <v>0</v>
      </c>
      <c r="AI1138" s="322">
        <f>Calculations[[#This Row],[A1-3]]+Calculations[[#This Row],[A4]]+Calculations[[#This Row],[A5]]+Calculations[[#This Row],[B4]]+Calculations[[#This Row],[C2 total]]+Calculations[[#This Row],[C3 total]]+Calculations[[#This Row],[C4 total]]</f>
        <v>0</v>
      </c>
      <c r="AJ1138" s="2">
        <f>IFERROR(VLOOKUP(Calculations[[#This Row],[Material (choose from dropdown]],MaterialData[[#Headers],[#Data]],9,FALSE),0)</f>
        <v>0</v>
      </c>
      <c r="AK1138" s="4">
        <f>IFERROR(VLOOKUP(Calculations[[#This Row],[Material (choose from dropdown]],MaterialData[[#Headers],[#Data]],10,FALSE),0)</f>
        <v>0</v>
      </c>
      <c r="AL1138" s="322">
        <f>IFERROR(Calculations[[#This Row],[Data Quality Score]]*Calculations[[#This Row],[Total Kg]],0)</f>
        <v>0</v>
      </c>
    </row>
    <row r="1139" spans="1:38" x14ac:dyDescent="0.3">
      <c r="A1139" s="6">
        <f>IFERROR(MaterialsBoQ[[#This Row],[Scope Element]],0)</f>
        <v>0</v>
      </c>
      <c r="B1139" t="str">
        <f>IFERROR(MaterialsBoQ[[#This Row],[Material ]],"")</f>
        <v/>
      </c>
      <c r="C1139" t="str">
        <f>IFERROR(MaterialsBoQ[[#This Row],[Unit]],"")</f>
        <v/>
      </c>
      <c r="D1139" s="322">
        <f>IFERROR(MaterialsBoQ[[#This Row],[Number]],0)</f>
        <v>0</v>
      </c>
      <c r="E1139" s="322">
        <f>IFERROR(MaterialsBoQ[[#This Row],[Kg per unit]],0)</f>
        <v>0</v>
      </c>
      <c r="F1139" s="322">
        <f>IFERROR(Calculations[[#This Row],[Number]]*Calculations[[#This Row],[Conversion factor]],0)</f>
        <v>0</v>
      </c>
      <c r="G1139" s="322">
        <f>IFERROR(VLOOKUP(Calculations[[#This Row],[Material (choose from dropdown]],MaterialData[#All],7,FALSE),0)</f>
        <v>0</v>
      </c>
      <c r="H1139" s="322">
        <f>Calculations[[#This Row],[Total Kg]]*Calculations[[#This Row],[Carbon Factor]]</f>
        <v>0</v>
      </c>
      <c r="I1139" t="str">
        <f>IFERROR(VLOOKUP(Calculations[[#This Row],[Material (choose from dropdown]],MaterialData[#All],2,FALSE),"")</f>
        <v/>
      </c>
      <c r="J1139" s="322">
        <f>IFERROR(((VLOOKUP(Calculations[[#This Row],[TransportSource]],TransportDistance[],2,FALSE)*'Stage assumptions'!$C$11)+VLOOKUP(Calculations[[#This Row],[TransportSource]],TransportDistance[],3,FALSE)*'Stage assumptions'!$C$12)*Calculations[[#This Row],[Total Kg]],0)</f>
        <v>0</v>
      </c>
      <c r="K1139">
        <f>IFERROR(VLOOKUP(Calculations[[#This Row],[Material (choose from dropdown]], MaterialData[#All],3, FALSE),0)</f>
        <v>0</v>
      </c>
      <c r="L1139" s="322">
        <f>IFERROR(VLOOKUP(Calculations[[#This Row],[A5type]],A5WastageRate[#All],2,FALSE)*Calculations[[#This Row],[A1-3]],0)</f>
        <v>0</v>
      </c>
      <c r="N1139">
        <f>IFERROR(ROUNDUP(50/VLOOKUP(Calculations[[#This Row],[Scope Element]],B4referenceServiceLife[[Tier 2 element]:[Default Service Life]],2, FALSE)-1,0),0)</f>
        <v>0</v>
      </c>
      <c r="O1139" s="322">
        <f>IFERROR((Calculations[[#This Row],[A1-3]]+Calculations[[#This Row],[A4]]+Calculations[[#This Row],[A5]]+Calculations[[#This Row],[C2 total]]+Calculations[[#This Row],[C3 total]]+Calculations[[#This Row],[C4 total]])*Calculations[[#This Row],[Replacements]],0)</f>
        <v>0</v>
      </c>
      <c r="S1139" t="str">
        <f>IFERROR(VLOOKUP(Calculations[[#This Row],[Material (choose from dropdown]],MaterialData[#All],4,FALSE),"")</f>
        <v/>
      </c>
      <c r="T1139" s="322" cm="1">
        <f t="array" ref="T1139">IFERROR(VLOOKUP(Calculations[[#This Row],[Waste 1]],WasteScenario[#All],2,FALSE)*'Stage assumptions'!$C$225*WasteTransportMethod[Emissions Factor
kgCO2e/kg.km]*Calculations[[#This Row],[Total Kg]],0)</f>
        <v>0</v>
      </c>
      <c r="U1139" s="322" cm="1">
        <f t="array" ref="U1139">IFERROR(VLOOKUP(Calculations[[#This Row],[Waste 1]],WasteScenario[#All],3,FALSE)*'Stage assumptions'!$C$224*WasteTransportMethod[Emissions Factor
kgCO2e/kg.km]*Calculations[[#This Row],[Total Kg]],0)</f>
        <v>0</v>
      </c>
      <c r="V1139" s="322" cm="1">
        <f t="array" ref="V1139">IFERROR(VLOOKUP(Calculations[[#This Row],[Waste 1]],WasteScenario[#All],4,FALSE)*'Stage assumptions'!$C$223*WasteTransportMethod[Emissions Factor
kgCO2e/kg.km]*Calculations[[#This Row],[Total Kg]],0)</f>
        <v>0</v>
      </c>
      <c r="W1139" s="322" cm="1">
        <f t="array" ref="W1139">IFERROR(VLOOKUP(Calculations[[#This Row],[Waste 1]],WasteScenario[#All],5,FALSE)*'Stage assumptions'!$C$226*WasteTransportMethod[Emissions Factor
kgCO2e/kg.km]*Calculations[[#This Row],[Total Kg]],0)</f>
        <v>0</v>
      </c>
      <c r="X1139" s="322">
        <f>SUM(Calculations[[#This Row],[C2 Recycle]:[C2 Reuse]])</f>
        <v>0</v>
      </c>
      <c r="Y1139" t="str">
        <f>IFERROR(VLOOKUP(Calculations[[#This Row],[Material (choose from dropdown]],MaterialData[#All],5,FALSE),"")</f>
        <v/>
      </c>
      <c r="Z1139" s="322">
        <f>IFERROR(((VLOOKUP(Calculations[[#This Row],[Waste type 2]],WasteDisposalEmissions[#All],2,FALSE))*Calculations[[#This Row],[Total Kg]])*VLOOKUP(Calculations[[#This Row],[Waste 1]],WasteScenario[#All],2,FALSE),0)</f>
        <v>0</v>
      </c>
      <c r="AA1139" s="322">
        <f>IFERROR((VLOOKUP(Calculations[[#This Row],[Waste type 2]],WasteDisposalEmissions[#All],3,FALSE))*Calculations[[#This Row],[Total Kg]]*VLOOKUP(Calculations[[#This Row],[Waste 1]],WasteScenario[#All],3,FALSE),0)</f>
        <v>0</v>
      </c>
      <c r="AB1139" s="322">
        <f>SUM(Calculations[[#This Row],[C3 recyc]:[C3 incin]])</f>
        <v>0</v>
      </c>
      <c r="AC1139" s="334">
        <f>IFERROR((VLOOKUP(Calculations[[#This Row],[Waste type 2]],WasteLandfillEmissions[#All],2,FALSE))*Calculations[[#This Row],[Total Kg]]*VLOOKUP(Calculations[[#This Row],[Waste 1]],WasteScenario[#All],4,FALSE),0)</f>
        <v>0</v>
      </c>
      <c r="AD1139" s="322">
        <f>IFERROR((VLOOKUP(Calculations[[#This Row],[Waste type 2]],WasteLandfillEmissions[#All],3,FALSE))*Calculations[[#This Row],[Total Kg]]*VLOOKUP(Calculations[[#This Row],[Waste 1]],WasteScenario[#All],4,FALSE),0)</f>
        <v>0</v>
      </c>
      <c r="AE1139" s="322">
        <f>SUM(Calculations[[#This Row],[C4 landfill]:[C4 re-use]])</f>
        <v>0</v>
      </c>
      <c r="AF1139" s="322">
        <f>IFERROR(VLOOKUP(Calculations[[#This Row],[Material (choose from dropdown]],MaterialData[#All],8,FALSE),0)</f>
        <v>0</v>
      </c>
      <c r="AG1139" s="322">
        <f>IFERROR(Calculations[[#This Row],[Total Kg]]*Calculations[[#This Row],[Seq factor]],0)</f>
        <v>0</v>
      </c>
      <c r="AI1139" s="322">
        <f>Calculations[[#This Row],[A1-3]]+Calculations[[#This Row],[A4]]+Calculations[[#This Row],[A5]]+Calculations[[#This Row],[B4]]+Calculations[[#This Row],[C2 total]]+Calculations[[#This Row],[C3 total]]+Calculations[[#This Row],[C4 total]]</f>
        <v>0</v>
      </c>
      <c r="AJ1139" s="2">
        <f>IFERROR(VLOOKUP(Calculations[[#This Row],[Material (choose from dropdown]],MaterialData[[#Headers],[#Data]],9,FALSE),0)</f>
        <v>0</v>
      </c>
      <c r="AK1139" s="4">
        <f>IFERROR(VLOOKUP(Calculations[[#This Row],[Material (choose from dropdown]],MaterialData[[#Headers],[#Data]],10,FALSE),0)</f>
        <v>0</v>
      </c>
      <c r="AL1139" s="322">
        <f>IFERROR(Calculations[[#This Row],[Data Quality Score]]*Calculations[[#This Row],[Total Kg]],0)</f>
        <v>0</v>
      </c>
    </row>
    <row r="1140" spans="1:38" x14ac:dyDescent="0.3">
      <c r="A1140" s="6">
        <f>IFERROR(MaterialsBoQ[[#This Row],[Scope Element]],0)</f>
        <v>0</v>
      </c>
      <c r="B1140" t="str">
        <f>IFERROR(MaterialsBoQ[[#This Row],[Material ]],"")</f>
        <v/>
      </c>
      <c r="C1140" t="str">
        <f>IFERROR(MaterialsBoQ[[#This Row],[Unit]],"")</f>
        <v/>
      </c>
      <c r="D1140" s="322">
        <f>IFERROR(MaterialsBoQ[[#This Row],[Number]],0)</f>
        <v>0</v>
      </c>
      <c r="E1140" s="322">
        <f>IFERROR(MaterialsBoQ[[#This Row],[Kg per unit]],0)</f>
        <v>0</v>
      </c>
      <c r="F1140" s="322">
        <f>IFERROR(Calculations[[#This Row],[Number]]*Calculations[[#This Row],[Conversion factor]],0)</f>
        <v>0</v>
      </c>
      <c r="G1140" s="322">
        <f>IFERROR(VLOOKUP(Calculations[[#This Row],[Material (choose from dropdown]],MaterialData[#All],7,FALSE),0)</f>
        <v>0</v>
      </c>
      <c r="H1140" s="322">
        <f>Calculations[[#This Row],[Total Kg]]*Calculations[[#This Row],[Carbon Factor]]</f>
        <v>0</v>
      </c>
      <c r="I1140" t="str">
        <f>IFERROR(VLOOKUP(Calculations[[#This Row],[Material (choose from dropdown]],MaterialData[#All],2,FALSE),"")</f>
        <v/>
      </c>
      <c r="J1140" s="322">
        <f>IFERROR(((VLOOKUP(Calculations[[#This Row],[TransportSource]],TransportDistance[],2,FALSE)*'Stage assumptions'!$C$11)+VLOOKUP(Calculations[[#This Row],[TransportSource]],TransportDistance[],3,FALSE)*'Stage assumptions'!$C$12)*Calculations[[#This Row],[Total Kg]],0)</f>
        <v>0</v>
      </c>
      <c r="K1140">
        <f>IFERROR(VLOOKUP(Calculations[[#This Row],[Material (choose from dropdown]], MaterialData[#All],3, FALSE),0)</f>
        <v>0</v>
      </c>
      <c r="L1140" s="322">
        <f>IFERROR(VLOOKUP(Calculations[[#This Row],[A5type]],A5WastageRate[#All],2,FALSE)*Calculations[[#This Row],[A1-3]],0)</f>
        <v>0</v>
      </c>
      <c r="N1140">
        <f>IFERROR(ROUNDUP(50/VLOOKUP(Calculations[[#This Row],[Scope Element]],B4referenceServiceLife[[Tier 2 element]:[Default Service Life]],2, FALSE)-1,0),0)</f>
        <v>0</v>
      </c>
      <c r="O1140" s="322">
        <f>IFERROR((Calculations[[#This Row],[A1-3]]+Calculations[[#This Row],[A4]]+Calculations[[#This Row],[A5]]+Calculations[[#This Row],[C2 total]]+Calculations[[#This Row],[C3 total]]+Calculations[[#This Row],[C4 total]])*Calculations[[#This Row],[Replacements]],0)</f>
        <v>0</v>
      </c>
      <c r="S1140" t="str">
        <f>IFERROR(VLOOKUP(Calculations[[#This Row],[Material (choose from dropdown]],MaterialData[#All],4,FALSE),"")</f>
        <v/>
      </c>
      <c r="T1140" s="322" cm="1">
        <f t="array" ref="T1140">IFERROR(VLOOKUP(Calculations[[#This Row],[Waste 1]],WasteScenario[#All],2,FALSE)*'Stage assumptions'!$C$225*WasteTransportMethod[Emissions Factor
kgCO2e/kg.km]*Calculations[[#This Row],[Total Kg]],0)</f>
        <v>0</v>
      </c>
      <c r="U1140" s="322" cm="1">
        <f t="array" ref="U1140">IFERROR(VLOOKUP(Calculations[[#This Row],[Waste 1]],WasteScenario[#All],3,FALSE)*'Stage assumptions'!$C$224*WasteTransportMethod[Emissions Factor
kgCO2e/kg.km]*Calculations[[#This Row],[Total Kg]],0)</f>
        <v>0</v>
      </c>
      <c r="V1140" s="322" cm="1">
        <f t="array" ref="V1140">IFERROR(VLOOKUP(Calculations[[#This Row],[Waste 1]],WasteScenario[#All],4,FALSE)*'Stage assumptions'!$C$223*WasteTransportMethod[Emissions Factor
kgCO2e/kg.km]*Calculations[[#This Row],[Total Kg]],0)</f>
        <v>0</v>
      </c>
      <c r="W1140" s="322" cm="1">
        <f t="array" ref="W1140">IFERROR(VLOOKUP(Calculations[[#This Row],[Waste 1]],WasteScenario[#All],5,FALSE)*'Stage assumptions'!$C$226*WasteTransportMethod[Emissions Factor
kgCO2e/kg.km]*Calculations[[#This Row],[Total Kg]],0)</f>
        <v>0</v>
      </c>
      <c r="X1140" s="322">
        <f>SUM(Calculations[[#This Row],[C2 Recycle]:[C2 Reuse]])</f>
        <v>0</v>
      </c>
      <c r="Y1140" t="str">
        <f>IFERROR(VLOOKUP(Calculations[[#This Row],[Material (choose from dropdown]],MaterialData[#All],5,FALSE),"")</f>
        <v/>
      </c>
      <c r="Z1140" s="322">
        <f>IFERROR(((VLOOKUP(Calculations[[#This Row],[Waste type 2]],WasteDisposalEmissions[#All],2,FALSE))*Calculations[[#This Row],[Total Kg]])*VLOOKUP(Calculations[[#This Row],[Waste 1]],WasteScenario[#All],2,FALSE),0)</f>
        <v>0</v>
      </c>
      <c r="AA1140" s="322">
        <f>IFERROR((VLOOKUP(Calculations[[#This Row],[Waste type 2]],WasteDisposalEmissions[#All],3,FALSE))*Calculations[[#This Row],[Total Kg]]*VLOOKUP(Calculations[[#This Row],[Waste 1]],WasteScenario[#All],3,FALSE),0)</f>
        <v>0</v>
      </c>
      <c r="AB1140" s="322">
        <f>SUM(Calculations[[#This Row],[C3 recyc]:[C3 incin]])</f>
        <v>0</v>
      </c>
      <c r="AC1140" s="334">
        <f>IFERROR((VLOOKUP(Calculations[[#This Row],[Waste type 2]],WasteLandfillEmissions[#All],2,FALSE))*Calculations[[#This Row],[Total Kg]]*VLOOKUP(Calculations[[#This Row],[Waste 1]],WasteScenario[#All],4,FALSE),0)</f>
        <v>0</v>
      </c>
      <c r="AD1140" s="322">
        <f>IFERROR((VLOOKUP(Calculations[[#This Row],[Waste type 2]],WasteLandfillEmissions[#All],3,FALSE))*Calculations[[#This Row],[Total Kg]]*VLOOKUP(Calculations[[#This Row],[Waste 1]],WasteScenario[#All],4,FALSE),0)</f>
        <v>0</v>
      </c>
      <c r="AE1140" s="322">
        <f>SUM(Calculations[[#This Row],[C4 landfill]:[C4 re-use]])</f>
        <v>0</v>
      </c>
      <c r="AF1140" s="322">
        <f>IFERROR(VLOOKUP(Calculations[[#This Row],[Material (choose from dropdown]],MaterialData[#All],8,FALSE),0)</f>
        <v>0</v>
      </c>
      <c r="AG1140" s="322">
        <f>IFERROR(Calculations[[#This Row],[Total Kg]]*Calculations[[#This Row],[Seq factor]],0)</f>
        <v>0</v>
      </c>
      <c r="AI1140" s="322">
        <f>Calculations[[#This Row],[A1-3]]+Calculations[[#This Row],[A4]]+Calculations[[#This Row],[A5]]+Calculations[[#This Row],[B4]]+Calculations[[#This Row],[C2 total]]+Calculations[[#This Row],[C3 total]]+Calculations[[#This Row],[C4 total]]</f>
        <v>0</v>
      </c>
      <c r="AJ1140" s="2">
        <f>IFERROR(VLOOKUP(Calculations[[#This Row],[Material (choose from dropdown]],MaterialData[[#Headers],[#Data]],9,FALSE),0)</f>
        <v>0</v>
      </c>
      <c r="AK1140" s="4">
        <f>IFERROR(VLOOKUP(Calculations[[#This Row],[Material (choose from dropdown]],MaterialData[[#Headers],[#Data]],10,FALSE),0)</f>
        <v>0</v>
      </c>
      <c r="AL1140" s="322">
        <f>IFERROR(Calculations[[#This Row],[Data Quality Score]]*Calculations[[#This Row],[Total Kg]],0)</f>
        <v>0</v>
      </c>
    </row>
    <row r="1141" spans="1:38" x14ac:dyDescent="0.3">
      <c r="A1141" s="6">
        <f>IFERROR(MaterialsBoQ[[#This Row],[Scope Element]],0)</f>
        <v>0</v>
      </c>
      <c r="B1141" t="str">
        <f>IFERROR(MaterialsBoQ[[#This Row],[Material ]],"")</f>
        <v/>
      </c>
      <c r="C1141" t="str">
        <f>IFERROR(MaterialsBoQ[[#This Row],[Unit]],"")</f>
        <v/>
      </c>
      <c r="D1141" s="322">
        <f>IFERROR(MaterialsBoQ[[#This Row],[Number]],0)</f>
        <v>0</v>
      </c>
      <c r="E1141" s="322">
        <f>IFERROR(MaterialsBoQ[[#This Row],[Kg per unit]],0)</f>
        <v>0</v>
      </c>
      <c r="F1141" s="322">
        <f>IFERROR(Calculations[[#This Row],[Number]]*Calculations[[#This Row],[Conversion factor]],0)</f>
        <v>0</v>
      </c>
      <c r="G1141" s="322">
        <f>IFERROR(VLOOKUP(Calculations[[#This Row],[Material (choose from dropdown]],MaterialData[#All],7,FALSE),0)</f>
        <v>0</v>
      </c>
      <c r="H1141" s="322">
        <f>Calculations[[#This Row],[Total Kg]]*Calculations[[#This Row],[Carbon Factor]]</f>
        <v>0</v>
      </c>
      <c r="I1141" t="str">
        <f>IFERROR(VLOOKUP(Calculations[[#This Row],[Material (choose from dropdown]],MaterialData[#All],2,FALSE),"")</f>
        <v/>
      </c>
      <c r="J1141" s="322">
        <f>IFERROR(((VLOOKUP(Calculations[[#This Row],[TransportSource]],TransportDistance[],2,FALSE)*'Stage assumptions'!$C$11)+VLOOKUP(Calculations[[#This Row],[TransportSource]],TransportDistance[],3,FALSE)*'Stage assumptions'!$C$12)*Calculations[[#This Row],[Total Kg]],0)</f>
        <v>0</v>
      </c>
      <c r="K1141">
        <f>IFERROR(VLOOKUP(Calculations[[#This Row],[Material (choose from dropdown]], MaterialData[#All],3, FALSE),0)</f>
        <v>0</v>
      </c>
      <c r="L1141" s="322">
        <f>IFERROR(VLOOKUP(Calculations[[#This Row],[A5type]],A5WastageRate[#All],2,FALSE)*Calculations[[#This Row],[A1-3]],0)</f>
        <v>0</v>
      </c>
      <c r="N1141">
        <f>IFERROR(ROUNDUP(50/VLOOKUP(Calculations[[#This Row],[Scope Element]],B4referenceServiceLife[[Tier 2 element]:[Default Service Life]],2, FALSE)-1,0),0)</f>
        <v>0</v>
      </c>
      <c r="O1141" s="322">
        <f>IFERROR((Calculations[[#This Row],[A1-3]]+Calculations[[#This Row],[A4]]+Calculations[[#This Row],[A5]]+Calculations[[#This Row],[C2 total]]+Calculations[[#This Row],[C3 total]]+Calculations[[#This Row],[C4 total]])*Calculations[[#This Row],[Replacements]],0)</f>
        <v>0</v>
      </c>
      <c r="S1141" t="str">
        <f>IFERROR(VLOOKUP(Calculations[[#This Row],[Material (choose from dropdown]],MaterialData[#All],4,FALSE),"")</f>
        <v/>
      </c>
      <c r="T1141" s="322" cm="1">
        <f t="array" ref="T1141">IFERROR(VLOOKUP(Calculations[[#This Row],[Waste 1]],WasteScenario[#All],2,FALSE)*'Stage assumptions'!$C$225*WasteTransportMethod[Emissions Factor
kgCO2e/kg.km]*Calculations[[#This Row],[Total Kg]],0)</f>
        <v>0</v>
      </c>
      <c r="U1141" s="322" cm="1">
        <f t="array" ref="U1141">IFERROR(VLOOKUP(Calculations[[#This Row],[Waste 1]],WasteScenario[#All],3,FALSE)*'Stage assumptions'!$C$224*WasteTransportMethod[Emissions Factor
kgCO2e/kg.km]*Calculations[[#This Row],[Total Kg]],0)</f>
        <v>0</v>
      </c>
      <c r="V1141" s="322" cm="1">
        <f t="array" ref="V1141">IFERROR(VLOOKUP(Calculations[[#This Row],[Waste 1]],WasteScenario[#All],4,FALSE)*'Stage assumptions'!$C$223*WasteTransportMethod[Emissions Factor
kgCO2e/kg.km]*Calculations[[#This Row],[Total Kg]],0)</f>
        <v>0</v>
      </c>
      <c r="W1141" s="322" cm="1">
        <f t="array" ref="W1141">IFERROR(VLOOKUP(Calculations[[#This Row],[Waste 1]],WasteScenario[#All],5,FALSE)*'Stage assumptions'!$C$226*WasteTransportMethod[Emissions Factor
kgCO2e/kg.km]*Calculations[[#This Row],[Total Kg]],0)</f>
        <v>0</v>
      </c>
      <c r="X1141" s="322">
        <f>SUM(Calculations[[#This Row],[C2 Recycle]:[C2 Reuse]])</f>
        <v>0</v>
      </c>
      <c r="Y1141" t="str">
        <f>IFERROR(VLOOKUP(Calculations[[#This Row],[Material (choose from dropdown]],MaterialData[#All],5,FALSE),"")</f>
        <v/>
      </c>
      <c r="Z1141" s="322">
        <f>IFERROR(((VLOOKUP(Calculations[[#This Row],[Waste type 2]],WasteDisposalEmissions[#All],2,FALSE))*Calculations[[#This Row],[Total Kg]])*VLOOKUP(Calculations[[#This Row],[Waste 1]],WasteScenario[#All],2,FALSE),0)</f>
        <v>0</v>
      </c>
      <c r="AA1141" s="322">
        <f>IFERROR((VLOOKUP(Calculations[[#This Row],[Waste type 2]],WasteDisposalEmissions[#All],3,FALSE))*Calculations[[#This Row],[Total Kg]]*VLOOKUP(Calculations[[#This Row],[Waste 1]],WasteScenario[#All],3,FALSE),0)</f>
        <v>0</v>
      </c>
      <c r="AB1141" s="322">
        <f>SUM(Calculations[[#This Row],[C3 recyc]:[C3 incin]])</f>
        <v>0</v>
      </c>
      <c r="AC1141" s="334">
        <f>IFERROR((VLOOKUP(Calculations[[#This Row],[Waste type 2]],WasteLandfillEmissions[#All],2,FALSE))*Calculations[[#This Row],[Total Kg]]*VLOOKUP(Calculations[[#This Row],[Waste 1]],WasteScenario[#All],4,FALSE),0)</f>
        <v>0</v>
      </c>
      <c r="AD1141" s="322">
        <f>IFERROR((VLOOKUP(Calculations[[#This Row],[Waste type 2]],WasteLandfillEmissions[#All],3,FALSE))*Calculations[[#This Row],[Total Kg]]*VLOOKUP(Calculations[[#This Row],[Waste 1]],WasteScenario[#All],4,FALSE),0)</f>
        <v>0</v>
      </c>
      <c r="AE1141" s="322">
        <f>SUM(Calculations[[#This Row],[C4 landfill]:[C4 re-use]])</f>
        <v>0</v>
      </c>
      <c r="AF1141" s="322">
        <f>IFERROR(VLOOKUP(Calculations[[#This Row],[Material (choose from dropdown]],MaterialData[#All],8,FALSE),0)</f>
        <v>0</v>
      </c>
      <c r="AG1141" s="322">
        <f>IFERROR(Calculations[[#This Row],[Total Kg]]*Calculations[[#This Row],[Seq factor]],0)</f>
        <v>0</v>
      </c>
      <c r="AI1141" s="322">
        <f>Calculations[[#This Row],[A1-3]]+Calculations[[#This Row],[A4]]+Calculations[[#This Row],[A5]]+Calculations[[#This Row],[B4]]+Calculations[[#This Row],[C2 total]]+Calculations[[#This Row],[C3 total]]+Calculations[[#This Row],[C4 total]]</f>
        <v>0</v>
      </c>
      <c r="AJ1141" s="2">
        <f>IFERROR(VLOOKUP(Calculations[[#This Row],[Material (choose from dropdown]],MaterialData[[#Headers],[#Data]],9,FALSE),0)</f>
        <v>0</v>
      </c>
      <c r="AK1141" s="4">
        <f>IFERROR(VLOOKUP(Calculations[[#This Row],[Material (choose from dropdown]],MaterialData[[#Headers],[#Data]],10,FALSE),0)</f>
        <v>0</v>
      </c>
      <c r="AL1141" s="322">
        <f>IFERROR(Calculations[[#This Row],[Data Quality Score]]*Calculations[[#This Row],[Total Kg]],0)</f>
        <v>0</v>
      </c>
    </row>
    <row r="1142" spans="1:38" x14ac:dyDescent="0.3">
      <c r="A1142" s="6">
        <f>IFERROR(MaterialsBoQ[[#This Row],[Scope Element]],0)</f>
        <v>0</v>
      </c>
      <c r="B1142" t="str">
        <f>IFERROR(MaterialsBoQ[[#This Row],[Material ]],"")</f>
        <v/>
      </c>
      <c r="C1142" t="str">
        <f>IFERROR(MaterialsBoQ[[#This Row],[Unit]],"")</f>
        <v/>
      </c>
      <c r="D1142" s="322">
        <f>IFERROR(MaterialsBoQ[[#This Row],[Number]],0)</f>
        <v>0</v>
      </c>
      <c r="E1142" s="322">
        <f>IFERROR(MaterialsBoQ[[#This Row],[Kg per unit]],0)</f>
        <v>0</v>
      </c>
      <c r="F1142" s="322">
        <f>IFERROR(Calculations[[#This Row],[Number]]*Calculations[[#This Row],[Conversion factor]],0)</f>
        <v>0</v>
      </c>
      <c r="G1142" s="322">
        <f>IFERROR(VLOOKUP(Calculations[[#This Row],[Material (choose from dropdown]],MaterialData[#All],7,FALSE),0)</f>
        <v>0</v>
      </c>
      <c r="H1142" s="322">
        <f>Calculations[[#This Row],[Total Kg]]*Calculations[[#This Row],[Carbon Factor]]</f>
        <v>0</v>
      </c>
      <c r="I1142" t="str">
        <f>IFERROR(VLOOKUP(Calculations[[#This Row],[Material (choose from dropdown]],MaterialData[#All],2,FALSE),"")</f>
        <v/>
      </c>
      <c r="J1142" s="322">
        <f>IFERROR(((VLOOKUP(Calculations[[#This Row],[TransportSource]],TransportDistance[],2,FALSE)*'Stage assumptions'!$C$11)+VLOOKUP(Calculations[[#This Row],[TransportSource]],TransportDistance[],3,FALSE)*'Stage assumptions'!$C$12)*Calculations[[#This Row],[Total Kg]],0)</f>
        <v>0</v>
      </c>
      <c r="K1142">
        <f>IFERROR(VLOOKUP(Calculations[[#This Row],[Material (choose from dropdown]], MaterialData[#All],3, FALSE),0)</f>
        <v>0</v>
      </c>
      <c r="L1142" s="322">
        <f>IFERROR(VLOOKUP(Calculations[[#This Row],[A5type]],A5WastageRate[#All],2,FALSE)*Calculations[[#This Row],[A1-3]],0)</f>
        <v>0</v>
      </c>
      <c r="N1142">
        <f>IFERROR(ROUNDUP(50/VLOOKUP(Calculations[[#This Row],[Scope Element]],B4referenceServiceLife[[Tier 2 element]:[Default Service Life]],2, FALSE)-1,0),0)</f>
        <v>0</v>
      </c>
      <c r="O1142" s="322">
        <f>IFERROR((Calculations[[#This Row],[A1-3]]+Calculations[[#This Row],[A4]]+Calculations[[#This Row],[A5]]+Calculations[[#This Row],[C2 total]]+Calculations[[#This Row],[C3 total]]+Calculations[[#This Row],[C4 total]])*Calculations[[#This Row],[Replacements]],0)</f>
        <v>0</v>
      </c>
      <c r="S1142" t="str">
        <f>IFERROR(VLOOKUP(Calculations[[#This Row],[Material (choose from dropdown]],MaterialData[#All],4,FALSE),"")</f>
        <v/>
      </c>
      <c r="T1142" s="322" cm="1">
        <f t="array" ref="T1142">IFERROR(VLOOKUP(Calculations[[#This Row],[Waste 1]],WasteScenario[#All],2,FALSE)*'Stage assumptions'!$C$225*WasteTransportMethod[Emissions Factor
kgCO2e/kg.km]*Calculations[[#This Row],[Total Kg]],0)</f>
        <v>0</v>
      </c>
      <c r="U1142" s="322" cm="1">
        <f t="array" ref="U1142">IFERROR(VLOOKUP(Calculations[[#This Row],[Waste 1]],WasteScenario[#All],3,FALSE)*'Stage assumptions'!$C$224*WasteTransportMethod[Emissions Factor
kgCO2e/kg.km]*Calculations[[#This Row],[Total Kg]],0)</f>
        <v>0</v>
      </c>
      <c r="V1142" s="322" cm="1">
        <f t="array" ref="V1142">IFERROR(VLOOKUP(Calculations[[#This Row],[Waste 1]],WasteScenario[#All],4,FALSE)*'Stage assumptions'!$C$223*WasteTransportMethod[Emissions Factor
kgCO2e/kg.km]*Calculations[[#This Row],[Total Kg]],0)</f>
        <v>0</v>
      </c>
      <c r="W1142" s="322" cm="1">
        <f t="array" ref="W1142">IFERROR(VLOOKUP(Calculations[[#This Row],[Waste 1]],WasteScenario[#All],5,FALSE)*'Stage assumptions'!$C$226*WasteTransportMethod[Emissions Factor
kgCO2e/kg.km]*Calculations[[#This Row],[Total Kg]],0)</f>
        <v>0</v>
      </c>
      <c r="X1142" s="322">
        <f>SUM(Calculations[[#This Row],[C2 Recycle]:[C2 Reuse]])</f>
        <v>0</v>
      </c>
      <c r="Y1142" t="str">
        <f>IFERROR(VLOOKUP(Calculations[[#This Row],[Material (choose from dropdown]],MaterialData[#All],5,FALSE),"")</f>
        <v/>
      </c>
      <c r="Z1142" s="322">
        <f>IFERROR(((VLOOKUP(Calculations[[#This Row],[Waste type 2]],WasteDisposalEmissions[#All],2,FALSE))*Calculations[[#This Row],[Total Kg]])*VLOOKUP(Calculations[[#This Row],[Waste 1]],WasteScenario[#All],2,FALSE),0)</f>
        <v>0</v>
      </c>
      <c r="AA1142" s="322">
        <f>IFERROR((VLOOKUP(Calculations[[#This Row],[Waste type 2]],WasteDisposalEmissions[#All],3,FALSE))*Calculations[[#This Row],[Total Kg]]*VLOOKUP(Calculations[[#This Row],[Waste 1]],WasteScenario[#All],3,FALSE),0)</f>
        <v>0</v>
      </c>
      <c r="AB1142" s="322">
        <f>SUM(Calculations[[#This Row],[C3 recyc]:[C3 incin]])</f>
        <v>0</v>
      </c>
      <c r="AC1142" s="334">
        <f>IFERROR((VLOOKUP(Calculations[[#This Row],[Waste type 2]],WasteLandfillEmissions[#All],2,FALSE))*Calculations[[#This Row],[Total Kg]]*VLOOKUP(Calculations[[#This Row],[Waste 1]],WasteScenario[#All],4,FALSE),0)</f>
        <v>0</v>
      </c>
      <c r="AD1142" s="322">
        <f>IFERROR((VLOOKUP(Calculations[[#This Row],[Waste type 2]],WasteLandfillEmissions[#All],3,FALSE))*Calculations[[#This Row],[Total Kg]]*VLOOKUP(Calculations[[#This Row],[Waste 1]],WasteScenario[#All],4,FALSE),0)</f>
        <v>0</v>
      </c>
      <c r="AE1142" s="322">
        <f>SUM(Calculations[[#This Row],[C4 landfill]:[C4 re-use]])</f>
        <v>0</v>
      </c>
      <c r="AF1142" s="322">
        <f>IFERROR(VLOOKUP(Calculations[[#This Row],[Material (choose from dropdown]],MaterialData[#All],8,FALSE),0)</f>
        <v>0</v>
      </c>
      <c r="AG1142" s="322">
        <f>IFERROR(Calculations[[#This Row],[Total Kg]]*Calculations[[#This Row],[Seq factor]],0)</f>
        <v>0</v>
      </c>
      <c r="AI1142" s="322">
        <f>Calculations[[#This Row],[A1-3]]+Calculations[[#This Row],[A4]]+Calculations[[#This Row],[A5]]+Calculations[[#This Row],[B4]]+Calculations[[#This Row],[C2 total]]+Calculations[[#This Row],[C3 total]]+Calculations[[#This Row],[C4 total]]</f>
        <v>0</v>
      </c>
      <c r="AJ1142" s="2">
        <f>IFERROR(VLOOKUP(Calculations[[#This Row],[Material (choose from dropdown]],MaterialData[[#Headers],[#Data]],9,FALSE),0)</f>
        <v>0</v>
      </c>
      <c r="AK1142" s="4">
        <f>IFERROR(VLOOKUP(Calculations[[#This Row],[Material (choose from dropdown]],MaterialData[[#Headers],[#Data]],10,FALSE),0)</f>
        <v>0</v>
      </c>
      <c r="AL1142" s="322">
        <f>IFERROR(Calculations[[#This Row],[Data Quality Score]]*Calculations[[#This Row],[Total Kg]],0)</f>
        <v>0</v>
      </c>
    </row>
    <row r="1143" spans="1:38" x14ac:dyDescent="0.3">
      <c r="A1143" s="6">
        <f>IFERROR(MaterialsBoQ[[#This Row],[Scope Element]],0)</f>
        <v>0</v>
      </c>
      <c r="B1143" t="str">
        <f>IFERROR(MaterialsBoQ[[#This Row],[Material ]],"")</f>
        <v/>
      </c>
      <c r="C1143" t="str">
        <f>IFERROR(MaterialsBoQ[[#This Row],[Unit]],"")</f>
        <v/>
      </c>
      <c r="D1143" s="322">
        <f>IFERROR(MaterialsBoQ[[#This Row],[Number]],0)</f>
        <v>0</v>
      </c>
      <c r="E1143" s="322">
        <f>IFERROR(MaterialsBoQ[[#This Row],[Kg per unit]],0)</f>
        <v>0</v>
      </c>
      <c r="F1143" s="322">
        <f>IFERROR(Calculations[[#This Row],[Number]]*Calculations[[#This Row],[Conversion factor]],0)</f>
        <v>0</v>
      </c>
      <c r="G1143" s="322">
        <f>IFERROR(VLOOKUP(Calculations[[#This Row],[Material (choose from dropdown]],MaterialData[#All],7,FALSE),0)</f>
        <v>0</v>
      </c>
      <c r="H1143" s="322">
        <f>Calculations[[#This Row],[Total Kg]]*Calculations[[#This Row],[Carbon Factor]]</f>
        <v>0</v>
      </c>
      <c r="I1143" t="str">
        <f>IFERROR(VLOOKUP(Calculations[[#This Row],[Material (choose from dropdown]],MaterialData[#All],2,FALSE),"")</f>
        <v/>
      </c>
      <c r="J1143" s="322">
        <f>IFERROR(((VLOOKUP(Calculations[[#This Row],[TransportSource]],TransportDistance[],2,FALSE)*'Stage assumptions'!$C$11)+VLOOKUP(Calculations[[#This Row],[TransportSource]],TransportDistance[],3,FALSE)*'Stage assumptions'!$C$12)*Calculations[[#This Row],[Total Kg]],0)</f>
        <v>0</v>
      </c>
      <c r="K1143">
        <f>IFERROR(VLOOKUP(Calculations[[#This Row],[Material (choose from dropdown]], MaterialData[#All],3, FALSE),0)</f>
        <v>0</v>
      </c>
      <c r="L1143" s="322">
        <f>IFERROR(VLOOKUP(Calculations[[#This Row],[A5type]],A5WastageRate[#All],2,FALSE)*Calculations[[#This Row],[A1-3]],0)</f>
        <v>0</v>
      </c>
      <c r="N1143">
        <f>IFERROR(ROUNDUP(50/VLOOKUP(Calculations[[#This Row],[Scope Element]],B4referenceServiceLife[[Tier 2 element]:[Default Service Life]],2, FALSE)-1,0),0)</f>
        <v>0</v>
      </c>
      <c r="O1143" s="322">
        <f>IFERROR((Calculations[[#This Row],[A1-3]]+Calculations[[#This Row],[A4]]+Calculations[[#This Row],[A5]]+Calculations[[#This Row],[C2 total]]+Calculations[[#This Row],[C3 total]]+Calculations[[#This Row],[C4 total]])*Calculations[[#This Row],[Replacements]],0)</f>
        <v>0</v>
      </c>
      <c r="S1143" t="str">
        <f>IFERROR(VLOOKUP(Calculations[[#This Row],[Material (choose from dropdown]],MaterialData[#All],4,FALSE),"")</f>
        <v/>
      </c>
      <c r="T1143" s="322" cm="1">
        <f t="array" ref="T1143">IFERROR(VLOOKUP(Calculations[[#This Row],[Waste 1]],WasteScenario[#All],2,FALSE)*'Stage assumptions'!$C$225*WasteTransportMethod[Emissions Factor
kgCO2e/kg.km]*Calculations[[#This Row],[Total Kg]],0)</f>
        <v>0</v>
      </c>
      <c r="U1143" s="322" cm="1">
        <f t="array" ref="U1143">IFERROR(VLOOKUP(Calculations[[#This Row],[Waste 1]],WasteScenario[#All],3,FALSE)*'Stage assumptions'!$C$224*WasteTransportMethod[Emissions Factor
kgCO2e/kg.km]*Calculations[[#This Row],[Total Kg]],0)</f>
        <v>0</v>
      </c>
      <c r="V1143" s="322" cm="1">
        <f t="array" ref="V1143">IFERROR(VLOOKUP(Calculations[[#This Row],[Waste 1]],WasteScenario[#All],4,FALSE)*'Stage assumptions'!$C$223*WasteTransportMethod[Emissions Factor
kgCO2e/kg.km]*Calculations[[#This Row],[Total Kg]],0)</f>
        <v>0</v>
      </c>
      <c r="W1143" s="322" cm="1">
        <f t="array" ref="W1143">IFERROR(VLOOKUP(Calculations[[#This Row],[Waste 1]],WasteScenario[#All],5,FALSE)*'Stage assumptions'!$C$226*WasteTransportMethod[Emissions Factor
kgCO2e/kg.km]*Calculations[[#This Row],[Total Kg]],0)</f>
        <v>0</v>
      </c>
      <c r="X1143" s="322">
        <f>SUM(Calculations[[#This Row],[C2 Recycle]:[C2 Reuse]])</f>
        <v>0</v>
      </c>
      <c r="Y1143" t="str">
        <f>IFERROR(VLOOKUP(Calculations[[#This Row],[Material (choose from dropdown]],MaterialData[#All],5,FALSE),"")</f>
        <v/>
      </c>
      <c r="Z1143" s="322">
        <f>IFERROR(((VLOOKUP(Calculations[[#This Row],[Waste type 2]],WasteDisposalEmissions[#All],2,FALSE))*Calculations[[#This Row],[Total Kg]])*VLOOKUP(Calculations[[#This Row],[Waste 1]],WasteScenario[#All],2,FALSE),0)</f>
        <v>0</v>
      </c>
      <c r="AA1143" s="322">
        <f>IFERROR((VLOOKUP(Calculations[[#This Row],[Waste type 2]],WasteDisposalEmissions[#All],3,FALSE))*Calculations[[#This Row],[Total Kg]]*VLOOKUP(Calculations[[#This Row],[Waste 1]],WasteScenario[#All],3,FALSE),0)</f>
        <v>0</v>
      </c>
      <c r="AB1143" s="322">
        <f>SUM(Calculations[[#This Row],[C3 recyc]:[C3 incin]])</f>
        <v>0</v>
      </c>
      <c r="AC1143" s="334">
        <f>IFERROR((VLOOKUP(Calculations[[#This Row],[Waste type 2]],WasteLandfillEmissions[#All],2,FALSE))*Calculations[[#This Row],[Total Kg]]*VLOOKUP(Calculations[[#This Row],[Waste 1]],WasteScenario[#All],4,FALSE),0)</f>
        <v>0</v>
      </c>
      <c r="AD1143" s="322">
        <f>IFERROR((VLOOKUP(Calculations[[#This Row],[Waste type 2]],WasteLandfillEmissions[#All],3,FALSE))*Calculations[[#This Row],[Total Kg]]*VLOOKUP(Calculations[[#This Row],[Waste 1]],WasteScenario[#All],4,FALSE),0)</f>
        <v>0</v>
      </c>
      <c r="AE1143" s="322">
        <f>SUM(Calculations[[#This Row],[C4 landfill]:[C4 re-use]])</f>
        <v>0</v>
      </c>
      <c r="AF1143" s="322">
        <f>IFERROR(VLOOKUP(Calculations[[#This Row],[Material (choose from dropdown]],MaterialData[#All],8,FALSE),0)</f>
        <v>0</v>
      </c>
      <c r="AG1143" s="322">
        <f>IFERROR(Calculations[[#This Row],[Total Kg]]*Calculations[[#This Row],[Seq factor]],0)</f>
        <v>0</v>
      </c>
      <c r="AI1143" s="322">
        <f>Calculations[[#This Row],[A1-3]]+Calculations[[#This Row],[A4]]+Calculations[[#This Row],[A5]]+Calculations[[#This Row],[B4]]+Calculations[[#This Row],[C2 total]]+Calculations[[#This Row],[C3 total]]+Calculations[[#This Row],[C4 total]]</f>
        <v>0</v>
      </c>
      <c r="AJ1143" s="2">
        <f>IFERROR(VLOOKUP(Calculations[[#This Row],[Material (choose from dropdown]],MaterialData[[#Headers],[#Data]],9,FALSE),0)</f>
        <v>0</v>
      </c>
      <c r="AK1143" s="4">
        <f>IFERROR(VLOOKUP(Calculations[[#This Row],[Material (choose from dropdown]],MaterialData[[#Headers],[#Data]],10,FALSE),0)</f>
        <v>0</v>
      </c>
      <c r="AL1143" s="322">
        <f>IFERROR(Calculations[[#This Row],[Data Quality Score]]*Calculations[[#This Row],[Total Kg]],0)</f>
        <v>0</v>
      </c>
    </row>
    <row r="1144" spans="1:38" x14ac:dyDescent="0.3">
      <c r="A1144" s="6">
        <f>IFERROR(MaterialsBoQ[[#This Row],[Scope Element]],0)</f>
        <v>0</v>
      </c>
      <c r="B1144" t="str">
        <f>IFERROR(MaterialsBoQ[[#This Row],[Material ]],"")</f>
        <v/>
      </c>
      <c r="C1144" t="str">
        <f>IFERROR(MaterialsBoQ[[#This Row],[Unit]],"")</f>
        <v/>
      </c>
      <c r="D1144" s="322">
        <f>IFERROR(MaterialsBoQ[[#This Row],[Number]],0)</f>
        <v>0</v>
      </c>
      <c r="E1144" s="322">
        <f>IFERROR(MaterialsBoQ[[#This Row],[Kg per unit]],0)</f>
        <v>0</v>
      </c>
      <c r="F1144" s="322">
        <f>IFERROR(Calculations[[#This Row],[Number]]*Calculations[[#This Row],[Conversion factor]],0)</f>
        <v>0</v>
      </c>
      <c r="G1144" s="322">
        <f>IFERROR(VLOOKUP(Calculations[[#This Row],[Material (choose from dropdown]],MaterialData[#All],7,FALSE),0)</f>
        <v>0</v>
      </c>
      <c r="H1144" s="322">
        <f>Calculations[[#This Row],[Total Kg]]*Calculations[[#This Row],[Carbon Factor]]</f>
        <v>0</v>
      </c>
      <c r="I1144" t="str">
        <f>IFERROR(VLOOKUP(Calculations[[#This Row],[Material (choose from dropdown]],MaterialData[#All],2,FALSE),"")</f>
        <v/>
      </c>
      <c r="J1144" s="322">
        <f>IFERROR(((VLOOKUP(Calculations[[#This Row],[TransportSource]],TransportDistance[],2,FALSE)*'Stage assumptions'!$C$11)+VLOOKUP(Calculations[[#This Row],[TransportSource]],TransportDistance[],3,FALSE)*'Stage assumptions'!$C$12)*Calculations[[#This Row],[Total Kg]],0)</f>
        <v>0</v>
      </c>
      <c r="K1144">
        <f>IFERROR(VLOOKUP(Calculations[[#This Row],[Material (choose from dropdown]], MaterialData[#All],3, FALSE),0)</f>
        <v>0</v>
      </c>
      <c r="L1144" s="322">
        <f>IFERROR(VLOOKUP(Calculations[[#This Row],[A5type]],A5WastageRate[#All],2,FALSE)*Calculations[[#This Row],[A1-3]],0)</f>
        <v>0</v>
      </c>
      <c r="N1144">
        <f>IFERROR(ROUNDUP(50/VLOOKUP(Calculations[[#This Row],[Scope Element]],B4referenceServiceLife[[Tier 2 element]:[Default Service Life]],2, FALSE)-1,0),0)</f>
        <v>0</v>
      </c>
      <c r="O1144" s="322">
        <f>IFERROR((Calculations[[#This Row],[A1-3]]+Calculations[[#This Row],[A4]]+Calculations[[#This Row],[A5]]+Calculations[[#This Row],[C2 total]]+Calculations[[#This Row],[C3 total]]+Calculations[[#This Row],[C4 total]])*Calculations[[#This Row],[Replacements]],0)</f>
        <v>0</v>
      </c>
      <c r="S1144" t="str">
        <f>IFERROR(VLOOKUP(Calculations[[#This Row],[Material (choose from dropdown]],MaterialData[#All],4,FALSE),"")</f>
        <v/>
      </c>
      <c r="T1144" s="322" cm="1">
        <f t="array" ref="T1144">IFERROR(VLOOKUP(Calculations[[#This Row],[Waste 1]],WasteScenario[#All],2,FALSE)*'Stage assumptions'!$C$225*WasteTransportMethod[Emissions Factor
kgCO2e/kg.km]*Calculations[[#This Row],[Total Kg]],0)</f>
        <v>0</v>
      </c>
      <c r="U1144" s="322" cm="1">
        <f t="array" ref="U1144">IFERROR(VLOOKUP(Calculations[[#This Row],[Waste 1]],WasteScenario[#All],3,FALSE)*'Stage assumptions'!$C$224*WasteTransportMethod[Emissions Factor
kgCO2e/kg.km]*Calculations[[#This Row],[Total Kg]],0)</f>
        <v>0</v>
      </c>
      <c r="V1144" s="322" cm="1">
        <f t="array" ref="V1144">IFERROR(VLOOKUP(Calculations[[#This Row],[Waste 1]],WasteScenario[#All],4,FALSE)*'Stage assumptions'!$C$223*WasteTransportMethod[Emissions Factor
kgCO2e/kg.km]*Calculations[[#This Row],[Total Kg]],0)</f>
        <v>0</v>
      </c>
      <c r="W1144" s="322" cm="1">
        <f t="array" ref="W1144">IFERROR(VLOOKUP(Calculations[[#This Row],[Waste 1]],WasteScenario[#All],5,FALSE)*'Stage assumptions'!$C$226*WasteTransportMethod[Emissions Factor
kgCO2e/kg.km]*Calculations[[#This Row],[Total Kg]],0)</f>
        <v>0</v>
      </c>
      <c r="X1144" s="322">
        <f>SUM(Calculations[[#This Row],[C2 Recycle]:[C2 Reuse]])</f>
        <v>0</v>
      </c>
      <c r="Y1144" t="str">
        <f>IFERROR(VLOOKUP(Calculations[[#This Row],[Material (choose from dropdown]],MaterialData[#All],5,FALSE),"")</f>
        <v/>
      </c>
      <c r="Z1144" s="322">
        <f>IFERROR(((VLOOKUP(Calculations[[#This Row],[Waste type 2]],WasteDisposalEmissions[#All],2,FALSE))*Calculations[[#This Row],[Total Kg]])*VLOOKUP(Calculations[[#This Row],[Waste 1]],WasteScenario[#All],2,FALSE),0)</f>
        <v>0</v>
      </c>
      <c r="AA1144" s="322">
        <f>IFERROR((VLOOKUP(Calculations[[#This Row],[Waste type 2]],WasteDisposalEmissions[#All],3,FALSE))*Calculations[[#This Row],[Total Kg]]*VLOOKUP(Calculations[[#This Row],[Waste 1]],WasteScenario[#All],3,FALSE),0)</f>
        <v>0</v>
      </c>
      <c r="AB1144" s="322">
        <f>SUM(Calculations[[#This Row],[C3 recyc]:[C3 incin]])</f>
        <v>0</v>
      </c>
      <c r="AC1144" s="334">
        <f>IFERROR((VLOOKUP(Calculations[[#This Row],[Waste type 2]],WasteLandfillEmissions[#All],2,FALSE))*Calculations[[#This Row],[Total Kg]]*VLOOKUP(Calculations[[#This Row],[Waste 1]],WasteScenario[#All],4,FALSE),0)</f>
        <v>0</v>
      </c>
      <c r="AD1144" s="322">
        <f>IFERROR((VLOOKUP(Calculations[[#This Row],[Waste type 2]],WasteLandfillEmissions[#All],3,FALSE))*Calculations[[#This Row],[Total Kg]]*VLOOKUP(Calculations[[#This Row],[Waste 1]],WasteScenario[#All],4,FALSE),0)</f>
        <v>0</v>
      </c>
      <c r="AE1144" s="322">
        <f>SUM(Calculations[[#This Row],[C4 landfill]:[C4 re-use]])</f>
        <v>0</v>
      </c>
      <c r="AF1144" s="322">
        <f>IFERROR(VLOOKUP(Calculations[[#This Row],[Material (choose from dropdown]],MaterialData[#All],8,FALSE),0)</f>
        <v>0</v>
      </c>
      <c r="AG1144" s="322">
        <f>IFERROR(Calculations[[#This Row],[Total Kg]]*Calculations[[#This Row],[Seq factor]],0)</f>
        <v>0</v>
      </c>
      <c r="AI1144" s="322">
        <f>Calculations[[#This Row],[A1-3]]+Calculations[[#This Row],[A4]]+Calculations[[#This Row],[A5]]+Calculations[[#This Row],[B4]]+Calculations[[#This Row],[C2 total]]+Calculations[[#This Row],[C3 total]]+Calculations[[#This Row],[C4 total]]</f>
        <v>0</v>
      </c>
      <c r="AJ1144" s="2">
        <f>IFERROR(VLOOKUP(Calculations[[#This Row],[Material (choose from dropdown]],MaterialData[[#Headers],[#Data]],9,FALSE),0)</f>
        <v>0</v>
      </c>
      <c r="AK1144" s="4">
        <f>IFERROR(VLOOKUP(Calculations[[#This Row],[Material (choose from dropdown]],MaterialData[[#Headers],[#Data]],10,FALSE),0)</f>
        <v>0</v>
      </c>
      <c r="AL1144" s="322">
        <f>IFERROR(Calculations[[#This Row],[Data Quality Score]]*Calculations[[#This Row],[Total Kg]],0)</f>
        <v>0</v>
      </c>
    </row>
    <row r="1145" spans="1:38" x14ac:dyDescent="0.3">
      <c r="A1145" s="6">
        <f>IFERROR(MaterialsBoQ[[#This Row],[Scope Element]],0)</f>
        <v>0</v>
      </c>
      <c r="B1145" t="str">
        <f>IFERROR(MaterialsBoQ[[#This Row],[Material ]],"")</f>
        <v/>
      </c>
      <c r="C1145" t="str">
        <f>IFERROR(MaterialsBoQ[[#This Row],[Unit]],"")</f>
        <v/>
      </c>
      <c r="D1145" s="322">
        <f>IFERROR(MaterialsBoQ[[#This Row],[Number]],0)</f>
        <v>0</v>
      </c>
      <c r="E1145" s="322">
        <f>IFERROR(MaterialsBoQ[[#This Row],[Kg per unit]],0)</f>
        <v>0</v>
      </c>
      <c r="F1145" s="322">
        <f>IFERROR(Calculations[[#This Row],[Number]]*Calculations[[#This Row],[Conversion factor]],0)</f>
        <v>0</v>
      </c>
      <c r="G1145" s="322">
        <f>IFERROR(VLOOKUP(Calculations[[#This Row],[Material (choose from dropdown]],MaterialData[#All],7,FALSE),0)</f>
        <v>0</v>
      </c>
      <c r="H1145" s="322">
        <f>Calculations[[#This Row],[Total Kg]]*Calculations[[#This Row],[Carbon Factor]]</f>
        <v>0</v>
      </c>
      <c r="I1145" t="str">
        <f>IFERROR(VLOOKUP(Calculations[[#This Row],[Material (choose from dropdown]],MaterialData[#All],2,FALSE),"")</f>
        <v/>
      </c>
      <c r="J1145" s="322">
        <f>IFERROR(((VLOOKUP(Calculations[[#This Row],[TransportSource]],TransportDistance[],2,FALSE)*'Stage assumptions'!$C$11)+VLOOKUP(Calculations[[#This Row],[TransportSource]],TransportDistance[],3,FALSE)*'Stage assumptions'!$C$12)*Calculations[[#This Row],[Total Kg]],0)</f>
        <v>0</v>
      </c>
      <c r="K1145">
        <f>IFERROR(VLOOKUP(Calculations[[#This Row],[Material (choose from dropdown]], MaterialData[#All],3, FALSE),0)</f>
        <v>0</v>
      </c>
      <c r="L1145" s="322">
        <f>IFERROR(VLOOKUP(Calculations[[#This Row],[A5type]],A5WastageRate[#All],2,FALSE)*Calculations[[#This Row],[A1-3]],0)</f>
        <v>0</v>
      </c>
      <c r="N1145">
        <f>IFERROR(ROUNDUP(50/VLOOKUP(Calculations[[#This Row],[Scope Element]],B4referenceServiceLife[[Tier 2 element]:[Default Service Life]],2, FALSE)-1,0),0)</f>
        <v>0</v>
      </c>
      <c r="O1145" s="322">
        <f>IFERROR((Calculations[[#This Row],[A1-3]]+Calculations[[#This Row],[A4]]+Calculations[[#This Row],[A5]]+Calculations[[#This Row],[C2 total]]+Calculations[[#This Row],[C3 total]]+Calculations[[#This Row],[C4 total]])*Calculations[[#This Row],[Replacements]],0)</f>
        <v>0</v>
      </c>
      <c r="S1145" t="str">
        <f>IFERROR(VLOOKUP(Calculations[[#This Row],[Material (choose from dropdown]],MaterialData[#All],4,FALSE),"")</f>
        <v/>
      </c>
      <c r="T1145" s="322" cm="1">
        <f t="array" ref="T1145">IFERROR(VLOOKUP(Calculations[[#This Row],[Waste 1]],WasteScenario[#All],2,FALSE)*'Stage assumptions'!$C$225*WasteTransportMethod[Emissions Factor
kgCO2e/kg.km]*Calculations[[#This Row],[Total Kg]],0)</f>
        <v>0</v>
      </c>
      <c r="U1145" s="322" cm="1">
        <f t="array" ref="U1145">IFERROR(VLOOKUP(Calculations[[#This Row],[Waste 1]],WasteScenario[#All],3,FALSE)*'Stage assumptions'!$C$224*WasteTransportMethod[Emissions Factor
kgCO2e/kg.km]*Calculations[[#This Row],[Total Kg]],0)</f>
        <v>0</v>
      </c>
      <c r="V1145" s="322" cm="1">
        <f t="array" ref="V1145">IFERROR(VLOOKUP(Calculations[[#This Row],[Waste 1]],WasteScenario[#All],4,FALSE)*'Stage assumptions'!$C$223*WasteTransportMethod[Emissions Factor
kgCO2e/kg.km]*Calculations[[#This Row],[Total Kg]],0)</f>
        <v>0</v>
      </c>
      <c r="W1145" s="322" cm="1">
        <f t="array" ref="W1145">IFERROR(VLOOKUP(Calculations[[#This Row],[Waste 1]],WasteScenario[#All],5,FALSE)*'Stage assumptions'!$C$226*WasteTransportMethod[Emissions Factor
kgCO2e/kg.km]*Calculations[[#This Row],[Total Kg]],0)</f>
        <v>0</v>
      </c>
      <c r="X1145" s="322">
        <f>SUM(Calculations[[#This Row],[C2 Recycle]:[C2 Reuse]])</f>
        <v>0</v>
      </c>
      <c r="Y1145" t="str">
        <f>IFERROR(VLOOKUP(Calculations[[#This Row],[Material (choose from dropdown]],MaterialData[#All],5,FALSE),"")</f>
        <v/>
      </c>
      <c r="Z1145" s="322">
        <f>IFERROR(((VLOOKUP(Calculations[[#This Row],[Waste type 2]],WasteDisposalEmissions[#All],2,FALSE))*Calculations[[#This Row],[Total Kg]])*VLOOKUP(Calculations[[#This Row],[Waste 1]],WasteScenario[#All],2,FALSE),0)</f>
        <v>0</v>
      </c>
      <c r="AA1145" s="322">
        <f>IFERROR((VLOOKUP(Calculations[[#This Row],[Waste type 2]],WasteDisposalEmissions[#All],3,FALSE))*Calculations[[#This Row],[Total Kg]]*VLOOKUP(Calculations[[#This Row],[Waste 1]],WasteScenario[#All],3,FALSE),0)</f>
        <v>0</v>
      </c>
      <c r="AB1145" s="322">
        <f>SUM(Calculations[[#This Row],[C3 recyc]:[C3 incin]])</f>
        <v>0</v>
      </c>
      <c r="AC1145" s="334">
        <f>IFERROR((VLOOKUP(Calculations[[#This Row],[Waste type 2]],WasteLandfillEmissions[#All],2,FALSE))*Calculations[[#This Row],[Total Kg]]*VLOOKUP(Calculations[[#This Row],[Waste 1]],WasteScenario[#All],4,FALSE),0)</f>
        <v>0</v>
      </c>
      <c r="AD1145" s="322">
        <f>IFERROR((VLOOKUP(Calculations[[#This Row],[Waste type 2]],WasteLandfillEmissions[#All],3,FALSE))*Calculations[[#This Row],[Total Kg]]*VLOOKUP(Calculations[[#This Row],[Waste 1]],WasteScenario[#All],4,FALSE),0)</f>
        <v>0</v>
      </c>
      <c r="AE1145" s="322">
        <f>SUM(Calculations[[#This Row],[C4 landfill]:[C4 re-use]])</f>
        <v>0</v>
      </c>
      <c r="AF1145" s="322">
        <f>IFERROR(VLOOKUP(Calculations[[#This Row],[Material (choose from dropdown]],MaterialData[#All],8,FALSE),0)</f>
        <v>0</v>
      </c>
      <c r="AG1145" s="322">
        <f>IFERROR(Calculations[[#This Row],[Total Kg]]*Calculations[[#This Row],[Seq factor]],0)</f>
        <v>0</v>
      </c>
      <c r="AI1145" s="322">
        <f>Calculations[[#This Row],[A1-3]]+Calculations[[#This Row],[A4]]+Calculations[[#This Row],[A5]]+Calculations[[#This Row],[B4]]+Calculations[[#This Row],[C2 total]]+Calculations[[#This Row],[C3 total]]+Calculations[[#This Row],[C4 total]]</f>
        <v>0</v>
      </c>
      <c r="AJ1145" s="2">
        <f>IFERROR(VLOOKUP(Calculations[[#This Row],[Material (choose from dropdown]],MaterialData[[#Headers],[#Data]],9,FALSE),0)</f>
        <v>0</v>
      </c>
      <c r="AK1145" s="4">
        <f>IFERROR(VLOOKUP(Calculations[[#This Row],[Material (choose from dropdown]],MaterialData[[#Headers],[#Data]],10,FALSE),0)</f>
        <v>0</v>
      </c>
      <c r="AL1145" s="322">
        <f>IFERROR(Calculations[[#This Row],[Data Quality Score]]*Calculations[[#This Row],[Total Kg]],0)</f>
        <v>0</v>
      </c>
    </row>
    <row r="1146" spans="1:38" x14ac:dyDescent="0.3">
      <c r="A1146" s="6">
        <f>IFERROR(MaterialsBoQ[[#This Row],[Scope Element]],0)</f>
        <v>0</v>
      </c>
      <c r="B1146" t="str">
        <f>IFERROR(MaterialsBoQ[[#This Row],[Material ]],"")</f>
        <v/>
      </c>
      <c r="C1146" t="str">
        <f>IFERROR(MaterialsBoQ[[#This Row],[Unit]],"")</f>
        <v/>
      </c>
      <c r="D1146" s="322">
        <f>IFERROR(MaterialsBoQ[[#This Row],[Number]],0)</f>
        <v>0</v>
      </c>
      <c r="E1146" s="322">
        <f>IFERROR(MaterialsBoQ[[#This Row],[Kg per unit]],0)</f>
        <v>0</v>
      </c>
      <c r="F1146" s="322">
        <f>IFERROR(Calculations[[#This Row],[Number]]*Calculations[[#This Row],[Conversion factor]],0)</f>
        <v>0</v>
      </c>
      <c r="G1146" s="322">
        <f>IFERROR(VLOOKUP(Calculations[[#This Row],[Material (choose from dropdown]],MaterialData[#All],7,FALSE),0)</f>
        <v>0</v>
      </c>
      <c r="H1146" s="322">
        <f>Calculations[[#This Row],[Total Kg]]*Calculations[[#This Row],[Carbon Factor]]</f>
        <v>0</v>
      </c>
      <c r="I1146" t="str">
        <f>IFERROR(VLOOKUP(Calculations[[#This Row],[Material (choose from dropdown]],MaterialData[#All],2,FALSE),"")</f>
        <v/>
      </c>
      <c r="J1146" s="322">
        <f>IFERROR(((VLOOKUP(Calculations[[#This Row],[TransportSource]],TransportDistance[],2,FALSE)*'Stage assumptions'!$C$11)+VLOOKUP(Calculations[[#This Row],[TransportSource]],TransportDistance[],3,FALSE)*'Stage assumptions'!$C$12)*Calculations[[#This Row],[Total Kg]],0)</f>
        <v>0</v>
      </c>
      <c r="K1146">
        <f>IFERROR(VLOOKUP(Calculations[[#This Row],[Material (choose from dropdown]], MaterialData[#All],3, FALSE),0)</f>
        <v>0</v>
      </c>
      <c r="L1146" s="322">
        <f>IFERROR(VLOOKUP(Calculations[[#This Row],[A5type]],A5WastageRate[#All],2,FALSE)*Calculations[[#This Row],[A1-3]],0)</f>
        <v>0</v>
      </c>
      <c r="N1146">
        <f>IFERROR(ROUNDUP(50/VLOOKUP(Calculations[[#This Row],[Scope Element]],B4referenceServiceLife[[Tier 2 element]:[Default Service Life]],2, FALSE)-1,0),0)</f>
        <v>0</v>
      </c>
      <c r="O1146" s="322">
        <f>IFERROR((Calculations[[#This Row],[A1-3]]+Calculations[[#This Row],[A4]]+Calculations[[#This Row],[A5]]+Calculations[[#This Row],[C2 total]]+Calculations[[#This Row],[C3 total]]+Calculations[[#This Row],[C4 total]])*Calculations[[#This Row],[Replacements]],0)</f>
        <v>0</v>
      </c>
      <c r="S1146" t="str">
        <f>IFERROR(VLOOKUP(Calculations[[#This Row],[Material (choose from dropdown]],MaterialData[#All],4,FALSE),"")</f>
        <v/>
      </c>
      <c r="T1146" s="322" cm="1">
        <f t="array" ref="T1146">IFERROR(VLOOKUP(Calculations[[#This Row],[Waste 1]],WasteScenario[#All],2,FALSE)*'Stage assumptions'!$C$225*WasteTransportMethod[Emissions Factor
kgCO2e/kg.km]*Calculations[[#This Row],[Total Kg]],0)</f>
        <v>0</v>
      </c>
      <c r="U1146" s="322" cm="1">
        <f t="array" ref="U1146">IFERROR(VLOOKUP(Calculations[[#This Row],[Waste 1]],WasteScenario[#All],3,FALSE)*'Stage assumptions'!$C$224*WasteTransportMethod[Emissions Factor
kgCO2e/kg.km]*Calculations[[#This Row],[Total Kg]],0)</f>
        <v>0</v>
      </c>
      <c r="V1146" s="322" cm="1">
        <f t="array" ref="V1146">IFERROR(VLOOKUP(Calculations[[#This Row],[Waste 1]],WasteScenario[#All],4,FALSE)*'Stage assumptions'!$C$223*WasteTransportMethod[Emissions Factor
kgCO2e/kg.km]*Calculations[[#This Row],[Total Kg]],0)</f>
        <v>0</v>
      </c>
      <c r="W1146" s="322" cm="1">
        <f t="array" ref="W1146">IFERROR(VLOOKUP(Calculations[[#This Row],[Waste 1]],WasteScenario[#All],5,FALSE)*'Stage assumptions'!$C$226*WasteTransportMethod[Emissions Factor
kgCO2e/kg.km]*Calculations[[#This Row],[Total Kg]],0)</f>
        <v>0</v>
      </c>
      <c r="X1146" s="322">
        <f>SUM(Calculations[[#This Row],[C2 Recycle]:[C2 Reuse]])</f>
        <v>0</v>
      </c>
      <c r="Y1146" t="str">
        <f>IFERROR(VLOOKUP(Calculations[[#This Row],[Material (choose from dropdown]],MaterialData[#All],5,FALSE),"")</f>
        <v/>
      </c>
      <c r="Z1146" s="322">
        <f>IFERROR(((VLOOKUP(Calculations[[#This Row],[Waste type 2]],WasteDisposalEmissions[#All],2,FALSE))*Calculations[[#This Row],[Total Kg]])*VLOOKUP(Calculations[[#This Row],[Waste 1]],WasteScenario[#All],2,FALSE),0)</f>
        <v>0</v>
      </c>
      <c r="AA1146" s="322">
        <f>IFERROR((VLOOKUP(Calculations[[#This Row],[Waste type 2]],WasteDisposalEmissions[#All],3,FALSE))*Calculations[[#This Row],[Total Kg]]*VLOOKUP(Calculations[[#This Row],[Waste 1]],WasteScenario[#All],3,FALSE),0)</f>
        <v>0</v>
      </c>
      <c r="AB1146" s="322">
        <f>SUM(Calculations[[#This Row],[C3 recyc]:[C3 incin]])</f>
        <v>0</v>
      </c>
      <c r="AC1146" s="334">
        <f>IFERROR((VLOOKUP(Calculations[[#This Row],[Waste type 2]],WasteLandfillEmissions[#All],2,FALSE))*Calculations[[#This Row],[Total Kg]]*VLOOKUP(Calculations[[#This Row],[Waste 1]],WasteScenario[#All],4,FALSE),0)</f>
        <v>0</v>
      </c>
      <c r="AD1146" s="322">
        <f>IFERROR((VLOOKUP(Calculations[[#This Row],[Waste type 2]],WasteLandfillEmissions[#All],3,FALSE))*Calculations[[#This Row],[Total Kg]]*VLOOKUP(Calculations[[#This Row],[Waste 1]],WasteScenario[#All],4,FALSE),0)</f>
        <v>0</v>
      </c>
      <c r="AE1146" s="322">
        <f>SUM(Calculations[[#This Row],[C4 landfill]:[C4 re-use]])</f>
        <v>0</v>
      </c>
      <c r="AF1146" s="322">
        <f>IFERROR(VLOOKUP(Calculations[[#This Row],[Material (choose from dropdown]],MaterialData[#All],8,FALSE),0)</f>
        <v>0</v>
      </c>
      <c r="AG1146" s="322">
        <f>IFERROR(Calculations[[#This Row],[Total Kg]]*Calculations[[#This Row],[Seq factor]],0)</f>
        <v>0</v>
      </c>
      <c r="AI1146" s="322">
        <f>Calculations[[#This Row],[A1-3]]+Calculations[[#This Row],[A4]]+Calculations[[#This Row],[A5]]+Calculations[[#This Row],[B4]]+Calculations[[#This Row],[C2 total]]+Calculations[[#This Row],[C3 total]]+Calculations[[#This Row],[C4 total]]</f>
        <v>0</v>
      </c>
      <c r="AJ1146" s="2">
        <f>IFERROR(VLOOKUP(Calculations[[#This Row],[Material (choose from dropdown]],MaterialData[[#Headers],[#Data]],9,FALSE),0)</f>
        <v>0</v>
      </c>
      <c r="AK1146" s="4">
        <f>IFERROR(VLOOKUP(Calculations[[#This Row],[Material (choose from dropdown]],MaterialData[[#Headers],[#Data]],10,FALSE),0)</f>
        <v>0</v>
      </c>
      <c r="AL1146" s="322">
        <f>IFERROR(Calculations[[#This Row],[Data Quality Score]]*Calculations[[#This Row],[Total Kg]],0)</f>
        <v>0</v>
      </c>
    </row>
    <row r="1147" spans="1:38" x14ac:dyDescent="0.3">
      <c r="A1147" s="6">
        <f>IFERROR(MaterialsBoQ[[#This Row],[Scope Element]],0)</f>
        <v>0</v>
      </c>
      <c r="B1147" t="str">
        <f>IFERROR(MaterialsBoQ[[#This Row],[Material ]],"")</f>
        <v/>
      </c>
      <c r="C1147" t="str">
        <f>IFERROR(MaterialsBoQ[[#This Row],[Unit]],"")</f>
        <v/>
      </c>
      <c r="D1147" s="322">
        <f>IFERROR(MaterialsBoQ[[#This Row],[Number]],0)</f>
        <v>0</v>
      </c>
      <c r="E1147" s="322">
        <f>IFERROR(MaterialsBoQ[[#This Row],[Kg per unit]],0)</f>
        <v>0</v>
      </c>
      <c r="F1147" s="322">
        <f>IFERROR(Calculations[[#This Row],[Number]]*Calculations[[#This Row],[Conversion factor]],0)</f>
        <v>0</v>
      </c>
      <c r="G1147" s="322">
        <f>IFERROR(VLOOKUP(Calculations[[#This Row],[Material (choose from dropdown]],MaterialData[#All],7,FALSE),0)</f>
        <v>0</v>
      </c>
      <c r="H1147" s="322">
        <f>Calculations[[#This Row],[Total Kg]]*Calculations[[#This Row],[Carbon Factor]]</f>
        <v>0</v>
      </c>
      <c r="I1147" t="str">
        <f>IFERROR(VLOOKUP(Calculations[[#This Row],[Material (choose from dropdown]],MaterialData[#All],2,FALSE),"")</f>
        <v/>
      </c>
      <c r="J1147" s="322">
        <f>IFERROR(((VLOOKUP(Calculations[[#This Row],[TransportSource]],TransportDistance[],2,FALSE)*'Stage assumptions'!$C$11)+VLOOKUP(Calculations[[#This Row],[TransportSource]],TransportDistance[],3,FALSE)*'Stage assumptions'!$C$12)*Calculations[[#This Row],[Total Kg]],0)</f>
        <v>0</v>
      </c>
      <c r="K1147">
        <f>IFERROR(VLOOKUP(Calculations[[#This Row],[Material (choose from dropdown]], MaterialData[#All],3, FALSE),0)</f>
        <v>0</v>
      </c>
      <c r="L1147" s="322">
        <f>IFERROR(VLOOKUP(Calculations[[#This Row],[A5type]],A5WastageRate[#All],2,FALSE)*Calculations[[#This Row],[A1-3]],0)</f>
        <v>0</v>
      </c>
      <c r="N1147">
        <f>IFERROR(ROUNDUP(50/VLOOKUP(Calculations[[#This Row],[Scope Element]],B4referenceServiceLife[[Tier 2 element]:[Default Service Life]],2, FALSE)-1,0),0)</f>
        <v>0</v>
      </c>
      <c r="O1147" s="322">
        <f>IFERROR((Calculations[[#This Row],[A1-3]]+Calculations[[#This Row],[A4]]+Calculations[[#This Row],[A5]]+Calculations[[#This Row],[C2 total]]+Calculations[[#This Row],[C3 total]]+Calculations[[#This Row],[C4 total]])*Calculations[[#This Row],[Replacements]],0)</f>
        <v>0</v>
      </c>
      <c r="S1147" t="str">
        <f>IFERROR(VLOOKUP(Calculations[[#This Row],[Material (choose from dropdown]],MaterialData[#All],4,FALSE),"")</f>
        <v/>
      </c>
      <c r="T1147" s="322" cm="1">
        <f t="array" ref="T1147">IFERROR(VLOOKUP(Calculations[[#This Row],[Waste 1]],WasteScenario[#All],2,FALSE)*'Stage assumptions'!$C$225*WasteTransportMethod[Emissions Factor
kgCO2e/kg.km]*Calculations[[#This Row],[Total Kg]],0)</f>
        <v>0</v>
      </c>
      <c r="U1147" s="322" cm="1">
        <f t="array" ref="U1147">IFERROR(VLOOKUP(Calculations[[#This Row],[Waste 1]],WasteScenario[#All],3,FALSE)*'Stage assumptions'!$C$224*WasteTransportMethod[Emissions Factor
kgCO2e/kg.km]*Calculations[[#This Row],[Total Kg]],0)</f>
        <v>0</v>
      </c>
      <c r="V1147" s="322" cm="1">
        <f t="array" ref="V1147">IFERROR(VLOOKUP(Calculations[[#This Row],[Waste 1]],WasteScenario[#All],4,FALSE)*'Stage assumptions'!$C$223*WasteTransportMethod[Emissions Factor
kgCO2e/kg.km]*Calculations[[#This Row],[Total Kg]],0)</f>
        <v>0</v>
      </c>
      <c r="W1147" s="322" cm="1">
        <f t="array" ref="W1147">IFERROR(VLOOKUP(Calculations[[#This Row],[Waste 1]],WasteScenario[#All],5,FALSE)*'Stage assumptions'!$C$226*WasteTransportMethod[Emissions Factor
kgCO2e/kg.km]*Calculations[[#This Row],[Total Kg]],0)</f>
        <v>0</v>
      </c>
      <c r="X1147" s="322">
        <f>SUM(Calculations[[#This Row],[C2 Recycle]:[C2 Reuse]])</f>
        <v>0</v>
      </c>
      <c r="Y1147" t="str">
        <f>IFERROR(VLOOKUP(Calculations[[#This Row],[Material (choose from dropdown]],MaterialData[#All],5,FALSE),"")</f>
        <v/>
      </c>
      <c r="Z1147" s="322">
        <f>IFERROR(((VLOOKUP(Calculations[[#This Row],[Waste type 2]],WasteDisposalEmissions[#All],2,FALSE))*Calculations[[#This Row],[Total Kg]])*VLOOKUP(Calculations[[#This Row],[Waste 1]],WasteScenario[#All],2,FALSE),0)</f>
        <v>0</v>
      </c>
      <c r="AA1147" s="322">
        <f>IFERROR((VLOOKUP(Calculations[[#This Row],[Waste type 2]],WasteDisposalEmissions[#All],3,FALSE))*Calculations[[#This Row],[Total Kg]]*VLOOKUP(Calculations[[#This Row],[Waste 1]],WasteScenario[#All],3,FALSE),0)</f>
        <v>0</v>
      </c>
      <c r="AB1147" s="322">
        <f>SUM(Calculations[[#This Row],[C3 recyc]:[C3 incin]])</f>
        <v>0</v>
      </c>
      <c r="AC1147" s="334">
        <f>IFERROR((VLOOKUP(Calculations[[#This Row],[Waste type 2]],WasteLandfillEmissions[#All],2,FALSE))*Calculations[[#This Row],[Total Kg]]*VLOOKUP(Calculations[[#This Row],[Waste 1]],WasteScenario[#All],4,FALSE),0)</f>
        <v>0</v>
      </c>
      <c r="AD1147" s="322">
        <f>IFERROR((VLOOKUP(Calculations[[#This Row],[Waste type 2]],WasteLandfillEmissions[#All],3,FALSE))*Calculations[[#This Row],[Total Kg]]*VLOOKUP(Calculations[[#This Row],[Waste 1]],WasteScenario[#All],4,FALSE),0)</f>
        <v>0</v>
      </c>
      <c r="AE1147" s="322">
        <f>SUM(Calculations[[#This Row],[C4 landfill]:[C4 re-use]])</f>
        <v>0</v>
      </c>
      <c r="AF1147" s="322">
        <f>IFERROR(VLOOKUP(Calculations[[#This Row],[Material (choose from dropdown]],MaterialData[#All],8,FALSE),0)</f>
        <v>0</v>
      </c>
      <c r="AG1147" s="322">
        <f>IFERROR(Calculations[[#This Row],[Total Kg]]*Calculations[[#This Row],[Seq factor]],0)</f>
        <v>0</v>
      </c>
      <c r="AI1147" s="322">
        <f>Calculations[[#This Row],[A1-3]]+Calculations[[#This Row],[A4]]+Calculations[[#This Row],[A5]]+Calculations[[#This Row],[B4]]+Calculations[[#This Row],[C2 total]]+Calculations[[#This Row],[C3 total]]+Calculations[[#This Row],[C4 total]]</f>
        <v>0</v>
      </c>
      <c r="AJ1147" s="2">
        <f>IFERROR(VLOOKUP(Calculations[[#This Row],[Material (choose from dropdown]],MaterialData[[#Headers],[#Data]],9,FALSE),0)</f>
        <v>0</v>
      </c>
      <c r="AK1147" s="4">
        <f>IFERROR(VLOOKUP(Calculations[[#This Row],[Material (choose from dropdown]],MaterialData[[#Headers],[#Data]],10,FALSE),0)</f>
        <v>0</v>
      </c>
      <c r="AL1147" s="322">
        <f>IFERROR(Calculations[[#This Row],[Data Quality Score]]*Calculations[[#This Row],[Total Kg]],0)</f>
        <v>0</v>
      </c>
    </row>
    <row r="1148" spans="1:38" x14ac:dyDescent="0.3">
      <c r="A1148" s="6">
        <f>IFERROR(MaterialsBoQ[[#This Row],[Scope Element]],0)</f>
        <v>0</v>
      </c>
      <c r="B1148" t="str">
        <f>IFERROR(MaterialsBoQ[[#This Row],[Material ]],"")</f>
        <v/>
      </c>
      <c r="C1148" t="str">
        <f>IFERROR(MaterialsBoQ[[#This Row],[Unit]],"")</f>
        <v/>
      </c>
      <c r="D1148" s="322">
        <f>IFERROR(MaterialsBoQ[[#This Row],[Number]],0)</f>
        <v>0</v>
      </c>
      <c r="E1148" s="322">
        <f>IFERROR(MaterialsBoQ[[#This Row],[Kg per unit]],0)</f>
        <v>0</v>
      </c>
      <c r="F1148" s="322">
        <f>IFERROR(Calculations[[#This Row],[Number]]*Calculations[[#This Row],[Conversion factor]],0)</f>
        <v>0</v>
      </c>
      <c r="G1148" s="322">
        <f>IFERROR(VLOOKUP(Calculations[[#This Row],[Material (choose from dropdown]],MaterialData[#All],7,FALSE),0)</f>
        <v>0</v>
      </c>
      <c r="H1148" s="322">
        <f>Calculations[[#This Row],[Total Kg]]*Calculations[[#This Row],[Carbon Factor]]</f>
        <v>0</v>
      </c>
      <c r="I1148" t="str">
        <f>IFERROR(VLOOKUP(Calculations[[#This Row],[Material (choose from dropdown]],MaterialData[#All],2,FALSE),"")</f>
        <v/>
      </c>
      <c r="J1148" s="322">
        <f>IFERROR(((VLOOKUP(Calculations[[#This Row],[TransportSource]],TransportDistance[],2,FALSE)*'Stage assumptions'!$C$11)+VLOOKUP(Calculations[[#This Row],[TransportSource]],TransportDistance[],3,FALSE)*'Stage assumptions'!$C$12)*Calculations[[#This Row],[Total Kg]],0)</f>
        <v>0</v>
      </c>
      <c r="K1148">
        <f>IFERROR(VLOOKUP(Calculations[[#This Row],[Material (choose from dropdown]], MaterialData[#All],3, FALSE),0)</f>
        <v>0</v>
      </c>
      <c r="L1148" s="322">
        <f>IFERROR(VLOOKUP(Calculations[[#This Row],[A5type]],A5WastageRate[#All],2,FALSE)*Calculations[[#This Row],[A1-3]],0)</f>
        <v>0</v>
      </c>
      <c r="N1148">
        <f>IFERROR(ROUNDUP(50/VLOOKUP(Calculations[[#This Row],[Scope Element]],B4referenceServiceLife[[Tier 2 element]:[Default Service Life]],2, FALSE)-1,0),0)</f>
        <v>0</v>
      </c>
      <c r="O1148" s="322">
        <f>IFERROR((Calculations[[#This Row],[A1-3]]+Calculations[[#This Row],[A4]]+Calculations[[#This Row],[A5]]+Calculations[[#This Row],[C2 total]]+Calculations[[#This Row],[C3 total]]+Calculations[[#This Row],[C4 total]])*Calculations[[#This Row],[Replacements]],0)</f>
        <v>0</v>
      </c>
      <c r="S1148" t="str">
        <f>IFERROR(VLOOKUP(Calculations[[#This Row],[Material (choose from dropdown]],MaterialData[#All],4,FALSE),"")</f>
        <v/>
      </c>
      <c r="T1148" s="322" cm="1">
        <f t="array" ref="T1148">IFERROR(VLOOKUP(Calculations[[#This Row],[Waste 1]],WasteScenario[#All],2,FALSE)*'Stage assumptions'!$C$225*WasteTransportMethod[Emissions Factor
kgCO2e/kg.km]*Calculations[[#This Row],[Total Kg]],0)</f>
        <v>0</v>
      </c>
      <c r="U1148" s="322" cm="1">
        <f t="array" ref="U1148">IFERROR(VLOOKUP(Calculations[[#This Row],[Waste 1]],WasteScenario[#All],3,FALSE)*'Stage assumptions'!$C$224*WasteTransportMethod[Emissions Factor
kgCO2e/kg.km]*Calculations[[#This Row],[Total Kg]],0)</f>
        <v>0</v>
      </c>
      <c r="V1148" s="322" cm="1">
        <f t="array" ref="V1148">IFERROR(VLOOKUP(Calculations[[#This Row],[Waste 1]],WasteScenario[#All],4,FALSE)*'Stage assumptions'!$C$223*WasteTransportMethod[Emissions Factor
kgCO2e/kg.km]*Calculations[[#This Row],[Total Kg]],0)</f>
        <v>0</v>
      </c>
      <c r="W1148" s="322" cm="1">
        <f t="array" ref="W1148">IFERROR(VLOOKUP(Calculations[[#This Row],[Waste 1]],WasteScenario[#All],5,FALSE)*'Stage assumptions'!$C$226*WasteTransportMethod[Emissions Factor
kgCO2e/kg.km]*Calculations[[#This Row],[Total Kg]],0)</f>
        <v>0</v>
      </c>
      <c r="X1148" s="322">
        <f>SUM(Calculations[[#This Row],[C2 Recycle]:[C2 Reuse]])</f>
        <v>0</v>
      </c>
      <c r="Y1148" t="str">
        <f>IFERROR(VLOOKUP(Calculations[[#This Row],[Material (choose from dropdown]],MaterialData[#All],5,FALSE),"")</f>
        <v/>
      </c>
      <c r="Z1148" s="322">
        <f>IFERROR(((VLOOKUP(Calculations[[#This Row],[Waste type 2]],WasteDisposalEmissions[#All],2,FALSE))*Calculations[[#This Row],[Total Kg]])*VLOOKUP(Calculations[[#This Row],[Waste 1]],WasteScenario[#All],2,FALSE),0)</f>
        <v>0</v>
      </c>
      <c r="AA1148" s="322">
        <f>IFERROR((VLOOKUP(Calculations[[#This Row],[Waste type 2]],WasteDisposalEmissions[#All],3,FALSE))*Calculations[[#This Row],[Total Kg]]*VLOOKUP(Calculations[[#This Row],[Waste 1]],WasteScenario[#All],3,FALSE),0)</f>
        <v>0</v>
      </c>
      <c r="AB1148" s="322">
        <f>SUM(Calculations[[#This Row],[C3 recyc]:[C3 incin]])</f>
        <v>0</v>
      </c>
      <c r="AC1148" s="334">
        <f>IFERROR((VLOOKUP(Calculations[[#This Row],[Waste type 2]],WasteLandfillEmissions[#All],2,FALSE))*Calculations[[#This Row],[Total Kg]]*VLOOKUP(Calculations[[#This Row],[Waste 1]],WasteScenario[#All],4,FALSE),0)</f>
        <v>0</v>
      </c>
      <c r="AD1148" s="322">
        <f>IFERROR((VLOOKUP(Calculations[[#This Row],[Waste type 2]],WasteLandfillEmissions[#All],3,FALSE))*Calculations[[#This Row],[Total Kg]]*VLOOKUP(Calculations[[#This Row],[Waste 1]],WasteScenario[#All],4,FALSE),0)</f>
        <v>0</v>
      </c>
      <c r="AE1148" s="322">
        <f>SUM(Calculations[[#This Row],[C4 landfill]:[C4 re-use]])</f>
        <v>0</v>
      </c>
      <c r="AF1148" s="322">
        <f>IFERROR(VLOOKUP(Calculations[[#This Row],[Material (choose from dropdown]],MaterialData[#All],8,FALSE),0)</f>
        <v>0</v>
      </c>
      <c r="AG1148" s="322">
        <f>IFERROR(Calculations[[#This Row],[Total Kg]]*Calculations[[#This Row],[Seq factor]],0)</f>
        <v>0</v>
      </c>
      <c r="AI1148" s="322">
        <f>Calculations[[#This Row],[A1-3]]+Calculations[[#This Row],[A4]]+Calculations[[#This Row],[A5]]+Calculations[[#This Row],[B4]]+Calculations[[#This Row],[C2 total]]+Calculations[[#This Row],[C3 total]]+Calculations[[#This Row],[C4 total]]</f>
        <v>0</v>
      </c>
      <c r="AJ1148" s="2">
        <f>IFERROR(VLOOKUP(Calculations[[#This Row],[Material (choose from dropdown]],MaterialData[[#Headers],[#Data]],9,FALSE),0)</f>
        <v>0</v>
      </c>
      <c r="AK1148" s="4">
        <f>IFERROR(VLOOKUP(Calculations[[#This Row],[Material (choose from dropdown]],MaterialData[[#Headers],[#Data]],10,FALSE),0)</f>
        <v>0</v>
      </c>
      <c r="AL1148" s="322">
        <f>IFERROR(Calculations[[#This Row],[Data Quality Score]]*Calculations[[#This Row],[Total Kg]],0)</f>
        <v>0</v>
      </c>
    </row>
    <row r="1149" spans="1:38" x14ac:dyDescent="0.3">
      <c r="A1149" s="6">
        <f>IFERROR(MaterialsBoQ[[#This Row],[Scope Element]],0)</f>
        <v>0</v>
      </c>
      <c r="B1149" t="str">
        <f>IFERROR(MaterialsBoQ[[#This Row],[Material ]],"")</f>
        <v/>
      </c>
      <c r="C1149" t="str">
        <f>IFERROR(MaterialsBoQ[[#This Row],[Unit]],"")</f>
        <v/>
      </c>
      <c r="D1149" s="322">
        <f>IFERROR(MaterialsBoQ[[#This Row],[Number]],0)</f>
        <v>0</v>
      </c>
      <c r="E1149" s="322">
        <f>IFERROR(MaterialsBoQ[[#This Row],[Kg per unit]],0)</f>
        <v>0</v>
      </c>
      <c r="F1149" s="322">
        <f>IFERROR(Calculations[[#This Row],[Number]]*Calculations[[#This Row],[Conversion factor]],0)</f>
        <v>0</v>
      </c>
      <c r="G1149" s="322">
        <f>IFERROR(VLOOKUP(Calculations[[#This Row],[Material (choose from dropdown]],MaterialData[#All],7,FALSE),0)</f>
        <v>0</v>
      </c>
      <c r="H1149" s="322">
        <f>Calculations[[#This Row],[Total Kg]]*Calculations[[#This Row],[Carbon Factor]]</f>
        <v>0</v>
      </c>
      <c r="I1149" t="str">
        <f>IFERROR(VLOOKUP(Calculations[[#This Row],[Material (choose from dropdown]],MaterialData[#All],2,FALSE),"")</f>
        <v/>
      </c>
      <c r="J1149" s="322">
        <f>IFERROR(((VLOOKUP(Calculations[[#This Row],[TransportSource]],TransportDistance[],2,FALSE)*'Stage assumptions'!$C$11)+VLOOKUP(Calculations[[#This Row],[TransportSource]],TransportDistance[],3,FALSE)*'Stage assumptions'!$C$12)*Calculations[[#This Row],[Total Kg]],0)</f>
        <v>0</v>
      </c>
      <c r="K1149">
        <f>IFERROR(VLOOKUP(Calculations[[#This Row],[Material (choose from dropdown]], MaterialData[#All],3, FALSE),0)</f>
        <v>0</v>
      </c>
      <c r="L1149" s="322">
        <f>IFERROR(VLOOKUP(Calculations[[#This Row],[A5type]],A5WastageRate[#All],2,FALSE)*Calculations[[#This Row],[A1-3]],0)</f>
        <v>0</v>
      </c>
      <c r="N1149">
        <f>IFERROR(ROUNDUP(50/VLOOKUP(Calculations[[#This Row],[Scope Element]],B4referenceServiceLife[[Tier 2 element]:[Default Service Life]],2, FALSE)-1,0),0)</f>
        <v>0</v>
      </c>
      <c r="O1149" s="322">
        <f>IFERROR((Calculations[[#This Row],[A1-3]]+Calculations[[#This Row],[A4]]+Calculations[[#This Row],[A5]]+Calculations[[#This Row],[C2 total]]+Calculations[[#This Row],[C3 total]]+Calculations[[#This Row],[C4 total]])*Calculations[[#This Row],[Replacements]],0)</f>
        <v>0</v>
      </c>
      <c r="S1149" t="str">
        <f>IFERROR(VLOOKUP(Calculations[[#This Row],[Material (choose from dropdown]],MaterialData[#All],4,FALSE),"")</f>
        <v/>
      </c>
      <c r="T1149" s="322" cm="1">
        <f t="array" ref="T1149">IFERROR(VLOOKUP(Calculations[[#This Row],[Waste 1]],WasteScenario[#All],2,FALSE)*'Stage assumptions'!$C$225*WasteTransportMethod[Emissions Factor
kgCO2e/kg.km]*Calculations[[#This Row],[Total Kg]],0)</f>
        <v>0</v>
      </c>
      <c r="U1149" s="322" cm="1">
        <f t="array" ref="U1149">IFERROR(VLOOKUP(Calculations[[#This Row],[Waste 1]],WasteScenario[#All],3,FALSE)*'Stage assumptions'!$C$224*WasteTransportMethod[Emissions Factor
kgCO2e/kg.km]*Calculations[[#This Row],[Total Kg]],0)</f>
        <v>0</v>
      </c>
      <c r="V1149" s="322" cm="1">
        <f t="array" ref="V1149">IFERROR(VLOOKUP(Calculations[[#This Row],[Waste 1]],WasteScenario[#All],4,FALSE)*'Stage assumptions'!$C$223*WasteTransportMethod[Emissions Factor
kgCO2e/kg.km]*Calculations[[#This Row],[Total Kg]],0)</f>
        <v>0</v>
      </c>
      <c r="W1149" s="322" cm="1">
        <f t="array" ref="W1149">IFERROR(VLOOKUP(Calculations[[#This Row],[Waste 1]],WasteScenario[#All],5,FALSE)*'Stage assumptions'!$C$226*WasteTransportMethod[Emissions Factor
kgCO2e/kg.km]*Calculations[[#This Row],[Total Kg]],0)</f>
        <v>0</v>
      </c>
      <c r="X1149" s="322">
        <f>SUM(Calculations[[#This Row],[C2 Recycle]:[C2 Reuse]])</f>
        <v>0</v>
      </c>
      <c r="Y1149" t="str">
        <f>IFERROR(VLOOKUP(Calculations[[#This Row],[Material (choose from dropdown]],MaterialData[#All],5,FALSE),"")</f>
        <v/>
      </c>
      <c r="Z1149" s="322">
        <f>IFERROR(((VLOOKUP(Calculations[[#This Row],[Waste type 2]],WasteDisposalEmissions[#All],2,FALSE))*Calculations[[#This Row],[Total Kg]])*VLOOKUP(Calculations[[#This Row],[Waste 1]],WasteScenario[#All],2,FALSE),0)</f>
        <v>0</v>
      </c>
      <c r="AA1149" s="322">
        <f>IFERROR((VLOOKUP(Calculations[[#This Row],[Waste type 2]],WasteDisposalEmissions[#All],3,FALSE))*Calculations[[#This Row],[Total Kg]]*VLOOKUP(Calculations[[#This Row],[Waste 1]],WasteScenario[#All],3,FALSE),0)</f>
        <v>0</v>
      </c>
      <c r="AB1149" s="322">
        <f>SUM(Calculations[[#This Row],[C3 recyc]:[C3 incin]])</f>
        <v>0</v>
      </c>
      <c r="AC1149" s="334">
        <f>IFERROR((VLOOKUP(Calculations[[#This Row],[Waste type 2]],WasteLandfillEmissions[#All],2,FALSE))*Calculations[[#This Row],[Total Kg]]*VLOOKUP(Calculations[[#This Row],[Waste 1]],WasteScenario[#All],4,FALSE),0)</f>
        <v>0</v>
      </c>
      <c r="AD1149" s="322">
        <f>IFERROR((VLOOKUP(Calculations[[#This Row],[Waste type 2]],WasteLandfillEmissions[#All],3,FALSE))*Calculations[[#This Row],[Total Kg]]*VLOOKUP(Calculations[[#This Row],[Waste 1]],WasteScenario[#All],4,FALSE),0)</f>
        <v>0</v>
      </c>
      <c r="AE1149" s="322">
        <f>SUM(Calculations[[#This Row],[C4 landfill]:[C4 re-use]])</f>
        <v>0</v>
      </c>
      <c r="AF1149" s="322">
        <f>IFERROR(VLOOKUP(Calculations[[#This Row],[Material (choose from dropdown]],MaterialData[#All],8,FALSE),0)</f>
        <v>0</v>
      </c>
      <c r="AG1149" s="322">
        <f>IFERROR(Calculations[[#This Row],[Total Kg]]*Calculations[[#This Row],[Seq factor]],0)</f>
        <v>0</v>
      </c>
      <c r="AI1149" s="322">
        <f>Calculations[[#This Row],[A1-3]]+Calculations[[#This Row],[A4]]+Calculations[[#This Row],[A5]]+Calculations[[#This Row],[B4]]+Calculations[[#This Row],[C2 total]]+Calculations[[#This Row],[C3 total]]+Calculations[[#This Row],[C4 total]]</f>
        <v>0</v>
      </c>
      <c r="AJ1149" s="2">
        <f>IFERROR(VLOOKUP(Calculations[[#This Row],[Material (choose from dropdown]],MaterialData[[#Headers],[#Data]],9,FALSE),0)</f>
        <v>0</v>
      </c>
      <c r="AK1149" s="4">
        <f>IFERROR(VLOOKUP(Calculations[[#This Row],[Material (choose from dropdown]],MaterialData[[#Headers],[#Data]],10,FALSE),0)</f>
        <v>0</v>
      </c>
      <c r="AL1149" s="322">
        <f>IFERROR(Calculations[[#This Row],[Data Quality Score]]*Calculations[[#This Row],[Total Kg]],0)</f>
        <v>0</v>
      </c>
    </row>
    <row r="1150" spans="1:38" x14ac:dyDescent="0.3">
      <c r="A1150" s="6">
        <f>IFERROR(MaterialsBoQ[[#This Row],[Scope Element]],0)</f>
        <v>0</v>
      </c>
      <c r="B1150" t="str">
        <f>IFERROR(MaterialsBoQ[[#This Row],[Material ]],"")</f>
        <v/>
      </c>
      <c r="C1150" t="str">
        <f>IFERROR(MaterialsBoQ[[#This Row],[Unit]],"")</f>
        <v/>
      </c>
      <c r="D1150" s="322">
        <f>IFERROR(MaterialsBoQ[[#This Row],[Number]],0)</f>
        <v>0</v>
      </c>
      <c r="E1150" s="322">
        <f>IFERROR(MaterialsBoQ[[#This Row],[Kg per unit]],0)</f>
        <v>0</v>
      </c>
      <c r="F1150" s="322">
        <f>IFERROR(Calculations[[#This Row],[Number]]*Calculations[[#This Row],[Conversion factor]],0)</f>
        <v>0</v>
      </c>
      <c r="G1150" s="322">
        <f>IFERROR(VLOOKUP(Calculations[[#This Row],[Material (choose from dropdown]],MaterialData[#All],7,FALSE),0)</f>
        <v>0</v>
      </c>
      <c r="H1150" s="322">
        <f>Calculations[[#This Row],[Total Kg]]*Calculations[[#This Row],[Carbon Factor]]</f>
        <v>0</v>
      </c>
      <c r="I1150" t="str">
        <f>IFERROR(VLOOKUP(Calculations[[#This Row],[Material (choose from dropdown]],MaterialData[#All],2,FALSE),"")</f>
        <v/>
      </c>
      <c r="J1150" s="322">
        <f>IFERROR(((VLOOKUP(Calculations[[#This Row],[TransportSource]],TransportDistance[],2,FALSE)*'Stage assumptions'!$C$11)+VLOOKUP(Calculations[[#This Row],[TransportSource]],TransportDistance[],3,FALSE)*'Stage assumptions'!$C$12)*Calculations[[#This Row],[Total Kg]],0)</f>
        <v>0</v>
      </c>
      <c r="K1150">
        <f>IFERROR(VLOOKUP(Calculations[[#This Row],[Material (choose from dropdown]], MaterialData[#All],3, FALSE),0)</f>
        <v>0</v>
      </c>
      <c r="L1150" s="322">
        <f>IFERROR(VLOOKUP(Calculations[[#This Row],[A5type]],A5WastageRate[#All],2,FALSE)*Calculations[[#This Row],[A1-3]],0)</f>
        <v>0</v>
      </c>
      <c r="N1150">
        <f>IFERROR(ROUNDUP(50/VLOOKUP(Calculations[[#This Row],[Scope Element]],B4referenceServiceLife[[Tier 2 element]:[Default Service Life]],2, FALSE)-1,0),0)</f>
        <v>0</v>
      </c>
      <c r="O1150" s="322">
        <f>IFERROR((Calculations[[#This Row],[A1-3]]+Calculations[[#This Row],[A4]]+Calculations[[#This Row],[A5]]+Calculations[[#This Row],[C2 total]]+Calculations[[#This Row],[C3 total]]+Calculations[[#This Row],[C4 total]])*Calculations[[#This Row],[Replacements]],0)</f>
        <v>0</v>
      </c>
      <c r="S1150" t="str">
        <f>IFERROR(VLOOKUP(Calculations[[#This Row],[Material (choose from dropdown]],MaterialData[#All],4,FALSE),"")</f>
        <v/>
      </c>
      <c r="T1150" s="322" cm="1">
        <f t="array" ref="T1150">IFERROR(VLOOKUP(Calculations[[#This Row],[Waste 1]],WasteScenario[#All],2,FALSE)*'Stage assumptions'!$C$225*WasteTransportMethod[Emissions Factor
kgCO2e/kg.km]*Calculations[[#This Row],[Total Kg]],0)</f>
        <v>0</v>
      </c>
      <c r="U1150" s="322" cm="1">
        <f t="array" ref="U1150">IFERROR(VLOOKUP(Calculations[[#This Row],[Waste 1]],WasteScenario[#All],3,FALSE)*'Stage assumptions'!$C$224*WasteTransportMethod[Emissions Factor
kgCO2e/kg.km]*Calculations[[#This Row],[Total Kg]],0)</f>
        <v>0</v>
      </c>
      <c r="V1150" s="322" cm="1">
        <f t="array" ref="V1150">IFERROR(VLOOKUP(Calculations[[#This Row],[Waste 1]],WasteScenario[#All],4,FALSE)*'Stage assumptions'!$C$223*WasteTransportMethod[Emissions Factor
kgCO2e/kg.km]*Calculations[[#This Row],[Total Kg]],0)</f>
        <v>0</v>
      </c>
      <c r="W1150" s="322" cm="1">
        <f t="array" ref="W1150">IFERROR(VLOOKUP(Calculations[[#This Row],[Waste 1]],WasteScenario[#All],5,FALSE)*'Stage assumptions'!$C$226*WasteTransportMethod[Emissions Factor
kgCO2e/kg.km]*Calculations[[#This Row],[Total Kg]],0)</f>
        <v>0</v>
      </c>
      <c r="X1150" s="322">
        <f>SUM(Calculations[[#This Row],[C2 Recycle]:[C2 Reuse]])</f>
        <v>0</v>
      </c>
      <c r="Y1150" t="str">
        <f>IFERROR(VLOOKUP(Calculations[[#This Row],[Material (choose from dropdown]],MaterialData[#All],5,FALSE),"")</f>
        <v/>
      </c>
      <c r="Z1150" s="322">
        <f>IFERROR(((VLOOKUP(Calculations[[#This Row],[Waste type 2]],WasteDisposalEmissions[#All],2,FALSE))*Calculations[[#This Row],[Total Kg]])*VLOOKUP(Calculations[[#This Row],[Waste 1]],WasteScenario[#All],2,FALSE),0)</f>
        <v>0</v>
      </c>
      <c r="AA1150" s="322">
        <f>IFERROR((VLOOKUP(Calculations[[#This Row],[Waste type 2]],WasteDisposalEmissions[#All],3,FALSE))*Calculations[[#This Row],[Total Kg]]*VLOOKUP(Calculations[[#This Row],[Waste 1]],WasteScenario[#All],3,FALSE),0)</f>
        <v>0</v>
      </c>
      <c r="AB1150" s="322">
        <f>SUM(Calculations[[#This Row],[C3 recyc]:[C3 incin]])</f>
        <v>0</v>
      </c>
      <c r="AC1150" s="334">
        <f>IFERROR((VLOOKUP(Calculations[[#This Row],[Waste type 2]],WasteLandfillEmissions[#All],2,FALSE))*Calculations[[#This Row],[Total Kg]]*VLOOKUP(Calculations[[#This Row],[Waste 1]],WasteScenario[#All],4,FALSE),0)</f>
        <v>0</v>
      </c>
      <c r="AD1150" s="322">
        <f>IFERROR((VLOOKUP(Calculations[[#This Row],[Waste type 2]],WasteLandfillEmissions[#All],3,FALSE))*Calculations[[#This Row],[Total Kg]]*VLOOKUP(Calculations[[#This Row],[Waste 1]],WasteScenario[#All],4,FALSE),0)</f>
        <v>0</v>
      </c>
      <c r="AE1150" s="322">
        <f>SUM(Calculations[[#This Row],[C4 landfill]:[C4 re-use]])</f>
        <v>0</v>
      </c>
      <c r="AF1150" s="322">
        <f>IFERROR(VLOOKUP(Calculations[[#This Row],[Material (choose from dropdown]],MaterialData[#All],8,FALSE),0)</f>
        <v>0</v>
      </c>
      <c r="AG1150" s="322">
        <f>IFERROR(Calculations[[#This Row],[Total Kg]]*Calculations[[#This Row],[Seq factor]],0)</f>
        <v>0</v>
      </c>
      <c r="AI1150" s="322">
        <f>Calculations[[#This Row],[A1-3]]+Calculations[[#This Row],[A4]]+Calculations[[#This Row],[A5]]+Calculations[[#This Row],[B4]]+Calculations[[#This Row],[C2 total]]+Calculations[[#This Row],[C3 total]]+Calculations[[#This Row],[C4 total]]</f>
        <v>0</v>
      </c>
      <c r="AJ1150" s="2">
        <f>IFERROR(VLOOKUP(Calculations[[#This Row],[Material (choose from dropdown]],MaterialData[[#Headers],[#Data]],9,FALSE),0)</f>
        <v>0</v>
      </c>
      <c r="AK1150" s="4">
        <f>IFERROR(VLOOKUP(Calculations[[#This Row],[Material (choose from dropdown]],MaterialData[[#Headers],[#Data]],10,FALSE),0)</f>
        <v>0</v>
      </c>
      <c r="AL1150" s="322">
        <f>IFERROR(Calculations[[#This Row],[Data Quality Score]]*Calculations[[#This Row],[Total Kg]],0)</f>
        <v>0</v>
      </c>
    </row>
    <row r="1151" spans="1:38" x14ac:dyDescent="0.3">
      <c r="A1151" s="6">
        <f>IFERROR(MaterialsBoQ[[#This Row],[Scope Element]],0)</f>
        <v>0</v>
      </c>
      <c r="B1151" t="str">
        <f>IFERROR(MaterialsBoQ[[#This Row],[Material ]],"")</f>
        <v/>
      </c>
      <c r="C1151" t="str">
        <f>IFERROR(MaterialsBoQ[[#This Row],[Unit]],"")</f>
        <v/>
      </c>
      <c r="D1151" s="322">
        <f>IFERROR(MaterialsBoQ[[#This Row],[Number]],0)</f>
        <v>0</v>
      </c>
      <c r="E1151" s="322">
        <f>IFERROR(MaterialsBoQ[[#This Row],[Kg per unit]],0)</f>
        <v>0</v>
      </c>
      <c r="F1151" s="322">
        <f>IFERROR(Calculations[[#This Row],[Number]]*Calculations[[#This Row],[Conversion factor]],0)</f>
        <v>0</v>
      </c>
      <c r="G1151" s="322">
        <f>IFERROR(VLOOKUP(Calculations[[#This Row],[Material (choose from dropdown]],MaterialData[#All],7,FALSE),0)</f>
        <v>0</v>
      </c>
      <c r="H1151" s="322">
        <f>Calculations[[#This Row],[Total Kg]]*Calculations[[#This Row],[Carbon Factor]]</f>
        <v>0</v>
      </c>
      <c r="I1151" t="str">
        <f>IFERROR(VLOOKUP(Calculations[[#This Row],[Material (choose from dropdown]],MaterialData[#All],2,FALSE),"")</f>
        <v/>
      </c>
      <c r="J1151" s="322">
        <f>IFERROR(((VLOOKUP(Calculations[[#This Row],[TransportSource]],TransportDistance[],2,FALSE)*'Stage assumptions'!$C$11)+VLOOKUP(Calculations[[#This Row],[TransportSource]],TransportDistance[],3,FALSE)*'Stage assumptions'!$C$12)*Calculations[[#This Row],[Total Kg]],0)</f>
        <v>0</v>
      </c>
      <c r="K1151">
        <f>IFERROR(VLOOKUP(Calculations[[#This Row],[Material (choose from dropdown]], MaterialData[#All],3, FALSE),0)</f>
        <v>0</v>
      </c>
      <c r="L1151" s="322">
        <f>IFERROR(VLOOKUP(Calculations[[#This Row],[A5type]],A5WastageRate[#All],2,FALSE)*Calculations[[#This Row],[A1-3]],0)</f>
        <v>0</v>
      </c>
      <c r="N1151">
        <f>IFERROR(ROUNDUP(50/VLOOKUP(Calculations[[#This Row],[Scope Element]],B4referenceServiceLife[[Tier 2 element]:[Default Service Life]],2, FALSE)-1,0),0)</f>
        <v>0</v>
      </c>
      <c r="O1151" s="322">
        <f>IFERROR((Calculations[[#This Row],[A1-3]]+Calculations[[#This Row],[A4]]+Calculations[[#This Row],[A5]]+Calculations[[#This Row],[C2 total]]+Calculations[[#This Row],[C3 total]]+Calculations[[#This Row],[C4 total]])*Calculations[[#This Row],[Replacements]],0)</f>
        <v>0</v>
      </c>
      <c r="S1151" t="str">
        <f>IFERROR(VLOOKUP(Calculations[[#This Row],[Material (choose from dropdown]],MaterialData[#All],4,FALSE),"")</f>
        <v/>
      </c>
      <c r="T1151" s="322" cm="1">
        <f t="array" ref="T1151">IFERROR(VLOOKUP(Calculations[[#This Row],[Waste 1]],WasteScenario[#All],2,FALSE)*'Stage assumptions'!$C$225*WasteTransportMethod[Emissions Factor
kgCO2e/kg.km]*Calculations[[#This Row],[Total Kg]],0)</f>
        <v>0</v>
      </c>
      <c r="U1151" s="322" cm="1">
        <f t="array" ref="U1151">IFERROR(VLOOKUP(Calculations[[#This Row],[Waste 1]],WasteScenario[#All],3,FALSE)*'Stage assumptions'!$C$224*WasteTransportMethod[Emissions Factor
kgCO2e/kg.km]*Calculations[[#This Row],[Total Kg]],0)</f>
        <v>0</v>
      </c>
      <c r="V1151" s="322" cm="1">
        <f t="array" ref="V1151">IFERROR(VLOOKUP(Calculations[[#This Row],[Waste 1]],WasteScenario[#All],4,FALSE)*'Stage assumptions'!$C$223*WasteTransportMethod[Emissions Factor
kgCO2e/kg.km]*Calculations[[#This Row],[Total Kg]],0)</f>
        <v>0</v>
      </c>
      <c r="W1151" s="322" cm="1">
        <f t="array" ref="W1151">IFERROR(VLOOKUP(Calculations[[#This Row],[Waste 1]],WasteScenario[#All],5,FALSE)*'Stage assumptions'!$C$226*WasteTransportMethod[Emissions Factor
kgCO2e/kg.km]*Calculations[[#This Row],[Total Kg]],0)</f>
        <v>0</v>
      </c>
      <c r="X1151" s="322">
        <f>SUM(Calculations[[#This Row],[C2 Recycle]:[C2 Reuse]])</f>
        <v>0</v>
      </c>
      <c r="Y1151" t="str">
        <f>IFERROR(VLOOKUP(Calculations[[#This Row],[Material (choose from dropdown]],MaterialData[#All],5,FALSE),"")</f>
        <v/>
      </c>
      <c r="Z1151" s="322">
        <f>IFERROR(((VLOOKUP(Calculations[[#This Row],[Waste type 2]],WasteDisposalEmissions[#All],2,FALSE))*Calculations[[#This Row],[Total Kg]])*VLOOKUP(Calculations[[#This Row],[Waste 1]],WasteScenario[#All],2,FALSE),0)</f>
        <v>0</v>
      </c>
      <c r="AA1151" s="322">
        <f>IFERROR((VLOOKUP(Calculations[[#This Row],[Waste type 2]],WasteDisposalEmissions[#All],3,FALSE))*Calculations[[#This Row],[Total Kg]]*VLOOKUP(Calculations[[#This Row],[Waste 1]],WasteScenario[#All],3,FALSE),0)</f>
        <v>0</v>
      </c>
      <c r="AB1151" s="322">
        <f>SUM(Calculations[[#This Row],[C3 recyc]:[C3 incin]])</f>
        <v>0</v>
      </c>
      <c r="AC1151" s="334">
        <f>IFERROR((VLOOKUP(Calculations[[#This Row],[Waste type 2]],WasteLandfillEmissions[#All],2,FALSE))*Calculations[[#This Row],[Total Kg]]*VLOOKUP(Calculations[[#This Row],[Waste 1]],WasteScenario[#All],4,FALSE),0)</f>
        <v>0</v>
      </c>
      <c r="AD1151" s="322">
        <f>IFERROR((VLOOKUP(Calculations[[#This Row],[Waste type 2]],WasteLandfillEmissions[#All],3,FALSE))*Calculations[[#This Row],[Total Kg]]*VLOOKUP(Calculations[[#This Row],[Waste 1]],WasteScenario[#All],4,FALSE),0)</f>
        <v>0</v>
      </c>
      <c r="AE1151" s="322">
        <f>SUM(Calculations[[#This Row],[C4 landfill]:[C4 re-use]])</f>
        <v>0</v>
      </c>
      <c r="AF1151" s="322">
        <f>IFERROR(VLOOKUP(Calculations[[#This Row],[Material (choose from dropdown]],MaterialData[#All],8,FALSE),0)</f>
        <v>0</v>
      </c>
      <c r="AG1151" s="322">
        <f>IFERROR(Calculations[[#This Row],[Total Kg]]*Calculations[[#This Row],[Seq factor]],0)</f>
        <v>0</v>
      </c>
      <c r="AI1151" s="322">
        <f>Calculations[[#This Row],[A1-3]]+Calculations[[#This Row],[A4]]+Calculations[[#This Row],[A5]]+Calculations[[#This Row],[B4]]+Calculations[[#This Row],[C2 total]]+Calculations[[#This Row],[C3 total]]+Calculations[[#This Row],[C4 total]]</f>
        <v>0</v>
      </c>
      <c r="AJ1151" s="2">
        <f>IFERROR(VLOOKUP(Calculations[[#This Row],[Material (choose from dropdown]],MaterialData[[#Headers],[#Data]],9,FALSE),0)</f>
        <v>0</v>
      </c>
      <c r="AK1151" s="4">
        <f>IFERROR(VLOOKUP(Calculations[[#This Row],[Material (choose from dropdown]],MaterialData[[#Headers],[#Data]],10,FALSE),0)</f>
        <v>0</v>
      </c>
      <c r="AL1151" s="322">
        <f>IFERROR(Calculations[[#This Row],[Data Quality Score]]*Calculations[[#This Row],[Total Kg]],0)</f>
        <v>0</v>
      </c>
    </row>
    <row r="1152" spans="1:38" x14ac:dyDescent="0.3">
      <c r="A1152" s="6">
        <f>IFERROR(MaterialsBoQ[[#This Row],[Scope Element]],0)</f>
        <v>0</v>
      </c>
      <c r="B1152" t="str">
        <f>IFERROR(MaterialsBoQ[[#This Row],[Material ]],"")</f>
        <v/>
      </c>
      <c r="C1152" t="str">
        <f>IFERROR(MaterialsBoQ[[#This Row],[Unit]],"")</f>
        <v/>
      </c>
      <c r="D1152" s="322">
        <f>IFERROR(MaterialsBoQ[[#This Row],[Number]],0)</f>
        <v>0</v>
      </c>
      <c r="E1152" s="322">
        <f>IFERROR(MaterialsBoQ[[#This Row],[Kg per unit]],0)</f>
        <v>0</v>
      </c>
      <c r="F1152" s="322">
        <f>IFERROR(Calculations[[#This Row],[Number]]*Calculations[[#This Row],[Conversion factor]],0)</f>
        <v>0</v>
      </c>
      <c r="G1152" s="322">
        <f>IFERROR(VLOOKUP(Calculations[[#This Row],[Material (choose from dropdown]],MaterialData[#All],7,FALSE),0)</f>
        <v>0</v>
      </c>
      <c r="H1152" s="322">
        <f>Calculations[[#This Row],[Total Kg]]*Calculations[[#This Row],[Carbon Factor]]</f>
        <v>0</v>
      </c>
      <c r="I1152" t="str">
        <f>IFERROR(VLOOKUP(Calculations[[#This Row],[Material (choose from dropdown]],MaterialData[#All],2,FALSE),"")</f>
        <v/>
      </c>
      <c r="J1152" s="322">
        <f>IFERROR(((VLOOKUP(Calculations[[#This Row],[TransportSource]],TransportDistance[],2,FALSE)*'Stage assumptions'!$C$11)+VLOOKUP(Calculations[[#This Row],[TransportSource]],TransportDistance[],3,FALSE)*'Stage assumptions'!$C$12)*Calculations[[#This Row],[Total Kg]],0)</f>
        <v>0</v>
      </c>
      <c r="K1152">
        <f>IFERROR(VLOOKUP(Calculations[[#This Row],[Material (choose from dropdown]], MaterialData[#All],3, FALSE),0)</f>
        <v>0</v>
      </c>
      <c r="L1152" s="322">
        <f>IFERROR(VLOOKUP(Calculations[[#This Row],[A5type]],A5WastageRate[#All],2,FALSE)*Calculations[[#This Row],[A1-3]],0)</f>
        <v>0</v>
      </c>
      <c r="N1152">
        <f>IFERROR(ROUNDUP(50/VLOOKUP(Calculations[[#This Row],[Scope Element]],B4referenceServiceLife[[Tier 2 element]:[Default Service Life]],2, FALSE)-1,0),0)</f>
        <v>0</v>
      </c>
      <c r="O1152" s="322">
        <f>IFERROR((Calculations[[#This Row],[A1-3]]+Calculations[[#This Row],[A4]]+Calculations[[#This Row],[A5]]+Calculations[[#This Row],[C2 total]]+Calculations[[#This Row],[C3 total]]+Calculations[[#This Row],[C4 total]])*Calculations[[#This Row],[Replacements]],0)</f>
        <v>0</v>
      </c>
      <c r="S1152" t="str">
        <f>IFERROR(VLOOKUP(Calculations[[#This Row],[Material (choose from dropdown]],MaterialData[#All],4,FALSE),"")</f>
        <v/>
      </c>
      <c r="T1152" s="322" cm="1">
        <f t="array" ref="T1152">IFERROR(VLOOKUP(Calculations[[#This Row],[Waste 1]],WasteScenario[#All],2,FALSE)*'Stage assumptions'!$C$225*WasteTransportMethod[Emissions Factor
kgCO2e/kg.km]*Calculations[[#This Row],[Total Kg]],0)</f>
        <v>0</v>
      </c>
      <c r="U1152" s="322" cm="1">
        <f t="array" ref="U1152">IFERROR(VLOOKUP(Calculations[[#This Row],[Waste 1]],WasteScenario[#All],3,FALSE)*'Stage assumptions'!$C$224*WasteTransportMethod[Emissions Factor
kgCO2e/kg.km]*Calculations[[#This Row],[Total Kg]],0)</f>
        <v>0</v>
      </c>
      <c r="V1152" s="322" cm="1">
        <f t="array" ref="V1152">IFERROR(VLOOKUP(Calculations[[#This Row],[Waste 1]],WasteScenario[#All],4,FALSE)*'Stage assumptions'!$C$223*WasteTransportMethod[Emissions Factor
kgCO2e/kg.km]*Calculations[[#This Row],[Total Kg]],0)</f>
        <v>0</v>
      </c>
      <c r="W1152" s="322" cm="1">
        <f t="array" ref="W1152">IFERROR(VLOOKUP(Calculations[[#This Row],[Waste 1]],WasteScenario[#All],5,FALSE)*'Stage assumptions'!$C$226*WasteTransportMethod[Emissions Factor
kgCO2e/kg.km]*Calculations[[#This Row],[Total Kg]],0)</f>
        <v>0</v>
      </c>
      <c r="X1152" s="322">
        <f>SUM(Calculations[[#This Row],[C2 Recycle]:[C2 Reuse]])</f>
        <v>0</v>
      </c>
      <c r="Y1152" t="str">
        <f>IFERROR(VLOOKUP(Calculations[[#This Row],[Material (choose from dropdown]],MaterialData[#All],5,FALSE),"")</f>
        <v/>
      </c>
      <c r="Z1152" s="322">
        <f>IFERROR(((VLOOKUP(Calculations[[#This Row],[Waste type 2]],WasteDisposalEmissions[#All],2,FALSE))*Calculations[[#This Row],[Total Kg]])*VLOOKUP(Calculations[[#This Row],[Waste 1]],WasteScenario[#All],2,FALSE),0)</f>
        <v>0</v>
      </c>
      <c r="AA1152" s="322">
        <f>IFERROR((VLOOKUP(Calculations[[#This Row],[Waste type 2]],WasteDisposalEmissions[#All],3,FALSE))*Calculations[[#This Row],[Total Kg]]*VLOOKUP(Calculations[[#This Row],[Waste 1]],WasteScenario[#All],3,FALSE),0)</f>
        <v>0</v>
      </c>
      <c r="AB1152" s="322">
        <f>SUM(Calculations[[#This Row],[C3 recyc]:[C3 incin]])</f>
        <v>0</v>
      </c>
      <c r="AC1152" s="334">
        <f>IFERROR((VLOOKUP(Calculations[[#This Row],[Waste type 2]],WasteLandfillEmissions[#All],2,FALSE))*Calculations[[#This Row],[Total Kg]]*VLOOKUP(Calculations[[#This Row],[Waste 1]],WasteScenario[#All],4,FALSE),0)</f>
        <v>0</v>
      </c>
      <c r="AD1152" s="322">
        <f>IFERROR((VLOOKUP(Calculations[[#This Row],[Waste type 2]],WasteLandfillEmissions[#All],3,FALSE))*Calculations[[#This Row],[Total Kg]]*VLOOKUP(Calculations[[#This Row],[Waste 1]],WasteScenario[#All],4,FALSE),0)</f>
        <v>0</v>
      </c>
      <c r="AE1152" s="322">
        <f>SUM(Calculations[[#This Row],[C4 landfill]:[C4 re-use]])</f>
        <v>0</v>
      </c>
      <c r="AF1152" s="322">
        <f>IFERROR(VLOOKUP(Calculations[[#This Row],[Material (choose from dropdown]],MaterialData[#All],8,FALSE),0)</f>
        <v>0</v>
      </c>
      <c r="AG1152" s="322">
        <f>IFERROR(Calculations[[#This Row],[Total Kg]]*Calculations[[#This Row],[Seq factor]],0)</f>
        <v>0</v>
      </c>
      <c r="AI1152" s="322">
        <f>Calculations[[#This Row],[A1-3]]+Calculations[[#This Row],[A4]]+Calculations[[#This Row],[A5]]+Calculations[[#This Row],[B4]]+Calculations[[#This Row],[C2 total]]+Calculations[[#This Row],[C3 total]]+Calculations[[#This Row],[C4 total]]</f>
        <v>0</v>
      </c>
      <c r="AJ1152" s="2">
        <f>IFERROR(VLOOKUP(Calculations[[#This Row],[Material (choose from dropdown]],MaterialData[[#Headers],[#Data]],9,FALSE),0)</f>
        <v>0</v>
      </c>
      <c r="AK1152" s="4">
        <f>IFERROR(VLOOKUP(Calculations[[#This Row],[Material (choose from dropdown]],MaterialData[[#Headers],[#Data]],10,FALSE),0)</f>
        <v>0</v>
      </c>
      <c r="AL1152" s="322">
        <f>IFERROR(Calculations[[#This Row],[Data Quality Score]]*Calculations[[#This Row],[Total Kg]],0)</f>
        <v>0</v>
      </c>
    </row>
    <row r="1153" spans="1:38" x14ac:dyDescent="0.3">
      <c r="A1153" s="6">
        <f>IFERROR(MaterialsBoQ[[#This Row],[Scope Element]],0)</f>
        <v>0</v>
      </c>
      <c r="B1153" t="str">
        <f>IFERROR(MaterialsBoQ[[#This Row],[Material ]],"")</f>
        <v/>
      </c>
      <c r="C1153" t="str">
        <f>IFERROR(MaterialsBoQ[[#This Row],[Unit]],"")</f>
        <v/>
      </c>
      <c r="D1153" s="322">
        <f>IFERROR(MaterialsBoQ[[#This Row],[Number]],0)</f>
        <v>0</v>
      </c>
      <c r="E1153" s="322">
        <f>IFERROR(MaterialsBoQ[[#This Row],[Kg per unit]],0)</f>
        <v>0</v>
      </c>
      <c r="F1153" s="322">
        <f>IFERROR(Calculations[[#This Row],[Number]]*Calculations[[#This Row],[Conversion factor]],0)</f>
        <v>0</v>
      </c>
      <c r="G1153" s="322">
        <f>IFERROR(VLOOKUP(Calculations[[#This Row],[Material (choose from dropdown]],MaterialData[#All],7,FALSE),0)</f>
        <v>0</v>
      </c>
      <c r="H1153" s="322">
        <f>Calculations[[#This Row],[Total Kg]]*Calculations[[#This Row],[Carbon Factor]]</f>
        <v>0</v>
      </c>
      <c r="I1153" t="str">
        <f>IFERROR(VLOOKUP(Calculations[[#This Row],[Material (choose from dropdown]],MaterialData[#All],2,FALSE),"")</f>
        <v/>
      </c>
      <c r="J1153" s="322">
        <f>IFERROR(((VLOOKUP(Calculations[[#This Row],[TransportSource]],TransportDistance[],2,FALSE)*'Stage assumptions'!$C$11)+VLOOKUP(Calculations[[#This Row],[TransportSource]],TransportDistance[],3,FALSE)*'Stage assumptions'!$C$12)*Calculations[[#This Row],[Total Kg]],0)</f>
        <v>0</v>
      </c>
      <c r="K1153">
        <f>IFERROR(VLOOKUP(Calculations[[#This Row],[Material (choose from dropdown]], MaterialData[#All],3, FALSE),0)</f>
        <v>0</v>
      </c>
      <c r="L1153" s="322">
        <f>IFERROR(VLOOKUP(Calculations[[#This Row],[A5type]],A5WastageRate[#All],2,FALSE)*Calculations[[#This Row],[A1-3]],0)</f>
        <v>0</v>
      </c>
      <c r="N1153">
        <f>IFERROR(ROUNDUP(50/VLOOKUP(Calculations[[#This Row],[Scope Element]],B4referenceServiceLife[[Tier 2 element]:[Default Service Life]],2, FALSE)-1,0),0)</f>
        <v>0</v>
      </c>
      <c r="O1153" s="322">
        <f>IFERROR((Calculations[[#This Row],[A1-3]]+Calculations[[#This Row],[A4]]+Calculations[[#This Row],[A5]]+Calculations[[#This Row],[C2 total]]+Calculations[[#This Row],[C3 total]]+Calculations[[#This Row],[C4 total]])*Calculations[[#This Row],[Replacements]],0)</f>
        <v>0</v>
      </c>
      <c r="S1153" t="str">
        <f>IFERROR(VLOOKUP(Calculations[[#This Row],[Material (choose from dropdown]],MaterialData[#All],4,FALSE),"")</f>
        <v/>
      </c>
      <c r="T1153" s="322" cm="1">
        <f t="array" ref="T1153">IFERROR(VLOOKUP(Calculations[[#This Row],[Waste 1]],WasteScenario[#All],2,FALSE)*'Stage assumptions'!$C$225*WasteTransportMethod[Emissions Factor
kgCO2e/kg.km]*Calculations[[#This Row],[Total Kg]],0)</f>
        <v>0</v>
      </c>
      <c r="U1153" s="322" cm="1">
        <f t="array" ref="U1153">IFERROR(VLOOKUP(Calculations[[#This Row],[Waste 1]],WasteScenario[#All],3,FALSE)*'Stage assumptions'!$C$224*WasteTransportMethod[Emissions Factor
kgCO2e/kg.km]*Calculations[[#This Row],[Total Kg]],0)</f>
        <v>0</v>
      </c>
      <c r="V1153" s="322" cm="1">
        <f t="array" ref="V1153">IFERROR(VLOOKUP(Calculations[[#This Row],[Waste 1]],WasteScenario[#All],4,FALSE)*'Stage assumptions'!$C$223*WasteTransportMethod[Emissions Factor
kgCO2e/kg.km]*Calculations[[#This Row],[Total Kg]],0)</f>
        <v>0</v>
      </c>
      <c r="W1153" s="322" cm="1">
        <f t="array" ref="W1153">IFERROR(VLOOKUP(Calculations[[#This Row],[Waste 1]],WasteScenario[#All],5,FALSE)*'Stage assumptions'!$C$226*WasteTransportMethod[Emissions Factor
kgCO2e/kg.km]*Calculations[[#This Row],[Total Kg]],0)</f>
        <v>0</v>
      </c>
      <c r="X1153" s="322">
        <f>SUM(Calculations[[#This Row],[C2 Recycle]:[C2 Reuse]])</f>
        <v>0</v>
      </c>
      <c r="Y1153" t="str">
        <f>IFERROR(VLOOKUP(Calculations[[#This Row],[Material (choose from dropdown]],MaterialData[#All],5,FALSE),"")</f>
        <v/>
      </c>
      <c r="Z1153" s="322">
        <f>IFERROR(((VLOOKUP(Calculations[[#This Row],[Waste type 2]],WasteDisposalEmissions[#All],2,FALSE))*Calculations[[#This Row],[Total Kg]])*VLOOKUP(Calculations[[#This Row],[Waste 1]],WasteScenario[#All],2,FALSE),0)</f>
        <v>0</v>
      </c>
      <c r="AA1153" s="322">
        <f>IFERROR((VLOOKUP(Calculations[[#This Row],[Waste type 2]],WasteDisposalEmissions[#All],3,FALSE))*Calculations[[#This Row],[Total Kg]]*VLOOKUP(Calculations[[#This Row],[Waste 1]],WasteScenario[#All],3,FALSE),0)</f>
        <v>0</v>
      </c>
      <c r="AB1153" s="322">
        <f>SUM(Calculations[[#This Row],[C3 recyc]:[C3 incin]])</f>
        <v>0</v>
      </c>
      <c r="AC1153" s="334">
        <f>IFERROR((VLOOKUP(Calculations[[#This Row],[Waste type 2]],WasteLandfillEmissions[#All],2,FALSE))*Calculations[[#This Row],[Total Kg]]*VLOOKUP(Calculations[[#This Row],[Waste 1]],WasteScenario[#All],4,FALSE),0)</f>
        <v>0</v>
      </c>
      <c r="AD1153" s="322">
        <f>IFERROR((VLOOKUP(Calculations[[#This Row],[Waste type 2]],WasteLandfillEmissions[#All],3,FALSE))*Calculations[[#This Row],[Total Kg]]*VLOOKUP(Calculations[[#This Row],[Waste 1]],WasteScenario[#All],4,FALSE),0)</f>
        <v>0</v>
      </c>
      <c r="AE1153" s="322">
        <f>SUM(Calculations[[#This Row],[C4 landfill]:[C4 re-use]])</f>
        <v>0</v>
      </c>
      <c r="AF1153" s="322">
        <f>IFERROR(VLOOKUP(Calculations[[#This Row],[Material (choose from dropdown]],MaterialData[#All],8,FALSE),0)</f>
        <v>0</v>
      </c>
      <c r="AG1153" s="322">
        <f>IFERROR(Calculations[[#This Row],[Total Kg]]*Calculations[[#This Row],[Seq factor]],0)</f>
        <v>0</v>
      </c>
      <c r="AI1153" s="322">
        <f>Calculations[[#This Row],[A1-3]]+Calculations[[#This Row],[A4]]+Calculations[[#This Row],[A5]]+Calculations[[#This Row],[B4]]+Calculations[[#This Row],[C2 total]]+Calculations[[#This Row],[C3 total]]+Calculations[[#This Row],[C4 total]]</f>
        <v>0</v>
      </c>
      <c r="AJ1153" s="2">
        <f>IFERROR(VLOOKUP(Calculations[[#This Row],[Material (choose from dropdown]],MaterialData[[#Headers],[#Data]],9,FALSE),0)</f>
        <v>0</v>
      </c>
      <c r="AK1153" s="4">
        <f>IFERROR(VLOOKUP(Calculations[[#This Row],[Material (choose from dropdown]],MaterialData[[#Headers],[#Data]],10,FALSE),0)</f>
        <v>0</v>
      </c>
      <c r="AL1153" s="322">
        <f>IFERROR(Calculations[[#This Row],[Data Quality Score]]*Calculations[[#This Row],[Total Kg]],0)</f>
        <v>0</v>
      </c>
    </row>
    <row r="1154" spans="1:38" x14ac:dyDescent="0.3">
      <c r="A1154" s="6">
        <f>IFERROR(MaterialsBoQ[[#This Row],[Scope Element]],0)</f>
        <v>0</v>
      </c>
      <c r="B1154" t="str">
        <f>IFERROR(MaterialsBoQ[[#This Row],[Material ]],"")</f>
        <v/>
      </c>
      <c r="C1154" t="str">
        <f>IFERROR(MaterialsBoQ[[#This Row],[Unit]],"")</f>
        <v/>
      </c>
      <c r="D1154" s="322">
        <f>IFERROR(MaterialsBoQ[[#This Row],[Number]],0)</f>
        <v>0</v>
      </c>
      <c r="E1154" s="322">
        <f>IFERROR(MaterialsBoQ[[#This Row],[Kg per unit]],0)</f>
        <v>0</v>
      </c>
      <c r="F1154" s="322">
        <f>IFERROR(Calculations[[#This Row],[Number]]*Calculations[[#This Row],[Conversion factor]],0)</f>
        <v>0</v>
      </c>
      <c r="G1154" s="322">
        <f>IFERROR(VLOOKUP(Calculations[[#This Row],[Material (choose from dropdown]],MaterialData[#All],7,FALSE),0)</f>
        <v>0</v>
      </c>
      <c r="H1154" s="322">
        <f>Calculations[[#This Row],[Total Kg]]*Calculations[[#This Row],[Carbon Factor]]</f>
        <v>0</v>
      </c>
      <c r="I1154" t="str">
        <f>IFERROR(VLOOKUP(Calculations[[#This Row],[Material (choose from dropdown]],MaterialData[#All],2,FALSE),"")</f>
        <v/>
      </c>
      <c r="J1154" s="322">
        <f>IFERROR(((VLOOKUP(Calculations[[#This Row],[TransportSource]],TransportDistance[],2,FALSE)*'Stage assumptions'!$C$11)+VLOOKUP(Calculations[[#This Row],[TransportSource]],TransportDistance[],3,FALSE)*'Stage assumptions'!$C$12)*Calculations[[#This Row],[Total Kg]],0)</f>
        <v>0</v>
      </c>
      <c r="K1154">
        <f>IFERROR(VLOOKUP(Calculations[[#This Row],[Material (choose from dropdown]], MaterialData[#All],3, FALSE),0)</f>
        <v>0</v>
      </c>
      <c r="L1154" s="322">
        <f>IFERROR(VLOOKUP(Calculations[[#This Row],[A5type]],A5WastageRate[#All],2,FALSE)*Calculations[[#This Row],[A1-3]],0)</f>
        <v>0</v>
      </c>
      <c r="N1154">
        <f>IFERROR(ROUNDUP(50/VLOOKUP(Calculations[[#This Row],[Scope Element]],B4referenceServiceLife[[Tier 2 element]:[Default Service Life]],2, FALSE)-1,0),0)</f>
        <v>0</v>
      </c>
      <c r="O1154" s="322">
        <f>IFERROR((Calculations[[#This Row],[A1-3]]+Calculations[[#This Row],[A4]]+Calculations[[#This Row],[A5]]+Calculations[[#This Row],[C2 total]]+Calculations[[#This Row],[C3 total]]+Calculations[[#This Row],[C4 total]])*Calculations[[#This Row],[Replacements]],0)</f>
        <v>0</v>
      </c>
      <c r="S1154" t="str">
        <f>IFERROR(VLOOKUP(Calculations[[#This Row],[Material (choose from dropdown]],MaterialData[#All],4,FALSE),"")</f>
        <v/>
      </c>
      <c r="T1154" s="322" cm="1">
        <f t="array" ref="T1154">IFERROR(VLOOKUP(Calculations[[#This Row],[Waste 1]],WasteScenario[#All],2,FALSE)*'Stage assumptions'!$C$225*WasteTransportMethod[Emissions Factor
kgCO2e/kg.km]*Calculations[[#This Row],[Total Kg]],0)</f>
        <v>0</v>
      </c>
      <c r="U1154" s="322" cm="1">
        <f t="array" ref="U1154">IFERROR(VLOOKUP(Calculations[[#This Row],[Waste 1]],WasteScenario[#All],3,FALSE)*'Stage assumptions'!$C$224*WasteTransportMethod[Emissions Factor
kgCO2e/kg.km]*Calculations[[#This Row],[Total Kg]],0)</f>
        <v>0</v>
      </c>
      <c r="V1154" s="322" cm="1">
        <f t="array" ref="V1154">IFERROR(VLOOKUP(Calculations[[#This Row],[Waste 1]],WasteScenario[#All],4,FALSE)*'Stage assumptions'!$C$223*WasteTransportMethod[Emissions Factor
kgCO2e/kg.km]*Calculations[[#This Row],[Total Kg]],0)</f>
        <v>0</v>
      </c>
      <c r="W1154" s="322" cm="1">
        <f t="array" ref="W1154">IFERROR(VLOOKUP(Calculations[[#This Row],[Waste 1]],WasteScenario[#All],5,FALSE)*'Stage assumptions'!$C$226*WasteTransportMethod[Emissions Factor
kgCO2e/kg.km]*Calculations[[#This Row],[Total Kg]],0)</f>
        <v>0</v>
      </c>
      <c r="X1154" s="322">
        <f>SUM(Calculations[[#This Row],[C2 Recycle]:[C2 Reuse]])</f>
        <v>0</v>
      </c>
      <c r="Y1154" t="str">
        <f>IFERROR(VLOOKUP(Calculations[[#This Row],[Material (choose from dropdown]],MaterialData[#All],5,FALSE),"")</f>
        <v/>
      </c>
      <c r="Z1154" s="322">
        <f>IFERROR(((VLOOKUP(Calculations[[#This Row],[Waste type 2]],WasteDisposalEmissions[#All],2,FALSE))*Calculations[[#This Row],[Total Kg]])*VLOOKUP(Calculations[[#This Row],[Waste 1]],WasteScenario[#All],2,FALSE),0)</f>
        <v>0</v>
      </c>
      <c r="AA1154" s="322">
        <f>IFERROR((VLOOKUP(Calculations[[#This Row],[Waste type 2]],WasteDisposalEmissions[#All],3,FALSE))*Calculations[[#This Row],[Total Kg]]*VLOOKUP(Calculations[[#This Row],[Waste 1]],WasteScenario[#All],3,FALSE),0)</f>
        <v>0</v>
      </c>
      <c r="AB1154" s="322">
        <f>SUM(Calculations[[#This Row],[C3 recyc]:[C3 incin]])</f>
        <v>0</v>
      </c>
      <c r="AC1154" s="334">
        <f>IFERROR((VLOOKUP(Calculations[[#This Row],[Waste type 2]],WasteLandfillEmissions[#All],2,FALSE))*Calculations[[#This Row],[Total Kg]]*VLOOKUP(Calculations[[#This Row],[Waste 1]],WasteScenario[#All],4,FALSE),0)</f>
        <v>0</v>
      </c>
      <c r="AD1154" s="322">
        <f>IFERROR((VLOOKUP(Calculations[[#This Row],[Waste type 2]],WasteLandfillEmissions[#All],3,FALSE))*Calculations[[#This Row],[Total Kg]]*VLOOKUP(Calculations[[#This Row],[Waste 1]],WasteScenario[#All],4,FALSE),0)</f>
        <v>0</v>
      </c>
      <c r="AE1154" s="322">
        <f>SUM(Calculations[[#This Row],[C4 landfill]:[C4 re-use]])</f>
        <v>0</v>
      </c>
      <c r="AF1154" s="322">
        <f>IFERROR(VLOOKUP(Calculations[[#This Row],[Material (choose from dropdown]],MaterialData[#All],8,FALSE),0)</f>
        <v>0</v>
      </c>
      <c r="AG1154" s="322">
        <f>IFERROR(Calculations[[#This Row],[Total Kg]]*Calculations[[#This Row],[Seq factor]],0)</f>
        <v>0</v>
      </c>
      <c r="AI1154" s="322">
        <f>Calculations[[#This Row],[A1-3]]+Calculations[[#This Row],[A4]]+Calculations[[#This Row],[A5]]+Calculations[[#This Row],[B4]]+Calculations[[#This Row],[C2 total]]+Calculations[[#This Row],[C3 total]]+Calculations[[#This Row],[C4 total]]</f>
        <v>0</v>
      </c>
      <c r="AJ1154" s="2">
        <f>IFERROR(VLOOKUP(Calculations[[#This Row],[Material (choose from dropdown]],MaterialData[[#Headers],[#Data]],9,FALSE),0)</f>
        <v>0</v>
      </c>
      <c r="AK1154" s="4">
        <f>IFERROR(VLOOKUP(Calculations[[#This Row],[Material (choose from dropdown]],MaterialData[[#Headers],[#Data]],10,FALSE),0)</f>
        <v>0</v>
      </c>
      <c r="AL1154" s="322">
        <f>IFERROR(Calculations[[#This Row],[Data Quality Score]]*Calculations[[#This Row],[Total Kg]],0)</f>
        <v>0</v>
      </c>
    </row>
    <row r="1155" spans="1:38" x14ac:dyDescent="0.3">
      <c r="A1155" s="6">
        <f>IFERROR(MaterialsBoQ[[#This Row],[Scope Element]],0)</f>
        <v>0</v>
      </c>
      <c r="B1155" t="str">
        <f>IFERROR(MaterialsBoQ[[#This Row],[Material ]],"")</f>
        <v/>
      </c>
      <c r="C1155" t="str">
        <f>IFERROR(MaterialsBoQ[[#This Row],[Unit]],"")</f>
        <v/>
      </c>
      <c r="D1155" s="322">
        <f>IFERROR(MaterialsBoQ[[#This Row],[Number]],0)</f>
        <v>0</v>
      </c>
      <c r="E1155" s="322">
        <f>IFERROR(MaterialsBoQ[[#This Row],[Kg per unit]],0)</f>
        <v>0</v>
      </c>
      <c r="F1155" s="322">
        <f>IFERROR(Calculations[[#This Row],[Number]]*Calculations[[#This Row],[Conversion factor]],0)</f>
        <v>0</v>
      </c>
      <c r="G1155" s="322">
        <f>IFERROR(VLOOKUP(Calculations[[#This Row],[Material (choose from dropdown]],MaterialData[#All],7,FALSE),0)</f>
        <v>0</v>
      </c>
      <c r="H1155" s="322">
        <f>Calculations[[#This Row],[Total Kg]]*Calculations[[#This Row],[Carbon Factor]]</f>
        <v>0</v>
      </c>
      <c r="I1155" t="str">
        <f>IFERROR(VLOOKUP(Calculations[[#This Row],[Material (choose from dropdown]],MaterialData[#All],2,FALSE),"")</f>
        <v/>
      </c>
      <c r="J1155" s="322">
        <f>IFERROR(((VLOOKUP(Calculations[[#This Row],[TransportSource]],TransportDistance[],2,FALSE)*'Stage assumptions'!$C$11)+VLOOKUP(Calculations[[#This Row],[TransportSource]],TransportDistance[],3,FALSE)*'Stage assumptions'!$C$12)*Calculations[[#This Row],[Total Kg]],0)</f>
        <v>0</v>
      </c>
      <c r="K1155">
        <f>IFERROR(VLOOKUP(Calculations[[#This Row],[Material (choose from dropdown]], MaterialData[#All],3, FALSE),0)</f>
        <v>0</v>
      </c>
      <c r="L1155" s="322">
        <f>IFERROR(VLOOKUP(Calculations[[#This Row],[A5type]],A5WastageRate[#All],2,FALSE)*Calculations[[#This Row],[A1-3]],0)</f>
        <v>0</v>
      </c>
      <c r="N1155">
        <f>IFERROR(ROUNDUP(50/VLOOKUP(Calculations[[#This Row],[Scope Element]],B4referenceServiceLife[[Tier 2 element]:[Default Service Life]],2, FALSE)-1,0),0)</f>
        <v>0</v>
      </c>
      <c r="O1155" s="322">
        <f>IFERROR((Calculations[[#This Row],[A1-3]]+Calculations[[#This Row],[A4]]+Calculations[[#This Row],[A5]]+Calculations[[#This Row],[C2 total]]+Calculations[[#This Row],[C3 total]]+Calculations[[#This Row],[C4 total]])*Calculations[[#This Row],[Replacements]],0)</f>
        <v>0</v>
      </c>
      <c r="S1155" t="str">
        <f>IFERROR(VLOOKUP(Calculations[[#This Row],[Material (choose from dropdown]],MaterialData[#All],4,FALSE),"")</f>
        <v/>
      </c>
      <c r="T1155" s="322" cm="1">
        <f t="array" ref="T1155">IFERROR(VLOOKUP(Calculations[[#This Row],[Waste 1]],WasteScenario[#All],2,FALSE)*'Stage assumptions'!$C$225*WasteTransportMethod[Emissions Factor
kgCO2e/kg.km]*Calculations[[#This Row],[Total Kg]],0)</f>
        <v>0</v>
      </c>
      <c r="U1155" s="322" cm="1">
        <f t="array" ref="U1155">IFERROR(VLOOKUP(Calculations[[#This Row],[Waste 1]],WasteScenario[#All],3,FALSE)*'Stage assumptions'!$C$224*WasteTransportMethod[Emissions Factor
kgCO2e/kg.km]*Calculations[[#This Row],[Total Kg]],0)</f>
        <v>0</v>
      </c>
      <c r="V1155" s="322" cm="1">
        <f t="array" ref="V1155">IFERROR(VLOOKUP(Calculations[[#This Row],[Waste 1]],WasteScenario[#All],4,FALSE)*'Stage assumptions'!$C$223*WasteTransportMethod[Emissions Factor
kgCO2e/kg.km]*Calculations[[#This Row],[Total Kg]],0)</f>
        <v>0</v>
      </c>
      <c r="W1155" s="322" cm="1">
        <f t="array" ref="W1155">IFERROR(VLOOKUP(Calculations[[#This Row],[Waste 1]],WasteScenario[#All],5,FALSE)*'Stage assumptions'!$C$226*WasteTransportMethod[Emissions Factor
kgCO2e/kg.km]*Calculations[[#This Row],[Total Kg]],0)</f>
        <v>0</v>
      </c>
      <c r="X1155" s="322">
        <f>SUM(Calculations[[#This Row],[C2 Recycle]:[C2 Reuse]])</f>
        <v>0</v>
      </c>
      <c r="Y1155" t="str">
        <f>IFERROR(VLOOKUP(Calculations[[#This Row],[Material (choose from dropdown]],MaterialData[#All],5,FALSE),"")</f>
        <v/>
      </c>
      <c r="Z1155" s="322">
        <f>IFERROR(((VLOOKUP(Calculations[[#This Row],[Waste type 2]],WasteDisposalEmissions[#All],2,FALSE))*Calculations[[#This Row],[Total Kg]])*VLOOKUP(Calculations[[#This Row],[Waste 1]],WasteScenario[#All],2,FALSE),0)</f>
        <v>0</v>
      </c>
      <c r="AA1155" s="322">
        <f>IFERROR((VLOOKUP(Calculations[[#This Row],[Waste type 2]],WasteDisposalEmissions[#All],3,FALSE))*Calculations[[#This Row],[Total Kg]]*VLOOKUP(Calculations[[#This Row],[Waste 1]],WasteScenario[#All],3,FALSE),0)</f>
        <v>0</v>
      </c>
      <c r="AB1155" s="322">
        <f>SUM(Calculations[[#This Row],[C3 recyc]:[C3 incin]])</f>
        <v>0</v>
      </c>
      <c r="AC1155" s="334">
        <f>IFERROR((VLOOKUP(Calculations[[#This Row],[Waste type 2]],WasteLandfillEmissions[#All],2,FALSE))*Calculations[[#This Row],[Total Kg]]*VLOOKUP(Calculations[[#This Row],[Waste 1]],WasteScenario[#All],4,FALSE),0)</f>
        <v>0</v>
      </c>
      <c r="AD1155" s="322">
        <f>IFERROR((VLOOKUP(Calculations[[#This Row],[Waste type 2]],WasteLandfillEmissions[#All],3,FALSE))*Calculations[[#This Row],[Total Kg]]*VLOOKUP(Calculations[[#This Row],[Waste 1]],WasteScenario[#All],4,FALSE),0)</f>
        <v>0</v>
      </c>
      <c r="AE1155" s="322">
        <f>SUM(Calculations[[#This Row],[C4 landfill]:[C4 re-use]])</f>
        <v>0</v>
      </c>
      <c r="AF1155" s="322">
        <f>IFERROR(VLOOKUP(Calculations[[#This Row],[Material (choose from dropdown]],MaterialData[#All],8,FALSE),0)</f>
        <v>0</v>
      </c>
      <c r="AG1155" s="322">
        <f>IFERROR(Calculations[[#This Row],[Total Kg]]*Calculations[[#This Row],[Seq factor]],0)</f>
        <v>0</v>
      </c>
      <c r="AI1155" s="322">
        <f>Calculations[[#This Row],[A1-3]]+Calculations[[#This Row],[A4]]+Calculations[[#This Row],[A5]]+Calculations[[#This Row],[B4]]+Calculations[[#This Row],[C2 total]]+Calculations[[#This Row],[C3 total]]+Calculations[[#This Row],[C4 total]]</f>
        <v>0</v>
      </c>
      <c r="AJ1155" s="2">
        <f>IFERROR(VLOOKUP(Calculations[[#This Row],[Material (choose from dropdown]],MaterialData[[#Headers],[#Data]],9,FALSE),0)</f>
        <v>0</v>
      </c>
      <c r="AK1155" s="4">
        <f>IFERROR(VLOOKUP(Calculations[[#This Row],[Material (choose from dropdown]],MaterialData[[#Headers],[#Data]],10,FALSE),0)</f>
        <v>0</v>
      </c>
      <c r="AL1155" s="322">
        <f>IFERROR(Calculations[[#This Row],[Data Quality Score]]*Calculations[[#This Row],[Total Kg]],0)</f>
        <v>0</v>
      </c>
    </row>
    <row r="1156" spans="1:38" x14ac:dyDescent="0.3">
      <c r="A1156" s="6">
        <f>IFERROR(MaterialsBoQ[[#This Row],[Scope Element]],0)</f>
        <v>0</v>
      </c>
      <c r="B1156" t="str">
        <f>IFERROR(MaterialsBoQ[[#This Row],[Material ]],"")</f>
        <v/>
      </c>
      <c r="C1156" t="str">
        <f>IFERROR(MaterialsBoQ[[#This Row],[Unit]],"")</f>
        <v/>
      </c>
      <c r="D1156" s="322">
        <f>IFERROR(MaterialsBoQ[[#This Row],[Number]],0)</f>
        <v>0</v>
      </c>
      <c r="E1156" s="322">
        <f>IFERROR(MaterialsBoQ[[#This Row],[Kg per unit]],0)</f>
        <v>0</v>
      </c>
      <c r="F1156" s="322">
        <f>IFERROR(Calculations[[#This Row],[Number]]*Calculations[[#This Row],[Conversion factor]],0)</f>
        <v>0</v>
      </c>
      <c r="G1156" s="322">
        <f>IFERROR(VLOOKUP(Calculations[[#This Row],[Material (choose from dropdown]],MaterialData[#All],7,FALSE),0)</f>
        <v>0</v>
      </c>
      <c r="H1156" s="322">
        <f>Calculations[[#This Row],[Total Kg]]*Calculations[[#This Row],[Carbon Factor]]</f>
        <v>0</v>
      </c>
      <c r="I1156" t="str">
        <f>IFERROR(VLOOKUP(Calculations[[#This Row],[Material (choose from dropdown]],MaterialData[#All],2,FALSE),"")</f>
        <v/>
      </c>
      <c r="J1156" s="322">
        <f>IFERROR(((VLOOKUP(Calculations[[#This Row],[TransportSource]],TransportDistance[],2,FALSE)*'Stage assumptions'!$C$11)+VLOOKUP(Calculations[[#This Row],[TransportSource]],TransportDistance[],3,FALSE)*'Stage assumptions'!$C$12)*Calculations[[#This Row],[Total Kg]],0)</f>
        <v>0</v>
      </c>
      <c r="K1156">
        <f>IFERROR(VLOOKUP(Calculations[[#This Row],[Material (choose from dropdown]], MaterialData[#All],3, FALSE),0)</f>
        <v>0</v>
      </c>
      <c r="L1156" s="322">
        <f>IFERROR(VLOOKUP(Calculations[[#This Row],[A5type]],A5WastageRate[#All],2,FALSE)*Calculations[[#This Row],[A1-3]],0)</f>
        <v>0</v>
      </c>
      <c r="N1156">
        <f>IFERROR(ROUNDUP(50/VLOOKUP(Calculations[[#This Row],[Scope Element]],B4referenceServiceLife[[Tier 2 element]:[Default Service Life]],2, FALSE)-1,0),0)</f>
        <v>0</v>
      </c>
      <c r="O1156" s="322">
        <f>IFERROR((Calculations[[#This Row],[A1-3]]+Calculations[[#This Row],[A4]]+Calculations[[#This Row],[A5]]+Calculations[[#This Row],[C2 total]]+Calculations[[#This Row],[C3 total]]+Calculations[[#This Row],[C4 total]])*Calculations[[#This Row],[Replacements]],0)</f>
        <v>0</v>
      </c>
      <c r="S1156" t="str">
        <f>IFERROR(VLOOKUP(Calculations[[#This Row],[Material (choose from dropdown]],MaterialData[#All],4,FALSE),"")</f>
        <v/>
      </c>
      <c r="T1156" s="322" cm="1">
        <f t="array" ref="T1156">IFERROR(VLOOKUP(Calculations[[#This Row],[Waste 1]],WasteScenario[#All],2,FALSE)*'Stage assumptions'!$C$225*WasteTransportMethod[Emissions Factor
kgCO2e/kg.km]*Calculations[[#This Row],[Total Kg]],0)</f>
        <v>0</v>
      </c>
      <c r="U1156" s="322" cm="1">
        <f t="array" ref="U1156">IFERROR(VLOOKUP(Calculations[[#This Row],[Waste 1]],WasteScenario[#All],3,FALSE)*'Stage assumptions'!$C$224*WasteTransportMethod[Emissions Factor
kgCO2e/kg.km]*Calculations[[#This Row],[Total Kg]],0)</f>
        <v>0</v>
      </c>
      <c r="V1156" s="322" cm="1">
        <f t="array" ref="V1156">IFERROR(VLOOKUP(Calculations[[#This Row],[Waste 1]],WasteScenario[#All],4,FALSE)*'Stage assumptions'!$C$223*WasteTransportMethod[Emissions Factor
kgCO2e/kg.km]*Calculations[[#This Row],[Total Kg]],0)</f>
        <v>0</v>
      </c>
      <c r="W1156" s="322" cm="1">
        <f t="array" ref="W1156">IFERROR(VLOOKUP(Calculations[[#This Row],[Waste 1]],WasteScenario[#All],5,FALSE)*'Stage assumptions'!$C$226*WasteTransportMethod[Emissions Factor
kgCO2e/kg.km]*Calculations[[#This Row],[Total Kg]],0)</f>
        <v>0</v>
      </c>
      <c r="X1156" s="322">
        <f>SUM(Calculations[[#This Row],[C2 Recycle]:[C2 Reuse]])</f>
        <v>0</v>
      </c>
      <c r="Y1156" t="str">
        <f>IFERROR(VLOOKUP(Calculations[[#This Row],[Material (choose from dropdown]],MaterialData[#All],5,FALSE),"")</f>
        <v/>
      </c>
      <c r="Z1156" s="322">
        <f>IFERROR(((VLOOKUP(Calculations[[#This Row],[Waste type 2]],WasteDisposalEmissions[#All],2,FALSE))*Calculations[[#This Row],[Total Kg]])*VLOOKUP(Calculations[[#This Row],[Waste 1]],WasteScenario[#All],2,FALSE),0)</f>
        <v>0</v>
      </c>
      <c r="AA1156" s="322">
        <f>IFERROR((VLOOKUP(Calculations[[#This Row],[Waste type 2]],WasteDisposalEmissions[#All],3,FALSE))*Calculations[[#This Row],[Total Kg]]*VLOOKUP(Calculations[[#This Row],[Waste 1]],WasteScenario[#All],3,FALSE),0)</f>
        <v>0</v>
      </c>
      <c r="AB1156" s="322">
        <f>SUM(Calculations[[#This Row],[C3 recyc]:[C3 incin]])</f>
        <v>0</v>
      </c>
      <c r="AC1156" s="334">
        <f>IFERROR((VLOOKUP(Calculations[[#This Row],[Waste type 2]],WasteLandfillEmissions[#All],2,FALSE))*Calculations[[#This Row],[Total Kg]]*VLOOKUP(Calculations[[#This Row],[Waste 1]],WasteScenario[#All],4,FALSE),0)</f>
        <v>0</v>
      </c>
      <c r="AD1156" s="322">
        <f>IFERROR((VLOOKUP(Calculations[[#This Row],[Waste type 2]],WasteLandfillEmissions[#All],3,FALSE))*Calculations[[#This Row],[Total Kg]]*VLOOKUP(Calculations[[#This Row],[Waste 1]],WasteScenario[#All],4,FALSE),0)</f>
        <v>0</v>
      </c>
      <c r="AE1156" s="322">
        <f>SUM(Calculations[[#This Row],[C4 landfill]:[C4 re-use]])</f>
        <v>0</v>
      </c>
      <c r="AF1156" s="322">
        <f>IFERROR(VLOOKUP(Calculations[[#This Row],[Material (choose from dropdown]],MaterialData[#All],8,FALSE),0)</f>
        <v>0</v>
      </c>
      <c r="AG1156" s="322">
        <f>IFERROR(Calculations[[#This Row],[Total Kg]]*Calculations[[#This Row],[Seq factor]],0)</f>
        <v>0</v>
      </c>
      <c r="AI1156" s="322">
        <f>Calculations[[#This Row],[A1-3]]+Calculations[[#This Row],[A4]]+Calculations[[#This Row],[A5]]+Calculations[[#This Row],[B4]]+Calculations[[#This Row],[C2 total]]+Calculations[[#This Row],[C3 total]]+Calculations[[#This Row],[C4 total]]</f>
        <v>0</v>
      </c>
      <c r="AJ1156" s="2">
        <f>IFERROR(VLOOKUP(Calculations[[#This Row],[Material (choose from dropdown]],MaterialData[[#Headers],[#Data]],9,FALSE),0)</f>
        <v>0</v>
      </c>
      <c r="AK1156" s="4">
        <f>IFERROR(VLOOKUP(Calculations[[#This Row],[Material (choose from dropdown]],MaterialData[[#Headers],[#Data]],10,FALSE),0)</f>
        <v>0</v>
      </c>
      <c r="AL1156" s="322">
        <f>IFERROR(Calculations[[#This Row],[Data Quality Score]]*Calculations[[#This Row],[Total Kg]],0)</f>
        <v>0</v>
      </c>
    </row>
    <row r="1157" spans="1:38" x14ac:dyDescent="0.3">
      <c r="A1157" s="6">
        <f>IFERROR(MaterialsBoQ[[#This Row],[Scope Element]],0)</f>
        <v>0</v>
      </c>
      <c r="B1157" t="str">
        <f>IFERROR(MaterialsBoQ[[#This Row],[Material ]],"")</f>
        <v/>
      </c>
      <c r="C1157" t="str">
        <f>IFERROR(MaterialsBoQ[[#This Row],[Unit]],"")</f>
        <v/>
      </c>
      <c r="D1157" s="322">
        <f>IFERROR(MaterialsBoQ[[#This Row],[Number]],0)</f>
        <v>0</v>
      </c>
      <c r="E1157" s="322">
        <f>IFERROR(MaterialsBoQ[[#This Row],[Kg per unit]],0)</f>
        <v>0</v>
      </c>
      <c r="F1157" s="322">
        <f>IFERROR(Calculations[[#This Row],[Number]]*Calculations[[#This Row],[Conversion factor]],0)</f>
        <v>0</v>
      </c>
      <c r="G1157" s="322">
        <f>IFERROR(VLOOKUP(Calculations[[#This Row],[Material (choose from dropdown]],MaterialData[#All],7,FALSE),0)</f>
        <v>0</v>
      </c>
      <c r="H1157" s="322">
        <f>Calculations[[#This Row],[Total Kg]]*Calculations[[#This Row],[Carbon Factor]]</f>
        <v>0</v>
      </c>
      <c r="I1157" t="str">
        <f>IFERROR(VLOOKUP(Calculations[[#This Row],[Material (choose from dropdown]],MaterialData[#All],2,FALSE),"")</f>
        <v/>
      </c>
      <c r="J1157" s="322">
        <f>IFERROR(((VLOOKUP(Calculations[[#This Row],[TransportSource]],TransportDistance[],2,FALSE)*'Stage assumptions'!$C$11)+VLOOKUP(Calculations[[#This Row],[TransportSource]],TransportDistance[],3,FALSE)*'Stage assumptions'!$C$12)*Calculations[[#This Row],[Total Kg]],0)</f>
        <v>0</v>
      </c>
      <c r="K1157">
        <f>IFERROR(VLOOKUP(Calculations[[#This Row],[Material (choose from dropdown]], MaterialData[#All],3, FALSE),0)</f>
        <v>0</v>
      </c>
      <c r="L1157" s="322">
        <f>IFERROR(VLOOKUP(Calculations[[#This Row],[A5type]],A5WastageRate[#All],2,FALSE)*Calculations[[#This Row],[A1-3]],0)</f>
        <v>0</v>
      </c>
      <c r="N1157">
        <f>IFERROR(ROUNDUP(50/VLOOKUP(Calculations[[#This Row],[Scope Element]],B4referenceServiceLife[[Tier 2 element]:[Default Service Life]],2, FALSE)-1,0),0)</f>
        <v>0</v>
      </c>
      <c r="O1157" s="322">
        <f>IFERROR((Calculations[[#This Row],[A1-3]]+Calculations[[#This Row],[A4]]+Calculations[[#This Row],[A5]]+Calculations[[#This Row],[C2 total]]+Calculations[[#This Row],[C3 total]]+Calculations[[#This Row],[C4 total]])*Calculations[[#This Row],[Replacements]],0)</f>
        <v>0</v>
      </c>
      <c r="S1157" t="str">
        <f>IFERROR(VLOOKUP(Calculations[[#This Row],[Material (choose from dropdown]],MaterialData[#All],4,FALSE),"")</f>
        <v/>
      </c>
      <c r="T1157" s="322" cm="1">
        <f t="array" ref="T1157">IFERROR(VLOOKUP(Calculations[[#This Row],[Waste 1]],WasteScenario[#All],2,FALSE)*'Stage assumptions'!$C$225*WasteTransportMethod[Emissions Factor
kgCO2e/kg.km]*Calculations[[#This Row],[Total Kg]],0)</f>
        <v>0</v>
      </c>
      <c r="U1157" s="322" cm="1">
        <f t="array" ref="U1157">IFERROR(VLOOKUP(Calculations[[#This Row],[Waste 1]],WasteScenario[#All],3,FALSE)*'Stage assumptions'!$C$224*WasteTransportMethod[Emissions Factor
kgCO2e/kg.km]*Calculations[[#This Row],[Total Kg]],0)</f>
        <v>0</v>
      </c>
      <c r="V1157" s="322" cm="1">
        <f t="array" ref="V1157">IFERROR(VLOOKUP(Calculations[[#This Row],[Waste 1]],WasteScenario[#All],4,FALSE)*'Stage assumptions'!$C$223*WasteTransportMethod[Emissions Factor
kgCO2e/kg.km]*Calculations[[#This Row],[Total Kg]],0)</f>
        <v>0</v>
      </c>
      <c r="W1157" s="322" cm="1">
        <f t="array" ref="W1157">IFERROR(VLOOKUP(Calculations[[#This Row],[Waste 1]],WasteScenario[#All],5,FALSE)*'Stage assumptions'!$C$226*WasteTransportMethod[Emissions Factor
kgCO2e/kg.km]*Calculations[[#This Row],[Total Kg]],0)</f>
        <v>0</v>
      </c>
      <c r="X1157" s="322">
        <f>SUM(Calculations[[#This Row],[C2 Recycle]:[C2 Reuse]])</f>
        <v>0</v>
      </c>
      <c r="Y1157" t="str">
        <f>IFERROR(VLOOKUP(Calculations[[#This Row],[Material (choose from dropdown]],MaterialData[#All],5,FALSE),"")</f>
        <v/>
      </c>
      <c r="Z1157" s="322">
        <f>IFERROR(((VLOOKUP(Calculations[[#This Row],[Waste type 2]],WasteDisposalEmissions[#All],2,FALSE))*Calculations[[#This Row],[Total Kg]])*VLOOKUP(Calculations[[#This Row],[Waste 1]],WasteScenario[#All],2,FALSE),0)</f>
        <v>0</v>
      </c>
      <c r="AA1157" s="322">
        <f>IFERROR((VLOOKUP(Calculations[[#This Row],[Waste type 2]],WasteDisposalEmissions[#All],3,FALSE))*Calculations[[#This Row],[Total Kg]]*VLOOKUP(Calculations[[#This Row],[Waste 1]],WasteScenario[#All],3,FALSE),0)</f>
        <v>0</v>
      </c>
      <c r="AB1157" s="322">
        <f>SUM(Calculations[[#This Row],[C3 recyc]:[C3 incin]])</f>
        <v>0</v>
      </c>
      <c r="AC1157" s="334">
        <f>IFERROR((VLOOKUP(Calculations[[#This Row],[Waste type 2]],WasteLandfillEmissions[#All],2,FALSE))*Calculations[[#This Row],[Total Kg]]*VLOOKUP(Calculations[[#This Row],[Waste 1]],WasteScenario[#All],4,FALSE),0)</f>
        <v>0</v>
      </c>
      <c r="AD1157" s="322">
        <f>IFERROR((VLOOKUP(Calculations[[#This Row],[Waste type 2]],WasteLandfillEmissions[#All],3,FALSE))*Calculations[[#This Row],[Total Kg]]*VLOOKUP(Calculations[[#This Row],[Waste 1]],WasteScenario[#All],4,FALSE),0)</f>
        <v>0</v>
      </c>
      <c r="AE1157" s="322">
        <f>SUM(Calculations[[#This Row],[C4 landfill]:[C4 re-use]])</f>
        <v>0</v>
      </c>
      <c r="AF1157" s="322">
        <f>IFERROR(VLOOKUP(Calculations[[#This Row],[Material (choose from dropdown]],MaterialData[#All],8,FALSE),0)</f>
        <v>0</v>
      </c>
      <c r="AG1157" s="322">
        <f>IFERROR(Calculations[[#This Row],[Total Kg]]*Calculations[[#This Row],[Seq factor]],0)</f>
        <v>0</v>
      </c>
      <c r="AI1157" s="322">
        <f>Calculations[[#This Row],[A1-3]]+Calculations[[#This Row],[A4]]+Calculations[[#This Row],[A5]]+Calculations[[#This Row],[B4]]+Calculations[[#This Row],[C2 total]]+Calculations[[#This Row],[C3 total]]+Calculations[[#This Row],[C4 total]]</f>
        <v>0</v>
      </c>
      <c r="AJ1157" s="2">
        <f>IFERROR(VLOOKUP(Calculations[[#This Row],[Material (choose from dropdown]],MaterialData[[#Headers],[#Data]],9,FALSE),0)</f>
        <v>0</v>
      </c>
      <c r="AK1157" s="4">
        <f>IFERROR(VLOOKUP(Calculations[[#This Row],[Material (choose from dropdown]],MaterialData[[#Headers],[#Data]],10,FALSE),0)</f>
        <v>0</v>
      </c>
      <c r="AL1157" s="322">
        <f>IFERROR(Calculations[[#This Row],[Data Quality Score]]*Calculations[[#This Row],[Total Kg]],0)</f>
        <v>0</v>
      </c>
    </row>
    <row r="1158" spans="1:38" x14ac:dyDescent="0.3">
      <c r="A1158" s="6">
        <f>IFERROR(MaterialsBoQ[[#This Row],[Scope Element]],0)</f>
        <v>0</v>
      </c>
      <c r="B1158" t="str">
        <f>IFERROR(MaterialsBoQ[[#This Row],[Material ]],"")</f>
        <v/>
      </c>
      <c r="C1158" t="str">
        <f>IFERROR(MaterialsBoQ[[#This Row],[Unit]],"")</f>
        <v/>
      </c>
      <c r="D1158" s="322">
        <f>IFERROR(MaterialsBoQ[[#This Row],[Number]],0)</f>
        <v>0</v>
      </c>
      <c r="E1158" s="322">
        <f>IFERROR(MaterialsBoQ[[#This Row],[Kg per unit]],0)</f>
        <v>0</v>
      </c>
      <c r="F1158" s="322">
        <f>IFERROR(Calculations[[#This Row],[Number]]*Calculations[[#This Row],[Conversion factor]],0)</f>
        <v>0</v>
      </c>
      <c r="G1158" s="322">
        <f>IFERROR(VLOOKUP(Calculations[[#This Row],[Material (choose from dropdown]],MaterialData[#All],7,FALSE),0)</f>
        <v>0</v>
      </c>
      <c r="H1158" s="322">
        <f>Calculations[[#This Row],[Total Kg]]*Calculations[[#This Row],[Carbon Factor]]</f>
        <v>0</v>
      </c>
      <c r="I1158" t="str">
        <f>IFERROR(VLOOKUP(Calculations[[#This Row],[Material (choose from dropdown]],MaterialData[#All],2,FALSE),"")</f>
        <v/>
      </c>
      <c r="J1158" s="322">
        <f>IFERROR(((VLOOKUP(Calculations[[#This Row],[TransportSource]],TransportDistance[],2,FALSE)*'Stage assumptions'!$C$11)+VLOOKUP(Calculations[[#This Row],[TransportSource]],TransportDistance[],3,FALSE)*'Stage assumptions'!$C$12)*Calculations[[#This Row],[Total Kg]],0)</f>
        <v>0</v>
      </c>
      <c r="K1158">
        <f>IFERROR(VLOOKUP(Calculations[[#This Row],[Material (choose from dropdown]], MaterialData[#All],3, FALSE),0)</f>
        <v>0</v>
      </c>
      <c r="L1158" s="322">
        <f>IFERROR(VLOOKUP(Calculations[[#This Row],[A5type]],A5WastageRate[#All],2,FALSE)*Calculations[[#This Row],[A1-3]],0)</f>
        <v>0</v>
      </c>
      <c r="N1158">
        <f>IFERROR(ROUNDUP(50/VLOOKUP(Calculations[[#This Row],[Scope Element]],B4referenceServiceLife[[Tier 2 element]:[Default Service Life]],2, FALSE)-1,0),0)</f>
        <v>0</v>
      </c>
      <c r="O1158" s="322">
        <f>IFERROR((Calculations[[#This Row],[A1-3]]+Calculations[[#This Row],[A4]]+Calculations[[#This Row],[A5]]+Calculations[[#This Row],[C2 total]]+Calculations[[#This Row],[C3 total]]+Calculations[[#This Row],[C4 total]])*Calculations[[#This Row],[Replacements]],0)</f>
        <v>0</v>
      </c>
      <c r="S1158" t="str">
        <f>IFERROR(VLOOKUP(Calculations[[#This Row],[Material (choose from dropdown]],MaterialData[#All],4,FALSE),"")</f>
        <v/>
      </c>
      <c r="T1158" s="322" cm="1">
        <f t="array" ref="T1158">IFERROR(VLOOKUP(Calculations[[#This Row],[Waste 1]],WasteScenario[#All],2,FALSE)*'Stage assumptions'!$C$225*WasteTransportMethod[Emissions Factor
kgCO2e/kg.km]*Calculations[[#This Row],[Total Kg]],0)</f>
        <v>0</v>
      </c>
      <c r="U1158" s="322" cm="1">
        <f t="array" ref="U1158">IFERROR(VLOOKUP(Calculations[[#This Row],[Waste 1]],WasteScenario[#All],3,FALSE)*'Stage assumptions'!$C$224*WasteTransportMethod[Emissions Factor
kgCO2e/kg.km]*Calculations[[#This Row],[Total Kg]],0)</f>
        <v>0</v>
      </c>
      <c r="V1158" s="322" cm="1">
        <f t="array" ref="V1158">IFERROR(VLOOKUP(Calculations[[#This Row],[Waste 1]],WasteScenario[#All],4,FALSE)*'Stage assumptions'!$C$223*WasteTransportMethod[Emissions Factor
kgCO2e/kg.km]*Calculations[[#This Row],[Total Kg]],0)</f>
        <v>0</v>
      </c>
      <c r="W1158" s="322" cm="1">
        <f t="array" ref="W1158">IFERROR(VLOOKUP(Calculations[[#This Row],[Waste 1]],WasteScenario[#All],5,FALSE)*'Stage assumptions'!$C$226*WasteTransportMethod[Emissions Factor
kgCO2e/kg.km]*Calculations[[#This Row],[Total Kg]],0)</f>
        <v>0</v>
      </c>
      <c r="X1158" s="322">
        <f>SUM(Calculations[[#This Row],[C2 Recycle]:[C2 Reuse]])</f>
        <v>0</v>
      </c>
      <c r="Y1158" t="str">
        <f>IFERROR(VLOOKUP(Calculations[[#This Row],[Material (choose from dropdown]],MaterialData[#All],5,FALSE),"")</f>
        <v/>
      </c>
      <c r="Z1158" s="322">
        <f>IFERROR(((VLOOKUP(Calculations[[#This Row],[Waste type 2]],WasteDisposalEmissions[#All],2,FALSE))*Calculations[[#This Row],[Total Kg]])*VLOOKUP(Calculations[[#This Row],[Waste 1]],WasteScenario[#All],2,FALSE),0)</f>
        <v>0</v>
      </c>
      <c r="AA1158" s="322">
        <f>IFERROR((VLOOKUP(Calculations[[#This Row],[Waste type 2]],WasteDisposalEmissions[#All],3,FALSE))*Calculations[[#This Row],[Total Kg]]*VLOOKUP(Calculations[[#This Row],[Waste 1]],WasteScenario[#All],3,FALSE),0)</f>
        <v>0</v>
      </c>
      <c r="AB1158" s="322">
        <f>SUM(Calculations[[#This Row],[C3 recyc]:[C3 incin]])</f>
        <v>0</v>
      </c>
      <c r="AC1158" s="334">
        <f>IFERROR((VLOOKUP(Calculations[[#This Row],[Waste type 2]],WasteLandfillEmissions[#All],2,FALSE))*Calculations[[#This Row],[Total Kg]]*VLOOKUP(Calculations[[#This Row],[Waste 1]],WasteScenario[#All],4,FALSE),0)</f>
        <v>0</v>
      </c>
      <c r="AD1158" s="322">
        <f>IFERROR((VLOOKUP(Calculations[[#This Row],[Waste type 2]],WasteLandfillEmissions[#All],3,FALSE))*Calculations[[#This Row],[Total Kg]]*VLOOKUP(Calculations[[#This Row],[Waste 1]],WasteScenario[#All],4,FALSE),0)</f>
        <v>0</v>
      </c>
      <c r="AE1158" s="322">
        <f>SUM(Calculations[[#This Row],[C4 landfill]:[C4 re-use]])</f>
        <v>0</v>
      </c>
      <c r="AF1158" s="322">
        <f>IFERROR(VLOOKUP(Calculations[[#This Row],[Material (choose from dropdown]],MaterialData[#All],8,FALSE),0)</f>
        <v>0</v>
      </c>
      <c r="AG1158" s="322">
        <f>IFERROR(Calculations[[#This Row],[Total Kg]]*Calculations[[#This Row],[Seq factor]],0)</f>
        <v>0</v>
      </c>
      <c r="AI1158" s="322">
        <f>Calculations[[#This Row],[A1-3]]+Calculations[[#This Row],[A4]]+Calculations[[#This Row],[A5]]+Calculations[[#This Row],[B4]]+Calculations[[#This Row],[C2 total]]+Calculations[[#This Row],[C3 total]]+Calculations[[#This Row],[C4 total]]</f>
        <v>0</v>
      </c>
      <c r="AJ1158" s="2">
        <f>IFERROR(VLOOKUP(Calculations[[#This Row],[Material (choose from dropdown]],MaterialData[[#Headers],[#Data]],9,FALSE),0)</f>
        <v>0</v>
      </c>
      <c r="AK1158" s="4">
        <f>IFERROR(VLOOKUP(Calculations[[#This Row],[Material (choose from dropdown]],MaterialData[[#Headers],[#Data]],10,FALSE),0)</f>
        <v>0</v>
      </c>
      <c r="AL1158" s="322">
        <f>IFERROR(Calculations[[#This Row],[Data Quality Score]]*Calculations[[#This Row],[Total Kg]],0)</f>
        <v>0</v>
      </c>
    </row>
    <row r="1159" spans="1:38" x14ac:dyDescent="0.3">
      <c r="A1159" s="6">
        <f>IFERROR(MaterialsBoQ[[#This Row],[Scope Element]],0)</f>
        <v>0</v>
      </c>
      <c r="B1159" t="str">
        <f>IFERROR(MaterialsBoQ[[#This Row],[Material ]],"")</f>
        <v/>
      </c>
      <c r="C1159" t="str">
        <f>IFERROR(MaterialsBoQ[[#This Row],[Unit]],"")</f>
        <v/>
      </c>
      <c r="D1159" s="322">
        <f>IFERROR(MaterialsBoQ[[#This Row],[Number]],0)</f>
        <v>0</v>
      </c>
      <c r="E1159" s="322">
        <f>IFERROR(MaterialsBoQ[[#This Row],[Kg per unit]],0)</f>
        <v>0</v>
      </c>
      <c r="F1159" s="322">
        <f>IFERROR(Calculations[[#This Row],[Number]]*Calculations[[#This Row],[Conversion factor]],0)</f>
        <v>0</v>
      </c>
      <c r="G1159" s="322">
        <f>IFERROR(VLOOKUP(Calculations[[#This Row],[Material (choose from dropdown]],MaterialData[#All],7,FALSE),0)</f>
        <v>0</v>
      </c>
      <c r="H1159" s="322">
        <f>Calculations[[#This Row],[Total Kg]]*Calculations[[#This Row],[Carbon Factor]]</f>
        <v>0</v>
      </c>
      <c r="I1159" t="str">
        <f>IFERROR(VLOOKUP(Calculations[[#This Row],[Material (choose from dropdown]],MaterialData[#All],2,FALSE),"")</f>
        <v/>
      </c>
      <c r="J1159" s="322">
        <f>IFERROR(((VLOOKUP(Calculations[[#This Row],[TransportSource]],TransportDistance[],2,FALSE)*'Stage assumptions'!$C$11)+VLOOKUP(Calculations[[#This Row],[TransportSource]],TransportDistance[],3,FALSE)*'Stage assumptions'!$C$12)*Calculations[[#This Row],[Total Kg]],0)</f>
        <v>0</v>
      </c>
      <c r="K1159">
        <f>IFERROR(VLOOKUP(Calculations[[#This Row],[Material (choose from dropdown]], MaterialData[#All],3, FALSE),0)</f>
        <v>0</v>
      </c>
      <c r="L1159" s="322">
        <f>IFERROR(VLOOKUP(Calculations[[#This Row],[A5type]],A5WastageRate[#All],2,FALSE)*Calculations[[#This Row],[A1-3]],0)</f>
        <v>0</v>
      </c>
      <c r="N1159">
        <f>IFERROR(ROUNDUP(50/VLOOKUP(Calculations[[#This Row],[Scope Element]],B4referenceServiceLife[[Tier 2 element]:[Default Service Life]],2, FALSE)-1,0),0)</f>
        <v>0</v>
      </c>
      <c r="O1159" s="322">
        <f>IFERROR((Calculations[[#This Row],[A1-3]]+Calculations[[#This Row],[A4]]+Calculations[[#This Row],[A5]]+Calculations[[#This Row],[C2 total]]+Calculations[[#This Row],[C3 total]]+Calculations[[#This Row],[C4 total]])*Calculations[[#This Row],[Replacements]],0)</f>
        <v>0</v>
      </c>
      <c r="S1159" t="str">
        <f>IFERROR(VLOOKUP(Calculations[[#This Row],[Material (choose from dropdown]],MaterialData[#All],4,FALSE),"")</f>
        <v/>
      </c>
      <c r="T1159" s="322" cm="1">
        <f t="array" ref="T1159">IFERROR(VLOOKUP(Calculations[[#This Row],[Waste 1]],WasteScenario[#All],2,FALSE)*'Stage assumptions'!$C$225*WasteTransportMethod[Emissions Factor
kgCO2e/kg.km]*Calculations[[#This Row],[Total Kg]],0)</f>
        <v>0</v>
      </c>
      <c r="U1159" s="322" cm="1">
        <f t="array" ref="U1159">IFERROR(VLOOKUP(Calculations[[#This Row],[Waste 1]],WasteScenario[#All],3,FALSE)*'Stage assumptions'!$C$224*WasteTransportMethod[Emissions Factor
kgCO2e/kg.km]*Calculations[[#This Row],[Total Kg]],0)</f>
        <v>0</v>
      </c>
      <c r="V1159" s="322" cm="1">
        <f t="array" ref="V1159">IFERROR(VLOOKUP(Calculations[[#This Row],[Waste 1]],WasteScenario[#All],4,FALSE)*'Stage assumptions'!$C$223*WasteTransportMethod[Emissions Factor
kgCO2e/kg.km]*Calculations[[#This Row],[Total Kg]],0)</f>
        <v>0</v>
      </c>
      <c r="W1159" s="322" cm="1">
        <f t="array" ref="W1159">IFERROR(VLOOKUP(Calculations[[#This Row],[Waste 1]],WasteScenario[#All],5,FALSE)*'Stage assumptions'!$C$226*WasteTransportMethod[Emissions Factor
kgCO2e/kg.km]*Calculations[[#This Row],[Total Kg]],0)</f>
        <v>0</v>
      </c>
      <c r="X1159" s="322">
        <f>SUM(Calculations[[#This Row],[C2 Recycle]:[C2 Reuse]])</f>
        <v>0</v>
      </c>
      <c r="Y1159" t="str">
        <f>IFERROR(VLOOKUP(Calculations[[#This Row],[Material (choose from dropdown]],MaterialData[#All],5,FALSE),"")</f>
        <v/>
      </c>
      <c r="Z1159" s="322">
        <f>IFERROR(((VLOOKUP(Calculations[[#This Row],[Waste type 2]],WasteDisposalEmissions[#All],2,FALSE))*Calculations[[#This Row],[Total Kg]])*VLOOKUP(Calculations[[#This Row],[Waste 1]],WasteScenario[#All],2,FALSE),0)</f>
        <v>0</v>
      </c>
      <c r="AA1159" s="322">
        <f>IFERROR((VLOOKUP(Calculations[[#This Row],[Waste type 2]],WasteDisposalEmissions[#All],3,FALSE))*Calculations[[#This Row],[Total Kg]]*VLOOKUP(Calculations[[#This Row],[Waste 1]],WasteScenario[#All],3,FALSE),0)</f>
        <v>0</v>
      </c>
      <c r="AB1159" s="322">
        <f>SUM(Calculations[[#This Row],[C3 recyc]:[C3 incin]])</f>
        <v>0</v>
      </c>
      <c r="AC1159" s="334">
        <f>IFERROR((VLOOKUP(Calculations[[#This Row],[Waste type 2]],WasteLandfillEmissions[#All],2,FALSE))*Calculations[[#This Row],[Total Kg]]*VLOOKUP(Calculations[[#This Row],[Waste 1]],WasteScenario[#All],4,FALSE),0)</f>
        <v>0</v>
      </c>
      <c r="AD1159" s="322">
        <f>IFERROR((VLOOKUP(Calculations[[#This Row],[Waste type 2]],WasteLandfillEmissions[#All],3,FALSE))*Calculations[[#This Row],[Total Kg]]*VLOOKUP(Calculations[[#This Row],[Waste 1]],WasteScenario[#All],4,FALSE),0)</f>
        <v>0</v>
      </c>
      <c r="AE1159" s="322">
        <f>SUM(Calculations[[#This Row],[C4 landfill]:[C4 re-use]])</f>
        <v>0</v>
      </c>
      <c r="AF1159" s="322">
        <f>IFERROR(VLOOKUP(Calculations[[#This Row],[Material (choose from dropdown]],MaterialData[#All],8,FALSE),0)</f>
        <v>0</v>
      </c>
      <c r="AG1159" s="322">
        <f>IFERROR(Calculations[[#This Row],[Total Kg]]*Calculations[[#This Row],[Seq factor]],0)</f>
        <v>0</v>
      </c>
      <c r="AI1159" s="322">
        <f>Calculations[[#This Row],[A1-3]]+Calculations[[#This Row],[A4]]+Calculations[[#This Row],[A5]]+Calculations[[#This Row],[B4]]+Calculations[[#This Row],[C2 total]]+Calculations[[#This Row],[C3 total]]+Calculations[[#This Row],[C4 total]]</f>
        <v>0</v>
      </c>
      <c r="AJ1159" s="2">
        <f>IFERROR(VLOOKUP(Calculations[[#This Row],[Material (choose from dropdown]],MaterialData[[#Headers],[#Data]],9,FALSE),0)</f>
        <v>0</v>
      </c>
      <c r="AK1159" s="4">
        <f>IFERROR(VLOOKUP(Calculations[[#This Row],[Material (choose from dropdown]],MaterialData[[#Headers],[#Data]],10,FALSE),0)</f>
        <v>0</v>
      </c>
      <c r="AL1159" s="322">
        <f>IFERROR(Calculations[[#This Row],[Data Quality Score]]*Calculations[[#This Row],[Total Kg]],0)</f>
        <v>0</v>
      </c>
    </row>
    <row r="1160" spans="1:38" x14ac:dyDescent="0.3">
      <c r="A1160" s="6">
        <f>IFERROR(MaterialsBoQ[[#This Row],[Scope Element]],0)</f>
        <v>0</v>
      </c>
      <c r="B1160" t="str">
        <f>IFERROR(MaterialsBoQ[[#This Row],[Material ]],"")</f>
        <v/>
      </c>
      <c r="C1160" t="str">
        <f>IFERROR(MaterialsBoQ[[#This Row],[Unit]],"")</f>
        <v/>
      </c>
      <c r="D1160" s="322">
        <f>IFERROR(MaterialsBoQ[[#This Row],[Number]],0)</f>
        <v>0</v>
      </c>
      <c r="E1160" s="322">
        <f>IFERROR(MaterialsBoQ[[#This Row],[Kg per unit]],0)</f>
        <v>0</v>
      </c>
      <c r="F1160" s="322">
        <f>IFERROR(Calculations[[#This Row],[Number]]*Calculations[[#This Row],[Conversion factor]],0)</f>
        <v>0</v>
      </c>
      <c r="G1160" s="322">
        <f>IFERROR(VLOOKUP(Calculations[[#This Row],[Material (choose from dropdown]],MaterialData[#All],7,FALSE),0)</f>
        <v>0</v>
      </c>
      <c r="H1160" s="322">
        <f>Calculations[[#This Row],[Total Kg]]*Calculations[[#This Row],[Carbon Factor]]</f>
        <v>0</v>
      </c>
      <c r="I1160" t="str">
        <f>IFERROR(VLOOKUP(Calculations[[#This Row],[Material (choose from dropdown]],MaterialData[#All],2,FALSE),"")</f>
        <v/>
      </c>
      <c r="J1160" s="322">
        <f>IFERROR(((VLOOKUP(Calculations[[#This Row],[TransportSource]],TransportDistance[],2,FALSE)*'Stage assumptions'!$C$11)+VLOOKUP(Calculations[[#This Row],[TransportSource]],TransportDistance[],3,FALSE)*'Stage assumptions'!$C$12)*Calculations[[#This Row],[Total Kg]],0)</f>
        <v>0</v>
      </c>
      <c r="K1160">
        <f>IFERROR(VLOOKUP(Calculations[[#This Row],[Material (choose from dropdown]], MaterialData[#All],3, FALSE),0)</f>
        <v>0</v>
      </c>
      <c r="L1160" s="322">
        <f>IFERROR(VLOOKUP(Calculations[[#This Row],[A5type]],A5WastageRate[#All],2,FALSE)*Calculations[[#This Row],[A1-3]],0)</f>
        <v>0</v>
      </c>
      <c r="N1160">
        <f>IFERROR(ROUNDUP(50/VLOOKUP(Calculations[[#This Row],[Scope Element]],B4referenceServiceLife[[Tier 2 element]:[Default Service Life]],2, FALSE)-1,0),0)</f>
        <v>0</v>
      </c>
      <c r="O1160" s="322">
        <f>IFERROR((Calculations[[#This Row],[A1-3]]+Calculations[[#This Row],[A4]]+Calculations[[#This Row],[A5]]+Calculations[[#This Row],[C2 total]]+Calculations[[#This Row],[C3 total]]+Calculations[[#This Row],[C4 total]])*Calculations[[#This Row],[Replacements]],0)</f>
        <v>0</v>
      </c>
      <c r="S1160" t="str">
        <f>IFERROR(VLOOKUP(Calculations[[#This Row],[Material (choose from dropdown]],MaterialData[#All],4,FALSE),"")</f>
        <v/>
      </c>
      <c r="T1160" s="322" cm="1">
        <f t="array" ref="T1160">IFERROR(VLOOKUP(Calculations[[#This Row],[Waste 1]],WasteScenario[#All],2,FALSE)*'Stage assumptions'!$C$225*WasteTransportMethod[Emissions Factor
kgCO2e/kg.km]*Calculations[[#This Row],[Total Kg]],0)</f>
        <v>0</v>
      </c>
      <c r="U1160" s="322" cm="1">
        <f t="array" ref="U1160">IFERROR(VLOOKUP(Calculations[[#This Row],[Waste 1]],WasteScenario[#All],3,FALSE)*'Stage assumptions'!$C$224*WasteTransportMethod[Emissions Factor
kgCO2e/kg.km]*Calculations[[#This Row],[Total Kg]],0)</f>
        <v>0</v>
      </c>
      <c r="V1160" s="322" cm="1">
        <f t="array" ref="V1160">IFERROR(VLOOKUP(Calculations[[#This Row],[Waste 1]],WasteScenario[#All],4,FALSE)*'Stage assumptions'!$C$223*WasteTransportMethod[Emissions Factor
kgCO2e/kg.km]*Calculations[[#This Row],[Total Kg]],0)</f>
        <v>0</v>
      </c>
      <c r="W1160" s="322" cm="1">
        <f t="array" ref="W1160">IFERROR(VLOOKUP(Calculations[[#This Row],[Waste 1]],WasteScenario[#All],5,FALSE)*'Stage assumptions'!$C$226*WasteTransportMethod[Emissions Factor
kgCO2e/kg.km]*Calculations[[#This Row],[Total Kg]],0)</f>
        <v>0</v>
      </c>
      <c r="X1160" s="322">
        <f>SUM(Calculations[[#This Row],[C2 Recycle]:[C2 Reuse]])</f>
        <v>0</v>
      </c>
      <c r="Y1160" t="str">
        <f>IFERROR(VLOOKUP(Calculations[[#This Row],[Material (choose from dropdown]],MaterialData[#All],5,FALSE),"")</f>
        <v/>
      </c>
      <c r="Z1160" s="322">
        <f>IFERROR(((VLOOKUP(Calculations[[#This Row],[Waste type 2]],WasteDisposalEmissions[#All],2,FALSE))*Calculations[[#This Row],[Total Kg]])*VLOOKUP(Calculations[[#This Row],[Waste 1]],WasteScenario[#All],2,FALSE),0)</f>
        <v>0</v>
      </c>
      <c r="AA1160" s="322">
        <f>IFERROR((VLOOKUP(Calculations[[#This Row],[Waste type 2]],WasteDisposalEmissions[#All],3,FALSE))*Calculations[[#This Row],[Total Kg]]*VLOOKUP(Calculations[[#This Row],[Waste 1]],WasteScenario[#All],3,FALSE),0)</f>
        <v>0</v>
      </c>
      <c r="AB1160" s="322">
        <f>SUM(Calculations[[#This Row],[C3 recyc]:[C3 incin]])</f>
        <v>0</v>
      </c>
      <c r="AC1160" s="334">
        <f>IFERROR((VLOOKUP(Calculations[[#This Row],[Waste type 2]],WasteLandfillEmissions[#All],2,FALSE))*Calculations[[#This Row],[Total Kg]]*VLOOKUP(Calculations[[#This Row],[Waste 1]],WasteScenario[#All],4,FALSE),0)</f>
        <v>0</v>
      </c>
      <c r="AD1160" s="322">
        <f>IFERROR((VLOOKUP(Calculations[[#This Row],[Waste type 2]],WasteLandfillEmissions[#All],3,FALSE))*Calculations[[#This Row],[Total Kg]]*VLOOKUP(Calculations[[#This Row],[Waste 1]],WasteScenario[#All],4,FALSE),0)</f>
        <v>0</v>
      </c>
      <c r="AE1160" s="322">
        <f>SUM(Calculations[[#This Row],[C4 landfill]:[C4 re-use]])</f>
        <v>0</v>
      </c>
      <c r="AF1160" s="322">
        <f>IFERROR(VLOOKUP(Calculations[[#This Row],[Material (choose from dropdown]],MaterialData[#All],8,FALSE),0)</f>
        <v>0</v>
      </c>
      <c r="AG1160" s="322">
        <f>IFERROR(Calculations[[#This Row],[Total Kg]]*Calculations[[#This Row],[Seq factor]],0)</f>
        <v>0</v>
      </c>
      <c r="AI1160" s="322">
        <f>Calculations[[#This Row],[A1-3]]+Calculations[[#This Row],[A4]]+Calculations[[#This Row],[A5]]+Calculations[[#This Row],[B4]]+Calculations[[#This Row],[C2 total]]+Calculations[[#This Row],[C3 total]]+Calculations[[#This Row],[C4 total]]</f>
        <v>0</v>
      </c>
      <c r="AJ1160" s="2">
        <f>IFERROR(VLOOKUP(Calculations[[#This Row],[Material (choose from dropdown]],MaterialData[[#Headers],[#Data]],9,FALSE),0)</f>
        <v>0</v>
      </c>
      <c r="AK1160" s="4">
        <f>IFERROR(VLOOKUP(Calculations[[#This Row],[Material (choose from dropdown]],MaterialData[[#Headers],[#Data]],10,FALSE),0)</f>
        <v>0</v>
      </c>
      <c r="AL1160" s="322">
        <f>IFERROR(Calculations[[#This Row],[Data Quality Score]]*Calculations[[#This Row],[Total Kg]],0)</f>
        <v>0</v>
      </c>
    </row>
    <row r="1161" spans="1:38" x14ac:dyDescent="0.3">
      <c r="A1161" s="6">
        <f>IFERROR(MaterialsBoQ[[#This Row],[Scope Element]],0)</f>
        <v>0</v>
      </c>
      <c r="B1161" t="str">
        <f>IFERROR(MaterialsBoQ[[#This Row],[Material ]],"")</f>
        <v/>
      </c>
      <c r="C1161" t="str">
        <f>IFERROR(MaterialsBoQ[[#This Row],[Unit]],"")</f>
        <v/>
      </c>
      <c r="D1161" s="322">
        <f>IFERROR(MaterialsBoQ[[#This Row],[Number]],0)</f>
        <v>0</v>
      </c>
      <c r="E1161" s="322">
        <f>IFERROR(MaterialsBoQ[[#This Row],[Kg per unit]],0)</f>
        <v>0</v>
      </c>
      <c r="F1161" s="322">
        <f>IFERROR(Calculations[[#This Row],[Number]]*Calculations[[#This Row],[Conversion factor]],0)</f>
        <v>0</v>
      </c>
      <c r="G1161" s="322">
        <f>IFERROR(VLOOKUP(Calculations[[#This Row],[Material (choose from dropdown]],MaterialData[#All],7,FALSE),0)</f>
        <v>0</v>
      </c>
      <c r="H1161" s="322">
        <f>Calculations[[#This Row],[Total Kg]]*Calculations[[#This Row],[Carbon Factor]]</f>
        <v>0</v>
      </c>
      <c r="I1161" t="str">
        <f>IFERROR(VLOOKUP(Calculations[[#This Row],[Material (choose from dropdown]],MaterialData[#All],2,FALSE),"")</f>
        <v/>
      </c>
      <c r="J1161" s="322">
        <f>IFERROR(((VLOOKUP(Calculations[[#This Row],[TransportSource]],TransportDistance[],2,FALSE)*'Stage assumptions'!$C$11)+VLOOKUP(Calculations[[#This Row],[TransportSource]],TransportDistance[],3,FALSE)*'Stage assumptions'!$C$12)*Calculations[[#This Row],[Total Kg]],0)</f>
        <v>0</v>
      </c>
      <c r="K1161">
        <f>IFERROR(VLOOKUP(Calculations[[#This Row],[Material (choose from dropdown]], MaterialData[#All],3, FALSE),0)</f>
        <v>0</v>
      </c>
      <c r="L1161" s="322">
        <f>IFERROR(VLOOKUP(Calculations[[#This Row],[A5type]],A5WastageRate[#All],2,FALSE)*Calculations[[#This Row],[A1-3]],0)</f>
        <v>0</v>
      </c>
      <c r="N1161">
        <f>IFERROR(ROUNDUP(50/VLOOKUP(Calculations[[#This Row],[Scope Element]],B4referenceServiceLife[[Tier 2 element]:[Default Service Life]],2, FALSE)-1,0),0)</f>
        <v>0</v>
      </c>
      <c r="O1161" s="322">
        <f>IFERROR((Calculations[[#This Row],[A1-3]]+Calculations[[#This Row],[A4]]+Calculations[[#This Row],[A5]]+Calculations[[#This Row],[C2 total]]+Calculations[[#This Row],[C3 total]]+Calculations[[#This Row],[C4 total]])*Calculations[[#This Row],[Replacements]],0)</f>
        <v>0</v>
      </c>
      <c r="S1161" t="str">
        <f>IFERROR(VLOOKUP(Calculations[[#This Row],[Material (choose from dropdown]],MaterialData[#All],4,FALSE),"")</f>
        <v/>
      </c>
      <c r="T1161" s="322" cm="1">
        <f t="array" ref="T1161">IFERROR(VLOOKUP(Calculations[[#This Row],[Waste 1]],WasteScenario[#All],2,FALSE)*'Stage assumptions'!$C$225*WasteTransportMethod[Emissions Factor
kgCO2e/kg.km]*Calculations[[#This Row],[Total Kg]],0)</f>
        <v>0</v>
      </c>
      <c r="U1161" s="322" cm="1">
        <f t="array" ref="U1161">IFERROR(VLOOKUP(Calculations[[#This Row],[Waste 1]],WasteScenario[#All],3,FALSE)*'Stage assumptions'!$C$224*WasteTransportMethod[Emissions Factor
kgCO2e/kg.km]*Calculations[[#This Row],[Total Kg]],0)</f>
        <v>0</v>
      </c>
      <c r="V1161" s="322" cm="1">
        <f t="array" ref="V1161">IFERROR(VLOOKUP(Calculations[[#This Row],[Waste 1]],WasteScenario[#All],4,FALSE)*'Stage assumptions'!$C$223*WasteTransportMethod[Emissions Factor
kgCO2e/kg.km]*Calculations[[#This Row],[Total Kg]],0)</f>
        <v>0</v>
      </c>
      <c r="W1161" s="322" cm="1">
        <f t="array" ref="W1161">IFERROR(VLOOKUP(Calculations[[#This Row],[Waste 1]],WasteScenario[#All],5,FALSE)*'Stage assumptions'!$C$226*WasteTransportMethod[Emissions Factor
kgCO2e/kg.km]*Calculations[[#This Row],[Total Kg]],0)</f>
        <v>0</v>
      </c>
      <c r="X1161" s="322">
        <f>SUM(Calculations[[#This Row],[C2 Recycle]:[C2 Reuse]])</f>
        <v>0</v>
      </c>
      <c r="Y1161" t="str">
        <f>IFERROR(VLOOKUP(Calculations[[#This Row],[Material (choose from dropdown]],MaterialData[#All],5,FALSE),"")</f>
        <v/>
      </c>
      <c r="Z1161" s="322">
        <f>IFERROR(((VLOOKUP(Calculations[[#This Row],[Waste type 2]],WasteDisposalEmissions[#All],2,FALSE))*Calculations[[#This Row],[Total Kg]])*VLOOKUP(Calculations[[#This Row],[Waste 1]],WasteScenario[#All],2,FALSE),0)</f>
        <v>0</v>
      </c>
      <c r="AA1161" s="322">
        <f>IFERROR((VLOOKUP(Calculations[[#This Row],[Waste type 2]],WasteDisposalEmissions[#All],3,FALSE))*Calculations[[#This Row],[Total Kg]]*VLOOKUP(Calculations[[#This Row],[Waste 1]],WasteScenario[#All],3,FALSE),0)</f>
        <v>0</v>
      </c>
      <c r="AB1161" s="322">
        <f>SUM(Calculations[[#This Row],[C3 recyc]:[C3 incin]])</f>
        <v>0</v>
      </c>
      <c r="AC1161" s="334">
        <f>IFERROR((VLOOKUP(Calculations[[#This Row],[Waste type 2]],WasteLandfillEmissions[#All],2,FALSE))*Calculations[[#This Row],[Total Kg]]*VLOOKUP(Calculations[[#This Row],[Waste 1]],WasteScenario[#All],4,FALSE),0)</f>
        <v>0</v>
      </c>
      <c r="AD1161" s="322">
        <f>IFERROR((VLOOKUP(Calculations[[#This Row],[Waste type 2]],WasteLandfillEmissions[#All],3,FALSE))*Calculations[[#This Row],[Total Kg]]*VLOOKUP(Calculations[[#This Row],[Waste 1]],WasteScenario[#All],4,FALSE),0)</f>
        <v>0</v>
      </c>
      <c r="AE1161" s="322">
        <f>SUM(Calculations[[#This Row],[C4 landfill]:[C4 re-use]])</f>
        <v>0</v>
      </c>
      <c r="AF1161" s="322">
        <f>IFERROR(VLOOKUP(Calculations[[#This Row],[Material (choose from dropdown]],MaterialData[#All],8,FALSE),0)</f>
        <v>0</v>
      </c>
      <c r="AG1161" s="322">
        <f>IFERROR(Calculations[[#This Row],[Total Kg]]*Calculations[[#This Row],[Seq factor]],0)</f>
        <v>0</v>
      </c>
      <c r="AI1161" s="322">
        <f>Calculations[[#This Row],[A1-3]]+Calculations[[#This Row],[A4]]+Calculations[[#This Row],[A5]]+Calculations[[#This Row],[B4]]+Calculations[[#This Row],[C2 total]]+Calculations[[#This Row],[C3 total]]+Calculations[[#This Row],[C4 total]]</f>
        <v>0</v>
      </c>
      <c r="AJ1161" s="2">
        <f>IFERROR(VLOOKUP(Calculations[[#This Row],[Material (choose from dropdown]],MaterialData[[#Headers],[#Data]],9,FALSE),0)</f>
        <v>0</v>
      </c>
      <c r="AK1161" s="4">
        <f>IFERROR(VLOOKUP(Calculations[[#This Row],[Material (choose from dropdown]],MaterialData[[#Headers],[#Data]],10,FALSE),0)</f>
        <v>0</v>
      </c>
      <c r="AL1161" s="322">
        <f>IFERROR(Calculations[[#This Row],[Data Quality Score]]*Calculations[[#This Row],[Total Kg]],0)</f>
        <v>0</v>
      </c>
    </row>
    <row r="1162" spans="1:38" x14ac:dyDescent="0.3">
      <c r="A1162" s="6">
        <f>IFERROR(MaterialsBoQ[[#This Row],[Scope Element]],0)</f>
        <v>0</v>
      </c>
      <c r="B1162" t="str">
        <f>IFERROR(MaterialsBoQ[[#This Row],[Material ]],"")</f>
        <v/>
      </c>
      <c r="C1162" t="str">
        <f>IFERROR(MaterialsBoQ[[#This Row],[Unit]],"")</f>
        <v/>
      </c>
      <c r="D1162" s="322">
        <f>IFERROR(MaterialsBoQ[[#This Row],[Number]],0)</f>
        <v>0</v>
      </c>
      <c r="E1162" s="322">
        <f>IFERROR(MaterialsBoQ[[#This Row],[Kg per unit]],0)</f>
        <v>0</v>
      </c>
      <c r="F1162" s="322">
        <f>IFERROR(Calculations[[#This Row],[Number]]*Calculations[[#This Row],[Conversion factor]],0)</f>
        <v>0</v>
      </c>
      <c r="G1162" s="322">
        <f>IFERROR(VLOOKUP(Calculations[[#This Row],[Material (choose from dropdown]],MaterialData[#All],7,FALSE),0)</f>
        <v>0</v>
      </c>
      <c r="H1162" s="322">
        <f>Calculations[[#This Row],[Total Kg]]*Calculations[[#This Row],[Carbon Factor]]</f>
        <v>0</v>
      </c>
      <c r="I1162" t="str">
        <f>IFERROR(VLOOKUP(Calculations[[#This Row],[Material (choose from dropdown]],MaterialData[#All],2,FALSE),"")</f>
        <v/>
      </c>
      <c r="J1162" s="322">
        <f>IFERROR(((VLOOKUP(Calculations[[#This Row],[TransportSource]],TransportDistance[],2,FALSE)*'Stage assumptions'!$C$11)+VLOOKUP(Calculations[[#This Row],[TransportSource]],TransportDistance[],3,FALSE)*'Stage assumptions'!$C$12)*Calculations[[#This Row],[Total Kg]],0)</f>
        <v>0</v>
      </c>
      <c r="K1162">
        <f>IFERROR(VLOOKUP(Calculations[[#This Row],[Material (choose from dropdown]], MaterialData[#All],3, FALSE),0)</f>
        <v>0</v>
      </c>
      <c r="L1162" s="322">
        <f>IFERROR(VLOOKUP(Calculations[[#This Row],[A5type]],A5WastageRate[#All],2,FALSE)*Calculations[[#This Row],[A1-3]],0)</f>
        <v>0</v>
      </c>
      <c r="N1162">
        <f>IFERROR(ROUNDUP(50/VLOOKUP(Calculations[[#This Row],[Scope Element]],B4referenceServiceLife[[Tier 2 element]:[Default Service Life]],2, FALSE)-1,0),0)</f>
        <v>0</v>
      </c>
      <c r="O1162" s="322">
        <f>IFERROR((Calculations[[#This Row],[A1-3]]+Calculations[[#This Row],[A4]]+Calculations[[#This Row],[A5]]+Calculations[[#This Row],[C2 total]]+Calculations[[#This Row],[C3 total]]+Calculations[[#This Row],[C4 total]])*Calculations[[#This Row],[Replacements]],0)</f>
        <v>0</v>
      </c>
      <c r="S1162" t="str">
        <f>IFERROR(VLOOKUP(Calculations[[#This Row],[Material (choose from dropdown]],MaterialData[#All],4,FALSE),"")</f>
        <v/>
      </c>
      <c r="T1162" s="322" cm="1">
        <f t="array" ref="T1162">IFERROR(VLOOKUP(Calculations[[#This Row],[Waste 1]],WasteScenario[#All],2,FALSE)*'Stage assumptions'!$C$225*WasteTransportMethod[Emissions Factor
kgCO2e/kg.km]*Calculations[[#This Row],[Total Kg]],0)</f>
        <v>0</v>
      </c>
      <c r="U1162" s="322" cm="1">
        <f t="array" ref="U1162">IFERROR(VLOOKUP(Calculations[[#This Row],[Waste 1]],WasteScenario[#All],3,FALSE)*'Stage assumptions'!$C$224*WasteTransportMethod[Emissions Factor
kgCO2e/kg.km]*Calculations[[#This Row],[Total Kg]],0)</f>
        <v>0</v>
      </c>
      <c r="V1162" s="322" cm="1">
        <f t="array" ref="V1162">IFERROR(VLOOKUP(Calculations[[#This Row],[Waste 1]],WasteScenario[#All],4,FALSE)*'Stage assumptions'!$C$223*WasteTransportMethod[Emissions Factor
kgCO2e/kg.km]*Calculations[[#This Row],[Total Kg]],0)</f>
        <v>0</v>
      </c>
      <c r="W1162" s="322" cm="1">
        <f t="array" ref="W1162">IFERROR(VLOOKUP(Calculations[[#This Row],[Waste 1]],WasteScenario[#All],5,FALSE)*'Stage assumptions'!$C$226*WasteTransportMethod[Emissions Factor
kgCO2e/kg.km]*Calculations[[#This Row],[Total Kg]],0)</f>
        <v>0</v>
      </c>
      <c r="X1162" s="322">
        <f>SUM(Calculations[[#This Row],[C2 Recycle]:[C2 Reuse]])</f>
        <v>0</v>
      </c>
      <c r="Y1162" t="str">
        <f>IFERROR(VLOOKUP(Calculations[[#This Row],[Material (choose from dropdown]],MaterialData[#All],5,FALSE),"")</f>
        <v/>
      </c>
      <c r="Z1162" s="322">
        <f>IFERROR(((VLOOKUP(Calculations[[#This Row],[Waste type 2]],WasteDisposalEmissions[#All],2,FALSE))*Calculations[[#This Row],[Total Kg]])*VLOOKUP(Calculations[[#This Row],[Waste 1]],WasteScenario[#All],2,FALSE),0)</f>
        <v>0</v>
      </c>
      <c r="AA1162" s="322">
        <f>IFERROR((VLOOKUP(Calculations[[#This Row],[Waste type 2]],WasteDisposalEmissions[#All],3,FALSE))*Calculations[[#This Row],[Total Kg]]*VLOOKUP(Calculations[[#This Row],[Waste 1]],WasteScenario[#All],3,FALSE),0)</f>
        <v>0</v>
      </c>
      <c r="AB1162" s="322">
        <f>SUM(Calculations[[#This Row],[C3 recyc]:[C3 incin]])</f>
        <v>0</v>
      </c>
      <c r="AC1162" s="334">
        <f>IFERROR((VLOOKUP(Calculations[[#This Row],[Waste type 2]],WasteLandfillEmissions[#All],2,FALSE))*Calculations[[#This Row],[Total Kg]]*VLOOKUP(Calculations[[#This Row],[Waste 1]],WasteScenario[#All],4,FALSE),0)</f>
        <v>0</v>
      </c>
      <c r="AD1162" s="322">
        <f>IFERROR((VLOOKUP(Calculations[[#This Row],[Waste type 2]],WasteLandfillEmissions[#All],3,FALSE))*Calculations[[#This Row],[Total Kg]]*VLOOKUP(Calculations[[#This Row],[Waste 1]],WasteScenario[#All],4,FALSE),0)</f>
        <v>0</v>
      </c>
      <c r="AE1162" s="322">
        <f>SUM(Calculations[[#This Row],[C4 landfill]:[C4 re-use]])</f>
        <v>0</v>
      </c>
      <c r="AF1162" s="322">
        <f>IFERROR(VLOOKUP(Calculations[[#This Row],[Material (choose from dropdown]],MaterialData[#All],8,FALSE),0)</f>
        <v>0</v>
      </c>
      <c r="AG1162" s="322">
        <f>IFERROR(Calculations[[#This Row],[Total Kg]]*Calculations[[#This Row],[Seq factor]],0)</f>
        <v>0</v>
      </c>
      <c r="AI1162" s="322">
        <f>Calculations[[#This Row],[A1-3]]+Calculations[[#This Row],[A4]]+Calculations[[#This Row],[A5]]+Calculations[[#This Row],[B4]]+Calculations[[#This Row],[C2 total]]+Calculations[[#This Row],[C3 total]]+Calculations[[#This Row],[C4 total]]</f>
        <v>0</v>
      </c>
      <c r="AJ1162" s="2">
        <f>IFERROR(VLOOKUP(Calculations[[#This Row],[Material (choose from dropdown]],MaterialData[[#Headers],[#Data]],9,FALSE),0)</f>
        <v>0</v>
      </c>
      <c r="AK1162" s="4">
        <f>IFERROR(VLOOKUP(Calculations[[#This Row],[Material (choose from dropdown]],MaterialData[[#Headers],[#Data]],10,FALSE),0)</f>
        <v>0</v>
      </c>
      <c r="AL1162" s="322">
        <f>IFERROR(Calculations[[#This Row],[Data Quality Score]]*Calculations[[#This Row],[Total Kg]],0)</f>
        <v>0</v>
      </c>
    </row>
    <row r="1163" spans="1:38" x14ac:dyDescent="0.3">
      <c r="A1163" s="6">
        <f>IFERROR(MaterialsBoQ[[#This Row],[Scope Element]],0)</f>
        <v>0</v>
      </c>
      <c r="B1163" t="str">
        <f>IFERROR(MaterialsBoQ[[#This Row],[Material ]],"")</f>
        <v/>
      </c>
      <c r="C1163" t="str">
        <f>IFERROR(MaterialsBoQ[[#This Row],[Unit]],"")</f>
        <v/>
      </c>
      <c r="D1163" s="322">
        <f>IFERROR(MaterialsBoQ[[#This Row],[Number]],0)</f>
        <v>0</v>
      </c>
      <c r="E1163" s="322">
        <f>IFERROR(MaterialsBoQ[[#This Row],[Kg per unit]],0)</f>
        <v>0</v>
      </c>
      <c r="F1163" s="322">
        <f>IFERROR(Calculations[[#This Row],[Number]]*Calculations[[#This Row],[Conversion factor]],0)</f>
        <v>0</v>
      </c>
      <c r="G1163" s="322">
        <f>IFERROR(VLOOKUP(Calculations[[#This Row],[Material (choose from dropdown]],MaterialData[#All],7,FALSE),0)</f>
        <v>0</v>
      </c>
      <c r="H1163" s="322">
        <f>Calculations[[#This Row],[Total Kg]]*Calculations[[#This Row],[Carbon Factor]]</f>
        <v>0</v>
      </c>
      <c r="I1163" t="str">
        <f>IFERROR(VLOOKUP(Calculations[[#This Row],[Material (choose from dropdown]],MaterialData[#All],2,FALSE),"")</f>
        <v/>
      </c>
      <c r="J1163" s="322">
        <f>IFERROR(((VLOOKUP(Calculations[[#This Row],[TransportSource]],TransportDistance[],2,FALSE)*'Stage assumptions'!$C$11)+VLOOKUP(Calculations[[#This Row],[TransportSource]],TransportDistance[],3,FALSE)*'Stage assumptions'!$C$12)*Calculations[[#This Row],[Total Kg]],0)</f>
        <v>0</v>
      </c>
      <c r="K1163">
        <f>IFERROR(VLOOKUP(Calculations[[#This Row],[Material (choose from dropdown]], MaterialData[#All],3, FALSE),0)</f>
        <v>0</v>
      </c>
      <c r="L1163" s="322">
        <f>IFERROR(VLOOKUP(Calculations[[#This Row],[A5type]],A5WastageRate[#All],2,FALSE)*Calculations[[#This Row],[A1-3]],0)</f>
        <v>0</v>
      </c>
      <c r="N1163">
        <f>IFERROR(ROUNDUP(50/VLOOKUP(Calculations[[#This Row],[Scope Element]],B4referenceServiceLife[[Tier 2 element]:[Default Service Life]],2, FALSE)-1,0),0)</f>
        <v>0</v>
      </c>
      <c r="O1163" s="322">
        <f>IFERROR((Calculations[[#This Row],[A1-3]]+Calculations[[#This Row],[A4]]+Calculations[[#This Row],[A5]]+Calculations[[#This Row],[C2 total]]+Calculations[[#This Row],[C3 total]]+Calculations[[#This Row],[C4 total]])*Calculations[[#This Row],[Replacements]],0)</f>
        <v>0</v>
      </c>
      <c r="S1163" t="str">
        <f>IFERROR(VLOOKUP(Calculations[[#This Row],[Material (choose from dropdown]],MaterialData[#All],4,FALSE),"")</f>
        <v/>
      </c>
      <c r="T1163" s="322" cm="1">
        <f t="array" ref="T1163">IFERROR(VLOOKUP(Calculations[[#This Row],[Waste 1]],WasteScenario[#All],2,FALSE)*'Stage assumptions'!$C$225*WasteTransportMethod[Emissions Factor
kgCO2e/kg.km]*Calculations[[#This Row],[Total Kg]],0)</f>
        <v>0</v>
      </c>
      <c r="U1163" s="322" cm="1">
        <f t="array" ref="U1163">IFERROR(VLOOKUP(Calculations[[#This Row],[Waste 1]],WasteScenario[#All],3,FALSE)*'Stage assumptions'!$C$224*WasteTransportMethod[Emissions Factor
kgCO2e/kg.km]*Calculations[[#This Row],[Total Kg]],0)</f>
        <v>0</v>
      </c>
      <c r="V1163" s="322" cm="1">
        <f t="array" ref="V1163">IFERROR(VLOOKUP(Calculations[[#This Row],[Waste 1]],WasteScenario[#All],4,FALSE)*'Stage assumptions'!$C$223*WasteTransportMethod[Emissions Factor
kgCO2e/kg.km]*Calculations[[#This Row],[Total Kg]],0)</f>
        <v>0</v>
      </c>
      <c r="W1163" s="322" cm="1">
        <f t="array" ref="W1163">IFERROR(VLOOKUP(Calculations[[#This Row],[Waste 1]],WasteScenario[#All],5,FALSE)*'Stage assumptions'!$C$226*WasteTransportMethod[Emissions Factor
kgCO2e/kg.km]*Calculations[[#This Row],[Total Kg]],0)</f>
        <v>0</v>
      </c>
      <c r="X1163" s="322">
        <f>SUM(Calculations[[#This Row],[C2 Recycle]:[C2 Reuse]])</f>
        <v>0</v>
      </c>
      <c r="Y1163" t="str">
        <f>IFERROR(VLOOKUP(Calculations[[#This Row],[Material (choose from dropdown]],MaterialData[#All],5,FALSE),"")</f>
        <v/>
      </c>
      <c r="Z1163" s="322">
        <f>IFERROR(((VLOOKUP(Calculations[[#This Row],[Waste type 2]],WasteDisposalEmissions[#All],2,FALSE))*Calculations[[#This Row],[Total Kg]])*VLOOKUP(Calculations[[#This Row],[Waste 1]],WasteScenario[#All],2,FALSE),0)</f>
        <v>0</v>
      </c>
      <c r="AA1163" s="322">
        <f>IFERROR((VLOOKUP(Calculations[[#This Row],[Waste type 2]],WasteDisposalEmissions[#All],3,FALSE))*Calculations[[#This Row],[Total Kg]]*VLOOKUP(Calculations[[#This Row],[Waste 1]],WasteScenario[#All],3,FALSE),0)</f>
        <v>0</v>
      </c>
      <c r="AB1163" s="322">
        <f>SUM(Calculations[[#This Row],[C3 recyc]:[C3 incin]])</f>
        <v>0</v>
      </c>
      <c r="AC1163" s="334">
        <f>IFERROR((VLOOKUP(Calculations[[#This Row],[Waste type 2]],WasteLandfillEmissions[#All],2,FALSE))*Calculations[[#This Row],[Total Kg]]*VLOOKUP(Calculations[[#This Row],[Waste 1]],WasteScenario[#All],4,FALSE),0)</f>
        <v>0</v>
      </c>
      <c r="AD1163" s="322">
        <f>IFERROR((VLOOKUP(Calculations[[#This Row],[Waste type 2]],WasteLandfillEmissions[#All],3,FALSE))*Calculations[[#This Row],[Total Kg]]*VLOOKUP(Calculations[[#This Row],[Waste 1]],WasteScenario[#All],4,FALSE),0)</f>
        <v>0</v>
      </c>
      <c r="AE1163" s="322">
        <f>SUM(Calculations[[#This Row],[C4 landfill]:[C4 re-use]])</f>
        <v>0</v>
      </c>
      <c r="AF1163" s="322">
        <f>IFERROR(VLOOKUP(Calculations[[#This Row],[Material (choose from dropdown]],MaterialData[#All],8,FALSE),0)</f>
        <v>0</v>
      </c>
      <c r="AG1163" s="322">
        <f>IFERROR(Calculations[[#This Row],[Total Kg]]*Calculations[[#This Row],[Seq factor]],0)</f>
        <v>0</v>
      </c>
      <c r="AI1163" s="322">
        <f>Calculations[[#This Row],[A1-3]]+Calculations[[#This Row],[A4]]+Calculations[[#This Row],[A5]]+Calculations[[#This Row],[B4]]+Calculations[[#This Row],[C2 total]]+Calculations[[#This Row],[C3 total]]+Calculations[[#This Row],[C4 total]]</f>
        <v>0</v>
      </c>
      <c r="AJ1163" s="2">
        <f>IFERROR(VLOOKUP(Calculations[[#This Row],[Material (choose from dropdown]],MaterialData[[#Headers],[#Data]],9,FALSE),0)</f>
        <v>0</v>
      </c>
      <c r="AK1163" s="4">
        <f>IFERROR(VLOOKUP(Calculations[[#This Row],[Material (choose from dropdown]],MaterialData[[#Headers],[#Data]],10,FALSE),0)</f>
        <v>0</v>
      </c>
      <c r="AL1163" s="322">
        <f>IFERROR(Calculations[[#This Row],[Data Quality Score]]*Calculations[[#This Row],[Total Kg]],0)</f>
        <v>0</v>
      </c>
    </row>
    <row r="1164" spans="1:38" x14ac:dyDescent="0.3">
      <c r="A1164" s="6">
        <f>IFERROR(MaterialsBoQ[[#This Row],[Scope Element]],0)</f>
        <v>0</v>
      </c>
      <c r="B1164" t="str">
        <f>IFERROR(MaterialsBoQ[[#This Row],[Material ]],"")</f>
        <v/>
      </c>
      <c r="C1164" t="str">
        <f>IFERROR(MaterialsBoQ[[#This Row],[Unit]],"")</f>
        <v/>
      </c>
      <c r="D1164" s="322">
        <f>IFERROR(MaterialsBoQ[[#This Row],[Number]],0)</f>
        <v>0</v>
      </c>
      <c r="E1164" s="322">
        <f>IFERROR(MaterialsBoQ[[#This Row],[Kg per unit]],0)</f>
        <v>0</v>
      </c>
      <c r="F1164" s="322">
        <f>IFERROR(Calculations[[#This Row],[Number]]*Calculations[[#This Row],[Conversion factor]],0)</f>
        <v>0</v>
      </c>
      <c r="G1164" s="322">
        <f>IFERROR(VLOOKUP(Calculations[[#This Row],[Material (choose from dropdown]],MaterialData[#All],7,FALSE),0)</f>
        <v>0</v>
      </c>
      <c r="H1164" s="322">
        <f>Calculations[[#This Row],[Total Kg]]*Calculations[[#This Row],[Carbon Factor]]</f>
        <v>0</v>
      </c>
      <c r="I1164" t="str">
        <f>IFERROR(VLOOKUP(Calculations[[#This Row],[Material (choose from dropdown]],MaterialData[#All],2,FALSE),"")</f>
        <v/>
      </c>
      <c r="J1164" s="322">
        <f>IFERROR(((VLOOKUP(Calculations[[#This Row],[TransportSource]],TransportDistance[],2,FALSE)*'Stage assumptions'!$C$11)+VLOOKUP(Calculations[[#This Row],[TransportSource]],TransportDistance[],3,FALSE)*'Stage assumptions'!$C$12)*Calculations[[#This Row],[Total Kg]],0)</f>
        <v>0</v>
      </c>
      <c r="K1164">
        <f>IFERROR(VLOOKUP(Calculations[[#This Row],[Material (choose from dropdown]], MaterialData[#All],3, FALSE),0)</f>
        <v>0</v>
      </c>
      <c r="L1164" s="322">
        <f>IFERROR(VLOOKUP(Calculations[[#This Row],[A5type]],A5WastageRate[#All],2,FALSE)*Calculations[[#This Row],[A1-3]],0)</f>
        <v>0</v>
      </c>
      <c r="N1164">
        <f>IFERROR(ROUNDUP(50/VLOOKUP(Calculations[[#This Row],[Scope Element]],B4referenceServiceLife[[Tier 2 element]:[Default Service Life]],2, FALSE)-1,0),0)</f>
        <v>0</v>
      </c>
      <c r="O1164" s="322">
        <f>IFERROR((Calculations[[#This Row],[A1-3]]+Calculations[[#This Row],[A4]]+Calculations[[#This Row],[A5]]+Calculations[[#This Row],[C2 total]]+Calculations[[#This Row],[C3 total]]+Calculations[[#This Row],[C4 total]])*Calculations[[#This Row],[Replacements]],0)</f>
        <v>0</v>
      </c>
      <c r="S1164" t="str">
        <f>IFERROR(VLOOKUP(Calculations[[#This Row],[Material (choose from dropdown]],MaterialData[#All],4,FALSE),"")</f>
        <v/>
      </c>
      <c r="T1164" s="322" cm="1">
        <f t="array" ref="T1164">IFERROR(VLOOKUP(Calculations[[#This Row],[Waste 1]],WasteScenario[#All],2,FALSE)*'Stage assumptions'!$C$225*WasteTransportMethod[Emissions Factor
kgCO2e/kg.km]*Calculations[[#This Row],[Total Kg]],0)</f>
        <v>0</v>
      </c>
      <c r="U1164" s="322" cm="1">
        <f t="array" ref="U1164">IFERROR(VLOOKUP(Calculations[[#This Row],[Waste 1]],WasteScenario[#All],3,FALSE)*'Stage assumptions'!$C$224*WasteTransportMethod[Emissions Factor
kgCO2e/kg.km]*Calculations[[#This Row],[Total Kg]],0)</f>
        <v>0</v>
      </c>
      <c r="V1164" s="322" cm="1">
        <f t="array" ref="V1164">IFERROR(VLOOKUP(Calculations[[#This Row],[Waste 1]],WasteScenario[#All],4,FALSE)*'Stage assumptions'!$C$223*WasteTransportMethod[Emissions Factor
kgCO2e/kg.km]*Calculations[[#This Row],[Total Kg]],0)</f>
        <v>0</v>
      </c>
      <c r="W1164" s="322" cm="1">
        <f t="array" ref="W1164">IFERROR(VLOOKUP(Calculations[[#This Row],[Waste 1]],WasteScenario[#All],5,FALSE)*'Stage assumptions'!$C$226*WasteTransportMethod[Emissions Factor
kgCO2e/kg.km]*Calculations[[#This Row],[Total Kg]],0)</f>
        <v>0</v>
      </c>
      <c r="X1164" s="322">
        <f>SUM(Calculations[[#This Row],[C2 Recycle]:[C2 Reuse]])</f>
        <v>0</v>
      </c>
      <c r="Y1164" t="str">
        <f>IFERROR(VLOOKUP(Calculations[[#This Row],[Material (choose from dropdown]],MaterialData[#All],5,FALSE),"")</f>
        <v/>
      </c>
      <c r="Z1164" s="322">
        <f>IFERROR(((VLOOKUP(Calculations[[#This Row],[Waste type 2]],WasteDisposalEmissions[#All],2,FALSE))*Calculations[[#This Row],[Total Kg]])*VLOOKUP(Calculations[[#This Row],[Waste 1]],WasteScenario[#All],2,FALSE),0)</f>
        <v>0</v>
      </c>
      <c r="AA1164" s="322">
        <f>IFERROR((VLOOKUP(Calculations[[#This Row],[Waste type 2]],WasteDisposalEmissions[#All],3,FALSE))*Calculations[[#This Row],[Total Kg]]*VLOOKUP(Calculations[[#This Row],[Waste 1]],WasteScenario[#All],3,FALSE),0)</f>
        <v>0</v>
      </c>
      <c r="AB1164" s="322">
        <f>SUM(Calculations[[#This Row],[C3 recyc]:[C3 incin]])</f>
        <v>0</v>
      </c>
      <c r="AC1164" s="334">
        <f>IFERROR((VLOOKUP(Calculations[[#This Row],[Waste type 2]],WasteLandfillEmissions[#All],2,FALSE))*Calculations[[#This Row],[Total Kg]]*VLOOKUP(Calculations[[#This Row],[Waste 1]],WasteScenario[#All],4,FALSE),0)</f>
        <v>0</v>
      </c>
      <c r="AD1164" s="322">
        <f>IFERROR((VLOOKUP(Calculations[[#This Row],[Waste type 2]],WasteLandfillEmissions[#All],3,FALSE))*Calculations[[#This Row],[Total Kg]]*VLOOKUP(Calculations[[#This Row],[Waste 1]],WasteScenario[#All],4,FALSE),0)</f>
        <v>0</v>
      </c>
      <c r="AE1164" s="322">
        <f>SUM(Calculations[[#This Row],[C4 landfill]:[C4 re-use]])</f>
        <v>0</v>
      </c>
      <c r="AF1164" s="322">
        <f>IFERROR(VLOOKUP(Calculations[[#This Row],[Material (choose from dropdown]],MaterialData[#All],8,FALSE),0)</f>
        <v>0</v>
      </c>
      <c r="AG1164" s="322">
        <f>IFERROR(Calculations[[#This Row],[Total Kg]]*Calculations[[#This Row],[Seq factor]],0)</f>
        <v>0</v>
      </c>
      <c r="AI1164" s="322">
        <f>Calculations[[#This Row],[A1-3]]+Calculations[[#This Row],[A4]]+Calculations[[#This Row],[A5]]+Calculations[[#This Row],[B4]]+Calculations[[#This Row],[C2 total]]+Calculations[[#This Row],[C3 total]]+Calculations[[#This Row],[C4 total]]</f>
        <v>0</v>
      </c>
      <c r="AJ1164" s="2">
        <f>IFERROR(VLOOKUP(Calculations[[#This Row],[Material (choose from dropdown]],MaterialData[[#Headers],[#Data]],9,FALSE),0)</f>
        <v>0</v>
      </c>
      <c r="AK1164" s="4">
        <f>IFERROR(VLOOKUP(Calculations[[#This Row],[Material (choose from dropdown]],MaterialData[[#Headers],[#Data]],10,FALSE),0)</f>
        <v>0</v>
      </c>
      <c r="AL1164" s="322">
        <f>IFERROR(Calculations[[#This Row],[Data Quality Score]]*Calculations[[#This Row],[Total Kg]],0)</f>
        <v>0</v>
      </c>
    </row>
    <row r="1165" spans="1:38" x14ac:dyDescent="0.3">
      <c r="A1165" s="6">
        <f>IFERROR(MaterialsBoQ[[#This Row],[Scope Element]],0)</f>
        <v>0</v>
      </c>
      <c r="B1165" t="str">
        <f>IFERROR(MaterialsBoQ[[#This Row],[Material ]],"")</f>
        <v/>
      </c>
      <c r="C1165" t="str">
        <f>IFERROR(MaterialsBoQ[[#This Row],[Unit]],"")</f>
        <v/>
      </c>
      <c r="D1165" s="322">
        <f>IFERROR(MaterialsBoQ[[#This Row],[Number]],0)</f>
        <v>0</v>
      </c>
      <c r="E1165" s="322">
        <f>IFERROR(MaterialsBoQ[[#This Row],[Kg per unit]],0)</f>
        <v>0</v>
      </c>
      <c r="F1165" s="322">
        <f>IFERROR(Calculations[[#This Row],[Number]]*Calculations[[#This Row],[Conversion factor]],0)</f>
        <v>0</v>
      </c>
      <c r="G1165" s="322">
        <f>IFERROR(VLOOKUP(Calculations[[#This Row],[Material (choose from dropdown]],MaterialData[#All],7,FALSE),0)</f>
        <v>0</v>
      </c>
      <c r="H1165" s="322">
        <f>Calculations[[#This Row],[Total Kg]]*Calculations[[#This Row],[Carbon Factor]]</f>
        <v>0</v>
      </c>
      <c r="I1165" t="str">
        <f>IFERROR(VLOOKUP(Calculations[[#This Row],[Material (choose from dropdown]],MaterialData[#All],2,FALSE),"")</f>
        <v/>
      </c>
      <c r="J1165" s="322">
        <f>IFERROR(((VLOOKUP(Calculations[[#This Row],[TransportSource]],TransportDistance[],2,FALSE)*'Stage assumptions'!$C$11)+VLOOKUP(Calculations[[#This Row],[TransportSource]],TransportDistance[],3,FALSE)*'Stage assumptions'!$C$12)*Calculations[[#This Row],[Total Kg]],0)</f>
        <v>0</v>
      </c>
      <c r="K1165">
        <f>IFERROR(VLOOKUP(Calculations[[#This Row],[Material (choose from dropdown]], MaterialData[#All],3, FALSE),0)</f>
        <v>0</v>
      </c>
      <c r="L1165" s="322">
        <f>IFERROR(VLOOKUP(Calculations[[#This Row],[A5type]],A5WastageRate[#All],2,FALSE)*Calculations[[#This Row],[A1-3]],0)</f>
        <v>0</v>
      </c>
      <c r="N1165">
        <f>IFERROR(ROUNDUP(50/VLOOKUP(Calculations[[#This Row],[Scope Element]],B4referenceServiceLife[[Tier 2 element]:[Default Service Life]],2, FALSE)-1,0),0)</f>
        <v>0</v>
      </c>
      <c r="O1165" s="322">
        <f>IFERROR((Calculations[[#This Row],[A1-3]]+Calculations[[#This Row],[A4]]+Calculations[[#This Row],[A5]]+Calculations[[#This Row],[C2 total]]+Calculations[[#This Row],[C3 total]]+Calculations[[#This Row],[C4 total]])*Calculations[[#This Row],[Replacements]],0)</f>
        <v>0</v>
      </c>
      <c r="S1165" t="str">
        <f>IFERROR(VLOOKUP(Calculations[[#This Row],[Material (choose from dropdown]],MaterialData[#All],4,FALSE),"")</f>
        <v/>
      </c>
      <c r="T1165" s="322" cm="1">
        <f t="array" ref="T1165">IFERROR(VLOOKUP(Calculations[[#This Row],[Waste 1]],WasteScenario[#All],2,FALSE)*'Stage assumptions'!$C$225*WasteTransportMethod[Emissions Factor
kgCO2e/kg.km]*Calculations[[#This Row],[Total Kg]],0)</f>
        <v>0</v>
      </c>
      <c r="U1165" s="322" cm="1">
        <f t="array" ref="U1165">IFERROR(VLOOKUP(Calculations[[#This Row],[Waste 1]],WasteScenario[#All],3,FALSE)*'Stage assumptions'!$C$224*WasteTransportMethod[Emissions Factor
kgCO2e/kg.km]*Calculations[[#This Row],[Total Kg]],0)</f>
        <v>0</v>
      </c>
      <c r="V1165" s="322" cm="1">
        <f t="array" ref="V1165">IFERROR(VLOOKUP(Calculations[[#This Row],[Waste 1]],WasteScenario[#All],4,FALSE)*'Stage assumptions'!$C$223*WasteTransportMethod[Emissions Factor
kgCO2e/kg.km]*Calculations[[#This Row],[Total Kg]],0)</f>
        <v>0</v>
      </c>
      <c r="W1165" s="322" cm="1">
        <f t="array" ref="W1165">IFERROR(VLOOKUP(Calculations[[#This Row],[Waste 1]],WasteScenario[#All],5,FALSE)*'Stage assumptions'!$C$226*WasteTransportMethod[Emissions Factor
kgCO2e/kg.km]*Calculations[[#This Row],[Total Kg]],0)</f>
        <v>0</v>
      </c>
      <c r="X1165" s="322">
        <f>SUM(Calculations[[#This Row],[C2 Recycle]:[C2 Reuse]])</f>
        <v>0</v>
      </c>
      <c r="Y1165" t="str">
        <f>IFERROR(VLOOKUP(Calculations[[#This Row],[Material (choose from dropdown]],MaterialData[#All],5,FALSE),"")</f>
        <v/>
      </c>
      <c r="Z1165" s="322">
        <f>IFERROR(((VLOOKUP(Calculations[[#This Row],[Waste type 2]],WasteDisposalEmissions[#All],2,FALSE))*Calculations[[#This Row],[Total Kg]])*VLOOKUP(Calculations[[#This Row],[Waste 1]],WasteScenario[#All],2,FALSE),0)</f>
        <v>0</v>
      </c>
      <c r="AA1165" s="322">
        <f>IFERROR((VLOOKUP(Calculations[[#This Row],[Waste type 2]],WasteDisposalEmissions[#All],3,FALSE))*Calculations[[#This Row],[Total Kg]]*VLOOKUP(Calculations[[#This Row],[Waste 1]],WasteScenario[#All],3,FALSE),0)</f>
        <v>0</v>
      </c>
      <c r="AB1165" s="322">
        <f>SUM(Calculations[[#This Row],[C3 recyc]:[C3 incin]])</f>
        <v>0</v>
      </c>
      <c r="AC1165" s="334">
        <f>IFERROR((VLOOKUP(Calculations[[#This Row],[Waste type 2]],WasteLandfillEmissions[#All],2,FALSE))*Calculations[[#This Row],[Total Kg]]*VLOOKUP(Calculations[[#This Row],[Waste 1]],WasteScenario[#All],4,FALSE),0)</f>
        <v>0</v>
      </c>
      <c r="AD1165" s="322">
        <f>IFERROR((VLOOKUP(Calculations[[#This Row],[Waste type 2]],WasteLandfillEmissions[#All],3,FALSE))*Calculations[[#This Row],[Total Kg]]*VLOOKUP(Calculations[[#This Row],[Waste 1]],WasteScenario[#All],4,FALSE),0)</f>
        <v>0</v>
      </c>
      <c r="AE1165" s="322">
        <f>SUM(Calculations[[#This Row],[C4 landfill]:[C4 re-use]])</f>
        <v>0</v>
      </c>
      <c r="AF1165" s="322">
        <f>IFERROR(VLOOKUP(Calculations[[#This Row],[Material (choose from dropdown]],MaterialData[#All],8,FALSE),0)</f>
        <v>0</v>
      </c>
      <c r="AG1165" s="322">
        <f>IFERROR(Calculations[[#This Row],[Total Kg]]*Calculations[[#This Row],[Seq factor]],0)</f>
        <v>0</v>
      </c>
      <c r="AI1165" s="322">
        <f>Calculations[[#This Row],[A1-3]]+Calculations[[#This Row],[A4]]+Calculations[[#This Row],[A5]]+Calculations[[#This Row],[B4]]+Calculations[[#This Row],[C2 total]]+Calculations[[#This Row],[C3 total]]+Calculations[[#This Row],[C4 total]]</f>
        <v>0</v>
      </c>
      <c r="AJ1165" s="2">
        <f>IFERROR(VLOOKUP(Calculations[[#This Row],[Material (choose from dropdown]],MaterialData[[#Headers],[#Data]],9,FALSE),0)</f>
        <v>0</v>
      </c>
      <c r="AK1165" s="4">
        <f>IFERROR(VLOOKUP(Calculations[[#This Row],[Material (choose from dropdown]],MaterialData[[#Headers],[#Data]],10,FALSE),0)</f>
        <v>0</v>
      </c>
      <c r="AL1165" s="322">
        <f>IFERROR(Calculations[[#This Row],[Data Quality Score]]*Calculations[[#This Row],[Total Kg]],0)</f>
        <v>0</v>
      </c>
    </row>
    <row r="1166" spans="1:38" x14ac:dyDescent="0.3">
      <c r="A1166" s="6">
        <f>IFERROR(MaterialsBoQ[[#This Row],[Scope Element]],0)</f>
        <v>0</v>
      </c>
      <c r="B1166" t="str">
        <f>IFERROR(MaterialsBoQ[[#This Row],[Material ]],"")</f>
        <v/>
      </c>
      <c r="C1166" t="str">
        <f>IFERROR(MaterialsBoQ[[#This Row],[Unit]],"")</f>
        <v/>
      </c>
      <c r="D1166" s="322">
        <f>IFERROR(MaterialsBoQ[[#This Row],[Number]],0)</f>
        <v>0</v>
      </c>
      <c r="E1166" s="322">
        <f>IFERROR(MaterialsBoQ[[#This Row],[Kg per unit]],0)</f>
        <v>0</v>
      </c>
      <c r="F1166" s="322">
        <f>IFERROR(Calculations[[#This Row],[Number]]*Calculations[[#This Row],[Conversion factor]],0)</f>
        <v>0</v>
      </c>
      <c r="G1166" s="322">
        <f>IFERROR(VLOOKUP(Calculations[[#This Row],[Material (choose from dropdown]],MaterialData[#All],7,FALSE),0)</f>
        <v>0</v>
      </c>
      <c r="H1166" s="322">
        <f>Calculations[[#This Row],[Total Kg]]*Calculations[[#This Row],[Carbon Factor]]</f>
        <v>0</v>
      </c>
      <c r="I1166" t="str">
        <f>IFERROR(VLOOKUP(Calculations[[#This Row],[Material (choose from dropdown]],MaterialData[#All],2,FALSE),"")</f>
        <v/>
      </c>
      <c r="J1166" s="322">
        <f>IFERROR(((VLOOKUP(Calculations[[#This Row],[TransportSource]],TransportDistance[],2,FALSE)*'Stage assumptions'!$C$11)+VLOOKUP(Calculations[[#This Row],[TransportSource]],TransportDistance[],3,FALSE)*'Stage assumptions'!$C$12)*Calculations[[#This Row],[Total Kg]],0)</f>
        <v>0</v>
      </c>
      <c r="K1166">
        <f>IFERROR(VLOOKUP(Calculations[[#This Row],[Material (choose from dropdown]], MaterialData[#All],3, FALSE),0)</f>
        <v>0</v>
      </c>
      <c r="L1166" s="322">
        <f>IFERROR(VLOOKUP(Calculations[[#This Row],[A5type]],A5WastageRate[#All],2,FALSE)*Calculations[[#This Row],[A1-3]],0)</f>
        <v>0</v>
      </c>
      <c r="N1166">
        <f>IFERROR(ROUNDUP(50/VLOOKUP(Calculations[[#This Row],[Scope Element]],B4referenceServiceLife[[Tier 2 element]:[Default Service Life]],2, FALSE)-1,0),0)</f>
        <v>0</v>
      </c>
      <c r="O1166" s="322">
        <f>IFERROR((Calculations[[#This Row],[A1-3]]+Calculations[[#This Row],[A4]]+Calculations[[#This Row],[A5]]+Calculations[[#This Row],[C2 total]]+Calculations[[#This Row],[C3 total]]+Calculations[[#This Row],[C4 total]])*Calculations[[#This Row],[Replacements]],0)</f>
        <v>0</v>
      </c>
      <c r="S1166" t="str">
        <f>IFERROR(VLOOKUP(Calculations[[#This Row],[Material (choose from dropdown]],MaterialData[#All],4,FALSE),"")</f>
        <v/>
      </c>
      <c r="T1166" s="322" cm="1">
        <f t="array" ref="T1166">IFERROR(VLOOKUP(Calculations[[#This Row],[Waste 1]],WasteScenario[#All],2,FALSE)*'Stage assumptions'!$C$225*WasteTransportMethod[Emissions Factor
kgCO2e/kg.km]*Calculations[[#This Row],[Total Kg]],0)</f>
        <v>0</v>
      </c>
      <c r="U1166" s="322" cm="1">
        <f t="array" ref="U1166">IFERROR(VLOOKUP(Calculations[[#This Row],[Waste 1]],WasteScenario[#All],3,FALSE)*'Stage assumptions'!$C$224*WasteTransportMethod[Emissions Factor
kgCO2e/kg.km]*Calculations[[#This Row],[Total Kg]],0)</f>
        <v>0</v>
      </c>
      <c r="V1166" s="322" cm="1">
        <f t="array" ref="V1166">IFERROR(VLOOKUP(Calculations[[#This Row],[Waste 1]],WasteScenario[#All],4,FALSE)*'Stage assumptions'!$C$223*WasteTransportMethod[Emissions Factor
kgCO2e/kg.km]*Calculations[[#This Row],[Total Kg]],0)</f>
        <v>0</v>
      </c>
      <c r="W1166" s="322" cm="1">
        <f t="array" ref="W1166">IFERROR(VLOOKUP(Calculations[[#This Row],[Waste 1]],WasteScenario[#All],5,FALSE)*'Stage assumptions'!$C$226*WasteTransportMethod[Emissions Factor
kgCO2e/kg.km]*Calculations[[#This Row],[Total Kg]],0)</f>
        <v>0</v>
      </c>
      <c r="X1166" s="322">
        <f>SUM(Calculations[[#This Row],[C2 Recycle]:[C2 Reuse]])</f>
        <v>0</v>
      </c>
      <c r="Y1166" t="str">
        <f>IFERROR(VLOOKUP(Calculations[[#This Row],[Material (choose from dropdown]],MaterialData[#All],5,FALSE),"")</f>
        <v/>
      </c>
      <c r="Z1166" s="322">
        <f>IFERROR(((VLOOKUP(Calculations[[#This Row],[Waste type 2]],WasteDisposalEmissions[#All],2,FALSE))*Calculations[[#This Row],[Total Kg]])*VLOOKUP(Calculations[[#This Row],[Waste 1]],WasteScenario[#All],2,FALSE),0)</f>
        <v>0</v>
      </c>
      <c r="AA1166" s="322">
        <f>IFERROR((VLOOKUP(Calculations[[#This Row],[Waste type 2]],WasteDisposalEmissions[#All],3,FALSE))*Calculations[[#This Row],[Total Kg]]*VLOOKUP(Calculations[[#This Row],[Waste 1]],WasteScenario[#All],3,FALSE),0)</f>
        <v>0</v>
      </c>
      <c r="AB1166" s="322">
        <f>SUM(Calculations[[#This Row],[C3 recyc]:[C3 incin]])</f>
        <v>0</v>
      </c>
      <c r="AC1166" s="334">
        <f>IFERROR((VLOOKUP(Calculations[[#This Row],[Waste type 2]],WasteLandfillEmissions[#All],2,FALSE))*Calculations[[#This Row],[Total Kg]]*VLOOKUP(Calculations[[#This Row],[Waste 1]],WasteScenario[#All],4,FALSE),0)</f>
        <v>0</v>
      </c>
      <c r="AD1166" s="322">
        <f>IFERROR((VLOOKUP(Calculations[[#This Row],[Waste type 2]],WasteLandfillEmissions[#All],3,FALSE))*Calculations[[#This Row],[Total Kg]]*VLOOKUP(Calculations[[#This Row],[Waste 1]],WasteScenario[#All],4,FALSE),0)</f>
        <v>0</v>
      </c>
      <c r="AE1166" s="322">
        <f>SUM(Calculations[[#This Row],[C4 landfill]:[C4 re-use]])</f>
        <v>0</v>
      </c>
      <c r="AF1166" s="322">
        <f>IFERROR(VLOOKUP(Calculations[[#This Row],[Material (choose from dropdown]],MaterialData[#All],8,FALSE),0)</f>
        <v>0</v>
      </c>
      <c r="AG1166" s="322">
        <f>IFERROR(Calculations[[#This Row],[Total Kg]]*Calculations[[#This Row],[Seq factor]],0)</f>
        <v>0</v>
      </c>
      <c r="AI1166" s="322">
        <f>Calculations[[#This Row],[A1-3]]+Calculations[[#This Row],[A4]]+Calculations[[#This Row],[A5]]+Calculations[[#This Row],[B4]]+Calculations[[#This Row],[C2 total]]+Calculations[[#This Row],[C3 total]]+Calculations[[#This Row],[C4 total]]</f>
        <v>0</v>
      </c>
      <c r="AJ1166" s="2">
        <f>IFERROR(VLOOKUP(Calculations[[#This Row],[Material (choose from dropdown]],MaterialData[[#Headers],[#Data]],9,FALSE),0)</f>
        <v>0</v>
      </c>
      <c r="AK1166" s="4">
        <f>IFERROR(VLOOKUP(Calculations[[#This Row],[Material (choose from dropdown]],MaterialData[[#Headers],[#Data]],10,FALSE),0)</f>
        <v>0</v>
      </c>
      <c r="AL1166" s="322">
        <f>IFERROR(Calculations[[#This Row],[Data Quality Score]]*Calculations[[#This Row],[Total Kg]],0)</f>
        <v>0</v>
      </c>
    </row>
    <row r="1167" spans="1:38" x14ac:dyDescent="0.3">
      <c r="A1167" s="6">
        <f>IFERROR(MaterialsBoQ[[#This Row],[Scope Element]],0)</f>
        <v>0</v>
      </c>
      <c r="B1167" t="str">
        <f>IFERROR(MaterialsBoQ[[#This Row],[Material ]],"")</f>
        <v/>
      </c>
      <c r="C1167" t="str">
        <f>IFERROR(MaterialsBoQ[[#This Row],[Unit]],"")</f>
        <v/>
      </c>
      <c r="D1167" s="322">
        <f>IFERROR(MaterialsBoQ[[#This Row],[Number]],0)</f>
        <v>0</v>
      </c>
      <c r="E1167" s="322">
        <f>IFERROR(MaterialsBoQ[[#This Row],[Kg per unit]],0)</f>
        <v>0</v>
      </c>
      <c r="F1167" s="322">
        <f>IFERROR(Calculations[[#This Row],[Number]]*Calculations[[#This Row],[Conversion factor]],0)</f>
        <v>0</v>
      </c>
      <c r="G1167" s="322">
        <f>IFERROR(VLOOKUP(Calculations[[#This Row],[Material (choose from dropdown]],MaterialData[#All],7,FALSE),0)</f>
        <v>0</v>
      </c>
      <c r="H1167" s="322">
        <f>Calculations[[#This Row],[Total Kg]]*Calculations[[#This Row],[Carbon Factor]]</f>
        <v>0</v>
      </c>
      <c r="I1167" t="str">
        <f>IFERROR(VLOOKUP(Calculations[[#This Row],[Material (choose from dropdown]],MaterialData[#All],2,FALSE),"")</f>
        <v/>
      </c>
      <c r="J1167" s="322">
        <f>IFERROR(((VLOOKUP(Calculations[[#This Row],[TransportSource]],TransportDistance[],2,FALSE)*'Stage assumptions'!$C$11)+VLOOKUP(Calculations[[#This Row],[TransportSource]],TransportDistance[],3,FALSE)*'Stage assumptions'!$C$12)*Calculations[[#This Row],[Total Kg]],0)</f>
        <v>0</v>
      </c>
      <c r="K1167">
        <f>IFERROR(VLOOKUP(Calculations[[#This Row],[Material (choose from dropdown]], MaterialData[#All],3, FALSE),0)</f>
        <v>0</v>
      </c>
      <c r="L1167" s="322">
        <f>IFERROR(VLOOKUP(Calculations[[#This Row],[A5type]],A5WastageRate[#All],2,FALSE)*Calculations[[#This Row],[A1-3]],0)</f>
        <v>0</v>
      </c>
      <c r="N1167">
        <f>IFERROR(ROUNDUP(50/VLOOKUP(Calculations[[#This Row],[Scope Element]],B4referenceServiceLife[[Tier 2 element]:[Default Service Life]],2, FALSE)-1,0),0)</f>
        <v>0</v>
      </c>
      <c r="O1167" s="322">
        <f>IFERROR((Calculations[[#This Row],[A1-3]]+Calculations[[#This Row],[A4]]+Calculations[[#This Row],[A5]]+Calculations[[#This Row],[C2 total]]+Calculations[[#This Row],[C3 total]]+Calculations[[#This Row],[C4 total]])*Calculations[[#This Row],[Replacements]],0)</f>
        <v>0</v>
      </c>
      <c r="S1167" t="str">
        <f>IFERROR(VLOOKUP(Calculations[[#This Row],[Material (choose from dropdown]],MaterialData[#All],4,FALSE),"")</f>
        <v/>
      </c>
      <c r="T1167" s="322" cm="1">
        <f t="array" ref="T1167">IFERROR(VLOOKUP(Calculations[[#This Row],[Waste 1]],WasteScenario[#All],2,FALSE)*'Stage assumptions'!$C$225*WasteTransportMethod[Emissions Factor
kgCO2e/kg.km]*Calculations[[#This Row],[Total Kg]],0)</f>
        <v>0</v>
      </c>
      <c r="U1167" s="322" cm="1">
        <f t="array" ref="U1167">IFERROR(VLOOKUP(Calculations[[#This Row],[Waste 1]],WasteScenario[#All],3,FALSE)*'Stage assumptions'!$C$224*WasteTransportMethod[Emissions Factor
kgCO2e/kg.km]*Calculations[[#This Row],[Total Kg]],0)</f>
        <v>0</v>
      </c>
      <c r="V1167" s="322" cm="1">
        <f t="array" ref="V1167">IFERROR(VLOOKUP(Calculations[[#This Row],[Waste 1]],WasteScenario[#All],4,FALSE)*'Stage assumptions'!$C$223*WasteTransportMethod[Emissions Factor
kgCO2e/kg.km]*Calculations[[#This Row],[Total Kg]],0)</f>
        <v>0</v>
      </c>
      <c r="W1167" s="322" cm="1">
        <f t="array" ref="W1167">IFERROR(VLOOKUP(Calculations[[#This Row],[Waste 1]],WasteScenario[#All],5,FALSE)*'Stage assumptions'!$C$226*WasteTransportMethod[Emissions Factor
kgCO2e/kg.km]*Calculations[[#This Row],[Total Kg]],0)</f>
        <v>0</v>
      </c>
      <c r="X1167" s="322">
        <f>SUM(Calculations[[#This Row],[C2 Recycle]:[C2 Reuse]])</f>
        <v>0</v>
      </c>
      <c r="Y1167" t="str">
        <f>IFERROR(VLOOKUP(Calculations[[#This Row],[Material (choose from dropdown]],MaterialData[#All],5,FALSE),"")</f>
        <v/>
      </c>
      <c r="Z1167" s="322">
        <f>IFERROR(((VLOOKUP(Calculations[[#This Row],[Waste type 2]],WasteDisposalEmissions[#All],2,FALSE))*Calculations[[#This Row],[Total Kg]])*VLOOKUP(Calculations[[#This Row],[Waste 1]],WasteScenario[#All],2,FALSE),0)</f>
        <v>0</v>
      </c>
      <c r="AA1167" s="322">
        <f>IFERROR((VLOOKUP(Calculations[[#This Row],[Waste type 2]],WasteDisposalEmissions[#All],3,FALSE))*Calculations[[#This Row],[Total Kg]]*VLOOKUP(Calculations[[#This Row],[Waste 1]],WasteScenario[#All],3,FALSE),0)</f>
        <v>0</v>
      </c>
      <c r="AB1167" s="322">
        <f>SUM(Calculations[[#This Row],[C3 recyc]:[C3 incin]])</f>
        <v>0</v>
      </c>
      <c r="AC1167" s="334">
        <f>IFERROR((VLOOKUP(Calculations[[#This Row],[Waste type 2]],WasteLandfillEmissions[#All],2,FALSE))*Calculations[[#This Row],[Total Kg]]*VLOOKUP(Calculations[[#This Row],[Waste 1]],WasteScenario[#All],4,FALSE),0)</f>
        <v>0</v>
      </c>
      <c r="AD1167" s="322">
        <f>IFERROR((VLOOKUP(Calculations[[#This Row],[Waste type 2]],WasteLandfillEmissions[#All],3,FALSE))*Calculations[[#This Row],[Total Kg]]*VLOOKUP(Calculations[[#This Row],[Waste 1]],WasteScenario[#All],4,FALSE),0)</f>
        <v>0</v>
      </c>
      <c r="AE1167" s="322">
        <f>SUM(Calculations[[#This Row],[C4 landfill]:[C4 re-use]])</f>
        <v>0</v>
      </c>
      <c r="AF1167" s="322">
        <f>IFERROR(VLOOKUP(Calculations[[#This Row],[Material (choose from dropdown]],MaterialData[#All],8,FALSE),0)</f>
        <v>0</v>
      </c>
      <c r="AG1167" s="322">
        <f>IFERROR(Calculations[[#This Row],[Total Kg]]*Calculations[[#This Row],[Seq factor]],0)</f>
        <v>0</v>
      </c>
      <c r="AI1167" s="322">
        <f>Calculations[[#This Row],[A1-3]]+Calculations[[#This Row],[A4]]+Calculations[[#This Row],[A5]]+Calculations[[#This Row],[B4]]+Calculations[[#This Row],[C2 total]]+Calculations[[#This Row],[C3 total]]+Calculations[[#This Row],[C4 total]]</f>
        <v>0</v>
      </c>
      <c r="AJ1167" s="2">
        <f>IFERROR(VLOOKUP(Calculations[[#This Row],[Material (choose from dropdown]],MaterialData[[#Headers],[#Data]],9,FALSE),0)</f>
        <v>0</v>
      </c>
      <c r="AK1167" s="4">
        <f>IFERROR(VLOOKUP(Calculations[[#This Row],[Material (choose from dropdown]],MaterialData[[#Headers],[#Data]],10,FALSE),0)</f>
        <v>0</v>
      </c>
      <c r="AL1167" s="322">
        <f>IFERROR(Calculations[[#This Row],[Data Quality Score]]*Calculations[[#This Row],[Total Kg]],0)</f>
        <v>0</v>
      </c>
    </row>
    <row r="1168" spans="1:38" x14ac:dyDescent="0.3">
      <c r="A1168" s="6">
        <f>IFERROR(MaterialsBoQ[[#This Row],[Scope Element]],0)</f>
        <v>0</v>
      </c>
      <c r="B1168" t="str">
        <f>IFERROR(MaterialsBoQ[[#This Row],[Material ]],"")</f>
        <v/>
      </c>
      <c r="C1168" t="str">
        <f>IFERROR(MaterialsBoQ[[#This Row],[Unit]],"")</f>
        <v/>
      </c>
      <c r="D1168" s="322">
        <f>IFERROR(MaterialsBoQ[[#This Row],[Number]],0)</f>
        <v>0</v>
      </c>
      <c r="E1168" s="322">
        <f>IFERROR(MaterialsBoQ[[#This Row],[Kg per unit]],0)</f>
        <v>0</v>
      </c>
      <c r="F1168" s="322">
        <f>IFERROR(Calculations[[#This Row],[Number]]*Calculations[[#This Row],[Conversion factor]],0)</f>
        <v>0</v>
      </c>
      <c r="G1168" s="322">
        <f>IFERROR(VLOOKUP(Calculations[[#This Row],[Material (choose from dropdown]],MaterialData[#All],7,FALSE),0)</f>
        <v>0</v>
      </c>
      <c r="H1168" s="322">
        <f>Calculations[[#This Row],[Total Kg]]*Calculations[[#This Row],[Carbon Factor]]</f>
        <v>0</v>
      </c>
      <c r="I1168" t="str">
        <f>IFERROR(VLOOKUP(Calculations[[#This Row],[Material (choose from dropdown]],MaterialData[#All],2,FALSE),"")</f>
        <v/>
      </c>
      <c r="J1168" s="322">
        <f>IFERROR(((VLOOKUP(Calculations[[#This Row],[TransportSource]],TransportDistance[],2,FALSE)*'Stage assumptions'!$C$11)+VLOOKUP(Calculations[[#This Row],[TransportSource]],TransportDistance[],3,FALSE)*'Stage assumptions'!$C$12)*Calculations[[#This Row],[Total Kg]],0)</f>
        <v>0</v>
      </c>
      <c r="K1168">
        <f>IFERROR(VLOOKUP(Calculations[[#This Row],[Material (choose from dropdown]], MaterialData[#All],3, FALSE),0)</f>
        <v>0</v>
      </c>
      <c r="L1168" s="322">
        <f>IFERROR(VLOOKUP(Calculations[[#This Row],[A5type]],A5WastageRate[#All],2,FALSE)*Calculations[[#This Row],[A1-3]],0)</f>
        <v>0</v>
      </c>
      <c r="N1168">
        <f>IFERROR(ROUNDUP(50/VLOOKUP(Calculations[[#This Row],[Scope Element]],B4referenceServiceLife[[Tier 2 element]:[Default Service Life]],2, FALSE)-1,0),0)</f>
        <v>0</v>
      </c>
      <c r="O1168" s="322">
        <f>IFERROR((Calculations[[#This Row],[A1-3]]+Calculations[[#This Row],[A4]]+Calculations[[#This Row],[A5]]+Calculations[[#This Row],[C2 total]]+Calculations[[#This Row],[C3 total]]+Calculations[[#This Row],[C4 total]])*Calculations[[#This Row],[Replacements]],0)</f>
        <v>0</v>
      </c>
      <c r="S1168" t="str">
        <f>IFERROR(VLOOKUP(Calculations[[#This Row],[Material (choose from dropdown]],MaterialData[#All],4,FALSE),"")</f>
        <v/>
      </c>
      <c r="T1168" s="322" cm="1">
        <f t="array" ref="T1168">IFERROR(VLOOKUP(Calculations[[#This Row],[Waste 1]],WasteScenario[#All],2,FALSE)*'Stage assumptions'!$C$225*WasteTransportMethod[Emissions Factor
kgCO2e/kg.km]*Calculations[[#This Row],[Total Kg]],0)</f>
        <v>0</v>
      </c>
      <c r="U1168" s="322" cm="1">
        <f t="array" ref="U1168">IFERROR(VLOOKUP(Calculations[[#This Row],[Waste 1]],WasteScenario[#All],3,FALSE)*'Stage assumptions'!$C$224*WasteTransportMethod[Emissions Factor
kgCO2e/kg.km]*Calculations[[#This Row],[Total Kg]],0)</f>
        <v>0</v>
      </c>
      <c r="V1168" s="322" cm="1">
        <f t="array" ref="V1168">IFERROR(VLOOKUP(Calculations[[#This Row],[Waste 1]],WasteScenario[#All],4,FALSE)*'Stage assumptions'!$C$223*WasteTransportMethod[Emissions Factor
kgCO2e/kg.km]*Calculations[[#This Row],[Total Kg]],0)</f>
        <v>0</v>
      </c>
      <c r="W1168" s="322" cm="1">
        <f t="array" ref="W1168">IFERROR(VLOOKUP(Calculations[[#This Row],[Waste 1]],WasteScenario[#All],5,FALSE)*'Stage assumptions'!$C$226*WasteTransportMethod[Emissions Factor
kgCO2e/kg.km]*Calculations[[#This Row],[Total Kg]],0)</f>
        <v>0</v>
      </c>
      <c r="X1168" s="322">
        <f>SUM(Calculations[[#This Row],[C2 Recycle]:[C2 Reuse]])</f>
        <v>0</v>
      </c>
      <c r="Y1168" t="str">
        <f>IFERROR(VLOOKUP(Calculations[[#This Row],[Material (choose from dropdown]],MaterialData[#All],5,FALSE),"")</f>
        <v/>
      </c>
      <c r="Z1168" s="322">
        <f>IFERROR(((VLOOKUP(Calculations[[#This Row],[Waste type 2]],WasteDisposalEmissions[#All],2,FALSE))*Calculations[[#This Row],[Total Kg]])*VLOOKUP(Calculations[[#This Row],[Waste 1]],WasteScenario[#All],2,FALSE),0)</f>
        <v>0</v>
      </c>
      <c r="AA1168" s="322">
        <f>IFERROR((VLOOKUP(Calculations[[#This Row],[Waste type 2]],WasteDisposalEmissions[#All],3,FALSE))*Calculations[[#This Row],[Total Kg]]*VLOOKUP(Calculations[[#This Row],[Waste 1]],WasteScenario[#All],3,FALSE),0)</f>
        <v>0</v>
      </c>
      <c r="AB1168" s="322">
        <f>SUM(Calculations[[#This Row],[C3 recyc]:[C3 incin]])</f>
        <v>0</v>
      </c>
      <c r="AC1168" s="334">
        <f>IFERROR((VLOOKUP(Calculations[[#This Row],[Waste type 2]],WasteLandfillEmissions[#All],2,FALSE))*Calculations[[#This Row],[Total Kg]]*VLOOKUP(Calculations[[#This Row],[Waste 1]],WasteScenario[#All],4,FALSE),0)</f>
        <v>0</v>
      </c>
      <c r="AD1168" s="322">
        <f>IFERROR((VLOOKUP(Calculations[[#This Row],[Waste type 2]],WasteLandfillEmissions[#All],3,FALSE))*Calculations[[#This Row],[Total Kg]]*VLOOKUP(Calculations[[#This Row],[Waste 1]],WasteScenario[#All],4,FALSE),0)</f>
        <v>0</v>
      </c>
      <c r="AE1168" s="322">
        <f>SUM(Calculations[[#This Row],[C4 landfill]:[C4 re-use]])</f>
        <v>0</v>
      </c>
      <c r="AF1168" s="322">
        <f>IFERROR(VLOOKUP(Calculations[[#This Row],[Material (choose from dropdown]],MaterialData[#All],8,FALSE),0)</f>
        <v>0</v>
      </c>
      <c r="AG1168" s="322">
        <f>IFERROR(Calculations[[#This Row],[Total Kg]]*Calculations[[#This Row],[Seq factor]],0)</f>
        <v>0</v>
      </c>
      <c r="AI1168" s="322">
        <f>Calculations[[#This Row],[A1-3]]+Calculations[[#This Row],[A4]]+Calculations[[#This Row],[A5]]+Calculations[[#This Row],[B4]]+Calculations[[#This Row],[C2 total]]+Calculations[[#This Row],[C3 total]]+Calculations[[#This Row],[C4 total]]</f>
        <v>0</v>
      </c>
      <c r="AJ1168" s="2">
        <f>IFERROR(VLOOKUP(Calculations[[#This Row],[Material (choose from dropdown]],MaterialData[[#Headers],[#Data]],9,FALSE),0)</f>
        <v>0</v>
      </c>
      <c r="AK1168" s="4">
        <f>IFERROR(VLOOKUP(Calculations[[#This Row],[Material (choose from dropdown]],MaterialData[[#Headers],[#Data]],10,FALSE),0)</f>
        <v>0</v>
      </c>
      <c r="AL1168" s="322">
        <f>IFERROR(Calculations[[#This Row],[Data Quality Score]]*Calculations[[#This Row],[Total Kg]],0)</f>
        <v>0</v>
      </c>
    </row>
    <row r="1169" spans="1:38" x14ac:dyDescent="0.3">
      <c r="A1169" s="6">
        <f>IFERROR(MaterialsBoQ[[#This Row],[Scope Element]],0)</f>
        <v>0</v>
      </c>
      <c r="B1169" t="str">
        <f>IFERROR(MaterialsBoQ[[#This Row],[Material ]],"")</f>
        <v/>
      </c>
      <c r="C1169" t="str">
        <f>IFERROR(MaterialsBoQ[[#This Row],[Unit]],"")</f>
        <v/>
      </c>
      <c r="D1169" s="322">
        <f>IFERROR(MaterialsBoQ[[#This Row],[Number]],0)</f>
        <v>0</v>
      </c>
      <c r="E1169" s="322">
        <f>IFERROR(MaterialsBoQ[[#This Row],[Kg per unit]],0)</f>
        <v>0</v>
      </c>
      <c r="F1169" s="322">
        <f>IFERROR(Calculations[[#This Row],[Number]]*Calculations[[#This Row],[Conversion factor]],0)</f>
        <v>0</v>
      </c>
      <c r="G1169" s="322">
        <f>IFERROR(VLOOKUP(Calculations[[#This Row],[Material (choose from dropdown]],MaterialData[#All],7,FALSE),0)</f>
        <v>0</v>
      </c>
      <c r="H1169" s="322">
        <f>Calculations[[#This Row],[Total Kg]]*Calculations[[#This Row],[Carbon Factor]]</f>
        <v>0</v>
      </c>
      <c r="I1169" t="str">
        <f>IFERROR(VLOOKUP(Calculations[[#This Row],[Material (choose from dropdown]],MaterialData[#All],2,FALSE),"")</f>
        <v/>
      </c>
      <c r="J1169" s="322">
        <f>IFERROR(((VLOOKUP(Calculations[[#This Row],[TransportSource]],TransportDistance[],2,FALSE)*'Stage assumptions'!$C$11)+VLOOKUP(Calculations[[#This Row],[TransportSource]],TransportDistance[],3,FALSE)*'Stage assumptions'!$C$12)*Calculations[[#This Row],[Total Kg]],0)</f>
        <v>0</v>
      </c>
      <c r="K1169">
        <f>IFERROR(VLOOKUP(Calculations[[#This Row],[Material (choose from dropdown]], MaterialData[#All],3, FALSE),0)</f>
        <v>0</v>
      </c>
      <c r="L1169" s="322">
        <f>IFERROR(VLOOKUP(Calculations[[#This Row],[A5type]],A5WastageRate[#All],2,FALSE)*Calculations[[#This Row],[A1-3]],0)</f>
        <v>0</v>
      </c>
      <c r="N1169">
        <f>IFERROR(ROUNDUP(50/VLOOKUP(Calculations[[#This Row],[Scope Element]],B4referenceServiceLife[[Tier 2 element]:[Default Service Life]],2, FALSE)-1,0),0)</f>
        <v>0</v>
      </c>
      <c r="O1169" s="322">
        <f>IFERROR((Calculations[[#This Row],[A1-3]]+Calculations[[#This Row],[A4]]+Calculations[[#This Row],[A5]]+Calculations[[#This Row],[C2 total]]+Calculations[[#This Row],[C3 total]]+Calculations[[#This Row],[C4 total]])*Calculations[[#This Row],[Replacements]],0)</f>
        <v>0</v>
      </c>
      <c r="S1169" t="str">
        <f>IFERROR(VLOOKUP(Calculations[[#This Row],[Material (choose from dropdown]],MaterialData[#All],4,FALSE),"")</f>
        <v/>
      </c>
      <c r="T1169" s="322" cm="1">
        <f t="array" ref="T1169">IFERROR(VLOOKUP(Calculations[[#This Row],[Waste 1]],WasteScenario[#All],2,FALSE)*'Stage assumptions'!$C$225*WasteTransportMethod[Emissions Factor
kgCO2e/kg.km]*Calculations[[#This Row],[Total Kg]],0)</f>
        <v>0</v>
      </c>
      <c r="U1169" s="322" cm="1">
        <f t="array" ref="U1169">IFERROR(VLOOKUP(Calculations[[#This Row],[Waste 1]],WasteScenario[#All],3,FALSE)*'Stage assumptions'!$C$224*WasteTransportMethod[Emissions Factor
kgCO2e/kg.km]*Calculations[[#This Row],[Total Kg]],0)</f>
        <v>0</v>
      </c>
      <c r="V1169" s="322" cm="1">
        <f t="array" ref="V1169">IFERROR(VLOOKUP(Calculations[[#This Row],[Waste 1]],WasteScenario[#All],4,FALSE)*'Stage assumptions'!$C$223*WasteTransportMethod[Emissions Factor
kgCO2e/kg.km]*Calculations[[#This Row],[Total Kg]],0)</f>
        <v>0</v>
      </c>
      <c r="W1169" s="322" cm="1">
        <f t="array" ref="W1169">IFERROR(VLOOKUP(Calculations[[#This Row],[Waste 1]],WasteScenario[#All],5,FALSE)*'Stage assumptions'!$C$226*WasteTransportMethod[Emissions Factor
kgCO2e/kg.km]*Calculations[[#This Row],[Total Kg]],0)</f>
        <v>0</v>
      </c>
      <c r="X1169" s="322">
        <f>SUM(Calculations[[#This Row],[C2 Recycle]:[C2 Reuse]])</f>
        <v>0</v>
      </c>
      <c r="Y1169" t="str">
        <f>IFERROR(VLOOKUP(Calculations[[#This Row],[Material (choose from dropdown]],MaterialData[#All],5,FALSE),"")</f>
        <v/>
      </c>
      <c r="Z1169" s="322">
        <f>IFERROR(((VLOOKUP(Calculations[[#This Row],[Waste type 2]],WasteDisposalEmissions[#All],2,FALSE))*Calculations[[#This Row],[Total Kg]])*VLOOKUP(Calculations[[#This Row],[Waste 1]],WasteScenario[#All],2,FALSE),0)</f>
        <v>0</v>
      </c>
      <c r="AA1169" s="322">
        <f>IFERROR((VLOOKUP(Calculations[[#This Row],[Waste type 2]],WasteDisposalEmissions[#All],3,FALSE))*Calculations[[#This Row],[Total Kg]]*VLOOKUP(Calculations[[#This Row],[Waste 1]],WasteScenario[#All],3,FALSE),0)</f>
        <v>0</v>
      </c>
      <c r="AB1169" s="322">
        <f>SUM(Calculations[[#This Row],[C3 recyc]:[C3 incin]])</f>
        <v>0</v>
      </c>
      <c r="AC1169" s="334">
        <f>IFERROR((VLOOKUP(Calculations[[#This Row],[Waste type 2]],WasteLandfillEmissions[#All],2,FALSE))*Calculations[[#This Row],[Total Kg]]*VLOOKUP(Calculations[[#This Row],[Waste 1]],WasteScenario[#All],4,FALSE),0)</f>
        <v>0</v>
      </c>
      <c r="AD1169" s="322">
        <f>IFERROR((VLOOKUP(Calculations[[#This Row],[Waste type 2]],WasteLandfillEmissions[#All],3,FALSE))*Calculations[[#This Row],[Total Kg]]*VLOOKUP(Calculations[[#This Row],[Waste 1]],WasteScenario[#All],4,FALSE),0)</f>
        <v>0</v>
      </c>
      <c r="AE1169" s="322">
        <f>SUM(Calculations[[#This Row],[C4 landfill]:[C4 re-use]])</f>
        <v>0</v>
      </c>
      <c r="AF1169" s="322">
        <f>IFERROR(VLOOKUP(Calculations[[#This Row],[Material (choose from dropdown]],MaterialData[#All],8,FALSE),0)</f>
        <v>0</v>
      </c>
      <c r="AG1169" s="322">
        <f>IFERROR(Calculations[[#This Row],[Total Kg]]*Calculations[[#This Row],[Seq factor]],0)</f>
        <v>0</v>
      </c>
      <c r="AI1169" s="322">
        <f>Calculations[[#This Row],[A1-3]]+Calculations[[#This Row],[A4]]+Calculations[[#This Row],[A5]]+Calculations[[#This Row],[B4]]+Calculations[[#This Row],[C2 total]]+Calculations[[#This Row],[C3 total]]+Calculations[[#This Row],[C4 total]]</f>
        <v>0</v>
      </c>
      <c r="AJ1169" s="2">
        <f>IFERROR(VLOOKUP(Calculations[[#This Row],[Material (choose from dropdown]],MaterialData[[#Headers],[#Data]],9,FALSE),0)</f>
        <v>0</v>
      </c>
      <c r="AK1169" s="4">
        <f>IFERROR(VLOOKUP(Calculations[[#This Row],[Material (choose from dropdown]],MaterialData[[#Headers],[#Data]],10,FALSE),0)</f>
        <v>0</v>
      </c>
      <c r="AL1169" s="322">
        <f>IFERROR(Calculations[[#This Row],[Data Quality Score]]*Calculations[[#This Row],[Total Kg]],0)</f>
        <v>0</v>
      </c>
    </row>
    <row r="1170" spans="1:38" x14ac:dyDescent="0.3">
      <c r="A1170" s="6">
        <f>IFERROR(MaterialsBoQ[[#This Row],[Scope Element]],0)</f>
        <v>0</v>
      </c>
      <c r="B1170" t="str">
        <f>IFERROR(MaterialsBoQ[[#This Row],[Material ]],"")</f>
        <v/>
      </c>
      <c r="C1170" t="str">
        <f>IFERROR(MaterialsBoQ[[#This Row],[Unit]],"")</f>
        <v/>
      </c>
      <c r="D1170" s="322">
        <f>IFERROR(MaterialsBoQ[[#This Row],[Number]],0)</f>
        <v>0</v>
      </c>
      <c r="E1170" s="322">
        <f>IFERROR(MaterialsBoQ[[#This Row],[Kg per unit]],0)</f>
        <v>0</v>
      </c>
      <c r="F1170" s="322">
        <f>IFERROR(Calculations[[#This Row],[Number]]*Calculations[[#This Row],[Conversion factor]],0)</f>
        <v>0</v>
      </c>
      <c r="G1170" s="322">
        <f>IFERROR(VLOOKUP(Calculations[[#This Row],[Material (choose from dropdown]],MaterialData[#All],7,FALSE),0)</f>
        <v>0</v>
      </c>
      <c r="H1170" s="322">
        <f>Calculations[[#This Row],[Total Kg]]*Calculations[[#This Row],[Carbon Factor]]</f>
        <v>0</v>
      </c>
      <c r="I1170" t="str">
        <f>IFERROR(VLOOKUP(Calculations[[#This Row],[Material (choose from dropdown]],MaterialData[#All],2,FALSE),"")</f>
        <v/>
      </c>
      <c r="J1170" s="322">
        <f>IFERROR(((VLOOKUP(Calculations[[#This Row],[TransportSource]],TransportDistance[],2,FALSE)*'Stage assumptions'!$C$11)+VLOOKUP(Calculations[[#This Row],[TransportSource]],TransportDistance[],3,FALSE)*'Stage assumptions'!$C$12)*Calculations[[#This Row],[Total Kg]],0)</f>
        <v>0</v>
      </c>
      <c r="K1170">
        <f>IFERROR(VLOOKUP(Calculations[[#This Row],[Material (choose from dropdown]], MaterialData[#All],3, FALSE),0)</f>
        <v>0</v>
      </c>
      <c r="L1170" s="322">
        <f>IFERROR(VLOOKUP(Calculations[[#This Row],[A5type]],A5WastageRate[#All],2,FALSE)*Calculations[[#This Row],[A1-3]],0)</f>
        <v>0</v>
      </c>
      <c r="N1170">
        <f>IFERROR(ROUNDUP(50/VLOOKUP(Calculations[[#This Row],[Scope Element]],B4referenceServiceLife[[Tier 2 element]:[Default Service Life]],2, FALSE)-1,0),0)</f>
        <v>0</v>
      </c>
      <c r="O1170" s="322">
        <f>IFERROR((Calculations[[#This Row],[A1-3]]+Calculations[[#This Row],[A4]]+Calculations[[#This Row],[A5]]+Calculations[[#This Row],[C2 total]]+Calculations[[#This Row],[C3 total]]+Calculations[[#This Row],[C4 total]])*Calculations[[#This Row],[Replacements]],0)</f>
        <v>0</v>
      </c>
      <c r="S1170" t="str">
        <f>IFERROR(VLOOKUP(Calculations[[#This Row],[Material (choose from dropdown]],MaterialData[#All],4,FALSE),"")</f>
        <v/>
      </c>
      <c r="T1170" s="322" cm="1">
        <f t="array" ref="T1170">IFERROR(VLOOKUP(Calculations[[#This Row],[Waste 1]],WasteScenario[#All],2,FALSE)*'Stage assumptions'!$C$225*WasteTransportMethod[Emissions Factor
kgCO2e/kg.km]*Calculations[[#This Row],[Total Kg]],0)</f>
        <v>0</v>
      </c>
      <c r="U1170" s="322" cm="1">
        <f t="array" ref="U1170">IFERROR(VLOOKUP(Calculations[[#This Row],[Waste 1]],WasteScenario[#All],3,FALSE)*'Stage assumptions'!$C$224*WasteTransportMethod[Emissions Factor
kgCO2e/kg.km]*Calculations[[#This Row],[Total Kg]],0)</f>
        <v>0</v>
      </c>
      <c r="V1170" s="322" cm="1">
        <f t="array" ref="V1170">IFERROR(VLOOKUP(Calculations[[#This Row],[Waste 1]],WasteScenario[#All],4,FALSE)*'Stage assumptions'!$C$223*WasteTransportMethod[Emissions Factor
kgCO2e/kg.km]*Calculations[[#This Row],[Total Kg]],0)</f>
        <v>0</v>
      </c>
      <c r="W1170" s="322" cm="1">
        <f t="array" ref="W1170">IFERROR(VLOOKUP(Calculations[[#This Row],[Waste 1]],WasteScenario[#All],5,FALSE)*'Stage assumptions'!$C$226*WasteTransportMethod[Emissions Factor
kgCO2e/kg.km]*Calculations[[#This Row],[Total Kg]],0)</f>
        <v>0</v>
      </c>
      <c r="X1170" s="322">
        <f>SUM(Calculations[[#This Row],[C2 Recycle]:[C2 Reuse]])</f>
        <v>0</v>
      </c>
      <c r="Y1170" t="str">
        <f>IFERROR(VLOOKUP(Calculations[[#This Row],[Material (choose from dropdown]],MaterialData[#All],5,FALSE),"")</f>
        <v/>
      </c>
      <c r="Z1170" s="322">
        <f>IFERROR(((VLOOKUP(Calculations[[#This Row],[Waste type 2]],WasteDisposalEmissions[#All],2,FALSE))*Calculations[[#This Row],[Total Kg]])*VLOOKUP(Calculations[[#This Row],[Waste 1]],WasteScenario[#All],2,FALSE),0)</f>
        <v>0</v>
      </c>
      <c r="AA1170" s="322">
        <f>IFERROR((VLOOKUP(Calculations[[#This Row],[Waste type 2]],WasteDisposalEmissions[#All],3,FALSE))*Calculations[[#This Row],[Total Kg]]*VLOOKUP(Calculations[[#This Row],[Waste 1]],WasteScenario[#All],3,FALSE),0)</f>
        <v>0</v>
      </c>
      <c r="AB1170" s="322">
        <f>SUM(Calculations[[#This Row],[C3 recyc]:[C3 incin]])</f>
        <v>0</v>
      </c>
      <c r="AC1170" s="334">
        <f>IFERROR((VLOOKUP(Calculations[[#This Row],[Waste type 2]],WasteLandfillEmissions[#All],2,FALSE))*Calculations[[#This Row],[Total Kg]]*VLOOKUP(Calculations[[#This Row],[Waste 1]],WasteScenario[#All],4,FALSE),0)</f>
        <v>0</v>
      </c>
      <c r="AD1170" s="322">
        <f>IFERROR((VLOOKUP(Calculations[[#This Row],[Waste type 2]],WasteLandfillEmissions[#All],3,FALSE))*Calculations[[#This Row],[Total Kg]]*VLOOKUP(Calculations[[#This Row],[Waste 1]],WasteScenario[#All],4,FALSE),0)</f>
        <v>0</v>
      </c>
      <c r="AE1170" s="322">
        <f>SUM(Calculations[[#This Row],[C4 landfill]:[C4 re-use]])</f>
        <v>0</v>
      </c>
      <c r="AF1170" s="322">
        <f>IFERROR(VLOOKUP(Calculations[[#This Row],[Material (choose from dropdown]],MaterialData[#All],8,FALSE),0)</f>
        <v>0</v>
      </c>
      <c r="AG1170" s="322">
        <f>IFERROR(Calculations[[#This Row],[Total Kg]]*Calculations[[#This Row],[Seq factor]],0)</f>
        <v>0</v>
      </c>
      <c r="AI1170" s="322">
        <f>Calculations[[#This Row],[A1-3]]+Calculations[[#This Row],[A4]]+Calculations[[#This Row],[A5]]+Calculations[[#This Row],[B4]]+Calculations[[#This Row],[C2 total]]+Calculations[[#This Row],[C3 total]]+Calculations[[#This Row],[C4 total]]</f>
        <v>0</v>
      </c>
      <c r="AJ1170" s="2">
        <f>IFERROR(VLOOKUP(Calculations[[#This Row],[Material (choose from dropdown]],MaterialData[[#Headers],[#Data]],9,FALSE),0)</f>
        <v>0</v>
      </c>
      <c r="AK1170" s="4">
        <f>IFERROR(VLOOKUP(Calculations[[#This Row],[Material (choose from dropdown]],MaterialData[[#Headers],[#Data]],10,FALSE),0)</f>
        <v>0</v>
      </c>
      <c r="AL1170" s="322">
        <f>IFERROR(Calculations[[#This Row],[Data Quality Score]]*Calculations[[#This Row],[Total Kg]],0)</f>
        <v>0</v>
      </c>
    </row>
    <row r="1171" spans="1:38" x14ac:dyDescent="0.3">
      <c r="A1171" s="6">
        <f>IFERROR(MaterialsBoQ[[#This Row],[Scope Element]],0)</f>
        <v>0</v>
      </c>
      <c r="B1171" t="str">
        <f>IFERROR(MaterialsBoQ[[#This Row],[Material ]],"")</f>
        <v/>
      </c>
      <c r="C1171" t="str">
        <f>IFERROR(MaterialsBoQ[[#This Row],[Unit]],"")</f>
        <v/>
      </c>
      <c r="D1171" s="322">
        <f>IFERROR(MaterialsBoQ[[#This Row],[Number]],0)</f>
        <v>0</v>
      </c>
      <c r="E1171" s="322">
        <f>IFERROR(MaterialsBoQ[[#This Row],[Kg per unit]],0)</f>
        <v>0</v>
      </c>
      <c r="F1171" s="322">
        <f>IFERROR(Calculations[[#This Row],[Number]]*Calculations[[#This Row],[Conversion factor]],0)</f>
        <v>0</v>
      </c>
      <c r="G1171" s="322">
        <f>IFERROR(VLOOKUP(Calculations[[#This Row],[Material (choose from dropdown]],MaterialData[#All],7,FALSE),0)</f>
        <v>0</v>
      </c>
      <c r="H1171" s="322">
        <f>Calculations[[#This Row],[Total Kg]]*Calculations[[#This Row],[Carbon Factor]]</f>
        <v>0</v>
      </c>
      <c r="I1171" t="str">
        <f>IFERROR(VLOOKUP(Calculations[[#This Row],[Material (choose from dropdown]],MaterialData[#All],2,FALSE),"")</f>
        <v/>
      </c>
      <c r="J1171" s="322">
        <f>IFERROR(((VLOOKUP(Calculations[[#This Row],[TransportSource]],TransportDistance[],2,FALSE)*'Stage assumptions'!$C$11)+VLOOKUP(Calculations[[#This Row],[TransportSource]],TransportDistance[],3,FALSE)*'Stage assumptions'!$C$12)*Calculations[[#This Row],[Total Kg]],0)</f>
        <v>0</v>
      </c>
      <c r="K1171">
        <f>IFERROR(VLOOKUP(Calculations[[#This Row],[Material (choose from dropdown]], MaterialData[#All],3, FALSE),0)</f>
        <v>0</v>
      </c>
      <c r="L1171" s="322">
        <f>IFERROR(VLOOKUP(Calculations[[#This Row],[A5type]],A5WastageRate[#All],2,FALSE)*Calculations[[#This Row],[A1-3]],0)</f>
        <v>0</v>
      </c>
      <c r="N1171">
        <f>IFERROR(ROUNDUP(50/VLOOKUP(Calculations[[#This Row],[Scope Element]],B4referenceServiceLife[[Tier 2 element]:[Default Service Life]],2, FALSE)-1,0),0)</f>
        <v>0</v>
      </c>
      <c r="O1171" s="322">
        <f>IFERROR((Calculations[[#This Row],[A1-3]]+Calculations[[#This Row],[A4]]+Calculations[[#This Row],[A5]]+Calculations[[#This Row],[C2 total]]+Calculations[[#This Row],[C3 total]]+Calculations[[#This Row],[C4 total]])*Calculations[[#This Row],[Replacements]],0)</f>
        <v>0</v>
      </c>
      <c r="S1171" t="str">
        <f>IFERROR(VLOOKUP(Calculations[[#This Row],[Material (choose from dropdown]],MaterialData[#All],4,FALSE),"")</f>
        <v/>
      </c>
      <c r="T1171" s="322" cm="1">
        <f t="array" ref="T1171">IFERROR(VLOOKUP(Calculations[[#This Row],[Waste 1]],WasteScenario[#All],2,FALSE)*'Stage assumptions'!$C$225*WasteTransportMethod[Emissions Factor
kgCO2e/kg.km]*Calculations[[#This Row],[Total Kg]],0)</f>
        <v>0</v>
      </c>
      <c r="U1171" s="322" cm="1">
        <f t="array" ref="U1171">IFERROR(VLOOKUP(Calculations[[#This Row],[Waste 1]],WasteScenario[#All],3,FALSE)*'Stage assumptions'!$C$224*WasteTransportMethod[Emissions Factor
kgCO2e/kg.km]*Calculations[[#This Row],[Total Kg]],0)</f>
        <v>0</v>
      </c>
      <c r="V1171" s="322" cm="1">
        <f t="array" ref="V1171">IFERROR(VLOOKUP(Calculations[[#This Row],[Waste 1]],WasteScenario[#All],4,FALSE)*'Stage assumptions'!$C$223*WasteTransportMethod[Emissions Factor
kgCO2e/kg.km]*Calculations[[#This Row],[Total Kg]],0)</f>
        <v>0</v>
      </c>
      <c r="W1171" s="322" cm="1">
        <f t="array" ref="W1171">IFERROR(VLOOKUP(Calculations[[#This Row],[Waste 1]],WasteScenario[#All],5,FALSE)*'Stage assumptions'!$C$226*WasteTransportMethod[Emissions Factor
kgCO2e/kg.km]*Calculations[[#This Row],[Total Kg]],0)</f>
        <v>0</v>
      </c>
      <c r="X1171" s="322">
        <f>SUM(Calculations[[#This Row],[C2 Recycle]:[C2 Reuse]])</f>
        <v>0</v>
      </c>
      <c r="Y1171" t="str">
        <f>IFERROR(VLOOKUP(Calculations[[#This Row],[Material (choose from dropdown]],MaterialData[#All],5,FALSE),"")</f>
        <v/>
      </c>
      <c r="Z1171" s="322">
        <f>IFERROR(((VLOOKUP(Calculations[[#This Row],[Waste type 2]],WasteDisposalEmissions[#All],2,FALSE))*Calculations[[#This Row],[Total Kg]])*VLOOKUP(Calculations[[#This Row],[Waste 1]],WasteScenario[#All],2,FALSE),0)</f>
        <v>0</v>
      </c>
      <c r="AA1171" s="322">
        <f>IFERROR((VLOOKUP(Calculations[[#This Row],[Waste type 2]],WasteDisposalEmissions[#All],3,FALSE))*Calculations[[#This Row],[Total Kg]]*VLOOKUP(Calculations[[#This Row],[Waste 1]],WasteScenario[#All],3,FALSE),0)</f>
        <v>0</v>
      </c>
      <c r="AB1171" s="322">
        <f>SUM(Calculations[[#This Row],[C3 recyc]:[C3 incin]])</f>
        <v>0</v>
      </c>
      <c r="AC1171" s="334">
        <f>IFERROR((VLOOKUP(Calculations[[#This Row],[Waste type 2]],WasteLandfillEmissions[#All],2,FALSE))*Calculations[[#This Row],[Total Kg]]*VLOOKUP(Calculations[[#This Row],[Waste 1]],WasteScenario[#All],4,FALSE),0)</f>
        <v>0</v>
      </c>
      <c r="AD1171" s="322">
        <f>IFERROR((VLOOKUP(Calculations[[#This Row],[Waste type 2]],WasteLandfillEmissions[#All],3,FALSE))*Calculations[[#This Row],[Total Kg]]*VLOOKUP(Calculations[[#This Row],[Waste 1]],WasteScenario[#All],4,FALSE),0)</f>
        <v>0</v>
      </c>
      <c r="AE1171" s="322">
        <f>SUM(Calculations[[#This Row],[C4 landfill]:[C4 re-use]])</f>
        <v>0</v>
      </c>
      <c r="AF1171" s="322">
        <f>IFERROR(VLOOKUP(Calculations[[#This Row],[Material (choose from dropdown]],MaterialData[#All],8,FALSE),0)</f>
        <v>0</v>
      </c>
      <c r="AG1171" s="322">
        <f>IFERROR(Calculations[[#This Row],[Total Kg]]*Calculations[[#This Row],[Seq factor]],0)</f>
        <v>0</v>
      </c>
      <c r="AI1171" s="322">
        <f>Calculations[[#This Row],[A1-3]]+Calculations[[#This Row],[A4]]+Calculations[[#This Row],[A5]]+Calculations[[#This Row],[B4]]+Calculations[[#This Row],[C2 total]]+Calculations[[#This Row],[C3 total]]+Calculations[[#This Row],[C4 total]]</f>
        <v>0</v>
      </c>
      <c r="AJ1171" s="2">
        <f>IFERROR(VLOOKUP(Calculations[[#This Row],[Material (choose from dropdown]],MaterialData[[#Headers],[#Data]],9,FALSE),0)</f>
        <v>0</v>
      </c>
      <c r="AK1171" s="4">
        <f>IFERROR(VLOOKUP(Calculations[[#This Row],[Material (choose from dropdown]],MaterialData[[#Headers],[#Data]],10,FALSE),0)</f>
        <v>0</v>
      </c>
      <c r="AL1171" s="322">
        <f>IFERROR(Calculations[[#This Row],[Data Quality Score]]*Calculations[[#This Row],[Total Kg]],0)</f>
        <v>0</v>
      </c>
    </row>
    <row r="1172" spans="1:38" x14ac:dyDescent="0.3">
      <c r="A1172" s="6">
        <f>IFERROR(MaterialsBoQ[[#This Row],[Scope Element]],0)</f>
        <v>0</v>
      </c>
      <c r="B1172" t="str">
        <f>IFERROR(MaterialsBoQ[[#This Row],[Material ]],"")</f>
        <v/>
      </c>
      <c r="C1172" t="str">
        <f>IFERROR(MaterialsBoQ[[#This Row],[Unit]],"")</f>
        <v/>
      </c>
      <c r="D1172" s="322">
        <f>IFERROR(MaterialsBoQ[[#This Row],[Number]],0)</f>
        <v>0</v>
      </c>
      <c r="E1172" s="322">
        <f>IFERROR(MaterialsBoQ[[#This Row],[Kg per unit]],0)</f>
        <v>0</v>
      </c>
      <c r="F1172" s="322">
        <f>IFERROR(Calculations[[#This Row],[Number]]*Calculations[[#This Row],[Conversion factor]],0)</f>
        <v>0</v>
      </c>
      <c r="G1172" s="322">
        <f>IFERROR(VLOOKUP(Calculations[[#This Row],[Material (choose from dropdown]],MaterialData[#All],7,FALSE),0)</f>
        <v>0</v>
      </c>
      <c r="H1172" s="322">
        <f>Calculations[[#This Row],[Total Kg]]*Calculations[[#This Row],[Carbon Factor]]</f>
        <v>0</v>
      </c>
      <c r="I1172" t="str">
        <f>IFERROR(VLOOKUP(Calculations[[#This Row],[Material (choose from dropdown]],MaterialData[#All],2,FALSE),"")</f>
        <v/>
      </c>
      <c r="J1172" s="322">
        <f>IFERROR(((VLOOKUP(Calculations[[#This Row],[TransportSource]],TransportDistance[],2,FALSE)*'Stage assumptions'!$C$11)+VLOOKUP(Calculations[[#This Row],[TransportSource]],TransportDistance[],3,FALSE)*'Stage assumptions'!$C$12)*Calculations[[#This Row],[Total Kg]],0)</f>
        <v>0</v>
      </c>
      <c r="K1172">
        <f>IFERROR(VLOOKUP(Calculations[[#This Row],[Material (choose from dropdown]], MaterialData[#All],3, FALSE),0)</f>
        <v>0</v>
      </c>
      <c r="L1172" s="322">
        <f>IFERROR(VLOOKUP(Calculations[[#This Row],[A5type]],A5WastageRate[#All],2,FALSE)*Calculations[[#This Row],[A1-3]],0)</f>
        <v>0</v>
      </c>
      <c r="N1172">
        <f>IFERROR(ROUNDUP(50/VLOOKUP(Calculations[[#This Row],[Scope Element]],B4referenceServiceLife[[Tier 2 element]:[Default Service Life]],2, FALSE)-1,0),0)</f>
        <v>0</v>
      </c>
      <c r="O1172" s="322">
        <f>IFERROR((Calculations[[#This Row],[A1-3]]+Calculations[[#This Row],[A4]]+Calculations[[#This Row],[A5]]+Calculations[[#This Row],[C2 total]]+Calculations[[#This Row],[C3 total]]+Calculations[[#This Row],[C4 total]])*Calculations[[#This Row],[Replacements]],0)</f>
        <v>0</v>
      </c>
      <c r="S1172" t="str">
        <f>IFERROR(VLOOKUP(Calculations[[#This Row],[Material (choose from dropdown]],MaterialData[#All],4,FALSE),"")</f>
        <v/>
      </c>
      <c r="T1172" s="322" cm="1">
        <f t="array" ref="T1172">IFERROR(VLOOKUP(Calculations[[#This Row],[Waste 1]],WasteScenario[#All],2,FALSE)*'Stage assumptions'!$C$225*WasteTransportMethod[Emissions Factor
kgCO2e/kg.km]*Calculations[[#This Row],[Total Kg]],0)</f>
        <v>0</v>
      </c>
      <c r="U1172" s="322" cm="1">
        <f t="array" ref="U1172">IFERROR(VLOOKUP(Calculations[[#This Row],[Waste 1]],WasteScenario[#All],3,FALSE)*'Stage assumptions'!$C$224*WasteTransportMethod[Emissions Factor
kgCO2e/kg.km]*Calculations[[#This Row],[Total Kg]],0)</f>
        <v>0</v>
      </c>
      <c r="V1172" s="322" cm="1">
        <f t="array" ref="V1172">IFERROR(VLOOKUP(Calculations[[#This Row],[Waste 1]],WasteScenario[#All],4,FALSE)*'Stage assumptions'!$C$223*WasteTransportMethod[Emissions Factor
kgCO2e/kg.km]*Calculations[[#This Row],[Total Kg]],0)</f>
        <v>0</v>
      </c>
      <c r="W1172" s="322" cm="1">
        <f t="array" ref="W1172">IFERROR(VLOOKUP(Calculations[[#This Row],[Waste 1]],WasteScenario[#All],5,FALSE)*'Stage assumptions'!$C$226*WasteTransportMethod[Emissions Factor
kgCO2e/kg.km]*Calculations[[#This Row],[Total Kg]],0)</f>
        <v>0</v>
      </c>
      <c r="X1172" s="322">
        <f>SUM(Calculations[[#This Row],[C2 Recycle]:[C2 Reuse]])</f>
        <v>0</v>
      </c>
      <c r="Y1172" t="str">
        <f>IFERROR(VLOOKUP(Calculations[[#This Row],[Material (choose from dropdown]],MaterialData[#All],5,FALSE),"")</f>
        <v/>
      </c>
      <c r="Z1172" s="322">
        <f>IFERROR(((VLOOKUP(Calculations[[#This Row],[Waste type 2]],WasteDisposalEmissions[#All],2,FALSE))*Calculations[[#This Row],[Total Kg]])*VLOOKUP(Calculations[[#This Row],[Waste 1]],WasteScenario[#All],2,FALSE),0)</f>
        <v>0</v>
      </c>
      <c r="AA1172" s="322">
        <f>IFERROR((VLOOKUP(Calculations[[#This Row],[Waste type 2]],WasteDisposalEmissions[#All],3,FALSE))*Calculations[[#This Row],[Total Kg]]*VLOOKUP(Calculations[[#This Row],[Waste 1]],WasteScenario[#All],3,FALSE),0)</f>
        <v>0</v>
      </c>
      <c r="AB1172" s="322">
        <f>SUM(Calculations[[#This Row],[C3 recyc]:[C3 incin]])</f>
        <v>0</v>
      </c>
      <c r="AC1172" s="334">
        <f>IFERROR((VLOOKUP(Calculations[[#This Row],[Waste type 2]],WasteLandfillEmissions[#All],2,FALSE))*Calculations[[#This Row],[Total Kg]]*VLOOKUP(Calculations[[#This Row],[Waste 1]],WasteScenario[#All],4,FALSE),0)</f>
        <v>0</v>
      </c>
      <c r="AD1172" s="322">
        <f>IFERROR((VLOOKUP(Calculations[[#This Row],[Waste type 2]],WasteLandfillEmissions[#All],3,FALSE))*Calculations[[#This Row],[Total Kg]]*VLOOKUP(Calculations[[#This Row],[Waste 1]],WasteScenario[#All],4,FALSE),0)</f>
        <v>0</v>
      </c>
      <c r="AE1172" s="322">
        <f>SUM(Calculations[[#This Row],[C4 landfill]:[C4 re-use]])</f>
        <v>0</v>
      </c>
      <c r="AF1172" s="322">
        <f>IFERROR(VLOOKUP(Calculations[[#This Row],[Material (choose from dropdown]],MaterialData[#All],8,FALSE),0)</f>
        <v>0</v>
      </c>
      <c r="AG1172" s="322">
        <f>IFERROR(Calculations[[#This Row],[Total Kg]]*Calculations[[#This Row],[Seq factor]],0)</f>
        <v>0</v>
      </c>
      <c r="AI1172" s="322">
        <f>Calculations[[#This Row],[A1-3]]+Calculations[[#This Row],[A4]]+Calculations[[#This Row],[A5]]+Calculations[[#This Row],[B4]]+Calculations[[#This Row],[C2 total]]+Calculations[[#This Row],[C3 total]]+Calculations[[#This Row],[C4 total]]</f>
        <v>0</v>
      </c>
      <c r="AJ1172" s="2">
        <f>IFERROR(VLOOKUP(Calculations[[#This Row],[Material (choose from dropdown]],MaterialData[[#Headers],[#Data]],9,FALSE),0)</f>
        <v>0</v>
      </c>
      <c r="AK1172" s="4">
        <f>IFERROR(VLOOKUP(Calculations[[#This Row],[Material (choose from dropdown]],MaterialData[[#Headers],[#Data]],10,FALSE),0)</f>
        <v>0</v>
      </c>
      <c r="AL1172" s="322">
        <f>IFERROR(Calculations[[#This Row],[Data Quality Score]]*Calculations[[#This Row],[Total Kg]],0)</f>
        <v>0</v>
      </c>
    </row>
    <row r="1173" spans="1:38" x14ac:dyDescent="0.3">
      <c r="A1173" s="6">
        <f>IFERROR(MaterialsBoQ[[#This Row],[Scope Element]],0)</f>
        <v>0</v>
      </c>
      <c r="B1173" t="str">
        <f>IFERROR(MaterialsBoQ[[#This Row],[Material ]],"")</f>
        <v/>
      </c>
      <c r="C1173" t="str">
        <f>IFERROR(MaterialsBoQ[[#This Row],[Unit]],"")</f>
        <v/>
      </c>
      <c r="D1173" s="322">
        <f>IFERROR(MaterialsBoQ[[#This Row],[Number]],0)</f>
        <v>0</v>
      </c>
      <c r="E1173" s="322">
        <f>IFERROR(MaterialsBoQ[[#This Row],[Kg per unit]],0)</f>
        <v>0</v>
      </c>
      <c r="F1173" s="322">
        <f>IFERROR(Calculations[[#This Row],[Number]]*Calculations[[#This Row],[Conversion factor]],0)</f>
        <v>0</v>
      </c>
      <c r="G1173" s="322">
        <f>IFERROR(VLOOKUP(Calculations[[#This Row],[Material (choose from dropdown]],MaterialData[#All],7,FALSE),0)</f>
        <v>0</v>
      </c>
      <c r="H1173" s="322">
        <f>Calculations[[#This Row],[Total Kg]]*Calculations[[#This Row],[Carbon Factor]]</f>
        <v>0</v>
      </c>
      <c r="I1173" t="str">
        <f>IFERROR(VLOOKUP(Calculations[[#This Row],[Material (choose from dropdown]],MaterialData[#All],2,FALSE),"")</f>
        <v/>
      </c>
      <c r="J1173" s="322">
        <f>IFERROR(((VLOOKUP(Calculations[[#This Row],[TransportSource]],TransportDistance[],2,FALSE)*'Stage assumptions'!$C$11)+VLOOKUP(Calculations[[#This Row],[TransportSource]],TransportDistance[],3,FALSE)*'Stage assumptions'!$C$12)*Calculations[[#This Row],[Total Kg]],0)</f>
        <v>0</v>
      </c>
      <c r="K1173">
        <f>IFERROR(VLOOKUP(Calculations[[#This Row],[Material (choose from dropdown]], MaterialData[#All],3, FALSE),0)</f>
        <v>0</v>
      </c>
      <c r="L1173" s="322">
        <f>IFERROR(VLOOKUP(Calculations[[#This Row],[A5type]],A5WastageRate[#All],2,FALSE)*Calculations[[#This Row],[A1-3]],0)</f>
        <v>0</v>
      </c>
      <c r="N1173">
        <f>IFERROR(ROUNDUP(50/VLOOKUP(Calculations[[#This Row],[Scope Element]],B4referenceServiceLife[[Tier 2 element]:[Default Service Life]],2, FALSE)-1,0),0)</f>
        <v>0</v>
      </c>
      <c r="O1173" s="322">
        <f>IFERROR((Calculations[[#This Row],[A1-3]]+Calculations[[#This Row],[A4]]+Calculations[[#This Row],[A5]]+Calculations[[#This Row],[C2 total]]+Calculations[[#This Row],[C3 total]]+Calculations[[#This Row],[C4 total]])*Calculations[[#This Row],[Replacements]],0)</f>
        <v>0</v>
      </c>
      <c r="S1173" t="str">
        <f>IFERROR(VLOOKUP(Calculations[[#This Row],[Material (choose from dropdown]],MaterialData[#All],4,FALSE),"")</f>
        <v/>
      </c>
      <c r="T1173" s="322" cm="1">
        <f t="array" ref="T1173">IFERROR(VLOOKUP(Calculations[[#This Row],[Waste 1]],WasteScenario[#All],2,FALSE)*'Stage assumptions'!$C$225*WasteTransportMethod[Emissions Factor
kgCO2e/kg.km]*Calculations[[#This Row],[Total Kg]],0)</f>
        <v>0</v>
      </c>
      <c r="U1173" s="322" cm="1">
        <f t="array" ref="U1173">IFERROR(VLOOKUP(Calculations[[#This Row],[Waste 1]],WasteScenario[#All],3,FALSE)*'Stage assumptions'!$C$224*WasteTransportMethod[Emissions Factor
kgCO2e/kg.km]*Calculations[[#This Row],[Total Kg]],0)</f>
        <v>0</v>
      </c>
      <c r="V1173" s="322" cm="1">
        <f t="array" ref="V1173">IFERROR(VLOOKUP(Calculations[[#This Row],[Waste 1]],WasteScenario[#All],4,FALSE)*'Stage assumptions'!$C$223*WasteTransportMethod[Emissions Factor
kgCO2e/kg.km]*Calculations[[#This Row],[Total Kg]],0)</f>
        <v>0</v>
      </c>
      <c r="W1173" s="322" cm="1">
        <f t="array" ref="W1173">IFERROR(VLOOKUP(Calculations[[#This Row],[Waste 1]],WasteScenario[#All],5,FALSE)*'Stage assumptions'!$C$226*WasteTransportMethod[Emissions Factor
kgCO2e/kg.km]*Calculations[[#This Row],[Total Kg]],0)</f>
        <v>0</v>
      </c>
      <c r="X1173" s="322">
        <f>SUM(Calculations[[#This Row],[C2 Recycle]:[C2 Reuse]])</f>
        <v>0</v>
      </c>
      <c r="Y1173" t="str">
        <f>IFERROR(VLOOKUP(Calculations[[#This Row],[Material (choose from dropdown]],MaterialData[#All],5,FALSE),"")</f>
        <v/>
      </c>
      <c r="Z1173" s="322">
        <f>IFERROR(((VLOOKUP(Calculations[[#This Row],[Waste type 2]],WasteDisposalEmissions[#All],2,FALSE))*Calculations[[#This Row],[Total Kg]])*VLOOKUP(Calculations[[#This Row],[Waste 1]],WasteScenario[#All],2,FALSE),0)</f>
        <v>0</v>
      </c>
      <c r="AA1173" s="322">
        <f>IFERROR((VLOOKUP(Calculations[[#This Row],[Waste type 2]],WasteDisposalEmissions[#All],3,FALSE))*Calculations[[#This Row],[Total Kg]]*VLOOKUP(Calculations[[#This Row],[Waste 1]],WasteScenario[#All],3,FALSE),0)</f>
        <v>0</v>
      </c>
      <c r="AB1173" s="322">
        <f>SUM(Calculations[[#This Row],[C3 recyc]:[C3 incin]])</f>
        <v>0</v>
      </c>
      <c r="AC1173" s="334">
        <f>IFERROR((VLOOKUP(Calculations[[#This Row],[Waste type 2]],WasteLandfillEmissions[#All],2,FALSE))*Calculations[[#This Row],[Total Kg]]*VLOOKUP(Calculations[[#This Row],[Waste 1]],WasteScenario[#All],4,FALSE),0)</f>
        <v>0</v>
      </c>
      <c r="AD1173" s="322">
        <f>IFERROR((VLOOKUP(Calculations[[#This Row],[Waste type 2]],WasteLandfillEmissions[#All],3,FALSE))*Calculations[[#This Row],[Total Kg]]*VLOOKUP(Calculations[[#This Row],[Waste 1]],WasteScenario[#All],4,FALSE),0)</f>
        <v>0</v>
      </c>
      <c r="AE1173" s="322">
        <f>SUM(Calculations[[#This Row],[C4 landfill]:[C4 re-use]])</f>
        <v>0</v>
      </c>
      <c r="AF1173" s="322">
        <f>IFERROR(VLOOKUP(Calculations[[#This Row],[Material (choose from dropdown]],MaterialData[#All],8,FALSE),0)</f>
        <v>0</v>
      </c>
      <c r="AG1173" s="322">
        <f>IFERROR(Calculations[[#This Row],[Total Kg]]*Calculations[[#This Row],[Seq factor]],0)</f>
        <v>0</v>
      </c>
      <c r="AI1173" s="322">
        <f>Calculations[[#This Row],[A1-3]]+Calculations[[#This Row],[A4]]+Calculations[[#This Row],[A5]]+Calculations[[#This Row],[B4]]+Calculations[[#This Row],[C2 total]]+Calculations[[#This Row],[C3 total]]+Calculations[[#This Row],[C4 total]]</f>
        <v>0</v>
      </c>
      <c r="AJ1173" s="2">
        <f>IFERROR(VLOOKUP(Calculations[[#This Row],[Material (choose from dropdown]],MaterialData[[#Headers],[#Data]],9,FALSE),0)</f>
        <v>0</v>
      </c>
      <c r="AK1173" s="4">
        <f>IFERROR(VLOOKUP(Calculations[[#This Row],[Material (choose from dropdown]],MaterialData[[#Headers],[#Data]],10,FALSE),0)</f>
        <v>0</v>
      </c>
      <c r="AL1173" s="322">
        <f>IFERROR(Calculations[[#This Row],[Data Quality Score]]*Calculations[[#This Row],[Total Kg]],0)</f>
        <v>0</v>
      </c>
    </row>
    <row r="1174" spans="1:38" x14ac:dyDescent="0.3">
      <c r="A1174" s="6">
        <f>IFERROR(MaterialsBoQ[[#This Row],[Scope Element]],0)</f>
        <v>0</v>
      </c>
      <c r="B1174" t="str">
        <f>IFERROR(MaterialsBoQ[[#This Row],[Material ]],"")</f>
        <v/>
      </c>
      <c r="C1174" t="str">
        <f>IFERROR(MaterialsBoQ[[#This Row],[Unit]],"")</f>
        <v/>
      </c>
      <c r="D1174" s="322">
        <f>IFERROR(MaterialsBoQ[[#This Row],[Number]],0)</f>
        <v>0</v>
      </c>
      <c r="E1174" s="322">
        <f>IFERROR(MaterialsBoQ[[#This Row],[Kg per unit]],0)</f>
        <v>0</v>
      </c>
      <c r="F1174" s="322">
        <f>IFERROR(Calculations[[#This Row],[Number]]*Calculations[[#This Row],[Conversion factor]],0)</f>
        <v>0</v>
      </c>
      <c r="G1174" s="322">
        <f>IFERROR(VLOOKUP(Calculations[[#This Row],[Material (choose from dropdown]],MaterialData[#All],7,FALSE),0)</f>
        <v>0</v>
      </c>
      <c r="H1174" s="322">
        <f>Calculations[[#This Row],[Total Kg]]*Calculations[[#This Row],[Carbon Factor]]</f>
        <v>0</v>
      </c>
      <c r="I1174" t="str">
        <f>IFERROR(VLOOKUP(Calculations[[#This Row],[Material (choose from dropdown]],MaterialData[#All],2,FALSE),"")</f>
        <v/>
      </c>
      <c r="J1174" s="322">
        <f>IFERROR(((VLOOKUP(Calculations[[#This Row],[TransportSource]],TransportDistance[],2,FALSE)*'Stage assumptions'!$C$11)+VLOOKUP(Calculations[[#This Row],[TransportSource]],TransportDistance[],3,FALSE)*'Stage assumptions'!$C$12)*Calculations[[#This Row],[Total Kg]],0)</f>
        <v>0</v>
      </c>
      <c r="K1174">
        <f>IFERROR(VLOOKUP(Calculations[[#This Row],[Material (choose from dropdown]], MaterialData[#All],3, FALSE),0)</f>
        <v>0</v>
      </c>
      <c r="L1174" s="322">
        <f>IFERROR(VLOOKUP(Calculations[[#This Row],[A5type]],A5WastageRate[#All],2,FALSE)*Calculations[[#This Row],[A1-3]],0)</f>
        <v>0</v>
      </c>
      <c r="N1174">
        <f>IFERROR(ROUNDUP(50/VLOOKUP(Calculations[[#This Row],[Scope Element]],B4referenceServiceLife[[Tier 2 element]:[Default Service Life]],2, FALSE)-1,0),0)</f>
        <v>0</v>
      </c>
      <c r="O1174" s="322">
        <f>IFERROR((Calculations[[#This Row],[A1-3]]+Calculations[[#This Row],[A4]]+Calculations[[#This Row],[A5]]+Calculations[[#This Row],[C2 total]]+Calculations[[#This Row],[C3 total]]+Calculations[[#This Row],[C4 total]])*Calculations[[#This Row],[Replacements]],0)</f>
        <v>0</v>
      </c>
      <c r="S1174" t="str">
        <f>IFERROR(VLOOKUP(Calculations[[#This Row],[Material (choose from dropdown]],MaterialData[#All],4,FALSE),"")</f>
        <v/>
      </c>
      <c r="T1174" s="322" cm="1">
        <f t="array" ref="T1174">IFERROR(VLOOKUP(Calculations[[#This Row],[Waste 1]],WasteScenario[#All],2,FALSE)*'Stage assumptions'!$C$225*WasteTransportMethod[Emissions Factor
kgCO2e/kg.km]*Calculations[[#This Row],[Total Kg]],0)</f>
        <v>0</v>
      </c>
      <c r="U1174" s="322" cm="1">
        <f t="array" ref="U1174">IFERROR(VLOOKUP(Calculations[[#This Row],[Waste 1]],WasteScenario[#All],3,FALSE)*'Stage assumptions'!$C$224*WasteTransportMethod[Emissions Factor
kgCO2e/kg.km]*Calculations[[#This Row],[Total Kg]],0)</f>
        <v>0</v>
      </c>
      <c r="V1174" s="322" cm="1">
        <f t="array" ref="V1174">IFERROR(VLOOKUP(Calculations[[#This Row],[Waste 1]],WasteScenario[#All],4,FALSE)*'Stage assumptions'!$C$223*WasteTransportMethod[Emissions Factor
kgCO2e/kg.km]*Calculations[[#This Row],[Total Kg]],0)</f>
        <v>0</v>
      </c>
      <c r="W1174" s="322" cm="1">
        <f t="array" ref="W1174">IFERROR(VLOOKUP(Calculations[[#This Row],[Waste 1]],WasteScenario[#All],5,FALSE)*'Stage assumptions'!$C$226*WasteTransportMethod[Emissions Factor
kgCO2e/kg.km]*Calculations[[#This Row],[Total Kg]],0)</f>
        <v>0</v>
      </c>
      <c r="X1174" s="322">
        <f>SUM(Calculations[[#This Row],[C2 Recycle]:[C2 Reuse]])</f>
        <v>0</v>
      </c>
      <c r="Y1174" t="str">
        <f>IFERROR(VLOOKUP(Calculations[[#This Row],[Material (choose from dropdown]],MaterialData[#All],5,FALSE),"")</f>
        <v/>
      </c>
      <c r="Z1174" s="322">
        <f>IFERROR(((VLOOKUP(Calculations[[#This Row],[Waste type 2]],WasteDisposalEmissions[#All],2,FALSE))*Calculations[[#This Row],[Total Kg]])*VLOOKUP(Calculations[[#This Row],[Waste 1]],WasteScenario[#All],2,FALSE),0)</f>
        <v>0</v>
      </c>
      <c r="AA1174" s="322">
        <f>IFERROR((VLOOKUP(Calculations[[#This Row],[Waste type 2]],WasteDisposalEmissions[#All],3,FALSE))*Calculations[[#This Row],[Total Kg]]*VLOOKUP(Calculations[[#This Row],[Waste 1]],WasteScenario[#All],3,FALSE),0)</f>
        <v>0</v>
      </c>
      <c r="AB1174" s="322">
        <f>SUM(Calculations[[#This Row],[C3 recyc]:[C3 incin]])</f>
        <v>0</v>
      </c>
      <c r="AC1174" s="334">
        <f>IFERROR((VLOOKUP(Calculations[[#This Row],[Waste type 2]],WasteLandfillEmissions[#All],2,FALSE))*Calculations[[#This Row],[Total Kg]]*VLOOKUP(Calculations[[#This Row],[Waste 1]],WasteScenario[#All],4,FALSE),0)</f>
        <v>0</v>
      </c>
      <c r="AD1174" s="322">
        <f>IFERROR((VLOOKUP(Calculations[[#This Row],[Waste type 2]],WasteLandfillEmissions[#All],3,FALSE))*Calculations[[#This Row],[Total Kg]]*VLOOKUP(Calculations[[#This Row],[Waste 1]],WasteScenario[#All],4,FALSE),0)</f>
        <v>0</v>
      </c>
      <c r="AE1174" s="322">
        <f>SUM(Calculations[[#This Row],[C4 landfill]:[C4 re-use]])</f>
        <v>0</v>
      </c>
      <c r="AF1174" s="322">
        <f>IFERROR(VLOOKUP(Calculations[[#This Row],[Material (choose from dropdown]],MaterialData[#All],8,FALSE),0)</f>
        <v>0</v>
      </c>
      <c r="AG1174" s="322">
        <f>IFERROR(Calculations[[#This Row],[Total Kg]]*Calculations[[#This Row],[Seq factor]],0)</f>
        <v>0</v>
      </c>
      <c r="AI1174" s="322">
        <f>Calculations[[#This Row],[A1-3]]+Calculations[[#This Row],[A4]]+Calculations[[#This Row],[A5]]+Calculations[[#This Row],[B4]]+Calculations[[#This Row],[C2 total]]+Calculations[[#This Row],[C3 total]]+Calculations[[#This Row],[C4 total]]</f>
        <v>0</v>
      </c>
      <c r="AJ1174" s="2">
        <f>IFERROR(VLOOKUP(Calculations[[#This Row],[Material (choose from dropdown]],MaterialData[[#Headers],[#Data]],9,FALSE),0)</f>
        <v>0</v>
      </c>
      <c r="AK1174" s="4">
        <f>IFERROR(VLOOKUP(Calculations[[#This Row],[Material (choose from dropdown]],MaterialData[[#Headers],[#Data]],10,FALSE),0)</f>
        <v>0</v>
      </c>
      <c r="AL1174" s="322">
        <f>IFERROR(Calculations[[#This Row],[Data Quality Score]]*Calculations[[#This Row],[Total Kg]],0)</f>
        <v>0</v>
      </c>
    </row>
    <row r="1175" spans="1:38" x14ac:dyDescent="0.3">
      <c r="A1175" s="6">
        <f>IFERROR(MaterialsBoQ[[#This Row],[Scope Element]],0)</f>
        <v>0</v>
      </c>
      <c r="B1175" t="str">
        <f>IFERROR(MaterialsBoQ[[#This Row],[Material ]],"")</f>
        <v/>
      </c>
      <c r="C1175" t="str">
        <f>IFERROR(MaterialsBoQ[[#This Row],[Unit]],"")</f>
        <v/>
      </c>
      <c r="D1175" s="322">
        <f>IFERROR(MaterialsBoQ[[#This Row],[Number]],0)</f>
        <v>0</v>
      </c>
      <c r="E1175" s="322">
        <f>IFERROR(MaterialsBoQ[[#This Row],[Kg per unit]],0)</f>
        <v>0</v>
      </c>
      <c r="F1175" s="322">
        <f>IFERROR(Calculations[[#This Row],[Number]]*Calculations[[#This Row],[Conversion factor]],0)</f>
        <v>0</v>
      </c>
      <c r="G1175" s="322">
        <f>IFERROR(VLOOKUP(Calculations[[#This Row],[Material (choose from dropdown]],MaterialData[#All],7,FALSE),0)</f>
        <v>0</v>
      </c>
      <c r="H1175" s="322">
        <f>Calculations[[#This Row],[Total Kg]]*Calculations[[#This Row],[Carbon Factor]]</f>
        <v>0</v>
      </c>
      <c r="I1175" t="str">
        <f>IFERROR(VLOOKUP(Calculations[[#This Row],[Material (choose from dropdown]],MaterialData[#All],2,FALSE),"")</f>
        <v/>
      </c>
      <c r="J1175" s="322">
        <f>IFERROR(((VLOOKUP(Calculations[[#This Row],[TransportSource]],TransportDistance[],2,FALSE)*'Stage assumptions'!$C$11)+VLOOKUP(Calculations[[#This Row],[TransportSource]],TransportDistance[],3,FALSE)*'Stage assumptions'!$C$12)*Calculations[[#This Row],[Total Kg]],0)</f>
        <v>0</v>
      </c>
      <c r="K1175">
        <f>IFERROR(VLOOKUP(Calculations[[#This Row],[Material (choose from dropdown]], MaterialData[#All],3, FALSE),0)</f>
        <v>0</v>
      </c>
      <c r="L1175" s="322">
        <f>IFERROR(VLOOKUP(Calculations[[#This Row],[A5type]],A5WastageRate[#All],2,FALSE)*Calculations[[#This Row],[A1-3]],0)</f>
        <v>0</v>
      </c>
      <c r="N1175">
        <f>IFERROR(ROUNDUP(50/VLOOKUP(Calculations[[#This Row],[Scope Element]],B4referenceServiceLife[[Tier 2 element]:[Default Service Life]],2, FALSE)-1,0),0)</f>
        <v>0</v>
      </c>
      <c r="O1175" s="322">
        <f>IFERROR((Calculations[[#This Row],[A1-3]]+Calculations[[#This Row],[A4]]+Calculations[[#This Row],[A5]]+Calculations[[#This Row],[C2 total]]+Calculations[[#This Row],[C3 total]]+Calculations[[#This Row],[C4 total]])*Calculations[[#This Row],[Replacements]],0)</f>
        <v>0</v>
      </c>
      <c r="S1175" t="str">
        <f>IFERROR(VLOOKUP(Calculations[[#This Row],[Material (choose from dropdown]],MaterialData[#All],4,FALSE),"")</f>
        <v/>
      </c>
      <c r="T1175" s="322" cm="1">
        <f t="array" ref="T1175">IFERROR(VLOOKUP(Calculations[[#This Row],[Waste 1]],WasteScenario[#All],2,FALSE)*'Stage assumptions'!$C$225*WasteTransportMethod[Emissions Factor
kgCO2e/kg.km]*Calculations[[#This Row],[Total Kg]],0)</f>
        <v>0</v>
      </c>
      <c r="U1175" s="322" cm="1">
        <f t="array" ref="U1175">IFERROR(VLOOKUP(Calculations[[#This Row],[Waste 1]],WasteScenario[#All],3,FALSE)*'Stage assumptions'!$C$224*WasteTransportMethod[Emissions Factor
kgCO2e/kg.km]*Calculations[[#This Row],[Total Kg]],0)</f>
        <v>0</v>
      </c>
      <c r="V1175" s="322" cm="1">
        <f t="array" ref="V1175">IFERROR(VLOOKUP(Calculations[[#This Row],[Waste 1]],WasteScenario[#All],4,FALSE)*'Stage assumptions'!$C$223*WasteTransportMethod[Emissions Factor
kgCO2e/kg.km]*Calculations[[#This Row],[Total Kg]],0)</f>
        <v>0</v>
      </c>
      <c r="W1175" s="322" cm="1">
        <f t="array" ref="W1175">IFERROR(VLOOKUP(Calculations[[#This Row],[Waste 1]],WasteScenario[#All],5,FALSE)*'Stage assumptions'!$C$226*WasteTransportMethod[Emissions Factor
kgCO2e/kg.km]*Calculations[[#This Row],[Total Kg]],0)</f>
        <v>0</v>
      </c>
      <c r="X1175" s="322">
        <f>SUM(Calculations[[#This Row],[C2 Recycle]:[C2 Reuse]])</f>
        <v>0</v>
      </c>
      <c r="Y1175" t="str">
        <f>IFERROR(VLOOKUP(Calculations[[#This Row],[Material (choose from dropdown]],MaterialData[#All],5,FALSE),"")</f>
        <v/>
      </c>
      <c r="Z1175" s="322">
        <f>IFERROR(((VLOOKUP(Calculations[[#This Row],[Waste type 2]],WasteDisposalEmissions[#All],2,FALSE))*Calculations[[#This Row],[Total Kg]])*VLOOKUP(Calculations[[#This Row],[Waste 1]],WasteScenario[#All],2,FALSE),0)</f>
        <v>0</v>
      </c>
      <c r="AA1175" s="322">
        <f>IFERROR((VLOOKUP(Calculations[[#This Row],[Waste type 2]],WasteDisposalEmissions[#All],3,FALSE))*Calculations[[#This Row],[Total Kg]]*VLOOKUP(Calculations[[#This Row],[Waste 1]],WasteScenario[#All],3,FALSE),0)</f>
        <v>0</v>
      </c>
      <c r="AB1175" s="322">
        <f>SUM(Calculations[[#This Row],[C3 recyc]:[C3 incin]])</f>
        <v>0</v>
      </c>
      <c r="AC1175" s="334">
        <f>IFERROR((VLOOKUP(Calculations[[#This Row],[Waste type 2]],WasteLandfillEmissions[#All],2,FALSE))*Calculations[[#This Row],[Total Kg]]*VLOOKUP(Calculations[[#This Row],[Waste 1]],WasteScenario[#All],4,FALSE),0)</f>
        <v>0</v>
      </c>
      <c r="AD1175" s="322">
        <f>IFERROR((VLOOKUP(Calculations[[#This Row],[Waste type 2]],WasteLandfillEmissions[#All],3,FALSE))*Calculations[[#This Row],[Total Kg]]*VLOOKUP(Calculations[[#This Row],[Waste 1]],WasteScenario[#All],4,FALSE),0)</f>
        <v>0</v>
      </c>
      <c r="AE1175" s="322">
        <f>SUM(Calculations[[#This Row],[C4 landfill]:[C4 re-use]])</f>
        <v>0</v>
      </c>
      <c r="AF1175" s="322">
        <f>IFERROR(VLOOKUP(Calculations[[#This Row],[Material (choose from dropdown]],MaterialData[#All],8,FALSE),0)</f>
        <v>0</v>
      </c>
      <c r="AG1175" s="322">
        <f>IFERROR(Calculations[[#This Row],[Total Kg]]*Calculations[[#This Row],[Seq factor]],0)</f>
        <v>0</v>
      </c>
      <c r="AI1175" s="322">
        <f>Calculations[[#This Row],[A1-3]]+Calculations[[#This Row],[A4]]+Calculations[[#This Row],[A5]]+Calculations[[#This Row],[B4]]+Calculations[[#This Row],[C2 total]]+Calculations[[#This Row],[C3 total]]+Calculations[[#This Row],[C4 total]]</f>
        <v>0</v>
      </c>
      <c r="AJ1175" s="2">
        <f>IFERROR(VLOOKUP(Calculations[[#This Row],[Material (choose from dropdown]],MaterialData[[#Headers],[#Data]],9,FALSE),0)</f>
        <v>0</v>
      </c>
      <c r="AK1175" s="4">
        <f>IFERROR(VLOOKUP(Calculations[[#This Row],[Material (choose from dropdown]],MaterialData[[#Headers],[#Data]],10,FALSE),0)</f>
        <v>0</v>
      </c>
      <c r="AL1175" s="322">
        <f>IFERROR(Calculations[[#This Row],[Data Quality Score]]*Calculations[[#This Row],[Total Kg]],0)</f>
        <v>0</v>
      </c>
    </row>
    <row r="1176" spans="1:38" x14ac:dyDescent="0.3">
      <c r="A1176" s="6">
        <f>IFERROR(MaterialsBoQ[[#This Row],[Scope Element]],0)</f>
        <v>0</v>
      </c>
      <c r="B1176" t="str">
        <f>IFERROR(MaterialsBoQ[[#This Row],[Material ]],"")</f>
        <v/>
      </c>
      <c r="C1176" t="str">
        <f>IFERROR(MaterialsBoQ[[#This Row],[Unit]],"")</f>
        <v/>
      </c>
      <c r="D1176" s="322">
        <f>IFERROR(MaterialsBoQ[[#This Row],[Number]],0)</f>
        <v>0</v>
      </c>
      <c r="E1176" s="322">
        <f>IFERROR(MaterialsBoQ[[#This Row],[Kg per unit]],0)</f>
        <v>0</v>
      </c>
      <c r="F1176" s="322">
        <f>IFERROR(Calculations[[#This Row],[Number]]*Calculations[[#This Row],[Conversion factor]],0)</f>
        <v>0</v>
      </c>
      <c r="G1176" s="322">
        <f>IFERROR(VLOOKUP(Calculations[[#This Row],[Material (choose from dropdown]],MaterialData[#All],7,FALSE),0)</f>
        <v>0</v>
      </c>
      <c r="H1176" s="322">
        <f>Calculations[[#This Row],[Total Kg]]*Calculations[[#This Row],[Carbon Factor]]</f>
        <v>0</v>
      </c>
      <c r="I1176" t="str">
        <f>IFERROR(VLOOKUP(Calculations[[#This Row],[Material (choose from dropdown]],MaterialData[#All],2,FALSE),"")</f>
        <v/>
      </c>
      <c r="J1176" s="322">
        <f>IFERROR(((VLOOKUP(Calculations[[#This Row],[TransportSource]],TransportDistance[],2,FALSE)*'Stage assumptions'!$C$11)+VLOOKUP(Calculations[[#This Row],[TransportSource]],TransportDistance[],3,FALSE)*'Stage assumptions'!$C$12)*Calculations[[#This Row],[Total Kg]],0)</f>
        <v>0</v>
      </c>
      <c r="K1176">
        <f>IFERROR(VLOOKUP(Calculations[[#This Row],[Material (choose from dropdown]], MaterialData[#All],3, FALSE),0)</f>
        <v>0</v>
      </c>
      <c r="L1176" s="322">
        <f>IFERROR(VLOOKUP(Calculations[[#This Row],[A5type]],A5WastageRate[#All],2,FALSE)*Calculations[[#This Row],[A1-3]],0)</f>
        <v>0</v>
      </c>
      <c r="N1176">
        <f>IFERROR(ROUNDUP(50/VLOOKUP(Calculations[[#This Row],[Scope Element]],B4referenceServiceLife[[Tier 2 element]:[Default Service Life]],2, FALSE)-1,0),0)</f>
        <v>0</v>
      </c>
      <c r="O1176" s="322">
        <f>IFERROR((Calculations[[#This Row],[A1-3]]+Calculations[[#This Row],[A4]]+Calculations[[#This Row],[A5]]+Calculations[[#This Row],[C2 total]]+Calculations[[#This Row],[C3 total]]+Calculations[[#This Row],[C4 total]])*Calculations[[#This Row],[Replacements]],0)</f>
        <v>0</v>
      </c>
      <c r="S1176" t="str">
        <f>IFERROR(VLOOKUP(Calculations[[#This Row],[Material (choose from dropdown]],MaterialData[#All],4,FALSE),"")</f>
        <v/>
      </c>
      <c r="T1176" s="322" cm="1">
        <f t="array" ref="T1176">IFERROR(VLOOKUP(Calculations[[#This Row],[Waste 1]],WasteScenario[#All],2,FALSE)*'Stage assumptions'!$C$225*WasteTransportMethod[Emissions Factor
kgCO2e/kg.km]*Calculations[[#This Row],[Total Kg]],0)</f>
        <v>0</v>
      </c>
      <c r="U1176" s="322" cm="1">
        <f t="array" ref="U1176">IFERROR(VLOOKUP(Calculations[[#This Row],[Waste 1]],WasteScenario[#All],3,FALSE)*'Stage assumptions'!$C$224*WasteTransportMethod[Emissions Factor
kgCO2e/kg.km]*Calculations[[#This Row],[Total Kg]],0)</f>
        <v>0</v>
      </c>
      <c r="V1176" s="322" cm="1">
        <f t="array" ref="V1176">IFERROR(VLOOKUP(Calculations[[#This Row],[Waste 1]],WasteScenario[#All],4,FALSE)*'Stage assumptions'!$C$223*WasteTransportMethod[Emissions Factor
kgCO2e/kg.km]*Calculations[[#This Row],[Total Kg]],0)</f>
        <v>0</v>
      </c>
      <c r="W1176" s="322" cm="1">
        <f t="array" ref="W1176">IFERROR(VLOOKUP(Calculations[[#This Row],[Waste 1]],WasteScenario[#All],5,FALSE)*'Stage assumptions'!$C$226*WasteTransportMethod[Emissions Factor
kgCO2e/kg.km]*Calculations[[#This Row],[Total Kg]],0)</f>
        <v>0</v>
      </c>
      <c r="X1176" s="322">
        <f>SUM(Calculations[[#This Row],[C2 Recycle]:[C2 Reuse]])</f>
        <v>0</v>
      </c>
      <c r="Y1176" t="str">
        <f>IFERROR(VLOOKUP(Calculations[[#This Row],[Material (choose from dropdown]],MaterialData[#All],5,FALSE),"")</f>
        <v/>
      </c>
      <c r="Z1176" s="322">
        <f>IFERROR(((VLOOKUP(Calculations[[#This Row],[Waste type 2]],WasteDisposalEmissions[#All],2,FALSE))*Calculations[[#This Row],[Total Kg]])*VLOOKUP(Calculations[[#This Row],[Waste 1]],WasteScenario[#All],2,FALSE),0)</f>
        <v>0</v>
      </c>
      <c r="AA1176" s="322">
        <f>IFERROR((VLOOKUP(Calculations[[#This Row],[Waste type 2]],WasteDisposalEmissions[#All],3,FALSE))*Calculations[[#This Row],[Total Kg]]*VLOOKUP(Calculations[[#This Row],[Waste 1]],WasteScenario[#All],3,FALSE),0)</f>
        <v>0</v>
      </c>
      <c r="AB1176" s="322">
        <f>SUM(Calculations[[#This Row],[C3 recyc]:[C3 incin]])</f>
        <v>0</v>
      </c>
      <c r="AC1176" s="334">
        <f>IFERROR((VLOOKUP(Calculations[[#This Row],[Waste type 2]],WasteLandfillEmissions[#All],2,FALSE))*Calculations[[#This Row],[Total Kg]]*VLOOKUP(Calculations[[#This Row],[Waste 1]],WasteScenario[#All],4,FALSE),0)</f>
        <v>0</v>
      </c>
      <c r="AD1176" s="322">
        <f>IFERROR((VLOOKUP(Calculations[[#This Row],[Waste type 2]],WasteLandfillEmissions[#All],3,FALSE))*Calculations[[#This Row],[Total Kg]]*VLOOKUP(Calculations[[#This Row],[Waste 1]],WasteScenario[#All],4,FALSE),0)</f>
        <v>0</v>
      </c>
      <c r="AE1176" s="322">
        <f>SUM(Calculations[[#This Row],[C4 landfill]:[C4 re-use]])</f>
        <v>0</v>
      </c>
      <c r="AF1176" s="322">
        <f>IFERROR(VLOOKUP(Calculations[[#This Row],[Material (choose from dropdown]],MaterialData[#All],8,FALSE),0)</f>
        <v>0</v>
      </c>
      <c r="AG1176" s="322">
        <f>IFERROR(Calculations[[#This Row],[Total Kg]]*Calculations[[#This Row],[Seq factor]],0)</f>
        <v>0</v>
      </c>
      <c r="AI1176" s="322">
        <f>Calculations[[#This Row],[A1-3]]+Calculations[[#This Row],[A4]]+Calculations[[#This Row],[A5]]+Calculations[[#This Row],[B4]]+Calculations[[#This Row],[C2 total]]+Calculations[[#This Row],[C3 total]]+Calculations[[#This Row],[C4 total]]</f>
        <v>0</v>
      </c>
      <c r="AJ1176" s="2">
        <f>IFERROR(VLOOKUP(Calculations[[#This Row],[Material (choose from dropdown]],MaterialData[[#Headers],[#Data]],9,FALSE),0)</f>
        <v>0</v>
      </c>
      <c r="AK1176" s="4">
        <f>IFERROR(VLOOKUP(Calculations[[#This Row],[Material (choose from dropdown]],MaterialData[[#Headers],[#Data]],10,FALSE),0)</f>
        <v>0</v>
      </c>
      <c r="AL1176" s="322">
        <f>IFERROR(Calculations[[#This Row],[Data Quality Score]]*Calculations[[#This Row],[Total Kg]],0)</f>
        <v>0</v>
      </c>
    </row>
    <row r="1177" spans="1:38" x14ac:dyDescent="0.3">
      <c r="A1177" s="6">
        <f>IFERROR(MaterialsBoQ[[#This Row],[Scope Element]],0)</f>
        <v>0</v>
      </c>
      <c r="B1177" t="str">
        <f>IFERROR(MaterialsBoQ[[#This Row],[Material ]],"")</f>
        <v/>
      </c>
      <c r="C1177" t="str">
        <f>IFERROR(MaterialsBoQ[[#This Row],[Unit]],"")</f>
        <v/>
      </c>
      <c r="D1177" s="322">
        <f>IFERROR(MaterialsBoQ[[#This Row],[Number]],0)</f>
        <v>0</v>
      </c>
      <c r="E1177" s="322">
        <f>IFERROR(MaterialsBoQ[[#This Row],[Kg per unit]],0)</f>
        <v>0</v>
      </c>
      <c r="F1177" s="322">
        <f>IFERROR(Calculations[[#This Row],[Number]]*Calculations[[#This Row],[Conversion factor]],0)</f>
        <v>0</v>
      </c>
      <c r="G1177" s="322">
        <f>IFERROR(VLOOKUP(Calculations[[#This Row],[Material (choose from dropdown]],MaterialData[#All],7,FALSE),0)</f>
        <v>0</v>
      </c>
      <c r="H1177" s="322">
        <f>Calculations[[#This Row],[Total Kg]]*Calculations[[#This Row],[Carbon Factor]]</f>
        <v>0</v>
      </c>
      <c r="I1177" t="str">
        <f>IFERROR(VLOOKUP(Calculations[[#This Row],[Material (choose from dropdown]],MaterialData[#All],2,FALSE),"")</f>
        <v/>
      </c>
      <c r="J1177" s="322">
        <f>IFERROR(((VLOOKUP(Calculations[[#This Row],[TransportSource]],TransportDistance[],2,FALSE)*'Stage assumptions'!$C$11)+VLOOKUP(Calculations[[#This Row],[TransportSource]],TransportDistance[],3,FALSE)*'Stage assumptions'!$C$12)*Calculations[[#This Row],[Total Kg]],0)</f>
        <v>0</v>
      </c>
      <c r="K1177">
        <f>IFERROR(VLOOKUP(Calculations[[#This Row],[Material (choose from dropdown]], MaterialData[#All],3, FALSE),0)</f>
        <v>0</v>
      </c>
      <c r="L1177" s="322">
        <f>IFERROR(VLOOKUP(Calculations[[#This Row],[A5type]],A5WastageRate[#All],2,FALSE)*Calculations[[#This Row],[A1-3]],0)</f>
        <v>0</v>
      </c>
      <c r="N1177">
        <f>IFERROR(ROUNDUP(50/VLOOKUP(Calculations[[#This Row],[Scope Element]],B4referenceServiceLife[[Tier 2 element]:[Default Service Life]],2, FALSE)-1,0),0)</f>
        <v>0</v>
      </c>
      <c r="O1177" s="322">
        <f>IFERROR((Calculations[[#This Row],[A1-3]]+Calculations[[#This Row],[A4]]+Calculations[[#This Row],[A5]]+Calculations[[#This Row],[C2 total]]+Calculations[[#This Row],[C3 total]]+Calculations[[#This Row],[C4 total]])*Calculations[[#This Row],[Replacements]],0)</f>
        <v>0</v>
      </c>
      <c r="S1177" t="str">
        <f>IFERROR(VLOOKUP(Calculations[[#This Row],[Material (choose from dropdown]],MaterialData[#All],4,FALSE),"")</f>
        <v/>
      </c>
      <c r="T1177" s="322" cm="1">
        <f t="array" ref="T1177">IFERROR(VLOOKUP(Calculations[[#This Row],[Waste 1]],WasteScenario[#All],2,FALSE)*'Stage assumptions'!$C$225*WasteTransportMethod[Emissions Factor
kgCO2e/kg.km]*Calculations[[#This Row],[Total Kg]],0)</f>
        <v>0</v>
      </c>
      <c r="U1177" s="322" cm="1">
        <f t="array" ref="U1177">IFERROR(VLOOKUP(Calculations[[#This Row],[Waste 1]],WasteScenario[#All],3,FALSE)*'Stage assumptions'!$C$224*WasteTransportMethod[Emissions Factor
kgCO2e/kg.km]*Calculations[[#This Row],[Total Kg]],0)</f>
        <v>0</v>
      </c>
      <c r="V1177" s="322" cm="1">
        <f t="array" ref="V1177">IFERROR(VLOOKUP(Calculations[[#This Row],[Waste 1]],WasteScenario[#All],4,FALSE)*'Stage assumptions'!$C$223*WasteTransportMethod[Emissions Factor
kgCO2e/kg.km]*Calculations[[#This Row],[Total Kg]],0)</f>
        <v>0</v>
      </c>
      <c r="W1177" s="322" cm="1">
        <f t="array" ref="W1177">IFERROR(VLOOKUP(Calculations[[#This Row],[Waste 1]],WasteScenario[#All],5,FALSE)*'Stage assumptions'!$C$226*WasteTransportMethod[Emissions Factor
kgCO2e/kg.km]*Calculations[[#This Row],[Total Kg]],0)</f>
        <v>0</v>
      </c>
      <c r="X1177" s="322">
        <f>SUM(Calculations[[#This Row],[C2 Recycle]:[C2 Reuse]])</f>
        <v>0</v>
      </c>
      <c r="Y1177" t="str">
        <f>IFERROR(VLOOKUP(Calculations[[#This Row],[Material (choose from dropdown]],MaterialData[#All],5,FALSE),"")</f>
        <v/>
      </c>
      <c r="Z1177" s="322">
        <f>IFERROR(((VLOOKUP(Calculations[[#This Row],[Waste type 2]],WasteDisposalEmissions[#All],2,FALSE))*Calculations[[#This Row],[Total Kg]])*VLOOKUP(Calculations[[#This Row],[Waste 1]],WasteScenario[#All],2,FALSE),0)</f>
        <v>0</v>
      </c>
      <c r="AA1177" s="322">
        <f>IFERROR((VLOOKUP(Calculations[[#This Row],[Waste type 2]],WasteDisposalEmissions[#All],3,FALSE))*Calculations[[#This Row],[Total Kg]]*VLOOKUP(Calculations[[#This Row],[Waste 1]],WasteScenario[#All],3,FALSE),0)</f>
        <v>0</v>
      </c>
      <c r="AB1177" s="322">
        <f>SUM(Calculations[[#This Row],[C3 recyc]:[C3 incin]])</f>
        <v>0</v>
      </c>
      <c r="AC1177" s="334">
        <f>IFERROR((VLOOKUP(Calculations[[#This Row],[Waste type 2]],WasteLandfillEmissions[#All],2,FALSE))*Calculations[[#This Row],[Total Kg]]*VLOOKUP(Calculations[[#This Row],[Waste 1]],WasteScenario[#All],4,FALSE),0)</f>
        <v>0</v>
      </c>
      <c r="AD1177" s="322">
        <f>IFERROR((VLOOKUP(Calculations[[#This Row],[Waste type 2]],WasteLandfillEmissions[#All],3,FALSE))*Calculations[[#This Row],[Total Kg]]*VLOOKUP(Calculations[[#This Row],[Waste 1]],WasteScenario[#All],4,FALSE),0)</f>
        <v>0</v>
      </c>
      <c r="AE1177" s="322">
        <f>SUM(Calculations[[#This Row],[C4 landfill]:[C4 re-use]])</f>
        <v>0</v>
      </c>
      <c r="AF1177" s="322">
        <f>IFERROR(VLOOKUP(Calculations[[#This Row],[Material (choose from dropdown]],MaterialData[#All],8,FALSE),0)</f>
        <v>0</v>
      </c>
      <c r="AG1177" s="322">
        <f>IFERROR(Calculations[[#This Row],[Total Kg]]*Calculations[[#This Row],[Seq factor]],0)</f>
        <v>0</v>
      </c>
      <c r="AI1177" s="322">
        <f>Calculations[[#This Row],[A1-3]]+Calculations[[#This Row],[A4]]+Calculations[[#This Row],[A5]]+Calculations[[#This Row],[B4]]+Calculations[[#This Row],[C2 total]]+Calculations[[#This Row],[C3 total]]+Calculations[[#This Row],[C4 total]]</f>
        <v>0</v>
      </c>
      <c r="AJ1177" s="2">
        <f>IFERROR(VLOOKUP(Calculations[[#This Row],[Material (choose from dropdown]],MaterialData[[#Headers],[#Data]],9,FALSE),0)</f>
        <v>0</v>
      </c>
      <c r="AK1177" s="4">
        <f>IFERROR(VLOOKUP(Calculations[[#This Row],[Material (choose from dropdown]],MaterialData[[#Headers],[#Data]],10,FALSE),0)</f>
        <v>0</v>
      </c>
      <c r="AL1177" s="322">
        <f>IFERROR(Calculations[[#This Row],[Data Quality Score]]*Calculations[[#This Row],[Total Kg]],0)</f>
        <v>0</v>
      </c>
    </row>
    <row r="1178" spans="1:38" x14ac:dyDescent="0.3">
      <c r="A1178" s="6">
        <f>IFERROR(MaterialsBoQ[[#This Row],[Scope Element]],0)</f>
        <v>0</v>
      </c>
      <c r="B1178" t="str">
        <f>IFERROR(MaterialsBoQ[[#This Row],[Material ]],"")</f>
        <v/>
      </c>
      <c r="C1178" t="str">
        <f>IFERROR(MaterialsBoQ[[#This Row],[Unit]],"")</f>
        <v/>
      </c>
      <c r="D1178" s="322">
        <f>IFERROR(MaterialsBoQ[[#This Row],[Number]],0)</f>
        <v>0</v>
      </c>
      <c r="E1178" s="322">
        <f>IFERROR(MaterialsBoQ[[#This Row],[Kg per unit]],0)</f>
        <v>0</v>
      </c>
      <c r="F1178" s="322">
        <f>IFERROR(Calculations[[#This Row],[Number]]*Calculations[[#This Row],[Conversion factor]],0)</f>
        <v>0</v>
      </c>
      <c r="G1178" s="322">
        <f>IFERROR(VLOOKUP(Calculations[[#This Row],[Material (choose from dropdown]],MaterialData[#All],7,FALSE),0)</f>
        <v>0</v>
      </c>
      <c r="H1178" s="322">
        <f>Calculations[[#This Row],[Total Kg]]*Calculations[[#This Row],[Carbon Factor]]</f>
        <v>0</v>
      </c>
      <c r="I1178" t="str">
        <f>IFERROR(VLOOKUP(Calculations[[#This Row],[Material (choose from dropdown]],MaterialData[#All],2,FALSE),"")</f>
        <v/>
      </c>
      <c r="J1178" s="322">
        <f>IFERROR(((VLOOKUP(Calculations[[#This Row],[TransportSource]],TransportDistance[],2,FALSE)*'Stage assumptions'!$C$11)+VLOOKUP(Calculations[[#This Row],[TransportSource]],TransportDistance[],3,FALSE)*'Stage assumptions'!$C$12)*Calculations[[#This Row],[Total Kg]],0)</f>
        <v>0</v>
      </c>
      <c r="K1178">
        <f>IFERROR(VLOOKUP(Calculations[[#This Row],[Material (choose from dropdown]], MaterialData[#All],3, FALSE),0)</f>
        <v>0</v>
      </c>
      <c r="L1178" s="322">
        <f>IFERROR(VLOOKUP(Calculations[[#This Row],[A5type]],A5WastageRate[#All],2,FALSE)*Calculations[[#This Row],[A1-3]],0)</f>
        <v>0</v>
      </c>
      <c r="N1178">
        <f>IFERROR(ROUNDUP(50/VLOOKUP(Calculations[[#This Row],[Scope Element]],B4referenceServiceLife[[Tier 2 element]:[Default Service Life]],2, FALSE)-1,0),0)</f>
        <v>0</v>
      </c>
      <c r="O1178" s="322">
        <f>IFERROR((Calculations[[#This Row],[A1-3]]+Calculations[[#This Row],[A4]]+Calculations[[#This Row],[A5]]+Calculations[[#This Row],[C2 total]]+Calculations[[#This Row],[C3 total]]+Calculations[[#This Row],[C4 total]])*Calculations[[#This Row],[Replacements]],0)</f>
        <v>0</v>
      </c>
      <c r="S1178" t="str">
        <f>IFERROR(VLOOKUP(Calculations[[#This Row],[Material (choose from dropdown]],MaterialData[#All],4,FALSE),"")</f>
        <v/>
      </c>
      <c r="T1178" s="322" cm="1">
        <f t="array" ref="T1178">IFERROR(VLOOKUP(Calculations[[#This Row],[Waste 1]],WasteScenario[#All],2,FALSE)*'Stage assumptions'!$C$225*WasteTransportMethod[Emissions Factor
kgCO2e/kg.km]*Calculations[[#This Row],[Total Kg]],0)</f>
        <v>0</v>
      </c>
      <c r="U1178" s="322" cm="1">
        <f t="array" ref="U1178">IFERROR(VLOOKUP(Calculations[[#This Row],[Waste 1]],WasteScenario[#All],3,FALSE)*'Stage assumptions'!$C$224*WasteTransportMethod[Emissions Factor
kgCO2e/kg.km]*Calculations[[#This Row],[Total Kg]],0)</f>
        <v>0</v>
      </c>
      <c r="V1178" s="322" cm="1">
        <f t="array" ref="V1178">IFERROR(VLOOKUP(Calculations[[#This Row],[Waste 1]],WasteScenario[#All],4,FALSE)*'Stage assumptions'!$C$223*WasteTransportMethod[Emissions Factor
kgCO2e/kg.km]*Calculations[[#This Row],[Total Kg]],0)</f>
        <v>0</v>
      </c>
      <c r="W1178" s="322" cm="1">
        <f t="array" ref="W1178">IFERROR(VLOOKUP(Calculations[[#This Row],[Waste 1]],WasteScenario[#All],5,FALSE)*'Stage assumptions'!$C$226*WasteTransportMethod[Emissions Factor
kgCO2e/kg.km]*Calculations[[#This Row],[Total Kg]],0)</f>
        <v>0</v>
      </c>
      <c r="X1178" s="322">
        <f>SUM(Calculations[[#This Row],[C2 Recycle]:[C2 Reuse]])</f>
        <v>0</v>
      </c>
      <c r="Y1178" t="str">
        <f>IFERROR(VLOOKUP(Calculations[[#This Row],[Material (choose from dropdown]],MaterialData[#All],5,FALSE),"")</f>
        <v/>
      </c>
      <c r="Z1178" s="322">
        <f>IFERROR(((VLOOKUP(Calculations[[#This Row],[Waste type 2]],WasteDisposalEmissions[#All],2,FALSE))*Calculations[[#This Row],[Total Kg]])*VLOOKUP(Calculations[[#This Row],[Waste 1]],WasteScenario[#All],2,FALSE),0)</f>
        <v>0</v>
      </c>
      <c r="AA1178" s="322">
        <f>IFERROR((VLOOKUP(Calculations[[#This Row],[Waste type 2]],WasteDisposalEmissions[#All],3,FALSE))*Calculations[[#This Row],[Total Kg]]*VLOOKUP(Calculations[[#This Row],[Waste 1]],WasteScenario[#All],3,FALSE),0)</f>
        <v>0</v>
      </c>
      <c r="AB1178" s="322">
        <f>SUM(Calculations[[#This Row],[C3 recyc]:[C3 incin]])</f>
        <v>0</v>
      </c>
      <c r="AC1178" s="334">
        <f>IFERROR((VLOOKUP(Calculations[[#This Row],[Waste type 2]],WasteLandfillEmissions[#All],2,FALSE))*Calculations[[#This Row],[Total Kg]]*VLOOKUP(Calculations[[#This Row],[Waste 1]],WasteScenario[#All],4,FALSE),0)</f>
        <v>0</v>
      </c>
      <c r="AD1178" s="322">
        <f>IFERROR((VLOOKUP(Calculations[[#This Row],[Waste type 2]],WasteLandfillEmissions[#All],3,FALSE))*Calculations[[#This Row],[Total Kg]]*VLOOKUP(Calculations[[#This Row],[Waste 1]],WasteScenario[#All],4,FALSE),0)</f>
        <v>0</v>
      </c>
      <c r="AE1178" s="322">
        <f>SUM(Calculations[[#This Row],[C4 landfill]:[C4 re-use]])</f>
        <v>0</v>
      </c>
      <c r="AF1178" s="322">
        <f>IFERROR(VLOOKUP(Calculations[[#This Row],[Material (choose from dropdown]],MaterialData[#All],8,FALSE),0)</f>
        <v>0</v>
      </c>
      <c r="AG1178" s="322">
        <f>IFERROR(Calculations[[#This Row],[Total Kg]]*Calculations[[#This Row],[Seq factor]],0)</f>
        <v>0</v>
      </c>
      <c r="AI1178" s="322">
        <f>Calculations[[#This Row],[A1-3]]+Calculations[[#This Row],[A4]]+Calculations[[#This Row],[A5]]+Calculations[[#This Row],[B4]]+Calculations[[#This Row],[C2 total]]+Calculations[[#This Row],[C3 total]]+Calculations[[#This Row],[C4 total]]</f>
        <v>0</v>
      </c>
      <c r="AJ1178" s="2">
        <f>IFERROR(VLOOKUP(Calculations[[#This Row],[Material (choose from dropdown]],MaterialData[[#Headers],[#Data]],9,FALSE),0)</f>
        <v>0</v>
      </c>
      <c r="AK1178" s="4">
        <f>IFERROR(VLOOKUP(Calculations[[#This Row],[Material (choose from dropdown]],MaterialData[[#Headers],[#Data]],10,FALSE),0)</f>
        <v>0</v>
      </c>
      <c r="AL1178" s="322">
        <f>IFERROR(Calculations[[#This Row],[Data Quality Score]]*Calculations[[#This Row],[Total Kg]],0)</f>
        <v>0</v>
      </c>
    </row>
    <row r="1179" spans="1:38" x14ac:dyDescent="0.3">
      <c r="A1179" s="6">
        <f>IFERROR(MaterialsBoQ[[#This Row],[Scope Element]],0)</f>
        <v>0</v>
      </c>
      <c r="B1179" t="str">
        <f>IFERROR(MaterialsBoQ[[#This Row],[Material ]],"")</f>
        <v/>
      </c>
      <c r="C1179" t="str">
        <f>IFERROR(MaterialsBoQ[[#This Row],[Unit]],"")</f>
        <v/>
      </c>
      <c r="D1179" s="322">
        <f>IFERROR(MaterialsBoQ[[#This Row],[Number]],0)</f>
        <v>0</v>
      </c>
      <c r="E1179" s="322">
        <f>IFERROR(MaterialsBoQ[[#This Row],[Kg per unit]],0)</f>
        <v>0</v>
      </c>
      <c r="F1179" s="322">
        <f>IFERROR(Calculations[[#This Row],[Number]]*Calculations[[#This Row],[Conversion factor]],0)</f>
        <v>0</v>
      </c>
      <c r="G1179" s="322">
        <f>IFERROR(VLOOKUP(Calculations[[#This Row],[Material (choose from dropdown]],MaterialData[#All],7,FALSE),0)</f>
        <v>0</v>
      </c>
      <c r="H1179" s="322">
        <f>Calculations[[#This Row],[Total Kg]]*Calculations[[#This Row],[Carbon Factor]]</f>
        <v>0</v>
      </c>
      <c r="I1179" t="str">
        <f>IFERROR(VLOOKUP(Calculations[[#This Row],[Material (choose from dropdown]],MaterialData[#All],2,FALSE),"")</f>
        <v/>
      </c>
      <c r="J1179" s="322">
        <f>IFERROR(((VLOOKUP(Calculations[[#This Row],[TransportSource]],TransportDistance[],2,FALSE)*'Stage assumptions'!$C$11)+VLOOKUP(Calculations[[#This Row],[TransportSource]],TransportDistance[],3,FALSE)*'Stage assumptions'!$C$12)*Calculations[[#This Row],[Total Kg]],0)</f>
        <v>0</v>
      </c>
      <c r="K1179">
        <f>IFERROR(VLOOKUP(Calculations[[#This Row],[Material (choose from dropdown]], MaterialData[#All],3, FALSE),0)</f>
        <v>0</v>
      </c>
      <c r="L1179" s="322">
        <f>IFERROR(VLOOKUP(Calculations[[#This Row],[A5type]],A5WastageRate[#All],2,FALSE)*Calculations[[#This Row],[A1-3]],0)</f>
        <v>0</v>
      </c>
      <c r="N1179">
        <f>IFERROR(ROUNDUP(50/VLOOKUP(Calculations[[#This Row],[Scope Element]],B4referenceServiceLife[[Tier 2 element]:[Default Service Life]],2, FALSE)-1,0),0)</f>
        <v>0</v>
      </c>
      <c r="O1179" s="322">
        <f>IFERROR((Calculations[[#This Row],[A1-3]]+Calculations[[#This Row],[A4]]+Calculations[[#This Row],[A5]]+Calculations[[#This Row],[C2 total]]+Calculations[[#This Row],[C3 total]]+Calculations[[#This Row],[C4 total]])*Calculations[[#This Row],[Replacements]],0)</f>
        <v>0</v>
      </c>
      <c r="S1179" t="str">
        <f>IFERROR(VLOOKUP(Calculations[[#This Row],[Material (choose from dropdown]],MaterialData[#All],4,FALSE),"")</f>
        <v/>
      </c>
      <c r="T1179" s="322" cm="1">
        <f t="array" ref="T1179">IFERROR(VLOOKUP(Calculations[[#This Row],[Waste 1]],WasteScenario[#All],2,FALSE)*'Stage assumptions'!$C$225*WasteTransportMethod[Emissions Factor
kgCO2e/kg.km]*Calculations[[#This Row],[Total Kg]],0)</f>
        <v>0</v>
      </c>
      <c r="U1179" s="322" cm="1">
        <f t="array" ref="U1179">IFERROR(VLOOKUP(Calculations[[#This Row],[Waste 1]],WasteScenario[#All],3,FALSE)*'Stage assumptions'!$C$224*WasteTransportMethod[Emissions Factor
kgCO2e/kg.km]*Calculations[[#This Row],[Total Kg]],0)</f>
        <v>0</v>
      </c>
      <c r="V1179" s="322" cm="1">
        <f t="array" ref="V1179">IFERROR(VLOOKUP(Calculations[[#This Row],[Waste 1]],WasteScenario[#All],4,FALSE)*'Stage assumptions'!$C$223*WasteTransportMethod[Emissions Factor
kgCO2e/kg.km]*Calculations[[#This Row],[Total Kg]],0)</f>
        <v>0</v>
      </c>
      <c r="W1179" s="322" cm="1">
        <f t="array" ref="W1179">IFERROR(VLOOKUP(Calculations[[#This Row],[Waste 1]],WasteScenario[#All],5,FALSE)*'Stage assumptions'!$C$226*WasteTransportMethod[Emissions Factor
kgCO2e/kg.km]*Calculations[[#This Row],[Total Kg]],0)</f>
        <v>0</v>
      </c>
      <c r="X1179" s="322">
        <f>SUM(Calculations[[#This Row],[C2 Recycle]:[C2 Reuse]])</f>
        <v>0</v>
      </c>
      <c r="Y1179" t="str">
        <f>IFERROR(VLOOKUP(Calculations[[#This Row],[Material (choose from dropdown]],MaterialData[#All],5,FALSE),"")</f>
        <v/>
      </c>
      <c r="Z1179" s="322">
        <f>IFERROR(((VLOOKUP(Calculations[[#This Row],[Waste type 2]],WasteDisposalEmissions[#All],2,FALSE))*Calculations[[#This Row],[Total Kg]])*VLOOKUP(Calculations[[#This Row],[Waste 1]],WasteScenario[#All],2,FALSE),0)</f>
        <v>0</v>
      </c>
      <c r="AA1179" s="322">
        <f>IFERROR((VLOOKUP(Calculations[[#This Row],[Waste type 2]],WasteDisposalEmissions[#All],3,FALSE))*Calculations[[#This Row],[Total Kg]]*VLOOKUP(Calculations[[#This Row],[Waste 1]],WasteScenario[#All],3,FALSE),0)</f>
        <v>0</v>
      </c>
      <c r="AB1179" s="322">
        <f>SUM(Calculations[[#This Row],[C3 recyc]:[C3 incin]])</f>
        <v>0</v>
      </c>
      <c r="AC1179" s="334">
        <f>IFERROR((VLOOKUP(Calculations[[#This Row],[Waste type 2]],WasteLandfillEmissions[#All],2,FALSE))*Calculations[[#This Row],[Total Kg]]*VLOOKUP(Calculations[[#This Row],[Waste 1]],WasteScenario[#All],4,FALSE),0)</f>
        <v>0</v>
      </c>
      <c r="AD1179" s="322">
        <f>IFERROR((VLOOKUP(Calculations[[#This Row],[Waste type 2]],WasteLandfillEmissions[#All],3,FALSE))*Calculations[[#This Row],[Total Kg]]*VLOOKUP(Calculations[[#This Row],[Waste 1]],WasteScenario[#All],4,FALSE),0)</f>
        <v>0</v>
      </c>
      <c r="AE1179" s="322">
        <f>SUM(Calculations[[#This Row],[C4 landfill]:[C4 re-use]])</f>
        <v>0</v>
      </c>
      <c r="AF1179" s="322">
        <f>IFERROR(VLOOKUP(Calculations[[#This Row],[Material (choose from dropdown]],MaterialData[#All],8,FALSE),0)</f>
        <v>0</v>
      </c>
      <c r="AG1179" s="322">
        <f>IFERROR(Calculations[[#This Row],[Total Kg]]*Calculations[[#This Row],[Seq factor]],0)</f>
        <v>0</v>
      </c>
      <c r="AI1179" s="322">
        <f>Calculations[[#This Row],[A1-3]]+Calculations[[#This Row],[A4]]+Calculations[[#This Row],[A5]]+Calculations[[#This Row],[B4]]+Calculations[[#This Row],[C2 total]]+Calculations[[#This Row],[C3 total]]+Calculations[[#This Row],[C4 total]]</f>
        <v>0</v>
      </c>
      <c r="AJ1179" s="2">
        <f>IFERROR(VLOOKUP(Calculations[[#This Row],[Material (choose from dropdown]],MaterialData[[#Headers],[#Data]],9,FALSE),0)</f>
        <v>0</v>
      </c>
      <c r="AK1179" s="4">
        <f>IFERROR(VLOOKUP(Calculations[[#This Row],[Material (choose from dropdown]],MaterialData[[#Headers],[#Data]],10,FALSE),0)</f>
        <v>0</v>
      </c>
      <c r="AL1179" s="322">
        <f>IFERROR(Calculations[[#This Row],[Data Quality Score]]*Calculations[[#This Row],[Total Kg]],0)</f>
        <v>0</v>
      </c>
    </row>
    <row r="1180" spans="1:38" x14ac:dyDescent="0.3">
      <c r="A1180" s="6">
        <f>IFERROR(MaterialsBoQ[[#This Row],[Scope Element]],0)</f>
        <v>0</v>
      </c>
      <c r="B1180" t="str">
        <f>IFERROR(MaterialsBoQ[[#This Row],[Material ]],"")</f>
        <v/>
      </c>
      <c r="C1180" t="str">
        <f>IFERROR(MaterialsBoQ[[#This Row],[Unit]],"")</f>
        <v/>
      </c>
      <c r="D1180" s="322">
        <f>IFERROR(MaterialsBoQ[[#This Row],[Number]],0)</f>
        <v>0</v>
      </c>
      <c r="E1180" s="322">
        <f>IFERROR(MaterialsBoQ[[#This Row],[Kg per unit]],0)</f>
        <v>0</v>
      </c>
      <c r="F1180" s="322">
        <f>IFERROR(Calculations[[#This Row],[Number]]*Calculations[[#This Row],[Conversion factor]],0)</f>
        <v>0</v>
      </c>
      <c r="G1180" s="322">
        <f>IFERROR(VLOOKUP(Calculations[[#This Row],[Material (choose from dropdown]],MaterialData[#All],7,FALSE),0)</f>
        <v>0</v>
      </c>
      <c r="H1180" s="322">
        <f>Calculations[[#This Row],[Total Kg]]*Calculations[[#This Row],[Carbon Factor]]</f>
        <v>0</v>
      </c>
      <c r="I1180" t="str">
        <f>IFERROR(VLOOKUP(Calculations[[#This Row],[Material (choose from dropdown]],MaterialData[#All],2,FALSE),"")</f>
        <v/>
      </c>
      <c r="J1180" s="322">
        <f>IFERROR(((VLOOKUP(Calculations[[#This Row],[TransportSource]],TransportDistance[],2,FALSE)*'Stage assumptions'!$C$11)+VLOOKUP(Calculations[[#This Row],[TransportSource]],TransportDistance[],3,FALSE)*'Stage assumptions'!$C$12)*Calculations[[#This Row],[Total Kg]],0)</f>
        <v>0</v>
      </c>
      <c r="K1180">
        <f>IFERROR(VLOOKUP(Calculations[[#This Row],[Material (choose from dropdown]], MaterialData[#All],3, FALSE),0)</f>
        <v>0</v>
      </c>
      <c r="L1180" s="322">
        <f>IFERROR(VLOOKUP(Calculations[[#This Row],[A5type]],A5WastageRate[#All],2,FALSE)*Calculations[[#This Row],[A1-3]],0)</f>
        <v>0</v>
      </c>
      <c r="N1180">
        <f>IFERROR(ROUNDUP(50/VLOOKUP(Calculations[[#This Row],[Scope Element]],B4referenceServiceLife[[Tier 2 element]:[Default Service Life]],2, FALSE)-1,0),0)</f>
        <v>0</v>
      </c>
      <c r="O1180" s="322">
        <f>IFERROR((Calculations[[#This Row],[A1-3]]+Calculations[[#This Row],[A4]]+Calculations[[#This Row],[A5]]+Calculations[[#This Row],[C2 total]]+Calculations[[#This Row],[C3 total]]+Calculations[[#This Row],[C4 total]])*Calculations[[#This Row],[Replacements]],0)</f>
        <v>0</v>
      </c>
      <c r="S1180" t="str">
        <f>IFERROR(VLOOKUP(Calculations[[#This Row],[Material (choose from dropdown]],MaterialData[#All],4,FALSE),"")</f>
        <v/>
      </c>
      <c r="T1180" s="322" cm="1">
        <f t="array" ref="T1180">IFERROR(VLOOKUP(Calculations[[#This Row],[Waste 1]],WasteScenario[#All],2,FALSE)*'Stage assumptions'!$C$225*WasteTransportMethod[Emissions Factor
kgCO2e/kg.km]*Calculations[[#This Row],[Total Kg]],0)</f>
        <v>0</v>
      </c>
      <c r="U1180" s="322" cm="1">
        <f t="array" ref="U1180">IFERROR(VLOOKUP(Calculations[[#This Row],[Waste 1]],WasteScenario[#All],3,FALSE)*'Stage assumptions'!$C$224*WasteTransportMethod[Emissions Factor
kgCO2e/kg.km]*Calculations[[#This Row],[Total Kg]],0)</f>
        <v>0</v>
      </c>
      <c r="V1180" s="322" cm="1">
        <f t="array" ref="V1180">IFERROR(VLOOKUP(Calculations[[#This Row],[Waste 1]],WasteScenario[#All],4,FALSE)*'Stage assumptions'!$C$223*WasteTransportMethod[Emissions Factor
kgCO2e/kg.km]*Calculations[[#This Row],[Total Kg]],0)</f>
        <v>0</v>
      </c>
      <c r="W1180" s="322" cm="1">
        <f t="array" ref="W1180">IFERROR(VLOOKUP(Calculations[[#This Row],[Waste 1]],WasteScenario[#All],5,FALSE)*'Stage assumptions'!$C$226*WasteTransportMethod[Emissions Factor
kgCO2e/kg.km]*Calculations[[#This Row],[Total Kg]],0)</f>
        <v>0</v>
      </c>
      <c r="X1180" s="322">
        <f>SUM(Calculations[[#This Row],[C2 Recycle]:[C2 Reuse]])</f>
        <v>0</v>
      </c>
      <c r="Y1180" t="str">
        <f>IFERROR(VLOOKUP(Calculations[[#This Row],[Material (choose from dropdown]],MaterialData[#All],5,FALSE),"")</f>
        <v/>
      </c>
      <c r="Z1180" s="322">
        <f>IFERROR(((VLOOKUP(Calculations[[#This Row],[Waste type 2]],WasteDisposalEmissions[#All],2,FALSE))*Calculations[[#This Row],[Total Kg]])*VLOOKUP(Calculations[[#This Row],[Waste 1]],WasteScenario[#All],2,FALSE),0)</f>
        <v>0</v>
      </c>
      <c r="AA1180" s="322">
        <f>IFERROR((VLOOKUP(Calculations[[#This Row],[Waste type 2]],WasteDisposalEmissions[#All],3,FALSE))*Calculations[[#This Row],[Total Kg]]*VLOOKUP(Calculations[[#This Row],[Waste 1]],WasteScenario[#All],3,FALSE),0)</f>
        <v>0</v>
      </c>
      <c r="AB1180" s="322">
        <f>SUM(Calculations[[#This Row],[C3 recyc]:[C3 incin]])</f>
        <v>0</v>
      </c>
      <c r="AC1180" s="334">
        <f>IFERROR((VLOOKUP(Calculations[[#This Row],[Waste type 2]],WasteLandfillEmissions[#All],2,FALSE))*Calculations[[#This Row],[Total Kg]]*VLOOKUP(Calculations[[#This Row],[Waste 1]],WasteScenario[#All],4,FALSE),0)</f>
        <v>0</v>
      </c>
      <c r="AD1180" s="322">
        <f>IFERROR((VLOOKUP(Calculations[[#This Row],[Waste type 2]],WasteLandfillEmissions[#All],3,FALSE))*Calculations[[#This Row],[Total Kg]]*VLOOKUP(Calculations[[#This Row],[Waste 1]],WasteScenario[#All],4,FALSE),0)</f>
        <v>0</v>
      </c>
      <c r="AE1180" s="322">
        <f>SUM(Calculations[[#This Row],[C4 landfill]:[C4 re-use]])</f>
        <v>0</v>
      </c>
      <c r="AF1180" s="322">
        <f>IFERROR(VLOOKUP(Calculations[[#This Row],[Material (choose from dropdown]],MaterialData[#All],8,FALSE),0)</f>
        <v>0</v>
      </c>
      <c r="AG1180" s="322">
        <f>IFERROR(Calculations[[#This Row],[Total Kg]]*Calculations[[#This Row],[Seq factor]],0)</f>
        <v>0</v>
      </c>
      <c r="AI1180" s="322">
        <f>Calculations[[#This Row],[A1-3]]+Calculations[[#This Row],[A4]]+Calculations[[#This Row],[A5]]+Calculations[[#This Row],[B4]]+Calculations[[#This Row],[C2 total]]+Calculations[[#This Row],[C3 total]]+Calculations[[#This Row],[C4 total]]</f>
        <v>0</v>
      </c>
      <c r="AJ1180" s="2">
        <f>IFERROR(VLOOKUP(Calculations[[#This Row],[Material (choose from dropdown]],MaterialData[[#Headers],[#Data]],9,FALSE),0)</f>
        <v>0</v>
      </c>
      <c r="AK1180" s="4">
        <f>IFERROR(VLOOKUP(Calculations[[#This Row],[Material (choose from dropdown]],MaterialData[[#Headers],[#Data]],10,FALSE),0)</f>
        <v>0</v>
      </c>
      <c r="AL1180" s="322">
        <f>IFERROR(Calculations[[#This Row],[Data Quality Score]]*Calculations[[#This Row],[Total Kg]],0)</f>
        <v>0</v>
      </c>
    </row>
    <row r="1181" spans="1:38" x14ac:dyDescent="0.3">
      <c r="A1181" s="6">
        <f>IFERROR(MaterialsBoQ[[#This Row],[Scope Element]],0)</f>
        <v>0</v>
      </c>
      <c r="B1181" t="str">
        <f>IFERROR(MaterialsBoQ[[#This Row],[Material ]],"")</f>
        <v/>
      </c>
      <c r="C1181" t="str">
        <f>IFERROR(MaterialsBoQ[[#This Row],[Unit]],"")</f>
        <v/>
      </c>
      <c r="D1181" s="322">
        <f>IFERROR(MaterialsBoQ[[#This Row],[Number]],0)</f>
        <v>0</v>
      </c>
      <c r="E1181" s="322">
        <f>IFERROR(MaterialsBoQ[[#This Row],[Kg per unit]],0)</f>
        <v>0</v>
      </c>
      <c r="F1181" s="322">
        <f>IFERROR(Calculations[[#This Row],[Number]]*Calculations[[#This Row],[Conversion factor]],0)</f>
        <v>0</v>
      </c>
      <c r="G1181" s="322">
        <f>IFERROR(VLOOKUP(Calculations[[#This Row],[Material (choose from dropdown]],MaterialData[#All],7,FALSE),0)</f>
        <v>0</v>
      </c>
      <c r="H1181" s="322">
        <f>Calculations[[#This Row],[Total Kg]]*Calculations[[#This Row],[Carbon Factor]]</f>
        <v>0</v>
      </c>
      <c r="I1181" t="str">
        <f>IFERROR(VLOOKUP(Calculations[[#This Row],[Material (choose from dropdown]],MaterialData[#All],2,FALSE),"")</f>
        <v/>
      </c>
      <c r="J1181" s="322">
        <f>IFERROR(((VLOOKUP(Calculations[[#This Row],[TransportSource]],TransportDistance[],2,FALSE)*'Stage assumptions'!$C$11)+VLOOKUP(Calculations[[#This Row],[TransportSource]],TransportDistance[],3,FALSE)*'Stage assumptions'!$C$12)*Calculations[[#This Row],[Total Kg]],0)</f>
        <v>0</v>
      </c>
      <c r="K1181">
        <f>IFERROR(VLOOKUP(Calculations[[#This Row],[Material (choose from dropdown]], MaterialData[#All],3, FALSE),0)</f>
        <v>0</v>
      </c>
      <c r="L1181" s="322">
        <f>IFERROR(VLOOKUP(Calculations[[#This Row],[A5type]],A5WastageRate[#All],2,FALSE)*Calculations[[#This Row],[A1-3]],0)</f>
        <v>0</v>
      </c>
      <c r="N1181">
        <f>IFERROR(ROUNDUP(50/VLOOKUP(Calculations[[#This Row],[Scope Element]],B4referenceServiceLife[[Tier 2 element]:[Default Service Life]],2, FALSE)-1,0),0)</f>
        <v>0</v>
      </c>
      <c r="O1181" s="322">
        <f>IFERROR((Calculations[[#This Row],[A1-3]]+Calculations[[#This Row],[A4]]+Calculations[[#This Row],[A5]]+Calculations[[#This Row],[C2 total]]+Calculations[[#This Row],[C3 total]]+Calculations[[#This Row],[C4 total]])*Calculations[[#This Row],[Replacements]],0)</f>
        <v>0</v>
      </c>
      <c r="S1181" t="str">
        <f>IFERROR(VLOOKUP(Calculations[[#This Row],[Material (choose from dropdown]],MaterialData[#All],4,FALSE),"")</f>
        <v/>
      </c>
      <c r="T1181" s="322" cm="1">
        <f t="array" ref="T1181">IFERROR(VLOOKUP(Calculations[[#This Row],[Waste 1]],WasteScenario[#All],2,FALSE)*'Stage assumptions'!$C$225*WasteTransportMethod[Emissions Factor
kgCO2e/kg.km]*Calculations[[#This Row],[Total Kg]],0)</f>
        <v>0</v>
      </c>
      <c r="U1181" s="322" cm="1">
        <f t="array" ref="U1181">IFERROR(VLOOKUP(Calculations[[#This Row],[Waste 1]],WasteScenario[#All],3,FALSE)*'Stage assumptions'!$C$224*WasteTransportMethod[Emissions Factor
kgCO2e/kg.km]*Calculations[[#This Row],[Total Kg]],0)</f>
        <v>0</v>
      </c>
      <c r="V1181" s="322" cm="1">
        <f t="array" ref="V1181">IFERROR(VLOOKUP(Calculations[[#This Row],[Waste 1]],WasteScenario[#All],4,FALSE)*'Stage assumptions'!$C$223*WasteTransportMethod[Emissions Factor
kgCO2e/kg.km]*Calculations[[#This Row],[Total Kg]],0)</f>
        <v>0</v>
      </c>
      <c r="W1181" s="322" cm="1">
        <f t="array" ref="W1181">IFERROR(VLOOKUP(Calculations[[#This Row],[Waste 1]],WasteScenario[#All],5,FALSE)*'Stage assumptions'!$C$226*WasteTransportMethod[Emissions Factor
kgCO2e/kg.km]*Calculations[[#This Row],[Total Kg]],0)</f>
        <v>0</v>
      </c>
      <c r="X1181" s="322">
        <f>SUM(Calculations[[#This Row],[C2 Recycle]:[C2 Reuse]])</f>
        <v>0</v>
      </c>
      <c r="Y1181" t="str">
        <f>IFERROR(VLOOKUP(Calculations[[#This Row],[Material (choose from dropdown]],MaterialData[#All],5,FALSE),"")</f>
        <v/>
      </c>
      <c r="Z1181" s="322">
        <f>IFERROR(((VLOOKUP(Calculations[[#This Row],[Waste type 2]],WasteDisposalEmissions[#All],2,FALSE))*Calculations[[#This Row],[Total Kg]])*VLOOKUP(Calculations[[#This Row],[Waste 1]],WasteScenario[#All],2,FALSE),0)</f>
        <v>0</v>
      </c>
      <c r="AA1181" s="322">
        <f>IFERROR((VLOOKUP(Calculations[[#This Row],[Waste type 2]],WasteDisposalEmissions[#All],3,FALSE))*Calculations[[#This Row],[Total Kg]]*VLOOKUP(Calculations[[#This Row],[Waste 1]],WasteScenario[#All],3,FALSE),0)</f>
        <v>0</v>
      </c>
      <c r="AB1181" s="322">
        <f>SUM(Calculations[[#This Row],[C3 recyc]:[C3 incin]])</f>
        <v>0</v>
      </c>
      <c r="AC1181" s="334">
        <f>IFERROR((VLOOKUP(Calculations[[#This Row],[Waste type 2]],WasteLandfillEmissions[#All],2,FALSE))*Calculations[[#This Row],[Total Kg]]*VLOOKUP(Calculations[[#This Row],[Waste 1]],WasteScenario[#All],4,FALSE),0)</f>
        <v>0</v>
      </c>
      <c r="AD1181" s="322">
        <f>IFERROR((VLOOKUP(Calculations[[#This Row],[Waste type 2]],WasteLandfillEmissions[#All],3,FALSE))*Calculations[[#This Row],[Total Kg]]*VLOOKUP(Calculations[[#This Row],[Waste 1]],WasteScenario[#All],4,FALSE),0)</f>
        <v>0</v>
      </c>
      <c r="AE1181" s="322">
        <f>SUM(Calculations[[#This Row],[C4 landfill]:[C4 re-use]])</f>
        <v>0</v>
      </c>
      <c r="AF1181" s="322">
        <f>IFERROR(VLOOKUP(Calculations[[#This Row],[Material (choose from dropdown]],MaterialData[#All],8,FALSE),0)</f>
        <v>0</v>
      </c>
      <c r="AG1181" s="322">
        <f>IFERROR(Calculations[[#This Row],[Total Kg]]*Calculations[[#This Row],[Seq factor]],0)</f>
        <v>0</v>
      </c>
      <c r="AI1181" s="322">
        <f>Calculations[[#This Row],[A1-3]]+Calculations[[#This Row],[A4]]+Calculations[[#This Row],[A5]]+Calculations[[#This Row],[B4]]+Calculations[[#This Row],[C2 total]]+Calculations[[#This Row],[C3 total]]+Calculations[[#This Row],[C4 total]]</f>
        <v>0</v>
      </c>
      <c r="AJ1181" s="2">
        <f>IFERROR(VLOOKUP(Calculations[[#This Row],[Material (choose from dropdown]],MaterialData[[#Headers],[#Data]],9,FALSE),0)</f>
        <v>0</v>
      </c>
      <c r="AK1181" s="4">
        <f>IFERROR(VLOOKUP(Calculations[[#This Row],[Material (choose from dropdown]],MaterialData[[#Headers],[#Data]],10,FALSE),0)</f>
        <v>0</v>
      </c>
      <c r="AL1181" s="322">
        <f>IFERROR(Calculations[[#This Row],[Data Quality Score]]*Calculations[[#This Row],[Total Kg]],0)</f>
        <v>0</v>
      </c>
    </row>
    <row r="1182" spans="1:38" x14ac:dyDescent="0.3">
      <c r="A1182" s="6">
        <f>IFERROR(MaterialsBoQ[[#This Row],[Scope Element]],0)</f>
        <v>0</v>
      </c>
      <c r="B1182" t="str">
        <f>IFERROR(MaterialsBoQ[[#This Row],[Material ]],"")</f>
        <v/>
      </c>
      <c r="C1182" t="str">
        <f>IFERROR(MaterialsBoQ[[#This Row],[Unit]],"")</f>
        <v/>
      </c>
      <c r="D1182" s="322">
        <f>IFERROR(MaterialsBoQ[[#This Row],[Number]],0)</f>
        <v>0</v>
      </c>
      <c r="E1182" s="322">
        <f>IFERROR(MaterialsBoQ[[#This Row],[Kg per unit]],0)</f>
        <v>0</v>
      </c>
      <c r="F1182" s="322">
        <f>IFERROR(Calculations[[#This Row],[Number]]*Calculations[[#This Row],[Conversion factor]],0)</f>
        <v>0</v>
      </c>
      <c r="G1182" s="322">
        <f>IFERROR(VLOOKUP(Calculations[[#This Row],[Material (choose from dropdown]],MaterialData[#All],7,FALSE),0)</f>
        <v>0</v>
      </c>
      <c r="H1182" s="322">
        <f>Calculations[[#This Row],[Total Kg]]*Calculations[[#This Row],[Carbon Factor]]</f>
        <v>0</v>
      </c>
      <c r="I1182" t="str">
        <f>IFERROR(VLOOKUP(Calculations[[#This Row],[Material (choose from dropdown]],MaterialData[#All],2,FALSE),"")</f>
        <v/>
      </c>
      <c r="J1182" s="322">
        <f>IFERROR(((VLOOKUP(Calculations[[#This Row],[TransportSource]],TransportDistance[],2,FALSE)*'Stage assumptions'!$C$11)+VLOOKUP(Calculations[[#This Row],[TransportSource]],TransportDistance[],3,FALSE)*'Stage assumptions'!$C$12)*Calculations[[#This Row],[Total Kg]],0)</f>
        <v>0</v>
      </c>
      <c r="K1182">
        <f>IFERROR(VLOOKUP(Calculations[[#This Row],[Material (choose from dropdown]], MaterialData[#All],3, FALSE),0)</f>
        <v>0</v>
      </c>
      <c r="L1182" s="322">
        <f>IFERROR(VLOOKUP(Calculations[[#This Row],[A5type]],A5WastageRate[#All],2,FALSE)*Calculations[[#This Row],[A1-3]],0)</f>
        <v>0</v>
      </c>
      <c r="N1182">
        <f>IFERROR(ROUNDUP(50/VLOOKUP(Calculations[[#This Row],[Scope Element]],B4referenceServiceLife[[Tier 2 element]:[Default Service Life]],2, FALSE)-1,0),0)</f>
        <v>0</v>
      </c>
      <c r="O1182" s="322">
        <f>IFERROR((Calculations[[#This Row],[A1-3]]+Calculations[[#This Row],[A4]]+Calculations[[#This Row],[A5]]+Calculations[[#This Row],[C2 total]]+Calculations[[#This Row],[C3 total]]+Calculations[[#This Row],[C4 total]])*Calculations[[#This Row],[Replacements]],0)</f>
        <v>0</v>
      </c>
      <c r="S1182" t="str">
        <f>IFERROR(VLOOKUP(Calculations[[#This Row],[Material (choose from dropdown]],MaterialData[#All],4,FALSE),"")</f>
        <v/>
      </c>
      <c r="T1182" s="322" cm="1">
        <f t="array" ref="T1182">IFERROR(VLOOKUP(Calculations[[#This Row],[Waste 1]],WasteScenario[#All],2,FALSE)*'Stage assumptions'!$C$225*WasteTransportMethod[Emissions Factor
kgCO2e/kg.km]*Calculations[[#This Row],[Total Kg]],0)</f>
        <v>0</v>
      </c>
      <c r="U1182" s="322" cm="1">
        <f t="array" ref="U1182">IFERROR(VLOOKUP(Calculations[[#This Row],[Waste 1]],WasteScenario[#All],3,FALSE)*'Stage assumptions'!$C$224*WasteTransportMethod[Emissions Factor
kgCO2e/kg.km]*Calculations[[#This Row],[Total Kg]],0)</f>
        <v>0</v>
      </c>
      <c r="V1182" s="322" cm="1">
        <f t="array" ref="V1182">IFERROR(VLOOKUP(Calculations[[#This Row],[Waste 1]],WasteScenario[#All],4,FALSE)*'Stage assumptions'!$C$223*WasteTransportMethod[Emissions Factor
kgCO2e/kg.km]*Calculations[[#This Row],[Total Kg]],0)</f>
        <v>0</v>
      </c>
      <c r="W1182" s="322" cm="1">
        <f t="array" ref="W1182">IFERROR(VLOOKUP(Calculations[[#This Row],[Waste 1]],WasteScenario[#All],5,FALSE)*'Stage assumptions'!$C$226*WasteTransportMethod[Emissions Factor
kgCO2e/kg.km]*Calculations[[#This Row],[Total Kg]],0)</f>
        <v>0</v>
      </c>
      <c r="X1182" s="322">
        <f>SUM(Calculations[[#This Row],[C2 Recycle]:[C2 Reuse]])</f>
        <v>0</v>
      </c>
      <c r="Y1182" t="str">
        <f>IFERROR(VLOOKUP(Calculations[[#This Row],[Material (choose from dropdown]],MaterialData[#All],5,FALSE),"")</f>
        <v/>
      </c>
      <c r="Z1182" s="322">
        <f>IFERROR(((VLOOKUP(Calculations[[#This Row],[Waste type 2]],WasteDisposalEmissions[#All],2,FALSE))*Calculations[[#This Row],[Total Kg]])*VLOOKUP(Calculations[[#This Row],[Waste 1]],WasteScenario[#All],2,FALSE),0)</f>
        <v>0</v>
      </c>
      <c r="AA1182" s="322">
        <f>IFERROR((VLOOKUP(Calculations[[#This Row],[Waste type 2]],WasteDisposalEmissions[#All],3,FALSE))*Calculations[[#This Row],[Total Kg]]*VLOOKUP(Calculations[[#This Row],[Waste 1]],WasteScenario[#All],3,FALSE),0)</f>
        <v>0</v>
      </c>
      <c r="AB1182" s="322">
        <f>SUM(Calculations[[#This Row],[C3 recyc]:[C3 incin]])</f>
        <v>0</v>
      </c>
      <c r="AC1182" s="334">
        <f>IFERROR((VLOOKUP(Calculations[[#This Row],[Waste type 2]],WasteLandfillEmissions[#All],2,FALSE))*Calculations[[#This Row],[Total Kg]]*VLOOKUP(Calculations[[#This Row],[Waste 1]],WasteScenario[#All],4,FALSE),0)</f>
        <v>0</v>
      </c>
      <c r="AD1182" s="322">
        <f>IFERROR((VLOOKUP(Calculations[[#This Row],[Waste type 2]],WasteLandfillEmissions[#All],3,FALSE))*Calculations[[#This Row],[Total Kg]]*VLOOKUP(Calculations[[#This Row],[Waste 1]],WasteScenario[#All],4,FALSE),0)</f>
        <v>0</v>
      </c>
      <c r="AE1182" s="322">
        <f>SUM(Calculations[[#This Row],[C4 landfill]:[C4 re-use]])</f>
        <v>0</v>
      </c>
      <c r="AF1182" s="322">
        <f>IFERROR(VLOOKUP(Calculations[[#This Row],[Material (choose from dropdown]],MaterialData[#All],8,FALSE),0)</f>
        <v>0</v>
      </c>
      <c r="AG1182" s="322">
        <f>IFERROR(Calculations[[#This Row],[Total Kg]]*Calculations[[#This Row],[Seq factor]],0)</f>
        <v>0</v>
      </c>
      <c r="AI1182" s="322">
        <f>Calculations[[#This Row],[A1-3]]+Calculations[[#This Row],[A4]]+Calculations[[#This Row],[A5]]+Calculations[[#This Row],[B4]]+Calculations[[#This Row],[C2 total]]+Calculations[[#This Row],[C3 total]]+Calculations[[#This Row],[C4 total]]</f>
        <v>0</v>
      </c>
      <c r="AJ1182" s="2">
        <f>IFERROR(VLOOKUP(Calculations[[#This Row],[Material (choose from dropdown]],MaterialData[[#Headers],[#Data]],9,FALSE),0)</f>
        <v>0</v>
      </c>
      <c r="AK1182" s="4">
        <f>IFERROR(VLOOKUP(Calculations[[#This Row],[Material (choose from dropdown]],MaterialData[[#Headers],[#Data]],10,FALSE),0)</f>
        <v>0</v>
      </c>
      <c r="AL1182" s="322">
        <f>IFERROR(Calculations[[#This Row],[Data Quality Score]]*Calculations[[#This Row],[Total Kg]],0)</f>
        <v>0</v>
      </c>
    </row>
    <row r="1183" spans="1:38" x14ac:dyDescent="0.3">
      <c r="A1183" s="6">
        <f>IFERROR(MaterialsBoQ[[#This Row],[Scope Element]],0)</f>
        <v>0</v>
      </c>
      <c r="B1183" t="str">
        <f>IFERROR(MaterialsBoQ[[#This Row],[Material ]],"")</f>
        <v/>
      </c>
      <c r="C1183" t="str">
        <f>IFERROR(MaterialsBoQ[[#This Row],[Unit]],"")</f>
        <v/>
      </c>
      <c r="D1183" s="322">
        <f>IFERROR(MaterialsBoQ[[#This Row],[Number]],0)</f>
        <v>0</v>
      </c>
      <c r="E1183" s="322">
        <f>IFERROR(MaterialsBoQ[[#This Row],[Kg per unit]],0)</f>
        <v>0</v>
      </c>
      <c r="F1183" s="322">
        <f>IFERROR(Calculations[[#This Row],[Number]]*Calculations[[#This Row],[Conversion factor]],0)</f>
        <v>0</v>
      </c>
      <c r="G1183" s="322">
        <f>IFERROR(VLOOKUP(Calculations[[#This Row],[Material (choose from dropdown]],MaterialData[#All],7,FALSE),0)</f>
        <v>0</v>
      </c>
      <c r="H1183" s="322">
        <f>Calculations[[#This Row],[Total Kg]]*Calculations[[#This Row],[Carbon Factor]]</f>
        <v>0</v>
      </c>
      <c r="I1183" t="str">
        <f>IFERROR(VLOOKUP(Calculations[[#This Row],[Material (choose from dropdown]],MaterialData[#All],2,FALSE),"")</f>
        <v/>
      </c>
      <c r="J1183" s="322">
        <f>IFERROR(((VLOOKUP(Calculations[[#This Row],[TransportSource]],TransportDistance[],2,FALSE)*'Stage assumptions'!$C$11)+VLOOKUP(Calculations[[#This Row],[TransportSource]],TransportDistance[],3,FALSE)*'Stage assumptions'!$C$12)*Calculations[[#This Row],[Total Kg]],0)</f>
        <v>0</v>
      </c>
      <c r="K1183">
        <f>IFERROR(VLOOKUP(Calculations[[#This Row],[Material (choose from dropdown]], MaterialData[#All],3, FALSE),0)</f>
        <v>0</v>
      </c>
      <c r="L1183" s="322">
        <f>IFERROR(VLOOKUP(Calculations[[#This Row],[A5type]],A5WastageRate[#All],2,FALSE)*Calculations[[#This Row],[A1-3]],0)</f>
        <v>0</v>
      </c>
      <c r="N1183">
        <f>IFERROR(ROUNDUP(50/VLOOKUP(Calculations[[#This Row],[Scope Element]],B4referenceServiceLife[[Tier 2 element]:[Default Service Life]],2, FALSE)-1,0),0)</f>
        <v>0</v>
      </c>
      <c r="O1183" s="322">
        <f>IFERROR((Calculations[[#This Row],[A1-3]]+Calculations[[#This Row],[A4]]+Calculations[[#This Row],[A5]]+Calculations[[#This Row],[C2 total]]+Calculations[[#This Row],[C3 total]]+Calculations[[#This Row],[C4 total]])*Calculations[[#This Row],[Replacements]],0)</f>
        <v>0</v>
      </c>
      <c r="S1183" t="str">
        <f>IFERROR(VLOOKUP(Calculations[[#This Row],[Material (choose from dropdown]],MaterialData[#All],4,FALSE),"")</f>
        <v/>
      </c>
      <c r="T1183" s="322" cm="1">
        <f t="array" ref="T1183">IFERROR(VLOOKUP(Calculations[[#This Row],[Waste 1]],WasteScenario[#All],2,FALSE)*'Stage assumptions'!$C$225*WasteTransportMethod[Emissions Factor
kgCO2e/kg.km]*Calculations[[#This Row],[Total Kg]],0)</f>
        <v>0</v>
      </c>
      <c r="U1183" s="322" cm="1">
        <f t="array" ref="U1183">IFERROR(VLOOKUP(Calculations[[#This Row],[Waste 1]],WasteScenario[#All],3,FALSE)*'Stage assumptions'!$C$224*WasteTransportMethod[Emissions Factor
kgCO2e/kg.km]*Calculations[[#This Row],[Total Kg]],0)</f>
        <v>0</v>
      </c>
      <c r="V1183" s="322" cm="1">
        <f t="array" ref="V1183">IFERROR(VLOOKUP(Calculations[[#This Row],[Waste 1]],WasteScenario[#All],4,FALSE)*'Stage assumptions'!$C$223*WasteTransportMethod[Emissions Factor
kgCO2e/kg.km]*Calculations[[#This Row],[Total Kg]],0)</f>
        <v>0</v>
      </c>
      <c r="W1183" s="322" cm="1">
        <f t="array" ref="W1183">IFERROR(VLOOKUP(Calculations[[#This Row],[Waste 1]],WasteScenario[#All],5,FALSE)*'Stage assumptions'!$C$226*WasteTransportMethod[Emissions Factor
kgCO2e/kg.km]*Calculations[[#This Row],[Total Kg]],0)</f>
        <v>0</v>
      </c>
      <c r="X1183" s="322">
        <f>SUM(Calculations[[#This Row],[C2 Recycle]:[C2 Reuse]])</f>
        <v>0</v>
      </c>
      <c r="Y1183" t="str">
        <f>IFERROR(VLOOKUP(Calculations[[#This Row],[Material (choose from dropdown]],MaterialData[#All],5,FALSE),"")</f>
        <v/>
      </c>
      <c r="Z1183" s="322">
        <f>IFERROR(((VLOOKUP(Calculations[[#This Row],[Waste type 2]],WasteDisposalEmissions[#All],2,FALSE))*Calculations[[#This Row],[Total Kg]])*VLOOKUP(Calculations[[#This Row],[Waste 1]],WasteScenario[#All],2,FALSE),0)</f>
        <v>0</v>
      </c>
      <c r="AA1183" s="322">
        <f>IFERROR((VLOOKUP(Calculations[[#This Row],[Waste type 2]],WasteDisposalEmissions[#All],3,FALSE))*Calculations[[#This Row],[Total Kg]]*VLOOKUP(Calculations[[#This Row],[Waste 1]],WasteScenario[#All],3,FALSE),0)</f>
        <v>0</v>
      </c>
      <c r="AB1183" s="322">
        <f>SUM(Calculations[[#This Row],[C3 recyc]:[C3 incin]])</f>
        <v>0</v>
      </c>
      <c r="AC1183" s="334">
        <f>IFERROR((VLOOKUP(Calculations[[#This Row],[Waste type 2]],WasteLandfillEmissions[#All],2,FALSE))*Calculations[[#This Row],[Total Kg]]*VLOOKUP(Calculations[[#This Row],[Waste 1]],WasteScenario[#All],4,FALSE),0)</f>
        <v>0</v>
      </c>
      <c r="AD1183" s="322">
        <f>IFERROR((VLOOKUP(Calculations[[#This Row],[Waste type 2]],WasteLandfillEmissions[#All],3,FALSE))*Calculations[[#This Row],[Total Kg]]*VLOOKUP(Calculations[[#This Row],[Waste 1]],WasteScenario[#All],4,FALSE),0)</f>
        <v>0</v>
      </c>
      <c r="AE1183" s="322">
        <f>SUM(Calculations[[#This Row],[C4 landfill]:[C4 re-use]])</f>
        <v>0</v>
      </c>
      <c r="AF1183" s="322">
        <f>IFERROR(VLOOKUP(Calculations[[#This Row],[Material (choose from dropdown]],MaterialData[#All],8,FALSE),0)</f>
        <v>0</v>
      </c>
      <c r="AG1183" s="322">
        <f>IFERROR(Calculations[[#This Row],[Total Kg]]*Calculations[[#This Row],[Seq factor]],0)</f>
        <v>0</v>
      </c>
      <c r="AI1183" s="322">
        <f>Calculations[[#This Row],[A1-3]]+Calculations[[#This Row],[A4]]+Calculations[[#This Row],[A5]]+Calculations[[#This Row],[B4]]+Calculations[[#This Row],[C2 total]]+Calculations[[#This Row],[C3 total]]+Calculations[[#This Row],[C4 total]]</f>
        <v>0</v>
      </c>
      <c r="AJ1183" s="2">
        <f>IFERROR(VLOOKUP(Calculations[[#This Row],[Material (choose from dropdown]],MaterialData[[#Headers],[#Data]],9,FALSE),0)</f>
        <v>0</v>
      </c>
      <c r="AK1183" s="4">
        <f>IFERROR(VLOOKUP(Calculations[[#This Row],[Material (choose from dropdown]],MaterialData[[#Headers],[#Data]],10,FALSE),0)</f>
        <v>0</v>
      </c>
      <c r="AL1183" s="322">
        <f>IFERROR(Calculations[[#This Row],[Data Quality Score]]*Calculations[[#This Row],[Total Kg]],0)</f>
        <v>0</v>
      </c>
    </row>
    <row r="1184" spans="1:38" x14ac:dyDescent="0.3">
      <c r="A1184" s="6">
        <f>IFERROR(MaterialsBoQ[[#This Row],[Scope Element]],0)</f>
        <v>0</v>
      </c>
      <c r="B1184" t="str">
        <f>IFERROR(MaterialsBoQ[[#This Row],[Material ]],"")</f>
        <v/>
      </c>
      <c r="C1184" t="str">
        <f>IFERROR(MaterialsBoQ[[#This Row],[Unit]],"")</f>
        <v/>
      </c>
      <c r="D1184" s="322">
        <f>IFERROR(MaterialsBoQ[[#This Row],[Number]],0)</f>
        <v>0</v>
      </c>
      <c r="E1184" s="322">
        <f>IFERROR(MaterialsBoQ[[#This Row],[Kg per unit]],0)</f>
        <v>0</v>
      </c>
      <c r="F1184" s="322">
        <f>IFERROR(Calculations[[#This Row],[Number]]*Calculations[[#This Row],[Conversion factor]],0)</f>
        <v>0</v>
      </c>
      <c r="G1184" s="322">
        <f>IFERROR(VLOOKUP(Calculations[[#This Row],[Material (choose from dropdown]],MaterialData[#All],7,FALSE),0)</f>
        <v>0</v>
      </c>
      <c r="H1184" s="322">
        <f>Calculations[[#This Row],[Total Kg]]*Calculations[[#This Row],[Carbon Factor]]</f>
        <v>0</v>
      </c>
      <c r="I1184" t="str">
        <f>IFERROR(VLOOKUP(Calculations[[#This Row],[Material (choose from dropdown]],MaterialData[#All],2,FALSE),"")</f>
        <v/>
      </c>
      <c r="J1184" s="322">
        <f>IFERROR(((VLOOKUP(Calculations[[#This Row],[TransportSource]],TransportDistance[],2,FALSE)*'Stage assumptions'!$C$11)+VLOOKUP(Calculations[[#This Row],[TransportSource]],TransportDistance[],3,FALSE)*'Stage assumptions'!$C$12)*Calculations[[#This Row],[Total Kg]],0)</f>
        <v>0</v>
      </c>
      <c r="K1184">
        <f>IFERROR(VLOOKUP(Calculations[[#This Row],[Material (choose from dropdown]], MaterialData[#All],3, FALSE),0)</f>
        <v>0</v>
      </c>
      <c r="L1184" s="322">
        <f>IFERROR(VLOOKUP(Calculations[[#This Row],[A5type]],A5WastageRate[#All],2,FALSE)*Calculations[[#This Row],[A1-3]],0)</f>
        <v>0</v>
      </c>
      <c r="N1184">
        <f>IFERROR(ROUNDUP(50/VLOOKUP(Calculations[[#This Row],[Scope Element]],B4referenceServiceLife[[Tier 2 element]:[Default Service Life]],2, FALSE)-1,0),0)</f>
        <v>0</v>
      </c>
      <c r="O1184" s="322">
        <f>IFERROR((Calculations[[#This Row],[A1-3]]+Calculations[[#This Row],[A4]]+Calculations[[#This Row],[A5]]+Calculations[[#This Row],[C2 total]]+Calculations[[#This Row],[C3 total]]+Calculations[[#This Row],[C4 total]])*Calculations[[#This Row],[Replacements]],0)</f>
        <v>0</v>
      </c>
      <c r="S1184" t="str">
        <f>IFERROR(VLOOKUP(Calculations[[#This Row],[Material (choose from dropdown]],MaterialData[#All],4,FALSE),"")</f>
        <v/>
      </c>
      <c r="T1184" s="322" cm="1">
        <f t="array" ref="T1184">IFERROR(VLOOKUP(Calculations[[#This Row],[Waste 1]],WasteScenario[#All],2,FALSE)*'Stage assumptions'!$C$225*WasteTransportMethod[Emissions Factor
kgCO2e/kg.km]*Calculations[[#This Row],[Total Kg]],0)</f>
        <v>0</v>
      </c>
      <c r="U1184" s="322" cm="1">
        <f t="array" ref="U1184">IFERROR(VLOOKUP(Calculations[[#This Row],[Waste 1]],WasteScenario[#All],3,FALSE)*'Stage assumptions'!$C$224*WasteTransportMethod[Emissions Factor
kgCO2e/kg.km]*Calculations[[#This Row],[Total Kg]],0)</f>
        <v>0</v>
      </c>
      <c r="V1184" s="322" cm="1">
        <f t="array" ref="V1184">IFERROR(VLOOKUP(Calculations[[#This Row],[Waste 1]],WasteScenario[#All],4,FALSE)*'Stage assumptions'!$C$223*WasteTransportMethod[Emissions Factor
kgCO2e/kg.km]*Calculations[[#This Row],[Total Kg]],0)</f>
        <v>0</v>
      </c>
      <c r="W1184" s="322" cm="1">
        <f t="array" ref="W1184">IFERROR(VLOOKUP(Calculations[[#This Row],[Waste 1]],WasteScenario[#All],5,FALSE)*'Stage assumptions'!$C$226*WasteTransportMethod[Emissions Factor
kgCO2e/kg.km]*Calculations[[#This Row],[Total Kg]],0)</f>
        <v>0</v>
      </c>
      <c r="X1184" s="322">
        <f>SUM(Calculations[[#This Row],[C2 Recycle]:[C2 Reuse]])</f>
        <v>0</v>
      </c>
      <c r="Y1184" t="str">
        <f>IFERROR(VLOOKUP(Calculations[[#This Row],[Material (choose from dropdown]],MaterialData[#All],5,FALSE),"")</f>
        <v/>
      </c>
      <c r="Z1184" s="322">
        <f>IFERROR(((VLOOKUP(Calculations[[#This Row],[Waste type 2]],WasteDisposalEmissions[#All],2,FALSE))*Calculations[[#This Row],[Total Kg]])*VLOOKUP(Calculations[[#This Row],[Waste 1]],WasteScenario[#All],2,FALSE),0)</f>
        <v>0</v>
      </c>
      <c r="AA1184" s="322">
        <f>IFERROR((VLOOKUP(Calculations[[#This Row],[Waste type 2]],WasteDisposalEmissions[#All],3,FALSE))*Calculations[[#This Row],[Total Kg]]*VLOOKUP(Calculations[[#This Row],[Waste 1]],WasteScenario[#All],3,FALSE),0)</f>
        <v>0</v>
      </c>
      <c r="AB1184" s="322">
        <f>SUM(Calculations[[#This Row],[C3 recyc]:[C3 incin]])</f>
        <v>0</v>
      </c>
      <c r="AC1184" s="334">
        <f>IFERROR((VLOOKUP(Calculations[[#This Row],[Waste type 2]],WasteLandfillEmissions[#All],2,FALSE))*Calculations[[#This Row],[Total Kg]]*VLOOKUP(Calculations[[#This Row],[Waste 1]],WasteScenario[#All],4,FALSE),0)</f>
        <v>0</v>
      </c>
      <c r="AD1184" s="322">
        <f>IFERROR((VLOOKUP(Calculations[[#This Row],[Waste type 2]],WasteLandfillEmissions[#All],3,FALSE))*Calculations[[#This Row],[Total Kg]]*VLOOKUP(Calculations[[#This Row],[Waste 1]],WasteScenario[#All],4,FALSE),0)</f>
        <v>0</v>
      </c>
      <c r="AE1184" s="322">
        <f>SUM(Calculations[[#This Row],[C4 landfill]:[C4 re-use]])</f>
        <v>0</v>
      </c>
      <c r="AF1184" s="322">
        <f>IFERROR(VLOOKUP(Calculations[[#This Row],[Material (choose from dropdown]],MaterialData[#All],8,FALSE),0)</f>
        <v>0</v>
      </c>
      <c r="AG1184" s="322">
        <f>IFERROR(Calculations[[#This Row],[Total Kg]]*Calculations[[#This Row],[Seq factor]],0)</f>
        <v>0</v>
      </c>
      <c r="AI1184" s="322">
        <f>Calculations[[#This Row],[A1-3]]+Calculations[[#This Row],[A4]]+Calculations[[#This Row],[A5]]+Calculations[[#This Row],[B4]]+Calculations[[#This Row],[C2 total]]+Calculations[[#This Row],[C3 total]]+Calculations[[#This Row],[C4 total]]</f>
        <v>0</v>
      </c>
      <c r="AJ1184" s="2">
        <f>IFERROR(VLOOKUP(Calculations[[#This Row],[Material (choose from dropdown]],MaterialData[[#Headers],[#Data]],9,FALSE),0)</f>
        <v>0</v>
      </c>
      <c r="AK1184" s="4">
        <f>IFERROR(VLOOKUP(Calculations[[#This Row],[Material (choose from dropdown]],MaterialData[[#Headers],[#Data]],10,FALSE),0)</f>
        <v>0</v>
      </c>
      <c r="AL1184" s="322">
        <f>IFERROR(Calculations[[#This Row],[Data Quality Score]]*Calculations[[#This Row],[Total Kg]],0)</f>
        <v>0</v>
      </c>
    </row>
    <row r="1185" spans="1:38" x14ac:dyDescent="0.3">
      <c r="A1185" s="6">
        <f>IFERROR(MaterialsBoQ[[#This Row],[Scope Element]],0)</f>
        <v>0</v>
      </c>
      <c r="B1185" t="str">
        <f>IFERROR(MaterialsBoQ[[#This Row],[Material ]],"")</f>
        <v/>
      </c>
      <c r="C1185" t="str">
        <f>IFERROR(MaterialsBoQ[[#This Row],[Unit]],"")</f>
        <v/>
      </c>
      <c r="D1185" s="322">
        <f>IFERROR(MaterialsBoQ[[#This Row],[Number]],0)</f>
        <v>0</v>
      </c>
      <c r="E1185" s="322">
        <f>IFERROR(MaterialsBoQ[[#This Row],[Kg per unit]],0)</f>
        <v>0</v>
      </c>
      <c r="F1185" s="322">
        <f>IFERROR(Calculations[[#This Row],[Number]]*Calculations[[#This Row],[Conversion factor]],0)</f>
        <v>0</v>
      </c>
      <c r="G1185" s="322">
        <f>IFERROR(VLOOKUP(Calculations[[#This Row],[Material (choose from dropdown]],MaterialData[#All],7,FALSE),0)</f>
        <v>0</v>
      </c>
      <c r="H1185" s="322">
        <f>Calculations[[#This Row],[Total Kg]]*Calculations[[#This Row],[Carbon Factor]]</f>
        <v>0</v>
      </c>
      <c r="I1185" t="str">
        <f>IFERROR(VLOOKUP(Calculations[[#This Row],[Material (choose from dropdown]],MaterialData[#All],2,FALSE),"")</f>
        <v/>
      </c>
      <c r="J1185" s="322">
        <f>IFERROR(((VLOOKUP(Calculations[[#This Row],[TransportSource]],TransportDistance[],2,FALSE)*'Stage assumptions'!$C$11)+VLOOKUP(Calculations[[#This Row],[TransportSource]],TransportDistance[],3,FALSE)*'Stage assumptions'!$C$12)*Calculations[[#This Row],[Total Kg]],0)</f>
        <v>0</v>
      </c>
      <c r="K1185">
        <f>IFERROR(VLOOKUP(Calculations[[#This Row],[Material (choose from dropdown]], MaterialData[#All],3, FALSE),0)</f>
        <v>0</v>
      </c>
      <c r="L1185" s="322">
        <f>IFERROR(VLOOKUP(Calculations[[#This Row],[A5type]],A5WastageRate[#All],2,FALSE)*Calculations[[#This Row],[A1-3]],0)</f>
        <v>0</v>
      </c>
      <c r="N1185">
        <f>IFERROR(ROUNDUP(50/VLOOKUP(Calculations[[#This Row],[Scope Element]],B4referenceServiceLife[[Tier 2 element]:[Default Service Life]],2, FALSE)-1,0),0)</f>
        <v>0</v>
      </c>
      <c r="O1185" s="322">
        <f>IFERROR((Calculations[[#This Row],[A1-3]]+Calculations[[#This Row],[A4]]+Calculations[[#This Row],[A5]]+Calculations[[#This Row],[C2 total]]+Calculations[[#This Row],[C3 total]]+Calculations[[#This Row],[C4 total]])*Calculations[[#This Row],[Replacements]],0)</f>
        <v>0</v>
      </c>
      <c r="S1185" t="str">
        <f>IFERROR(VLOOKUP(Calculations[[#This Row],[Material (choose from dropdown]],MaterialData[#All],4,FALSE),"")</f>
        <v/>
      </c>
      <c r="T1185" s="322" cm="1">
        <f t="array" ref="T1185">IFERROR(VLOOKUP(Calculations[[#This Row],[Waste 1]],WasteScenario[#All],2,FALSE)*'Stage assumptions'!$C$225*WasteTransportMethod[Emissions Factor
kgCO2e/kg.km]*Calculations[[#This Row],[Total Kg]],0)</f>
        <v>0</v>
      </c>
      <c r="U1185" s="322" cm="1">
        <f t="array" ref="U1185">IFERROR(VLOOKUP(Calculations[[#This Row],[Waste 1]],WasteScenario[#All],3,FALSE)*'Stage assumptions'!$C$224*WasteTransportMethod[Emissions Factor
kgCO2e/kg.km]*Calculations[[#This Row],[Total Kg]],0)</f>
        <v>0</v>
      </c>
      <c r="V1185" s="322" cm="1">
        <f t="array" ref="V1185">IFERROR(VLOOKUP(Calculations[[#This Row],[Waste 1]],WasteScenario[#All],4,FALSE)*'Stage assumptions'!$C$223*WasteTransportMethod[Emissions Factor
kgCO2e/kg.km]*Calculations[[#This Row],[Total Kg]],0)</f>
        <v>0</v>
      </c>
      <c r="W1185" s="322" cm="1">
        <f t="array" ref="W1185">IFERROR(VLOOKUP(Calculations[[#This Row],[Waste 1]],WasteScenario[#All],5,FALSE)*'Stage assumptions'!$C$226*WasteTransportMethod[Emissions Factor
kgCO2e/kg.km]*Calculations[[#This Row],[Total Kg]],0)</f>
        <v>0</v>
      </c>
      <c r="X1185" s="322">
        <f>SUM(Calculations[[#This Row],[C2 Recycle]:[C2 Reuse]])</f>
        <v>0</v>
      </c>
      <c r="Y1185" t="str">
        <f>IFERROR(VLOOKUP(Calculations[[#This Row],[Material (choose from dropdown]],MaterialData[#All],5,FALSE),"")</f>
        <v/>
      </c>
      <c r="Z1185" s="322">
        <f>IFERROR(((VLOOKUP(Calculations[[#This Row],[Waste type 2]],WasteDisposalEmissions[#All],2,FALSE))*Calculations[[#This Row],[Total Kg]])*VLOOKUP(Calculations[[#This Row],[Waste 1]],WasteScenario[#All],2,FALSE),0)</f>
        <v>0</v>
      </c>
      <c r="AA1185" s="322">
        <f>IFERROR((VLOOKUP(Calculations[[#This Row],[Waste type 2]],WasteDisposalEmissions[#All],3,FALSE))*Calculations[[#This Row],[Total Kg]]*VLOOKUP(Calculations[[#This Row],[Waste 1]],WasteScenario[#All],3,FALSE),0)</f>
        <v>0</v>
      </c>
      <c r="AB1185" s="322">
        <f>SUM(Calculations[[#This Row],[C3 recyc]:[C3 incin]])</f>
        <v>0</v>
      </c>
      <c r="AC1185" s="334">
        <f>IFERROR((VLOOKUP(Calculations[[#This Row],[Waste type 2]],WasteLandfillEmissions[#All],2,FALSE))*Calculations[[#This Row],[Total Kg]]*VLOOKUP(Calculations[[#This Row],[Waste 1]],WasteScenario[#All],4,FALSE),0)</f>
        <v>0</v>
      </c>
      <c r="AD1185" s="322">
        <f>IFERROR((VLOOKUP(Calculations[[#This Row],[Waste type 2]],WasteLandfillEmissions[#All],3,FALSE))*Calculations[[#This Row],[Total Kg]]*VLOOKUP(Calculations[[#This Row],[Waste 1]],WasteScenario[#All],4,FALSE),0)</f>
        <v>0</v>
      </c>
      <c r="AE1185" s="322">
        <f>SUM(Calculations[[#This Row],[C4 landfill]:[C4 re-use]])</f>
        <v>0</v>
      </c>
      <c r="AF1185" s="322">
        <f>IFERROR(VLOOKUP(Calculations[[#This Row],[Material (choose from dropdown]],MaterialData[#All],8,FALSE),0)</f>
        <v>0</v>
      </c>
      <c r="AG1185" s="322">
        <f>IFERROR(Calculations[[#This Row],[Total Kg]]*Calculations[[#This Row],[Seq factor]],0)</f>
        <v>0</v>
      </c>
      <c r="AI1185" s="322">
        <f>Calculations[[#This Row],[A1-3]]+Calculations[[#This Row],[A4]]+Calculations[[#This Row],[A5]]+Calculations[[#This Row],[B4]]+Calculations[[#This Row],[C2 total]]+Calculations[[#This Row],[C3 total]]+Calculations[[#This Row],[C4 total]]</f>
        <v>0</v>
      </c>
      <c r="AJ1185" s="2">
        <f>IFERROR(VLOOKUP(Calculations[[#This Row],[Material (choose from dropdown]],MaterialData[[#Headers],[#Data]],9,FALSE),0)</f>
        <v>0</v>
      </c>
      <c r="AK1185" s="4">
        <f>IFERROR(VLOOKUP(Calculations[[#This Row],[Material (choose from dropdown]],MaterialData[[#Headers],[#Data]],10,FALSE),0)</f>
        <v>0</v>
      </c>
      <c r="AL1185" s="322">
        <f>IFERROR(Calculations[[#This Row],[Data Quality Score]]*Calculations[[#This Row],[Total Kg]],0)</f>
        <v>0</v>
      </c>
    </row>
    <row r="1186" spans="1:38" x14ac:dyDescent="0.3">
      <c r="A1186" s="6">
        <f>IFERROR(MaterialsBoQ[[#This Row],[Scope Element]],0)</f>
        <v>0</v>
      </c>
      <c r="B1186" t="str">
        <f>IFERROR(MaterialsBoQ[[#This Row],[Material ]],"")</f>
        <v/>
      </c>
      <c r="C1186" t="str">
        <f>IFERROR(MaterialsBoQ[[#This Row],[Unit]],"")</f>
        <v/>
      </c>
      <c r="D1186" s="322">
        <f>IFERROR(MaterialsBoQ[[#This Row],[Number]],0)</f>
        <v>0</v>
      </c>
      <c r="E1186" s="322">
        <f>IFERROR(MaterialsBoQ[[#This Row],[Kg per unit]],0)</f>
        <v>0</v>
      </c>
      <c r="F1186" s="322">
        <f>IFERROR(Calculations[[#This Row],[Number]]*Calculations[[#This Row],[Conversion factor]],0)</f>
        <v>0</v>
      </c>
      <c r="G1186" s="322">
        <f>IFERROR(VLOOKUP(Calculations[[#This Row],[Material (choose from dropdown]],MaterialData[#All],7,FALSE),0)</f>
        <v>0</v>
      </c>
      <c r="H1186" s="322">
        <f>Calculations[[#This Row],[Total Kg]]*Calculations[[#This Row],[Carbon Factor]]</f>
        <v>0</v>
      </c>
      <c r="I1186" t="str">
        <f>IFERROR(VLOOKUP(Calculations[[#This Row],[Material (choose from dropdown]],MaterialData[#All],2,FALSE),"")</f>
        <v/>
      </c>
      <c r="J1186" s="322">
        <f>IFERROR(((VLOOKUP(Calculations[[#This Row],[TransportSource]],TransportDistance[],2,FALSE)*'Stage assumptions'!$C$11)+VLOOKUP(Calculations[[#This Row],[TransportSource]],TransportDistance[],3,FALSE)*'Stage assumptions'!$C$12)*Calculations[[#This Row],[Total Kg]],0)</f>
        <v>0</v>
      </c>
      <c r="K1186">
        <f>IFERROR(VLOOKUP(Calculations[[#This Row],[Material (choose from dropdown]], MaterialData[#All],3, FALSE),0)</f>
        <v>0</v>
      </c>
      <c r="L1186" s="322">
        <f>IFERROR(VLOOKUP(Calculations[[#This Row],[A5type]],A5WastageRate[#All],2,FALSE)*Calculations[[#This Row],[A1-3]],0)</f>
        <v>0</v>
      </c>
      <c r="N1186">
        <f>IFERROR(ROUNDUP(50/VLOOKUP(Calculations[[#This Row],[Scope Element]],B4referenceServiceLife[[Tier 2 element]:[Default Service Life]],2, FALSE)-1,0),0)</f>
        <v>0</v>
      </c>
      <c r="O1186" s="322">
        <f>IFERROR((Calculations[[#This Row],[A1-3]]+Calculations[[#This Row],[A4]]+Calculations[[#This Row],[A5]]+Calculations[[#This Row],[C2 total]]+Calculations[[#This Row],[C3 total]]+Calculations[[#This Row],[C4 total]])*Calculations[[#This Row],[Replacements]],0)</f>
        <v>0</v>
      </c>
      <c r="S1186" t="str">
        <f>IFERROR(VLOOKUP(Calculations[[#This Row],[Material (choose from dropdown]],MaterialData[#All],4,FALSE),"")</f>
        <v/>
      </c>
      <c r="T1186" s="322" cm="1">
        <f t="array" ref="T1186">IFERROR(VLOOKUP(Calculations[[#This Row],[Waste 1]],WasteScenario[#All],2,FALSE)*'Stage assumptions'!$C$225*WasteTransportMethod[Emissions Factor
kgCO2e/kg.km]*Calculations[[#This Row],[Total Kg]],0)</f>
        <v>0</v>
      </c>
      <c r="U1186" s="322" cm="1">
        <f t="array" ref="U1186">IFERROR(VLOOKUP(Calculations[[#This Row],[Waste 1]],WasteScenario[#All],3,FALSE)*'Stage assumptions'!$C$224*WasteTransportMethod[Emissions Factor
kgCO2e/kg.km]*Calculations[[#This Row],[Total Kg]],0)</f>
        <v>0</v>
      </c>
      <c r="V1186" s="322" cm="1">
        <f t="array" ref="V1186">IFERROR(VLOOKUP(Calculations[[#This Row],[Waste 1]],WasteScenario[#All],4,FALSE)*'Stage assumptions'!$C$223*WasteTransportMethod[Emissions Factor
kgCO2e/kg.km]*Calculations[[#This Row],[Total Kg]],0)</f>
        <v>0</v>
      </c>
      <c r="W1186" s="322" cm="1">
        <f t="array" ref="W1186">IFERROR(VLOOKUP(Calculations[[#This Row],[Waste 1]],WasteScenario[#All],5,FALSE)*'Stage assumptions'!$C$226*WasteTransportMethod[Emissions Factor
kgCO2e/kg.km]*Calculations[[#This Row],[Total Kg]],0)</f>
        <v>0</v>
      </c>
      <c r="X1186" s="322">
        <f>SUM(Calculations[[#This Row],[C2 Recycle]:[C2 Reuse]])</f>
        <v>0</v>
      </c>
      <c r="Y1186" t="str">
        <f>IFERROR(VLOOKUP(Calculations[[#This Row],[Material (choose from dropdown]],MaterialData[#All],5,FALSE),"")</f>
        <v/>
      </c>
      <c r="Z1186" s="322">
        <f>IFERROR(((VLOOKUP(Calculations[[#This Row],[Waste type 2]],WasteDisposalEmissions[#All],2,FALSE))*Calculations[[#This Row],[Total Kg]])*VLOOKUP(Calculations[[#This Row],[Waste 1]],WasteScenario[#All],2,FALSE),0)</f>
        <v>0</v>
      </c>
      <c r="AA1186" s="322">
        <f>IFERROR((VLOOKUP(Calculations[[#This Row],[Waste type 2]],WasteDisposalEmissions[#All],3,FALSE))*Calculations[[#This Row],[Total Kg]]*VLOOKUP(Calculations[[#This Row],[Waste 1]],WasteScenario[#All],3,FALSE),0)</f>
        <v>0</v>
      </c>
      <c r="AB1186" s="322">
        <f>SUM(Calculations[[#This Row],[C3 recyc]:[C3 incin]])</f>
        <v>0</v>
      </c>
      <c r="AC1186" s="334">
        <f>IFERROR((VLOOKUP(Calculations[[#This Row],[Waste type 2]],WasteLandfillEmissions[#All],2,FALSE))*Calculations[[#This Row],[Total Kg]]*VLOOKUP(Calculations[[#This Row],[Waste 1]],WasteScenario[#All],4,FALSE),0)</f>
        <v>0</v>
      </c>
      <c r="AD1186" s="322">
        <f>IFERROR((VLOOKUP(Calculations[[#This Row],[Waste type 2]],WasteLandfillEmissions[#All],3,FALSE))*Calculations[[#This Row],[Total Kg]]*VLOOKUP(Calculations[[#This Row],[Waste 1]],WasteScenario[#All],4,FALSE),0)</f>
        <v>0</v>
      </c>
      <c r="AE1186" s="322">
        <f>SUM(Calculations[[#This Row],[C4 landfill]:[C4 re-use]])</f>
        <v>0</v>
      </c>
      <c r="AF1186" s="322">
        <f>IFERROR(VLOOKUP(Calculations[[#This Row],[Material (choose from dropdown]],MaterialData[#All],8,FALSE),0)</f>
        <v>0</v>
      </c>
      <c r="AG1186" s="322">
        <f>IFERROR(Calculations[[#This Row],[Total Kg]]*Calculations[[#This Row],[Seq factor]],0)</f>
        <v>0</v>
      </c>
      <c r="AI1186" s="322">
        <f>Calculations[[#This Row],[A1-3]]+Calculations[[#This Row],[A4]]+Calculations[[#This Row],[A5]]+Calculations[[#This Row],[B4]]+Calculations[[#This Row],[C2 total]]+Calculations[[#This Row],[C3 total]]+Calculations[[#This Row],[C4 total]]</f>
        <v>0</v>
      </c>
      <c r="AJ1186" s="2">
        <f>IFERROR(VLOOKUP(Calculations[[#This Row],[Material (choose from dropdown]],MaterialData[[#Headers],[#Data]],9,FALSE),0)</f>
        <v>0</v>
      </c>
      <c r="AK1186" s="4">
        <f>IFERROR(VLOOKUP(Calculations[[#This Row],[Material (choose from dropdown]],MaterialData[[#Headers],[#Data]],10,FALSE),0)</f>
        <v>0</v>
      </c>
      <c r="AL1186" s="322">
        <f>IFERROR(Calculations[[#This Row],[Data Quality Score]]*Calculations[[#This Row],[Total Kg]],0)</f>
        <v>0</v>
      </c>
    </row>
    <row r="1187" spans="1:38" x14ac:dyDescent="0.3">
      <c r="A1187" s="6">
        <f>IFERROR(MaterialsBoQ[[#This Row],[Scope Element]],0)</f>
        <v>0</v>
      </c>
      <c r="B1187" t="str">
        <f>IFERROR(MaterialsBoQ[[#This Row],[Material ]],"")</f>
        <v/>
      </c>
      <c r="C1187" t="str">
        <f>IFERROR(MaterialsBoQ[[#This Row],[Unit]],"")</f>
        <v/>
      </c>
      <c r="D1187" s="322">
        <f>IFERROR(MaterialsBoQ[[#This Row],[Number]],0)</f>
        <v>0</v>
      </c>
      <c r="E1187" s="322">
        <f>IFERROR(MaterialsBoQ[[#This Row],[Kg per unit]],0)</f>
        <v>0</v>
      </c>
      <c r="F1187" s="322">
        <f>IFERROR(Calculations[[#This Row],[Number]]*Calculations[[#This Row],[Conversion factor]],0)</f>
        <v>0</v>
      </c>
      <c r="G1187" s="322">
        <f>IFERROR(VLOOKUP(Calculations[[#This Row],[Material (choose from dropdown]],MaterialData[#All],7,FALSE),0)</f>
        <v>0</v>
      </c>
      <c r="H1187" s="322">
        <f>Calculations[[#This Row],[Total Kg]]*Calculations[[#This Row],[Carbon Factor]]</f>
        <v>0</v>
      </c>
      <c r="I1187" t="str">
        <f>IFERROR(VLOOKUP(Calculations[[#This Row],[Material (choose from dropdown]],MaterialData[#All],2,FALSE),"")</f>
        <v/>
      </c>
      <c r="J1187" s="322">
        <f>IFERROR(((VLOOKUP(Calculations[[#This Row],[TransportSource]],TransportDistance[],2,FALSE)*'Stage assumptions'!$C$11)+VLOOKUP(Calculations[[#This Row],[TransportSource]],TransportDistance[],3,FALSE)*'Stage assumptions'!$C$12)*Calculations[[#This Row],[Total Kg]],0)</f>
        <v>0</v>
      </c>
      <c r="K1187">
        <f>IFERROR(VLOOKUP(Calculations[[#This Row],[Material (choose from dropdown]], MaterialData[#All],3, FALSE),0)</f>
        <v>0</v>
      </c>
      <c r="L1187" s="322">
        <f>IFERROR(VLOOKUP(Calculations[[#This Row],[A5type]],A5WastageRate[#All],2,FALSE)*Calculations[[#This Row],[A1-3]],0)</f>
        <v>0</v>
      </c>
      <c r="N1187">
        <f>IFERROR(ROUNDUP(50/VLOOKUP(Calculations[[#This Row],[Scope Element]],B4referenceServiceLife[[Tier 2 element]:[Default Service Life]],2, FALSE)-1,0),0)</f>
        <v>0</v>
      </c>
      <c r="O1187" s="322">
        <f>IFERROR((Calculations[[#This Row],[A1-3]]+Calculations[[#This Row],[A4]]+Calculations[[#This Row],[A5]]+Calculations[[#This Row],[C2 total]]+Calculations[[#This Row],[C3 total]]+Calculations[[#This Row],[C4 total]])*Calculations[[#This Row],[Replacements]],0)</f>
        <v>0</v>
      </c>
      <c r="S1187" t="str">
        <f>IFERROR(VLOOKUP(Calculations[[#This Row],[Material (choose from dropdown]],MaterialData[#All],4,FALSE),"")</f>
        <v/>
      </c>
      <c r="T1187" s="322" cm="1">
        <f t="array" ref="T1187">IFERROR(VLOOKUP(Calculations[[#This Row],[Waste 1]],WasteScenario[#All],2,FALSE)*'Stage assumptions'!$C$225*WasteTransportMethod[Emissions Factor
kgCO2e/kg.km]*Calculations[[#This Row],[Total Kg]],0)</f>
        <v>0</v>
      </c>
      <c r="U1187" s="322" cm="1">
        <f t="array" ref="U1187">IFERROR(VLOOKUP(Calculations[[#This Row],[Waste 1]],WasteScenario[#All],3,FALSE)*'Stage assumptions'!$C$224*WasteTransportMethod[Emissions Factor
kgCO2e/kg.km]*Calculations[[#This Row],[Total Kg]],0)</f>
        <v>0</v>
      </c>
      <c r="V1187" s="322" cm="1">
        <f t="array" ref="V1187">IFERROR(VLOOKUP(Calculations[[#This Row],[Waste 1]],WasteScenario[#All],4,FALSE)*'Stage assumptions'!$C$223*WasteTransportMethod[Emissions Factor
kgCO2e/kg.km]*Calculations[[#This Row],[Total Kg]],0)</f>
        <v>0</v>
      </c>
      <c r="W1187" s="322" cm="1">
        <f t="array" ref="W1187">IFERROR(VLOOKUP(Calculations[[#This Row],[Waste 1]],WasteScenario[#All],5,FALSE)*'Stage assumptions'!$C$226*WasteTransportMethod[Emissions Factor
kgCO2e/kg.km]*Calculations[[#This Row],[Total Kg]],0)</f>
        <v>0</v>
      </c>
      <c r="X1187" s="322">
        <f>SUM(Calculations[[#This Row],[C2 Recycle]:[C2 Reuse]])</f>
        <v>0</v>
      </c>
      <c r="Y1187" t="str">
        <f>IFERROR(VLOOKUP(Calculations[[#This Row],[Material (choose from dropdown]],MaterialData[#All],5,FALSE),"")</f>
        <v/>
      </c>
      <c r="Z1187" s="322">
        <f>IFERROR(((VLOOKUP(Calculations[[#This Row],[Waste type 2]],WasteDisposalEmissions[#All],2,FALSE))*Calculations[[#This Row],[Total Kg]])*VLOOKUP(Calculations[[#This Row],[Waste 1]],WasteScenario[#All],2,FALSE),0)</f>
        <v>0</v>
      </c>
      <c r="AA1187" s="322">
        <f>IFERROR((VLOOKUP(Calculations[[#This Row],[Waste type 2]],WasteDisposalEmissions[#All],3,FALSE))*Calculations[[#This Row],[Total Kg]]*VLOOKUP(Calculations[[#This Row],[Waste 1]],WasteScenario[#All],3,FALSE),0)</f>
        <v>0</v>
      </c>
      <c r="AB1187" s="322">
        <f>SUM(Calculations[[#This Row],[C3 recyc]:[C3 incin]])</f>
        <v>0</v>
      </c>
      <c r="AC1187" s="334">
        <f>IFERROR((VLOOKUP(Calculations[[#This Row],[Waste type 2]],WasteLandfillEmissions[#All],2,FALSE))*Calculations[[#This Row],[Total Kg]]*VLOOKUP(Calculations[[#This Row],[Waste 1]],WasteScenario[#All],4,FALSE),0)</f>
        <v>0</v>
      </c>
      <c r="AD1187" s="322">
        <f>IFERROR((VLOOKUP(Calculations[[#This Row],[Waste type 2]],WasteLandfillEmissions[#All],3,FALSE))*Calculations[[#This Row],[Total Kg]]*VLOOKUP(Calculations[[#This Row],[Waste 1]],WasteScenario[#All],4,FALSE),0)</f>
        <v>0</v>
      </c>
      <c r="AE1187" s="322">
        <f>SUM(Calculations[[#This Row],[C4 landfill]:[C4 re-use]])</f>
        <v>0</v>
      </c>
      <c r="AF1187" s="322">
        <f>IFERROR(VLOOKUP(Calculations[[#This Row],[Material (choose from dropdown]],MaterialData[#All],8,FALSE),0)</f>
        <v>0</v>
      </c>
      <c r="AG1187" s="322">
        <f>IFERROR(Calculations[[#This Row],[Total Kg]]*Calculations[[#This Row],[Seq factor]],0)</f>
        <v>0</v>
      </c>
      <c r="AI1187" s="322">
        <f>Calculations[[#This Row],[A1-3]]+Calculations[[#This Row],[A4]]+Calculations[[#This Row],[A5]]+Calculations[[#This Row],[B4]]+Calculations[[#This Row],[C2 total]]+Calculations[[#This Row],[C3 total]]+Calculations[[#This Row],[C4 total]]</f>
        <v>0</v>
      </c>
      <c r="AJ1187" s="2">
        <f>IFERROR(VLOOKUP(Calculations[[#This Row],[Material (choose from dropdown]],MaterialData[[#Headers],[#Data]],9,FALSE),0)</f>
        <v>0</v>
      </c>
      <c r="AK1187" s="4">
        <f>IFERROR(VLOOKUP(Calculations[[#This Row],[Material (choose from dropdown]],MaterialData[[#Headers],[#Data]],10,FALSE),0)</f>
        <v>0</v>
      </c>
      <c r="AL1187" s="322">
        <f>IFERROR(Calculations[[#This Row],[Data Quality Score]]*Calculations[[#This Row],[Total Kg]],0)</f>
        <v>0</v>
      </c>
    </row>
    <row r="1188" spans="1:38" x14ac:dyDescent="0.3">
      <c r="A1188" s="6">
        <f>IFERROR(MaterialsBoQ[[#This Row],[Scope Element]],0)</f>
        <v>0</v>
      </c>
      <c r="B1188" t="str">
        <f>IFERROR(MaterialsBoQ[[#This Row],[Material ]],"")</f>
        <v/>
      </c>
      <c r="C1188" t="str">
        <f>IFERROR(MaterialsBoQ[[#This Row],[Unit]],"")</f>
        <v/>
      </c>
      <c r="D1188" s="322">
        <f>IFERROR(MaterialsBoQ[[#This Row],[Number]],0)</f>
        <v>0</v>
      </c>
      <c r="E1188" s="322">
        <f>IFERROR(MaterialsBoQ[[#This Row],[Kg per unit]],0)</f>
        <v>0</v>
      </c>
      <c r="F1188" s="322">
        <f>IFERROR(Calculations[[#This Row],[Number]]*Calculations[[#This Row],[Conversion factor]],0)</f>
        <v>0</v>
      </c>
      <c r="G1188" s="322">
        <f>IFERROR(VLOOKUP(Calculations[[#This Row],[Material (choose from dropdown]],MaterialData[#All],7,FALSE),0)</f>
        <v>0</v>
      </c>
      <c r="H1188" s="322">
        <f>Calculations[[#This Row],[Total Kg]]*Calculations[[#This Row],[Carbon Factor]]</f>
        <v>0</v>
      </c>
      <c r="I1188" t="str">
        <f>IFERROR(VLOOKUP(Calculations[[#This Row],[Material (choose from dropdown]],MaterialData[#All],2,FALSE),"")</f>
        <v/>
      </c>
      <c r="J1188" s="322">
        <f>IFERROR(((VLOOKUP(Calculations[[#This Row],[TransportSource]],TransportDistance[],2,FALSE)*'Stage assumptions'!$C$11)+VLOOKUP(Calculations[[#This Row],[TransportSource]],TransportDistance[],3,FALSE)*'Stage assumptions'!$C$12)*Calculations[[#This Row],[Total Kg]],0)</f>
        <v>0</v>
      </c>
      <c r="K1188">
        <f>IFERROR(VLOOKUP(Calculations[[#This Row],[Material (choose from dropdown]], MaterialData[#All],3, FALSE),0)</f>
        <v>0</v>
      </c>
      <c r="L1188" s="322">
        <f>IFERROR(VLOOKUP(Calculations[[#This Row],[A5type]],A5WastageRate[#All],2,FALSE)*Calculations[[#This Row],[A1-3]],0)</f>
        <v>0</v>
      </c>
      <c r="N1188">
        <f>IFERROR(ROUNDUP(50/VLOOKUP(Calculations[[#This Row],[Scope Element]],B4referenceServiceLife[[Tier 2 element]:[Default Service Life]],2, FALSE)-1,0),0)</f>
        <v>0</v>
      </c>
      <c r="O1188" s="322">
        <f>IFERROR((Calculations[[#This Row],[A1-3]]+Calculations[[#This Row],[A4]]+Calculations[[#This Row],[A5]]+Calculations[[#This Row],[C2 total]]+Calculations[[#This Row],[C3 total]]+Calculations[[#This Row],[C4 total]])*Calculations[[#This Row],[Replacements]],0)</f>
        <v>0</v>
      </c>
      <c r="S1188" t="str">
        <f>IFERROR(VLOOKUP(Calculations[[#This Row],[Material (choose from dropdown]],MaterialData[#All],4,FALSE),"")</f>
        <v/>
      </c>
      <c r="T1188" s="322" cm="1">
        <f t="array" ref="T1188">IFERROR(VLOOKUP(Calculations[[#This Row],[Waste 1]],WasteScenario[#All],2,FALSE)*'Stage assumptions'!$C$225*WasteTransportMethod[Emissions Factor
kgCO2e/kg.km]*Calculations[[#This Row],[Total Kg]],0)</f>
        <v>0</v>
      </c>
      <c r="U1188" s="322" cm="1">
        <f t="array" ref="U1188">IFERROR(VLOOKUP(Calculations[[#This Row],[Waste 1]],WasteScenario[#All],3,FALSE)*'Stage assumptions'!$C$224*WasteTransportMethod[Emissions Factor
kgCO2e/kg.km]*Calculations[[#This Row],[Total Kg]],0)</f>
        <v>0</v>
      </c>
      <c r="V1188" s="322" cm="1">
        <f t="array" ref="V1188">IFERROR(VLOOKUP(Calculations[[#This Row],[Waste 1]],WasteScenario[#All],4,FALSE)*'Stage assumptions'!$C$223*WasteTransportMethod[Emissions Factor
kgCO2e/kg.km]*Calculations[[#This Row],[Total Kg]],0)</f>
        <v>0</v>
      </c>
      <c r="W1188" s="322" cm="1">
        <f t="array" ref="W1188">IFERROR(VLOOKUP(Calculations[[#This Row],[Waste 1]],WasteScenario[#All],5,FALSE)*'Stage assumptions'!$C$226*WasteTransportMethod[Emissions Factor
kgCO2e/kg.km]*Calculations[[#This Row],[Total Kg]],0)</f>
        <v>0</v>
      </c>
      <c r="X1188" s="322">
        <f>SUM(Calculations[[#This Row],[C2 Recycle]:[C2 Reuse]])</f>
        <v>0</v>
      </c>
      <c r="Y1188" t="str">
        <f>IFERROR(VLOOKUP(Calculations[[#This Row],[Material (choose from dropdown]],MaterialData[#All],5,FALSE),"")</f>
        <v/>
      </c>
      <c r="Z1188" s="322">
        <f>IFERROR(((VLOOKUP(Calculations[[#This Row],[Waste type 2]],WasteDisposalEmissions[#All],2,FALSE))*Calculations[[#This Row],[Total Kg]])*VLOOKUP(Calculations[[#This Row],[Waste 1]],WasteScenario[#All],2,FALSE),0)</f>
        <v>0</v>
      </c>
      <c r="AA1188" s="322">
        <f>IFERROR((VLOOKUP(Calculations[[#This Row],[Waste type 2]],WasteDisposalEmissions[#All],3,FALSE))*Calculations[[#This Row],[Total Kg]]*VLOOKUP(Calculations[[#This Row],[Waste 1]],WasteScenario[#All],3,FALSE),0)</f>
        <v>0</v>
      </c>
      <c r="AB1188" s="322">
        <f>SUM(Calculations[[#This Row],[C3 recyc]:[C3 incin]])</f>
        <v>0</v>
      </c>
      <c r="AC1188" s="334">
        <f>IFERROR((VLOOKUP(Calculations[[#This Row],[Waste type 2]],WasteLandfillEmissions[#All],2,FALSE))*Calculations[[#This Row],[Total Kg]]*VLOOKUP(Calculations[[#This Row],[Waste 1]],WasteScenario[#All],4,FALSE),0)</f>
        <v>0</v>
      </c>
      <c r="AD1188" s="322">
        <f>IFERROR((VLOOKUP(Calculations[[#This Row],[Waste type 2]],WasteLandfillEmissions[#All],3,FALSE))*Calculations[[#This Row],[Total Kg]]*VLOOKUP(Calculations[[#This Row],[Waste 1]],WasteScenario[#All],4,FALSE),0)</f>
        <v>0</v>
      </c>
      <c r="AE1188" s="322">
        <f>SUM(Calculations[[#This Row],[C4 landfill]:[C4 re-use]])</f>
        <v>0</v>
      </c>
      <c r="AF1188" s="322">
        <f>IFERROR(VLOOKUP(Calculations[[#This Row],[Material (choose from dropdown]],MaterialData[#All],8,FALSE),0)</f>
        <v>0</v>
      </c>
      <c r="AG1188" s="322">
        <f>IFERROR(Calculations[[#This Row],[Total Kg]]*Calculations[[#This Row],[Seq factor]],0)</f>
        <v>0</v>
      </c>
      <c r="AI1188" s="322">
        <f>Calculations[[#This Row],[A1-3]]+Calculations[[#This Row],[A4]]+Calculations[[#This Row],[A5]]+Calculations[[#This Row],[B4]]+Calculations[[#This Row],[C2 total]]+Calculations[[#This Row],[C3 total]]+Calculations[[#This Row],[C4 total]]</f>
        <v>0</v>
      </c>
      <c r="AJ1188" s="2">
        <f>IFERROR(VLOOKUP(Calculations[[#This Row],[Material (choose from dropdown]],MaterialData[[#Headers],[#Data]],9,FALSE),0)</f>
        <v>0</v>
      </c>
      <c r="AK1188" s="4">
        <f>IFERROR(VLOOKUP(Calculations[[#This Row],[Material (choose from dropdown]],MaterialData[[#Headers],[#Data]],10,FALSE),0)</f>
        <v>0</v>
      </c>
      <c r="AL1188" s="322">
        <f>IFERROR(Calculations[[#This Row],[Data Quality Score]]*Calculations[[#This Row],[Total Kg]],0)</f>
        <v>0</v>
      </c>
    </row>
    <row r="1189" spans="1:38" x14ac:dyDescent="0.3">
      <c r="A1189" s="6">
        <f>IFERROR(MaterialsBoQ[[#This Row],[Scope Element]],0)</f>
        <v>0</v>
      </c>
      <c r="B1189" t="str">
        <f>IFERROR(MaterialsBoQ[[#This Row],[Material ]],"")</f>
        <v/>
      </c>
      <c r="C1189" t="str">
        <f>IFERROR(MaterialsBoQ[[#This Row],[Unit]],"")</f>
        <v/>
      </c>
      <c r="D1189" s="322">
        <f>IFERROR(MaterialsBoQ[[#This Row],[Number]],0)</f>
        <v>0</v>
      </c>
      <c r="E1189" s="322">
        <f>IFERROR(MaterialsBoQ[[#This Row],[Kg per unit]],0)</f>
        <v>0</v>
      </c>
      <c r="F1189" s="322">
        <f>IFERROR(Calculations[[#This Row],[Number]]*Calculations[[#This Row],[Conversion factor]],0)</f>
        <v>0</v>
      </c>
      <c r="G1189" s="322">
        <f>IFERROR(VLOOKUP(Calculations[[#This Row],[Material (choose from dropdown]],MaterialData[#All],7,FALSE),0)</f>
        <v>0</v>
      </c>
      <c r="H1189" s="322">
        <f>Calculations[[#This Row],[Total Kg]]*Calculations[[#This Row],[Carbon Factor]]</f>
        <v>0</v>
      </c>
      <c r="I1189" t="str">
        <f>IFERROR(VLOOKUP(Calculations[[#This Row],[Material (choose from dropdown]],MaterialData[#All],2,FALSE),"")</f>
        <v/>
      </c>
      <c r="J1189" s="322">
        <f>IFERROR(((VLOOKUP(Calculations[[#This Row],[TransportSource]],TransportDistance[],2,FALSE)*'Stage assumptions'!$C$11)+VLOOKUP(Calculations[[#This Row],[TransportSource]],TransportDistance[],3,FALSE)*'Stage assumptions'!$C$12)*Calculations[[#This Row],[Total Kg]],0)</f>
        <v>0</v>
      </c>
      <c r="K1189">
        <f>IFERROR(VLOOKUP(Calculations[[#This Row],[Material (choose from dropdown]], MaterialData[#All],3, FALSE),0)</f>
        <v>0</v>
      </c>
      <c r="L1189" s="322">
        <f>IFERROR(VLOOKUP(Calculations[[#This Row],[A5type]],A5WastageRate[#All],2,FALSE)*Calculations[[#This Row],[A1-3]],0)</f>
        <v>0</v>
      </c>
      <c r="N1189">
        <f>IFERROR(ROUNDUP(50/VLOOKUP(Calculations[[#This Row],[Scope Element]],B4referenceServiceLife[[Tier 2 element]:[Default Service Life]],2, FALSE)-1,0),0)</f>
        <v>0</v>
      </c>
      <c r="O1189" s="322">
        <f>IFERROR((Calculations[[#This Row],[A1-3]]+Calculations[[#This Row],[A4]]+Calculations[[#This Row],[A5]]+Calculations[[#This Row],[C2 total]]+Calculations[[#This Row],[C3 total]]+Calculations[[#This Row],[C4 total]])*Calculations[[#This Row],[Replacements]],0)</f>
        <v>0</v>
      </c>
      <c r="S1189" t="str">
        <f>IFERROR(VLOOKUP(Calculations[[#This Row],[Material (choose from dropdown]],MaterialData[#All],4,FALSE),"")</f>
        <v/>
      </c>
      <c r="T1189" s="322" cm="1">
        <f t="array" ref="T1189">IFERROR(VLOOKUP(Calculations[[#This Row],[Waste 1]],WasteScenario[#All],2,FALSE)*'Stage assumptions'!$C$225*WasteTransportMethod[Emissions Factor
kgCO2e/kg.km]*Calculations[[#This Row],[Total Kg]],0)</f>
        <v>0</v>
      </c>
      <c r="U1189" s="322" cm="1">
        <f t="array" ref="U1189">IFERROR(VLOOKUP(Calculations[[#This Row],[Waste 1]],WasteScenario[#All],3,FALSE)*'Stage assumptions'!$C$224*WasteTransportMethod[Emissions Factor
kgCO2e/kg.km]*Calculations[[#This Row],[Total Kg]],0)</f>
        <v>0</v>
      </c>
      <c r="V1189" s="322" cm="1">
        <f t="array" ref="V1189">IFERROR(VLOOKUP(Calculations[[#This Row],[Waste 1]],WasteScenario[#All],4,FALSE)*'Stage assumptions'!$C$223*WasteTransportMethod[Emissions Factor
kgCO2e/kg.km]*Calculations[[#This Row],[Total Kg]],0)</f>
        <v>0</v>
      </c>
      <c r="W1189" s="322" cm="1">
        <f t="array" ref="W1189">IFERROR(VLOOKUP(Calculations[[#This Row],[Waste 1]],WasteScenario[#All],5,FALSE)*'Stage assumptions'!$C$226*WasteTransportMethod[Emissions Factor
kgCO2e/kg.km]*Calculations[[#This Row],[Total Kg]],0)</f>
        <v>0</v>
      </c>
      <c r="X1189" s="322">
        <f>SUM(Calculations[[#This Row],[C2 Recycle]:[C2 Reuse]])</f>
        <v>0</v>
      </c>
      <c r="Y1189" t="str">
        <f>IFERROR(VLOOKUP(Calculations[[#This Row],[Material (choose from dropdown]],MaterialData[#All],5,FALSE),"")</f>
        <v/>
      </c>
      <c r="Z1189" s="322">
        <f>IFERROR(((VLOOKUP(Calculations[[#This Row],[Waste type 2]],WasteDisposalEmissions[#All],2,FALSE))*Calculations[[#This Row],[Total Kg]])*VLOOKUP(Calculations[[#This Row],[Waste 1]],WasteScenario[#All],2,FALSE),0)</f>
        <v>0</v>
      </c>
      <c r="AA1189" s="322">
        <f>IFERROR((VLOOKUP(Calculations[[#This Row],[Waste type 2]],WasteDisposalEmissions[#All],3,FALSE))*Calculations[[#This Row],[Total Kg]]*VLOOKUP(Calculations[[#This Row],[Waste 1]],WasteScenario[#All],3,FALSE),0)</f>
        <v>0</v>
      </c>
      <c r="AB1189" s="322">
        <f>SUM(Calculations[[#This Row],[C3 recyc]:[C3 incin]])</f>
        <v>0</v>
      </c>
      <c r="AC1189" s="334">
        <f>IFERROR((VLOOKUP(Calculations[[#This Row],[Waste type 2]],WasteLandfillEmissions[#All],2,FALSE))*Calculations[[#This Row],[Total Kg]]*VLOOKUP(Calculations[[#This Row],[Waste 1]],WasteScenario[#All],4,FALSE),0)</f>
        <v>0</v>
      </c>
      <c r="AD1189" s="322">
        <f>IFERROR((VLOOKUP(Calculations[[#This Row],[Waste type 2]],WasteLandfillEmissions[#All],3,FALSE))*Calculations[[#This Row],[Total Kg]]*VLOOKUP(Calculations[[#This Row],[Waste 1]],WasteScenario[#All],4,FALSE),0)</f>
        <v>0</v>
      </c>
      <c r="AE1189" s="322">
        <f>SUM(Calculations[[#This Row],[C4 landfill]:[C4 re-use]])</f>
        <v>0</v>
      </c>
      <c r="AF1189" s="322">
        <f>IFERROR(VLOOKUP(Calculations[[#This Row],[Material (choose from dropdown]],MaterialData[#All],8,FALSE),0)</f>
        <v>0</v>
      </c>
      <c r="AG1189" s="322">
        <f>IFERROR(Calculations[[#This Row],[Total Kg]]*Calculations[[#This Row],[Seq factor]],0)</f>
        <v>0</v>
      </c>
      <c r="AI1189" s="322">
        <f>Calculations[[#This Row],[A1-3]]+Calculations[[#This Row],[A4]]+Calculations[[#This Row],[A5]]+Calculations[[#This Row],[B4]]+Calculations[[#This Row],[C2 total]]+Calculations[[#This Row],[C3 total]]+Calculations[[#This Row],[C4 total]]</f>
        <v>0</v>
      </c>
      <c r="AJ1189" s="2">
        <f>IFERROR(VLOOKUP(Calculations[[#This Row],[Material (choose from dropdown]],MaterialData[[#Headers],[#Data]],9,FALSE),0)</f>
        <v>0</v>
      </c>
      <c r="AK1189" s="4">
        <f>IFERROR(VLOOKUP(Calculations[[#This Row],[Material (choose from dropdown]],MaterialData[[#Headers],[#Data]],10,FALSE),0)</f>
        <v>0</v>
      </c>
      <c r="AL1189" s="322">
        <f>IFERROR(Calculations[[#This Row],[Data Quality Score]]*Calculations[[#This Row],[Total Kg]],0)</f>
        <v>0</v>
      </c>
    </row>
    <row r="1190" spans="1:38" x14ac:dyDescent="0.3">
      <c r="A1190" s="6">
        <f>IFERROR(MaterialsBoQ[[#This Row],[Scope Element]],0)</f>
        <v>0</v>
      </c>
      <c r="B1190" t="str">
        <f>IFERROR(MaterialsBoQ[[#This Row],[Material ]],"")</f>
        <v/>
      </c>
      <c r="C1190" t="str">
        <f>IFERROR(MaterialsBoQ[[#This Row],[Unit]],"")</f>
        <v/>
      </c>
      <c r="D1190" s="322">
        <f>IFERROR(MaterialsBoQ[[#This Row],[Number]],0)</f>
        <v>0</v>
      </c>
      <c r="E1190" s="322">
        <f>IFERROR(MaterialsBoQ[[#This Row],[Kg per unit]],0)</f>
        <v>0</v>
      </c>
      <c r="F1190" s="322">
        <f>IFERROR(Calculations[[#This Row],[Number]]*Calculations[[#This Row],[Conversion factor]],0)</f>
        <v>0</v>
      </c>
      <c r="G1190" s="322">
        <f>IFERROR(VLOOKUP(Calculations[[#This Row],[Material (choose from dropdown]],MaterialData[#All],7,FALSE),0)</f>
        <v>0</v>
      </c>
      <c r="H1190" s="322">
        <f>Calculations[[#This Row],[Total Kg]]*Calculations[[#This Row],[Carbon Factor]]</f>
        <v>0</v>
      </c>
      <c r="I1190" t="str">
        <f>IFERROR(VLOOKUP(Calculations[[#This Row],[Material (choose from dropdown]],MaterialData[#All],2,FALSE),"")</f>
        <v/>
      </c>
      <c r="J1190" s="322">
        <f>IFERROR(((VLOOKUP(Calculations[[#This Row],[TransportSource]],TransportDistance[],2,FALSE)*'Stage assumptions'!$C$11)+VLOOKUP(Calculations[[#This Row],[TransportSource]],TransportDistance[],3,FALSE)*'Stage assumptions'!$C$12)*Calculations[[#This Row],[Total Kg]],0)</f>
        <v>0</v>
      </c>
      <c r="K1190">
        <f>IFERROR(VLOOKUP(Calculations[[#This Row],[Material (choose from dropdown]], MaterialData[#All],3, FALSE),0)</f>
        <v>0</v>
      </c>
      <c r="L1190" s="322">
        <f>IFERROR(VLOOKUP(Calculations[[#This Row],[A5type]],A5WastageRate[#All],2,FALSE)*Calculations[[#This Row],[A1-3]],0)</f>
        <v>0</v>
      </c>
      <c r="N1190">
        <f>IFERROR(ROUNDUP(50/VLOOKUP(Calculations[[#This Row],[Scope Element]],B4referenceServiceLife[[Tier 2 element]:[Default Service Life]],2, FALSE)-1,0),0)</f>
        <v>0</v>
      </c>
      <c r="O1190" s="322">
        <f>IFERROR((Calculations[[#This Row],[A1-3]]+Calculations[[#This Row],[A4]]+Calculations[[#This Row],[A5]]+Calculations[[#This Row],[C2 total]]+Calculations[[#This Row],[C3 total]]+Calculations[[#This Row],[C4 total]])*Calculations[[#This Row],[Replacements]],0)</f>
        <v>0</v>
      </c>
      <c r="S1190" t="str">
        <f>IFERROR(VLOOKUP(Calculations[[#This Row],[Material (choose from dropdown]],MaterialData[#All],4,FALSE),"")</f>
        <v/>
      </c>
      <c r="T1190" s="322" cm="1">
        <f t="array" ref="T1190">IFERROR(VLOOKUP(Calculations[[#This Row],[Waste 1]],WasteScenario[#All],2,FALSE)*'Stage assumptions'!$C$225*WasteTransportMethod[Emissions Factor
kgCO2e/kg.km]*Calculations[[#This Row],[Total Kg]],0)</f>
        <v>0</v>
      </c>
      <c r="U1190" s="322" cm="1">
        <f t="array" ref="U1190">IFERROR(VLOOKUP(Calculations[[#This Row],[Waste 1]],WasteScenario[#All],3,FALSE)*'Stage assumptions'!$C$224*WasteTransportMethod[Emissions Factor
kgCO2e/kg.km]*Calculations[[#This Row],[Total Kg]],0)</f>
        <v>0</v>
      </c>
      <c r="V1190" s="322" cm="1">
        <f t="array" ref="V1190">IFERROR(VLOOKUP(Calculations[[#This Row],[Waste 1]],WasteScenario[#All],4,FALSE)*'Stage assumptions'!$C$223*WasteTransportMethod[Emissions Factor
kgCO2e/kg.km]*Calculations[[#This Row],[Total Kg]],0)</f>
        <v>0</v>
      </c>
      <c r="W1190" s="322" cm="1">
        <f t="array" ref="W1190">IFERROR(VLOOKUP(Calculations[[#This Row],[Waste 1]],WasteScenario[#All],5,FALSE)*'Stage assumptions'!$C$226*WasteTransportMethod[Emissions Factor
kgCO2e/kg.km]*Calculations[[#This Row],[Total Kg]],0)</f>
        <v>0</v>
      </c>
      <c r="X1190" s="322">
        <f>SUM(Calculations[[#This Row],[C2 Recycle]:[C2 Reuse]])</f>
        <v>0</v>
      </c>
      <c r="Y1190" t="str">
        <f>IFERROR(VLOOKUP(Calculations[[#This Row],[Material (choose from dropdown]],MaterialData[#All],5,FALSE),"")</f>
        <v/>
      </c>
      <c r="Z1190" s="322">
        <f>IFERROR(((VLOOKUP(Calculations[[#This Row],[Waste type 2]],WasteDisposalEmissions[#All],2,FALSE))*Calculations[[#This Row],[Total Kg]])*VLOOKUP(Calculations[[#This Row],[Waste 1]],WasteScenario[#All],2,FALSE),0)</f>
        <v>0</v>
      </c>
      <c r="AA1190" s="322">
        <f>IFERROR((VLOOKUP(Calculations[[#This Row],[Waste type 2]],WasteDisposalEmissions[#All],3,FALSE))*Calculations[[#This Row],[Total Kg]]*VLOOKUP(Calculations[[#This Row],[Waste 1]],WasteScenario[#All],3,FALSE),0)</f>
        <v>0</v>
      </c>
      <c r="AB1190" s="322">
        <f>SUM(Calculations[[#This Row],[C3 recyc]:[C3 incin]])</f>
        <v>0</v>
      </c>
      <c r="AC1190" s="334">
        <f>IFERROR((VLOOKUP(Calculations[[#This Row],[Waste type 2]],WasteLandfillEmissions[#All],2,FALSE))*Calculations[[#This Row],[Total Kg]]*VLOOKUP(Calculations[[#This Row],[Waste 1]],WasteScenario[#All],4,FALSE),0)</f>
        <v>0</v>
      </c>
      <c r="AD1190" s="322">
        <f>IFERROR((VLOOKUP(Calculations[[#This Row],[Waste type 2]],WasteLandfillEmissions[#All],3,FALSE))*Calculations[[#This Row],[Total Kg]]*VLOOKUP(Calculations[[#This Row],[Waste 1]],WasteScenario[#All],4,FALSE),0)</f>
        <v>0</v>
      </c>
      <c r="AE1190" s="322">
        <f>SUM(Calculations[[#This Row],[C4 landfill]:[C4 re-use]])</f>
        <v>0</v>
      </c>
      <c r="AF1190" s="322">
        <f>IFERROR(VLOOKUP(Calculations[[#This Row],[Material (choose from dropdown]],MaterialData[#All],8,FALSE),0)</f>
        <v>0</v>
      </c>
      <c r="AG1190" s="322">
        <f>IFERROR(Calculations[[#This Row],[Total Kg]]*Calculations[[#This Row],[Seq factor]],0)</f>
        <v>0</v>
      </c>
      <c r="AI1190" s="322">
        <f>Calculations[[#This Row],[A1-3]]+Calculations[[#This Row],[A4]]+Calculations[[#This Row],[A5]]+Calculations[[#This Row],[B4]]+Calculations[[#This Row],[C2 total]]+Calculations[[#This Row],[C3 total]]+Calculations[[#This Row],[C4 total]]</f>
        <v>0</v>
      </c>
      <c r="AJ1190" s="2">
        <f>IFERROR(VLOOKUP(Calculations[[#This Row],[Material (choose from dropdown]],MaterialData[[#Headers],[#Data]],9,FALSE),0)</f>
        <v>0</v>
      </c>
      <c r="AK1190" s="4">
        <f>IFERROR(VLOOKUP(Calculations[[#This Row],[Material (choose from dropdown]],MaterialData[[#Headers],[#Data]],10,FALSE),0)</f>
        <v>0</v>
      </c>
      <c r="AL1190" s="322">
        <f>IFERROR(Calculations[[#This Row],[Data Quality Score]]*Calculations[[#This Row],[Total Kg]],0)</f>
        <v>0</v>
      </c>
    </row>
    <row r="1191" spans="1:38" x14ac:dyDescent="0.3">
      <c r="A1191" s="6">
        <f>IFERROR(MaterialsBoQ[[#This Row],[Scope Element]],0)</f>
        <v>0</v>
      </c>
      <c r="B1191" t="str">
        <f>IFERROR(MaterialsBoQ[[#This Row],[Material ]],"")</f>
        <v/>
      </c>
      <c r="C1191" t="str">
        <f>IFERROR(MaterialsBoQ[[#This Row],[Unit]],"")</f>
        <v/>
      </c>
      <c r="D1191" s="322">
        <f>IFERROR(MaterialsBoQ[[#This Row],[Number]],0)</f>
        <v>0</v>
      </c>
      <c r="E1191" s="322">
        <f>IFERROR(MaterialsBoQ[[#This Row],[Kg per unit]],0)</f>
        <v>0</v>
      </c>
      <c r="F1191" s="322">
        <f>IFERROR(Calculations[[#This Row],[Number]]*Calculations[[#This Row],[Conversion factor]],0)</f>
        <v>0</v>
      </c>
      <c r="G1191" s="322">
        <f>IFERROR(VLOOKUP(Calculations[[#This Row],[Material (choose from dropdown]],MaterialData[#All],7,FALSE),0)</f>
        <v>0</v>
      </c>
      <c r="H1191" s="322">
        <f>Calculations[[#This Row],[Total Kg]]*Calculations[[#This Row],[Carbon Factor]]</f>
        <v>0</v>
      </c>
      <c r="I1191" t="str">
        <f>IFERROR(VLOOKUP(Calculations[[#This Row],[Material (choose from dropdown]],MaterialData[#All],2,FALSE),"")</f>
        <v/>
      </c>
      <c r="J1191" s="322">
        <f>IFERROR(((VLOOKUP(Calculations[[#This Row],[TransportSource]],TransportDistance[],2,FALSE)*'Stage assumptions'!$C$11)+VLOOKUP(Calculations[[#This Row],[TransportSource]],TransportDistance[],3,FALSE)*'Stage assumptions'!$C$12)*Calculations[[#This Row],[Total Kg]],0)</f>
        <v>0</v>
      </c>
      <c r="K1191">
        <f>IFERROR(VLOOKUP(Calculations[[#This Row],[Material (choose from dropdown]], MaterialData[#All],3, FALSE),0)</f>
        <v>0</v>
      </c>
      <c r="L1191" s="322">
        <f>IFERROR(VLOOKUP(Calculations[[#This Row],[A5type]],A5WastageRate[#All],2,FALSE)*Calculations[[#This Row],[A1-3]],0)</f>
        <v>0</v>
      </c>
      <c r="N1191">
        <f>IFERROR(ROUNDUP(50/VLOOKUP(Calculations[[#This Row],[Scope Element]],B4referenceServiceLife[[Tier 2 element]:[Default Service Life]],2, FALSE)-1,0),0)</f>
        <v>0</v>
      </c>
      <c r="O1191" s="322">
        <f>IFERROR((Calculations[[#This Row],[A1-3]]+Calculations[[#This Row],[A4]]+Calculations[[#This Row],[A5]]+Calculations[[#This Row],[C2 total]]+Calculations[[#This Row],[C3 total]]+Calculations[[#This Row],[C4 total]])*Calculations[[#This Row],[Replacements]],0)</f>
        <v>0</v>
      </c>
      <c r="S1191" t="str">
        <f>IFERROR(VLOOKUP(Calculations[[#This Row],[Material (choose from dropdown]],MaterialData[#All],4,FALSE),"")</f>
        <v/>
      </c>
      <c r="T1191" s="322" cm="1">
        <f t="array" ref="T1191">IFERROR(VLOOKUP(Calculations[[#This Row],[Waste 1]],WasteScenario[#All],2,FALSE)*'Stage assumptions'!$C$225*WasteTransportMethod[Emissions Factor
kgCO2e/kg.km]*Calculations[[#This Row],[Total Kg]],0)</f>
        <v>0</v>
      </c>
      <c r="U1191" s="322" cm="1">
        <f t="array" ref="U1191">IFERROR(VLOOKUP(Calculations[[#This Row],[Waste 1]],WasteScenario[#All],3,FALSE)*'Stage assumptions'!$C$224*WasteTransportMethod[Emissions Factor
kgCO2e/kg.km]*Calculations[[#This Row],[Total Kg]],0)</f>
        <v>0</v>
      </c>
      <c r="V1191" s="322" cm="1">
        <f t="array" ref="V1191">IFERROR(VLOOKUP(Calculations[[#This Row],[Waste 1]],WasteScenario[#All],4,FALSE)*'Stage assumptions'!$C$223*WasteTransportMethod[Emissions Factor
kgCO2e/kg.km]*Calculations[[#This Row],[Total Kg]],0)</f>
        <v>0</v>
      </c>
      <c r="W1191" s="322" cm="1">
        <f t="array" ref="W1191">IFERROR(VLOOKUP(Calculations[[#This Row],[Waste 1]],WasteScenario[#All],5,FALSE)*'Stage assumptions'!$C$226*WasteTransportMethod[Emissions Factor
kgCO2e/kg.km]*Calculations[[#This Row],[Total Kg]],0)</f>
        <v>0</v>
      </c>
      <c r="X1191" s="322">
        <f>SUM(Calculations[[#This Row],[C2 Recycle]:[C2 Reuse]])</f>
        <v>0</v>
      </c>
      <c r="Y1191" t="str">
        <f>IFERROR(VLOOKUP(Calculations[[#This Row],[Material (choose from dropdown]],MaterialData[#All],5,FALSE),"")</f>
        <v/>
      </c>
      <c r="Z1191" s="322">
        <f>IFERROR(((VLOOKUP(Calculations[[#This Row],[Waste type 2]],WasteDisposalEmissions[#All],2,FALSE))*Calculations[[#This Row],[Total Kg]])*VLOOKUP(Calculations[[#This Row],[Waste 1]],WasteScenario[#All],2,FALSE),0)</f>
        <v>0</v>
      </c>
      <c r="AA1191" s="322">
        <f>IFERROR((VLOOKUP(Calculations[[#This Row],[Waste type 2]],WasteDisposalEmissions[#All],3,FALSE))*Calculations[[#This Row],[Total Kg]]*VLOOKUP(Calculations[[#This Row],[Waste 1]],WasteScenario[#All],3,FALSE),0)</f>
        <v>0</v>
      </c>
      <c r="AB1191" s="322">
        <f>SUM(Calculations[[#This Row],[C3 recyc]:[C3 incin]])</f>
        <v>0</v>
      </c>
      <c r="AC1191" s="334">
        <f>IFERROR((VLOOKUP(Calculations[[#This Row],[Waste type 2]],WasteLandfillEmissions[#All],2,FALSE))*Calculations[[#This Row],[Total Kg]]*VLOOKUP(Calculations[[#This Row],[Waste 1]],WasteScenario[#All],4,FALSE),0)</f>
        <v>0</v>
      </c>
      <c r="AD1191" s="322">
        <f>IFERROR((VLOOKUP(Calculations[[#This Row],[Waste type 2]],WasteLandfillEmissions[#All],3,FALSE))*Calculations[[#This Row],[Total Kg]]*VLOOKUP(Calculations[[#This Row],[Waste 1]],WasteScenario[#All],4,FALSE),0)</f>
        <v>0</v>
      </c>
      <c r="AE1191" s="322">
        <f>SUM(Calculations[[#This Row],[C4 landfill]:[C4 re-use]])</f>
        <v>0</v>
      </c>
      <c r="AF1191" s="322">
        <f>IFERROR(VLOOKUP(Calculations[[#This Row],[Material (choose from dropdown]],MaterialData[#All],8,FALSE),0)</f>
        <v>0</v>
      </c>
      <c r="AG1191" s="322">
        <f>IFERROR(Calculations[[#This Row],[Total Kg]]*Calculations[[#This Row],[Seq factor]],0)</f>
        <v>0</v>
      </c>
      <c r="AI1191" s="322">
        <f>Calculations[[#This Row],[A1-3]]+Calculations[[#This Row],[A4]]+Calculations[[#This Row],[A5]]+Calculations[[#This Row],[B4]]+Calculations[[#This Row],[C2 total]]+Calculations[[#This Row],[C3 total]]+Calculations[[#This Row],[C4 total]]</f>
        <v>0</v>
      </c>
      <c r="AJ1191" s="2">
        <f>IFERROR(VLOOKUP(Calculations[[#This Row],[Material (choose from dropdown]],MaterialData[[#Headers],[#Data]],9,FALSE),0)</f>
        <v>0</v>
      </c>
      <c r="AK1191" s="4">
        <f>IFERROR(VLOOKUP(Calculations[[#This Row],[Material (choose from dropdown]],MaterialData[[#Headers],[#Data]],10,FALSE),0)</f>
        <v>0</v>
      </c>
      <c r="AL1191" s="322">
        <f>IFERROR(Calculations[[#This Row],[Data Quality Score]]*Calculations[[#This Row],[Total Kg]],0)</f>
        <v>0</v>
      </c>
    </row>
    <row r="1192" spans="1:38" x14ac:dyDescent="0.3">
      <c r="A1192" s="6">
        <f>IFERROR(MaterialsBoQ[[#This Row],[Scope Element]],0)</f>
        <v>0</v>
      </c>
      <c r="B1192" t="str">
        <f>IFERROR(MaterialsBoQ[[#This Row],[Material ]],"")</f>
        <v/>
      </c>
      <c r="C1192" t="str">
        <f>IFERROR(MaterialsBoQ[[#This Row],[Unit]],"")</f>
        <v/>
      </c>
      <c r="D1192" s="322">
        <f>IFERROR(MaterialsBoQ[[#This Row],[Number]],0)</f>
        <v>0</v>
      </c>
      <c r="E1192" s="322">
        <f>IFERROR(MaterialsBoQ[[#This Row],[Kg per unit]],0)</f>
        <v>0</v>
      </c>
      <c r="F1192" s="322">
        <f>IFERROR(Calculations[[#This Row],[Number]]*Calculations[[#This Row],[Conversion factor]],0)</f>
        <v>0</v>
      </c>
      <c r="G1192" s="322">
        <f>IFERROR(VLOOKUP(Calculations[[#This Row],[Material (choose from dropdown]],MaterialData[#All],7,FALSE),0)</f>
        <v>0</v>
      </c>
      <c r="H1192" s="322">
        <f>Calculations[[#This Row],[Total Kg]]*Calculations[[#This Row],[Carbon Factor]]</f>
        <v>0</v>
      </c>
      <c r="I1192" t="str">
        <f>IFERROR(VLOOKUP(Calculations[[#This Row],[Material (choose from dropdown]],MaterialData[#All],2,FALSE),"")</f>
        <v/>
      </c>
      <c r="J1192" s="322">
        <f>IFERROR(((VLOOKUP(Calculations[[#This Row],[TransportSource]],TransportDistance[],2,FALSE)*'Stage assumptions'!$C$11)+VLOOKUP(Calculations[[#This Row],[TransportSource]],TransportDistance[],3,FALSE)*'Stage assumptions'!$C$12)*Calculations[[#This Row],[Total Kg]],0)</f>
        <v>0</v>
      </c>
      <c r="K1192">
        <f>IFERROR(VLOOKUP(Calculations[[#This Row],[Material (choose from dropdown]], MaterialData[#All],3, FALSE),0)</f>
        <v>0</v>
      </c>
      <c r="L1192" s="322">
        <f>IFERROR(VLOOKUP(Calculations[[#This Row],[A5type]],A5WastageRate[#All],2,FALSE)*Calculations[[#This Row],[A1-3]],0)</f>
        <v>0</v>
      </c>
      <c r="N1192">
        <f>IFERROR(ROUNDUP(50/VLOOKUP(Calculations[[#This Row],[Scope Element]],B4referenceServiceLife[[Tier 2 element]:[Default Service Life]],2, FALSE)-1,0),0)</f>
        <v>0</v>
      </c>
      <c r="O1192" s="322">
        <f>IFERROR((Calculations[[#This Row],[A1-3]]+Calculations[[#This Row],[A4]]+Calculations[[#This Row],[A5]]+Calculations[[#This Row],[C2 total]]+Calculations[[#This Row],[C3 total]]+Calculations[[#This Row],[C4 total]])*Calculations[[#This Row],[Replacements]],0)</f>
        <v>0</v>
      </c>
      <c r="S1192" t="str">
        <f>IFERROR(VLOOKUP(Calculations[[#This Row],[Material (choose from dropdown]],MaterialData[#All],4,FALSE),"")</f>
        <v/>
      </c>
      <c r="T1192" s="322" cm="1">
        <f t="array" ref="T1192">IFERROR(VLOOKUP(Calculations[[#This Row],[Waste 1]],WasteScenario[#All],2,FALSE)*'Stage assumptions'!$C$225*WasteTransportMethod[Emissions Factor
kgCO2e/kg.km]*Calculations[[#This Row],[Total Kg]],0)</f>
        <v>0</v>
      </c>
      <c r="U1192" s="322" cm="1">
        <f t="array" ref="U1192">IFERROR(VLOOKUP(Calculations[[#This Row],[Waste 1]],WasteScenario[#All],3,FALSE)*'Stage assumptions'!$C$224*WasteTransportMethod[Emissions Factor
kgCO2e/kg.km]*Calculations[[#This Row],[Total Kg]],0)</f>
        <v>0</v>
      </c>
      <c r="V1192" s="322" cm="1">
        <f t="array" ref="V1192">IFERROR(VLOOKUP(Calculations[[#This Row],[Waste 1]],WasteScenario[#All],4,FALSE)*'Stage assumptions'!$C$223*WasteTransportMethod[Emissions Factor
kgCO2e/kg.km]*Calculations[[#This Row],[Total Kg]],0)</f>
        <v>0</v>
      </c>
      <c r="W1192" s="322" cm="1">
        <f t="array" ref="W1192">IFERROR(VLOOKUP(Calculations[[#This Row],[Waste 1]],WasteScenario[#All],5,FALSE)*'Stage assumptions'!$C$226*WasteTransportMethod[Emissions Factor
kgCO2e/kg.km]*Calculations[[#This Row],[Total Kg]],0)</f>
        <v>0</v>
      </c>
      <c r="X1192" s="322">
        <f>SUM(Calculations[[#This Row],[C2 Recycle]:[C2 Reuse]])</f>
        <v>0</v>
      </c>
      <c r="Y1192" t="str">
        <f>IFERROR(VLOOKUP(Calculations[[#This Row],[Material (choose from dropdown]],MaterialData[#All],5,FALSE),"")</f>
        <v/>
      </c>
      <c r="Z1192" s="322">
        <f>IFERROR(((VLOOKUP(Calculations[[#This Row],[Waste type 2]],WasteDisposalEmissions[#All],2,FALSE))*Calculations[[#This Row],[Total Kg]])*VLOOKUP(Calculations[[#This Row],[Waste 1]],WasteScenario[#All],2,FALSE),0)</f>
        <v>0</v>
      </c>
      <c r="AA1192" s="322">
        <f>IFERROR((VLOOKUP(Calculations[[#This Row],[Waste type 2]],WasteDisposalEmissions[#All],3,FALSE))*Calculations[[#This Row],[Total Kg]]*VLOOKUP(Calculations[[#This Row],[Waste 1]],WasteScenario[#All],3,FALSE),0)</f>
        <v>0</v>
      </c>
      <c r="AB1192" s="322">
        <f>SUM(Calculations[[#This Row],[C3 recyc]:[C3 incin]])</f>
        <v>0</v>
      </c>
      <c r="AC1192" s="334">
        <f>IFERROR((VLOOKUP(Calculations[[#This Row],[Waste type 2]],WasteLandfillEmissions[#All],2,FALSE))*Calculations[[#This Row],[Total Kg]]*VLOOKUP(Calculations[[#This Row],[Waste 1]],WasteScenario[#All],4,FALSE),0)</f>
        <v>0</v>
      </c>
      <c r="AD1192" s="322">
        <f>IFERROR((VLOOKUP(Calculations[[#This Row],[Waste type 2]],WasteLandfillEmissions[#All],3,FALSE))*Calculations[[#This Row],[Total Kg]]*VLOOKUP(Calculations[[#This Row],[Waste 1]],WasteScenario[#All],4,FALSE),0)</f>
        <v>0</v>
      </c>
      <c r="AE1192" s="322">
        <f>SUM(Calculations[[#This Row],[C4 landfill]:[C4 re-use]])</f>
        <v>0</v>
      </c>
      <c r="AF1192" s="322">
        <f>IFERROR(VLOOKUP(Calculations[[#This Row],[Material (choose from dropdown]],MaterialData[#All],8,FALSE),0)</f>
        <v>0</v>
      </c>
      <c r="AG1192" s="322">
        <f>IFERROR(Calculations[[#This Row],[Total Kg]]*Calculations[[#This Row],[Seq factor]],0)</f>
        <v>0</v>
      </c>
      <c r="AI1192" s="322">
        <f>Calculations[[#This Row],[A1-3]]+Calculations[[#This Row],[A4]]+Calculations[[#This Row],[A5]]+Calculations[[#This Row],[B4]]+Calculations[[#This Row],[C2 total]]+Calculations[[#This Row],[C3 total]]+Calculations[[#This Row],[C4 total]]</f>
        <v>0</v>
      </c>
      <c r="AJ1192" s="2">
        <f>IFERROR(VLOOKUP(Calculations[[#This Row],[Material (choose from dropdown]],MaterialData[[#Headers],[#Data]],9,FALSE),0)</f>
        <v>0</v>
      </c>
      <c r="AK1192" s="4">
        <f>IFERROR(VLOOKUP(Calculations[[#This Row],[Material (choose from dropdown]],MaterialData[[#Headers],[#Data]],10,FALSE),0)</f>
        <v>0</v>
      </c>
      <c r="AL1192" s="322">
        <f>IFERROR(Calculations[[#This Row],[Data Quality Score]]*Calculations[[#This Row],[Total Kg]],0)</f>
        <v>0</v>
      </c>
    </row>
    <row r="1193" spans="1:38" x14ac:dyDescent="0.3">
      <c r="A1193" s="6">
        <f>IFERROR(MaterialsBoQ[[#This Row],[Scope Element]],0)</f>
        <v>0</v>
      </c>
      <c r="B1193" t="str">
        <f>IFERROR(MaterialsBoQ[[#This Row],[Material ]],"")</f>
        <v/>
      </c>
      <c r="C1193" t="str">
        <f>IFERROR(MaterialsBoQ[[#This Row],[Unit]],"")</f>
        <v/>
      </c>
      <c r="D1193" s="322">
        <f>IFERROR(MaterialsBoQ[[#This Row],[Number]],0)</f>
        <v>0</v>
      </c>
      <c r="E1193" s="322">
        <f>IFERROR(MaterialsBoQ[[#This Row],[Kg per unit]],0)</f>
        <v>0</v>
      </c>
      <c r="F1193" s="322">
        <f>IFERROR(Calculations[[#This Row],[Number]]*Calculations[[#This Row],[Conversion factor]],0)</f>
        <v>0</v>
      </c>
      <c r="G1193" s="322">
        <f>IFERROR(VLOOKUP(Calculations[[#This Row],[Material (choose from dropdown]],MaterialData[#All],7,FALSE),0)</f>
        <v>0</v>
      </c>
      <c r="H1193" s="322">
        <f>Calculations[[#This Row],[Total Kg]]*Calculations[[#This Row],[Carbon Factor]]</f>
        <v>0</v>
      </c>
      <c r="I1193" t="str">
        <f>IFERROR(VLOOKUP(Calculations[[#This Row],[Material (choose from dropdown]],MaterialData[#All],2,FALSE),"")</f>
        <v/>
      </c>
      <c r="J1193" s="322">
        <f>IFERROR(((VLOOKUP(Calculations[[#This Row],[TransportSource]],TransportDistance[],2,FALSE)*'Stage assumptions'!$C$11)+VLOOKUP(Calculations[[#This Row],[TransportSource]],TransportDistance[],3,FALSE)*'Stage assumptions'!$C$12)*Calculations[[#This Row],[Total Kg]],0)</f>
        <v>0</v>
      </c>
      <c r="K1193">
        <f>IFERROR(VLOOKUP(Calculations[[#This Row],[Material (choose from dropdown]], MaterialData[#All],3, FALSE),0)</f>
        <v>0</v>
      </c>
      <c r="L1193" s="322">
        <f>IFERROR(VLOOKUP(Calculations[[#This Row],[A5type]],A5WastageRate[#All],2,FALSE)*Calculations[[#This Row],[A1-3]],0)</f>
        <v>0</v>
      </c>
      <c r="N1193">
        <f>IFERROR(ROUNDUP(50/VLOOKUP(Calculations[[#This Row],[Scope Element]],B4referenceServiceLife[[Tier 2 element]:[Default Service Life]],2, FALSE)-1,0),0)</f>
        <v>0</v>
      </c>
      <c r="O1193" s="322">
        <f>IFERROR((Calculations[[#This Row],[A1-3]]+Calculations[[#This Row],[A4]]+Calculations[[#This Row],[A5]]+Calculations[[#This Row],[C2 total]]+Calculations[[#This Row],[C3 total]]+Calculations[[#This Row],[C4 total]])*Calculations[[#This Row],[Replacements]],0)</f>
        <v>0</v>
      </c>
      <c r="S1193" t="str">
        <f>IFERROR(VLOOKUP(Calculations[[#This Row],[Material (choose from dropdown]],MaterialData[#All],4,FALSE),"")</f>
        <v/>
      </c>
      <c r="T1193" s="322" cm="1">
        <f t="array" ref="T1193">IFERROR(VLOOKUP(Calculations[[#This Row],[Waste 1]],WasteScenario[#All],2,FALSE)*'Stage assumptions'!$C$225*WasteTransportMethod[Emissions Factor
kgCO2e/kg.km]*Calculations[[#This Row],[Total Kg]],0)</f>
        <v>0</v>
      </c>
      <c r="U1193" s="322" cm="1">
        <f t="array" ref="U1193">IFERROR(VLOOKUP(Calculations[[#This Row],[Waste 1]],WasteScenario[#All],3,FALSE)*'Stage assumptions'!$C$224*WasteTransportMethod[Emissions Factor
kgCO2e/kg.km]*Calculations[[#This Row],[Total Kg]],0)</f>
        <v>0</v>
      </c>
      <c r="V1193" s="322" cm="1">
        <f t="array" ref="V1193">IFERROR(VLOOKUP(Calculations[[#This Row],[Waste 1]],WasteScenario[#All],4,FALSE)*'Stage assumptions'!$C$223*WasteTransportMethod[Emissions Factor
kgCO2e/kg.km]*Calculations[[#This Row],[Total Kg]],0)</f>
        <v>0</v>
      </c>
      <c r="W1193" s="322" cm="1">
        <f t="array" ref="W1193">IFERROR(VLOOKUP(Calculations[[#This Row],[Waste 1]],WasteScenario[#All],5,FALSE)*'Stage assumptions'!$C$226*WasteTransportMethod[Emissions Factor
kgCO2e/kg.km]*Calculations[[#This Row],[Total Kg]],0)</f>
        <v>0</v>
      </c>
      <c r="X1193" s="322">
        <f>SUM(Calculations[[#This Row],[C2 Recycle]:[C2 Reuse]])</f>
        <v>0</v>
      </c>
      <c r="Y1193" t="str">
        <f>IFERROR(VLOOKUP(Calculations[[#This Row],[Material (choose from dropdown]],MaterialData[#All],5,FALSE),"")</f>
        <v/>
      </c>
      <c r="Z1193" s="322">
        <f>IFERROR(((VLOOKUP(Calculations[[#This Row],[Waste type 2]],WasteDisposalEmissions[#All],2,FALSE))*Calculations[[#This Row],[Total Kg]])*VLOOKUP(Calculations[[#This Row],[Waste 1]],WasteScenario[#All],2,FALSE),0)</f>
        <v>0</v>
      </c>
      <c r="AA1193" s="322">
        <f>IFERROR((VLOOKUP(Calculations[[#This Row],[Waste type 2]],WasteDisposalEmissions[#All],3,FALSE))*Calculations[[#This Row],[Total Kg]]*VLOOKUP(Calculations[[#This Row],[Waste 1]],WasteScenario[#All],3,FALSE),0)</f>
        <v>0</v>
      </c>
      <c r="AB1193" s="322">
        <f>SUM(Calculations[[#This Row],[C3 recyc]:[C3 incin]])</f>
        <v>0</v>
      </c>
      <c r="AC1193" s="334">
        <f>IFERROR((VLOOKUP(Calculations[[#This Row],[Waste type 2]],WasteLandfillEmissions[#All],2,FALSE))*Calculations[[#This Row],[Total Kg]]*VLOOKUP(Calculations[[#This Row],[Waste 1]],WasteScenario[#All],4,FALSE),0)</f>
        <v>0</v>
      </c>
      <c r="AD1193" s="322">
        <f>IFERROR((VLOOKUP(Calculations[[#This Row],[Waste type 2]],WasteLandfillEmissions[#All],3,FALSE))*Calculations[[#This Row],[Total Kg]]*VLOOKUP(Calculations[[#This Row],[Waste 1]],WasteScenario[#All],4,FALSE),0)</f>
        <v>0</v>
      </c>
      <c r="AE1193" s="322">
        <f>SUM(Calculations[[#This Row],[C4 landfill]:[C4 re-use]])</f>
        <v>0</v>
      </c>
      <c r="AF1193" s="322">
        <f>IFERROR(VLOOKUP(Calculations[[#This Row],[Material (choose from dropdown]],MaterialData[#All],8,FALSE),0)</f>
        <v>0</v>
      </c>
      <c r="AG1193" s="322">
        <f>IFERROR(Calculations[[#This Row],[Total Kg]]*Calculations[[#This Row],[Seq factor]],0)</f>
        <v>0</v>
      </c>
      <c r="AI1193" s="322">
        <f>Calculations[[#This Row],[A1-3]]+Calculations[[#This Row],[A4]]+Calculations[[#This Row],[A5]]+Calculations[[#This Row],[B4]]+Calculations[[#This Row],[C2 total]]+Calculations[[#This Row],[C3 total]]+Calculations[[#This Row],[C4 total]]</f>
        <v>0</v>
      </c>
      <c r="AJ1193" s="2">
        <f>IFERROR(VLOOKUP(Calculations[[#This Row],[Material (choose from dropdown]],MaterialData[[#Headers],[#Data]],9,FALSE),0)</f>
        <v>0</v>
      </c>
      <c r="AK1193" s="4">
        <f>IFERROR(VLOOKUP(Calculations[[#This Row],[Material (choose from dropdown]],MaterialData[[#Headers],[#Data]],10,FALSE),0)</f>
        <v>0</v>
      </c>
      <c r="AL1193" s="322">
        <f>IFERROR(Calculations[[#This Row],[Data Quality Score]]*Calculations[[#This Row],[Total Kg]],0)</f>
        <v>0</v>
      </c>
    </row>
    <row r="1194" spans="1:38" x14ac:dyDescent="0.3">
      <c r="A1194" s="6">
        <f>IFERROR(MaterialsBoQ[[#This Row],[Scope Element]],0)</f>
        <v>0</v>
      </c>
      <c r="B1194" t="str">
        <f>IFERROR(MaterialsBoQ[[#This Row],[Material ]],"")</f>
        <v/>
      </c>
      <c r="C1194" t="str">
        <f>IFERROR(MaterialsBoQ[[#This Row],[Unit]],"")</f>
        <v/>
      </c>
      <c r="D1194" s="322">
        <f>IFERROR(MaterialsBoQ[[#This Row],[Number]],0)</f>
        <v>0</v>
      </c>
      <c r="E1194" s="322">
        <f>IFERROR(MaterialsBoQ[[#This Row],[Kg per unit]],0)</f>
        <v>0</v>
      </c>
      <c r="F1194" s="322">
        <f>IFERROR(Calculations[[#This Row],[Number]]*Calculations[[#This Row],[Conversion factor]],0)</f>
        <v>0</v>
      </c>
      <c r="G1194" s="322">
        <f>IFERROR(VLOOKUP(Calculations[[#This Row],[Material (choose from dropdown]],MaterialData[#All],7,FALSE),0)</f>
        <v>0</v>
      </c>
      <c r="H1194" s="322">
        <f>Calculations[[#This Row],[Total Kg]]*Calculations[[#This Row],[Carbon Factor]]</f>
        <v>0</v>
      </c>
      <c r="I1194" t="str">
        <f>IFERROR(VLOOKUP(Calculations[[#This Row],[Material (choose from dropdown]],MaterialData[#All],2,FALSE),"")</f>
        <v/>
      </c>
      <c r="J1194" s="322">
        <f>IFERROR(((VLOOKUP(Calculations[[#This Row],[TransportSource]],TransportDistance[],2,FALSE)*'Stage assumptions'!$C$11)+VLOOKUP(Calculations[[#This Row],[TransportSource]],TransportDistance[],3,FALSE)*'Stage assumptions'!$C$12)*Calculations[[#This Row],[Total Kg]],0)</f>
        <v>0</v>
      </c>
      <c r="K1194">
        <f>IFERROR(VLOOKUP(Calculations[[#This Row],[Material (choose from dropdown]], MaterialData[#All],3, FALSE),0)</f>
        <v>0</v>
      </c>
      <c r="L1194" s="322">
        <f>IFERROR(VLOOKUP(Calculations[[#This Row],[A5type]],A5WastageRate[#All],2,FALSE)*Calculations[[#This Row],[A1-3]],0)</f>
        <v>0</v>
      </c>
      <c r="N1194">
        <f>IFERROR(ROUNDUP(50/VLOOKUP(Calculations[[#This Row],[Scope Element]],B4referenceServiceLife[[Tier 2 element]:[Default Service Life]],2, FALSE)-1,0),0)</f>
        <v>0</v>
      </c>
      <c r="O1194" s="322">
        <f>IFERROR((Calculations[[#This Row],[A1-3]]+Calculations[[#This Row],[A4]]+Calculations[[#This Row],[A5]]+Calculations[[#This Row],[C2 total]]+Calculations[[#This Row],[C3 total]]+Calculations[[#This Row],[C4 total]])*Calculations[[#This Row],[Replacements]],0)</f>
        <v>0</v>
      </c>
      <c r="S1194" t="str">
        <f>IFERROR(VLOOKUP(Calculations[[#This Row],[Material (choose from dropdown]],MaterialData[#All],4,FALSE),"")</f>
        <v/>
      </c>
      <c r="T1194" s="322" cm="1">
        <f t="array" ref="T1194">IFERROR(VLOOKUP(Calculations[[#This Row],[Waste 1]],WasteScenario[#All],2,FALSE)*'Stage assumptions'!$C$225*WasteTransportMethod[Emissions Factor
kgCO2e/kg.km]*Calculations[[#This Row],[Total Kg]],0)</f>
        <v>0</v>
      </c>
      <c r="U1194" s="322" cm="1">
        <f t="array" ref="U1194">IFERROR(VLOOKUP(Calculations[[#This Row],[Waste 1]],WasteScenario[#All],3,FALSE)*'Stage assumptions'!$C$224*WasteTransportMethod[Emissions Factor
kgCO2e/kg.km]*Calculations[[#This Row],[Total Kg]],0)</f>
        <v>0</v>
      </c>
      <c r="V1194" s="322" cm="1">
        <f t="array" ref="V1194">IFERROR(VLOOKUP(Calculations[[#This Row],[Waste 1]],WasteScenario[#All],4,FALSE)*'Stage assumptions'!$C$223*WasteTransportMethod[Emissions Factor
kgCO2e/kg.km]*Calculations[[#This Row],[Total Kg]],0)</f>
        <v>0</v>
      </c>
      <c r="W1194" s="322" cm="1">
        <f t="array" ref="W1194">IFERROR(VLOOKUP(Calculations[[#This Row],[Waste 1]],WasteScenario[#All],5,FALSE)*'Stage assumptions'!$C$226*WasteTransportMethod[Emissions Factor
kgCO2e/kg.km]*Calculations[[#This Row],[Total Kg]],0)</f>
        <v>0</v>
      </c>
      <c r="X1194" s="322">
        <f>SUM(Calculations[[#This Row],[C2 Recycle]:[C2 Reuse]])</f>
        <v>0</v>
      </c>
      <c r="Y1194" t="str">
        <f>IFERROR(VLOOKUP(Calculations[[#This Row],[Material (choose from dropdown]],MaterialData[#All],5,FALSE),"")</f>
        <v/>
      </c>
      <c r="Z1194" s="322">
        <f>IFERROR(((VLOOKUP(Calculations[[#This Row],[Waste type 2]],WasteDisposalEmissions[#All],2,FALSE))*Calculations[[#This Row],[Total Kg]])*VLOOKUP(Calculations[[#This Row],[Waste 1]],WasteScenario[#All],2,FALSE),0)</f>
        <v>0</v>
      </c>
      <c r="AA1194" s="322">
        <f>IFERROR((VLOOKUP(Calculations[[#This Row],[Waste type 2]],WasteDisposalEmissions[#All],3,FALSE))*Calculations[[#This Row],[Total Kg]]*VLOOKUP(Calculations[[#This Row],[Waste 1]],WasteScenario[#All],3,FALSE),0)</f>
        <v>0</v>
      </c>
      <c r="AB1194" s="322">
        <f>SUM(Calculations[[#This Row],[C3 recyc]:[C3 incin]])</f>
        <v>0</v>
      </c>
      <c r="AC1194" s="334">
        <f>IFERROR((VLOOKUP(Calculations[[#This Row],[Waste type 2]],WasteLandfillEmissions[#All],2,FALSE))*Calculations[[#This Row],[Total Kg]]*VLOOKUP(Calculations[[#This Row],[Waste 1]],WasteScenario[#All],4,FALSE),0)</f>
        <v>0</v>
      </c>
      <c r="AD1194" s="322">
        <f>IFERROR((VLOOKUP(Calculations[[#This Row],[Waste type 2]],WasteLandfillEmissions[#All],3,FALSE))*Calculations[[#This Row],[Total Kg]]*VLOOKUP(Calculations[[#This Row],[Waste 1]],WasteScenario[#All],4,FALSE),0)</f>
        <v>0</v>
      </c>
      <c r="AE1194" s="322">
        <f>SUM(Calculations[[#This Row],[C4 landfill]:[C4 re-use]])</f>
        <v>0</v>
      </c>
      <c r="AF1194" s="322">
        <f>IFERROR(VLOOKUP(Calculations[[#This Row],[Material (choose from dropdown]],MaterialData[#All],8,FALSE),0)</f>
        <v>0</v>
      </c>
      <c r="AG1194" s="322">
        <f>IFERROR(Calculations[[#This Row],[Total Kg]]*Calculations[[#This Row],[Seq factor]],0)</f>
        <v>0</v>
      </c>
      <c r="AI1194" s="322">
        <f>Calculations[[#This Row],[A1-3]]+Calculations[[#This Row],[A4]]+Calculations[[#This Row],[A5]]+Calculations[[#This Row],[B4]]+Calculations[[#This Row],[C2 total]]+Calculations[[#This Row],[C3 total]]+Calculations[[#This Row],[C4 total]]</f>
        <v>0</v>
      </c>
      <c r="AJ1194" s="2">
        <f>IFERROR(VLOOKUP(Calculations[[#This Row],[Material (choose from dropdown]],MaterialData[[#Headers],[#Data]],9,FALSE),0)</f>
        <v>0</v>
      </c>
      <c r="AK1194" s="4">
        <f>IFERROR(VLOOKUP(Calculations[[#This Row],[Material (choose from dropdown]],MaterialData[[#Headers],[#Data]],10,FALSE),0)</f>
        <v>0</v>
      </c>
      <c r="AL1194" s="322">
        <f>IFERROR(Calculations[[#This Row],[Data Quality Score]]*Calculations[[#This Row],[Total Kg]],0)</f>
        <v>0</v>
      </c>
    </row>
    <row r="1195" spans="1:38" x14ac:dyDescent="0.3">
      <c r="A1195" s="6">
        <f>IFERROR(MaterialsBoQ[[#This Row],[Scope Element]],0)</f>
        <v>0</v>
      </c>
      <c r="B1195" t="str">
        <f>IFERROR(MaterialsBoQ[[#This Row],[Material ]],"")</f>
        <v/>
      </c>
      <c r="C1195" t="str">
        <f>IFERROR(MaterialsBoQ[[#This Row],[Unit]],"")</f>
        <v/>
      </c>
      <c r="D1195" s="322">
        <f>IFERROR(MaterialsBoQ[[#This Row],[Number]],0)</f>
        <v>0</v>
      </c>
      <c r="E1195" s="322">
        <f>IFERROR(MaterialsBoQ[[#This Row],[Kg per unit]],0)</f>
        <v>0</v>
      </c>
      <c r="F1195" s="322">
        <f>IFERROR(Calculations[[#This Row],[Number]]*Calculations[[#This Row],[Conversion factor]],0)</f>
        <v>0</v>
      </c>
      <c r="G1195" s="322">
        <f>IFERROR(VLOOKUP(Calculations[[#This Row],[Material (choose from dropdown]],MaterialData[#All],7,FALSE),0)</f>
        <v>0</v>
      </c>
      <c r="H1195" s="322">
        <f>Calculations[[#This Row],[Total Kg]]*Calculations[[#This Row],[Carbon Factor]]</f>
        <v>0</v>
      </c>
      <c r="I1195" t="str">
        <f>IFERROR(VLOOKUP(Calculations[[#This Row],[Material (choose from dropdown]],MaterialData[#All],2,FALSE),"")</f>
        <v/>
      </c>
      <c r="J1195" s="322">
        <f>IFERROR(((VLOOKUP(Calculations[[#This Row],[TransportSource]],TransportDistance[],2,FALSE)*'Stage assumptions'!$C$11)+VLOOKUP(Calculations[[#This Row],[TransportSource]],TransportDistance[],3,FALSE)*'Stage assumptions'!$C$12)*Calculations[[#This Row],[Total Kg]],0)</f>
        <v>0</v>
      </c>
      <c r="K1195">
        <f>IFERROR(VLOOKUP(Calculations[[#This Row],[Material (choose from dropdown]], MaterialData[#All],3, FALSE),0)</f>
        <v>0</v>
      </c>
      <c r="L1195" s="322">
        <f>IFERROR(VLOOKUP(Calculations[[#This Row],[A5type]],A5WastageRate[#All],2,FALSE)*Calculations[[#This Row],[A1-3]],0)</f>
        <v>0</v>
      </c>
      <c r="N1195">
        <f>IFERROR(ROUNDUP(50/VLOOKUP(Calculations[[#This Row],[Scope Element]],B4referenceServiceLife[[Tier 2 element]:[Default Service Life]],2, FALSE)-1,0),0)</f>
        <v>0</v>
      </c>
      <c r="O1195" s="322">
        <f>IFERROR((Calculations[[#This Row],[A1-3]]+Calculations[[#This Row],[A4]]+Calculations[[#This Row],[A5]]+Calculations[[#This Row],[C2 total]]+Calculations[[#This Row],[C3 total]]+Calculations[[#This Row],[C4 total]])*Calculations[[#This Row],[Replacements]],0)</f>
        <v>0</v>
      </c>
      <c r="S1195" t="str">
        <f>IFERROR(VLOOKUP(Calculations[[#This Row],[Material (choose from dropdown]],MaterialData[#All],4,FALSE),"")</f>
        <v/>
      </c>
      <c r="T1195" s="322" cm="1">
        <f t="array" ref="T1195">IFERROR(VLOOKUP(Calculations[[#This Row],[Waste 1]],WasteScenario[#All],2,FALSE)*'Stage assumptions'!$C$225*WasteTransportMethod[Emissions Factor
kgCO2e/kg.km]*Calculations[[#This Row],[Total Kg]],0)</f>
        <v>0</v>
      </c>
      <c r="U1195" s="322" cm="1">
        <f t="array" ref="U1195">IFERROR(VLOOKUP(Calculations[[#This Row],[Waste 1]],WasteScenario[#All],3,FALSE)*'Stage assumptions'!$C$224*WasteTransportMethod[Emissions Factor
kgCO2e/kg.km]*Calculations[[#This Row],[Total Kg]],0)</f>
        <v>0</v>
      </c>
      <c r="V1195" s="322" cm="1">
        <f t="array" ref="V1195">IFERROR(VLOOKUP(Calculations[[#This Row],[Waste 1]],WasteScenario[#All],4,FALSE)*'Stage assumptions'!$C$223*WasteTransportMethod[Emissions Factor
kgCO2e/kg.km]*Calculations[[#This Row],[Total Kg]],0)</f>
        <v>0</v>
      </c>
      <c r="W1195" s="322" cm="1">
        <f t="array" ref="W1195">IFERROR(VLOOKUP(Calculations[[#This Row],[Waste 1]],WasteScenario[#All],5,FALSE)*'Stage assumptions'!$C$226*WasteTransportMethod[Emissions Factor
kgCO2e/kg.km]*Calculations[[#This Row],[Total Kg]],0)</f>
        <v>0</v>
      </c>
      <c r="X1195" s="322">
        <f>SUM(Calculations[[#This Row],[C2 Recycle]:[C2 Reuse]])</f>
        <v>0</v>
      </c>
      <c r="Y1195" t="str">
        <f>IFERROR(VLOOKUP(Calculations[[#This Row],[Material (choose from dropdown]],MaterialData[#All],5,FALSE),"")</f>
        <v/>
      </c>
      <c r="Z1195" s="322">
        <f>IFERROR(((VLOOKUP(Calculations[[#This Row],[Waste type 2]],WasteDisposalEmissions[#All],2,FALSE))*Calculations[[#This Row],[Total Kg]])*VLOOKUP(Calculations[[#This Row],[Waste 1]],WasteScenario[#All],2,FALSE),0)</f>
        <v>0</v>
      </c>
      <c r="AA1195" s="322">
        <f>IFERROR((VLOOKUP(Calculations[[#This Row],[Waste type 2]],WasteDisposalEmissions[#All],3,FALSE))*Calculations[[#This Row],[Total Kg]]*VLOOKUP(Calculations[[#This Row],[Waste 1]],WasteScenario[#All],3,FALSE),0)</f>
        <v>0</v>
      </c>
      <c r="AB1195" s="322">
        <f>SUM(Calculations[[#This Row],[C3 recyc]:[C3 incin]])</f>
        <v>0</v>
      </c>
      <c r="AC1195" s="334">
        <f>IFERROR((VLOOKUP(Calculations[[#This Row],[Waste type 2]],WasteLandfillEmissions[#All],2,FALSE))*Calculations[[#This Row],[Total Kg]]*VLOOKUP(Calculations[[#This Row],[Waste 1]],WasteScenario[#All],4,FALSE),0)</f>
        <v>0</v>
      </c>
      <c r="AD1195" s="322">
        <f>IFERROR((VLOOKUP(Calculations[[#This Row],[Waste type 2]],WasteLandfillEmissions[#All],3,FALSE))*Calculations[[#This Row],[Total Kg]]*VLOOKUP(Calculations[[#This Row],[Waste 1]],WasteScenario[#All],4,FALSE),0)</f>
        <v>0</v>
      </c>
      <c r="AE1195" s="322">
        <f>SUM(Calculations[[#This Row],[C4 landfill]:[C4 re-use]])</f>
        <v>0</v>
      </c>
      <c r="AF1195" s="322">
        <f>IFERROR(VLOOKUP(Calculations[[#This Row],[Material (choose from dropdown]],MaterialData[#All],8,FALSE),0)</f>
        <v>0</v>
      </c>
      <c r="AG1195" s="322">
        <f>IFERROR(Calculations[[#This Row],[Total Kg]]*Calculations[[#This Row],[Seq factor]],0)</f>
        <v>0</v>
      </c>
      <c r="AI1195" s="322">
        <f>Calculations[[#This Row],[A1-3]]+Calculations[[#This Row],[A4]]+Calculations[[#This Row],[A5]]+Calculations[[#This Row],[B4]]+Calculations[[#This Row],[C2 total]]+Calculations[[#This Row],[C3 total]]+Calculations[[#This Row],[C4 total]]</f>
        <v>0</v>
      </c>
      <c r="AJ1195" s="2">
        <f>IFERROR(VLOOKUP(Calculations[[#This Row],[Material (choose from dropdown]],MaterialData[[#Headers],[#Data]],9,FALSE),0)</f>
        <v>0</v>
      </c>
      <c r="AK1195" s="4">
        <f>IFERROR(VLOOKUP(Calculations[[#This Row],[Material (choose from dropdown]],MaterialData[[#Headers],[#Data]],10,FALSE),0)</f>
        <v>0</v>
      </c>
      <c r="AL1195" s="322">
        <f>IFERROR(Calculations[[#This Row],[Data Quality Score]]*Calculations[[#This Row],[Total Kg]],0)</f>
        <v>0</v>
      </c>
    </row>
    <row r="1196" spans="1:38" x14ac:dyDescent="0.3">
      <c r="A1196" s="6">
        <f>IFERROR(MaterialsBoQ[[#This Row],[Scope Element]],0)</f>
        <v>0</v>
      </c>
      <c r="B1196" t="str">
        <f>IFERROR(MaterialsBoQ[[#This Row],[Material ]],"")</f>
        <v/>
      </c>
      <c r="C1196" t="str">
        <f>IFERROR(MaterialsBoQ[[#This Row],[Unit]],"")</f>
        <v/>
      </c>
      <c r="D1196" s="322">
        <f>IFERROR(MaterialsBoQ[[#This Row],[Number]],0)</f>
        <v>0</v>
      </c>
      <c r="E1196" s="322">
        <f>IFERROR(MaterialsBoQ[[#This Row],[Kg per unit]],0)</f>
        <v>0</v>
      </c>
      <c r="F1196" s="322">
        <f>IFERROR(Calculations[[#This Row],[Number]]*Calculations[[#This Row],[Conversion factor]],0)</f>
        <v>0</v>
      </c>
      <c r="G1196" s="322">
        <f>IFERROR(VLOOKUP(Calculations[[#This Row],[Material (choose from dropdown]],MaterialData[#All],7,FALSE),0)</f>
        <v>0</v>
      </c>
      <c r="H1196" s="322">
        <f>Calculations[[#This Row],[Total Kg]]*Calculations[[#This Row],[Carbon Factor]]</f>
        <v>0</v>
      </c>
      <c r="I1196" t="str">
        <f>IFERROR(VLOOKUP(Calculations[[#This Row],[Material (choose from dropdown]],MaterialData[#All],2,FALSE),"")</f>
        <v/>
      </c>
      <c r="J1196" s="322">
        <f>IFERROR(((VLOOKUP(Calculations[[#This Row],[TransportSource]],TransportDistance[],2,FALSE)*'Stage assumptions'!$C$11)+VLOOKUP(Calculations[[#This Row],[TransportSource]],TransportDistance[],3,FALSE)*'Stage assumptions'!$C$12)*Calculations[[#This Row],[Total Kg]],0)</f>
        <v>0</v>
      </c>
      <c r="K1196">
        <f>IFERROR(VLOOKUP(Calculations[[#This Row],[Material (choose from dropdown]], MaterialData[#All],3, FALSE),0)</f>
        <v>0</v>
      </c>
      <c r="L1196" s="322">
        <f>IFERROR(VLOOKUP(Calculations[[#This Row],[A5type]],A5WastageRate[#All],2,FALSE)*Calculations[[#This Row],[A1-3]],0)</f>
        <v>0</v>
      </c>
      <c r="N1196">
        <f>IFERROR(ROUNDUP(50/VLOOKUP(Calculations[[#This Row],[Scope Element]],B4referenceServiceLife[[Tier 2 element]:[Default Service Life]],2, FALSE)-1,0),0)</f>
        <v>0</v>
      </c>
      <c r="O1196" s="322">
        <f>IFERROR((Calculations[[#This Row],[A1-3]]+Calculations[[#This Row],[A4]]+Calculations[[#This Row],[A5]]+Calculations[[#This Row],[C2 total]]+Calculations[[#This Row],[C3 total]]+Calculations[[#This Row],[C4 total]])*Calculations[[#This Row],[Replacements]],0)</f>
        <v>0</v>
      </c>
      <c r="S1196" t="str">
        <f>IFERROR(VLOOKUP(Calculations[[#This Row],[Material (choose from dropdown]],MaterialData[#All],4,FALSE),"")</f>
        <v/>
      </c>
      <c r="T1196" s="322" cm="1">
        <f t="array" ref="T1196">IFERROR(VLOOKUP(Calculations[[#This Row],[Waste 1]],WasteScenario[#All],2,FALSE)*'Stage assumptions'!$C$225*WasteTransportMethod[Emissions Factor
kgCO2e/kg.km]*Calculations[[#This Row],[Total Kg]],0)</f>
        <v>0</v>
      </c>
      <c r="U1196" s="322" cm="1">
        <f t="array" ref="U1196">IFERROR(VLOOKUP(Calculations[[#This Row],[Waste 1]],WasteScenario[#All],3,FALSE)*'Stage assumptions'!$C$224*WasteTransportMethod[Emissions Factor
kgCO2e/kg.km]*Calculations[[#This Row],[Total Kg]],0)</f>
        <v>0</v>
      </c>
      <c r="V1196" s="322" cm="1">
        <f t="array" ref="V1196">IFERROR(VLOOKUP(Calculations[[#This Row],[Waste 1]],WasteScenario[#All],4,FALSE)*'Stage assumptions'!$C$223*WasteTransportMethod[Emissions Factor
kgCO2e/kg.km]*Calculations[[#This Row],[Total Kg]],0)</f>
        <v>0</v>
      </c>
      <c r="W1196" s="322" cm="1">
        <f t="array" ref="W1196">IFERROR(VLOOKUP(Calculations[[#This Row],[Waste 1]],WasteScenario[#All],5,FALSE)*'Stage assumptions'!$C$226*WasteTransportMethod[Emissions Factor
kgCO2e/kg.km]*Calculations[[#This Row],[Total Kg]],0)</f>
        <v>0</v>
      </c>
      <c r="X1196" s="322">
        <f>SUM(Calculations[[#This Row],[C2 Recycle]:[C2 Reuse]])</f>
        <v>0</v>
      </c>
      <c r="Y1196" t="str">
        <f>IFERROR(VLOOKUP(Calculations[[#This Row],[Material (choose from dropdown]],MaterialData[#All],5,FALSE),"")</f>
        <v/>
      </c>
      <c r="Z1196" s="322">
        <f>IFERROR(((VLOOKUP(Calculations[[#This Row],[Waste type 2]],WasteDisposalEmissions[#All],2,FALSE))*Calculations[[#This Row],[Total Kg]])*VLOOKUP(Calculations[[#This Row],[Waste 1]],WasteScenario[#All],2,FALSE),0)</f>
        <v>0</v>
      </c>
      <c r="AA1196" s="322">
        <f>IFERROR((VLOOKUP(Calculations[[#This Row],[Waste type 2]],WasteDisposalEmissions[#All],3,FALSE))*Calculations[[#This Row],[Total Kg]]*VLOOKUP(Calculations[[#This Row],[Waste 1]],WasteScenario[#All],3,FALSE),0)</f>
        <v>0</v>
      </c>
      <c r="AB1196" s="322">
        <f>SUM(Calculations[[#This Row],[C3 recyc]:[C3 incin]])</f>
        <v>0</v>
      </c>
      <c r="AC1196" s="334">
        <f>IFERROR((VLOOKUP(Calculations[[#This Row],[Waste type 2]],WasteLandfillEmissions[#All],2,FALSE))*Calculations[[#This Row],[Total Kg]]*VLOOKUP(Calculations[[#This Row],[Waste 1]],WasteScenario[#All],4,FALSE),0)</f>
        <v>0</v>
      </c>
      <c r="AD1196" s="322">
        <f>IFERROR((VLOOKUP(Calculations[[#This Row],[Waste type 2]],WasteLandfillEmissions[#All],3,FALSE))*Calculations[[#This Row],[Total Kg]]*VLOOKUP(Calculations[[#This Row],[Waste 1]],WasteScenario[#All],4,FALSE),0)</f>
        <v>0</v>
      </c>
      <c r="AE1196" s="322">
        <f>SUM(Calculations[[#This Row],[C4 landfill]:[C4 re-use]])</f>
        <v>0</v>
      </c>
      <c r="AF1196" s="322">
        <f>IFERROR(VLOOKUP(Calculations[[#This Row],[Material (choose from dropdown]],MaterialData[#All],8,FALSE),0)</f>
        <v>0</v>
      </c>
      <c r="AG1196" s="322">
        <f>IFERROR(Calculations[[#This Row],[Total Kg]]*Calculations[[#This Row],[Seq factor]],0)</f>
        <v>0</v>
      </c>
      <c r="AI1196" s="322">
        <f>Calculations[[#This Row],[A1-3]]+Calculations[[#This Row],[A4]]+Calculations[[#This Row],[A5]]+Calculations[[#This Row],[B4]]+Calculations[[#This Row],[C2 total]]+Calculations[[#This Row],[C3 total]]+Calculations[[#This Row],[C4 total]]</f>
        <v>0</v>
      </c>
      <c r="AJ1196" s="2">
        <f>IFERROR(VLOOKUP(Calculations[[#This Row],[Material (choose from dropdown]],MaterialData[[#Headers],[#Data]],9,FALSE),0)</f>
        <v>0</v>
      </c>
      <c r="AK1196" s="4">
        <f>IFERROR(VLOOKUP(Calculations[[#This Row],[Material (choose from dropdown]],MaterialData[[#Headers],[#Data]],10,FALSE),0)</f>
        <v>0</v>
      </c>
      <c r="AL1196" s="322">
        <f>IFERROR(Calculations[[#This Row],[Data Quality Score]]*Calculations[[#This Row],[Total Kg]],0)</f>
        <v>0</v>
      </c>
    </row>
    <row r="1197" spans="1:38" x14ac:dyDescent="0.3">
      <c r="A1197" s="6">
        <f>IFERROR(MaterialsBoQ[[#This Row],[Scope Element]],0)</f>
        <v>0</v>
      </c>
      <c r="B1197" t="str">
        <f>IFERROR(MaterialsBoQ[[#This Row],[Material ]],"")</f>
        <v/>
      </c>
      <c r="C1197" t="str">
        <f>IFERROR(MaterialsBoQ[[#This Row],[Unit]],"")</f>
        <v/>
      </c>
      <c r="D1197" s="322">
        <f>IFERROR(MaterialsBoQ[[#This Row],[Number]],0)</f>
        <v>0</v>
      </c>
      <c r="E1197" s="322">
        <f>IFERROR(MaterialsBoQ[[#This Row],[Kg per unit]],0)</f>
        <v>0</v>
      </c>
      <c r="F1197" s="322">
        <f>IFERROR(Calculations[[#This Row],[Number]]*Calculations[[#This Row],[Conversion factor]],0)</f>
        <v>0</v>
      </c>
      <c r="G1197" s="322">
        <f>IFERROR(VLOOKUP(Calculations[[#This Row],[Material (choose from dropdown]],MaterialData[#All],7,FALSE),0)</f>
        <v>0</v>
      </c>
      <c r="H1197" s="322">
        <f>Calculations[[#This Row],[Total Kg]]*Calculations[[#This Row],[Carbon Factor]]</f>
        <v>0</v>
      </c>
      <c r="I1197" t="str">
        <f>IFERROR(VLOOKUP(Calculations[[#This Row],[Material (choose from dropdown]],MaterialData[#All],2,FALSE),"")</f>
        <v/>
      </c>
      <c r="J1197" s="322">
        <f>IFERROR(((VLOOKUP(Calculations[[#This Row],[TransportSource]],TransportDistance[],2,FALSE)*'Stage assumptions'!$C$11)+VLOOKUP(Calculations[[#This Row],[TransportSource]],TransportDistance[],3,FALSE)*'Stage assumptions'!$C$12)*Calculations[[#This Row],[Total Kg]],0)</f>
        <v>0</v>
      </c>
      <c r="K1197">
        <f>IFERROR(VLOOKUP(Calculations[[#This Row],[Material (choose from dropdown]], MaterialData[#All],3, FALSE),0)</f>
        <v>0</v>
      </c>
      <c r="L1197" s="322">
        <f>IFERROR(VLOOKUP(Calculations[[#This Row],[A5type]],A5WastageRate[#All],2,FALSE)*Calculations[[#This Row],[A1-3]],0)</f>
        <v>0</v>
      </c>
      <c r="N1197">
        <f>IFERROR(ROUNDUP(50/VLOOKUP(Calculations[[#This Row],[Scope Element]],B4referenceServiceLife[[Tier 2 element]:[Default Service Life]],2, FALSE)-1,0),0)</f>
        <v>0</v>
      </c>
      <c r="O1197" s="322">
        <f>IFERROR((Calculations[[#This Row],[A1-3]]+Calculations[[#This Row],[A4]]+Calculations[[#This Row],[A5]]+Calculations[[#This Row],[C2 total]]+Calculations[[#This Row],[C3 total]]+Calculations[[#This Row],[C4 total]])*Calculations[[#This Row],[Replacements]],0)</f>
        <v>0</v>
      </c>
      <c r="S1197" t="str">
        <f>IFERROR(VLOOKUP(Calculations[[#This Row],[Material (choose from dropdown]],MaterialData[#All],4,FALSE),"")</f>
        <v/>
      </c>
      <c r="T1197" s="322" cm="1">
        <f t="array" ref="T1197">IFERROR(VLOOKUP(Calculations[[#This Row],[Waste 1]],WasteScenario[#All],2,FALSE)*'Stage assumptions'!$C$225*WasteTransportMethod[Emissions Factor
kgCO2e/kg.km]*Calculations[[#This Row],[Total Kg]],0)</f>
        <v>0</v>
      </c>
      <c r="U1197" s="322" cm="1">
        <f t="array" ref="U1197">IFERROR(VLOOKUP(Calculations[[#This Row],[Waste 1]],WasteScenario[#All],3,FALSE)*'Stage assumptions'!$C$224*WasteTransportMethod[Emissions Factor
kgCO2e/kg.km]*Calculations[[#This Row],[Total Kg]],0)</f>
        <v>0</v>
      </c>
      <c r="V1197" s="322" cm="1">
        <f t="array" ref="V1197">IFERROR(VLOOKUP(Calculations[[#This Row],[Waste 1]],WasteScenario[#All],4,FALSE)*'Stage assumptions'!$C$223*WasteTransportMethod[Emissions Factor
kgCO2e/kg.km]*Calculations[[#This Row],[Total Kg]],0)</f>
        <v>0</v>
      </c>
      <c r="W1197" s="322" cm="1">
        <f t="array" ref="W1197">IFERROR(VLOOKUP(Calculations[[#This Row],[Waste 1]],WasteScenario[#All],5,FALSE)*'Stage assumptions'!$C$226*WasteTransportMethod[Emissions Factor
kgCO2e/kg.km]*Calculations[[#This Row],[Total Kg]],0)</f>
        <v>0</v>
      </c>
      <c r="X1197" s="322">
        <f>SUM(Calculations[[#This Row],[C2 Recycle]:[C2 Reuse]])</f>
        <v>0</v>
      </c>
      <c r="Y1197" t="str">
        <f>IFERROR(VLOOKUP(Calculations[[#This Row],[Material (choose from dropdown]],MaterialData[#All],5,FALSE),"")</f>
        <v/>
      </c>
      <c r="Z1197" s="322">
        <f>IFERROR(((VLOOKUP(Calculations[[#This Row],[Waste type 2]],WasteDisposalEmissions[#All],2,FALSE))*Calculations[[#This Row],[Total Kg]])*VLOOKUP(Calculations[[#This Row],[Waste 1]],WasteScenario[#All],2,FALSE),0)</f>
        <v>0</v>
      </c>
      <c r="AA1197" s="322">
        <f>IFERROR((VLOOKUP(Calculations[[#This Row],[Waste type 2]],WasteDisposalEmissions[#All],3,FALSE))*Calculations[[#This Row],[Total Kg]]*VLOOKUP(Calculations[[#This Row],[Waste 1]],WasteScenario[#All],3,FALSE),0)</f>
        <v>0</v>
      </c>
      <c r="AB1197" s="322">
        <f>SUM(Calculations[[#This Row],[C3 recyc]:[C3 incin]])</f>
        <v>0</v>
      </c>
      <c r="AC1197" s="334">
        <f>IFERROR((VLOOKUP(Calculations[[#This Row],[Waste type 2]],WasteLandfillEmissions[#All],2,FALSE))*Calculations[[#This Row],[Total Kg]]*VLOOKUP(Calculations[[#This Row],[Waste 1]],WasteScenario[#All],4,FALSE),0)</f>
        <v>0</v>
      </c>
      <c r="AD1197" s="322">
        <f>IFERROR((VLOOKUP(Calculations[[#This Row],[Waste type 2]],WasteLandfillEmissions[#All],3,FALSE))*Calculations[[#This Row],[Total Kg]]*VLOOKUP(Calculations[[#This Row],[Waste 1]],WasteScenario[#All],4,FALSE),0)</f>
        <v>0</v>
      </c>
      <c r="AE1197" s="322">
        <f>SUM(Calculations[[#This Row],[C4 landfill]:[C4 re-use]])</f>
        <v>0</v>
      </c>
      <c r="AF1197" s="322">
        <f>IFERROR(VLOOKUP(Calculations[[#This Row],[Material (choose from dropdown]],MaterialData[#All],8,FALSE),0)</f>
        <v>0</v>
      </c>
      <c r="AG1197" s="322">
        <f>IFERROR(Calculations[[#This Row],[Total Kg]]*Calculations[[#This Row],[Seq factor]],0)</f>
        <v>0</v>
      </c>
      <c r="AI1197" s="322">
        <f>Calculations[[#This Row],[A1-3]]+Calculations[[#This Row],[A4]]+Calculations[[#This Row],[A5]]+Calculations[[#This Row],[B4]]+Calculations[[#This Row],[C2 total]]+Calculations[[#This Row],[C3 total]]+Calculations[[#This Row],[C4 total]]</f>
        <v>0</v>
      </c>
      <c r="AJ1197" s="2">
        <f>IFERROR(VLOOKUP(Calculations[[#This Row],[Material (choose from dropdown]],MaterialData[[#Headers],[#Data]],9,FALSE),0)</f>
        <v>0</v>
      </c>
      <c r="AK1197" s="4">
        <f>IFERROR(VLOOKUP(Calculations[[#This Row],[Material (choose from dropdown]],MaterialData[[#Headers],[#Data]],10,FALSE),0)</f>
        <v>0</v>
      </c>
      <c r="AL1197" s="322">
        <f>IFERROR(Calculations[[#This Row],[Data Quality Score]]*Calculations[[#This Row],[Total Kg]],0)</f>
        <v>0</v>
      </c>
    </row>
    <row r="1198" spans="1:38" x14ac:dyDescent="0.3">
      <c r="A1198" s="6">
        <f>IFERROR(MaterialsBoQ[[#This Row],[Scope Element]],0)</f>
        <v>0</v>
      </c>
      <c r="B1198" t="str">
        <f>IFERROR(MaterialsBoQ[[#This Row],[Material ]],"")</f>
        <v/>
      </c>
      <c r="C1198" t="str">
        <f>IFERROR(MaterialsBoQ[[#This Row],[Unit]],"")</f>
        <v/>
      </c>
      <c r="D1198" s="322">
        <f>IFERROR(MaterialsBoQ[[#This Row],[Number]],0)</f>
        <v>0</v>
      </c>
      <c r="E1198" s="322">
        <f>IFERROR(MaterialsBoQ[[#This Row],[Kg per unit]],0)</f>
        <v>0</v>
      </c>
      <c r="F1198" s="322">
        <f>IFERROR(Calculations[[#This Row],[Number]]*Calculations[[#This Row],[Conversion factor]],0)</f>
        <v>0</v>
      </c>
      <c r="G1198" s="322">
        <f>IFERROR(VLOOKUP(Calculations[[#This Row],[Material (choose from dropdown]],MaterialData[#All],7,FALSE),0)</f>
        <v>0</v>
      </c>
      <c r="H1198" s="322">
        <f>Calculations[[#This Row],[Total Kg]]*Calculations[[#This Row],[Carbon Factor]]</f>
        <v>0</v>
      </c>
      <c r="I1198" t="str">
        <f>IFERROR(VLOOKUP(Calculations[[#This Row],[Material (choose from dropdown]],MaterialData[#All],2,FALSE),"")</f>
        <v/>
      </c>
      <c r="J1198" s="322">
        <f>IFERROR(((VLOOKUP(Calculations[[#This Row],[TransportSource]],TransportDistance[],2,FALSE)*'Stage assumptions'!$C$11)+VLOOKUP(Calculations[[#This Row],[TransportSource]],TransportDistance[],3,FALSE)*'Stage assumptions'!$C$12)*Calculations[[#This Row],[Total Kg]],0)</f>
        <v>0</v>
      </c>
      <c r="K1198">
        <f>IFERROR(VLOOKUP(Calculations[[#This Row],[Material (choose from dropdown]], MaterialData[#All],3, FALSE),0)</f>
        <v>0</v>
      </c>
      <c r="L1198" s="322">
        <f>IFERROR(VLOOKUP(Calculations[[#This Row],[A5type]],A5WastageRate[#All],2,FALSE)*Calculations[[#This Row],[A1-3]],0)</f>
        <v>0</v>
      </c>
      <c r="N1198">
        <f>IFERROR(ROUNDUP(50/VLOOKUP(Calculations[[#This Row],[Scope Element]],B4referenceServiceLife[[Tier 2 element]:[Default Service Life]],2, FALSE)-1,0),0)</f>
        <v>0</v>
      </c>
      <c r="O1198" s="322">
        <f>IFERROR((Calculations[[#This Row],[A1-3]]+Calculations[[#This Row],[A4]]+Calculations[[#This Row],[A5]]+Calculations[[#This Row],[C2 total]]+Calculations[[#This Row],[C3 total]]+Calculations[[#This Row],[C4 total]])*Calculations[[#This Row],[Replacements]],0)</f>
        <v>0</v>
      </c>
      <c r="S1198" t="str">
        <f>IFERROR(VLOOKUP(Calculations[[#This Row],[Material (choose from dropdown]],MaterialData[#All],4,FALSE),"")</f>
        <v/>
      </c>
      <c r="T1198" s="322" cm="1">
        <f t="array" ref="T1198">IFERROR(VLOOKUP(Calculations[[#This Row],[Waste 1]],WasteScenario[#All],2,FALSE)*'Stage assumptions'!$C$225*WasteTransportMethod[Emissions Factor
kgCO2e/kg.km]*Calculations[[#This Row],[Total Kg]],0)</f>
        <v>0</v>
      </c>
      <c r="U1198" s="322" cm="1">
        <f t="array" ref="U1198">IFERROR(VLOOKUP(Calculations[[#This Row],[Waste 1]],WasteScenario[#All],3,FALSE)*'Stage assumptions'!$C$224*WasteTransportMethod[Emissions Factor
kgCO2e/kg.km]*Calculations[[#This Row],[Total Kg]],0)</f>
        <v>0</v>
      </c>
      <c r="V1198" s="322" cm="1">
        <f t="array" ref="V1198">IFERROR(VLOOKUP(Calculations[[#This Row],[Waste 1]],WasteScenario[#All],4,FALSE)*'Stage assumptions'!$C$223*WasteTransportMethod[Emissions Factor
kgCO2e/kg.km]*Calculations[[#This Row],[Total Kg]],0)</f>
        <v>0</v>
      </c>
      <c r="W1198" s="322" cm="1">
        <f t="array" ref="W1198">IFERROR(VLOOKUP(Calculations[[#This Row],[Waste 1]],WasteScenario[#All],5,FALSE)*'Stage assumptions'!$C$226*WasteTransportMethod[Emissions Factor
kgCO2e/kg.km]*Calculations[[#This Row],[Total Kg]],0)</f>
        <v>0</v>
      </c>
      <c r="X1198" s="322">
        <f>SUM(Calculations[[#This Row],[C2 Recycle]:[C2 Reuse]])</f>
        <v>0</v>
      </c>
      <c r="Y1198" t="str">
        <f>IFERROR(VLOOKUP(Calculations[[#This Row],[Material (choose from dropdown]],MaterialData[#All],5,FALSE),"")</f>
        <v/>
      </c>
      <c r="Z1198" s="322">
        <f>IFERROR(((VLOOKUP(Calculations[[#This Row],[Waste type 2]],WasteDisposalEmissions[#All],2,FALSE))*Calculations[[#This Row],[Total Kg]])*VLOOKUP(Calculations[[#This Row],[Waste 1]],WasteScenario[#All],2,FALSE),0)</f>
        <v>0</v>
      </c>
      <c r="AA1198" s="322">
        <f>IFERROR((VLOOKUP(Calculations[[#This Row],[Waste type 2]],WasteDisposalEmissions[#All],3,FALSE))*Calculations[[#This Row],[Total Kg]]*VLOOKUP(Calculations[[#This Row],[Waste 1]],WasteScenario[#All],3,FALSE),0)</f>
        <v>0</v>
      </c>
      <c r="AB1198" s="322">
        <f>SUM(Calculations[[#This Row],[C3 recyc]:[C3 incin]])</f>
        <v>0</v>
      </c>
      <c r="AC1198" s="334">
        <f>IFERROR((VLOOKUP(Calculations[[#This Row],[Waste type 2]],WasteLandfillEmissions[#All],2,FALSE))*Calculations[[#This Row],[Total Kg]]*VLOOKUP(Calculations[[#This Row],[Waste 1]],WasteScenario[#All],4,FALSE),0)</f>
        <v>0</v>
      </c>
      <c r="AD1198" s="322">
        <f>IFERROR((VLOOKUP(Calculations[[#This Row],[Waste type 2]],WasteLandfillEmissions[#All],3,FALSE))*Calculations[[#This Row],[Total Kg]]*VLOOKUP(Calculations[[#This Row],[Waste 1]],WasteScenario[#All],4,FALSE),0)</f>
        <v>0</v>
      </c>
      <c r="AE1198" s="322">
        <f>SUM(Calculations[[#This Row],[C4 landfill]:[C4 re-use]])</f>
        <v>0</v>
      </c>
      <c r="AF1198" s="322">
        <f>IFERROR(VLOOKUP(Calculations[[#This Row],[Material (choose from dropdown]],MaterialData[#All],8,FALSE),0)</f>
        <v>0</v>
      </c>
      <c r="AG1198" s="322">
        <f>IFERROR(Calculations[[#This Row],[Total Kg]]*Calculations[[#This Row],[Seq factor]],0)</f>
        <v>0</v>
      </c>
      <c r="AI1198" s="322">
        <f>Calculations[[#This Row],[A1-3]]+Calculations[[#This Row],[A4]]+Calculations[[#This Row],[A5]]+Calculations[[#This Row],[B4]]+Calculations[[#This Row],[C2 total]]+Calculations[[#This Row],[C3 total]]+Calculations[[#This Row],[C4 total]]</f>
        <v>0</v>
      </c>
      <c r="AJ1198" s="2">
        <f>IFERROR(VLOOKUP(Calculations[[#This Row],[Material (choose from dropdown]],MaterialData[[#Headers],[#Data]],9,FALSE),0)</f>
        <v>0</v>
      </c>
      <c r="AK1198" s="4">
        <f>IFERROR(VLOOKUP(Calculations[[#This Row],[Material (choose from dropdown]],MaterialData[[#Headers],[#Data]],10,FALSE),0)</f>
        <v>0</v>
      </c>
      <c r="AL1198" s="322">
        <f>IFERROR(Calculations[[#This Row],[Data Quality Score]]*Calculations[[#This Row],[Total Kg]],0)</f>
        <v>0</v>
      </c>
    </row>
    <row r="1199" spans="1:38" x14ac:dyDescent="0.3">
      <c r="A1199" s="6">
        <f>IFERROR(MaterialsBoQ[[#This Row],[Scope Element]],0)</f>
        <v>0</v>
      </c>
      <c r="B1199" t="str">
        <f>IFERROR(MaterialsBoQ[[#This Row],[Material ]],"")</f>
        <v/>
      </c>
      <c r="C1199" t="str">
        <f>IFERROR(MaterialsBoQ[[#This Row],[Unit]],"")</f>
        <v/>
      </c>
      <c r="D1199" s="322">
        <f>IFERROR(MaterialsBoQ[[#This Row],[Number]],0)</f>
        <v>0</v>
      </c>
      <c r="E1199" s="322">
        <f>IFERROR(MaterialsBoQ[[#This Row],[Kg per unit]],0)</f>
        <v>0</v>
      </c>
      <c r="F1199" s="322">
        <f>IFERROR(Calculations[[#This Row],[Number]]*Calculations[[#This Row],[Conversion factor]],0)</f>
        <v>0</v>
      </c>
      <c r="G1199" s="322">
        <f>IFERROR(VLOOKUP(Calculations[[#This Row],[Material (choose from dropdown]],MaterialData[#All],7,FALSE),0)</f>
        <v>0</v>
      </c>
      <c r="H1199" s="322">
        <f>Calculations[[#This Row],[Total Kg]]*Calculations[[#This Row],[Carbon Factor]]</f>
        <v>0</v>
      </c>
      <c r="I1199" t="str">
        <f>IFERROR(VLOOKUP(Calculations[[#This Row],[Material (choose from dropdown]],MaterialData[#All],2,FALSE),"")</f>
        <v/>
      </c>
      <c r="J1199" s="322">
        <f>IFERROR(((VLOOKUP(Calculations[[#This Row],[TransportSource]],TransportDistance[],2,FALSE)*'Stage assumptions'!$C$11)+VLOOKUP(Calculations[[#This Row],[TransportSource]],TransportDistance[],3,FALSE)*'Stage assumptions'!$C$12)*Calculations[[#This Row],[Total Kg]],0)</f>
        <v>0</v>
      </c>
      <c r="K1199">
        <f>IFERROR(VLOOKUP(Calculations[[#This Row],[Material (choose from dropdown]], MaterialData[#All],3, FALSE),0)</f>
        <v>0</v>
      </c>
      <c r="L1199" s="322">
        <f>IFERROR(VLOOKUP(Calculations[[#This Row],[A5type]],A5WastageRate[#All],2,FALSE)*Calculations[[#This Row],[A1-3]],0)</f>
        <v>0</v>
      </c>
      <c r="N1199">
        <f>IFERROR(ROUNDUP(50/VLOOKUP(Calculations[[#This Row],[Scope Element]],B4referenceServiceLife[[Tier 2 element]:[Default Service Life]],2, FALSE)-1,0),0)</f>
        <v>0</v>
      </c>
      <c r="O1199" s="322">
        <f>IFERROR((Calculations[[#This Row],[A1-3]]+Calculations[[#This Row],[A4]]+Calculations[[#This Row],[A5]]+Calculations[[#This Row],[C2 total]]+Calculations[[#This Row],[C3 total]]+Calculations[[#This Row],[C4 total]])*Calculations[[#This Row],[Replacements]],0)</f>
        <v>0</v>
      </c>
      <c r="S1199" t="str">
        <f>IFERROR(VLOOKUP(Calculations[[#This Row],[Material (choose from dropdown]],MaterialData[#All],4,FALSE),"")</f>
        <v/>
      </c>
      <c r="T1199" s="322" cm="1">
        <f t="array" ref="T1199">IFERROR(VLOOKUP(Calculations[[#This Row],[Waste 1]],WasteScenario[#All],2,FALSE)*'Stage assumptions'!$C$225*WasteTransportMethod[Emissions Factor
kgCO2e/kg.km]*Calculations[[#This Row],[Total Kg]],0)</f>
        <v>0</v>
      </c>
      <c r="U1199" s="322" cm="1">
        <f t="array" ref="U1199">IFERROR(VLOOKUP(Calculations[[#This Row],[Waste 1]],WasteScenario[#All],3,FALSE)*'Stage assumptions'!$C$224*WasteTransportMethod[Emissions Factor
kgCO2e/kg.km]*Calculations[[#This Row],[Total Kg]],0)</f>
        <v>0</v>
      </c>
      <c r="V1199" s="322" cm="1">
        <f t="array" ref="V1199">IFERROR(VLOOKUP(Calculations[[#This Row],[Waste 1]],WasteScenario[#All],4,FALSE)*'Stage assumptions'!$C$223*WasteTransportMethod[Emissions Factor
kgCO2e/kg.km]*Calculations[[#This Row],[Total Kg]],0)</f>
        <v>0</v>
      </c>
      <c r="W1199" s="322" cm="1">
        <f t="array" ref="W1199">IFERROR(VLOOKUP(Calculations[[#This Row],[Waste 1]],WasteScenario[#All],5,FALSE)*'Stage assumptions'!$C$226*WasteTransportMethod[Emissions Factor
kgCO2e/kg.km]*Calculations[[#This Row],[Total Kg]],0)</f>
        <v>0</v>
      </c>
      <c r="X1199" s="322">
        <f>SUM(Calculations[[#This Row],[C2 Recycle]:[C2 Reuse]])</f>
        <v>0</v>
      </c>
      <c r="Y1199" t="str">
        <f>IFERROR(VLOOKUP(Calculations[[#This Row],[Material (choose from dropdown]],MaterialData[#All],5,FALSE),"")</f>
        <v/>
      </c>
      <c r="Z1199" s="322">
        <f>IFERROR(((VLOOKUP(Calculations[[#This Row],[Waste type 2]],WasteDisposalEmissions[#All],2,FALSE))*Calculations[[#This Row],[Total Kg]])*VLOOKUP(Calculations[[#This Row],[Waste 1]],WasteScenario[#All],2,FALSE),0)</f>
        <v>0</v>
      </c>
      <c r="AA1199" s="322">
        <f>IFERROR((VLOOKUP(Calculations[[#This Row],[Waste type 2]],WasteDisposalEmissions[#All],3,FALSE))*Calculations[[#This Row],[Total Kg]]*VLOOKUP(Calculations[[#This Row],[Waste 1]],WasteScenario[#All],3,FALSE),0)</f>
        <v>0</v>
      </c>
      <c r="AB1199" s="322">
        <f>SUM(Calculations[[#This Row],[C3 recyc]:[C3 incin]])</f>
        <v>0</v>
      </c>
      <c r="AC1199" s="334">
        <f>IFERROR((VLOOKUP(Calculations[[#This Row],[Waste type 2]],WasteLandfillEmissions[#All],2,FALSE))*Calculations[[#This Row],[Total Kg]]*VLOOKUP(Calculations[[#This Row],[Waste 1]],WasteScenario[#All],4,FALSE),0)</f>
        <v>0</v>
      </c>
      <c r="AD1199" s="322">
        <f>IFERROR((VLOOKUP(Calculations[[#This Row],[Waste type 2]],WasteLandfillEmissions[#All],3,FALSE))*Calculations[[#This Row],[Total Kg]]*VLOOKUP(Calculations[[#This Row],[Waste 1]],WasteScenario[#All],4,FALSE),0)</f>
        <v>0</v>
      </c>
      <c r="AE1199" s="322">
        <f>SUM(Calculations[[#This Row],[C4 landfill]:[C4 re-use]])</f>
        <v>0</v>
      </c>
      <c r="AF1199" s="322">
        <f>IFERROR(VLOOKUP(Calculations[[#This Row],[Material (choose from dropdown]],MaterialData[#All],8,FALSE),0)</f>
        <v>0</v>
      </c>
      <c r="AG1199" s="322">
        <f>IFERROR(Calculations[[#This Row],[Total Kg]]*Calculations[[#This Row],[Seq factor]],0)</f>
        <v>0</v>
      </c>
      <c r="AI1199" s="322">
        <f>Calculations[[#This Row],[A1-3]]+Calculations[[#This Row],[A4]]+Calculations[[#This Row],[A5]]+Calculations[[#This Row],[B4]]+Calculations[[#This Row],[C2 total]]+Calculations[[#This Row],[C3 total]]+Calculations[[#This Row],[C4 total]]</f>
        <v>0</v>
      </c>
      <c r="AJ1199" s="2">
        <f>IFERROR(VLOOKUP(Calculations[[#This Row],[Material (choose from dropdown]],MaterialData[[#Headers],[#Data]],9,FALSE),0)</f>
        <v>0</v>
      </c>
      <c r="AK1199" s="4">
        <f>IFERROR(VLOOKUP(Calculations[[#This Row],[Material (choose from dropdown]],MaterialData[[#Headers],[#Data]],10,FALSE),0)</f>
        <v>0</v>
      </c>
      <c r="AL1199" s="322">
        <f>IFERROR(Calculations[[#This Row],[Data Quality Score]]*Calculations[[#This Row],[Total Kg]],0)</f>
        <v>0</v>
      </c>
    </row>
    <row r="1200" spans="1:38" x14ac:dyDescent="0.3">
      <c r="A1200" s="6">
        <f>IFERROR(MaterialsBoQ[[#This Row],[Scope Element]],0)</f>
        <v>0</v>
      </c>
      <c r="B1200" t="str">
        <f>IFERROR(MaterialsBoQ[[#This Row],[Material ]],"")</f>
        <v/>
      </c>
      <c r="C1200" t="str">
        <f>IFERROR(MaterialsBoQ[[#This Row],[Unit]],"")</f>
        <v/>
      </c>
      <c r="D1200" s="322">
        <f>IFERROR(MaterialsBoQ[[#This Row],[Number]],0)</f>
        <v>0</v>
      </c>
      <c r="E1200" s="322">
        <f>IFERROR(MaterialsBoQ[[#This Row],[Kg per unit]],0)</f>
        <v>0</v>
      </c>
      <c r="F1200" s="322">
        <f>IFERROR(Calculations[[#This Row],[Number]]*Calculations[[#This Row],[Conversion factor]],0)</f>
        <v>0</v>
      </c>
      <c r="G1200" s="322">
        <f>IFERROR(VLOOKUP(Calculations[[#This Row],[Material (choose from dropdown]],MaterialData[#All],7,FALSE),0)</f>
        <v>0</v>
      </c>
      <c r="H1200" s="322">
        <f>Calculations[[#This Row],[Total Kg]]*Calculations[[#This Row],[Carbon Factor]]</f>
        <v>0</v>
      </c>
      <c r="I1200" t="str">
        <f>IFERROR(VLOOKUP(Calculations[[#This Row],[Material (choose from dropdown]],MaterialData[#All],2,FALSE),"")</f>
        <v/>
      </c>
      <c r="J1200" s="322">
        <f>IFERROR(((VLOOKUP(Calculations[[#This Row],[TransportSource]],TransportDistance[],2,FALSE)*'Stage assumptions'!$C$11)+VLOOKUP(Calculations[[#This Row],[TransportSource]],TransportDistance[],3,FALSE)*'Stage assumptions'!$C$12)*Calculations[[#This Row],[Total Kg]],0)</f>
        <v>0</v>
      </c>
      <c r="K1200">
        <f>IFERROR(VLOOKUP(Calculations[[#This Row],[Material (choose from dropdown]], MaterialData[#All],3, FALSE),0)</f>
        <v>0</v>
      </c>
      <c r="L1200" s="322">
        <f>IFERROR(VLOOKUP(Calculations[[#This Row],[A5type]],A5WastageRate[#All],2,FALSE)*Calculations[[#This Row],[A1-3]],0)</f>
        <v>0</v>
      </c>
      <c r="N1200">
        <f>IFERROR(ROUNDUP(50/VLOOKUP(Calculations[[#This Row],[Scope Element]],B4referenceServiceLife[[Tier 2 element]:[Default Service Life]],2, FALSE)-1,0),0)</f>
        <v>0</v>
      </c>
      <c r="O1200" s="322">
        <f>IFERROR((Calculations[[#This Row],[A1-3]]+Calculations[[#This Row],[A4]]+Calculations[[#This Row],[A5]]+Calculations[[#This Row],[C2 total]]+Calculations[[#This Row],[C3 total]]+Calculations[[#This Row],[C4 total]])*Calculations[[#This Row],[Replacements]],0)</f>
        <v>0</v>
      </c>
      <c r="S1200" t="str">
        <f>IFERROR(VLOOKUP(Calculations[[#This Row],[Material (choose from dropdown]],MaterialData[#All],4,FALSE),"")</f>
        <v/>
      </c>
      <c r="T1200" s="322" cm="1">
        <f t="array" ref="T1200">IFERROR(VLOOKUP(Calculations[[#This Row],[Waste 1]],WasteScenario[#All],2,FALSE)*'Stage assumptions'!$C$225*WasteTransportMethod[Emissions Factor
kgCO2e/kg.km]*Calculations[[#This Row],[Total Kg]],0)</f>
        <v>0</v>
      </c>
      <c r="U1200" s="322" cm="1">
        <f t="array" ref="U1200">IFERROR(VLOOKUP(Calculations[[#This Row],[Waste 1]],WasteScenario[#All],3,FALSE)*'Stage assumptions'!$C$224*WasteTransportMethod[Emissions Factor
kgCO2e/kg.km]*Calculations[[#This Row],[Total Kg]],0)</f>
        <v>0</v>
      </c>
      <c r="V1200" s="322" cm="1">
        <f t="array" ref="V1200">IFERROR(VLOOKUP(Calculations[[#This Row],[Waste 1]],WasteScenario[#All],4,FALSE)*'Stage assumptions'!$C$223*WasteTransportMethod[Emissions Factor
kgCO2e/kg.km]*Calculations[[#This Row],[Total Kg]],0)</f>
        <v>0</v>
      </c>
      <c r="W1200" s="322" cm="1">
        <f t="array" ref="W1200">IFERROR(VLOOKUP(Calculations[[#This Row],[Waste 1]],WasteScenario[#All],5,FALSE)*'Stage assumptions'!$C$226*WasteTransportMethod[Emissions Factor
kgCO2e/kg.km]*Calculations[[#This Row],[Total Kg]],0)</f>
        <v>0</v>
      </c>
      <c r="X1200" s="322">
        <f>SUM(Calculations[[#This Row],[C2 Recycle]:[C2 Reuse]])</f>
        <v>0</v>
      </c>
      <c r="Y1200" t="str">
        <f>IFERROR(VLOOKUP(Calculations[[#This Row],[Material (choose from dropdown]],MaterialData[#All],5,FALSE),"")</f>
        <v/>
      </c>
      <c r="Z1200" s="322">
        <f>IFERROR(((VLOOKUP(Calculations[[#This Row],[Waste type 2]],WasteDisposalEmissions[#All],2,FALSE))*Calculations[[#This Row],[Total Kg]])*VLOOKUP(Calculations[[#This Row],[Waste 1]],WasteScenario[#All],2,FALSE),0)</f>
        <v>0</v>
      </c>
      <c r="AA1200" s="322">
        <f>IFERROR((VLOOKUP(Calculations[[#This Row],[Waste type 2]],WasteDisposalEmissions[#All],3,FALSE))*Calculations[[#This Row],[Total Kg]]*VLOOKUP(Calculations[[#This Row],[Waste 1]],WasteScenario[#All],3,FALSE),0)</f>
        <v>0</v>
      </c>
      <c r="AB1200" s="322">
        <f>SUM(Calculations[[#This Row],[C3 recyc]:[C3 incin]])</f>
        <v>0</v>
      </c>
      <c r="AC1200" s="334">
        <f>IFERROR((VLOOKUP(Calculations[[#This Row],[Waste type 2]],WasteLandfillEmissions[#All],2,FALSE))*Calculations[[#This Row],[Total Kg]]*VLOOKUP(Calculations[[#This Row],[Waste 1]],WasteScenario[#All],4,FALSE),0)</f>
        <v>0</v>
      </c>
      <c r="AD1200" s="322">
        <f>IFERROR((VLOOKUP(Calculations[[#This Row],[Waste type 2]],WasteLandfillEmissions[#All],3,FALSE))*Calculations[[#This Row],[Total Kg]]*VLOOKUP(Calculations[[#This Row],[Waste 1]],WasteScenario[#All],4,FALSE),0)</f>
        <v>0</v>
      </c>
      <c r="AE1200" s="322">
        <f>SUM(Calculations[[#This Row],[C4 landfill]:[C4 re-use]])</f>
        <v>0</v>
      </c>
      <c r="AF1200" s="322">
        <f>IFERROR(VLOOKUP(Calculations[[#This Row],[Material (choose from dropdown]],MaterialData[#All],8,FALSE),0)</f>
        <v>0</v>
      </c>
      <c r="AG1200" s="322">
        <f>IFERROR(Calculations[[#This Row],[Total Kg]]*Calculations[[#This Row],[Seq factor]],0)</f>
        <v>0</v>
      </c>
      <c r="AI1200" s="322">
        <f>Calculations[[#This Row],[A1-3]]+Calculations[[#This Row],[A4]]+Calculations[[#This Row],[A5]]+Calculations[[#This Row],[B4]]+Calculations[[#This Row],[C2 total]]+Calculations[[#This Row],[C3 total]]+Calculations[[#This Row],[C4 total]]</f>
        <v>0</v>
      </c>
      <c r="AJ1200" s="2">
        <f>IFERROR(VLOOKUP(Calculations[[#This Row],[Material (choose from dropdown]],MaterialData[[#Headers],[#Data]],9,FALSE),0)</f>
        <v>0</v>
      </c>
      <c r="AK1200" s="4">
        <f>IFERROR(VLOOKUP(Calculations[[#This Row],[Material (choose from dropdown]],MaterialData[[#Headers],[#Data]],10,FALSE),0)</f>
        <v>0</v>
      </c>
      <c r="AL1200" s="322">
        <f>IFERROR(Calculations[[#This Row],[Data Quality Score]]*Calculations[[#This Row],[Total Kg]],0)</f>
        <v>0</v>
      </c>
    </row>
    <row r="1201" spans="1:38" x14ac:dyDescent="0.3">
      <c r="A1201" s="6">
        <f>IFERROR(MaterialsBoQ[[#This Row],[Scope Element]],0)</f>
        <v>0</v>
      </c>
      <c r="B1201" t="str">
        <f>IFERROR(MaterialsBoQ[[#This Row],[Material ]],"")</f>
        <v/>
      </c>
      <c r="C1201" t="str">
        <f>IFERROR(MaterialsBoQ[[#This Row],[Unit]],"")</f>
        <v/>
      </c>
      <c r="D1201" s="322">
        <f>IFERROR(MaterialsBoQ[[#This Row],[Number]],0)</f>
        <v>0</v>
      </c>
      <c r="E1201" s="322">
        <f>IFERROR(MaterialsBoQ[[#This Row],[Kg per unit]],0)</f>
        <v>0</v>
      </c>
      <c r="F1201" s="322">
        <f>IFERROR(Calculations[[#This Row],[Number]]*Calculations[[#This Row],[Conversion factor]],0)</f>
        <v>0</v>
      </c>
      <c r="G1201" s="322">
        <f>IFERROR(VLOOKUP(Calculations[[#This Row],[Material (choose from dropdown]],MaterialData[#All],7,FALSE),0)</f>
        <v>0</v>
      </c>
      <c r="H1201" s="322">
        <f>Calculations[[#This Row],[Total Kg]]*Calculations[[#This Row],[Carbon Factor]]</f>
        <v>0</v>
      </c>
      <c r="I1201" t="str">
        <f>IFERROR(VLOOKUP(Calculations[[#This Row],[Material (choose from dropdown]],MaterialData[#All],2,FALSE),"")</f>
        <v/>
      </c>
      <c r="J1201" s="322">
        <f>IFERROR(((VLOOKUP(Calculations[[#This Row],[TransportSource]],TransportDistance[],2,FALSE)*'Stage assumptions'!$C$11)+VLOOKUP(Calculations[[#This Row],[TransportSource]],TransportDistance[],3,FALSE)*'Stage assumptions'!$C$12)*Calculations[[#This Row],[Total Kg]],0)</f>
        <v>0</v>
      </c>
      <c r="K1201">
        <f>IFERROR(VLOOKUP(Calculations[[#This Row],[Material (choose from dropdown]], MaterialData[#All],3, FALSE),0)</f>
        <v>0</v>
      </c>
      <c r="L1201" s="322">
        <f>IFERROR(VLOOKUP(Calculations[[#This Row],[A5type]],A5WastageRate[#All],2,FALSE)*Calculations[[#This Row],[A1-3]],0)</f>
        <v>0</v>
      </c>
      <c r="N1201">
        <f>IFERROR(ROUNDUP(50/VLOOKUP(Calculations[[#This Row],[Scope Element]],B4referenceServiceLife[[Tier 2 element]:[Default Service Life]],2, FALSE)-1,0),0)</f>
        <v>0</v>
      </c>
      <c r="O1201" s="322">
        <f>IFERROR((Calculations[[#This Row],[A1-3]]+Calculations[[#This Row],[A4]]+Calculations[[#This Row],[A5]]+Calculations[[#This Row],[C2 total]]+Calculations[[#This Row],[C3 total]]+Calculations[[#This Row],[C4 total]])*Calculations[[#This Row],[Replacements]],0)</f>
        <v>0</v>
      </c>
      <c r="S1201" t="str">
        <f>IFERROR(VLOOKUP(Calculations[[#This Row],[Material (choose from dropdown]],MaterialData[#All],4,FALSE),"")</f>
        <v/>
      </c>
      <c r="T1201" s="322" cm="1">
        <f t="array" ref="T1201">IFERROR(VLOOKUP(Calculations[[#This Row],[Waste 1]],WasteScenario[#All],2,FALSE)*'Stage assumptions'!$C$225*WasteTransportMethod[Emissions Factor
kgCO2e/kg.km]*Calculations[[#This Row],[Total Kg]],0)</f>
        <v>0</v>
      </c>
      <c r="U1201" s="322" cm="1">
        <f t="array" ref="U1201">IFERROR(VLOOKUP(Calculations[[#This Row],[Waste 1]],WasteScenario[#All],3,FALSE)*'Stage assumptions'!$C$224*WasteTransportMethod[Emissions Factor
kgCO2e/kg.km]*Calculations[[#This Row],[Total Kg]],0)</f>
        <v>0</v>
      </c>
      <c r="V1201" s="322" cm="1">
        <f t="array" ref="V1201">IFERROR(VLOOKUP(Calculations[[#This Row],[Waste 1]],WasteScenario[#All],4,FALSE)*'Stage assumptions'!$C$223*WasteTransportMethod[Emissions Factor
kgCO2e/kg.km]*Calculations[[#This Row],[Total Kg]],0)</f>
        <v>0</v>
      </c>
      <c r="W1201" s="322" cm="1">
        <f t="array" ref="W1201">IFERROR(VLOOKUP(Calculations[[#This Row],[Waste 1]],WasteScenario[#All],5,FALSE)*'Stage assumptions'!$C$226*WasteTransportMethod[Emissions Factor
kgCO2e/kg.km]*Calculations[[#This Row],[Total Kg]],0)</f>
        <v>0</v>
      </c>
      <c r="X1201" s="322">
        <f>SUM(Calculations[[#This Row],[C2 Recycle]:[C2 Reuse]])</f>
        <v>0</v>
      </c>
      <c r="Y1201" t="str">
        <f>IFERROR(VLOOKUP(Calculations[[#This Row],[Material (choose from dropdown]],MaterialData[#All],5,FALSE),"")</f>
        <v/>
      </c>
      <c r="Z1201" s="322">
        <f>IFERROR(((VLOOKUP(Calculations[[#This Row],[Waste type 2]],WasteDisposalEmissions[#All],2,FALSE))*Calculations[[#This Row],[Total Kg]])*VLOOKUP(Calculations[[#This Row],[Waste 1]],WasteScenario[#All],2,FALSE),0)</f>
        <v>0</v>
      </c>
      <c r="AA1201" s="322">
        <f>IFERROR((VLOOKUP(Calculations[[#This Row],[Waste type 2]],WasteDisposalEmissions[#All],3,FALSE))*Calculations[[#This Row],[Total Kg]]*VLOOKUP(Calculations[[#This Row],[Waste 1]],WasteScenario[#All],3,FALSE),0)</f>
        <v>0</v>
      </c>
      <c r="AB1201" s="322">
        <f>SUM(Calculations[[#This Row],[C3 recyc]:[C3 incin]])</f>
        <v>0</v>
      </c>
      <c r="AC1201" s="334">
        <f>IFERROR((VLOOKUP(Calculations[[#This Row],[Waste type 2]],WasteLandfillEmissions[#All],2,FALSE))*Calculations[[#This Row],[Total Kg]]*VLOOKUP(Calculations[[#This Row],[Waste 1]],WasteScenario[#All],4,FALSE),0)</f>
        <v>0</v>
      </c>
      <c r="AD1201" s="322">
        <f>IFERROR((VLOOKUP(Calculations[[#This Row],[Waste type 2]],WasteLandfillEmissions[#All],3,FALSE))*Calculations[[#This Row],[Total Kg]]*VLOOKUP(Calculations[[#This Row],[Waste 1]],WasteScenario[#All],4,FALSE),0)</f>
        <v>0</v>
      </c>
      <c r="AE1201" s="322">
        <f>SUM(Calculations[[#This Row],[C4 landfill]:[C4 re-use]])</f>
        <v>0</v>
      </c>
      <c r="AF1201" s="322">
        <f>IFERROR(VLOOKUP(Calculations[[#This Row],[Material (choose from dropdown]],MaterialData[#All],8,FALSE),0)</f>
        <v>0</v>
      </c>
      <c r="AG1201" s="322">
        <f>IFERROR(Calculations[[#This Row],[Total Kg]]*Calculations[[#This Row],[Seq factor]],0)</f>
        <v>0</v>
      </c>
      <c r="AI1201" s="322">
        <f>Calculations[[#This Row],[A1-3]]+Calculations[[#This Row],[A4]]+Calculations[[#This Row],[A5]]+Calculations[[#This Row],[B4]]+Calculations[[#This Row],[C2 total]]+Calculations[[#This Row],[C3 total]]+Calculations[[#This Row],[C4 total]]</f>
        <v>0</v>
      </c>
      <c r="AJ1201" s="2">
        <f>IFERROR(VLOOKUP(Calculations[[#This Row],[Material (choose from dropdown]],MaterialData[[#Headers],[#Data]],9,FALSE),0)</f>
        <v>0</v>
      </c>
      <c r="AK1201" s="4">
        <f>IFERROR(VLOOKUP(Calculations[[#This Row],[Material (choose from dropdown]],MaterialData[[#Headers],[#Data]],10,FALSE),0)</f>
        <v>0</v>
      </c>
      <c r="AL1201" s="322">
        <f>IFERROR(Calculations[[#This Row],[Data Quality Score]]*Calculations[[#This Row],[Total Kg]],0)</f>
        <v>0</v>
      </c>
    </row>
    <row r="1202" spans="1:38" x14ac:dyDescent="0.3">
      <c r="A1202" s="6">
        <f>IFERROR(MaterialsBoQ[[#This Row],[Scope Element]],0)</f>
        <v>0</v>
      </c>
      <c r="B1202" t="str">
        <f>IFERROR(MaterialsBoQ[[#This Row],[Material ]],"")</f>
        <v/>
      </c>
      <c r="C1202" t="str">
        <f>IFERROR(MaterialsBoQ[[#This Row],[Unit]],"")</f>
        <v/>
      </c>
      <c r="D1202" s="322">
        <f>IFERROR(MaterialsBoQ[[#This Row],[Number]],0)</f>
        <v>0</v>
      </c>
      <c r="E1202" s="322">
        <f>IFERROR(MaterialsBoQ[[#This Row],[Kg per unit]],0)</f>
        <v>0</v>
      </c>
      <c r="F1202" s="322">
        <f>IFERROR(Calculations[[#This Row],[Number]]*Calculations[[#This Row],[Conversion factor]],0)</f>
        <v>0</v>
      </c>
      <c r="G1202" s="322">
        <f>IFERROR(VLOOKUP(Calculations[[#This Row],[Material (choose from dropdown]],MaterialData[#All],7,FALSE),0)</f>
        <v>0</v>
      </c>
      <c r="H1202" s="322">
        <f>Calculations[[#This Row],[Total Kg]]*Calculations[[#This Row],[Carbon Factor]]</f>
        <v>0</v>
      </c>
      <c r="I1202" t="str">
        <f>IFERROR(VLOOKUP(Calculations[[#This Row],[Material (choose from dropdown]],MaterialData[#All],2,FALSE),"")</f>
        <v/>
      </c>
      <c r="J1202" s="322">
        <f>IFERROR(((VLOOKUP(Calculations[[#This Row],[TransportSource]],TransportDistance[],2,FALSE)*'Stage assumptions'!$C$11)+VLOOKUP(Calculations[[#This Row],[TransportSource]],TransportDistance[],3,FALSE)*'Stage assumptions'!$C$12)*Calculations[[#This Row],[Total Kg]],0)</f>
        <v>0</v>
      </c>
      <c r="K1202">
        <f>IFERROR(VLOOKUP(Calculations[[#This Row],[Material (choose from dropdown]], MaterialData[#All],3, FALSE),0)</f>
        <v>0</v>
      </c>
      <c r="L1202" s="322">
        <f>IFERROR(VLOOKUP(Calculations[[#This Row],[A5type]],A5WastageRate[#All],2,FALSE)*Calculations[[#This Row],[A1-3]],0)</f>
        <v>0</v>
      </c>
      <c r="N1202">
        <f>IFERROR(ROUNDUP(50/VLOOKUP(Calculations[[#This Row],[Scope Element]],B4referenceServiceLife[[Tier 2 element]:[Default Service Life]],2, FALSE)-1,0),0)</f>
        <v>0</v>
      </c>
      <c r="O1202" s="322">
        <f>IFERROR((Calculations[[#This Row],[A1-3]]+Calculations[[#This Row],[A4]]+Calculations[[#This Row],[A5]]+Calculations[[#This Row],[C2 total]]+Calculations[[#This Row],[C3 total]]+Calculations[[#This Row],[C4 total]])*Calculations[[#This Row],[Replacements]],0)</f>
        <v>0</v>
      </c>
      <c r="S1202" t="str">
        <f>IFERROR(VLOOKUP(Calculations[[#This Row],[Material (choose from dropdown]],MaterialData[#All],4,FALSE),"")</f>
        <v/>
      </c>
      <c r="T1202" s="322" cm="1">
        <f t="array" ref="T1202">IFERROR(VLOOKUP(Calculations[[#This Row],[Waste 1]],WasteScenario[#All],2,FALSE)*'Stage assumptions'!$C$225*WasteTransportMethod[Emissions Factor
kgCO2e/kg.km]*Calculations[[#This Row],[Total Kg]],0)</f>
        <v>0</v>
      </c>
      <c r="U1202" s="322" cm="1">
        <f t="array" ref="U1202">IFERROR(VLOOKUP(Calculations[[#This Row],[Waste 1]],WasteScenario[#All],3,FALSE)*'Stage assumptions'!$C$224*WasteTransportMethod[Emissions Factor
kgCO2e/kg.km]*Calculations[[#This Row],[Total Kg]],0)</f>
        <v>0</v>
      </c>
      <c r="V1202" s="322" cm="1">
        <f t="array" ref="V1202">IFERROR(VLOOKUP(Calculations[[#This Row],[Waste 1]],WasteScenario[#All],4,FALSE)*'Stage assumptions'!$C$223*WasteTransportMethod[Emissions Factor
kgCO2e/kg.km]*Calculations[[#This Row],[Total Kg]],0)</f>
        <v>0</v>
      </c>
      <c r="W1202" s="322" cm="1">
        <f t="array" ref="W1202">IFERROR(VLOOKUP(Calculations[[#This Row],[Waste 1]],WasteScenario[#All],5,FALSE)*'Stage assumptions'!$C$226*WasteTransportMethod[Emissions Factor
kgCO2e/kg.km]*Calculations[[#This Row],[Total Kg]],0)</f>
        <v>0</v>
      </c>
      <c r="X1202" s="322">
        <f>SUM(Calculations[[#This Row],[C2 Recycle]:[C2 Reuse]])</f>
        <v>0</v>
      </c>
      <c r="Y1202" t="str">
        <f>IFERROR(VLOOKUP(Calculations[[#This Row],[Material (choose from dropdown]],MaterialData[#All],5,FALSE),"")</f>
        <v/>
      </c>
      <c r="Z1202" s="322">
        <f>IFERROR(((VLOOKUP(Calculations[[#This Row],[Waste type 2]],WasteDisposalEmissions[#All],2,FALSE))*Calculations[[#This Row],[Total Kg]])*VLOOKUP(Calculations[[#This Row],[Waste 1]],WasteScenario[#All],2,FALSE),0)</f>
        <v>0</v>
      </c>
      <c r="AA1202" s="322">
        <f>IFERROR((VLOOKUP(Calculations[[#This Row],[Waste type 2]],WasteDisposalEmissions[#All],3,FALSE))*Calculations[[#This Row],[Total Kg]]*VLOOKUP(Calculations[[#This Row],[Waste 1]],WasteScenario[#All],3,FALSE),0)</f>
        <v>0</v>
      </c>
      <c r="AB1202" s="322">
        <f>SUM(Calculations[[#This Row],[C3 recyc]:[C3 incin]])</f>
        <v>0</v>
      </c>
      <c r="AC1202" s="334">
        <f>IFERROR((VLOOKUP(Calculations[[#This Row],[Waste type 2]],WasteLandfillEmissions[#All],2,FALSE))*Calculations[[#This Row],[Total Kg]]*VLOOKUP(Calculations[[#This Row],[Waste 1]],WasteScenario[#All],4,FALSE),0)</f>
        <v>0</v>
      </c>
      <c r="AD1202" s="322">
        <f>IFERROR((VLOOKUP(Calculations[[#This Row],[Waste type 2]],WasteLandfillEmissions[#All],3,FALSE))*Calculations[[#This Row],[Total Kg]]*VLOOKUP(Calculations[[#This Row],[Waste 1]],WasteScenario[#All],4,FALSE),0)</f>
        <v>0</v>
      </c>
      <c r="AE1202" s="322">
        <f>SUM(Calculations[[#This Row],[C4 landfill]:[C4 re-use]])</f>
        <v>0</v>
      </c>
      <c r="AF1202" s="322">
        <f>IFERROR(VLOOKUP(Calculations[[#This Row],[Material (choose from dropdown]],MaterialData[#All],8,FALSE),0)</f>
        <v>0</v>
      </c>
      <c r="AG1202" s="322">
        <f>IFERROR(Calculations[[#This Row],[Total Kg]]*Calculations[[#This Row],[Seq factor]],0)</f>
        <v>0</v>
      </c>
      <c r="AI1202" s="322">
        <f>Calculations[[#This Row],[A1-3]]+Calculations[[#This Row],[A4]]+Calculations[[#This Row],[A5]]+Calculations[[#This Row],[B4]]+Calculations[[#This Row],[C2 total]]+Calculations[[#This Row],[C3 total]]+Calculations[[#This Row],[C4 total]]</f>
        <v>0</v>
      </c>
      <c r="AJ1202" s="2">
        <f>IFERROR(VLOOKUP(Calculations[[#This Row],[Material (choose from dropdown]],MaterialData[[#Headers],[#Data]],9,FALSE),0)</f>
        <v>0</v>
      </c>
      <c r="AK1202" s="4">
        <f>IFERROR(VLOOKUP(Calculations[[#This Row],[Material (choose from dropdown]],MaterialData[[#Headers],[#Data]],10,FALSE),0)</f>
        <v>0</v>
      </c>
      <c r="AL1202" s="322">
        <f>IFERROR(Calculations[[#This Row],[Data Quality Score]]*Calculations[[#This Row],[Total Kg]],0)</f>
        <v>0</v>
      </c>
    </row>
    <row r="1203" spans="1:38" x14ac:dyDescent="0.3">
      <c r="A1203" s="6">
        <f>IFERROR(MaterialsBoQ[[#This Row],[Scope Element]],0)</f>
        <v>0</v>
      </c>
      <c r="B1203" t="str">
        <f>IFERROR(MaterialsBoQ[[#This Row],[Material ]],"")</f>
        <v/>
      </c>
      <c r="C1203" t="str">
        <f>IFERROR(MaterialsBoQ[[#This Row],[Unit]],"")</f>
        <v/>
      </c>
      <c r="D1203" s="322">
        <f>IFERROR(MaterialsBoQ[[#This Row],[Number]],0)</f>
        <v>0</v>
      </c>
      <c r="E1203" s="322">
        <f>IFERROR(MaterialsBoQ[[#This Row],[Kg per unit]],0)</f>
        <v>0</v>
      </c>
      <c r="F1203" s="322">
        <f>IFERROR(Calculations[[#This Row],[Number]]*Calculations[[#This Row],[Conversion factor]],0)</f>
        <v>0</v>
      </c>
      <c r="G1203" s="322">
        <f>IFERROR(VLOOKUP(Calculations[[#This Row],[Material (choose from dropdown]],MaterialData[#All],7,FALSE),0)</f>
        <v>0</v>
      </c>
      <c r="H1203" s="322">
        <f>Calculations[[#This Row],[Total Kg]]*Calculations[[#This Row],[Carbon Factor]]</f>
        <v>0</v>
      </c>
      <c r="I1203" t="str">
        <f>IFERROR(VLOOKUP(Calculations[[#This Row],[Material (choose from dropdown]],MaterialData[#All],2,FALSE),"")</f>
        <v/>
      </c>
      <c r="J1203" s="322">
        <f>IFERROR(((VLOOKUP(Calculations[[#This Row],[TransportSource]],TransportDistance[],2,FALSE)*'Stage assumptions'!$C$11)+VLOOKUP(Calculations[[#This Row],[TransportSource]],TransportDistance[],3,FALSE)*'Stage assumptions'!$C$12)*Calculations[[#This Row],[Total Kg]],0)</f>
        <v>0</v>
      </c>
      <c r="K1203">
        <f>IFERROR(VLOOKUP(Calculations[[#This Row],[Material (choose from dropdown]], MaterialData[#All],3, FALSE),0)</f>
        <v>0</v>
      </c>
      <c r="L1203" s="322">
        <f>IFERROR(VLOOKUP(Calculations[[#This Row],[A5type]],A5WastageRate[#All],2,FALSE)*Calculations[[#This Row],[A1-3]],0)</f>
        <v>0</v>
      </c>
      <c r="N1203">
        <f>IFERROR(ROUNDUP(50/VLOOKUP(Calculations[[#This Row],[Scope Element]],B4referenceServiceLife[[Tier 2 element]:[Default Service Life]],2, FALSE)-1,0),0)</f>
        <v>0</v>
      </c>
      <c r="O1203" s="322">
        <f>IFERROR((Calculations[[#This Row],[A1-3]]+Calculations[[#This Row],[A4]]+Calculations[[#This Row],[A5]]+Calculations[[#This Row],[C2 total]]+Calculations[[#This Row],[C3 total]]+Calculations[[#This Row],[C4 total]])*Calculations[[#This Row],[Replacements]],0)</f>
        <v>0</v>
      </c>
      <c r="S1203" t="str">
        <f>IFERROR(VLOOKUP(Calculations[[#This Row],[Material (choose from dropdown]],MaterialData[#All],4,FALSE),"")</f>
        <v/>
      </c>
      <c r="T1203" s="322" cm="1">
        <f t="array" ref="T1203">IFERROR(VLOOKUP(Calculations[[#This Row],[Waste 1]],WasteScenario[#All],2,FALSE)*'Stage assumptions'!$C$225*WasteTransportMethod[Emissions Factor
kgCO2e/kg.km]*Calculations[[#This Row],[Total Kg]],0)</f>
        <v>0</v>
      </c>
      <c r="U1203" s="322" cm="1">
        <f t="array" ref="U1203">IFERROR(VLOOKUP(Calculations[[#This Row],[Waste 1]],WasteScenario[#All],3,FALSE)*'Stage assumptions'!$C$224*WasteTransportMethod[Emissions Factor
kgCO2e/kg.km]*Calculations[[#This Row],[Total Kg]],0)</f>
        <v>0</v>
      </c>
      <c r="V1203" s="322" cm="1">
        <f t="array" ref="V1203">IFERROR(VLOOKUP(Calculations[[#This Row],[Waste 1]],WasteScenario[#All],4,FALSE)*'Stage assumptions'!$C$223*WasteTransportMethod[Emissions Factor
kgCO2e/kg.km]*Calculations[[#This Row],[Total Kg]],0)</f>
        <v>0</v>
      </c>
      <c r="W1203" s="322" cm="1">
        <f t="array" ref="W1203">IFERROR(VLOOKUP(Calculations[[#This Row],[Waste 1]],WasteScenario[#All],5,FALSE)*'Stage assumptions'!$C$226*WasteTransportMethod[Emissions Factor
kgCO2e/kg.km]*Calculations[[#This Row],[Total Kg]],0)</f>
        <v>0</v>
      </c>
      <c r="X1203" s="322">
        <f>SUM(Calculations[[#This Row],[C2 Recycle]:[C2 Reuse]])</f>
        <v>0</v>
      </c>
      <c r="Y1203" t="str">
        <f>IFERROR(VLOOKUP(Calculations[[#This Row],[Material (choose from dropdown]],MaterialData[#All],5,FALSE),"")</f>
        <v/>
      </c>
      <c r="Z1203" s="322">
        <f>IFERROR(((VLOOKUP(Calculations[[#This Row],[Waste type 2]],WasteDisposalEmissions[#All],2,FALSE))*Calculations[[#This Row],[Total Kg]])*VLOOKUP(Calculations[[#This Row],[Waste 1]],WasteScenario[#All],2,FALSE),0)</f>
        <v>0</v>
      </c>
      <c r="AA1203" s="322">
        <f>IFERROR((VLOOKUP(Calculations[[#This Row],[Waste type 2]],WasteDisposalEmissions[#All],3,FALSE))*Calculations[[#This Row],[Total Kg]]*VLOOKUP(Calculations[[#This Row],[Waste 1]],WasteScenario[#All],3,FALSE),0)</f>
        <v>0</v>
      </c>
      <c r="AB1203" s="322">
        <f>SUM(Calculations[[#This Row],[C3 recyc]:[C3 incin]])</f>
        <v>0</v>
      </c>
      <c r="AC1203" s="334">
        <f>IFERROR((VLOOKUP(Calculations[[#This Row],[Waste type 2]],WasteLandfillEmissions[#All],2,FALSE))*Calculations[[#This Row],[Total Kg]]*VLOOKUP(Calculations[[#This Row],[Waste 1]],WasteScenario[#All],4,FALSE),0)</f>
        <v>0</v>
      </c>
      <c r="AD1203" s="322">
        <f>IFERROR((VLOOKUP(Calculations[[#This Row],[Waste type 2]],WasteLandfillEmissions[#All],3,FALSE))*Calculations[[#This Row],[Total Kg]]*VLOOKUP(Calculations[[#This Row],[Waste 1]],WasteScenario[#All],4,FALSE),0)</f>
        <v>0</v>
      </c>
      <c r="AE1203" s="322">
        <f>SUM(Calculations[[#This Row],[C4 landfill]:[C4 re-use]])</f>
        <v>0</v>
      </c>
      <c r="AF1203" s="322">
        <f>IFERROR(VLOOKUP(Calculations[[#This Row],[Material (choose from dropdown]],MaterialData[#All],8,FALSE),0)</f>
        <v>0</v>
      </c>
      <c r="AG1203" s="322">
        <f>IFERROR(Calculations[[#This Row],[Total Kg]]*Calculations[[#This Row],[Seq factor]],0)</f>
        <v>0</v>
      </c>
      <c r="AI1203" s="322">
        <f>Calculations[[#This Row],[A1-3]]+Calculations[[#This Row],[A4]]+Calculations[[#This Row],[A5]]+Calculations[[#This Row],[B4]]+Calculations[[#This Row],[C2 total]]+Calculations[[#This Row],[C3 total]]+Calculations[[#This Row],[C4 total]]</f>
        <v>0</v>
      </c>
      <c r="AJ1203" s="2">
        <f>IFERROR(VLOOKUP(Calculations[[#This Row],[Material (choose from dropdown]],MaterialData[[#Headers],[#Data]],9,FALSE),0)</f>
        <v>0</v>
      </c>
      <c r="AK1203" s="4">
        <f>IFERROR(VLOOKUP(Calculations[[#This Row],[Material (choose from dropdown]],MaterialData[[#Headers],[#Data]],10,FALSE),0)</f>
        <v>0</v>
      </c>
      <c r="AL1203" s="322">
        <f>IFERROR(Calculations[[#This Row],[Data Quality Score]]*Calculations[[#This Row],[Total Kg]],0)</f>
        <v>0</v>
      </c>
    </row>
    <row r="1204" spans="1:38" x14ac:dyDescent="0.3">
      <c r="A1204" s="6">
        <f>IFERROR(MaterialsBoQ[[#This Row],[Scope Element]],0)</f>
        <v>0</v>
      </c>
      <c r="B1204" t="str">
        <f>IFERROR(MaterialsBoQ[[#This Row],[Material ]],"")</f>
        <v/>
      </c>
      <c r="C1204" t="str">
        <f>IFERROR(MaterialsBoQ[[#This Row],[Unit]],"")</f>
        <v/>
      </c>
      <c r="D1204" s="322">
        <f>IFERROR(MaterialsBoQ[[#This Row],[Number]],0)</f>
        <v>0</v>
      </c>
      <c r="E1204" s="322">
        <f>IFERROR(MaterialsBoQ[[#This Row],[Kg per unit]],0)</f>
        <v>0</v>
      </c>
      <c r="F1204" s="322">
        <f>IFERROR(Calculations[[#This Row],[Number]]*Calculations[[#This Row],[Conversion factor]],0)</f>
        <v>0</v>
      </c>
      <c r="G1204" s="322">
        <f>IFERROR(VLOOKUP(Calculations[[#This Row],[Material (choose from dropdown]],MaterialData[#All],7,FALSE),0)</f>
        <v>0</v>
      </c>
      <c r="H1204" s="322">
        <f>Calculations[[#This Row],[Total Kg]]*Calculations[[#This Row],[Carbon Factor]]</f>
        <v>0</v>
      </c>
      <c r="I1204" t="str">
        <f>IFERROR(VLOOKUP(Calculations[[#This Row],[Material (choose from dropdown]],MaterialData[#All],2,FALSE),"")</f>
        <v/>
      </c>
      <c r="J1204" s="322">
        <f>IFERROR(((VLOOKUP(Calculations[[#This Row],[TransportSource]],TransportDistance[],2,FALSE)*'Stage assumptions'!$C$11)+VLOOKUP(Calculations[[#This Row],[TransportSource]],TransportDistance[],3,FALSE)*'Stage assumptions'!$C$12)*Calculations[[#This Row],[Total Kg]],0)</f>
        <v>0</v>
      </c>
      <c r="K1204">
        <f>IFERROR(VLOOKUP(Calculations[[#This Row],[Material (choose from dropdown]], MaterialData[#All],3, FALSE),0)</f>
        <v>0</v>
      </c>
      <c r="L1204" s="322">
        <f>IFERROR(VLOOKUP(Calculations[[#This Row],[A5type]],A5WastageRate[#All],2,FALSE)*Calculations[[#This Row],[A1-3]],0)</f>
        <v>0</v>
      </c>
      <c r="N1204">
        <f>IFERROR(ROUNDUP(50/VLOOKUP(Calculations[[#This Row],[Scope Element]],B4referenceServiceLife[[Tier 2 element]:[Default Service Life]],2, FALSE)-1,0),0)</f>
        <v>0</v>
      </c>
      <c r="O1204" s="322">
        <f>IFERROR((Calculations[[#This Row],[A1-3]]+Calculations[[#This Row],[A4]]+Calculations[[#This Row],[A5]]+Calculations[[#This Row],[C2 total]]+Calculations[[#This Row],[C3 total]]+Calculations[[#This Row],[C4 total]])*Calculations[[#This Row],[Replacements]],0)</f>
        <v>0</v>
      </c>
      <c r="S1204" t="str">
        <f>IFERROR(VLOOKUP(Calculations[[#This Row],[Material (choose from dropdown]],MaterialData[#All],4,FALSE),"")</f>
        <v/>
      </c>
      <c r="T1204" s="322" cm="1">
        <f t="array" ref="T1204">IFERROR(VLOOKUP(Calculations[[#This Row],[Waste 1]],WasteScenario[#All],2,FALSE)*'Stage assumptions'!$C$225*WasteTransportMethod[Emissions Factor
kgCO2e/kg.km]*Calculations[[#This Row],[Total Kg]],0)</f>
        <v>0</v>
      </c>
      <c r="U1204" s="322" cm="1">
        <f t="array" ref="U1204">IFERROR(VLOOKUP(Calculations[[#This Row],[Waste 1]],WasteScenario[#All],3,FALSE)*'Stage assumptions'!$C$224*WasteTransportMethod[Emissions Factor
kgCO2e/kg.km]*Calculations[[#This Row],[Total Kg]],0)</f>
        <v>0</v>
      </c>
      <c r="V1204" s="322" cm="1">
        <f t="array" ref="V1204">IFERROR(VLOOKUP(Calculations[[#This Row],[Waste 1]],WasteScenario[#All],4,FALSE)*'Stage assumptions'!$C$223*WasteTransportMethod[Emissions Factor
kgCO2e/kg.km]*Calculations[[#This Row],[Total Kg]],0)</f>
        <v>0</v>
      </c>
      <c r="W1204" s="322" cm="1">
        <f t="array" ref="W1204">IFERROR(VLOOKUP(Calculations[[#This Row],[Waste 1]],WasteScenario[#All],5,FALSE)*'Stage assumptions'!$C$226*WasteTransportMethod[Emissions Factor
kgCO2e/kg.km]*Calculations[[#This Row],[Total Kg]],0)</f>
        <v>0</v>
      </c>
      <c r="X1204" s="322">
        <f>SUM(Calculations[[#This Row],[C2 Recycle]:[C2 Reuse]])</f>
        <v>0</v>
      </c>
      <c r="Y1204" t="str">
        <f>IFERROR(VLOOKUP(Calculations[[#This Row],[Material (choose from dropdown]],MaterialData[#All],5,FALSE),"")</f>
        <v/>
      </c>
      <c r="Z1204" s="322">
        <f>IFERROR(((VLOOKUP(Calculations[[#This Row],[Waste type 2]],WasteDisposalEmissions[#All],2,FALSE))*Calculations[[#This Row],[Total Kg]])*VLOOKUP(Calculations[[#This Row],[Waste 1]],WasteScenario[#All],2,FALSE),0)</f>
        <v>0</v>
      </c>
      <c r="AA1204" s="322">
        <f>IFERROR((VLOOKUP(Calculations[[#This Row],[Waste type 2]],WasteDisposalEmissions[#All],3,FALSE))*Calculations[[#This Row],[Total Kg]]*VLOOKUP(Calculations[[#This Row],[Waste 1]],WasteScenario[#All],3,FALSE),0)</f>
        <v>0</v>
      </c>
      <c r="AB1204" s="322">
        <f>SUM(Calculations[[#This Row],[C3 recyc]:[C3 incin]])</f>
        <v>0</v>
      </c>
      <c r="AC1204" s="334">
        <f>IFERROR((VLOOKUP(Calculations[[#This Row],[Waste type 2]],WasteLandfillEmissions[#All],2,FALSE))*Calculations[[#This Row],[Total Kg]]*VLOOKUP(Calculations[[#This Row],[Waste 1]],WasteScenario[#All],4,FALSE),0)</f>
        <v>0</v>
      </c>
      <c r="AD1204" s="322">
        <f>IFERROR((VLOOKUP(Calculations[[#This Row],[Waste type 2]],WasteLandfillEmissions[#All],3,FALSE))*Calculations[[#This Row],[Total Kg]]*VLOOKUP(Calculations[[#This Row],[Waste 1]],WasteScenario[#All],4,FALSE),0)</f>
        <v>0</v>
      </c>
      <c r="AE1204" s="322">
        <f>SUM(Calculations[[#This Row],[C4 landfill]:[C4 re-use]])</f>
        <v>0</v>
      </c>
      <c r="AF1204" s="322">
        <f>IFERROR(VLOOKUP(Calculations[[#This Row],[Material (choose from dropdown]],MaterialData[#All],8,FALSE),0)</f>
        <v>0</v>
      </c>
      <c r="AG1204" s="322">
        <f>IFERROR(Calculations[[#This Row],[Total Kg]]*Calculations[[#This Row],[Seq factor]],0)</f>
        <v>0</v>
      </c>
      <c r="AI1204" s="322">
        <f>Calculations[[#This Row],[A1-3]]+Calculations[[#This Row],[A4]]+Calculations[[#This Row],[A5]]+Calculations[[#This Row],[B4]]+Calculations[[#This Row],[C2 total]]+Calculations[[#This Row],[C3 total]]+Calculations[[#This Row],[C4 total]]</f>
        <v>0</v>
      </c>
      <c r="AJ1204" s="2">
        <f>IFERROR(VLOOKUP(Calculations[[#This Row],[Material (choose from dropdown]],MaterialData[[#Headers],[#Data]],9,FALSE),0)</f>
        <v>0</v>
      </c>
      <c r="AK1204" s="4">
        <f>IFERROR(VLOOKUP(Calculations[[#This Row],[Material (choose from dropdown]],MaterialData[[#Headers],[#Data]],10,FALSE),0)</f>
        <v>0</v>
      </c>
      <c r="AL1204" s="322">
        <f>IFERROR(Calculations[[#This Row],[Data Quality Score]]*Calculations[[#This Row],[Total Kg]],0)</f>
        <v>0</v>
      </c>
    </row>
    <row r="1205" spans="1:38" x14ac:dyDescent="0.3">
      <c r="A1205" s="6">
        <f>IFERROR(MaterialsBoQ[[#This Row],[Scope Element]],0)</f>
        <v>0</v>
      </c>
      <c r="B1205" t="str">
        <f>IFERROR(MaterialsBoQ[[#This Row],[Material ]],"")</f>
        <v/>
      </c>
      <c r="C1205" t="str">
        <f>IFERROR(MaterialsBoQ[[#This Row],[Unit]],"")</f>
        <v/>
      </c>
      <c r="D1205" s="322">
        <f>IFERROR(MaterialsBoQ[[#This Row],[Number]],0)</f>
        <v>0</v>
      </c>
      <c r="E1205" s="322">
        <f>IFERROR(MaterialsBoQ[[#This Row],[Kg per unit]],0)</f>
        <v>0</v>
      </c>
      <c r="F1205" s="322">
        <f>IFERROR(Calculations[[#This Row],[Number]]*Calculations[[#This Row],[Conversion factor]],0)</f>
        <v>0</v>
      </c>
      <c r="G1205" s="322">
        <f>IFERROR(VLOOKUP(Calculations[[#This Row],[Material (choose from dropdown]],MaterialData[#All],7,FALSE),0)</f>
        <v>0</v>
      </c>
      <c r="H1205" s="322">
        <f>Calculations[[#This Row],[Total Kg]]*Calculations[[#This Row],[Carbon Factor]]</f>
        <v>0</v>
      </c>
      <c r="I1205" t="str">
        <f>IFERROR(VLOOKUP(Calculations[[#This Row],[Material (choose from dropdown]],MaterialData[#All],2,FALSE),"")</f>
        <v/>
      </c>
      <c r="J1205" s="322">
        <f>IFERROR(((VLOOKUP(Calculations[[#This Row],[TransportSource]],TransportDistance[],2,FALSE)*'Stage assumptions'!$C$11)+VLOOKUP(Calculations[[#This Row],[TransportSource]],TransportDistance[],3,FALSE)*'Stage assumptions'!$C$12)*Calculations[[#This Row],[Total Kg]],0)</f>
        <v>0</v>
      </c>
      <c r="K1205">
        <f>IFERROR(VLOOKUP(Calculations[[#This Row],[Material (choose from dropdown]], MaterialData[#All],3, FALSE),0)</f>
        <v>0</v>
      </c>
      <c r="L1205" s="322">
        <f>IFERROR(VLOOKUP(Calculations[[#This Row],[A5type]],A5WastageRate[#All],2,FALSE)*Calculations[[#This Row],[A1-3]],0)</f>
        <v>0</v>
      </c>
      <c r="N1205">
        <f>IFERROR(ROUNDUP(50/VLOOKUP(Calculations[[#This Row],[Scope Element]],B4referenceServiceLife[[Tier 2 element]:[Default Service Life]],2, FALSE)-1,0),0)</f>
        <v>0</v>
      </c>
      <c r="O1205" s="322">
        <f>IFERROR((Calculations[[#This Row],[A1-3]]+Calculations[[#This Row],[A4]]+Calculations[[#This Row],[A5]]+Calculations[[#This Row],[C2 total]]+Calculations[[#This Row],[C3 total]]+Calculations[[#This Row],[C4 total]])*Calculations[[#This Row],[Replacements]],0)</f>
        <v>0</v>
      </c>
      <c r="S1205" t="str">
        <f>IFERROR(VLOOKUP(Calculations[[#This Row],[Material (choose from dropdown]],MaterialData[#All],4,FALSE),"")</f>
        <v/>
      </c>
      <c r="T1205" s="322" cm="1">
        <f t="array" ref="T1205">IFERROR(VLOOKUP(Calculations[[#This Row],[Waste 1]],WasteScenario[#All],2,FALSE)*'Stage assumptions'!$C$225*WasteTransportMethod[Emissions Factor
kgCO2e/kg.km]*Calculations[[#This Row],[Total Kg]],0)</f>
        <v>0</v>
      </c>
      <c r="U1205" s="322" cm="1">
        <f t="array" ref="U1205">IFERROR(VLOOKUP(Calculations[[#This Row],[Waste 1]],WasteScenario[#All],3,FALSE)*'Stage assumptions'!$C$224*WasteTransportMethod[Emissions Factor
kgCO2e/kg.km]*Calculations[[#This Row],[Total Kg]],0)</f>
        <v>0</v>
      </c>
      <c r="V1205" s="322" cm="1">
        <f t="array" ref="V1205">IFERROR(VLOOKUP(Calculations[[#This Row],[Waste 1]],WasteScenario[#All],4,FALSE)*'Stage assumptions'!$C$223*WasteTransportMethod[Emissions Factor
kgCO2e/kg.km]*Calculations[[#This Row],[Total Kg]],0)</f>
        <v>0</v>
      </c>
      <c r="W1205" s="322" cm="1">
        <f t="array" ref="W1205">IFERROR(VLOOKUP(Calculations[[#This Row],[Waste 1]],WasteScenario[#All],5,FALSE)*'Stage assumptions'!$C$226*WasteTransportMethod[Emissions Factor
kgCO2e/kg.km]*Calculations[[#This Row],[Total Kg]],0)</f>
        <v>0</v>
      </c>
      <c r="X1205" s="322">
        <f>SUM(Calculations[[#This Row],[C2 Recycle]:[C2 Reuse]])</f>
        <v>0</v>
      </c>
      <c r="Y1205" t="str">
        <f>IFERROR(VLOOKUP(Calculations[[#This Row],[Material (choose from dropdown]],MaterialData[#All],5,FALSE),"")</f>
        <v/>
      </c>
      <c r="Z1205" s="322">
        <f>IFERROR(((VLOOKUP(Calculations[[#This Row],[Waste type 2]],WasteDisposalEmissions[#All],2,FALSE))*Calculations[[#This Row],[Total Kg]])*VLOOKUP(Calculations[[#This Row],[Waste 1]],WasteScenario[#All],2,FALSE),0)</f>
        <v>0</v>
      </c>
      <c r="AA1205" s="322">
        <f>IFERROR((VLOOKUP(Calculations[[#This Row],[Waste type 2]],WasteDisposalEmissions[#All],3,FALSE))*Calculations[[#This Row],[Total Kg]]*VLOOKUP(Calculations[[#This Row],[Waste 1]],WasteScenario[#All],3,FALSE),0)</f>
        <v>0</v>
      </c>
      <c r="AB1205" s="322">
        <f>SUM(Calculations[[#This Row],[C3 recyc]:[C3 incin]])</f>
        <v>0</v>
      </c>
      <c r="AC1205" s="334">
        <f>IFERROR((VLOOKUP(Calculations[[#This Row],[Waste type 2]],WasteLandfillEmissions[#All],2,FALSE))*Calculations[[#This Row],[Total Kg]]*VLOOKUP(Calculations[[#This Row],[Waste 1]],WasteScenario[#All],4,FALSE),0)</f>
        <v>0</v>
      </c>
      <c r="AD1205" s="322">
        <f>IFERROR((VLOOKUP(Calculations[[#This Row],[Waste type 2]],WasteLandfillEmissions[#All],3,FALSE))*Calculations[[#This Row],[Total Kg]]*VLOOKUP(Calculations[[#This Row],[Waste 1]],WasteScenario[#All],4,FALSE),0)</f>
        <v>0</v>
      </c>
      <c r="AE1205" s="322">
        <f>SUM(Calculations[[#This Row],[C4 landfill]:[C4 re-use]])</f>
        <v>0</v>
      </c>
      <c r="AF1205" s="322">
        <f>IFERROR(VLOOKUP(Calculations[[#This Row],[Material (choose from dropdown]],MaterialData[#All],8,FALSE),0)</f>
        <v>0</v>
      </c>
      <c r="AG1205" s="322">
        <f>IFERROR(Calculations[[#This Row],[Total Kg]]*Calculations[[#This Row],[Seq factor]],0)</f>
        <v>0</v>
      </c>
      <c r="AI1205" s="322">
        <f>Calculations[[#This Row],[A1-3]]+Calculations[[#This Row],[A4]]+Calculations[[#This Row],[A5]]+Calculations[[#This Row],[B4]]+Calculations[[#This Row],[C2 total]]+Calculations[[#This Row],[C3 total]]+Calculations[[#This Row],[C4 total]]</f>
        <v>0</v>
      </c>
      <c r="AJ1205" s="2">
        <f>IFERROR(VLOOKUP(Calculations[[#This Row],[Material (choose from dropdown]],MaterialData[[#Headers],[#Data]],9,FALSE),0)</f>
        <v>0</v>
      </c>
      <c r="AK1205" s="4">
        <f>IFERROR(VLOOKUP(Calculations[[#This Row],[Material (choose from dropdown]],MaterialData[[#Headers],[#Data]],10,FALSE),0)</f>
        <v>0</v>
      </c>
      <c r="AL1205" s="322">
        <f>IFERROR(Calculations[[#This Row],[Data Quality Score]]*Calculations[[#This Row],[Total Kg]],0)</f>
        <v>0</v>
      </c>
    </row>
    <row r="1206" spans="1:38" x14ac:dyDescent="0.3">
      <c r="A1206" s="6">
        <f>IFERROR(MaterialsBoQ[[#This Row],[Scope Element]],0)</f>
        <v>0</v>
      </c>
      <c r="B1206" t="str">
        <f>IFERROR(MaterialsBoQ[[#This Row],[Material ]],"")</f>
        <v/>
      </c>
      <c r="C1206" t="str">
        <f>IFERROR(MaterialsBoQ[[#This Row],[Unit]],"")</f>
        <v/>
      </c>
      <c r="D1206" s="322">
        <f>IFERROR(MaterialsBoQ[[#This Row],[Number]],0)</f>
        <v>0</v>
      </c>
      <c r="E1206" s="322">
        <f>IFERROR(MaterialsBoQ[[#This Row],[Kg per unit]],0)</f>
        <v>0</v>
      </c>
      <c r="F1206" s="322">
        <f>IFERROR(Calculations[[#This Row],[Number]]*Calculations[[#This Row],[Conversion factor]],0)</f>
        <v>0</v>
      </c>
      <c r="G1206" s="322">
        <f>IFERROR(VLOOKUP(Calculations[[#This Row],[Material (choose from dropdown]],MaterialData[#All],7,FALSE),0)</f>
        <v>0</v>
      </c>
      <c r="H1206" s="322">
        <f>Calculations[[#This Row],[Total Kg]]*Calculations[[#This Row],[Carbon Factor]]</f>
        <v>0</v>
      </c>
      <c r="I1206" t="str">
        <f>IFERROR(VLOOKUP(Calculations[[#This Row],[Material (choose from dropdown]],MaterialData[#All],2,FALSE),"")</f>
        <v/>
      </c>
      <c r="J1206" s="322">
        <f>IFERROR(((VLOOKUP(Calculations[[#This Row],[TransportSource]],TransportDistance[],2,FALSE)*'Stage assumptions'!$C$11)+VLOOKUP(Calculations[[#This Row],[TransportSource]],TransportDistance[],3,FALSE)*'Stage assumptions'!$C$12)*Calculations[[#This Row],[Total Kg]],0)</f>
        <v>0</v>
      </c>
      <c r="K1206">
        <f>IFERROR(VLOOKUP(Calculations[[#This Row],[Material (choose from dropdown]], MaterialData[#All],3, FALSE),0)</f>
        <v>0</v>
      </c>
      <c r="L1206" s="322">
        <f>IFERROR(VLOOKUP(Calculations[[#This Row],[A5type]],A5WastageRate[#All],2,FALSE)*Calculations[[#This Row],[A1-3]],0)</f>
        <v>0</v>
      </c>
      <c r="N1206">
        <f>IFERROR(ROUNDUP(50/VLOOKUP(Calculations[[#This Row],[Scope Element]],B4referenceServiceLife[[Tier 2 element]:[Default Service Life]],2, FALSE)-1,0),0)</f>
        <v>0</v>
      </c>
      <c r="O1206" s="322">
        <f>IFERROR((Calculations[[#This Row],[A1-3]]+Calculations[[#This Row],[A4]]+Calculations[[#This Row],[A5]]+Calculations[[#This Row],[C2 total]]+Calculations[[#This Row],[C3 total]]+Calculations[[#This Row],[C4 total]])*Calculations[[#This Row],[Replacements]],0)</f>
        <v>0</v>
      </c>
      <c r="S1206" t="str">
        <f>IFERROR(VLOOKUP(Calculations[[#This Row],[Material (choose from dropdown]],MaterialData[#All],4,FALSE),"")</f>
        <v/>
      </c>
      <c r="T1206" s="322" cm="1">
        <f t="array" ref="T1206">IFERROR(VLOOKUP(Calculations[[#This Row],[Waste 1]],WasteScenario[#All],2,FALSE)*'Stage assumptions'!$C$225*WasteTransportMethod[Emissions Factor
kgCO2e/kg.km]*Calculations[[#This Row],[Total Kg]],0)</f>
        <v>0</v>
      </c>
      <c r="U1206" s="322" cm="1">
        <f t="array" ref="U1206">IFERROR(VLOOKUP(Calculations[[#This Row],[Waste 1]],WasteScenario[#All],3,FALSE)*'Stage assumptions'!$C$224*WasteTransportMethod[Emissions Factor
kgCO2e/kg.km]*Calculations[[#This Row],[Total Kg]],0)</f>
        <v>0</v>
      </c>
      <c r="V1206" s="322" cm="1">
        <f t="array" ref="V1206">IFERROR(VLOOKUP(Calculations[[#This Row],[Waste 1]],WasteScenario[#All],4,FALSE)*'Stage assumptions'!$C$223*WasteTransportMethod[Emissions Factor
kgCO2e/kg.km]*Calculations[[#This Row],[Total Kg]],0)</f>
        <v>0</v>
      </c>
      <c r="W1206" s="322" cm="1">
        <f t="array" ref="W1206">IFERROR(VLOOKUP(Calculations[[#This Row],[Waste 1]],WasteScenario[#All],5,FALSE)*'Stage assumptions'!$C$226*WasteTransportMethod[Emissions Factor
kgCO2e/kg.km]*Calculations[[#This Row],[Total Kg]],0)</f>
        <v>0</v>
      </c>
      <c r="X1206" s="322">
        <f>SUM(Calculations[[#This Row],[C2 Recycle]:[C2 Reuse]])</f>
        <v>0</v>
      </c>
      <c r="Y1206" t="str">
        <f>IFERROR(VLOOKUP(Calculations[[#This Row],[Material (choose from dropdown]],MaterialData[#All],5,FALSE),"")</f>
        <v/>
      </c>
      <c r="Z1206" s="322">
        <f>IFERROR(((VLOOKUP(Calculations[[#This Row],[Waste type 2]],WasteDisposalEmissions[#All],2,FALSE))*Calculations[[#This Row],[Total Kg]])*VLOOKUP(Calculations[[#This Row],[Waste 1]],WasteScenario[#All],2,FALSE),0)</f>
        <v>0</v>
      </c>
      <c r="AA1206" s="322">
        <f>IFERROR((VLOOKUP(Calculations[[#This Row],[Waste type 2]],WasteDisposalEmissions[#All],3,FALSE))*Calculations[[#This Row],[Total Kg]]*VLOOKUP(Calculations[[#This Row],[Waste 1]],WasteScenario[#All],3,FALSE),0)</f>
        <v>0</v>
      </c>
      <c r="AB1206" s="322">
        <f>SUM(Calculations[[#This Row],[C3 recyc]:[C3 incin]])</f>
        <v>0</v>
      </c>
      <c r="AC1206" s="334">
        <f>IFERROR((VLOOKUP(Calculations[[#This Row],[Waste type 2]],WasteLandfillEmissions[#All],2,FALSE))*Calculations[[#This Row],[Total Kg]]*VLOOKUP(Calculations[[#This Row],[Waste 1]],WasteScenario[#All],4,FALSE),0)</f>
        <v>0</v>
      </c>
      <c r="AD1206" s="322">
        <f>IFERROR((VLOOKUP(Calculations[[#This Row],[Waste type 2]],WasteLandfillEmissions[#All],3,FALSE))*Calculations[[#This Row],[Total Kg]]*VLOOKUP(Calculations[[#This Row],[Waste 1]],WasteScenario[#All],4,FALSE),0)</f>
        <v>0</v>
      </c>
      <c r="AE1206" s="322">
        <f>SUM(Calculations[[#This Row],[C4 landfill]:[C4 re-use]])</f>
        <v>0</v>
      </c>
      <c r="AF1206" s="322">
        <f>IFERROR(VLOOKUP(Calculations[[#This Row],[Material (choose from dropdown]],MaterialData[#All],8,FALSE),0)</f>
        <v>0</v>
      </c>
      <c r="AG1206" s="322">
        <f>IFERROR(Calculations[[#This Row],[Total Kg]]*Calculations[[#This Row],[Seq factor]],0)</f>
        <v>0</v>
      </c>
      <c r="AI1206" s="322">
        <f>Calculations[[#This Row],[A1-3]]+Calculations[[#This Row],[A4]]+Calculations[[#This Row],[A5]]+Calculations[[#This Row],[B4]]+Calculations[[#This Row],[C2 total]]+Calculations[[#This Row],[C3 total]]+Calculations[[#This Row],[C4 total]]</f>
        <v>0</v>
      </c>
      <c r="AJ1206" s="2">
        <f>IFERROR(VLOOKUP(Calculations[[#This Row],[Material (choose from dropdown]],MaterialData[[#Headers],[#Data]],9,FALSE),0)</f>
        <v>0</v>
      </c>
      <c r="AK1206" s="4">
        <f>IFERROR(VLOOKUP(Calculations[[#This Row],[Material (choose from dropdown]],MaterialData[[#Headers],[#Data]],10,FALSE),0)</f>
        <v>0</v>
      </c>
      <c r="AL1206" s="322">
        <f>IFERROR(Calculations[[#This Row],[Data Quality Score]]*Calculations[[#This Row],[Total Kg]],0)</f>
        <v>0</v>
      </c>
    </row>
    <row r="1207" spans="1:38" x14ac:dyDescent="0.3">
      <c r="A1207" s="6">
        <f>IFERROR(MaterialsBoQ[[#This Row],[Scope Element]],0)</f>
        <v>0</v>
      </c>
      <c r="B1207" t="str">
        <f>IFERROR(MaterialsBoQ[[#This Row],[Material ]],"")</f>
        <v/>
      </c>
      <c r="C1207" t="str">
        <f>IFERROR(MaterialsBoQ[[#This Row],[Unit]],"")</f>
        <v/>
      </c>
      <c r="D1207" s="322">
        <f>IFERROR(MaterialsBoQ[[#This Row],[Number]],0)</f>
        <v>0</v>
      </c>
      <c r="E1207" s="322">
        <f>IFERROR(MaterialsBoQ[[#This Row],[Kg per unit]],0)</f>
        <v>0</v>
      </c>
      <c r="F1207" s="322">
        <f>IFERROR(Calculations[[#This Row],[Number]]*Calculations[[#This Row],[Conversion factor]],0)</f>
        <v>0</v>
      </c>
      <c r="G1207" s="322">
        <f>IFERROR(VLOOKUP(Calculations[[#This Row],[Material (choose from dropdown]],MaterialData[#All],7,FALSE),0)</f>
        <v>0</v>
      </c>
      <c r="H1207" s="322">
        <f>Calculations[[#This Row],[Total Kg]]*Calculations[[#This Row],[Carbon Factor]]</f>
        <v>0</v>
      </c>
      <c r="I1207" t="str">
        <f>IFERROR(VLOOKUP(Calculations[[#This Row],[Material (choose from dropdown]],MaterialData[#All],2,FALSE),"")</f>
        <v/>
      </c>
      <c r="J1207" s="322">
        <f>IFERROR(((VLOOKUP(Calculations[[#This Row],[TransportSource]],TransportDistance[],2,FALSE)*'Stage assumptions'!$C$11)+VLOOKUP(Calculations[[#This Row],[TransportSource]],TransportDistance[],3,FALSE)*'Stage assumptions'!$C$12)*Calculations[[#This Row],[Total Kg]],0)</f>
        <v>0</v>
      </c>
      <c r="K1207">
        <f>IFERROR(VLOOKUP(Calculations[[#This Row],[Material (choose from dropdown]], MaterialData[#All],3, FALSE),0)</f>
        <v>0</v>
      </c>
      <c r="L1207" s="322">
        <f>IFERROR(VLOOKUP(Calculations[[#This Row],[A5type]],A5WastageRate[#All],2,FALSE)*Calculations[[#This Row],[A1-3]],0)</f>
        <v>0</v>
      </c>
      <c r="N1207">
        <f>IFERROR(ROUNDUP(50/VLOOKUP(Calculations[[#This Row],[Scope Element]],B4referenceServiceLife[[Tier 2 element]:[Default Service Life]],2, FALSE)-1,0),0)</f>
        <v>0</v>
      </c>
      <c r="O1207" s="322">
        <f>IFERROR((Calculations[[#This Row],[A1-3]]+Calculations[[#This Row],[A4]]+Calculations[[#This Row],[A5]]+Calculations[[#This Row],[C2 total]]+Calculations[[#This Row],[C3 total]]+Calculations[[#This Row],[C4 total]])*Calculations[[#This Row],[Replacements]],0)</f>
        <v>0</v>
      </c>
      <c r="S1207" t="str">
        <f>IFERROR(VLOOKUP(Calculations[[#This Row],[Material (choose from dropdown]],MaterialData[#All],4,FALSE),"")</f>
        <v/>
      </c>
      <c r="T1207" s="322" cm="1">
        <f t="array" ref="T1207">IFERROR(VLOOKUP(Calculations[[#This Row],[Waste 1]],WasteScenario[#All],2,FALSE)*'Stage assumptions'!$C$225*WasteTransportMethod[Emissions Factor
kgCO2e/kg.km]*Calculations[[#This Row],[Total Kg]],0)</f>
        <v>0</v>
      </c>
      <c r="U1207" s="322" cm="1">
        <f t="array" ref="U1207">IFERROR(VLOOKUP(Calculations[[#This Row],[Waste 1]],WasteScenario[#All],3,FALSE)*'Stage assumptions'!$C$224*WasteTransportMethod[Emissions Factor
kgCO2e/kg.km]*Calculations[[#This Row],[Total Kg]],0)</f>
        <v>0</v>
      </c>
      <c r="V1207" s="322" cm="1">
        <f t="array" ref="V1207">IFERROR(VLOOKUP(Calculations[[#This Row],[Waste 1]],WasteScenario[#All],4,FALSE)*'Stage assumptions'!$C$223*WasteTransportMethod[Emissions Factor
kgCO2e/kg.km]*Calculations[[#This Row],[Total Kg]],0)</f>
        <v>0</v>
      </c>
      <c r="W1207" s="322" cm="1">
        <f t="array" ref="W1207">IFERROR(VLOOKUP(Calculations[[#This Row],[Waste 1]],WasteScenario[#All],5,FALSE)*'Stage assumptions'!$C$226*WasteTransportMethod[Emissions Factor
kgCO2e/kg.km]*Calculations[[#This Row],[Total Kg]],0)</f>
        <v>0</v>
      </c>
      <c r="X1207" s="322">
        <f>SUM(Calculations[[#This Row],[C2 Recycle]:[C2 Reuse]])</f>
        <v>0</v>
      </c>
      <c r="Y1207" t="str">
        <f>IFERROR(VLOOKUP(Calculations[[#This Row],[Material (choose from dropdown]],MaterialData[#All],5,FALSE),"")</f>
        <v/>
      </c>
      <c r="Z1207" s="322">
        <f>IFERROR(((VLOOKUP(Calculations[[#This Row],[Waste type 2]],WasteDisposalEmissions[#All],2,FALSE))*Calculations[[#This Row],[Total Kg]])*VLOOKUP(Calculations[[#This Row],[Waste 1]],WasteScenario[#All],2,FALSE),0)</f>
        <v>0</v>
      </c>
      <c r="AA1207" s="322">
        <f>IFERROR((VLOOKUP(Calculations[[#This Row],[Waste type 2]],WasteDisposalEmissions[#All],3,FALSE))*Calculations[[#This Row],[Total Kg]]*VLOOKUP(Calculations[[#This Row],[Waste 1]],WasteScenario[#All],3,FALSE),0)</f>
        <v>0</v>
      </c>
      <c r="AB1207" s="322">
        <f>SUM(Calculations[[#This Row],[C3 recyc]:[C3 incin]])</f>
        <v>0</v>
      </c>
      <c r="AC1207" s="334">
        <f>IFERROR((VLOOKUP(Calculations[[#This Row],[Waste type 2]],WasteLandfillEmissions[#All],2,FALSE))*Calculations[[#This Row],[Total Kg]]*VLOOKUP(Calculations[[#This Row],[Waste 1]],WasteScenario[#All],4,FALSE),0)</f>
        <v>0</v>
      </c>
      <c r="AD1207" s="322">
        <f>IFERROR((VLOOKUP(Calculations[[#This Row],[Waste type 2]],WasteLandfillEmissions[#All],3,FALSE))*Calculations[[#This Row],[Total Kg]]*VLOOKUP(Calculations[[#This Row],[Waste 1]],WasteScenario[#All],4,FALSE),0)</f>
        <v>0</v>
      </c>
      <c r="AE1207" s="322">
        <f>SUM(Calculations[[#This Row],[C4 landfill]:[C4 re-use]])</f>
        <v>0</v>
      </c>
      <c r="AF1207" s="322">
        <f>IFERROR(VLOOKUP(Calculations[[#This Row],[Material (choose from dropdown]],MaterialData[#All],8,FALSE),0)</f>
        <v>0</v>
      </c>
      <c r="AG1207" s="322">
        <f>IFERROR(Calculations[[#This Row],[Total Kg]]*Calculations[[#This Row],[Seq factor]],0)</f>
        <v>0</v>
      </c>
      <c r="AI1207" s="322">
        <f>Calculations[[#This Row],[A1-3]]+Calculations[[#This Row],[A4]]+Calculations[[#This Row],[A5]]+Calculations[[#This Row],[B4]]+Calculations[[#This Row],[C2 total]]+Calculations[[#This Row],[C3 total]]+Calculations[[#This Row],[C4 total]]</f>
        <v>0</v>
      </c>
      <c r="AJ1207" s="2">
        <f>IFERROR(VLOOKUP(Calculations[[#This Row],[Material (choose from dropdown]],MaterialData[[#Headers],[#Data]],9,FALSE),0)</f>
        <v>0</v>
      </c>
      <c r="AK1207" s="4">
        <f>IFERROR(VLOOKUP(Calculations[[#This Row],[Material (choose from dropdown]],MaterialData[[#Headers],[#Data]],10,FALSE),0)</f>
        <v>0</v>
      </c>
      <c r="AL1207" s="322">
        <f>IFERROR(Calculations[[#This Row],[Data Quality Score]]*Calculations[[#This Row],[Total Kg]],0)</f>
        <v>0</v>
      </c>
    </row>
    <row r="1208" spans="1:38" x14ac:dyDescent="0.3">
      <c r="A1208" s="6">
        <f>IFERROR(MaterialsBoQ[[#This Row],[Scope Element]],0)</f>
        <v>0</v>
      </c>
      <c r="B1208" t="str">
        <f>IFERROR(MaterialsBoQ[[#This Row],[Material ]],"")</f>
        <v/>
      </c>
      <c r="C1208" t="str">
        <f>IFERROR(MaterialsBoQ[[#This Row],[Unit]],"")</f>
        <v/>
      </c>
      <c r="D1208" s="322">
        <f>IFERROR(MaterialsBoQ[[#This Row],[Number]],0)</f>
        <v>0</v>
      </c>
      <c r="E1208" s="322">
        <f>IFERROR(MaterialsBoQ[[#This Row],[Kg per unit]],0)</f>
        <v>0</v>
      </c>
      <c r="F1208" s="322">
        <f>IFERROR(Calculations[[#This Row],[Number]]*Calculations[[#This Row],[Conversion factor]],0)</f>
        <v>0</v>
      </c>
      <c r="G1208" s="322">
        <f>IFERROR(VLOOKUP(Calculations[[#This Row],[Material (choose from dropdown]],MaterialData[#All],7,FALSE),0)</f>
        <v>0</v>
      </c>
      <c r="H1208" s="322">
        <f>Calculations[[#This Row],[Total Kg]]*Calculations[[#This Row],[Carbon Factor]]</f>
        <v>0</v>
      </c>
      <c r="I1208" t="str">
        <f>IFERROR(VLOOKUP(Calculations[[#This Row],[Material (choose from dropdown]],MaterialData[#All],2,FALSE),"")</f>
        <v/>
      </c>
      <c r="J1208" s="322">
        <f>IFERROR(((VLOOKUP(Calculations[[#This Row],[TransportSource]],TransportDistance[],2,FALSE)*'Stage assumptions'!$C$11)+VLOOKUP(Calculations[[#This Row],[TransportSource]],TransportDistance[],3,FALSE)*'Stage assumptions'!$C$12)*Calculations[[#This Row],[Total Kg]],0)</f>
        <v>0</v>
      </c>
      <c r="K1208">
        <f>IFERROR(VLOOKUP(Calculations[[#This Row],[Material (choose from dropdown]], MaterialData[#All],3, FALSE),0)</f>
        <v>0</v>
      </c>
      <c r="L1208" s="322">
        <f>IFERROR(VLOOKUP(Calculations[[#This Row],[A5type]],A5WastageRate[#All],2,FALSE)*Calculations[[#This Row],[A1-3]],0)</f>
        <v>0</v>
      </c>
      <c r="N1208">
        <f>IFERROR(ROUNDUP(50/VLOOKUP(Calculations[[#This Row],[Scope Element]],B4referenceServiceLife[[Tier 2 element]:[Default Service Life]],2, FALSE)-1,0),0)</f>
        <v>0</v>
      </c>
      <c r="O1208" s="322">
        <f>IFERROR((Calculations[[#This Row],[A1-3]]+Calculations[[#This Row],[A4]]+Calculations[[#This Row],[A5]]+Calculations[[#This Row],[C2 total]]+Calculations[[#This Row],[C3 total]]+Calculations[[#This Row],[C4 total]])*Calculations[[#This Row],[Replacements]],0)</f>
        <v>0</v>
      </c>
      <c r="S1208" t="str">
        <f>IFERROR(VLOOKUP(Calculations[[#This Row],[Material (choose from dropdown]],MaterialData[#All],4,FALSE),"")</f>
        <v/>
      </c>
      <c r="T1208" s="322" cm="1">
        <f t="array" ref="T1208">IFERROR(VLOOKUP(Calculations[[#This Row],[Waste 1]],WasteScenario[#All],2,FALSE)*'Stage assumptions'!$C$225*WasteTransportMethod[Emissions Factor
kgCO2e/kg.km]*Calculations[[#This Row],[Total Kg]],0)</f>
        <v>0</v>
      </c>
      <c r="U1208" s="322" cm="1">
        <f t="array" ref="U1208">IFERROR(VLOOKUP(Calculations[[#This Row],[Waste 1]],WasteScenario[#All],3,FALSE)*'Stage assumptions'!$C$224*WasteTransportMethod[Emissions Factor
kgCO2e/kg.km]*Calculations[[#This Row],[Total Kg]],0)</f>
        <v>0</v>
      </c>
      <c r="V1208" s="322" cm="1">
        <f t="array" ref="V1208">IFERROR(VLOOKUP(Calculations[[#This Row],[Waste 1]],WasteScenario[#All],4,FALSE)*'Stage assumptions'!$C$223*WasteTransportMethod[Emissions Factor
kgCO2e/kg.km]*Calculations[[#This Row],[Total Kg]],0)</f>
        <v>0</v>
      </c>
      <c r="W1208" s="322" cm="1">
        <f t="array" ref="W1208">IFERROR(VLOOKUP(Calculations[[#This Row],[Waste 1]],WasteScenario[#All],5,FALSE)*'Stage assumptions'!$C$226*WasteTransportMethod[Emissions Factor
kgCO2e/kg.km]*Calculations[[#This Row],[Total Kg]],0)</f>
        <v>0</v>
      </c>
      <c r="X1208" s="322">
        <f>SUM(Calculations[[#This Row],[C2 Recycle]:[C2 Reuse]])</f>
        <v>0</v>
      </c>
      <c r="Y1208" t="str">
        <f>IFERROR(VLOOKUP(Calculations[[#This Row],[Material (choose from dropdown]],MaterialData[#All],5,FALSE),"")</f>
        <v/>
      </c>
      <c r="Z1208" s="322">
        <f>IFERROR(((VLOOKUP(Calculations[[#This Row],[Waste type 2]],WasteDisposalEmissions[#All],2,FALSE))*Calculations[[#This Row],[Total Kg]])*VLOOKUP(Calculations[[#This Row],[Waste 1]],WasteScenario[#All],2,FALSE),0)</f>
        <v>0</v>
      </c>
      <c r="AA1208" s="322">
        <f>IFERROR((VLOOKUP(Calculations[[#This Row],[Waste type 2]],WasteDisposalEmissions[#All],3,FALSE))*Calculations[[#This Row],[Total Kg]]*VLOOKUP(Calculations[[#This Row],[Waste 1]],WasteScenario[#All],3,FALSE),0)</f>
        <v>0</v>
      </c>
      <c r="AB1208" s="322">
        <f>SUM(Calculations[[#This Row],[C3 recyc]:[C3 incin]])</f>
        <v>0</v>
      </c>
      <c r="AC1208" s="334">
        <f>IFERROR((VLOOKUP(Calculations[[#This Row],[Waste type 2]],WasteLandfillEmissions[#All],2,FALSE))*Calculations[[#This Row],[Total Kg]]*VLOOKUP(Calculations[[#This Row],[Waste 1]],WasteScenario[#All],4,FALSE),0)</f>
        <v>0</v>
      </c>
      <c r="AD1208" s="322">
        <f>IFERROR((VLOOKUP(Calculations[[#This Row],[Waste type 2]],WasteLandfillEmissions[#All],3,FALSE))*Calculations[[#This Row],[Total Kg]]*VLOOKUP(Calculations[[#This Row],[Waste 1]],WasteScenario[#All],4,FALSE),0)</f>
        <v>0</v>
      </c>
      <c r="AE1208" s="322">
        <f>SUM(Calculations[[#This Row],[C4 landfill]:[C4 re-use]])</f>
        <v>0</v>
      </c>
      <c r="AF1208" s="322">
        <f>IFERROR(VLOOKUP(Calculations[[#This Row],[Material (choose from dropdown]],MaterialData[#All],8,FALSE),0)</f>
        <v>0</v>
      </c>
      <c r="AG1208" s="322">
        <f>IFERROR(Calculations[[#This Row],[Total Kg]]*Calculations[[#This Row],[Seq factor]],0)</f>
        <v>0</v>
      </c>
      <c r="AI1208" s="322">
        <f>Calculations[[#This Row],[A1-3]]+Calculations[[#This Row],[A4]]+Calculations[[#This Row],[A5]]+Calculations[[#This Row],[B4]]+Calculations[[#This Row],[C2 total]]+Calculations[[#This Row],[C3 total]]+Calculations[[#This Row],[C4 total]]</f>
        <v>0</v>
      </c>
      <c r="AJ1208" s="2">
        <f>IFERROR(VLOOKUP(Calculations[[#This Row],[Material (choose from dropdown]],MaterialData[[#Headers],[#Data]],9,FALSE),0)</f>
        <v>0</v>
      </c>
      <c r="AK1208" s="4">
        <f>IFERROR(VLOOKUP(Calculations[[#This Row],[Material (choose from dropdown]],MaterialData[[#Headers],[#Data]],10,FALSE),0)</f>
        <v>0</v>
      </c>
      <c r="AL1208" s="322">
        <f>IFERROR(Calculations[[#This Row],[Data Quality Score]]*Calculations[[#This Row],[Total Kg]],0)</f>
        <v>0</v>
      </c>
    </row>
    <row r="1209" spans="1:38" x14ac:dyDescent="0.3">
      <c r="A1209" s="6">
        <f>IFERROR(MaterialsBoQ[[#This Row],[Scope Element]],0)</f>
        <v>0</v>
      </c>
      <c r="B1209" t="str">
        <f>IFERROR(MaterialsBoQ[[#This Row],[Material ]],"")</f>
        <v/>
      </c>
      <c r="C1209" t="str">
        <f>IFERROR(MaterialsBoQ[[#This Row],[Unit]],"")</f>
        <v/>
      </c>
      <c r="D1209" s="322">
        <f>IFERROR(MaterialsBoQ[[#This Row],[Number]],0)</f>
        <v>0</v>
      </c>
      <c r="E1209" s="322">
        <f>IFERROR(MaterialsBoQ[[#This Row],[Kg per unit]],0)</f>
        <v>0</v>
      </c>
      <c r="F1209" s="322">
        <f>IFERROR(Calculations[[#This Row],[Number]]*Calculations[[#This Row],[Conversion factor]],0)</f>
        <v>0</v>
      </c>
      <c r="G1209" s="322">
        <f>IFERROR(VLOOKUP(Calculations[[#This Row],[Material (choose from dropdown]],MaterialData[#All],7,FALSE),0)</f>
        <v>0</v>
      </c>
      <c r="H1209" s="322">
        <f>Calculations[[#This Row],[Total Kg]]*Calculations[[#This Row],[Carbon Factor]]</f>
        <v>0</v>
      </c>
      <c r="I1209" t="str">
        <f>IFERROR(VLOOKUP(Calculations[[#This Row],[Material (choose from dropdown]],MaterialData[#All],2,FALSE),"")</f>
        <v/>
      </c>
      <c r="J1209" s="322">
        <f>IFERROR(((VLOOKUP(Calculations[[#This Row],[TransportSource]],TransportDistance[],2,FALSE)*'Stage assumptions'!$C$11)+VLOOKUP(Calculations[[#This Row],[TransportSource]],TransportDistance[],3,FALSE)*'Stage assumptions'!$C$12)*Calculations[[#This Row],[Total Kg]],0)</f>
        <v>0</v>
      </c>
      <c r="K1209">
        <f>IFERROR(VLOOKUP(Calculations[[#This Row],[Material (choose from dropdown]], MaterialData[#All],3, FALSE),0)</f>
        <v>0</v>
      </c>
      <c r="L1209" s="322">
        <f>IFERROR(VLOOKUP(Calculations[[#This Row],[A5type]],A5WastageRate[#All],2,FALSE)*Calculations[[#This Row],[A1-3]],0)</f>
        <v>0</v>
      </c>
      <c r="N1209">
        <f>IFERROR(ROUNDUP(50/VLOOKUP(Calculations[[#This Row],[Scope Element]],B4referenceServiceLife[[Tier 2 element]:[Default Service Life]],2, FALSE)-1,0),0)</f>
        <v>0</v>
      </c>
      <c r="O1209" s="322">
        <f>IFERROR((Calculations[[#This Row],[A1-3]]+Calculations[[#This Row],[A4]]+Calculations[[#This Row],[A5]]+Calculations[[#This Row],[C2 total]]+Calculations[[#This Row],[C3 total]]+Calculations[[#This Row],[C4 total]])*Calculations[[#This Row],[Replacements]],0)</f>
        <v>0</v>
      </c>
      <c r="S1209" t="str">
        <f>IFERROR(VLOOKUP(Calculations[[#This Row],[Material (choose from dropdown]],MaterialData[#All],4,FALSE),"")</f>
        <v/>
      </c>
      <c r="T1209" s="322" cm="1">
        <f t="array" ref="T1209">IFERROR(VLOOKUP(Calculations[[#This Row],[Waste 1]],WasteScenario[#All],2,FALSE)*'Stage assumptions'!$C$225*WasteTransportMethod[Emissions Factor
kgCO2e/kg.km]*Calculations[[#This Row],[Total Kg]],0)</f>
        <v>0</v>
      </c>
      <c r="U1209" s="322" cm="1">
        <f t="array" ref="U1209">IFERROR(VLOOKUP(Calculations[[#This Row],[Waste 1]],WasteScenario[#All],3,FALSE)*'Stage assumptions'!$C$224*WasteTransportMethod[Emissions Factor
kgCO2e/kg.km]*Calculations[[#This Row],[Total Kg]],0)</f>
        <v>0</v>
      </c>
      <c r="V1209" s="322" cm="1">
        <f t="array" ref="V1209">IFERROR(VLOOKUP(Calculations[[#This Row],[Waste 1]],WasteScenario[#All],4,FALSE)*'Stage assumptions'!$C$223*WasteTransportMethod[Emissions Factor
kgCO2e/kg.km]*Calculations[[#This Row],[Total Kg]],0)</f>
        <v>0</v>
      </c>
      <c r="W1209" s="322" cm="1">
        <f t="array" ref="W1209">IFERROR(VLOOKUP(Calculations[[#This Row],[Waste 1]],WasteScenario[#All],5,FALSE)*'Stage assumptions'!$C$226*WasteTransportMethod[Emissions Factor
kgCO2e/kg.km]*Calculations[[#This Row],[Total Kg]],0)</f>
        <v>0</v>
      </c>
      <c r="X1209" s="322">
        <f>SUM(Calculations[[#This Row],[C2 Recycle]:[C2 Reuse]])</f>
        <v>0</v>
      </c>
      <c r="Y1209" t="str">
        <f>IFERROR(VLOOKUP(Calculations[[#This Row],[Material (choose from dropdown]],MaterialData[#All],5,FALSE),"")</f>
        <v/>
      </c>
      <c r="Z1209" s="322">
        <f>IFERROR(((VLOOKUP(Calculations[[#This Row],[Waste type 2]],WasteDisposalEmissions[#All],2,FALSE))*Calculations[[#This Row],[Total Kg]])*VLOOKUP(Calculations[[#This Row],[Waste 1]],WasteScenario[#All],2,FALSE),0)</f>
        <v>0</v>
      </c>
      <c r="AA1209" s="322">
        <f>IFERROR((VLOOKUP(Calculations[[#This Row],[Waste type 2]],WasteDisposalEmissions[#All],3,FALSE))*Calculations[[#This Row],[Total Kg]]*VLOOKUP(Calculations[[#This Row],[Waste 1]],WasteScenario[#All],3,FALSE),0)</f>
        <v>0</v>
      </c>
      <c r="AB1209" s="322">
        <f>SUM(Calculations[[#This Row],[C3 recyc]:[C3 incin]])</f>
        <v>0</v>
      </c>
      <c r="AC1209" s="334">
        <f>IFERROR((VLOOKUP(Calculations[[#This Row],[Waste type 2]],WasteLandfillEmissions[#All],2,FALSE))*Calculations[[#This Row],[Total Kg]]*VLOOKUP(Calculations[[#This Row],[Waste 1]],WasteScenario[#All],4,FALSE),0)</f>
        <v>0</v>
      </c>
      <c r="AD1209" s="322">
        <f>IFERROR((VLOOKUP(Calculations[[#This Row],[Waste type 2]],WasteLandfillEmissions[#All],3,FALSE))*Calculations[[#This Row],[Total Kg]]*VLOOKUP(Calculations[[#This Row],[Waste 1]],WasteScenario[#All],4,FALSE),0)</f>
        <v>0</v>
      </c>
      <c r="AE1209" s="322">
        <f>SUM(Calculations[[#This Row],[C4 landfill]:[C4 re-use]])</f>
        <v>0</v>
      </c>
      <c r="AF1209" s="322">
        <f>IFERROR(VLOOKUP(Calculations[[#This Row],[Material (choose from dropdown]],MaterialData[#All],8,FALSE),0)</f>
        <v>0</v>
      </c>
      <c r="AG1209" s="322">
        <f>IFERROR(Calculations[[#This Row],[Total Kg]]*Calculations[[#This Row],[Seq factor]],0)</f>
        <v>0</v>
      </c>
      <c r="AI1209" s="322">
        <f>Calculations[[#This Row],[A1-3]]+Calculations[[#This Row],[A4]]+Calculations[[#This Row],[A5]]+Calculations[[#This Row],[B4]]+Calculations[[#This Row],[C2 total]]+Calculations[[#This Row],[C3 total]]+Calculations[[#This Row],[C4 total]]</f>
        <v>0</v>
      </c>
      <c r="AJ1209" s="2">
        <f>IFERROR(VLOOKUP(Calculations[[#This Row],[Material (choose from dropdown]],MaterialData[[#Headers],[#Data]],9,FALSE),0)</f>
        <v>0</v>
      </c>
      <c r="AK1209" s="4">
        <f>IFERROR(VLOOKUP(Calculations[[#This Row],[Material (choose from dropdown]],MaterialData[[#Headers],[#Data]],10,FALSE),0)</f>
        <v>0</v>
      </c>
      <c r="AL1209" s="322">
        <f>IFERROR(Calculations[[#This Row],[Data Quality Score]]*Calculations[[#This Row],[Total Kg]],0)</f>
        <v>0</v>
      </c>
    </row>
    <row r="1210" spans="1:38" x14ac:dyDescent="0.3">
      <c r="A1210" s="6">
        <f>IFERROR(MaterialsBoQ[[#This Row],[Scope Element]],0)</f>
        <v>0</v>
      </c>
      <c r="B1210" t="str">
        <f>IFERROR(MaterialsBoQ[[#This Row],[Material ]],"")</f>
        <v/>
      </c>
      <c r="C1210" t="str">
        <f>IFERROR(MaterialsBoQ[[#This Row],[Unit]],"")</f>
        <v/>
      </c>
      <c r="D1210" s="322">
        <f>IFERROR(MaterialsBoQ[[#This Row],[Number]],0)</f>
        <v>0</v>
      </c>
      <c r="E1210" s="322">
        <f>IFERROR(MaterialsBoQ[[#This Row],[Kg per unit]],0)</f>
        <v>0</v>
      </c>
      <c r="F1210" s="322">
        <f>IFERROR(Calculations[[#This Row],[Number]]*Calculations[[#This Row],[Conversion factor]],0)</f>
        <v>0</v>
      </c>
      <c r="G1210" s="322">
        <f>IFERROR(VLOOKUP(Calculations[[#This Row],[Material (choose from dropdown]],MaterialData[#All],7,FALSE),0)</f>
        <v>0</v>
      </c>
      <c r="H1210" s="322">
        <f>Calculations[[#This Row],[Total Kg]]*Calculations[[#This Row],[Carbon Factor]]</f>
        <v>0</v>
      </c>
      <c r="I1210" t="str">
        <f>IFERROR(VLOOKUP(Calculations[[#This Row],[Material (choose from dropdown]],MaterialData[#All],2,FALSE),"")</f>
        <v/>
      </c>
      <c r="J1210" s="322">
        <f>IFERROR(((VLOOKUP(Calculations[[#This Row],[TransportSource]],TransportDistance[],2,FALSE)*'Stage assumptions'!$C$11)+VLOOKUP(Calculations[[#This Row],[TransportSource]],TransportDistance[],3,FALSE)*'Stage assumptions'!$C$12)*Calculations[[#This Row],[Total Kg]],0)</f>
        <v>0</v>
      </c>
      <c r="K1210">
        <f>IFERROR(VLOOKUP(Calculations[[#This Row],[Material (choose from dropdown]], MaterialData[#All],3, FALSE),0)</f>
        <v>0</v>
      </c>
      <c r="L1210" s="322">
        <f>IFERROR(VLOOKUP(Calculations[[#This Row],[A5type]],A5WastageRate[#All],2,FALSE)*Calculations[[#This Row],[A1-3]],0)</f>
        <v>0</v>
      </c>
      <c r="N1210">
        <f>IFERROR(ROUNDUP(50/VLOOKUP(Calculations[[#This Row],[Scope Element]],B4referenceServiceLife[[Tier 2 element]:[Default Service Life]],2, FALSE)-1,0),0)</f>
        <v>0</v>
      </c>
      <c r="O1210" s="322">
        <f>IFERROR((Calculations[[#This Row],[A1-3]]+Calculations[[#This Row],[A4]]+Calculations[[#This Row],[A5]]+Calculations[[#This Row],[C2 total]]+Calculations[[#This Row],[C3 total]]+Calculations[[#This Row],[C4 total]])*Calculations[[#This Row],[Replacements]],0)</f>
        <v>0</v>
      </c>
      <c r="S1210" t="str">
        <f>IFERROR(VLOOKUP(Calculations[[#This Row],[Material (choose from dropdown]],MaterialData[#All],4,FALSE),"")</f>
        <v/>
      </c>
      <c r="T1210" s="322" cm="1">
        <f t="array" ref="T1210">IFERROR(VLOOKUP(Calculations[[#This Row],[Waste 1]],WasteScenario[#All],2,FALSE)*'Stage assumptions'!$C$225*WasteTransportMethod[Emissions Factor
kgCO2e/kg.km]*Calculations[[#This Row],[Total Kg]],0)</f>
        <v>0</v>
      </c>
      <c r="U1210" s="322" cm="1">
        <f t="array" ref="U1210">IFERROR(VLOOKUP(Calculations[[#This Row],[Waste 1]],WasteScenario[#All],3,FALSE)*'Stage assumptions'!$C$224*WasteTransportMethod[Emissions Factor
kgCO2e/kg.km]*Calculations[[#This Row],[Total Kg]],0)</f>
        <v>0</v>
      </c>
      <c r="V1210" s="322" cm="1">
        <f t="array" ref="V1210">IFERROR(VLOOKUP(Calculations[[#This Row],[Waste 1]],WasteScenario[#All],4,FALSE)*'Stage assumptions'!$C$223*WasteTransportMethod[Emissions Factor
kgCO2e/kg.km]*Calculations[[#This Row],[Total Kg]],0)</f>
        <v>0</v>
      </c>
      <c r="W1210" s="322" cm="1">
        <f t="array" ref="W1210">IFERROR(VLOOKUP(Calculations[[#This Row],[Waste 1]],WasteScenario[#All],5,FALSE)*'Stage assumptions'!$C$226*WasteTransportMethod[Emissions Factor
kgCO2e/kg.km]*Calculations[[#This Row],[Total Kg]],0)</f>
        <v>0</v>
      </c>
      <c r="X1210" s="322">
        <f>SUM(Calculations[[#This Row],[C2 Recycle]:[C2 Reuse]])</f>
        <v>0</v>
      </c>
      <c r="Y1210" t="str">
        <f>IFERROR(VLOOKUP(Calculations[[#This Row],[Material (choose from dropdown]],MaterialData[#All],5,FALSE),"")</f>
        <v/>
      </c>
      <c r="Z1210" s="322">
        <f>IFERROR(((VLOOKUP(Calculations[[#This Row],[Waste type 2]],WasteDisposalEmissions[#All],2,FALSE))*Calculations[[#This Row],[Total Kg]])*VLOOKUP(Calculations[[#This Row],[Waste 1]],WasteScenario[#All],2,FALSE),0)</f>
        <v>0</v>
      </c>
      <c r="AA1210" s="322">
        <f>IFERROR((VLOOKUP(Calculations[[#This Row],[Waste type 2]],WasteDisposalEmissions[#All],3,FALSE))*Calculations[[#This Row],[Total Kg]]*VLOOKUP(Calculations[[#This Row],[Waste 1]],WasteScenario[#All],3,FALSE),0)</f>
        <v>0</v>
      </c>
      <c r="AB1210" s="322">
        <f>SUM(Calculations[[#This Row],[C3 recyc]:[C3 incin]])</f>
        <v>0</v>
      </c>
      <c r="AC1210" s="334">
        <f>IFERROR((VLOOKUP(Calculations[[#This Row],[Waste type 2]],WasteLandfillEmissions[#All],2,FALSE))*Calculations[[#This Row],[Total Kg]]*VLOOKUP(Calculations[[#This Row],[Waste 1]],WasteScenario[#All],4,FALSE),0)</f>
        <v>0</v>
      </c>
      <c r="AD1210" s="322">
        <f>IFERROR((VLOOKUP(Calculations[[#This Row],[Waste type 2]],WasteLandfillEmissions[#All],3,FALSE))*Calculations[[#This Row],[Total Kg]]*VLOOKUP(Calculations[[#This Row],[Waste 1]],WasteScenario[#All],4,FALSE),0)</f>
        <v>0</v>
      </c>
      <c r="AE1210" s="322">
        <f>SUM(Calculations[[#This Row],[C4 landfill]:[C4 re-use]])</f>
        <v>0</v>
      </c>
      <c r="AF1210" s="322">
        <f>IFERROR(VLOOKUP(Calculations[[#This Row],[Material (choose from dropdown]],MaterialData[#All],8,FALSE),0)</f>
        <v>0</v>
      </c>
      <c r="AG1210" s="322">
        <f>IFERROR(Calculations[[#This Row],[Total Kg]]*Calculations[[#This Row],[Seq factor]],0)</f>
        <v>0</v>
      </c>
      <c r="AI1210" s="322">
        <f>Calculations[[#This Row],[A1-3]]+Calculations[[#This Row],[A4]]+Calculations[[#This Row],[A5]]+Calculations[[#This Row],[B4]]+Calculations[[#This Row],[C2 total]]+Calculations[[#This Row],[C3 total]]+Calculations[[#This Row],[C4 total]]</f>
        <v>0</v>
      </c>
      <c r="AJ1210" s="2">
        <f>IFERROR(VLOOKUP(Calculations[[#This Row],[Material (choose from dropdown]],MaterialData[[#Headers],[#Data]],9,FALSE),0)</f>
        <v>0</v>
      </c>
      <c r="AK1210" s="4">
        <f>IFERROR(VLOOKUP(Calculations[[#This Row],[Material (choose from dropdown]],MaterialData[[#Headers],[#Data]],10,FALSE),0)</f>
        <v>0</v>
      </c>
      <c r="AL1210" s="322">
        <f>IFERROR(Calculations[[#This Row],[Data Quality Score]]*Calculations[[#This Row],[Total Kg]],0)</f>
        <v>0</v>
      </c>
    </row>
    <row r="1211" spans="1:38" x14ac:dyDescent="0.3">
      <c r="A1211" s="6">
        <f>IFERROR(MaterialsBoQ[[#This Row],[Scope Element]],0)</f>
        <v>0</v>
      </c>
      <c r="B1211" t="str">
        <f>IFERROR(MaterialsBoQ[[#This Row],[Material ]],"")</f>
        <v/>
      </c>
      <c r="C1211" t="str">
        <f>IFERROR(MaterialsBoQ[[#This Row],[Unit]],"")</f>
        <v/>
      </c>
      <c r="D1211" s="322">
        <f>IFERROR(MaterialsBoQ[[#This Row],[Number]],0)</f>
        <v>0</v>
      </c>
      <c r="E1211" s="322">
        <f>IFERROR(MaterialsBoQ[[#This Row],[Kg per unit]],0)</f>
        <v>0</v>
      </c>
      <c r="F1211" s="322">
        <f>IFERROR(Calculations[[#This Row],[Number]]*Calculations[[#This Row],[Conversion factor]],0)</f>
        <v>0</v>
      </c>
      <c r="G1211" s="322">
        <f>IFERROR(VLOOKUP(Calculations[[#This Row],[Material (choose from dropdown]],MaterialData[#All],7,FALSE),0)</f>
        <v>0</v>
      </c>
      <c r="H1211" s="322">
        <f>Calculations[[#This Row],[Total Kg]]*Calculations[[#This Row],[Carbon Factor]]</f>
        <v>0</v>
      </c>
      <c r="I1211" t="str">
        <f>IFERROR(VLOOKUP(Calculations[[#This Row],[Material (choose from dropdown]],MaterialData[#All],2,FALSE),"")</f>
        <v/>
      </c>
      <c r="J1211" s="322">
        <f>IFERROR(((VLOOKUP(Calculations[[#This Row],[TransportSource]],TransportDistance[],2,FALSE)*'Stage assumptions'!$C$11)+VLOOKUP(Calculations[[#This Row],[TransportSource]],TransportDistance[],3,FALSE)*'Stage assumptions'!$C$12)*Calculations[[#This Row],[Total Kg]],0)</f>
        <v>0</v>
      </c>
      <c r="K1211">
        <f>IFERROR(VLOOKUP(Calculations[[#This Row],[Material (choose from dropdown]], MaterialData[#All],3, FALSE),0)</f>
        <v>0</v>
      </c>
      <c r="L1211" s="322">
        <f>IFERROR(VLOOKUP(Calculations[[#This Row],[A5type]],A5WastageRate[#All],2,FALSE)*Calculations[[#This Row],[A1-3]],0)</f>
        <v>0</v>
      </c>
      <c r="N1211">
        <f>IFERROR(ROUNDUP(50/VLOOKUP(Calculations[[#This Row],[Scope Element]],B4referenceServiceLife[[Tier 2 element]:[Default Service Life]],2, FALSE)-1,0),0)</f>
        <v>0</v>
      </c>
      <c r="O1211" s="322">
        <f>IFERROR((Calculations[[#This Row],[A1-3]]+Calculations[[#This Row],[A4]]+Calculations[[#This Row],[A5]]+Calculations[[#This Row],[C2 total]]+Calculations[[#This Row],[C3 total]]+Calculations[[#This Row],[C4 total]])*Calculations[[#This Row],[Replacements]],0)</f>
        <v>0</v>
      </c>
      <c r="S1211" t="str">
        <f>IFERROR(VLOOKUP(Calculations[[#This Row],[Material (choose from dropdown]],MaterialData[#All],4,FALSE),"")</f>
        <v/>
      </c>
      <c r="T1211" s="322" cm="1">
        <f t="array" ref="T1211">IFERROR(VLOOKUP(Calculations[[#This Row],[Waste 1]],WasteScenario[#All],2,FALSE)*'Stage assumptions'!$C$225*WasteTransportMethod[Emissions Factor
kgCO2e/kg.km]*Calculations[[#This Row],[Total Kg]],0)</f>
        <v>0</v>
      </c>
      <c r="U1211" s="322" cm="1">
        <f t="array" ref="U1211">IFERROR(VLOOKUP(Calculations[[#This Row],[Waste 1]],WasteScenario[#All],3,FALSE)*'Stage assumptions'!$C$224*WasteTransportMethod[Emissions Factor
kgCO2e/kg.km]*Calculations[[#This Row],[Total Kg]],0)</f>
        <v>0</v>
      </c>
      <c r="V1211" s="322" cm="1">
        <f t="array" ref="V1211">IFERROR(VLOOKUP(Calculations[[#This Row],[Waste 1]],WasteScenario[#All],4,FALSE)*'Stage assumptions'!$C$223*WasteTransportMethod[Emissions Factor
kgCO2e/kg.km]*Calculations[[#This Row],[Total Kg]],0)</f>
        <v>0</v>
      </c>
      <c r="W1211" s="322" cm="1">
        <f t="array" ref="W1211">IFERROR(VLOOKUP(Calculations[[#This Row],[Waste 1]],WasteScenario[#All],5,FALSE)*'Stage assumptions'!$C$226*WasteTransportMethod[Emissions Factor
kgCO2e/kg.km]*Calculations[[#This Row],[Total Kg]],0)</f>
        <v>0</v>
      </c>
      <c r="X1211" s="322">
        <f>SUM(Calculations[[#This Row],[C2 Recycle]:[C2 Reuse]])</f>
        <v>0</v>
      </c>
      <c r="Y1211" t="str">
        <f>IFERROR(VLOOKUP(Calculations[[#This Row],[Material (choose from dropdown]],MaterialData[#All],5,FALSE),"")</f>
        <v/>
      </c>
      <c r="Z1211" s="322">
        <f>IFERROR(((VLOOKUP(Calculations[[#This Row],[Waste type 2]],WasteDisposalEmissions[#All],2,FALSE))*Calculations[[#This Row],[Total Kg]])*VLOOKUP(Calculations[[#This Row],[Waste 1]],WasteScenario[#All],2,FALSE),0)</f>
        <v>0</v>
      </c>
      <c r="AA1211" s="322">
        <f>IFERROR((VLOOKUP(Calculations[[#This Row],[Waste type 2]],WasteDisposalEmissions[#All],3,FALSE))*Calculations[[#This Row],[Total Kg]]*VLOOKUP(Calculations[[#This Row],[Waste 1]],WasteScenario[#All],3,FALSE),0)</f>
        <v>0</v>
      </c>
      <c r="AB1211" s="322">
        <f>SUM(Calculations[[#This Row],[C3 recyc]:[C3 incin]])</f>
        <v>0</v>
      </c>
      <c r="AC1211" s="334">
        <f>IFERROR((VLOOKUP(Calculations[[#This Row],[Waste type 2]],WasteLandfillEmissions[#All],2,FALSE))*Calculations[[#This Row],[Total Kg]]*VLOOKUP(Calculations[[#This Row],[Waste 1]],WasteScenario[#All],4,FALSE),0)</f>
        <v>0</v>
      </c>
      <c r="AD1211" s="322">
        <f>IFERROR((VLOOKUP(Calculations[[#This Row],[Waste type 2]],WasteLandfillEmissions[#All],3,FALSE))*Calculations[[#This Row],[Total Kg]]*VLOOKUP(Calculations[[#This Row],[Waste 1]],WasteScenario[#All],4,FALSE),0)</f>
        <v>0</v>
      </c>
      <c r="AE1211" s="322">
        <f>SUM(Calculations[[#This Row],[C4 landfill]:[C4 re-use]])</f>
        <v>0</v>
      </c>
      <c r="AF1211" s="322">
        <f>IFERROR(VLOOKUP(Calculations[[#This Row],[Material (choose from dropdown]],MaterialData[#All],8,FALSE),0)</f>
        <v>0</v>
      </c>
      <c r="AG1211" s="322">
        <f>IFERROR(Calculations[[#This Row],[Total Kg]]*Calculations[[#This Row],[Seq factor]],0)</f>
        <v>0</v>
      </c>
      <c r="AI1211" s="322">
        <f>Calculations[[#This Row],[A1-3]]+Calculations[[#This Row],[A4]]+Calculations[[#This Row],[A5]]+Calculations[[#This Row],[B4]]+Calculations[[#This Row],[C2 total]]+Calculations[[#This Row],[C3 total]]+Calculations[[#This Row],[C4 total]]</f>
        <v>0</v>
      </c>
      <c r="AJ1211" s="2">
        <f>IFERROR(VLOOKUP(Calculations[[#This Row],[Material (choose from dropdown]],MaterialData[[#Headers],[#Data]],9,FALSE),0)</f>
        <v>0</v>
      </c>
      <c r="AK1211" s="4">
        <f>IFERROR(VLOOKUP(Calculations[[#This Row],[Material (choose from dropdown]],MaterialData[[#Headers],[#Data]],10,FALSE),0)</f>
        <v>0</v>
      </c>
      <c r="AL1211" s="322">
        <f>IFERROR(Calculations[[#This Row],[Data Quality Score]]*Calculations[[#This Row],[Total Kg]],0)</f>
        <v>0</v>
      </c>
    </row>
    <row r="1212" spans="1:38" x14ac:dyDescent="0.3">
      <c r="A1212" s="6">
        <f>IFERROR(MaterialsBoQ[[#This Row],[Scope Element]],0)</f>
        <v>0</v>
      </c>
      <c r="B1212" t="str">
        <f>IFERROR(MaterialsBoQ[[#This Row],[Material ]],"")</f>
        <v/>
      </c>
      <c r="C1212" t="str">
        <f>IFERROR(MaterialsBoQ[[#This Row],[Unit]],"")</f>
        <v/>
      </c>
      <c r="D1212" s="322">
        <f>IFERROR(MaterialsBoQ[[#This Row],[Number]],0)</f>
        <v>0</v>
      </c>
      <c r="E1212" s="322">
        <f>IFERROR(MaterialsBoQ[[#This Row],[Kg per unit]],0)</f>
        <v>0</v>
      </c>
      <c r="F1212" s="322">
        <f>IFERROR(Calculations[[#This Row],[Number]]*Calculations[[#This Row],[Conversion factor]],0)</f>
        <v>0</v>
      </c>
      <c r="G1212" s="322">
        <f>IFERROR(VLOOKUP(Calculations[[#This Row],[Material (choose from dropdown]],MaterialData[#All],7,FALSE),0)</f>
        <v>0</v>
      </c>
      <c r="H1212" s="322">
        <f>Calculations[[#This Row],[Total Kg]]*Calculations[[#This Row],[Carbon Factor]]</f>
        <v>0</v>
      </c>
      <c r="I1212" t="str">
        <f>IFERROR(VLOOKUP(Calculations[[#This Row],[Material (choose from dropdown]],MaterialData[#All],2,FALSE),"")</f>
        <v/>
      </c>
      <c r="J1212" s="322">
        <f>IFERROR(((VLOOKUP(Calculations[[#This Row],[TransportSource]],TransportDistance[],2,FALSE)*'Stage assumptions'!$C$11)+VLOOKUP(Calculations[[#This Row],[TransportSource]],TransportDistance[],3,FALSE)*'Stage assumptions'!$C$12)*Calculations[[#This Row],[Total Kg]],0)</f>
        <v>0</v>
      </c>
      <c r="K1212">
        <f>IFERROR(VLOOKUP(Calculations[[#This Row],[Material (choose from dropdown]], MaterialData[#All],3, FALSE),0)</f>
        <v>0</v>
      </c>
      <c r="L1212" s="322">
        <f>IFERROR(VLOOKUP(Calculations[[#This Row],[A5type]],A5WastageRate[#All],2,FALSE)*Calculations[[#This Row],[A1-3]],0)</f>
        <v>0</v>
      </c>
      <c r="N1212">
        <f>IFERROR(ROUNDUP(50/VLOOKUP(Calculations[[#This Row],[Scope Element]],B4referenceServiceLife[[Tier 2 element]:[Default Service Life]],2, FALSE)-1,0),0)</f>
        <v>0</v>
      </c>
      <c r="O1212" s="322">
        <f>IFERROR((Calculations[[#This Row],[A1-3]]+Calculations[[#This Row],[A4]]+Calculations[[#This Row],[A5]]+Calculations[[#This Row],[C2 total]]+Calculations[[#This Row],[C3 total]]+Calculations[[#This Row],[C4 total]])*Calculations[[#This Row],[Replacements]],0)</f>
        <v>0</v>
      </c>
      <c r="S1212" t="str">
        <f>IFERROR(VLOOKUP(Calculations[[#This Row],[Material (choose from dropdown]],MaterialData[#All],4,FALSE),"")</f>
        <v/>
      </c>
      <c r="T1212" s="322" cm="1">
        <f t="array" ref="T1212">IFERROR(VLOOKUP(Calculations[[#This Row],[Waste 1]],WasteScenario[#All],2,FALSE)*'Stage assumptions'!$C$225*WasteTransportMethod[Emissions Factor
kgCO2e/kg.km]*Calculations[[#This Row],[Total Kg]],0)</f>
        <v>0</v>
      </c>
      <c r="U1212" s="322" cm="1">
        <f t="array" ref="U1212">IFERROR(VLOOKUP(Calculations[[#This Row],[Waste 1]],WasteScenario[#All],3,FALSE)*'Stage assumptions'!$C$224*WasteTransportMethod[Emissions Factor
kgCO2e/kg.km]*Calculations[[#This Row],[Total Kg]],0)</f>
        <v>0</v>
      </c>
      <c r="V1212" s="322" cm="1">
        <f t="array" ref="V1212">IFERROR(VLOOKUP(Calculations[[#This Row],[Waste 1]],WasteScenario[#All],4,FALSE)*'Stage assumptions'!$C$223*WasteTransportMethod[Emissions Factor
kgCO2e/kg.km]*Calculations[[#This Row],[Total Kg]],0)</f>
        <v>0</v>
      </c>
      <c r="W1212" s="322" cm="1">
        <f t="array" ref="W1212">IFERROR(VLOOKUP(Calculations[[#This Row],[Waste 1]],WasteScenario[#All],5,FALSE)*'Stage assumptions'!$C$226*WasteTransportMethod[Emissions Factor
kgCO2e/kg.km]*Calculations[[#This Row],[Total Kg]],0)</f>
        <v>0</v>
      </c>
      <c r="X1212" s="322">
        <f>SUM(Calculations[[#This Row],[C2 Recycle]:[C2 Reuse]])</f>
        <v>0</v>
      </c>
      <c r="Y1212" t="str">
        <f>IFERROR(VLOOKUP(Calculations[[#This Row],[Material (choose from dropdown]],MaterialData[#All],5,FALSE),"")</f>
        <v/>
      </c>
      <c r="Z1212" s="322">
        <f>IFERROR(((VLOOKUP(Calculations[[#This Row],[Waste type 2]],WasteDisposalEmissions[#All],2,FALSE))*Calculations[[#This Row],[Total Kg]])*VLOOKUP(Calculations[[#This Row],[Waste 1]],WasteScenario[#All],2,FALSE),0)</f>
        <v>0</v>
      </c>
      <c r="AA1212" s="322">
        <f>IFERROR((VLOOKUP(Calculations[[#This Row],[Waste type 2]],WasteDisposalEmissions[#All],3,FALSE))*Calculations[[#This Row],[Total Kg]]*VLOOKUP(Calculations[[#This Row],[Waste 1]],WasteScenario[#All],3,FALSE),0)</f>
        <v>0</v>
      </c>
      <c r="AB1212" s="322">
        <f>SUM(Calculations[[#This Row],[C3 recyc]:[C3 incin]])</f>
        <v>0</v>
      </c>
      <c r="AC1212" s="334">
        <f>IFERROR((VLOOKUP(Calculations[[#This Row],[Waste type 2]],WasteLandfillEmissions[#All],2,FALSE))*Calculations[[#This Row],[Total Kg]]*VLOOKUP(Calculations[[#This Row],[Waste 1]],WasteScenario[#All],4,FALSE),0)</f>
        <v>0</v>
      </c>
      <c r="AD1212" s="322">
        <f>IFERROR((VLOOKUP(Calculations[[#This Row],[Waste type 2]],WasteLandfillEmissions[#All],3,FALSE))*Calculations[[#This Row],[Total Kg]]*VLOOKUP(Calculations[[#This Row],[Waste 1]],WasteScenario[#All],4,FALSE),0)</f>
        <v>0</v>
      </c>
      <c r="AE1212" s="322">
        <f>SUM(Calculations[[#This Row],[C4 landfill]:[C4 re-use]])</f>
        <v>0</v>
      </c>
      <c r="AF1212" s="322">
        <f>IFERROR(VLOOKUP(Calculations[[#This Row],[Material (choose from dropdown]],MaterialData[#All],8,FALSE),0)</f>
        <v>0</v>
      </c>
      <c r="AG1212" s="322">
        <f>IFERROR(Calculations[[#This Row],[Total Kg]]*Calculations[[#This Row],[Seq factor]],0)</f>
        <v>0</v>
      </c>
      <c r="AI1212" s="322">
        <f>Calculations[[#This Row],[A1-3]]+Calculations[[#This Row],[A4]]+Calculations[[#This Row],[A5]]+Calculations[[#This Row],[B4]]+Calculations[[#This Row],[C2 total]]+Calculations[[#This Row],[C3 total]]+Calculations[[#This Row],[C4 total]]</f>
        <v>0</v>
      </c>
      <c r="AJ1212" s="2">
        <f>IFERROR(VLOOKUP(Calculations[[#This Row],[Material (choose from dropdown]],MaterialData[[#Headers],[#Data]],9,FALSE),0)</f>
        <v>0</v>
      </c>
      <c r="AK1212" s="4">
        <f>IFERROR(VLOOKUP(Calculations[[#This Row],[Material (choose from dropdown]],MaterialData[[#Headers],[#Data]],10,FALSE),0)</f>
        <v>0</v>
      </c>
      <c r="AL1212" s="322">
        <f>IFERROR(Calculations[[#This Row],[Data Quality Score]]*Calculations[[#This Row],[Total Kg]],0)</f>
        <v>0</v>
      </c>
    </row>
    <row r="1213" spans="1:38" x14ac:dyDescent="0.3">
      <c r="A1213" s="6">
        <f>IFERROR(MaterialsBoQ[[#This Row],[Scope Element]],0)</f>
        <v>0</v>
      </c>
      <c r="B1213" t="str">
        <f>IFERROR(MaterialsBoQ[[#This Row],[Material ]],"")</f>
        <v/>
      </c>
      <c r="C1213" t="str">
        <f>IFERROR(MaterialsBoQ[[#This Row],[Unit]],"")</f>
        <v/>
      </c>
      <c r="D1213" s="322">
        <f>IFERROR(MaterialsBoQ[[#This Row],[Number]],0)</f>
        <v>0</v>
      </c>
      <c r="E1213" s="322">
        <f>IFERROR(MaterialsBoQ[[#This Row],[Kg per unit]],0)</f>
        <v>0</v>
      </c>
      <c r="F1213" s="322">
        <f>IFERROR(Calculations[[#This Row],[Number]]*Calculations[[#This Row],[Conversion factor]],0)</f>
        <v>0</v>
      </c>
      <c r="G1213" s="322">
        <f>IFERROR(VLOOKUP(Calculations[[#This Row],[Material (choose from dropdown]],MaterialData[#All],7,FALSE),0)</f>
        <v>0</v>
      </c>
      <c r="H1213" s="322">
        <f>Calculations[[#This Row],[Total Kg]]*Calculations[[#This Row],[Carbon Factor]]</f>
        <v>0</v>
      </c>
      <c r="I1213" t="str">
        <f>IFERROR(VLOOKUP(Calculations[[#This Row],[Material (choose from dropdown]],MaterialData[#All],2,FALSE),"")</f>
        <v/>
      </c>
      <c r="J1213" s="322">
        <f>IFERROR(((VLOOKUP(Calculations[[#This Row],[TransportSource]],TransportDistance[],2,FALSE)*'Stage assumptions'!$C$11)+VLOOKUP(Calculations[[#This Row],[TransportSource]],TransportDistance[],3,FALSE)*'Stage assumptions'!$C$12)*Calculations[[#This Row],[Total Kg]],0)</f>
        <v>0</v>
      </c>
      <c r="K1213">
        <f>IFERROR(VLOOKUP(Calculations[[#This Row],[Material (choose from dropdown]], MaterialData[#All],3, FALSE),0)</f>
        <v>0</v>
      </c>
      <c r="L1213" s="322">
        <f>IFERROR(VLOOKUP(Calculations[[#This Row],[A5type]],A5WastageRate[#All],2,FALSE)*Calculations[[#This Row],[A1-3]],0)</f>
        <v>0</v>
      </c>
      <c r="N1213">
        <f>IFERROR(ROUNDUP(50/VLOOKUP(Calculations[[#This Row],[Scope Element]],B4referenceServiceLife[[Tier 2 element]:[Default Service Life]],2, FALSE)-1,0),0)</f>
        <v>0</v>
      </c>
      <c r="O1213" s="322">
        <f>IFERROR((Calculations[[#This Row],[A1-3]]+Calculations[[#This Row],[A4]]+Calculations[[#This Row],[A5]]+Calculations[[#This Row],[C2 total]]+Calculations[[#This Row],[C3 total]]+Calculations[[#This Row],[C4 total]])*Calculations[[#This Row],[Replacements]],0)</f>
        <v>0</v>
      </c>
      <c r="S1213" t="str">
        <f>IFERROR(VLOOKUP(Calculations[[#This Row],[Material (choose from dropdown]],MaterialData[#All],4,FALSE),"")</f>
        <v/>
      </c>
      <c r="T1213" s="322" cm="1">
        <f t="array" ref="T1213">IFERROR(VLOOKUP(Calculations[[#This Row],[Waste 1]],WasteScenario[#All],2,FALSE)*'Stage assumptions'!$C$225*WasteTransportMethod[Emissions Factor
kgCO2e/kg.km]*Calculations[[#This Row],[Total Kg]],0)</f>
        <v>0</v>
      </c>
      <c r="U1213" s="322" cm="1">
        <f t="array" ref="U1213">IFERROR(VLOOKUP(Calculations[[#This Row],[Waste 1]],WasteScenario[#All],3,FALSE)*'Stage assumptions'!$C$224*WasteTransportMethod[Emissions Factor
kgCO2e/kg.km]*Calculations[[#This Row],[Total Kg]],0)</f>
        <v>0</v>
      </c>
      <c r="V1213" s="322" cm="1">
        <f t="array" ref="V1213">IFERROR(VLOOKUP(Calculations[[#This Row],[Waste 1]],WasteScenario[#All],4,FALSE)*'Stage assumptions'!$C$223*WasteTransportMethod[Emissions Factor
kgCO2e/kg.km]*Calculations[[#This Row],[Total Kg]],0)</f>
        <v>0</v>
      </c>
      <c r="W1213" s="322" cm="1">
        <f t="array" ref="W1213">IFERROR(VLOOKUP(Calculations[[#This Row],[Waste 1]],WasteScenario[#All],5,FALSE)*'Stage assumptions'!$C$226*WasteTransportMethod[Emissions Factor
kgCO2e/kg.km]*Calculations[[#This Row],[Total Kg]],0)</f>
        <v>0</v>
      </c>
      <c r="X1213" s="322">
        <f>SUM(Calculations[[#This Row],[C2 Recycle]:[C2 Reuse]])</f>
        <v>0</v>
      </c>
      <c r="Y1213" t="str">
        <f>IFERROR(VLOOKUP(Calculations[[#This Row],[Material (choose from dropdown]],MaterialData[#All],5,FALSE),"")</f>
        <v/>
      </c>
      <c r="Z1213" s="322">
        <f>IFERROR(((VLOOKUP(Calculations[[#This Row],[Waste type 2]],WasteDisposalEmissions[#All],2,FALSE))*Calculations[[#This Row],[Total Kg]])*VLOOKUP(Calculations[[#This Row],[Waste 1]],WasteScenario[#All],2,FALSE),0)</f>
        <v>0</v>
      </c>
      <c r="AA1213" s="322">
        <f>IFERROR((VLOOKUP(Calculations[[#This Row],[Waste type 2]],WasteDisposalEmissions[#All],3,FALSE))*Calculations[[#This Row],[Total Kg]]*VLOOKUP(Calculations[[#This Row],[Waste 1]],WasteScenario[#All],3,FALSE),0)</f>
        <v>0</v>
      </c>
      <c r="AB1213" s="322">
        <f>SUM(Calculations[[#This Row],[C3 recyc]:[C3 incin]])</f>
        <v>0</v>
      </c>
      <c r="AC1213" s="334">
        <f>IFERROR((VLOOKUP(Calculations[[#This Row],[Waste type 2]],WasteLandfillEmissions[#All],2,FALSE))*Calculations[[#This Row],[Total Kg]]*VLOOKUP(Calculations[[#This Row],[Waste 1]],WasteScenario[#All],4,FALSE),0)</f>
        <v>0</v>
      </c>
      <c r="AD1213" s="322">
        <f>IFERROR((VLOOKUP(Calculations[[#This Row],[Waste type 2]],WasteLandfillEmissions[#All],3,FALSE))*Calculations[[#This Row],[Total Kg]]*VLOOKUP(Calculations[[#This Row],[Waste 1]],WasteScenario[#All],4,FALSE),0)</f>
        <v>0</v>
      </c>
      <c r="AE1213" s="322">
        <f>SUM(Calculations[[#This Row],[C4 landfill]:[C4 re-use]])</f>
        <v>0</v>
      </c>
      <c r="AF1213" s="322">
        <f>IFERROR(VLOOKUP(Calculations[[#This Row],[Material (choose from dropdown]],MaterialData[#All],8,FALSE),0)</f>
        <v>0</v>
      </c>
      <c r="AG1213" s="322">
        <f>IFERROR(Calculations[[#This Row],[Total Kg]]*Calculations[[#This Row],[Seq factor]],0)</f>
        <v>0</v>
      </c>
      <c r="AI1213" s="322">
        <f>Calculations[[#This Row],[A1-3]]+Calculations[[#This Row],[A4]]+Calculations[[#This Row],[A5]]+Calculations[[#This Row],[B4]]+Calculations[[#This Row],[C2 total]]+Calculations[[#This Row],[C3 total]]+Calculations[[#This Row],[C4 total]]</f>
        <v>0</v>
      </c>
      <c r="AJ1213" s="2">
        <f>IFERROR(VLOOKUP(Calculations[[#This Row],[Material (choose from dropdown]],MaterialData[[#Headers],[#Data]],9,FALSE),0)</f>
        <v>0</v>
      </c>
      <c r="AK1213" s="4">
        <f>IFERROR(VLOOKUP(Calculations[[#This Row],[Material (choose from dropdown]],MaterialData[[#Headers],[#Data]],10,FALSE),0)</f>
        <v>0</v>
      </c>
      <c r="AL1213" s="322">
        <f>IFERROR(Calculations[[#This Row],[Data Quality Score]]*Calculations[[#This Row],[Total Kg]],0)</f>
        <v>0</v>
      </c>
    </row>
    <row r="1214" spans="1:38" x14ac:dyDescent="0.3">
      <c r="A1214" s="6">
        <f>IFERROR(MaterialsBoQ[[#This Row],[Scope Element]],0)</f>
        <v>0</v>
      </c>
      <c r="B1214" t="str">
        <f>IFERROR(MaterialsBoQ[[#This Row],[Material ]],"")</f>
        <v/>
      </c>
      <c r="C1214" t="str">
        <f>IFERROR(MaterialsBoQ[[#This Row],[Unit]],"")</f>
        <v/>
      </c>
      <c r="D1214" s="322">
        <f>IFERROR(MaterialsBoQ[[#This Row],[Number]],0)</f>
        <v>0</v>
      </c>
      <c r="E1214" s="322">
        <f>IFERROR(MaterialsBoQ[[#This Row],[Kg per unit]],0)</f>
        <v>0</v>
      </c>
      <c r="F1214" s="322">
        <f>IFERROR(Calculations[[#This Row],[Number]]*Calculations[[#This Row],[Conversion factor]],0)</f>
        <v>0</v>
      </c>
      <c r="G1214" s="322">
        <f>IFERROR(VLOOKUP(Calculations[[#This Row],[Material (choose from dropdown]],MaterialData[#All],7,FALSE),0)</f>
        <v>0</v>
      </c>
      <c r="H1214" s="322">
        <f>Calculations[[#This Row],[Total Kg]]*Calculations[[#This Row],[Carbon Factor]]</f>
        <v>0</v>
      </c>
      <c r="I1214" t="str">
        <f>IFERROR(VLOOKUP(Calculations[[#This Row],[Material (choose from dropdown]],MaterialData[#All],2,FALSE),"")</f>
        <v/>
      </c>
      <c r="J1214" s="322">
        <f>IFERROR(((VLOOKUP(Calculations[[#This Row],[TransportSource]],TransportDistance[],2,FALSE)*'Stage assumptions'!$C$11)+VLOOKUP(Calculations[[#This Row],[TransportSource]],TransportDistance[],3,FALSE)*'Stage assumptions'!$C$12)*Calculations[[#This Row],[Total Kg]],0)</f>
        <v>0</v>
      </c>
      <c r="K1214">
        <f>IFERROR(VLOOKUP(Calculations[[#This Row],[Material (choose from dropdown]], MaterialData[#All],3, FALSE),0)</f>
        <v>0</v>
      </c>
      <c r="L1214" s="322">
        <f>IFERROR(VLOOKUP(Calculations[[#This Row],[A5type]],A5WastageRate[#All],2,FALSE)*Calculations[[#This Row],[A1-3]],0)</f>
        <v>0</v>
      </c>
      <c r="N1214">
        <f>IFERROR(ROUNDUP(50/VLOOKUP(Calculations[[#This Row],[Scope Element]],B4referenceServiceLife[[Tier 2 element]:[Default Service Life]],2, FALSE)-1,0),0)</f>
        <v>0</v>
      </c>
      <c r="O1214" s="322">
        <f>IFERROR((Calculations[[#This Row],[A1-3]]+Calculations[[#This Row],[A4]]+Calculations[[#This Row],[A5]]+Calculations[[#This Row],[C2 total]]+Calculations[[#This Row],[C3 total]]+Calculations[[#This Row],[C4 total]])*Calculations[[#This Row],[Replacements]],0)</f>
        <v>0</v>
      </c>
      <c r="S1214" t="str">
        <f>IFERROR(VLOOKUP(Calculations[[#This Row],[Material (choose from dropdown]],MaterialData[#All],4,FALSE),"")</f>
        <v/>
      </c>
      <c r="T1214" s="322" cm="1">
        <f t="array" ref="T1214">IFERROR(VLOOKUP(Calculations[[#This Row],[Waste 1]],WasteScenario[#All],2,FALSE)*'Stage assumptions'!$C$225*WasteTransportMethod[Emissions Factor
kgCO2e/kg.km]*Calculations[[#This Row],[Total Kg]],0)</f>
        <v>0</v>
      </c>
      <c r="U1214" s="322" cm="1">
        <f t="array" ref="U1214">IFERROR(VLOOKUP(Calculations[[#This Row],[Waste 1]],WasteScenario[#All],3,FALSE)*'Stage assumptions'!$C$224*WasteTransportMethod[Emissions Factor
kgCO2e/kg.km]*Calculations[[#This Row],[Total Kg]],0)</f>
        <v>0</v>
      </c>
      <c r="V1214" s="322" cm="1">
        <f t="array" ref="V1214">IFERROR(VLOOKUP(Calculations[[#This Row],[Waste 1]],WasteScenario[#All],4,FALSE)*'Stage assumptions'!$C$223*WasteTransportMethod[Emissions Factor
kgCO2e/kg.km]*Calculations[[#This Row],[Total Kg]],0)</f>
        <v>0</v>
      </c>
      <c r="W1214" s="322" cm="1">
        <f t="array" ref="W1214">IFERROR(VLOOKUP(Calculations[[#This Row],[Waste 1]],WasteScenario[#All],5,FALSE)*'Stage assumptions'!$C$226*WasteTransportMethod[Emissions Factor
kgCO2e/kg.km]*Calculations[[#This Row],[Total Kg]],0)</f>
        <v>0</v>
      </c>
      <c r="X1214" s="322">
        <f>SUM(Calculations[[#This Row],[C2 Recycle]:[C2 Reuse]])</f>
        <v>0</v>
      </c>
      <c r="Y1214" t="str">
        <f>IFERROR(VLOOKUP(Calculations[[#This Row],[Material (choose from dropdown]],MaterialData[#All],5,FALSE),"")</f>
        <v/>
      </c>
      <c r="Z1214" s="322">
        <f>IFERROR(((VLOOKUP(Calculations[[#This Row],[Waste type 2]],WasteDisposalEmissions[#All],2,FALSE))*Calculations[[#This Row],[Total Kg]])*VLOOKUP(Calculations[[#This Row],[Waste 1]],WasteScenario[#All],2,FALSE),0)</f>
        <v>0</v>
      </c>
      <c r="AA1214" s="322">
        <f>IFERROR((VLOOKUP(Calculations[[#This Row],[Waste type 2]],WasteDisposalEmissions[#All],3,FALSE))*Calculations[[#This Row],[Total Kg]]*VLOOKUP(Calculations[[#This Row],[Waste 1]],WasteScenario[#All],3,FALSE),0)</f>
        <v>0</v>
      </c>
      <c r="AB1214" s="322">
        <f>SUM(Calculations[[#This Row],[C3 recyc]:[C3 incin]])</f>
        <v>0</v>
      </c>
      <c r="AC1214" s="334">
        <f>IFERROR((VLOOKUP(Calculations[[#This Row],[Waste type 2]],WasteLandfillEmissions[#All],2,FALSE))*Calculations[[#This Row],[Total Kg]]*VLOOKUP(Calculations[[#This Row],[Waste 1]],WasteScenario[#All],4,FALSE),0)</f>
        <v>0</v>
      </c>
      <c r="AD1214" s="322">
        <f>IFERROR((VLOOKUP(Calculations[[#This Row],[Waste type 2]],WasteLandfillEmissions[#All],3,FALSE))*Calculations[[#This Row],[Total Kg]]*VLOOKUP(Calculations[[#This Row],[Waste 1]],WasteScenario[#All],4,FALSE),0)</f>
        <v>0</v>
      </c>
      <c r="AE1214" s="322">
        <f>SUM(Calculations[[#This Row],[C4 landfill]:[C4 re-use]])</f>
        <v>0</v>
      </c>
      <c r="AF1214" s="322">
        <f>IFERROR(VLOOKUP(Calculations[[#This Row],[Material (choose from dropdown]],MaterialData[#All],8,FALSE),0)</f>
        <v>0</v>
      </c>
      <c r="AG1214" s="322">
        <f>IFERROR(Calculations[[#This Row],[Total Kg]]*Calculations[[#This Row],[Seq factor]],0)</f>
        <v>0</v>
      </c>
      <c r="AI1214" s="322">
        <f>Calculations[[#This Row],[A1-3]]+Calculations[[#This Row],[A4]]+Calculations[[#This Row],[A5]]+Calculations[[#This Row],[B4]]+Calculations[[#This Row],[C2 total]]+Calculations[[#This Row],[C3 total]]+Calculations[[#This Row],[C4 total]]</f>
        <v>0</v>
      </c>
      <c r="AJ1214" s="2">
        <f>IFERROR(VLOOKUP(Calculations[[#This Row],[Material (choose from dropdown]],MaterialData[[#Headers],[#Data]],9,FALSE),0)</f>
        <v>0</v>
      </c>
      <c r="AK1214" s="4">
        <f>IFERROR(VLOOKUP(Calculations[[#This Row],[Material (choose from dropdown]],MaterialData[[#Headers],[#Data]],10,FALSE),0)</f>
        <v>0</v>
      </c>
      <c r="AL1214" s="322">
        <f>IFERROR(Calculations[[#This Row],[Data Quality Score]]*Calculations[[#This Row],[Total Kg]],0)</f>
        <v>0</v>
      </c>
    </row>
    <row r="1215" spans="1:38" x14ac:dyDescent="0.3">
      <c r="A1215" s="6">
        <f>IFERROR(MaterialsBoQ[[#This Row],[Scope Element]],0)</f>
        <v>0</v>
      </c>
      <c r="B1215" t="str">
        <f>IFERROR(MaterialsBoQ[[#This Row],[Material ]],"")</f>
        <v/>
      </c>
      <c r="C1215" t="str">
        <f>IFERROR(MaterialsBoQ[[#This Row],[Unit]],"")</f>
        <v/>
      </c>
      <c r="D1215" s="322">
        <f>IFERROR(MaterialsBoQ[[#This Row],[Number]],0)</f>
        <v>0</v>
      </c>
      <c r="E1215" s="322">
        <f>IFERROR(MaterialsBoQ[[#This Row],[Kg per unit]],0)</f>
        <v>0</v>
      </c>
      <c r="F1215" s="322">
        <f>IFERROR(Calculations[[#This Row],[Number]]*Calculations[[#This Row],[Conversion factor]],0)</f>
        <v>0</v>
      </c>
      <c r="G1215" s="322">
        <f>IFERROR(VLOOKUP(Calculations[[#This Row],[Material (choose from dropdown]],MaterialData[#All],7,FALSE),0)</f>
        <v>0</v>
      </c>
      <c r="H1215" s="322">
        <f>Calculations[[#This Row],[Total Kg]]*Calculations[[#This Row],[Carbon Factor]]</f>
        <v>0</v>
      </c>
      <c r="I1215" t="str">
        <f>IFERROR(VLOOKUP(Calculations[[#This Row],[Material (choose from dropdown]],MaterialData[#All],2,FALSE),"")</f>
        <v/>
      </c>
      <c r="J1215" s="322">
        <f>IFERROR(((VLOOKUP(Calculations[[#This Row],[TransportSource]],TransportDistance[],2,FALSE)*'Stage assumptions'!$C$11)+VLOOKUP(Calculations[[#This Row],[TransportSource]],TransportDistance[],3,FALSE)*'Stage assumptions'!$C$12)*Calculations[[#This Row],[Total Kg]],0)</f>
        <v>0</v>
      </c>
      <c r="K1215">
        <f>IFERROR(VLOOKUP(Calculations[[#This Row],[Material (choose from dropdown]], MaterialData[#All],3, FALSE),0)</f>
        <v>0</v>
      </c>
      <c r="L1215" s="322">
        <f>IFERROR(VLOOKUP(Calculations[[#This Row],[A5type]],A5WastageRate[#All],2,FALSE)*Calculations[[#This Row],[A1-3]],0)</f>
        <v>0</v>
      </c>
      <c r="N1215">
        <f>IFERROR(ROUNDUP(50/VLOOKUP(Calculations[[#This Row],[Scope Element]],B4referenceServiceLife[[Tier 2 element]:[Default Service Life]],2, FALSE)-1,0),0)</f>
        <v>0</v>
      </c>
      <c r="O1215" s="322">
        <f>IFERROR((Calculations[[#This Row],[A1-3]]+Calculations[[#This Row],[A4]]+Calculations[[#This Row],[A5]]+Calculations[[#This Row],[C2 total]]+Calculations[[#This Row],[C3 total]]+Calculations[[#This Row],[C4 total]])*Calculations[[#This Row],[Replacements]],0)</f>
        <v>0</v>
      </c>
      <c r="S1215" t="str">
        <f>IFERROR(VLOOKUP(Calculations[[#This Row],[Material (choose from dropdown]],MaterialData[#All],4,FALSE),"")</f>
        <v/>
      </c>
      <c r="T1215" s="322" cm="1">
        <f t="array" ref="T1215">IFERROR(VLOOKUP(Calculations[[#This Row],[Waste 1]],WasteScenario[#All],2,FALSE)*'Stage assumptions'!$C$225*WasteTransportMethod[Emissions Factor
kgCO2e/kg.km]*Calculations[[#This Row],[Total Kg]],0)</f>
        <v>0</v>
      </c>
      <c r="U1215" s="322" cm="1">
        <f t="array" ref="U1215">IFERROR(VLOOKUP(Calculations[[#This Row],[Waste 1]],WasteScenario[#All],3,FALSE)*'Stage assumptions'!$C$224*WasteTransportMethod[Emissions Factor
kgCO2e/kg.km]*Calculations[[#This Row],[Total Kg]],0)</f>
        <v>0</v>
      </c>
      <c r="V1215" s="322" cm="1">
        <f t="array" ref="V1215">IFERROR(VLOOKUP(Calculations[[#This Row],[Waste 1]],WasteScenario[#All],4,FALSE)*'Stage assumptions'!$C$223*WasteTransportMethod[Emissions Factor
kgCO2e/kg.km]*Calculations[[#This Row],[Total Kg]],0)</f>
        <v>0</v>
      </c>
      <c r="W1215" s="322" cm="1">
        <f t="array" ref="W1215">IFERROR(VLOOKUP(Calculations[[#This Row],[Waste 1]],WasteScenario[#All],5,FALSE)*'Stage assumptions'!$C$226*WasteTransportMethod[Emissions Factor
kgCO2e/kg.km]*Calculations[[#This Row],[Total Kg]],0)</f>
        <v>0</v>
      </c>
      <c r="X1215" s="322">
        <f>SUM(Calculations[[#This Row],[C2 Recycle]:[C2 Reuse]])</f>
        <v>0</v>
      </c>
      <c r="Y1215" t="str">
        <f>IFERROR(VLOOKUP(Calculations[[#This Row],[Material (choose from dropdown]],MaterialData[#All],5,FALSE),"")</f>
        <v/>
      </c>
      <c r="Z1215" s="322">
        <f>IFERROR(((VLOOKUP(Calculations[[#This Row],[Waste type 2]],WasteDisposalEmissions[#All],2,FALSE))*Calculations[[#This Row],[Total Kg]])*VLOOKUP(Calculations[[#This Row],[Waste 1]],WasteScenario[#All],2,FALSE),0)</f>
        <v>0</v>
      </c>
      <c r="AA1215" s="322">
        <f>IFERROR((VLOOKUP(Calculations[[#This Row],[Waste type 2]],WasteDisposalEmissions[#All],3,FALSE))*Calculations[[#This Row],[Total Kg]]*VLOOKUP(Calculations[[#This Row],[Waste 1]],WasteScenario[#All],3,FALSE),0)</f>
        <v>0</v>
      </c>
      <c r="AB1215" s="322">
        <f>SUM(Calculations[[#This Row],[C3 recyc]:[C3 incin]])</f>
        <v>0</v>
      </c>
      <c r="AC1215" s="334">
        <f>IFERROR((VLOOKUP(Calculations[[#This Row],[Waste type 2]],WasteLandfillEmissions[#All],2,FALSE))*Calculations[[#This Row],[Total Kg]]*VLOOKUP(Calculations[[#This Row],[Waste 1]],WasteScenario[#All],4,FALSE),0)</f>
        <v>0</v>
      </c>
      <c r="AD1215" s="322">
        <f>IFERROR((VLOOKUP(Calculations[[#This Row],[Waste type 2]],WasteLandfillEmissions[#All],3,FALSE))*Calculations[[#This Row],[Total Kg]]*VLOOKUP(Calculations[[#This Row],[Waste 1]],WasteScenario[#All],4,FALSE),0)</f>
        <v>0</v>
      </c>
      <c r="AE1215" s="322">
        <f>SUM(Calculations[[#This Row],[C4 landfill]:[C4 re-use]])</f>
        <v>0</v>
      </c>
      <c r="AF1215" s="322">
        <f>IFERROR(VLOOKUP(Calculations[[#This Row],[Material (choose from dropdown]],MaterialData[#All],8,FALSE),0)</f>
        <v>0</v>
      </c>
      <c r="AG1215" s="322">
        <f>IFERROR(Calculations[[#This Row],[Total Kg]]*Calculations[[#This Row],[Seq factor]],0)</f>
        <v>0</v>
      </c>
      <c r="AI1215" s="322">
        <f>Calculations[[#This Row],[A1-3]]+Calculations[[#This Row],[A4]]+Calculations[[#This Row],[A5]]+Calculations[[#This Row],[B4]]+Calculations[[#This Row],[C2 total]]+Calculations[[#This Row],[C3 total]]+Calculations[[#This Row],[C4 total]]</f>
        <v>0</v>
      </c>
      <c r="AJ1215" s="2">
        <f>IFERROR(VLOOKUP(Calculations[[#This Row],[Material (choose from dropdown]],MaterialData[[#Headers],[#Data]],9,FALSE),0)</f>
        <v>0</v>
      </c>
      <c r="AK1215" s="4">
        <f>IFERROR(VLOOKUP(Calculations[[#This Row],[Material (choose from dropdown]],MaterialData[[#Headers],[#Data]],10,FALSE),0)</f>
        <v>0</v>
      </c>
      <c r="AL1215" s="322">
        <f>IFERROR(Calculations[[#This Row],[Data Quality Score]]*Calculations[[#This Row],[Total Kg]],0)</f>
        <v>0</v>
      </c>
    </row>
    <row r="1216" spans="1:38" x14ac:dyDescent="0.3">
      <c r="A1216" s="6">
        <f>IFERROR(MaterialsBoQ[[#This Row],[Scope Element]],0)</f>
        <v>0</v>
      </c>
      <c r="B1216" t="str">
        <f>IFERROR(MaterialsBoQ[[#This Row],[Material ]],"")</f>
        <v/>
      </c>
      <c r="C1216" t="str">
        <f>IFERROR(MaterialsBoQ[[#This Row],[Unit]],"")</f>
        <v/>
      </c>
      <c r="D1216" s="322">
        <f>IFERROR(MaterialsBoQ[[#This Row],[Number]],0)</f>
        <v>0</v>
      </c>
      <c r="E1216" s="322">
        <f>IFERROR(MaterialsBoQ[[#This Row],[Kg per unit]],0)</f>
        <v>0</v>
      </c>
      <c r="F1216" s="322">
        <f>IFERROR(Calculations[[#This Row],[Number]]*Calculations[[#This Row],[Conversion factor]],0)</f>
        <v>0</v>
      </c>
      <c r="G1216" s="322">
        <f>IFERROR(VLOOKUP(Calculations[[#This Row],[Material (choose from dropdown]],MaterialData[#All],7,FALSE),0)</f>
        <v>0</v>
      </c>
      <c r="H1216" s="322">
        <f>Calculations[[#This Row],[Total Kg]]*Calculations[[#This Row],[Carbon Factor]]</f>
        <v>0</v>
      </c>
      <c r="I1216" t="str">
        <f>IFERROR(VLOOKUP(Calculations[[#This Row],[Material (choose from dropdown]],MaterialData[#All],2,FALSE),"")</f>
        <v/>
      </c>
      <c r="J1216" s="322">
        <f>IFERROR(((VLOOKUP(Calculations[[#This Row],[TransportSource]],TransportDistance[],2,FALSE)*'Stage assumptions'!$C$11)+VLOOKUP(Calculations[[#This Row],[TransportSource]],TransportDistance[],3,FALSE)*'Stage assumptions'!$C$12)*Calculations[[#This Row],[Total Kg]],0)</f>
        <v>0</v>
      </c>
      <c r="K1216">
        <f>IFERROR(VLOOKUP(Calculations[[#This Row],[Material (choose from dropdown]], MaterialData[#All],3, FALSE),0)</f>
        <v>0</v>
      </c>
      <c r="L1216" s="322">
        <f>IFERROR(VLOOKUP(Calculations[[#This Row],[A5type]],A5WastageRate[#All],2,FALSE)*Calculations[[#This Row],[A1-3]],0)</f>
        <v>0</v>
      </c>
      <c r="N1216">
        <f>IFERROR(ROUNDUP(50/VLOOKUP(Calculations[[#This Row],[Scope Element]],B4referenceServiceLife[[Tier 2 element]:[Default Service Life]],2, FALSE)-1,0),0)</f>
        <v>0</v>
      </c>
      <c r="O1216" s="322">
        <f>IFERROR((Calculations[[#This Row],[A1-3]]+Calculations[[#This Row],[A4]]+Calculations[[#This Row],[A5]]+Calculations[[#This Row],[C2 total]]+Calculations[[#This Row],[C3 total]]+Calculations[[#This Row],[C4 total]])*Calculations[[#This Row],[Replacements]],0)</f>
        <v>0</v>
      </c>
      <c r="S1216" t="str">
        <f>IFERROR(VLOOKUP(Calculations[[#This Row],[Material (choose from dropdown]],MaterialData[#All],4,FALSE),"")</f>
        <v/>
      </c>
      <c r="T1216" s="322" cm="1">
        <f t="array" ref="T1216">IFERROR(VLOOKUP(Calculations[[#This Row],[Waste 1]],WasteScenario[#All],2,FALSE)*'Stage assumptions'!$C$225*WasteTransportMethod[Emissions Factor
kgCO2e/kg.km]*Calculations[[#This Row],[Total Kg]],0)</f>
        <v>0</v>
      </c>
      <c r="U1216" s="322" cm="1">
        <f t="array" ref="U1216">IFERROR(VLOOKUP(Calculations[[#This Row],[Waste 1]],WasteScenario[#All],3,FALSE)*'Stage assumptions'!$C$224*WasteTransportMethod[Emissions Factor
kgCO2e/kg.km]*Calculations[[#This Row],[Total Kg]],0)</f>
        <v>0</v>
      </c>
      <c r="V1216" s="322" cm="1">
        <f t="array" ref="V1216">IFERROR(VLOOKUP(Calculations[[#This Row],[Waste 1]],WasteScenario[#All],4,FALSE)*'Stage assumptions'!$C$223*WasteTransportMethod[Emissions Factor
kgCO2e/kg.km]*Calculations[[#This Row],[Total Kg]],0)</f>
        <v>0</v>
      </c>
      <c r="W1216" s="322" cm="1">
        <f t="array" ref="W1216">IFERROR(VLOOKUP(Calculations[[#This Row],[Waste 1]],WasteScenario[#All],5,FALSE)*'Stage assumptions'!$C$226*WasteTransportMethod[Emissions Factor
kgCO2e/kg.km]*Calculations[[#This Row],[Total Kg]],0)</f>
        <v>0</v>
      </c>
      <c r="X1216" s="322">
        <f>SUM(Calculations[[#This Row],[C2 Recycle]:[C2 Reuse]])</f>
        <v>0</v>
      </c>
      <c r="Y1216" t="str">
        <f>IFERROR(VLOOKUP(Calculations[[#This Row],[Material (choose from dropdown]],MaterialData[#All],5,FALSE),"")</f>
        <v/>
      </c>
      <c r="Z1216" s="322">
        <f>IFERROR(((VLOOKUP(Calculations[[#This Row],[Waste type 2]],WasteDisposalEmissions[#All],2,FALSE))*Calculations[[#This Row],[Total Kg]])*VLOOKUP(Calculations[[#This Row],[Waste 1]],WasteScenario[#All],2,FALSE),0)</f>
        <v>0</v>
      </c>
      <c r="AA1216" s="322">
        <f>IFERROR((VLOOKUP(Calculations[[#This Row],[Waste type 2]],WasteDisposalEmissions[#All],3,FALSE))*Calculations[[#This Row],[Total Kg]]*VLOOKUP(Calculations[[#This Row],[Waste 1]],WasteScenario[#All],3,FALSE),0)</f>
        <v>0</v>
      </c>
      <c r="AB1216" s="322">
        <f>SUM(Calculations[[#This Row],[C3 recyc]:[C3 incin]])</f>
        <v>0</v>
      </c>
      <c r="AC1216" s="334">
        <f>IFERROR((VLOOKUP(Calculations[[#This Row],[Waste type 2]],WasteLandfillEmissions[#All],2,FALSE))*Calculations[[#This Row],[Total Kg]]*VLOOKUP(Calculations[[#This Row],[Waste 1]],WasteScenario[#All],4,FALSE),0)</f>
        <v>0</v>
      </c>
      <c r="AD1216" s="322">
        <f>IFERROR((VLOOKUP(Calculations[[#This Row],[Waste type 2]],WasteLandfillEmissions[#All],3,FALSE))*Calculations[[#This Row],[Total Kg]]*VLOOKUP(Calculations[[#This Row],[Waste 1]],WasteScenario[#All],4,FALSE),0)</f>
        <v>0</v>
      </c>
      <c r="AE1216" s="322">
        <f>SUM(Calculations[[#This Row],[C4 landfill]:[C4 re-use]])</f>
        <v>0</v>
      </c>
      <c r="AF1216" s="322">
        <f>IFERROR(VLOOKUP(Calculations[[#This Row],[Material (choose from dropdown]],MaterialData[#All],8,FALSE),0)</f>
        <v>0</v>
      </c>
      <c r="AG1216" s="322">
        <f>IFERROR(Calculations[[#This Row],[Total Kg]]*Calculations[[#This Row],[Seq factor]],0)</f>
        <v>0</v>
      </c>
      <c r="AI1216" s="322">
        <f>Calculations[[#This Row],[A1-3]]+Calculations[[#This Row],[A4]]+Calculations[[#This Row],[A5]]+Calculations[[#This Row],[B4]]+Calculations[[#This Row],[C2 total]]+Calculations[[#This Row],[C3 total]]+Calculations[[#This Row],[C4 total]]</f>
        <v>0</v>
      </c>
      <c r="AJ1216" s="2">
        <f>IFERROR(VLOOKUP(Calculations[[#This Row],[Material (choose from dropdown]],MaterialData[[#Headers],[#Data]],9,FALSE),0)</f>
        <v>0</v>
      </c>
      <c r="AK1216" s="4">
        <f>IFERROR(VLOOKUP(Calculations[[#This Row],[Material (choose from dropdown]],MaterialData[[#Headers],[#Data]],10,FALSE),0)</f>
        <v>0</v>
      </c>
      <c r="AL1216" s="322">
        <f>IFERROR(Calculations[[#This Row],[Data Quality Score]]*Calculations[[#This Row],[Total Kg]],0)</f>
        <v>0</v>
      </c>
    </row>
    <row r="1217" spans="1:38" x14ac:dyDescent="0.3">
      <c r="A1217" s="6">
        <f>IFERROR(MaterialsBoQ[[#This Row],[Scope Element]],0)</f>
        <v>0</v>
      </c>
      <c r="B1217" t="str">
        <f>IFERROR(MaterialsBoQ[[#This Row],[Material ]],"")</f>
        <v/>
      </c>
      <c r="C1217" t="str">
        <f>IFERROR(MaterialsBoQ[[#This Row],[Unit]],"")</f>
        <v/>
      </c>
      <c r="D1217" s="322">
        <f>IFERROR(MaterialsBoQ[[#This Row],[Number]],0)</f>
        <v>0</v>
      </c>
      <c r="E1217" s="322">
        <f>IFERROR(MaterialsBoQ[[#This Row],[Kg per unit]],0)</f>
        <v>0</v>
      </c>
      <c r="F1217" s="322">
        <f>IFERROR(Calculations[[#This Row],[Number]]*Calculations[[#This Row],[Conversion factor]],0)</f>
        <v>0</v>
      </c>
      <c r="G1217" s="322">
        <f>IFERROR(VLOOKUP(Calculations[[#This Row],[Material (choose from dropdown]],MaterialData[#All],7,FALSE),0)</f>
        <v>0</v>
      </c>
      <c r="H1217" s="322">
        <f>Calculations[[#This Row],[Total Kg]]*Calculations[[#This Row],[Carbon Factor]]</f>
        <v>0</v>
      </c>
      <c r="I1217" t="str">
        <f>IFERROR(VLOOKUP(Calculations[[#This Row],[Material (choose from dropdown]],MaterialData[#All],2,FALSE),"")</f>
        <v/>
      </c>
      <c r="J1217" s="322">
        <f>IFERROR(((VLOOKUP(Calculations[[#This Row],[TransportSource]],TransportDistance[],2,FALSE)*'Stage assumptions'!$C$11)+VLOOKUP(Calculations[[#This Row],[TransportSource]],TransportDistance[],3,FALSE)*'Stage assumptions'!$C$12)*Calculations[[#This Row],[Total Kg]],0)</f>
        <v>0</v>
      </c>
      <c r="K1217">
        <f>IFERROR(VLOOKUP(Calculations[[#This Row],[Material (choose from dropdown]], MaterialData[#All],3, FALSE),0)</f>
        <v>0</v>
      </c>
      <c r="L1217" s="322">
        <f>IFERROR(VLOOKUP(Calculations[[#This Row],[A5type]],A5WastageRate[#All],2,FALSE)*Calculations[[#This Row],[A1-3]],0)</f>
        <v>0</v>
      </c>
      <c r="N1217">
        <f>IFERROR(ROUNDUP(50/VLOOKUP(Calculations[[#This Row],[Scope Element]],B4referenceServiceLife[[Tier 2 element]:[Default Service Life]],2, FALSE)-1,0),0)</f>
        <v>0</v>
      </c>
      <c r="O1217" s="322">
        <f>IFERROR((Calculations[[#This Row],[A1-3]]+Calculations[[#This Row],[A4]]+Calculations[[#This Row],[A5]]+Calculations[[#This Row],[C2 total]]+Calculations[[#This Row],[C3 total]]+Calculations[[#This Row],[C4 total]])*Calculations[[#This Row],[Replacements]],0)</f>
        <v>0</v>
      </c>
      <c r="S1217" t="str">
        <f>IFERROR(VLOOKUP(Calculations[[#This Row],[Material (choose from dropdown]],MaterialData[#All],4,FALSE),"")</f>
        <v/>
      </c>
      <c r="T1217" s="322" cm="1">
        <f t="array" ref="T1217">IFERROR(VLOOKUP(Calculations[[#This Row],[Waste 1]],WasteScenario[#All],2,FALSE)*'Stage assumptions'!$C$225*WasteTransportMethod[Emissions Factor
kgCO2e/kg.km]*Calculations[[#This Row],[Total Kg]],0)</f>
        <v>0</v>
      </c>
      <c r="U1217" s="322" cm="1">
        <f t="array" ref="U1217">IFERROR(VLOOKUP(Calculations[[#This Row],[Waste 1]],WasteScenario[#All],3,FALSE)*'Stage assumptions'!$C$224*WasteTransportMethod[Emissions Factor
kgCO2e/kg.km]*Calculations[[#This Row],[Total Kg]],0)</f>
        <v>0</v>
      </c>
      <c r="V1217" s="322" cm="1">
        <f t="array" ref="V1217">IFERROR(VLOOKUP(Calculations[[#This Row],[Waste 1]],WasteScenario[#All],4,FALSE)*'Stage assumptions'!$C$223*WasteTransportMethod[Emissions Factor
kgCO2e/kg.km]*Calculations[[#This Row],[Total Kg]],0)</f>
        <v>0</v>
      </c>
      <c r="W1217" s="322" cm="1">
        <f t="array" ref="W1217">IFERROR(VLOOKUP(Calculations[[#This Row],[Waste 1]],WasteScenario[#All],5,FALSE)*'Stage assumptions'!$C$226*WasteTransportMethod[Emissions Factor
kgCO2e/kg.km]*Calculations[[#This Row],[Total Kg]],0)</f>
        <v>0</v>
      </c>
      <c r="X1217" s="322">
        <f>SUM(Calculations[[#This Row],[C2 Recycle]:[C2 Reuse]])</f>
        <v>0</v>
      </c>
      <c r="Y1217" t="str">
        <f>IFERROR(VLOOKUP(Calculations[[#This Row],[Material (choose from dropdown]],MaterialData[#All],5,FALSE),"")</f>
        <v/>
      </c>
      <c r="Z1217" s="322">
        <f>IFERROR(((VLOOKUP(Calculations[[#This Row],[Waste type 2]],WasteDisposalEmissions[#All],2,FALSE))*Calculations[[#This Row],[Total Kg]])*VLOOKUP(Calculations[[#This Row],[Waste 1]],WasteScenario[#All],2,FALSE),0)</f>
        <v>0</v>
      </c>
      <c r="AA1217" s="322">
        <f>IFERROR((VLOOKUP(Calculations[[#This Row],[Waste type 2]],WasteDisposalEmissions[#All],3,FALSE))*Calculations[[#This Row],[Total Kg]]*VLOOKUP(Calculations[[#This Row],[Waste 1]],WasteScenario[#All],3,FALSE),0)</f>
        <v>0</v>
      </c>
      <c r="AB1217" s="322">
        <f>SUM(Calculations[[#This Row],[C3 recyc]:[C3 incin]])</f>
        <v>0</v>
      </c>
      <c r="AC1217" s="334">
        <f>IFERROR((VLOOKUP(Calculations[[#This Row],[Waste type 2]],WasteLandfillEmissions[#All],2,FALSE))*Calculations[[#This Row],[Total Kg]]*VLOOKUP(Calculations[[#This Row],[Waste 1]],WasteScenario[#All],4,FALSE),0)</f>
        <v>0</v>
      </c>
      <c r="AD1217" s="322">
        <f>IFERROR((VLOOKUP(Calculations[[#This Row],[Waste type 2]],WasteLandfillEmissions[#All],3,FALSE))*Calculations[[#This Row],[Total Kg]]*VLOOKUP(Calculations[[#This Row],[Waste 1]],WasteScenario[#All],4,FALSE),0)</f>
        <v>0</v>
      </c>
      <c r="AE1217" s="322">
        <f>SUM(Calculations[[#This Row],[C4 landfill]:[C4 re-use]])</f>
        <v>0</v>
      </c>
      <c r="AF1217" s="322">
        <f>IFERROR(VLOOKUP(Calculations[[#This Row],[Material (choose from dropdown]],MaterialData[#All],8,FALSE),0)</f>
        <v>0</v>
      </c>
      <c r="AG1217" s="322">
        <f>IFERROR(Calculations[[#This Row],[Total Kg]]*Calculations[[#This Row],[Seq factor]],0)</f>
        <v>0</v>
      </c>
      <c r="AI1217" s="322">
        <f>Calculations[[#This Row],[A1-3]]+Calculations[[#This Row],[A4]]+Calculations[[#This Row],[A5]]+Calculations[[#This Row],[B4]]+Calculations[[#This Row],[C2 total]]+Calculations[[#This Row],[C3 total]]+Calculations[[#This Row],[C4 total]]</f>
        <v>0</v>
      </c>
      <c r="AJ1217" s="2">
        <f>IFERROR(VLOOKUP(Calculations[[#This Row],[Material (choose from dropdown]],MaterialData[[#Headers],[#Data]],9,FALSE),0)</f>
        <v>0</v>
      </c>
      <c r="AK1217" s="4">
        <f>IFERROR(VLOOKUP(Calculations[[#This Row],[Material (choose from dropdown]],MaterialData[[#Headers],[#Data]],10,FALSE),0)</f>
        <v>0</v>
      </c>
      <c r="AL1217" s="322">
        <f>IFERROR(Calculations[[#This Row],[Data Quality Score]]*Calculations[[#This Row],[Total Kg]],0)</f>
        <v>0</v>
      </c>
    </row>
    <row r="1218" spans="1:38" x14ac:dyDescent="0.3">
      <c r="A1218" s="6">
        <f>IFERROR(MaterialsBoQ[[#This Row],[Scope Element]],0)</f>
        <v>0</v>
      </c>
      <c r="B1218" t="str">
        <f>IFERROR(MaterialsBoQ[[#This Row],[Material ]],"")</f>
        <v/>
      </c>
      <c r="C1218" t="str">
        <f>IFERROR(MaterialsBoQ[[#This Row],[Unit]],"")</f>
        <v/>
      </c>
      <c r="D1218" s="322">
        <f>IFERROR(MaterialsBoQ[[#This Row],[Number]],0)</f>
        <v>0</v>
      </c>
      <c r="E1218" s="322">
        <f>IFERROR(MaterialsBoQ[[#This Row],[Kg per unit]],0)</f>
        <v>0</v>
      </c>
      <c r="F1218" s="322">
        <f>IFERROR(Calculations[[#This Row],[Number]]*Calculations[[#This Row],[Conversion factor]],0)</f>
        <v>0</v>
      </c>
      <c r="G1218" s="322">
        <f>IFERROR(VLOOKUP(Calculations[[#This Row],[Material (choose from dropdown]],MaterialData[#All],7,FALSE),0)</f>
        <v>0</v>
      </c>
      <c r="H1218" s="322">
        <f>Calculations[[#This Row],[Total Kg]]*Calculations[[#This Row],[Carbon Factor]]</f>
        <v>0</v>
      </c>
      <c r="I1218" t="str">
        <f>IFERROR(VLOOKUP(Calculations[[#This Row],[Material (choose from dropdown]],MaterialData[#All],2,FALSE),"")</f>
        <v/>
      </c>
      <c r="J1218" s="322">
        <f>IFERROR(((VLOOKUP(Calculations[[#This Row],[TransportSource]],TransportDistance[],2,FALSE)*'Stage assumptions'!$C$11)+VLOOKUP(Calculations[[#This Row],[TransportSource]],TransportDistance[],3,FALSE)*'Stage assumptions'!$C$12)*Calculations[[#This Row],[Total Kg]],0)</f>
        <v>0</v>
      </c>
      <c r="K1218">
        <f>IFERROR(VLOOKUP(Calculations[[#This Row],[Material (choose from dropdown]], MaterialData[#All],3, FALSE),0)</f>
        <v>0</v>
      </c>
      <c r="L1218" s="322">
        <f>IFERROR(VLOOKUP(Calculations[[#This Row],[A5type]],A5WastageRate[#All],2,FALSE)*Calculations[[#This Row],[A1-3]],0)</f>
        <v>0</v>
      </c>
      <c r="N1218">
        <f>IFERROR(ROUNDUP(50/VLOOKUP(Calculations[[#This Row],[Scope Element]],B4referenceServiceLife[[Tier 2 element]:[Default Service Life]],2, FALSE)-1,0),0)</f>
        <v>0</v>
      </c>
      <c r="O1218" s="322">
        <f>IFERROR((Calculations[[#This Row],[A1-3]]+Calculations[[#This Row],[A4]]+Calculations[[#This Row],[A5]]+Calculations[[#This Row],[C2 total]]+Calculations[[#This Row],[C3 total]]+Calculations[[#This Row],[C4 total]])*Calculations[[#This Row],[Replacements]],0)</f>
        <v>0</v>
      </c>
      <c r="S1218" t="str">
        <f>IFERROR(VLOOKUP(Calculations[[#This Row],[Material (choose from dropdown]],MaterialData[#All],4,FALSE),"")</f>
        <v/>
      </c>
      <c r="T1218" s="322" cm="1">
        <f t="array" ref="T1218">IFERROR(VLOOKUP(Calculations[[#This Row],[Waste 1]],WasteScenario[#All],2,FALSE)*'Stage assumptions'!$C$225*WasteTransportMethod[Emissions Factor
kgCO2e/kg.km]*Calculations[[#This Row],[Total Kg]],0)</f>
        <v>0</v>
      </c>
      <c r="U1218" s="322" cm="1">
        <f t="array" ref="U1218">IFERROR(VLOOKUP(Calculations[[#This Row],[Waste 1]],WasteScenario[#All],3,FALSE)*'Stage assumptions'!$C$224*WasteTransportMethod[Emissions Factor
kgCO2e/kg.km]*Calculations[[#This Row],[Total Kg]],0)</f>
        <v>0</v>
      </c>
      <c r="V1218" s="322" cm="1">
        <f t="array" ref="V1218">IFERROR(VLOOKUP(Calculations[[#This Row],[Waste 1]],WasteScenario[#All],4,FALSE)*'Stage assumptions'!$C$223*WasteTransportMethod[Emissions Factor
kgCO2e/kg.km]*Calculations[[#This Row],[Total Kg]],0)</f>
        <v>0</v>
      </c>
      <c r="W1218" s="322" cm="1">
        <f t="array" ref="W1218">IFERROR(VLOOKUP(Calculations[[#This Row],[Waste 1]],WasteScenario[#All],5,FALSE)*'Stage assumptions'!$C$226*WasteTransportMethod[Emissions Factor
kgCO2e/kg.km]*Calculations[[#This Row],[Total Kg]],0)</f>
        <v>0</v>
      </c>
      <c r="X1218" s="322">
        <f>SUM(Calculations[[#This Row],[C2 Recycle]:[C2 Reuse]])</f>
        <v>0</v>
      </c>
      <c r="Y1218" t="str">
        <f>IFERROR(VLOOKUP(Calculations[[#This Row],[Material (choose from dropdown]],MaterialData[#All],5,FALSE),"")</f>
        <v/>
      </c>
      <c r="Z1218" s="322">
        <f>IFERROR(((VLOOKUP(Calculations[[#This Row],[Waste type 2]],WasteDisposalEmissions[#All],2,FALSE))*Calculations[[#This Row],[Total Kg]])*VLOOKUP(Calculations[[#This Row],[Waste 1]],WasteScenario[#All],2,FALSE),0)</f>
        <v>0</v>
      </c>
      <c r="AA1218" s="322">
        <f>IFERROR((VLOOKUP(Calculations[[#This Row],[Waste type 2]],WasteDisposalEmissions[#All],3,FALSE))*Calculations[[#This Row],[Total Kg]]*VLOOKUP(Calculations[[#This Row],[Waste 1]],WasteScenario[#All],3,FALSE),0)</f>
        <v>0</v>
      </c>
      <c r="AB1218" s="322">
        <f>SUM(Calculations[[#This Row],[C3 recyc]:[C3 incin]])</f>
        <v>0</v>
      </c>
      <c r="AC1218" s="334">
        <f>IFERROR((VLOOKUP(Calculations[[#This Row],[Waste type 2]],WasteLandfillEmissions[#All],2,FALSE))*Calculations[[#This Row],[Total Kg]]*VLOOKUP(Calculations[[#This Row],[Waste 1]],WasteScenario[#All],4,FALSE),0)</f>
        <v>0</v>
      </c>
      <c r="AD1218" s="322">
        <f>IFERROR((VLOOKUP(Calculations[[#This Row],[Waste type 2]],WasteLandfillEmissions[#All],3,FALSE))*Calculations[[#This Row],[Total Kg]]*VLOOKUP(Calculations[[#This Row],[Waste 1]],WasteScenario[#All],4,FALSE),0)</f>
        <v>0</v>
      </c>
      <c r="AE1218" s="322">
        <f>SUM(Calculations[[#This Row],[C4 landfill]:[C4 re-use]])</f>
        <v>0</v>
      </c>
      <c r="AF1218" s="322">
        <f>IFERROR(VLOOKUP(Calculations[[#This Row],[Material (choose from dropdown]],MaterialData[#All],8,FALSE),0)</f>
        <v>0</v>
      </c>
      <c r="AG1218" s="322">
        <f>IFERROR(Calculations[[#This Row],[Total Kg]]*Calculations[[#This Row],[Seq factor]],0)</f>
        <v>0</v>
      </c>
      <c r="AI1218" s="322">
        <f>Calculations[[#This Row],[A1-3]]+Calculations[[#This Row],[A4]]+Calculations[[#This Row],[A5]]+Calculations[[#This Row],[B4]]+Calculations[[#This Row],[C2 total]]+Calculations[[#This Row],[C3 total]]+Calculations[[#This Row],[C4 total]]</f>
        <v>0</v>
      </c>
      <c r="AJ1218" s="2">
        <f>IFERROR(VLOOKUP(Calculations[[#This Row],[Material (choose from dropdown]],MaterialData[[#Headers],[#Data]],9,FALSE),0)</f>
        <v>0</v>
      </c>
      <c r="AK1218" s="4">
        <f>IFERROR(VLOOKUP(Calculations[[#This Row],[Material (choose from dropdown]],MaterialData[[#Headers],[#Data]],10,FALSE),0)</f>
        <v>0</v>
      </c>
      <c r="AL1218" s="322">
        <f>IFERROR(Calculations[[#This Row],[Data Quality Score]]*Calculations[[#This Row],[Total Kg]],0)</f>
        <v>0</v>
      </c>
    </row>
    <row r="1219" spans="1:38" x14ac:dyDescent="0.3">
      <c r="A1219" s="6">
        <f>IFERROR(MaterialsBoQ[[#This Row],[Scope Element]],0)</f>
        <v>0</v>
      </c>
      <c r="B1219" t="str">
        <f>IFERROR(MaterialsBoQ[[#This Row],[Material ]],"")</f>
        <v/>
      </c>
      <c r="C1219" t="str">
        <f>IFERROR(MaterialsBoQ[[#This Row],[Unit]],"")</f>
        <v/>
      </c>
      <c r="D1219" s="322">
        <f>IFERROR(MaterialsBoQ[[#This Row],[Number]],0)</f>
        <v>0</v>
      </c>
      <c r="E1219" s="322">
        <f>IFERROR(MaterialsBoQ[[#This Row],[Kg per unit]],0)</f>
        <v>0</v>
      </c>
      <c r="F1219" s="322">
        <f>IFERROR(Calculations[[#This Row],[Number]]*Calculations[[#This Row],[Conversion factor]],0)</f>
        <v>0</v>
      </c>
      <c r="G1219" s="322">
        <f>IFERROR(VLOOKUP(Calculations[[#This Row],[Material (choose from dropdown]],MaterialData[#All],7,FALSE),0)</f>
        <v>0</v>
      </c>
      <c r="H1219" s="322">
        <f>Calculations[[#This Row],[Total Kg]]*Calculations[[#This Row],[Carbon Factor]]</f>
        <v>0</v>
      </c>
      <c r="I1219" t="str">
        <f>IFERROR(VLOOKUP(Calculations[[#This Row],[Material (choose from dropdown]],MaterialData[#All],2,FALSE),"")</f>
        <v/>
      </c>
      <c r="J1219" s="322">
        <f>IFERROR(((VLOOKUP(Calculations[[#This Row],[TransportSource]],TransportDistance[],2,FALSE)*'Stage assumptions'!$C$11)+VLOOKUP(Calculations[[#This Row],[TransportSource]],TransportDistance[],3,FALSE)*'Stage assumptions'!$C$12)*Calculations[[#This Row],[Total Kg]],0)</f>
        <v>0</v>
      </c>
      <c r="K1219">
        <f>IFERROR(VLOOKUP(Calculations[[#This Row],[Material (choose from dropdown]], MaterialData[#All],3, FALSE),0)</f>
        <v>0</v>
      </c>
      <c r="L1219" s="322">
        <f>IFERROR(VLOOKUP(Calculations[[#This Row],[A5type]],A5WastageRate[#All],2,FALSE)*Calculations[[#This Row],[A1-3]],0)</f>
        <v>0</v>
      </c>
      <c r="N1219">
        <f>IFERROR(ROUNDUP(50/VLOOKUP(Calculations[[#This Row],[Scope Element]],B4referenceServiceLife[[Tier 2 element]:[Default Service Life]],2, FALSE)-1,0),0)</f>
        <v>0</v>
      </c>
      <c r="O1219" s="322">
        <f>IFERROR((Calculations[[#This Row],[A1-3]]+Calculations[[#This Row],[A4]]+Calculations[[#This Row],[A5]]+Calculations[[#This Row],[C2 total]]+Calculations[[#This Row],[C3 total]]+Calculations[[#This Row],[C4 total]])*Calculations[[#This Row],[Replacements]],0)</f>
        <v>0</v>
      </c>
      <c r="S1219" t="str">
        <f>IFERROR(VLOOKUP(Calculations[[#This Row],[Material (choose from dropdown]],MaterialData[#All],4,FALSE),"")</f>
        <v/>
      </c>
      <c r="T1219" s="322" cm="1">
        <f t="array" ref="T1219">IFERROR(VLOOKUP(Calculations[[#This Row],[Waste 1]],WasteScenario[#All],2,FALSE)*'Stage assumptions'!$C$225*WasteTransportMethod[Emissions Factor
kgCO2e/kg.km]*Calculations[[#This Row],[Total Kg]],0)</f>
        <v>0</v>
      </c>
      <c r="U1219" s="322" cm="1">
        <f t="array" ref="U1219">IFERROR(VLOOKUP(Calculations[[#This Row],[Waste 1]],WasteScenario[#All],3,FALSE)*'Stage assumptions'!$C$224*WasteTransportMethod[Emissions Factor
kgCO2e/kg.km]*Calculations[[#This Row],[Total Kg]],0)</f>
        <v>0</v>
      </c>
      <c r="V1219" s="322" cm="1">
        <f t="array" ref="V1219">IFERROR(VLOOKUP(Calculations[[#This Row],[Waste 1]],WasteScenario[#All],4,FALSE)*'Stage assumptions'!$C$223*WasteTransportMethod[Emissions Factor
kgCO2e/kg.km]*Calculations[[#This Row],[Total Kg]],0)</f>
        <v>0</v>
      </c>
      <c r="W1219" s="322" cm="1">
        <f t="array" ref="W1219">IFERROR(VLOOKUP(Calculations[[#This Row],[Waste 1]],WasteScenario[#All],5,FALSE)*'Stage assumptions'!$C$226*WasteTransportMethod[Emissions Factor
kgCO2e/kg.km]*Calculations[[#This Row],[Total Kg]],0)</f>
        <v>0</v>
      </c>
      <c r="X1219" s="322">
        <f>SUM(Calculations[[#This Row],[C2 Recycle]:[C2 Reuse]])</f>
        <v>0</v>
      </c>
      <c r="Y1219" t="str">
        <f>IFERROR(VLOOKUP(Calculations[[#This Row],[Material (choose from dropdown]],MaterialData[#All],5,FALSE),"")</f>
        <v/>
      </c>
      <c r="Z1219" s="322">
        <f>IFERROR(((VLOOKUP(Calculations[[#This Row],[Waste type 2]],WasteDisposalEmissions[#All],2,FALSE))*Calculations[[#This Row],[Total Kg]])*VLOOKUP(Calculations[[#This Row],[Waste 1]],WasteScenario[#All],2,FALSE),0)</f>
        <v>0</v>
      </c>
      <c r="AA1219" s="322">
        <f>IFERROR((VLOOKUP(Calculations[[#This Row],[Waste type 2]],WasteDisposalEmissions[#All],3,FALSE))*Calculations[[#This Row],[Total Kg]]*VLOOKUP(Calculations[[#This Row],[Waste 1]],WasteScenario[#All],3,FALSE),0)</f>
        <v>0</v>
      </c>
      <c r="AB1219" s="322">
        <f>SUM(Calculations[[#This Row],[C3 recyc]:[C3 incin]])</f>
        <v>0</v>
      </c>
      <c r="AC1219" s="334">
        <f>IFERROR((VLOOKUP(Calculations[[#This Row],[Waste type 2]],WasteLandfillEmissions[#All],2,FALSE))*Calculations[[#This Row],[Total Kg]]*VLOOKUP(Calculations[[#This Row],[Waste 1]],WasteScenario[#All],4,FALSE),0)</f>
        <v>0</v>
      </c>
      <c r="AD1219" s="322">
        <f>IFERROR((VLOOKUP(Calculations[[#This Row],[Waste type 2]],WasteLandfillEmissions[#All],3,FALSE))*Calculations[[#This Row],[Total Kg]]*VLOOKUP(Calculations[[#This Row],[Waste 1]],WasteScenario[#All],4,FALSE),0)</f>
        <v>0</v>
      </c>
      <c r="AE1219" s="322">
        <f>SUM(Calculations[[#This Row],[C4 landfill]:[C4 re-use]])</f>
        <v>0</v>
      </c>
      <c r="AF1219" s="322">
        <f>IFERROR(VLOOKUP(Calculations[[#This Row],[Material (choose from dropdown]],MaterialData[#All],8,FALSE),0)</f>
        <v>0</v>
      </c>
      <c r="AG1219" s="322">
        <f>IFERROR(Calculations[[#This Row],[Total Kg]]*Calculations[[#This Row],[Seq factor]],0)</f>
        <v>0</v>
      </c>
      <c r="AI1219" s="322">
        <f>Calculations[[#This Row],[A1-3]]+Calculations[[#This Row],[A4]]+Calculations[[#This Row],[A5]]+Calculations[[#This Row],[B4]]+Calculations[[#This Row],[C2 total]]+Calculations[[#This Row],[C3 total]]+Calculations[[#This Row],[C4 total]]</f>
        <v>0</v>
      </c>
      <c r="AJ1219" s="2">
        <f>IFERROR(VLOOKUP(Calculations[[#This Row],[Material (choose from dropdown]],MaterialData[[#Headers],[#Data]],9,FALSE),0)</f>
        <v>0</v>
      </c>
      <c r="AK1219" s="4">
        <f>IFERROR(VLOOKUP(Calculations[[#This Row],[Material (choose from dropdown]],MaterialData[[#Headers],[#Data]],10,FALSE),0)</f>
        <v>0</v>
      </c>
      <c r="AL1219" s="322">
        <f>IFERROR(Calculations[[#This Row],[Data Quality Score]]*Calculations[[#This Row],[Total Kg]],0)</f>
        <v>0</v>
      </c>
    </row>
    <row r="1220" spans="1:38" x14ac:dyDescent="0.3">
      <c r="A1220" s="6">
        <f>IFERROR(MaterialsBoQ[[#This Row],[Scope Element]],0)</f>
        <v>0</v>
      </c>
      <c r="B1220" t="str">
        <f>IFERROR(MaterialsBoQ[[#This Row],[Material ]],"")</f>
        <v/>
      </c>
      <c r="C1220" t="str">
        <f>IFERROR(MaterialsBoQ[[#This Row],[Unit]],"")</f>
        <v/>
      </c>
      <c r="D1220" s="322">
        <f>IFERROR(MaterialsBoQ[[#This Row],[Number]],0)</f>
        <v>0</v>
      </c>
      <c r="E1220" s="322">
        <f>IFERROR(MaterialsBoQ[[#This Row],[Kg per unit]],0)</f>
        <v>0</v>
      </c>
      <c r="F1220" s="322">
        <f>IFERROR(Calculations[[#This Row],[Number]]*Calculations[[#This Row],[Conversion factor]],0)</f>
        <v>0</v>
      </c>
      <c r="G1220" s="322">
        <f>IFERROR(VLOOKUP(Calculations[[#This Row],[Material (choose from dropdown]],MaterialData[#All],7,FALSE),0)</f>
        <v>0</v>
      </c>
      <c r="H1220" s="322">
        <f>Calculations[[#This Row],[Total Kg]]*Calculations[[#This Row],[Carbon Factor]]</f>
        <v>0</v>
      </c>
      <c r="I1220" t="str">
        <f>IFERROR(VLOOKUP(Calculations[[#This Row],[Material (choose from dropdown]],MaterialData[#All],2,FALSE),"")</f>
        <v/>
      </c>
      <c r="J1220" s="322">
        <f>IFERROR(((VLOOKUP(Calculations[[#This Row],[TransportSource]],TransportDistance[],2,FALSE)*'Stage assumptions'!$C$11)+VLOOKUP(Calculations[[#This Row],[TransportSource]],TransportDistance[],3,FALSE)*'Stage assumptions'!$C$12)*Calculations[[#This Row],[Total Kg]],0)</f>
        <v>0</v>
      </c>
      <c r="K1220">
        <f>IFERROR(VLOOKUP(Calculations[[#This Row],[Material (choose from dropdown]], MaterialData[#All],3, FALSE),0)</f>
        <v>0</v>
      </c>
      <c r="L1220" s="322">
        <f>IFERROR(VLOOKUP(Calculations[[#This Row],[A5type]],A5WastageRate[#All],2,FALSE)*Calculations[[#This Row],[A1-3]],0)</f>
        <v>0</v>
      </c>
      <c r="N1220">
        <f>IFERROR(ROUNDUP(50/VLOOKUP(Calculations[[#This Row],[Scope Element]],B4referenceServiceLife[[Tier 2 element]:[Default Service Life]],2, FALSE)-1,0),0)</f>
        <v>0</v>
      </c>
      <c r="O1220" s="322">
        <f>IFERROR((Calculations[[#This Row],[A1-3]]+Calculations[[#This Row],[A4]]+Calculations[[#This Row],[A5]]+Calculations[[#This Row],[C2 total]]+Calculations[[#This Row],[C3 total]]+Calculations[[#This Row],[C4 total]])*Calculations[[#This Row],[Replacements]],0)</f>
        <v>0</v>
      </c>
      <c r="S1220" t="str">
        <f>IFERROR(VLOOKUP(Calculations[[#This Row],[Material (choose from dropdown]],MaterialData[#All],4,FALSE),"")</f>
        <v/>
      </c>
      <c r="T1220" s="322" cm="1">
        <f t="array" ref="T1220">IFERROR(VLOOKUP(Calculations[[#This Row],[Waste 1]],WasteScenario[#All],2,FALSE)*'Stage assumptions'!$C$225*WasteTransportMethod[Emissions Factor
kgCO2e/kg.km]*Calculations[[#This Row],[Total Kg]],0)</f>
        <v>0</v>
      </c>
      <c r="U1220" s="322" cm="1">
        <f t="array" ref="U1220">IFERROR(VLOOKUP(Calculations[[#This Row],[Waste 1]],WasteScenario[#All],3,FALSE)*'Stage assumptions'!$C$224*WasteTransportMethod[Emissions Factor
kgCO2e/kg.km]*Calculations[[#This Row],[Total Kg]],0)</f>
        <v>0</v>
      </c>
      <c r="V1220" s="322" cm="1">
        <f t="array" ref="V1220">IFERROR(VLOOKUP(Calculations[[#This Row],[Waste 1]],WasteScenario[#All],4,FALSE)*'Stage assumptions'!$C$223*WasteTransportMethod[Emissions Factor
kgCO2e/kg.km]*Calculations[[#This Row],[Total Kg]],0)</f>
        <v>0</v>
      </c>
      <c r="W1220" s="322" cm="1">
        <f t="array" ref="W1220">IFERROR(VLOOKUP(Calculations[[#This Row],[Waste 1]],WasteScenario[#All],5,FALSE)*'Stage assumptions'!$C$226*WasteTransportMethod[Emissions Factor
kgCO2e/kg.km]*Calculations[[#This Row],[Total Kg]],0)</f>
        <v>0</v>
      </c>
      <c r="X1220" s="322">
        <f>SUM(Calculations[[#This Row],[C2 Recycle]:[C2 Reuse]])</f>
        <v>0</v>
      </c>
      <c r="Y1220" t="str">
        <f>IFERROR(VLOOKUP(Calculations[[#This Row],[Material (choose from dropdown]],MaterialData[#All],5,FALSE),"")</f>
        <v/>
      </c>
      <c r="Z1220" s="322">
        <f>IFERROR(((VLOOKUP(Calculations[[#This Row],[Waste type 2]],WasteDisposalEmissions[#All],2,FALSE))*Calculations[[#This Row],[Total Kg]])*VLOOKUP(Calculations[[#This Row],[Waste 1]],WasteScenario[#All],2,FALSE),0)</f>
        <v>0</v>
      </c>
      <c r="AA1220" s="322">
        <f>IFERROR((VLOOKUP(Calculations[[#This Row],[Waste type 2]],WasteDisposalEmissions[#All],3,FALSE))*Calculations[[#This Row],[Total Kg]]*VLOOKUP(Calculations[[#This Row],[Waste 1]],WasteScenario[#All],3,FALSE),0)</f>
        <v>0</v>
      </c>
      <c r="AB1220" s="322">
        <f>SUM(Calculations[[#This Row],[C3 recyc]:[C3 incin]])</f>
        <v>0</v>
      </c>
      <c r="AC1220" s="334">
        <f>IFERROR((VLOOKUP(Calculations[[#This Row],[Waste type 2]],WasteLandfillEmissions[#All],2,FALSE))*Calculations[[#This Row],[Total Kg]]*VLOOKUP(Calculations[[#This Row],[Waste 1]],WasteScenario[#All],4,FALSE),0)</f>
        <v>0</v>
      </c>
      <c r="AD1220" s="322">
        <f>IFERROR((VLOOKUP(Calculations[[#This Row],[Waste type 2]],WasteLandfillEmissions[#All],3,FALSE))*Calculations[[#This Row],[Total Kg]]*VLOOKUP(Calculations[[#This Row],[Waste 1]],WasteScenario[#All],4,FALSE),0)</f>
        <v>0</v>
      </c>
      <c r="AE1220" s="322">
        <f>SUM(Calculations[[#This Row],[C4 landfill]:[C4 re-use]])</f>
        <v>0</v>
      </c>
      <c r="AF1220" s="322">
        <f>IFERROR(VLOOKUP(Calculations[[#This Row],[Material (choose from dropdown]],MaterialData[#All],8,FALSE),0)</f>
        <v>0</v>
      </c>
      <c r="AG1220" s="322">
        <f>IFERROR(Calculations[[#This Row],[Total Kg]]*Calculations[[#This Row],[Seq factor]],0)</f>
        <v>0</v>
      </c>
      <c r="AI1220" s="322">
        <f>Calculations[[#This Row],[A1-3]]+Calculations[[#This Row],[A4]]+Calculations[[#This Row],[A5]]+Calculations[[#This Row],[B4]]+Calculations[[#This Row],[C2 total]]+Calculations[[#This Row],[C3 total]]+Calculations[[#This Row],[C4 total]]</f>
        <v>0</v>
      </c>
      <c r="AJ1220" s="2">
        <f>IFERROR(VLOOKUP(Calculations[[#This Row],[Material (choose from dropdown]],MaterialData[[#Headers],[#Data]],9,FALSE),0)</f>
        <v>0</v>
      </c>
      <c r="AK1220" s="4">
        <f>IFERROR(VLOOKUP(Calculations[[#This Row],[Material (choose from dropdown]],MaterialData[[#Headers],[#Data]],10,FALSE),0)</f>
        <v>0</v>
      </c>
      <c r="AL1220" s="322">
        <f>IFERROR(Calculations[[#This Row],[Data Quality Score]]*Calculations[[#This Row],[Total Kg]],0)</f>
        <v>0</v>
      </c>
    </row>
    <row r="1221" spans="1:38" x14ac:dyDescent="0.3">
      <c r="A1221" s="6">
        <f>IFERROR(MaterialsBoQ[[#This Row],[Scope Element]],0)</f>
        <v>0</v>
      </c>
      <c r="B1221" t="str">
        <f>IFERROR(MaterialsBoQ[[#This Row],[Material ]],"")</f>
        <v/>
      </c>
      <c r="C1221" t="str">
        <f>IFERROR(MaterialsBoQ[[#This Row],[Unit]],"")</f>
        <v/>
      </c>
      <c r="D1221" s="322">
        <f>IFERROR(MaterialsBoQ[[#This Row],[Number]],0)</f>
        <v>0</v>
      </c>
      <c r="E1221" s="322">
        <f>IFERROR(MaterialsBoQ[[#This Row],[Kg per unit]],0)</f>
        <v>0</v>
      </c>
      <c r="F1221" s="322">
        <f>IFERROR(Calculations[[#This Row],[Number]]*Calculations[[#This Row],[Conversion factor]],0)</f>
        <v>0</v>
      </c>
      <c r="G1221" s="322">
        <f>IFERROR(VLOOKUP(Calculations[[#This Row],[Material (choose from dropdown]],MaterialData[#All],7,FALSE),0)</f>
        <v>0</v>
      </c>
      <c r="H1221" s="322">
        <f>Calculations[[#This Row],[Total Kg]]*Calculations[[#This Row],[Carbon Factor]]</f>
        <v>0</v>
      </c>
      <c r="I1221" t="str">
        <f>IFERROR(VLOOKUP(Calculations[[#This Row],[Material (choose from dropdown]],MaterialData[#All],2,FALSE),"")</f>
        <v/>
      </c>
      <c r="J1221" s="322">
        <f>IFERROR(((VLOOKUP(Calculations[[#This Row],[TransportSource]],TransportDistance[],2,FALSE)*'Stage assumptions'!$C$11)+VLOOKUP(Calculations[[#This Row],[TransportSource]],TransportDistance[],3,FALSE)*'Stage assumptions'!$C$12)*Calculations[[#This Row],[Total Kg]],0)</f>
        <v>0</v>
      </c>
      <c r="K1221">
        <f>IFERROR(VLOOKUP(Calculations[[#This Row],[Material (choose from dropdown]], MaterialData[#All],3, FALSE),0)</f>
        <v>0</v>
      </c>
      <c r="L1221" s="322">
        <f>IFERROR(VLOOKUP(Calculations[[#This Row],[A5type]],A5WastageRate[#All],2,FALSE)*Calculations[[#This Row],[A1-3]],0)</f>
        <v>0</v>
      </c>
      <c r="N1221">
        <f>IFERROR(ROUNDUP(50/VLOOKUP(Calculations[[#This Row],[Scope Element]],B4referenceServiceLife[[Tier 2 element]:[Default Service Life]],2, FALSE)-1,0),0)</f>
        <v>0</v>
      </c>
      <c r="O1221" s="322">
        <f>IFERROR((Calculations[[#This Row],[A1-3]]+Calculations[[#This Row],[A4]]+Calculations[[#This Row],[A5]]+Calculations[[#This Row],[C2 total]]+Calculations[[#This Row],[C3 total]]+Calculations[[#This Row],[C4 total]])*Calculations[[#This Row],[Replacements]],0)</f>
        <v>0</v>
      </c>
      <c r="S1221" t="str">
        <f>IFERROR(VLOOKUP(Calculations[[#This Row],[Material (choose from dropdown]],MaterialData[#All],4,FALSE),"")</f>
        <v/>
      </c>
      <c r="T1221" s="322" cm="1">
        <f t="array" ref="T1221">IFERROR(VLOOKUP(Calculations[[#This Row],[Waste 1]],WasteScenario[#All],2,FALSE)*'Stage assumptions'!$C$225*WasteTransportMethod[Emissions Factor
kgCO2e/kg.km]*Calculations[[#This Row],[Total Kg]],0)</f>
        <v>0</v>
      </c>
      <c r="U1221" s="322" cm="1">
        <f t="array" ref="U1221">IFERROR(VLOOKUP(Calculations[[#This Row],[Waste 1]],WasteScenario[#All],3,FALSE)*'Stage assumptions'!$C$224*WasteTransportMethod[Emissions Factor
kgCO2e/kg.km]*Calculations[[#This Row],[Total Kg]],0)</f>
        <v>0</v>
      </c>
      <c r="V1221" s="322" cm="1">
        <f t="array" ref="V1221">IFERROR(VLOOKUP(Calculations[[#This Row],[Waste 1]],WasteScenario[#All],4,FALSE)*'Stage assumptions'!$C$223*WasteTransportMethod[Emissions Factor
kgCO2e/kg.km]*Calculations[[#This Row],[Total Kg]],0)</f>
        <v>0</v>
      </c>
      <c r="W1221" s="322" cm="1">
        <f t="array" ref="W1221">IFERROR(VLOOKUP(Calculations[[#This Row],[Waste 1]],WasteScenario[#All],5,FALSE)*'Stage assumptions'!$C$226*WasteTransportMethod[Emissions Factor
kgCO2e/kg.km]*Calculations[[#This Row],[Total Kg]],0)</f>
        <v>0</v>
      </c>
      <c r="X1221" s="322">
        <f>SUM(Calculations[[#This Row],[C2 Recycle]:[C2 Reuse]])</f>
        <v>0</v>
      </c>
      <c r="Y1221" t="str">
        <f>IFERROR(VLOOKUP(Calculations[[#This Row],[Material (choose from dropdown]],MaterialData[#All],5,FALSE),"")</f>
        <v/>
      </c>
      <c r="Z1221" s="322">
        <f>IFERROR(((VLOOKUP(Calculations[[#This Row],[Waste type 2]],WasteDisposalEmissions[#All],2,FALSE))*Calculations[[#This Row],[Total Kg]])*VLOOKUP(Calculations[[#This Row],[Waste 1]],WasteScenario[#All],2,FALSE),0)</f>
        <v>0</v>
      </c>
      <c r="AA1221" s="322">
        <f>IFERROR((VLOOKUP(Calculations[[#This Row],[Waste type 2]],WasteDisposalEmissions[#All],3,FALSE))*Calculations[[#This Row],[Total Kg]]*VLOOKUP(Calculations[[#This Row],[Waste 1]],WasteScenario[#All],3,FALSE),0)</f>
        <v>0</v>
      </c>
      <c r="AB1221" s="322">
        <f>SUM(Calculations[[#This Row],[C3 recyc]:[C3 incin]])</f>
        <v>0</v>
      </c>
      <c r="AC1221" s="334">
        <f>IFERROR((VLOOKUP(Calculations[[#This Row],[Waste type 2]],WasteLandfillEmissions[#All],2,FALSE))*Calculations[[#This Row],[Total Kg]]*VLOOKUP(Calculations[[#This Row],[Waste 1]],WasteScenario[#All],4,FALSE),0)</f>
        <v>0</v>
      </c>
      <c r="AD1221" s="322">
        <f>IFERROR((VLOOKUP(Calculations[[#This Row],[Waste type 2]],WasteLandfillEmissions[#All],3,FALSE))*Calculations[[#This Row],[Total Kg]]*VLOOKUP(Calculations[[#This Row],[Waste 1]],WasteScenario[#All],4,FALSE),0)</f>
        <v>0</v>
      </c>
      <c r="AE1221" s="322">
        <f>SUM(Calculations[[#This Row],[C4 landfill]:[C4 re-use]])</f>
        <v>0</v>
      </c>
      <c r="AF1221" s="322">
        <f>IFERROR(VLOOKUP(Calculations[[#This Row],[Material (choose from dropdown]],MaterialData[#All],8,FALSE),0)</f>
        <v>0</v>
      </c>
      <c r="AG1221" s="322">
        <f>IFERROR(Calculations[[#This Row],[Total Kg]]*Calculations[[#This Row],[Seq factor]],0)</f>
        <v>0</v>
      </c>
      <c r="AI1221" s="322">
        <f>Calculations[[#This Row],[A1-3]]+Calculations[[#This Row],[A4]]+Calculations[[#This Row],[A5]]+Calculations[[#This Row],[B4]]+Calculations[[#This Row],[C2 total]]+Calculations[[#This Row],[C3 total]]+Calculations[[#This Row],[C4 total]]</f>
        <v>0</v>
      </c>
      <c r="AJ1221" s="2">
        <f>IFERROR(VLOOKUP(Calculations[[#This Row],[Material (choose from dropdown]],MaterialData[[#Headers],[#Data]],9,FALSE),0)</f>
        <v>0</v>
      </c>
      <c r="AK1221" s="4">
        <f>IFERROR(VLOOKUP(Calculations[[#This Row],[Material (choose from dropdown]],MaterialData[[#Headers],[#Data]],10,FALSE),0)</f>
        <v>0</v>
      </c>
      <c r="AL1221" s="322">
        <f>IFERROR(Calculations[[#This Row],[Data Quality Score]]*Calculations[[#This Row],[Total Kg]],0)</f>
        <v>0</v>
      </c>
    </row>
    <row r="1222" spans="1:38" x14ac:dyDescent="0.3">
      <c r="A1222" s="6">
        <f>IFERROR(MaterialsBoQ[[#This Row],[Scope Element]],0)</f>
        <v>0</v>
      </c>
      <c r="B1222" t="str">
        <f>IFERROR(MaterialsBoQ[[#This Row],[Material ]],"")</f>
        <v/>
      </c>
      <c r="C1222" t="str">
        <f>IFERROR(MaterialsBoQ[[#This Row],[Unit]],"")</f>
        <v/>
      </c>
      <c r="D1222" s="322">
        <f>IFERROR(MaterialsBoQ[[#This Row],[Number]],0)</f>
        <v>0</v>
      </c>
      <c r="E1222" s="322">
        <f>IFERROR(MaterialsBoQ[[#This Row],[Kg per unit]],0)</f>
        <v>0</v>
      </c>
      <c r="F1222" s="322">
        <f>IFERROR(Calculations[[#This Row],[Number]]*Calculations[[#This Row],[Conversion factor]],0)</f>
        <v>0</v>
      </c>
      <c r="G1222" s="322">
        <f>IFERROR(VLOOKUP(Calculations[[#This Row],[Material (choose from dropdown]],MaterialData[#All],7,FALSE),0)</f>
        <v>0</v>
      </c>
      <c r="H1222" s="322">
        <f>Calculations[[#This Row],[Total Kg]]*Calculations[[#This Row],[Carbon Factor]]</f>
        <v>0</v>
      </c>
      <c r="I1222" t="str">
        <f>IFERROR(VLOOKUP(Calculations[[#This Row],[Material (choose from dropdown]],MaterialData[#All],2,FALSE),"")</f>
        <v/>
      </c>
      <c r="J1222" s="322">
        <f>IFERROR(((VLOOKUP(Calculations[[#This Row],[TransportSource]],TransportDistance[],2,FALSE)*'Stage assumptions'!$C$11)+VLOOKUP(Calculations[[#This Row],[TransportSource]],TransportDistance[],3,FALSE)*'Stage assumptions'!$C$12)*Calculations[[#This Row],[Total Kg]],0)</f>
        <v>0</v>
      </c>
      <c r="K1222">
        <f>IFERROR(VLOOKUP(Calculations[[#This Row],[Material (choose from dropdown]], MaterialData[#All],3, FALSE),0)</f>
        <v>0</v>
      </c>
      <c r="L1222" s="322">
        <f>IFERROR(VLOOKUP(Calculations[[#This Row],[A5type]],A5WastageRate[#All],2,FALSE)*Calculations[[#This Row],[A1-3]],0)</f>
        <v>0</v>
      </c>
      <c r="N1222">
        <f>IFERROR(ROUNDUP(50/VLOOKUP(Calculations[[#This Row],[Scope Element]],B4referenceServiceLife[[Tier 2 element]:[Default Service Life]],2, FALSE)-1,0),0)</f>
        <v>0</v>
      </c>
      <c r="O1222" s="322">
        <f>IFERROR((Calculations[[#This Row],[A1-3]]+Calculations[[#This Row],[A4]]+Calculations[[#This Row],[A5]]+Calculations[[#This Row],[C2 total]]+Calculations[[#This Row],[C3 total]]+Calculations[[#This Row],[C4 total]])*Calculations[[#This Row],[Replacements]],0)</f>
        <v>0</v>
      </c>
      <c r="S1222" t="str">
        <f>IFERROR(VLOOKUP(Calculations[[#This Row],[Material (choose from dropdown]],MaterialData[#All],4,FALSE),"")</f>
        <v/>
      </c>
      <c r="T1222" s="322" cm="1">
        <f t="array" ref="T1222">IFERROR(VLOOKUP(Calculations[[#This Row],[Waste 1]],WasteScenario[#All],2,FALSE)*'Stage assumptions'!$C$225*WasteTransportMethod[Emissions Factor
kgCO2e/kg.km]*Calculations[[#This Row],[Total Kg]],0)</f>
        <v>0</v>
      </c>
      <c r="U1222" s="322" cm="1">
        <f t="array" ref="U1222">IFERROR(VLOOKUP(Calculations[[#This Row],[Waste 1]],WasteScenario[#All],3,FALSE)*'Stage assumptions'!$C$224*WasteTransportMethod[Emissions Factor
kgCO2e/kg.km]*Calculations[[#This Row],[Total Kg]],0)</f>
        <v>0</v>
      </c>
      <c r="V1222" s="322" cm="1">
        <f t="array" ref="V1222">IFERROR(VLOOKUP(Calculations[[#This Row],[Waste 1]],WasteScenario[#All],4,FALSE)*'Stage assumptions'!$C$223*WasteTransportMethod[Emissions Factor
kgCO2e/kg.km]*Calculations[[#This Row],[Total Kg]],0)</f>
        <v>0</v>
      </c>
      <c r="W1222" s="322" cm="1">
        <f t="array" ref="W1222">IFERROR(VLOOKUP(Calculations[[#This Row],[Waste 1]],WasteScenario[#All],5,FALSE)*'Stage assumptions'!$C$226*WasteTransportMethod[Emissions Factor
kgCO2e/kg.km]*Calculations[[#This Row],[Total Kg]],0)</f>
        <v>0</v>
      </c>
      <c r="X1222" s="322">
        <f>SUM(Calculations[[#This Row],[C2 Recycle]:[C2 Reuse]])</f>
        <v>0</v>
      </c>
      <c r="Y1222" t="str">
        <f>IFERROR(VLOOKUP(Calculations[[#This Row],[Material (choose from dropdown]],MaterialData[#All],5,FALSE),"")</f>
        <v/>
      </c>
      <c r="Z1222" s="322">
        <f>IFERROR(((VLOOKUP(Calculations[[#This Row],[Waste type 2]],WasteDisposalEmissions[#All],2,FALSE))*Calculations[[#This Row],[Total Kg]])*VLOOKUP(Calculations[[#This Row],[Waste 1]],WasteScenario[#All],2,FALSE),0)</f>
        <v>0</v>
      </c>
      <c r="AA1222" s="322">
        <f>IFERROR((VLOOKUP(Calculations[[#This Row],[Waste type 2]],WasteDisposalEmissions[#All],3,FALSE))*Calculations[[#This Row],[Total Kg]]*VLOOKUP(Calculations[[#This Row],[Waste 1]],WasteScenario[#All],3,FALSE),0)</f>
        <v>0</v>
      </c>
      <c r="AB1222" s="322">
        <f>SUM(Calculations[[#This Row],[C3 recyc]:[C3 incin]])</f>
        <v>0</v>
      </c>
      <c r="AC1222" s="334">
        <f>IFERROR((VLOOKUP(Calculations[[#This Row],[Waste type 2]],WasteLandfillEmissions[#All],2,FALSE))*Calculations[[#This Row],[Total Kg]]*VLOOKUP(Calculations[[#This Row],[Waste 1]],WasteScenario[#All],4,FALSE),0)</f>
        <v>0</v>
      </c>
      <c r="AD1222" s="322">
        <f>IFERROR((VLOOKUP(Calculations[[#This Row],[Waste type 2]],WasteLandfillEmissions[#All],3,FALSE))*Calculations[[#This Row],[Total Kg]]*VLOOKUP(Calculations[[#This Row],[Waste 1]],WasteScenario[#All],4,FALSE),0)</f>
        <v>0</v>
      </c>
      <c r="AE1222" s="322">
        <f>SUM(Calculations[[#This Row],[C4 landfill]:[C4 re-use]])</f>
        <v>0</v>
      </c>
      <c r="AF1222" s="322">
        <f>IFERROR(VLOOKUP(Calculations[[#This Row],[Material (choose from dropdown]],MaterialData[#All],8,FALSE),0)</f>
        <v>0</v>
      </c>
      <c r="AG1222" s="322">
        <f>IFERROR(Calculations[[#This Row],[Total Kg]]*Calculations[[#This Row],[Seq factor]],0)</f>
        <v>0</v>
      </c>
      <c r="AI1222" s="322">
        <f>Calculations[[#This Row],[A1-3]]+Calculations[[#This Row],[A4]]+Calculations[[#This Row],[A5]]+Calculations[[#This Row],[B4]]+Calculations[[#This Row],[C2 total]]+Calculations[[#This Row],[C3 total]]+Calculations[[#This Row],[C4 total]]</f>
        <v>0</v>
      </c>
      <c r="AJ1222" s="2">
        <f>IFERROR(VLOOKUP(Calculations[[#This Row],[Material (choose from dropdown]],MaterialData[[#Headers],[#Data]],9,FALSE),0)</f>
        <v>0</v>
      </c>
      <c r="AK1222" s="4">
        <f>IFERROR(VLOOKUP(Calculations[[#This Row],[Material (choose from dropdown]],MaterialData[[#Headers],[#Data]],10,FALSE),0)</f>
        <v>0</v>
      </c>
      <c r="AL1222" s="322">
        <f>IFERROR(Calculations[[#This Row],[Data Quality Score]]*Calculations[[#This Row],[Total Kg]],0)</f>
        <v>0</v>
      </c>
    </row>
    <row r="1223" spans="1:38" x14ac:dyDescent="0.3">
      <c r="A1223" s="6">
        <f>IFERROR(MaterialsBoQ[[#This Row],[Scope Element]],0)</f>
        <v>0</v>
      </c>
      <c r="B1223" t="str">
        <f>IFERROR(MaterialsBoQ[[#This Row],[Material ]],"")</f>
        <v/>
      </c>
      <c r="C1223" t="str">
        <f>IFERROR(MaterialsBoQ[[#This Row],[Unit]],"")</f>
        <v/>
      </c>
      <c r="D1223" s="322">
        <f>IFERROR(MaterialsBoQ[[#This Row],[Number]],0)</f>
        <v>0</v>
      </c>
      <c r="E1223" s="322">
        <f>IFERROR(MaterialsBoQ[[#This Row],[Kg per unit]],0)</f>
        <v>0</v>
      </c>
      <c r="F1223" s="322">
        <f>IFERROR(Calculations[[#This Row],[Number]]*Calculations[[#This Row],[Conversion factor]],0)</f>
        <v>0</v>
      </c>
      <c r="G1223" s="322">
        <f>IFERROR(VLOOKUP(Calculations[[#This Row],[Material (choose from dropdown]],MaterialData[#All],7,FALSE),0)</f>
        <v>0</v>
      </c>
      <c r="H1223" s="322">
        <f>Calculations[[#This Row],[Total Kg]]*Calculations[[#This Row],[Carbon Factor]]</f>
        <v>0</v>
      </c>
      <c r="I1223" t="str">
        <f>IFERROR(VLOOKUP(Calculations[[#This Row],[Material (choose from dropdown]],MaterialData[#All],2,FALSE),"")</f>
        <v/>
      </c>
      <c r="J1223" s="322">
        <f>IFERROR(((VLOOKUP(Calculations[[#This Row],[TransportSource]],TransportDistance[],2,FALSE)*'Stage assumptions'!$C$11)+VLOOKUP(Calculations[[#This Row],[TransportSource]],TransportDistance[],3,FALSE)*'Stage assumptions'!$C$12)*Calculations[[#This Row],[Total Kg]],0)</f>
        <v>0</v>
      </c>
      <c r="K1223">
        <f>IFERROR(VLOOKUP(Calculations[[#This Row],[Material (choose from dropdown]], MaterialData[#All],3, FALSE),0)</f>
        <v>0</v>
      </c>
      <c r="L1223" s="322">
        <f>IFERROR(VLOOKUP(Calculations[[#This Row],[A5type]],A5WastageRate[#All],2,FALSE)*Calculations[[#This Row],[A1-3]],0)</f>
        <v>0</v>
      </c>
      <c r="N1223">
        <f>IFERROR(ROUNDUP(50/VLOOKUP(Calculations[[#This Row],[Scope Element]],B4referenceServiceLife[[Tier 2 element]:[Default Service Life]],2, FALSE)-1,0),0)</f>
        <v>0</v>
      </c>
      <c r="O1223" s="322">
        <f>IFERROR((Calculations[[#This Row],[A1-3]]+Calculations[[#This Row],[A4]]+Calculations[[#This Row],[A5]]+Calculations[[#This Row],[C2 total]]+Calculations[[#This Row],[C3 total]]+Calculations[[#This Row],[C4 total]])*Calculations[[#This Row],[Replacements]],0)</f>
        <v>0</v>
      </c>
      <c r="S1223" t="str">
        <f>IFERROR(VLOOKUP(Calculations[[#This Row],[Material (choose from dropdown]],MaterialData[#All],4,FALSE),"")</f>
        <v/>
      </c>
      <c r="T1223" s="322" cm="1">
        <f t="array" ref="T1223">IFERROR(VLOOKUP(Calculations[[#This Row],[Waste 1]],WasteScenario[#All],2,FALSE)*'Stage assumptions'!$C$225*WasteTransportMethod[Emissions Factor
kgCO2e/kg.km]*Calculations[[#This Row],[Total Kg]],0)</f>
        <v>0</v>
      </c>
      <c r="U1223" s="322" cm="1">
        <f t="array" ref="U1223">IFERROR(VLOOKUP(Calculations[[#This Row],[Waste 1]],WasteScenario[#All],3,FALSE)*'Stage assumptions'!$C$224*WasteTransportMethod[Emissions Factor
kgCO2e/kg.km]*Calculations[[#This Row],[Total Kg]],0)</f>
        <v>0</v>
      </c>
      <c r="V1223" s="322" cm="1">
        <f t="array" ref="V1223">IFERROR(VLOOKUP(Calculations[[#This Row],[Waste 1]],WasteScenario[#All],4,FALSE)*'Stage assumptions'!$C$223*WasteTransportMethod[Emissions Factor
kgCO2e/kg.km]*Calculations[[#This Row],[Total Kg]],0)</f>
        <v>0</v>
      </c>
      <c r="W1223" s="322" cm="1">
        <f t="array" ref="W1223">IFERROR(VLOOKUP(Calculations[[#This Row],[Waste 1]],WasteScenario[#All],5,FALSE)*'Stage assumptions'!$C$226*WasteTransportMethod[Emissions Factor
kgCO2e/kg.km]*Calculations[[#This Row],[Total Kg]],0)</f>
        <v>0</v>
      </c>
      <c r="X1223" s="322">
        <f>SUM(Calculations[[#This Row],[C2 Recycle]:[C2 Reuse]])</f>
        <v>0</v>
      </c>
      <c r="Y1223" t="str">
        <f>IFERROR(VLOOKUP(Calculations[[#This Row],[Material (choose from dropdown]],MaterialData[#All],5,FALSE),"")</f>
        <v/>
      </c>
      <c r="Z1223" s="322">
        <f>IFERROR(((VLOOKUP(Calculations[[#This Row],[Waste type 2]],WasteDisposalEmissions[#All],2,FALSE))*Calculations[[#This Row],[Total Kg]])*VLOOKUP(Calculations[[#This Row],[Waste 1]],WasteScenario[#All],2,FALSE),0)</f>
        <v>0</v>
      </c>
      <c r="AA1223" s="322">
        <f>IFERROR((VLOOKUP(Calculations[[#This Row],[Waste type 2]],WasteDisposalEmissions[#All],3,FALSE))*Calculations[[#This Row],[Total Kg]]*VLOOKUP(Calculations[[#This Row],[Waste 1]],WasteScenario[#All],3,FALSE),0)</f>
        <v>0</v>
      </c>
      <c r="AB1223" s="322">
        <f>SUM(Calculations[[#This Row],[C3 recyc]:[C3 incin]])</f>
        <v>0</v>
      </c>
      <c r="AC1223" s="334">
        <f>IFERROR((VLOOKUP(Calculations[[#This Row],[Waste type 2]],WasteLandfillEmissions[#All],2,FALSE))*Calculations[[#This Row],[Total Kg]]*VLOOKUP(Calculations[[#This Row],[Waste 1]],WasteScenario[#All],4,FALSE),0)</f>
        <v>0</v>
      </c>
      <c r="AD1223" s="322">
        <f>IFERROR((VLOOKUP(Calculations[[#This Row],[Waste type 2]],WasteLandfillEmissions[#All],3,FALSE))*Calculations[[#This Row],[Total Kg]]*VLOOKUP(Calculations[[#This Row],[Waste 1]],WasteScenario[#All],4,FALSE),0)</f>
        <v>0</v>
      </c>
      <c r="AE1223" s="322">
        <f>SUM(Calculations[[#This Row],[C4 landfill]:[C4 re-use]])</f>
        <v>0</v>
      </c>
      <c r="AF1223" s="322">
        <f>IFERROR(VLOOKUP(Calculations[[#This Row],[Material (choose from dropdown]],MaterialData[#All],8,FALSE),0)</f>
        <v>0</v>
      </c>
      <c r="AG1223" s="322">
        <f>IFERROR(Calculations[[#This Row],[Total Kg]]*Calculations[[#This Row],[Seq factor]],0)</f>
        <v>0</v>
      </c>
      <c r="AI1223" s="322">
        <f>Calculations[[#This Row],[A1-3]]+Calculations[[#This Row],[A4]]+Calculations[[#This Row],[A5]]+Calculations[[#This Row],[B4]]+Calculations[[#This Row],[C2 total]]+Calculations[[#This Row],[C3 total]]+Calculations[[#This Row],[C4 total]]</f>
        <v>0</v>
      </c>
      <c r="AJ1223" s="2">
        <f>IFERROR(VLOOKUP(Calculations[[#This Row],[Material (choose from dropdown]],MaterialData[[#Headers],[#Data]],9,FALSE),0)</f>
        <v>0</v>
      </c>
      <c r="AK1223" s="4">
        <f>IFERROR(VLOOKUP(Calculations[[#This Row],[Material (choose from dropdown]],MaterialData[[#Headers],[#Data]],10,FALSE),0)</f>
        <v>0</v>
      </c>
      <c r="AL1223" s="322">
        <f>IFERROR(Calculations[[#This Row],[Data Quality Score]]*Calculations[[#This Row],[Total Kg]],0)</f>
        <v>0</v>
      </c>
    </row>
    <row r="1224" spans="1:38" x14ac:dyDescent="0.3">
      <c r="A1224" s="6">
        <f>IFERROR(MaterialsBoQ[[#This Row],[Scope Element]],0)</f>
        <v>0</v>
      </c>
      <c r="B1224" t="str">
        <f>IFERROR(MaterialsBoQ[[#This Row],[Material ]],"")</f>
        <v/>
      </c>
      <c r="C1224" t="str">
        <f>IFERROR(MaterialsBoQ[[#This Row],[Unit]],"")</f>
        <v/>
      </c>
      <c r="D1224" s="322">
        <f>IFERROR(MaterialsBoQ[[#This Row],[Number]],0)</f>
        <v>0</v>
      </c>
      <c r="E1224" s="322">
        <f>IFERROR(MaterialsBoQ[[#This Row],[Kg per unit]],0)</f>
        <v>0</v>
      </c>
      <c r="F1224" s="322">
        <f>IFERROR(Calculations[[#This Row],[Number]]*Calculations[[#This Row],[Conversion factor]],0)</f>
        <v>0</v>
      </c>
      <c r="G1224" s="322">
        <f>IFERROR(VLOOKUP(Calculations[[#This Row],[Material (choose from dropdown]],MaterialData[#All],7,FALSE),0)</f>
        <v>0</v>
      </c>
      <c r="H1224" s="322">
        <f>Calculations[[#This Row],[Total Kg]]*Calculations[[#This Row],[Carbon Factor]]</f>
        <v>0</v>
      </c>
      <c r="I1224" t="str">
        <f>IFERROR(VLOOKUP(Calculations[[#This Row],[Material (choose from dropdown]],MaterialData[#All],2,FALSE),"")</f>
        <v/>
      </c>
      <c r="J1224" s="322">
        <f>IFERROR(((VLOOKUP(Calculations[[#This Row],[TransportSource]],TransportDistance[],2,FALSE)*'Stage assumptions'!$C$11)+VLOOKUP(Calculations[[#This Row],[TransportSource]],TransportDistance[],3,FALSE)*'Stage assumptions'!$C$12)*Calculations[[#This Row],[Total Kg]],0)</f>
        <v>0</v>
      </c>
      <c r="K1224">
        <f>IFERROR(VLOOKUP(Calculations[[#This Row],[Material (choose from dropdown]], MaterialData[#All],3, FALSE),0)</f>
        <v>0</v>
      </c>
      <c r="L1224" s="322">
        <f>IFERROR(VLOOKUP(Calculations[[#This Row],[A5type]],A5WastageRate[#All],2,FALSE)*Calculations[[#This Row],[A1-3]],0)</f>
        <v>0</v>
      </c>
      <c r="N1224">
        <f>IFERROR(ROUNDUP(50/VLOOKUP(Calculations[[#This Row],[Scope Element]],B4referenceServiceLife[[Tier 2 element]:[Default Service Life]],2, FALSE)-1,0),0)</f>
        <v>0</v>
      </c>
      <c r="O1224" s="322">
        <f>IFERROR((Calculations[[#This Row],[A1-3]]+Calculations[[#This Row],[A4]]+Calculations[[#This Row],[A5]]+Calculations[[#This Row],[C2 total]]+Calculations[[#This Row],[C3 total]]+Calculations[[#This Row],[C4 total]])*Calculations[[#This Row],[Replacements]],0)</f>
        <v>0</v>
      </c>
      <c r="S1224" t="str">
        <f>IFERROR(VLOOKUP(Calculations[[#This Row],[Material (choose from dropdown]],MaterialData[#All],4,FALSE),"")</f>
        <v/>
      </c>
      <c r="T1224" s="322" cm="1">
        <f t="array" ref="T1224">IFERROR(VLOOKUP(Calculations[[#This Row],[Waste 1]],WasteScenario[#All],2,FALSE)*'Stage assumptions'!$C$225*WasteTransportMethod[Emissions Factor
kgCO2e/kg.km]*Calculations[[#This Row],[Total Kg]],0)</f>
        <v>0</v>
      </c>
      <c r="U1224" s="322" cm="1">
        <f t="array" ref="U1224">IFERROR(VLOOKUP(Calculations[[#This Row],[Waste 1]],WasteScenario[#All],3,FALSE)*'Stage assumptions'!$C$224*WasteTransportMethod[Emissions Factor
kgCO2e/kg.km]*Calculations[[#This Row],[Total Kg]],0)</f>
        <v>0</v>
      </c>
      <c r="V1224" s="322" cm="1">
        <f t="array" ref="V1224">IFERROR(VLOOKUP(Calculations[[#This Row],[Waste 1]],WasteScenario[#All],4,FALSE)*'Stage assumptions'!$C$223*WasteTransportMethod[Emissions Factor
kgCO2e/kg.km]*Calculations[[#This Row],[Total Kg]],0)</f>
        <v>0</v>
      </c>
      <c r="W1224" s="322" cm="1">
        <f t="array" ref="W1224">IFERROR(VLOOKUP(Calculations[[#This Row],[Waste 1]],WasteScenario[#All],5,FALSE)*'Stage assumptions'!$C$226*WasteTransportMethod[Emissions Factor
kgCO2e/kg.km]*Calculations[[#This Row],[Total Kg]],0)</f>
        <v>0</v>
      </c>
      <c r="X1224" s="322">
        <f>SUM(Calculations[[#This Row],[C2 Recycle]:[C2 Reuse]])</f>
        <v>0</v>
      </c>
      <c r="Y1224" t="str">
        <f>IFERROR(VLOOKUP(Calculations[[#This Row],[Material (choose from dropdown]],MaterialData[#All],5,FALSE),"")</f>
        <v/>
      </c>
      <c r="Z1224" s="322">
        <f>IFERROR(((VLOOKUP(Calculations[[#This Row],[Waste type 2]],WasteDisposalEmissions[#All],2,FALSE))*Calculations[[#This Row],[Total Kg]])*VLOOKUP(Calculations[[#This Row],[Waste 1]],WasteScenario[#All],2,FALSE),0)</f>
        <v>0</v>
      </c>
      <c r="AA1224" s="322">
        <f>IFERROR((VLOOKUP(Calculations[[#This Row],[Waste type 2]],WasteDisposalEmissions[#All],3,FALSE))*Calculations[[#This Row],[Total Kg]]*VLOOKUP(Calculations[[#This Row],[Waste 1]],WasteScenario[#All],3,FALSE),0)</f>
        <v>0</v>
      </c>
      <c r="AB1224" s="322">
        <f>SUM(Calculations[[#This Row],[C3 recyc]:[C3 incin]])</f>
        <v>0</v>
      </c>
      <c r="AC1224" s="334">
        <f>IFERROR((VLOOKUP(Calculations[[#This Row],[Waste type 2]],WasteLandfillEmissions[#All],2,FALSE))*Calculations[[#This Row],[Total Kg]]*VLOOKUP(Calculations[[#This Row],[Waste 1]],WasteScenario[#All],4,FALSE),0)</f>
        <v>0</v>
      </c>
      <c r="AD1224" s="322">
        <f>IFERROR((VLOOKUP(Calculations[[#This Row],[Waste type 2]],WasteLandfillEmissions[#All],3,FALSE))*Calculations[[#This Row],[Total Kg]]*VLOOKUP(Calculations[[#This Row],[Waste 1]],WasteScenario[#All],4,FALSE),0)</f>
        <v>0</v>
      </c>
      <c r="AE1224" s="322">
        <f>SUM(Calculations[[#This Row],[C4 landfill]:[C4 re-use]])</f>
        <v>0</v>
      </c>
      <c r="AF1224" s="322">
        <f>IFERROR(VLOOKUP(Calculations[[#This Row],[Material (choose from dropdown]],MaterialData[#All],8,FALSE),0)</f>
        <v>0</v>
      </c>
      <c r="AG1224" s="322">
        <f>IFERROR(Calculations[[#This Row],[Total Kg]]*Calculations[[#This Row],[Seq factor]],0)</f>
        <v>0</v>
      </c>
      <c r="AI1224" s="322">
        <f>Calculations[[#This Row],[A1-3]]+Calculations[[#This Row],[A4]]+Calculations[[#This Row],[A5]]+Calculations[[#This Row],[B4]]+Calculations[[#This Row],[C2 total]]+Calculations[[#This Row],[C3 total]]+Calculations[[#This Row],[C4 total]]</f>
        <v>0</v>
      </c>
      <c r="AJ1224" s="2">
        <f>IFERROR(VLOOKUP(Calculations[[#This Row],[Material (choose from dropdown]],MaterialData[[#Headers],[#Data]],9,FALSE),0)</f>
        <v>0</v>
      </c>
      <c r="AK1224" s="4">
        <f>IFERROR(VLOOKUP(Calculations[[#This Row],[Material (choose from dropdown]],MaterialData[[#Headers],[#Data]],10,FALSE),0)</f>
        <v>0</v>
      </c>
      <c r="AL1224" s="322">
        <f>IFERROR(Calculations[[#This Row],[Data Quality Score]]*Calculations[[#This Row],[Total Kg]],0)</f>
        <v>0</v>
      </c>
    </row>
    <row r="1225" spans="1:38" x14ac:dyDescent="0.3">
      <c r="A1225" s="6">
        <f>IFERROR(MaterialsBoQ[[#This Row],[Scope Element]],0)</f>
        <v>0</v>
      </c>
      <c r="B1225" t="str">
        <f>IFERROR(MaterialsBoQ[[#This Row],[Material ]],"")</f>
        <v/>
      </c>
      <c r="C1225" t="str">
        <f>IFERROR(MaterialsBoQ[[#This Row],[Unit]],"")</f>
        <v/>
      </c>
      <c r="D1225" s="322">
        <f>IFERROR(MaterialsBoQ[[#This Row],[Number]],0)</f>
        <v>0</v>
      </c>
      <c r="E1225" s="322">
        <f>IFERROR(MaterialsBoQ[[#This Row],[Kg per unit]],0)</f>
        <v>0</v>
      </c>
      <c r="F1225" s="322">
        <f>IFERROR(Calculations[[#This Row],[Number]]*Calculations[[#This Row],[Conversion factor]],0)</f>
        <v>0</v>
      </c>
      <c r="G1225" s="322">
        <f>IFERROR(VLOOKUP(Calculations[[#This Row],[Material (choose from dropdown]],MaterialData[#All],7,FALSE),0)</f>
        <v>0</v>
      </c>
      <c r="H1225" s="322">
        <f>Calculations[[#This Row],[Total Kg]]*Calculations[[#This Row],[Carbon Factor]]</f>
        <v>0</v>
      </c>
      <c r="I1225" t="str">
        <f>IFERROR(VLOOKUP(Calculations[[#This Row],[Material (choose from dropdown]],MaterialData[#All],2,FALSE),"")</f>
        <v/>
      </c>
      <c r="J1225" s="322">
        <f>IFERROR(((VLOOKUP(Calculations[[#This Row],[TransportSource]],TransportDistance[],2,FALSE)*'Stage assumptions'!$C$11)+VLOOKUP(Calculations[[#This Row],[TransportSource]],TransportDistance[],3,FALSE)*'Stage assumptions'!$C$12)*Calculations[[#This Row],[Total Kg]],0)</f>
        <v>0</v>
      </c>
      <c r="K1225">
        <f>IFERROR(VLOOKUP(Calculations[[#This Row],[Material (choose from dropdown]], MaterialData[#All],3, FALSE),0)</f>
        <v>0</v>
      </c>
      <c r="L1225" s="322">
        <f>IFERROR(VLOOKUP(Calculations[[#This Row],[A5type]],A5WastageRate[#All],2,FALSE)*Calculations[[#This Row],[A1-3]],0)</f>
        <v>0</v>
      </c>
      <c r="N1225">
        <f>IFERROR(ROUNDUP(50/VLOOKUP(Calculations[[#This Row],[Scope Element]],B4referenceServiceLife[[Tier 2 element]:[Default Service Life]],2, FALSE)-1,0),0)</f>
        <v>0</v>
      </c>
      <c r="O1225" s="322">
        <f>IFERROR((Calculations[[#This Row],[A1-3]]+Calculations[[#This Row],[A4]]+Calculations[[#This Row],[A5]]+Calculations[[#This Row],[C2 total]]+Calculations[[#This Row],[C3 total]]+Calculations[[#This Row],[C4 total]])*Calculations[[#This Row],[Replacements]],0)</f>
        <v>0</v>
      </c>
      <c r="S1225" t="str">
        <f>IFERROR(VLOOKUP(Calculations[[#This Row],[Material (choose from dropdown]],MaterialData[#All],4,FALSE),"")</f>
        <v/>
      </c>
      <c r="T1225" s="322" cm="1">
        <f t="array" ref="T1225">IFERROR(VLOOKUP(Calculations[[#This Row],[Waste 1]],WasteScenario[#All],2,FALSE)*'Stage assumptions'!$C$225*WasteTransportMethod[Emissions Factor
kgCO2e/kg.km]*Calculations[[#This Row],[Total Kg]],0)</f>
        <v>0</v>
      </c>
      <c r="U1225" s="322" cm="1">
        <f t="array" ref="U1225">IFERROR(VLOOKUP(Calculations[[#This Row],[Waste 1]],WasteScenario[#All],3,FALSE)*'Stage assumptions'!$C$224*WasteTransportMethod[Emissions Factor
kgCO2e/kg.km]*Calculations[[#This Row],[Total Kg]],0)</f>
        <v>0</v>
      </c>
      <c r="V1225" s="322" cm="1">
        <f t="array" ref="V1225">IFERROR(VLOOKUP(Calculations[[#This Row],[Waste 1]],WasteScenario[#All],4,FALSE)*'Stage assumptions'!$C$223*WasteTransportMethod[Emissions Factor
kgCO2e/kg.km]*Calculations[[#This Row],[Total Kg]],0)</f>
        <v>0</v>
      </c>
      <c r="W1225" s="322" cm="1">
        <f t="array" ref="W1225">IFERROR(VLOOKUP(Calculations[[#This Row],[Waste 1]],WasteScenario[#All],5,FALSE)*'Stage assumptions'!$C$226*WasteTransportMethod[Emissions Factor
kgCO2e/kg.km]*Calculations[[#This Row],[Total Kg]],0)</f>
        <v>0</v>
      </c>
      <c r="X1225" s="322">
        <f>SUM(Calculations[[#This Row],[C2 Recycle]:[C2 Reuse]])</f>
        <v>0</v>
      </c>
      <c r="Y1225" t="str">
        <f>IFERROR(VLOOKUP(Calculations[[#This Row],[Material (choose from dropdown]],MaterialData[#All],5,FALSE),"")</f>
        <v/>
      </c>
      <c r="Z1225" s="322">
        <f>IFERROR(((VLOOKUP(Calculations[[#This Row],[Waste type 2]],WasteDisposalEmissions[#All],2,FALSE))*Calculations[[#This Row],[Total Kg]])*VLOOKUP(Calculations[[#This Row],[Waste 1]],WasteScenario[#All],2,FALSE),0)</f>
        <v>0</v>
      </c>
      <c r="AA1225" s="322">
        <f>IFERROR((VLOOKUP(Calculations[[#This Row],[Waste type 2]],WasteDisposalEmissions[#All],3,FALSE))*Calculations[[#This Row],[Total Kg]]*VLOOKUP(Calculations[[#This Row],[Waste 1]],WasteScenario[#All],3,FALSE),0)</f>
        <v>0</v>
      </c>
      <c r="AB1225" s="322">
        <f>SUM(Calculations[[#This Row],[C3 recyc]:[C3 incin]])</f>
        <v>0</v>
      </c>
      <c r="AC1225" s="334">
        <f>IFERROR((VLOOKUP(Calculations[[#This Row],[Waste type 2]],WasteLandfillEmissions[#All],2,FALSE))*Calculations[[#This Row],[Total Kg]]*VLOOKUP(Calculations[[#This Row],[Waste 1]],WasteScenario[#All],4,FALSE),0)</f>
        <v>0</v>
      </c>
      <c r="AD1225" s="322">
        <f>IFERROR((VLOOKUP(Calculations[[#This Row],[Waste type 2]],WasteLandfillEmissions[#All],3,FALSE))*Calculations[[#This Row],[Total Kg]]*VLOOKUP(Calculations[[#This Row],[Waste 1]],WasteScenario[#All],4,FALSE),0)</f>
        <v>0</v>
      </c>
      <c r="AE1225" s="322">
        <f>SUM(Calculations[[#This Row],[C4 landfill]:[C4 re-use]])</f>
        <v>0</v>
      </c>
      <c r="AF1225" s="322">
        <f>IFERROR(VLOOKUP(Calculations[[#This Row],[Material (choose from dropdown]],MaterialData[#All],8,FALSE),0)</f>
        <v>0</v>
      </c>
      <c r="AG1225" s="322">
        <f>IFERROR(Calculations[[#This Row],[Total Kg]]*Calculations[[#This Row],[Seq factor]],0)</f>
        <v>0</v>
      </c>
      <c r="AI1225" s="322">
        <f>Calculations[[#This Row],[A1-3]]+Calculations[[#This Row],[A4]]+Calculations[[#This Row],[A5]]+Calculations[[#This Row],[B4]]+Calculations[[#This Row],[C2 total]]+Calculations[[#This Row],[C3 total]]+Calculations[[#This Row],[C4 total]]</f>
        <v>0</v>
      </c>
      <c r="AJ1225" s="2">
        <f>IFERROR(VLOOKUP(Calculations[[#This Row],[Material (choose from dropdown]],MaterialData[[#Headers],[#Data]],9,FALSE),0)</f>
        <v>0</v>
      </c>
      <c r="AK1225" s="4">
        <f>IFERROR(VLOOKUP(Calculations[[#This Row],[Material (choose from dropdown]],MaterialData[[#Headers],[#Data]],10,FALSE),0)</f>
        <v>0</v>
      </c>
      <c r="AL1225" s="322">
        <f>IFERROR(Calculations[[#This Row],[Data Quality Score]]*Calculations[[#This Row],[Total Kg]],0)</f>
        <v>0</v>
      </c>
    </row>
    <row r="1226" spans="1:38" x14ac:dyDescent="0.3">
      <c r="A1226" s="6">
        <f>IFERROR(MaterialsBoQ[[#This Row],[Scope Element]],0)</f>
        <v>0</v>
      </c>
      <c r="B1226" t="str">
        <f>IFERROR(MaterialsBoQ[[#This Row],[Material ]],"")</f>
        <v/>
      </c>
      <c r="C1226" t="str">
        <f>IFERROR(MaterialsBoQ[[#This Row],[Unit]],"")</f>
        <v/>
      </c>
      <c r="D1226" s="322">
        <f>IFERROR(MaterialsBoQ[[#This Row],[Number]],0)</f>
        <v>0</v>
      </c>
      <c r="E1226" s="322">
        <f>IFERROR(MaterialsBoQ[[#This Row],[Kg per unit]],0)</f>
        <v>0</v>
      </c>
      <c r="F1226" s="322">
        <f>IFERROR(Calculations[[#This Row],[Number]]*Calculations[[#This Row],[Conversion factor]],0)</f>
        <v>0</v>
      </c>
      <c r="G1226" s="322">
        <f>IFERROR(VLOOKUP(Calculations[[#This Row],[Material (choose from dropdown]],MaterialData[#All],7,FALSE),0)</f>
        <v>0</v>
      </c>
      <c r="H1226" s="322">
        <f>Calculations[[#This Row],[Total Kg]]*Calculations[[#This Row],[Carbon Factor]]</f>
        <v>0</v>
      </c>
      <c r="I1226" t="str">
        <f>IFERROR(VLOOKUP(Calculations[[#This Row],[Material (choose from dropdown]],MaterialData[#All],2,FALSE),"")</f>
        <v/>
      </c>
      <c r="J1226" s="322">
        <f>IFERROR(((VLOOKUP(Calculations[[#This Row],[TransportSource]],TransportDistance[],2,FALSE)*'Stage assumptions'!$C$11)+VLOOKUP(Calculations[[#This Row],[TransportSource]],TransportDistance[],3,FALSE)*'Stage assumptions'!$C$12)*Calculations[[#This Row],[Total Kg]],0)</f>
        <v>0</v>
      </c>
      <c r="K1226">
        <f>IFERROR(VLOOKUP(Calculations[[#This Row],[Material (choose from dropdown]], MaterialData[#All],3, FALSE),0)</f>
        <v>0</v>
      </c>
      <c r="L1226" s="322">
        <f>IFERROR(VLOOKUP(Calculations[[#This Row],[A5type]],A5WastageRate[#All],2,FALSE)*Calculations[[#This Row],[A1-3]],0)</f>
        <v>0</v>
      </c>
      <c r="N1226">
        <f>IFERROR(ROUNDUP(50/VLOOKUP(Calculations[[#This Row],[Scope Element]],B4referenceServiceLife[[Tier 2 element]:[Default Service Life]],2, FALSE)-1,0),0)</f>
        <v>0</v>
      </c>
      <c r="O1226" s="322">
        <f>IFERROR((Calculations[[#This Row],[A1-3]]+Calculations[[#This Row],[A4]]+Calculations[[#This Row],[A5]]+Calculations[[#This Row],[C2 total]]+Calculations[[#This Row],[C3 total]]+Calculations[[#This Row],[C4 total]])*Calculations[[#This Row],[Replacements]],0)</f>
        <v>0</v>
      </c>
      <c r="S1226" t="str">
        <f>IFERROR(VLOOKUP(Calculations[[#This Row],[Material (choose from dropdown]],MaterialData[#All],4,FALSE),"")</f>
        <v/>
      </c>
      <c r="T1226" s="322" cm="1">
        <f t="array" ref="T1226">IFERROR(VLOOKUP(Calculations[[#This Row],[Waste 1]],WasteScenario[#All],2,FALSE)*'Stage assumptions'!$C$225*WasteTransportMethod[Emissions Factor
kgCO2e/kg.km]*Calculations[[#This Row],[Total Kg]],0)</f>
        <v>0</v>
      </c>
      <c r="U1226" s="322" cm="1">
        <f t="array" ref="U1226">IFERROR(VLOOKUP(Calculations[[#This Row],[Waste 1]],WasteScenario[#All],3,FALSE)*'Stage assumptions'!$C$224*WasteTransportMethod[Emissions Factor
kgCO2e/kg.km]*Calculations[[#This Row],[Total Kg]],0)</f>
        <v>0</v>
      </c>
      <c r="V1226" s="322" cm="1">
        <f t="array" ref="V1226">IFERROR(VLOOKUP(Calculations[[#This Row],[Waste 1]],WasteScenario[#All],4,FALSE)*'Stage assumptions'!$C$223*WasteTransportMethod[Emissions Factor
kgCO2e/kg.km]*Calculations[[#This Row],[Total Kg]],0)</f>
        <v>0</v>
      </c>
      <c r="W1226" s="322" cm="1">
        <f t="array" ref="W1226">IFERROR(VLOOKUP(Calculations[[#This Row],[Waste 1]],WasteScenario[#All],5,FALSE)*'Stage assumptions'!$C$226*WasteTransportMethod[Emissions Factor
kgCO2e/kg.km]*Calculations[[#This Row],[Total Kg]],0)</f>
        <v>0</v>
      </c>
      <c r="X1226" s="322">
        <f>SUM(Calculations[[#This Row],[C2 Recycle]:[C2 Reuse]])</f>
        <v>0</v>
      </c>
      <c r="Y1226" t="str">
        <f>IFERROR(VLOOKUP(Calculations[[#This Row],[Material (choose from dropdown]],MaterialData[#All],5,FALSE),"")</f>
        <v/>
      </c>
      <c r="Z1226" s="322">
        <f>IFERROR(((VLOOKUP(Calculations[[#This Row],[Waste type 2]],WasteDisposalEmissions[#All],2,FALSE))*Calculations[[#This Row],[Total Kg]])*VLOOKUP(Calculations[[#This Row],[Waste 1]],WasteScenario[#All],2,FALSE),0)</f>
        <v>0</v>
      </c>
      <c r="AA1226" s="322">
        <f>IFERROR((VLOOKUP(Calculations[[#This Row],[Waste type 2]],WasteDisposalEmissions[#All],3,FALSE))*Calculations[[#This Row],[Total Kg]]*VLOOKUP(Calculations[[#This Row],[Waste 1]],WasteScenario[#All],3,FALSE),0)</f>
        <v>0</v>
      </c>
      <c r="AB1226" s="322">
        <f>SUM(Calculations[[#This Row],[C3 recyc]:[C3 incin]])</f>
        <v>0</v>
      </c>
      <c r="AC1226" s="334">
        <f>IFERROR((VLOOKUP(Calculations[[#This Row],[Waste type 2]],WasteLandfillEmissions[#All],2,FALSE))*Calculations[[#This Row],[Total Kg]]*VLOOKUP(Calculations[[#This Row],[Waste 1]],WasteScenario[#All],4,FALSE),0)</f>
        <v>0</v>
      </c>
      <c r="AD1226" s="322">
        <f>IFERROR((VLOOKUP(Calculations[[#This Row],[Waste type 2]],WasteLandfillEmissions[#All],3,FALSE))*Calculations[[#This Row],[Total Kg]]*VLOOKUP(Calculations[[#This Row],[Waste 1]],WasteScenario[#All],4,FALSE),0)</f>
        <v>0</v>
      </c>
      <c r="AE1226" s="322">
        <f>SUM(Calculations[[#This Row],[C4 landfill]:[C4 re-use]])</f>
        <v>0</v>
      </c>
      <c r="AF1226" s="322">
        <f>IFERROR(VLOOKUP(Calculations[[#This Row],[Material (choose from dropdown]],MaterialData[#All],8,FALSE),0)</f>
        <v>0</v>
      </c>
      <c r="AG1226" s="322">
        <f>IFERROR(Calculations[[#This Row],[Total Kg]]*Calculations[[#This Row],[Seq factor]],0)</f>
        <v>0</v>
      </c>
      <c r="AI1226" s="322">
        <f>Calculations[[#This Row],[A1-3]]+Calculations[[#This Row],[A4]]+Calculations[[#This Row],[A5]]+Calculations[[#This Row],[B4]]+Calculations[[#This Row],[C2 total]]+Calculations[[#This Row],[C3 total]]+Calculations[[#This Row],[C4 total]]</f>
        <v>0</v>
      </c>
      <c r="AJ1226" s="2">
        <f>IFERROR(VLOOKUP(Calculations[[#This Row],[Material (choose from dropdown]],MaterialData[[#Headers],[#Data]],9,FALSE),0)</f>
        <v>0</v>
      </c>
      <c r="AK1226" s="4">
        <f>IFERROR(VLOOKUP(Calculations[[#This Row],[Material (choose from dropdown]],MaterialData[[#Headers],[#Data]],10,FALSE),0)</f>
        <v>0</v>
      </c>
      <c r="AL1226" s="322">
        <f>IFERROR(Calculations[[#This Row],[Data Quality Score]]*Calculations[[#This Row],[Total Kg]],0)</f>
        <v>0</v>
      </c>
    </row>
    <row r="1227" spans="1:38" x14ac:dyDescent="0.3">
      <c r="A1227" s="6">
        <f>IFERROR(MaterialsBoQ[[#This Row],[Scope Element]],0)</f>
        <v>0</v>
      </c>
      <c r="B1227" t="str">
        <f>IFERROR(MaterialsBoQ[[#This Row],[Material ]],"")</f>
        <v/>
      </c>
      <c r="C1227" t="str">
        <f>IFERROR(MaterialsBoQ[[#This Row],[Unit]],"")</f>
        <v/>
      </c>
      <c r="D1227" s="322">
        <f>IFERROR(MaterialsBoQ[[#This Row],[Number]],0)</f>
        <v>0</v>
      </c>
      <c r="E1227" s="322">
        <f>IFERROR(MaterialsBoQ[[#This Row],[Kg per unit]],0)</f>
        <v>0</v>
      </c>
      <c r="F1227" s="322">
        <f>IFERROR(Calculations[[#This Row],[Number]]*Calculations[[#This Row],[Conversion factor]],0)</f>
        <v>0</v>
      </c>
      <c r="G1227" s="322">
        <f>IFERROR(VLOOKUP(Calculations[[#This Row],[Material (choose from dropdown]],MaterialData[#All],7,FALSE),0)</f>
        <v>0</v>
      </c>
      <c r="H1227" s="322">
        <f>Calculations[[#This Row],[Total Kg]]*Calculations[[#This Row],[Carbon Factor]]</f>
        <v>0</v>
      </c>
      <c r="I1227" t="str">
        <f>IFERROR(VLOOKUP(Calculations[[#This Row],[Material (choose from dropdown]],MaterialData[#All],2,FALSE),"")</f>
        <v/>
      </c>
      <c r="J1227" s="322">
        <f>IFERROR(((VLOOKUP(Calculations[[#This Row],[TransportSource]],TransportDistance[],2,FALSE)*'Stage assumptions'!$C$11)+VLOOKUP(Calculations[[#This Row],[TransportSource]],TransportDistance[],3,FALSE)*'Stage assumptions'!$C$12)*Calculations[[#This Row],[Total Kg]],0)</f>
        <v>0</v>
      </c>
      <c r="K1227">
        <f>IFERROR(VLOOKUP(Calculations[[#This Row],[Material (choose from dropdown]], MaterialData[#All],3, FALSE),0)</f>
        <v>0</v>
      </c>
      <c r="L1227" s="322">
        <f>IFERROR(VLOOKUP(Calculations[[#This Row],[A5type]],A5WastageRate[#All],2,FALSE)*Calculations[[#This Row],[A1-3]],0)</f>
        <v>0</v>
      </c>
      <c r="N1227">
        <f>IFERROR(ROUNDUP(50/VLOOKUP(Calculations[[#This Row],[Scope Element]],B4referenceServiceLife[[Tier 2 element]:[Default Service Life]],2, FALSE)-1,0),0)</f>
        <v>0</v>
      </c>
      <c r="O1227" s="322">
        <f>IFERROR((Calculations[[#This Row],[A1-3]]+Calculations[[#This Row],[A4]]+Calculations[[#This Row],[A5]]+Calculations[[#This Row],[C2 total]]+Calculations[[#This Row],[C3 total]]+Calculations[[#This Row],[C4 total]])*Calculations[[#This Row],[Replacements]],0)</f>
        <v>0</v>
      </c>
      <c r="S1227" t="str">
        <f>IFERROR(VLOOKUP(Calculations[[#This Row],[Material (choose from dropdown]],MaterialData[#All],4,FALSE),"")</f>
        <v/>
      </c>
      <c r="T1227" s="322" cm="1">
        <f t="array" ref="T1227">IFERROR(VLOOKUP(Calculations[[#This Row],[Waste 1]],WasteScenario[#All],2,FALSE)*'Stage assumptions'!$C$225*WasteTransportMethod[Emissions Factor
kgCO2e/kg.km]*Calculations[[#This Row],[Total Kg]],0)</f>
        <v>0</v>
      </c>
      <c r="U1227" s="322" cm="1">
        <f t="array" ref="U1227">IFERROR(VLOOKUP(Calculations[[#This Row],[Waste 1]],WasteScenario[#All],3,FALSE)*'Stage assumptions'!$C$224*WasteTransportMethod[Emissions Factor
kgCO2e/kg.km]*Calculations[[#This Row],[Total Kg]],0)</f>
        <v>0</v>
      </c>
      <c r="V1227" s="322" cm="1">
        <f t="array" ref="V1227">IFERROR(VLOOKUP(Calculations[[#This Row],[Waste 1]],WasteScenario[#All],4,FALSE)*'Stage assumptions'!$C$223*WasteTransportMethod[Emissions Factor
kgCO2e/kg.km]*Calculations[[#This Row],[Total Kg]],0)</f>
        <v>0</v>
      </c>
      <c r="W1227" s="322" cm="1">
        <f t="array" ref="W1227">IFERROR(VLOOKUP(Calculations[[#This Row],[Waste 1]],WasteScenario[#All],5,FALSE)*'Stage assumptions'!$C$226*WasteTransportMethod[Emissions Factor
kgCO2e/kg.km]*Calculations[[#This Row],[Total Kg]],0)</f>
        <v>0</v>
      </c>
      <c r="X1227" s="322">
        <f>SUM(Calculations[[#This Row],[C2 Recycle]:[C2 Reuse]])</f>
        <v>0</v>
      </c>
      <c r="Y1227" t="str">
        <f>IFERROR(VLOOKUP(Calculations[[#This Row],[Material (choose from dropdown]],MaterialData[#All],5,FALSE),"")</f>
        <v/>
      </c>
      <c r="Z1227" s="322">
        <f>IFERROR(((VLOOKUP(Calculations[[#This Row],[Waste type 2]],WasteDisposalEmissions[#All],2,FALSE))*Calculations[[#This Row],[Total Kg]])*VLOOKUP(Calculations[[#This Row],[Waste 1]],WasteScenario[#All],2,FALSE),0)</f>
        <v>0</v>
      </c>
      <c r="AA1227" s="322">
        <f>IFERROR((VLOOKUP(Calculations[[#This Row],[Waste type 2]],WasteDisposalEmissions[#All],3,FALSE))*Calculations[[#This Row],[Total Kg]]*VLOOKUP(Calculations[[#This Row],[Waste 1]],WasteScenario[#All],3,FALSE),0)</f>
        <v>0</v>
      </c>
      <c r="AB1227" s="322">
        <f>SUM(Calculations[[#This Row],[C3 recyc]:[C3 incin]])</f>
        <v>0</v>
      </c>
      <c r="AC1227" s="334">
        <f>IFERROR((VLOOKUP(Calculations[[#This Row],[Waste type 2]],WasteLandfillEmissions[#All],2,FALSE))*Calculations[[#This Row],[Total Kg]]*VLOOKUP(Calculations[[#This Row],[Waste 1]],WasteScenario[#All],4,FALSE),0)</f>
        <v>0</v>
      </c>
      <c r="AD1227" s="322">
        <f>IFERROR((VLOOKUP(Calculations[[#This Row],[Waste type 2]],WasteLandfillEmissions[#All],3,FALSE))*Calculations[[#This Row],[Total Kg]]*VLOOKUP(Calculations[[#This Row],[Waste 1]],WasteScenario[#All],4,FALSE),0)</f>
        <v>0</v>
      </c>
      <c r="AE1227" s="322">
        <f>SUM(Calculations[[#This Row],[C4 landfill]:[C4 re-use]])</f>
        <v>0</v>
      </c>
      <c r="AF1227" s="322">
        <f>IFERROR(VLOOKUP(Calculations[[#This Row],[Material (choose from dropdown]],MaterialData[#All],8,FALSE),0)</f>
        <v>0</v>
      </c>
      <c r="AG1227" s="322">
        <f>IFERROR(Calculations[[#This Row],[Total Kg]]*Calculations[[#This Row],[Seq factor]],0)</f>
        <v>0</v>
      </c>
      <c r="AI1227" s="322">
        <f>Calculations[[#This Row],[A1-3]]+Calculations[[#This Row],[A4]]+Calculations[[#This Row],[A5]]+Calculations[[#This Row],[B4]]+Calculations[[#This Row],[C2 total]]+Calculations[[#This Row],[C3 total]]+Calculations[[#This Row],[C4 total]]</f>
        <v>0</v>
      </c>
      <c r="AJ1227" s="2">
        <f>IFERROR(VLOOKUP(Calculations[[#This Row],[Material (choose from dropdown]],MaterialData[[#Headers],[#Data]],9,FALSE),0)</f>
        <v>0</v>
      </c>
      <c r="AK1227" s="4">
        <f>IFERROR(VLOOKUP(Calculations[[#This Row],[Material (choose from dropdown]],MaterialData[[#Headers],[#Data]],10,FALSE),0)</f>
        <v>0</v>
      </c>
      <c r="AL1227" s="322">
        <f>IFERROR(Calculations[[#This Row],[Data Quality Score]]*Calculations[[#This Row],[Total Kg]],0)</f>
        <v>0</v>
      </c>
    </row>
    <row r="1228" spans="1:38" x14ac:dyDescent="0.3">
      <c r="A1228" s="6">
        <f>IFERROR(MaterialsBoQ[[#This Row],[Scope Element]],0)</f>
        <v>0</v>
      </c>
      <c r="B1228" t="str">
        <f>IFERROR(MaterialsBoQ[[#This Row],[Material ]],"")</f>
        <v/>
      </c>
      <c r="C1228" t="str">
        <f>IFERROR(MaterialsBoQ[[#This Row],[Unit]],"")</f>
        <v/>
      </c>
      <c r="D1228" s="322">
        <f>IFERROR(MaterialsBoQ[[#This Row],[Number]],0)</f>
        <v>0</v>
      </c>
      <c r="E1228" s="322">
        <f>IFERROR(MaterialsBoQ[[#This Row],[Kg per unit]],0)</f>
        <v>0</v>
      </c>
      <c r="F1228" s="322">
        <f>IFERROR(Calculations[[#This Row],[Number]]*Calculations[[#This Row],[Conversion factor]],0)</f>
        <v>0</v>
      </c>
      <c r="G1228" s="322">
        <f>IFERROR(VLOOKUP(Calculations[[#This Row],[Material (choose from dropdown]],MaterialData[#All],7,FALSE),0)</f>
        <v>0</v>
      </c>
      <c r="H1228" s="322">
        <f>Calculations[[#This Row],[Total Kg]]*Calculations[[#This Row],[Carbon Factor]]</f>
        <v>0</v>
      </c>
      <c r="I1228" t="str">
        <f>IFERROR(VLOOKUP(Calculations[[#This Row],[Material (choose from dropdown]],MaterialData[#All],2,FALSE),"")</f>
        <v/>
      </c>
      <c r="J1228" s="322">
        <f>IFERROR(((VLOOKUP(Calculations[[#This Row],[TransportSource]],TransportDistance[],2,FALSE)*'Stage assumptions'!$C$11)+VLOOKUP(Calculations[[#This Row],[TransportSource]],TransportDistance[],3,FALSE)*'Stage assumptions'!$C$12)*Calculations[[#This Row],[Total Kg]],0)</f>
        <v>0</v>
      </c>
      <c r="K1228">
        <f>IFERROR(VLOOKUP(Calculations[[#This Row],[Material (choose from dropdown]], MaterialData[#All],3, FALSE),0)</f>
        <v>0</v>
      </c>
      <c r="L1228" s="322">
        <f>IFERROR(VLOOKUP(Calculations[[#This Row],[A5type]],A5WastageRate[#All],2,FALSE)*Calculations[[#This Row],[A1-3]],0)</f>
        <v>0</v>
      </c>
      <c r="N1228">
        <f>IFERROR(ROUNDUP(50/VLOOKUP(Calculations[[#This Row],[Scope Element]],B4referenceServiceLife[[Tier 2 element]:[Default Service Life]],2, FALSE)-1,0),0)</f>
        <v>0</v>
      </c>
      <c r="O1228" s="322">
        <f>IFERROR((Calculations[[#This Row],[A1-3]]+Calculations[[#This Row],[A4]]+Calculations[[#This Row],[A5]]+Calculations[[#This Row],[C2 total]]+Calculations[[#This Row],[C3 total]]+Calculations[[#This Row],[C4 total]])*Calculations[[#This Row],[Replacements]],0)</f>
        <v>0</v>
      </c>
      <c r="S1228" t="str">
        <f>IFERROR(VLOOKUP(Calculations[[#This Row],[Material (choose from dropdown]],MaterialData[#All],4,FALSE),"")</f>
        <v/>
      </c>
      <c r="T1228" s="322" cm="1">
        <f t="array" ref="T1228">IFERROR(VLOOKUP(Calculations[[#This Row],[Waste 1]],WasteScenario[#All],2,FALSE)*'Stage assumptions'!$C$225*WasteTransportMethod[Emissions Factor
kgCO2e/kg.km]*Calculations[[#This Row],[Total Kg]],0)</f>
        <v>0</v>
      </c>
      <c r="U1228" s="322" cm="1">
        <f t="array" ref="U1228">IFERROR(VLOOKUP(Calculations[[#This Row],[Waste 1]],WasteScenario[#All],3,FALSE)*'Stage assumptions'!$C$224*WasteTransportMethod[Emissions Factor
kgCO2e/kg.km]*Calculations[[#This Row],[Total Kg]],0)</f>
        <v>0</v>
      </c>
      <c r="V1228" s="322" cm="1">
        <f t="array" ref="V1228">IFERROR(VLOOKUP(Calculations[[#This Row],[Waste 1]],WasteScenario[#All],4,FALSE)*'Stage assumptions'!$C$223*WasteTransportMethod[Emissions Factor
kgCO2e/kg.km]*Calculations[[#This Row],[Total Kg]],0)</f>
        <v>0</v>
      </c>
      <c r="W1228" s="322" cm="1">
        <f t="array" ref="W1228">IFERROR(VLOOKUP(Calculations[[#This Row],[Waste 1]],WasteScenario[#All],5,FALSE)*'Stage assumptions'!$C$226*WasteTransportMethod[Emissions Factor
kgCO2e/kg.km]*Calculations[[#This Row],[Total Kg]],0)</f>
        <v>0</v>
      </c>
      <c r="X1228" s="322">
        <f>SUM(Calculations[[#This Row],[C2 Recycle]:[C2 Reuse]])</f>
        <v>0</v>
      </c>
      <c r="Y1228" t="str">
        <f>IFERROR(VLOOKUP(Calculations[[#This Row],[Material (choose from dropdown]],MaterialData[#All],5,FALSE),"")</f>
        <v/>
      </c>
      <c r="Z1228" s="322">
        <f>IFERROR(((VLOOKUP(Calculations[[#This Row],[Waste type 2]],WasteDisposalEmissions[#All],2,FALSE))*Calculations[[#This Row],[Total Kg]])*VLOOKUP(Calculations[[#This Row],[Waste 1]],WasteScenario[#All],2,FALSE),0)</f>
        <v>0</v>
      </c>
      <c r="AA1228" s="322">
        <f>IFERROR((VLOOKUP(Calculations[[#This Row],[Waste type 2]],WasteDisposalEmissions[#All],3,FALSE))*Calculations[[#This Row],[Total Kg]]*VLOOKUP(Calculations[[#This Row],[Waste 1]],WasteScenario[#All],3,FALSE),0)</f>
        <v>0</v>
      </c>
      <c r="AB1228" s="322">
        <f>SUM(Calculations[[#This Row],[C3 recyc]:[C3 incin]])</f>
        <v>0</v>
      </c>
      <c r="AC1228" s="334">
        <f>IFERROR((VLOOKUP(Calculations[[#This Row],[Waste type 2]],WasteLandfillEmissions[#All],2,FALSE))*Calculations[[#This Row],[Total Kg]]*VLOOKUP(Calculations[[#This Row],[Waste 1]],WasteScenario[#All],4,FALSE),0)</f>
        <v>0</v>
      </c>
      <c r="AD1228" s="322">
        <f>IFERROR((VLOOKUP(Calculations[[#This Row],[Waste type 2]],WasteLandfillEmissions[#All],3,FALSE))*Calculations[[#This Row],[Total Kg]]*VLOOKUP(Calculations[[#This Row],[Waste 1]],WasteScenario[#All],4,FALSE),0)</f>
        <v>0</v>
      </c>
      <c r="AE1228" s="322">
        <f>SUM(Calculations[[#This Row],[C4 landfill]:[C4 re-use]])</f>
        <v>0</v>
      </c>
      <c r="AF1228" s="322">
        <f>IFERROR(VLOOKUP(Calculations[[#This Row],[Material (choose from dropdown]],MaterialData[#All],8,FALSE),0)</f>
        <v>0</v>
      </c>
      <c r="AG1228" s="322">
        <f>IFERROR(Calculations[[#This Row],[Total Kg]]*Calculations[[#This Row],[Seq factor]],0)</f>
        <v>0</v>
      </c>
      <c r="AI1228" s="322">
        <f>Calculations[[#This Row],[A1-3]]+Calculations[[#This Row],[A4]]+Calculations[[#This Row],[A5]]+Calculations[[#This Row],[B4]]+Calculations[[#This Row],[C2 total]]+Calculations[[#This Row],[C3 total]]+Calculations[[#This Row],[C4 total]]</f>
        <v>0</v>
      </c>
      <c r="AJ1228" s="2">
        <f>IFERROR(VLOOKUP(Calculations[[#This Row],[Material (choose from dropdown]],MaterialData[[#Headers],[#Data]],9,FALSE),0)</f>
        <v>0</v>
      </c>
      <c r="AK1228" s="4">
        <f>IFERROR(VLOOKUP(Calculations[[#This Row],[Material (choose from dropdown]],MaterialData[[#Headers],[#Data]],10,FALSE),0)</f>
        <v>0</v>
      </c>
      <c r="AL1228" s="322">
        <f>IFERROR(Calculations[[#This Row],[Data Quality Score]]*Calculations[[#This Row],[Total Kg]],0)</f>
        <v>0</v>
      </c>
    </row>
    <row r="1229" spans="1:38" x14ac:dyDescent="0.3">
      <c r="A1229" s="6">
        <f>IFERROR(MaterialsBoQ[[#This Row],[Scope Element]],0)</f>
        <v>0</v>
      </c>
      <c r="B1229" t="str">
        <f>IFERROR(MaterialsBoQ[[#This Row],[Material ]],"")</f>
        <v/>
      </c>
      <c r="C1229" t="str">
        <f>IFERROR(MaterialsBoQ[[#This Row],[Unit]],"")</f>
        <v/>
      </c>
      <c r="D1229" s="322">
        <f>IFERROR(MaterialsBoQ[[#This Row],[Number]],0)</f>
        <v>0</v>
      </c>
      <c r="E1229" s="322">
        <f>IFERROR(MaterialsBoQ[[#This Row],[Kg per unit]],0)</f>
        <v>0</v>
      </c>
      <c r="F1229" s="322">
        <f>IFERROR(Calculations[[#This Row],[Number]]*Calculations[[#This Row],[Conversion factor]],0)</f>
        <v>0</v>
      </c>
      <c r="G1229" s="322">
        <f>IFERROR(VLOOKUP(Calculations[[#This Row],[Material (choose from dropdown]],MaterialData[#All],7,FALSE),0)</f>
        <v>0</v>
      </c>
      <c r="H1229" s="322">
        <f>Calculations[[#This Row],[Total Kg]]*Calculations[[#This Row],[Carbon Factor]]</f>
        <v>0</v>
      </c>
      <c r="I1229" t="str">
        <f>IFERROR(VLOOKUP(Calculations[[#This Row],[Material (choose from dropdown]],MaterialData[#All],2,FALSE),"")</f>
        <v/>
      </c>
      <c r="J1229" s="322">
        <f>IFERROR(((VLOOKUP(Calculations[[#This Row],[TransportSource]],TransportDistance[],2,FALSE)*'Stage assumptions'!$C$11)+VLOOKUP(Calculations[[#This Row],[TransportSource]],TransportDistance[],3,FALSE)*'Stage assumptions'!$C$12)*Calculations[[#This Row],[Total Kg]],0)</f>
        <v>0</v>
      </c>
      <c r="K1229">
        <f>IFERROR(VLOOKUP(Calculations[[#This Row],[Material (choose from dropdown]], MaterialData[#All],3, FALSE),0)</f>
        <v>0</v>
      </c>
      <c r="L1229" s="322">
        <f>IFERROR(VLOOKUP(Calculations[[#This Row],[A5type]],A5WastageRate[#All],2,FALSE)*Calculations[[#This Row],[A1-3]],0)</f>
        <v>0</v>
      </c>
      <c r="N1229">
        <f>IFERROR(ROUNDUP(50/VLOOKUP(Calculations[[#This Row],[Scope Element]],B4referenceServiceLife[[Tier 2 element]:[Default Service Life]],2, FALSE)-1,0),0)</f>
        <v>0</v>
      </c>
      <c r="O1229" s="322">
        <f>IFERROR((Calculations[[#This Row],[A1-3]]+Calculations[[#This Row],[A4]]+Calculations[[#This Row],[A5]]+Calculations[[#This Row],[C2 total]]+Calculations[[#This Row],[C3 total]]+Calculations[[#This Row],[C4 total]])*Calculations[[#This Row],[Replacements]],0)</f>
        <v>0</v>
      </c>
      <c r="S1229" t="str">
        <f>IFERROR(VLOOKUP(Calculations[[#This Row],[Material (choose from dropdown]],MaterialData[#All],4,FALSE),"")</f>
        <v/>
      </c>
      <c r="T1229" s="322" cm="1">
        <f t="array" ref="T1229">IFERROR(VLOOKUP(Calculations[[#This Row],[Waste 1]],WasteScenario[#All],2,FALSE)*'Stage assumptions'!$C$225*WasteTransportMethod[Emissions Factor
kgCO2e/kg.km]*Calculations[[#This Row],[Total Kg]],0)</f>
        <v>0</v>
      </c>
      <c r="U1229" s="322" cm="1">
        <f t="array" ref="U1229">IFERROR(VLOOKUP(Calculations[[#This Row],[Waste 1]],WasteScenario[#All],3,FALSE)*'Stage assumptions'!$C$224*WasteTransportMethod[Emissions Factor
kgCO2e/kg.km]*Calculations[[#This Row],[Total Kg]],0)</f>
        <v>0</v>
      </c>
      <c r="V1229" s="322" cm="1">
        <f t="array" ref="V1229">IFERROR(VLOOKUP(Calculations[[#This Row],[Waste 1]],WasteScenario[#All],4,FALSE)*'Stage assumptions'!$C$223*WasteTransportMethod[Emissions Factor
kgCO2e/kg.km]*Calculations[[#This Row],[Total Kg]],0)</f>
        <v>0</v>
      </c>
      <c r="W1229" s="322" cm="1">
        <f t="array" ref="W1229">IFERROR(VLOOKUP(Calculations[[#This Row],[Waste 1]],WasteScenario[#All],5,FALSE)*'Stage assumptions'!$C$226*WasteTransportMethod[Emissions Factor
kgCO2e/kg.km]*Calculations[[#This Row],[Total Kg]],0)</f>
        <v>0</v>
      </c>
      <c r="X1229" s="322">
        <f>SUM(Calculations[[#This Row],[C2 Recycle]:[C2 Reuse]])</f>
        <v>0</v>
      </c>
      <c r="Y1229" t="str">
        <f>IFERROR(VLOOKUP(Calculations[[#This Row],[Material (choose from dropdown]],MaterialData[#All],5,FALSE),"")</f>
        <v/>
      </c>
      <c r="Z1229" s="322">
        <f>IFERROR(((VLOOKUP(Calculations[[#This Row],[Waste type 2]],WasteDisposalEmissions[#All],2,FALSE))*Calculations[[#This Row],[Total Kg]])*VLOOKUP(Calculations[[#This Row],[Waste 1]],WasteScenario[#All],2,FALSE),0)</f>
        <v>0</v>
      </c>
      <c r="AA1229" s="322">
        <f>IFERROR((VLOOKUP(Calculations[[#This Row],[Waste type 2]],WasteDisposalEmissions[#All],3,FALSE))*Calculations[[#This Row],[Total Kg]]*VLOOKUP(Calculations[[#This Row],[Waste 1]],WasteScenario[#All],3,FALSE),0)</f>
        <v>0</v>
      </c>
      <c r="AB1229" s="322">
        <f>SUM(Calculations[[#This Row],[C3 recyc]:[C3 incin]])</f>
        <v>0</v>
      </c>
      <c r="AC1229" s="334">
        <f>IFERROR((VLOOKUP(Calculations[[#This Row],[Waste type 2]],WasteLandfillEmissions[#All],2,FALSE))*Calculations[[#This Row],[Total Kg]]*VLOOKUP(Calculations[[#This Row],[Waste 1]],WasteScenario[#All],4,FALSE),0)</f>
        <v>0</v>
      </c>
      <c r="AD1229" s="322">
        <f>IFERROR((VLOOKUP(Calculations[[#This Row],[Waste type 2]],WasteLandfillEmissions[#All],3,FALSE))*Calculations[[#This Row],[Total Kg]]*VLOOKUP(Calculations[[#This Row],[Waste 1]],WasteScenario[#All],4,FALSE),0)</f>
        <v>0</v>
      </c>
      <c r="AE1229" s="322">
        <f>SUM(Calculations[[#This Row],[C4 landfill]:[C4 re-use]])</f>
        <v>0</v>
      </c>
      <c r="AF1229" s="322">
        <f>IFERROR(VLOOKUP(Calculations[[#This Row],[Material (choose from dropdown]],MaterialData[#All],8,FALSE),0)</f>
        <v>0</v>
      </c>
      <c r="AG1229" s="322">
        <f>IFERROR(Calculations[[#This Row],[Total Kg]]*Calculations[[#This Row],[Seq factor]],0)</f>
        <v>0</v>
      </c>
      <c r="AI1229" s="322">
        <f>Calculations[[#This Row],[A1-3]]+Calculations[[#This Row],[A4]]+Calculations[[#This Row],[A5]]+Calculations[[#This Row],[B4]]+Calculations[[#This Row],[C2 total]]+Calculations[[#This Row],[C3 total]]+Calculations[[#This Row],[C4 total]]</f>
        <v>0</v>
      </c>
      <c r="AJ1229" s="2">
        <f>IFERROR(VLOOKUP(Calculations[[#This Row],[Material (choose from dropdown]],MaterialData[[#Headers],[#Data]],9,FALSE),0)</f>
        <v>0</v>
      </c>
      <c r="AK1229" s="4">
        <f>IFERROR(VLOOKUP(Calculations[[#This Row],[Material (choose from dropdown]],MaterialData[[#Headers],[#Data]],10,FALSE),0)</f>
        <v>0</v>
      </c>
      <c r="AL1229" s="322">
        <f>IFERROR(Calculations[[#This Row],[Data Quality Score]]*Calculations[[#This Row],[Total Kg]],0)</f>
        <v>0</v>
      </c>
    </row>
    <row r="1230" spans="1:38" x14ac:dyDescent="0.3">
      <c r="A1230" s="6">
        <f>IFERROR(MaterialsBoQ[[#This Row],[Scope Element]],0)</f>
        <v>0</v>
      </c>
      <c r="B1230" t="str">
        <f>IFERROR(MaterialsBoQ[[#This Row],[Material ]],"")</f>
        <v/>
      </c>
      <c r="C1230" t="str">
        <f>IFERROR(MaterialsBoQ[[#This Row],[Unit]],"")</f>
        <v/>
      </c>
      <c r="D1230" s="322">
        <f>IFERROR(MaterialsBoQ[[#This Row],[Number]],0)</f>
        <v>0</v>
      </c>
      <c r="E1230" s="322">
        <f>IFERROR(MaterialsBoQ[[#This Row],[Kg per unit]],0)</f>
        <v>0</v>
      </c>
      <c r="F1230" s="322">
        <f>IFERROR(Calculations[[#This Row],[Number]]*Calculations[[#This Row],[Conversion factor]],0)</f>
        <v>0</v>
      </c>
      <c r="G1230" s="322">
        <f>IFERROR(VLOOKUP(Calculations[[#This Row],[Material (choose from dropdown]],MaterialData[#All],7,FALSE),0)</f>
        <v>0</v>
      </c>
      <c r="H1230" s="322">
        <f>Calculations[[#This Row],[Total Kg]]*Calculations[[#This Row],[Carbon Factor]]</f>
        <v>0</v>
      </c>
      <c r="I1230" t="str">
        <f>IFERROR(VLOOKUP(Calculations[[#This Row],[Material (choose from dropdown]],MaterialData[#All],2,FALSE),"")</f>
        <v/>
      </c>
      <c r="J1230" s="322">
        <f>IFERROR(((VLOOKUP(Calculations[[#This Row],[TransportSource]],TransportDistance[],2,FALSE)*'Stage assumptions'!$C$11)+VLOOKUP(Calculations[[#This Row],[TransportSource]],TransportDistance[],3,FALSE)*'Stage assumptions'!$C$12)*Calculations[[#This Row],[Total Kg]],0)</f>
        <v>0</v>
      </c>
      <c r="K1230">
        <f>IFERROR(VLOOKUP(Calculations[[#This Row],[Material (choose from dropdown]], MaterialData[#All],3, FALSE),0)</f>
        <v>0</v>
      </c>
      <c r="L1230" s="322">
        <f>IFERROR(VLOOKUP(Calculations[[#This Row],[A5type]],A5WastageRate[#All],2,FALSE)*Calculations[[#This Row],[A1-3]],0)</f>
        <v>0</v>
      </c>
      <c r="N1230">
        <f>IFERROR(ROUNDUP(50/VLOOKUP(Calculations[[#This Row],[Scope Element]],B4referenceServiceLife[[Tier 2 element]:[Default Service Life]],2, FALSE)-1,0),0)</f>
        <v>0</v>
      </c>
      <c r="O1230" s="322">
        <f>IFERROR((Calculations[[#This Row],[A1-3]]+Calculations[[#This Row],[A4]]+Calculations[[#This Row],[A5]]+Calculations[[#This Row],[C2 total]]+Calculations[[#This Row],[C3 total]]+Calculations[[#This Row],[C4 total]])*Calculations[[#This Row],[Replacements]],0)</f>
        <v>0</v>
      </c>
      <c r="S1230" t="str">
        <f>IFERROR(VLOOKUP(Calculations[[#This Row],[Material (choose from dropdown]],MaterialData[#All],4,FALSE),"")</f>
        <v/>
      </c>
      <c r="T1230" s="322" cm="1">
        <f t="array" ref="T1230">IFERROR(VLOOKUP(Calculations[[#This Row],[Waste 1]],WasteScenario[#All],2,FALSE)*'Stage assumptions'!$C$225*WasteTransportMethod[Emissions Factor
kgCO2e/kg.km]*Calculations[[#This Row],[Total Kg]],0)</f>
        <v>0</v>
      </c>
      <c r="U1230" s="322" cm="1">
        <f t="array" ref="U1230">IFERROR(VLOOKUP(Calculations[[#This Row],[Waste 1]],WasteScenario[#All],3,FALSE)*'Stage assumptions'!$C$224*WasteTransportMethod[Emissions Factor
kgCO2e/kg.km]*Calculations[[#This Row],[Total Kg]],0)</f>
        <v>0</v>
      </c>
      <c r="V1230" s="322" cm="1">
        <f t="array" ref="V1230">IFERROR(VLOOKUP(Calculations[[#This Row],[Waste 1]],WasteScenario[#All],4,FALSE)*'Stage assumptions'!$C$223*WasteTransportMethod[Emissions Factor
kgCO2e/kg.km]*Calculations[[#This Row],[Total Kg]],0)</f>
        <v>0</v>
      </c>
      <c r="W1230" s="322" cm="1">
        <f t="array" ref="W1230">IFERROR(VLOOKUP(Calculations[[#This Row],[Waste 1]],WasteScenario[#All],5,FALSE)*'Stage assumptions'!$C$226*WasteTransportMethod[Emissions Factor
kgCO2e/kg.km]*Calculations[[#This Row],[Total Kg]],0)</f>
        <v>0</v>
      </c>
      <c r="X1230" s="322">
        <f>SUM(Calculations[[#This Row],[C2 Recycle]:[C2 Reuse]])</f>
        <v>0</v>
      </c>
      <c r="Y1230" t="str">
        <f>IFERROR(VLOOKUP(Calculations[[#This Row],[Material (choose from dropdown]],MaterialData[#All],5,FALSE),"")</f>
        <v/>
      </c>
      <c r="Z1230" s="322">
        <f>IFERROR(((VLOOKUP(Calculations[[#This Row],[Waste type 2]],WasteDisposalEmissions[#All],2,FALSE))*Calculations[[#This Row],[Total Kg]])*VLOOKUP(Calculations[[#This Row],[Waste 1]],WasteScenario[#All],2,FALSE),0)</f>
        <v>0</v>
      </c>
      <c r="AA1230" s="322">
        <f>IFERROR((VLOOKUP(Calculations[[#This Row],[Waste type 2]],WasteDisposalEmissions[#All],3,FALSE))*Calculations[[#This Row],[Total Kg]]*VLOOKUP(Calculations[[#This Row],[Waste 1]],WasteScenario[#All],3,FALSE),0)</f>
        <v>0</v>
      </c>
      <c r="AB1230" s="322">
        <f>SUM(Calculations[[#This Row],[C3 recyc]:[C3 incin]])</f>
        <v>0</v>
      </c>
      <c r="AC1230" s="334">
        <f>IFERROR((VLOOKUP(Calculations[[#This Row],[Waste type 2]],WasteLandfillEmissions[#All],2,FALSE))*Calculations[[#This Row],[Total Kg]]*VLOOKUP(Calculations[[#This Row],[Waste 1]],WasteScenario[#All],4,FALSE),0)</f>
        <v>0</v>
      </c>
      <c r="AD1230" s="322">
        <f>IFERROR((VLOOKUP(Calculations[[#This Row],[Waste type 2]],WasteLandfillEmissions[#All],3,FALSE))*Calculations[[#This Row],[Total Kg]]*VLOOKUP(Calculations[[#This Row],[Waste 1]],WasteScenario[#All],4,FALSE),0)</f>
        <v>0</v>
      </c>
      <c r="AE1230" s="322">
        <f>SUM(Calculations[[#This Row],[C4 landfill]:[C4 re-use]])</f>
        <v>0</v>
      </c>
      <c r="AF1230" s="322">
        <f>IFERROR(VLOOKUP(Calculations[[#This Row],[Material (choose from dropdown]],MaterialData[#All],8,FALSE),0)</f>
        <v>0</v>
      </c>
      <c r="AG1230" s="322">
        <f>IFERROR(Calculations[[#This Row],[Total Kg]]*Calculations[[#This Row],[Seq factor]],0)</f>
        <v>0</v>
      </c>
      <c r="AI1230" s="322">
        <f>Calculations[[#This Row],[A1-3]]+Calculations[[#This Row],[A4]]+Calculations[[#This Row],[A5]]+Calculations[[#This Row],[B4]]+Calculations[[#This Row],[C2 total]]+Calculations[[#This Row],[C3 total]]+Calculations[[#This Row],[C4 total]]</f>
        <v>0</v>
      </c>
      <c r="AJ1230" s="2">
        <f>IFERROR(VLOOKUP(Calculations[[#This Row],[Material (choose from dropdown]],MaterialData[[#Headers],[#Data]],9,FALSE),0)</f>
        <v>0</v>
      </c>
      <c r="AK1230" s="4">
        <f>IFERROR(VLOOKUP(Calculations[[#This Row],[Material (choose from dropdown]],MaterialData[[#Headers],[#Data]],10,FALSE),0)</f>
        <v>0</v>
      </c>
      <c r="AL1230" s="322">
        <f>IFERROR(Calculations[[#This Row],[Data Quality Score]]*Calculations[[#This Row],[Total Kg]],0)</f>
        <v>0</v>
      </c>
    </row>
    <row r="1231" spans="1:38" x14ac:dyDescent="0.3">
      <c r="A1231" s="6">
        <f>IFERROR(MaterialsBoQ[[#This Row],[Scope Element]],0)</f>
        <v>0</v>
      </c>
      <c r="B1231" t="str">
        <f>IFERROR(MaterialsBoQ[[#This Row],[Material ]],"")</f>
        <v/>
      </c>
      <c r="C1231" t="str">
        <f>IFERROR(MaterialsBoQ[[#This Row],[Unit]],"")</f>
        <v/>
      </c>
      <c r="D1231" s="322">
        <f>IFERROR(MaterialsBoQ[[#This Row],[Number]],0)</f>
        <v>0</v>
      </c>
      <c r="E1231" s="322">
        <f>IFERROR(MaterialsBoQ[[#This Row],[Kg per unit]],0)</f>
        <v>0</v>
      </c>
      <c r="F1231" s="322">
        <f>IFERROR(Calculations[[#This Row],[Number]]*Calculations[[#This Row],[Conversion factor]],0)</f>
        <v>0</v>
      </c>
      <c r="G1231" s="322">
        <f>IFERROR(VLOOKUP(Calculations[[#This Row],[Material (choose from dropdown]],MaterialData[#All],7,FALSE),0)</f>
        <v>0</v>
      </c>
      <c r="H1231" s="322">
        <f>Calculations[[#This Row],[Total Kg]]*Calculations[[#This Row],[Carbon Factor]]</f>
        <v>0</v>
      </c>
      <c r="I1231" t="str">
        <f>IFERROR(VLOOKUP(Calculations[[#This Row],[Material (choose from dropdown]],MaterialData[#All],2,FALSE),"")</f>
        <v/>
      </c>
      <c r="J1231" s="322">
        <f>IFERROR(((VLOOKUP(Calculations[[#This Row],[TransportSource]],TransportDistance[],2,FALSE)*'Stage assumptions'!$C$11)+VLOOKUP(Calculations[[#This Row],[TransportSource]],TransportDistance[],3,FALSE)*'Stage assumptions'!$C$12)*Calculations[[#This Row],[Total Kg]],0)</f>
        <v>0</v>
      </c>
      <c r="K1231">
        <f>IFERROR(VLOOKUP(Calculations[[#This Row],[Material (choose from dropdown]], MaterialData[#All],3, FALSE),0)</f>
        <v>0</v>
      </c>
      <c r="L1231" s="322">
        <f>IFERROR(VLOOKUP(Calculations[[#This Row],[A5type]],A5WastageRate[#All],2,FALSE)*Calculations[[#This Row],[A1-3]],0)</f>
        <v>0</v>
      </c>
      <c r="N1231">
        <f>IFERROR(ROUNDUP(50/VLOOKUP(Calculations[[#This Row],[Scope Element]],B4referenceServiceLife[[Tier 2 element]:[Default Service Life]],2, FALSE)-1,0),0)</f>
        <v>0</v>
      </c>
      <c r="O1231" s="322">
        <f>IFERROR((Calculations[[#This Row],[A1-3]]+Calculations[[#This Row],[A4]]+Calculations[[#This Row],[A5]]+Calculations[[#This Row],[C2 total]]+Calculations[[#This Row],[C3 total]]+Calculations[[#This Row],[C4 total]])*Calculations[[#This Row],[Replacements]],0)</f>
        <v>0</v>
      </c>
      <c r="S1231" t="str">
        <f>IFERROR(VLOOKUP(Calculations[[#This Row],[Material (choose from dropdown]],MaterialData[#All],4,FALSE),"")</f>
        <v/>
      </c>
      <c r="T1231" s="322" cm="1">
        <f t="array" ref="T1231">IFERROR(VLOOKUP(Calculations[[#This Row],[Waste 1]],WasteScenario[#All],2,FALSE)*'Stage assumptions'!$C$225*WasteTransportMethod[Emissions Factor
kgCO2e/kg.km]*Calculations[[#This Row],[Total Kg]],0)</f>
        <v>0</v>
      </c>
      <c r="U1231" s="322" cm="1">
        <f t="array" ref="U1231">IFERROR(VLOOKUP(Calculations[[#This Row],[Waste 1]],WasteScenario[#All],3,FALSE)*'Stage assumptions'!$C$224*WasteTransportMethod[Emissions Factor
kgCO2e/kg.km]*Calculations[[#This Row],[Total Kg]],0)</f>
        <v>0</v>
      </c>
      <c r="V1231" s="322" cm="1">
        <f t="array" ref="V1231">IFERROR(VLOOKUP(Calculations[[#This Row],[Waste 1]],WasteScenario[#All],4,FALSE)*'Stage assumptions'!$C$223*WasteTransportMethod[Emissions Factor
kgCO2e/kg.km]*Calculations[[#This Row],[Total Kg]],0)</f>
        <v>0</v>
      </c>
      <c r="W1231" s="322" cm="1">
        <f t="array" ref="W1231">IFERROR(VLOOKUP(Calculations[[#This Row],[Waste 1]],WasteScenario[#All],5,FALSE)*'Stage assumptions'!$C$226*WasteTransportMethod[Emissions Factor
kgCO2e/kg.km]*Calculations[[#This Row],[Total Kg]],0)</f>
        <v>0</v>
      </c>
      <c r="X1231" s="322">
        <f>SUM(Calculations[[#This Row],[C2 Recycle]:[C2 Reuse]])</f>
        <v>0</v>
      </c>
      <c r="Y1231" t="str">
        <f>IFERROR(VLOOKUP(Calculations[[#This Row],[Material (choose from dropdown]],MaterialData[#All],5,FALSE),"")</f>
        <v/>
      </c>
      <c r="Z1231" s="322">
        <f>IFERROR(((VLOOKUP(Calculations[[#This Row],[Waste type 2]],WasteDisposalEmissions[#All],2,FALSE))*Calculations[[#This Row],[Total Kg]])*VLOOKUP(Calculations[[#This Row],[Waste 1]],WasteScenario[#All],2,FALSE),0)</f>
        <v>0</v>
      </c>
      <c r="AA1231" s="322">
        <f>IFERROR((VLOOKUP(Calculations[[#This Row],[Waste type 2]],WasteDisposalEmissions[#All],3,FALSE))*Calculations[[#This Row],[Total Kg]]*VLOOKUP(Calculations[[#This Row],[Waste 1]],WasteScenario[#All],3,FALSE),0)</f>
        <v>0</v>
      </c>
      <c r="AB1231" s="322">
        <f>SUM(Calculations[[#This Row],[C3 recyc]:[C3 incin]])</f>
        <v>0</v>
      </c>
      <c r="AC1231" s="334">
        <f>IFERROR((VLOOKUP(Calculations[[#This Row],[Waste type 2]],WasteLandfillEmissions[#All],2,FALSE))*Calculations[[#This Row],[Total Kg]]*VLOOKUP(Calculations[[#This Row],[Waste 1]],WasteScenario[#All],4,FALSE),0)</f>
        <v>0</v>
      </c>
      <c r="AD1231" s="322">
        <f>IFERROR((VLOOKUP(Calculations[[#This Row],[Waste type 2]],WasteLandfillEmissions[#All],3,FALSE))*Calculations[[#This Row],[Total Kg]]*VLOOKUP(Calculations[[#This Row],[Waste 1]],WasteScenario[#All],4,FALSE),0)</f>
        <v>0</v>
      </c>
      <c r="AE1231" s="322">
        <f>SUM(Calculations[[#This Row],[C4 landfill]:[C4 re-use]])</f>
        <v>0</v>
      </c>
      <c r="AF1231" s="322">
        <f>IFERROR(VLOOKUP(Calculations[[#This Row],[Material (choose from dropdown]],MaterialData[#All],8,FALSE),0)</f>
        <v>0</v>
      </c>
      <c r="AG1231" s="322">
        <f>IFERROR(Calculations[[#This Row],[Total Kg]]*Calculations[[#This Row],[Seq factor]],0)</f>
        <v>0</v>
      </c>
      <c r="AI1231" s="322">
        <f>Calculations[[#This Row],[A1-3]]+Calculations[[#This Row],[A4]]+Calculations[[#This Row],[A5]]+Calculations[[#This Row],[B4]]+Calculations[[#This Row],[C2 total]]+Calculations[[#This Row],[C3 total]]+Calculations[[#This Row],[C4 total]]</f>
        <v>0</v>
      </c>
      <c r="AJ1231" s="2">
        <f>IFERROR(VLOOKUP(Calculations[[#This Row],[Material (choose from dropdown]],MaterialData[[#Headers],[#Data]],9,FALSE),0)</f>
        <v>0</v>
      </c>
      <c r="AK1231" s="4">
        <f>IFERROR(VLOOKUP(Calculations[[#This Row],[Material (choose from dropdown]],MaterialData[[#Headers],[#Data]],10,FALSE),0)</f>
        <v>0</v>
      </c>
      <c r="AL1231" s="322">
        <f>IFERROR(Calculations[[#This Row],[Data Quality Score]]*Calculations[[#This Row],[Total Kg]],0)</f>
        <v>0</v>
      </c>
    </row>
    <row r="1232" spans="1:38" x14ac:dyDescent="0.3">
      <c r="A1232" s="6">
        <f>IFERROR(MaterialsBoQ[[#This Row],[Scope Element]],0)</f>
        <v>0</v>
      </c>
      <c r="B1232" t="str">
        <f>IFERROR(MaterialsBoQ[[#This Row],[Material ]],"")</f>
        <v/>
      </c>
      <c r="C1232" t="str">
        <f>IFERROR(MaterialsBoQ[[#This Row],[Unit]],"")</f>
        <v/>
      </c>
      <c r="D1232" s="322">
        <f>IFERROR(MaterialsBoQ[[#This Row],[Number]],0)</f>
        <v>0</v>
      </c>
      <c r="E1232" s="322">
        <f>IFERROR(MaterialsBoQ[[#This Row],[Kg per unit]],0)</f>
        <v>0</v>
      </c>
      <c r="F1232" s="322">
        <f>IFERROR(Calculations[[#This Row],[Number]]*Calculations[[#This Row],[Conversion factor]],0)</f>
        <v>0</v>
      </c>
      <c r="G1232" s="322">
        <f>IFERROR(VLOOKUP(Calculations[[#This Row],[Material (choose from dropdown]],MaterialData[#All],7,FALSE),0)</f>
        <v>0</v>
      </c>
      <c r="H1232" s="322">
        <f>Calculations[[#This Row],[Total Kg]]*Calculations[[#This Row],[Carbon Factor]]</f>
        <v>0</v>
      </c>
      <c r="I1232" t="str">
        <f>IFERROR(VLOOKUP(Calculations[[#This Row],[Material (choose from dropdown]],MaterialData[#All],2,FALSE),"")</f>
        <v/>
      </c>
      <c r="J1232" s="322">
        <f>IFERROR(((VLOOKUP(Calculations[[#This Row],[TransportSource]],TransportDistance[],2,FALSE)*'Stage assumptions'!$C$11)+VLOOKUP(Calculations[[#This Row],[TransportSource]],TransportDistance[],3,FALSE)*'Stage assumptions'!$C$12)*Calculations[[#This Row],[Total Kg]],0)</f>
        <v>0</v>
      </c>
      <c r="K1232">
        <f>IFERROR(VLOOKUP(Calculations[[#This Row],[Material (choose from dropdown]], MaterialData[#All],3, FALSE),0)</f>
        <v>0</v>
      </c>
      <c r="L1232" s="322">
        <f>IFERROR(VLOOKUP(Calculations[[#This Row],[A5type]],A5WastageRate[#All],2,FALSE)*Calculations[[#This Row],[A1-3]],0)</f>
        <v>0</v>
      </c>
      <c r="N1232">
        <f>IFERROR(ROUNDUP(50/VLOOKUP(Calculations[[#This Row],[Scope Element]],B4referenceServiceLife[[Tier 2 element]:[Default Service Life]],2, FALSE)-1,0),0)</f>
        <v>0</v>
      </c>
      <c r="O1232" s="322">
        <f>IFERROR((Calculations[[#This Row],[A1-3]]+Calculations[[#This Row],[A4]]+Calculations[[#This Row],[A5]]+Calculations[[#This Row],[C2 total]]+Calculations[[#This Row],[C3 total]]+Calculations[[#This Row],[C4 total]])*Calculations[[#This Row],[Replacements]],0)</f>
        <v>0</v>
      </c>
      <c r="S1232" t="str">
        <f>IFERROR(VLOOKUP(Calculations[[#This Row],[Material (choose from dropdown]],MaterialData[#All],4,FALSE),"")</f>
        <v/>
      </c>
      <c r="T1232" s="322" cm="1">
        <f t="array" ref="T1232">IFERROR(VLOOKUP(Calculations[[#This Row],[Waste 1]],WasteScenario[#All],2,FALSE)*'Stage assumptions'!$C$225*WasteTransportMethod[Emissions Factor
kgCO2e/kg.km]*Calculations[[#This Row],[Total Kg]],0)</f>
        <v>0</v>
      </c>
      <c r="U1232" s="322" cm="1">
        <f t="array" ref="U1232">IFERROR(VLOOKUP(Calculations[[#This Row],[Waste 1]],WasteScenario[#All],3,FALSE)*'Stage assumptions'!$C$224*WasteTransportMethod[Emissions Factor
kgCO2e/kg.km]*Calculations[[#This Row],[Total Kg]],0)</f>
        <v>0</v>
      </c>
      <c r="V1232" s="322" cm="1">
        <f t="array" ref="V1232">IFERROR(VLOOKUP(Calculations[[#This Row],[Waste 1]],WasteScenario[#All],4,FALSE)*'Stage assumptions'!$C$223*WasteTransportMethod[Emissions Factor
kgCO2e/kg.km]*Calculations[[#This Row],[Total Kg]],0)</f>
        <v>0</v>
      </c>
      <c r="W1232" s="322" cm="1">
        <f t="array" ref="W1232">IFERROR(VLOOKUP(Calculations[[#This Row],[Waste 1]],WasteScenario[#All],5,FALSE)*'Stage assumptions'!$C$226*WasteTransportMethod[Emissions Factor
kgCO2e/kg.km]*Calculations[[#This Row],[Total Kg]],0)</f>
        <v>0</v>
      </c>
      <c r="X1232" s="322">
        <f>SUM(Calculations[[#This Row],[C2 Recycle]:[C2 Reuse]])</f>
        <v>0</v>
      </c>
      <c r="Y1232" t="str">
        <f>IFERROR(VLOOKUP(Calculations[[#This Row],[Material (choose from dropdown]],MaterialData[#All],5,FALSE),"")</f>
        <v/>
      </c>
      <c r="Z1232" s="322">
        <f>IFERROR(((VLOOKUP(Calculations[[#This Row],[Waste type 2]],WasteDisposalEmissions[#All],2,FALSE))*Calculations[[#This Row],[Total Kg]])*VLOOKUP(Calculations[[#This Row],[Waste 1]],WasteScenario[#All],2,FALSE),0)</f>
        <v>0</v>
      </c>
      <c r="AA1232" s="322">
        <f>IFERROR((VLOOKUP(Calculations[[#This Row],[Waste type 2]],WasteDisposalEmissions[#All],3,FALSE))*Calculations[[#This Row],[Total Kg]]*VLOOKUP(Calculations[[#This Row],[Waste 1]],WasteScenario[#All],3,FALSE),0)</f>
        <v>0</v>
      </c>
      <c r="AB1232" s="322">
        <f>SUM(Calculations[[#This Row],[C3 recyc]:[C3 incin]])</f>
        <v>0</v>
      </c>
      <c r="AC1232" s="334">
        <f>IFERROR((VLOOKUP(Calculations[[#This Row],[Waste type 2]],WasteLandfillEmissions[#All],2,FALSE))*Calculations[[#This Row],[Total Kg]]*VLOOKUP(Calculations[[#This Row],[Waste 1]],WasteScenario[#All],4,FALSE),0)</f>
        <v>0</v>
      </c>
      <c r="AD1232" s="322">
        <f>IFERROR((VLOOKUP(Calculations[[#This Row],[Waste type 2]],WasteLandfillEmissions[#All],3,FALSE))*Calculations[[#This Row],[Total Kg]]*VLOOKUP(Calculations[[#This Row],[Waste 1]],WasteScenario[#All],4,FALSE),0)</f>
        <v>0</v>
      </c>
      <c r="AE1232" s="322">
        <f>SUM(Calculations[[#This Row],[C4 landfill]:[C4 re-use]])</f>
        <v>0</v>
      </c>
      <c r="AF1232" s="322">
        <f>IFERROR(VLOOKUP(Calculations[[#This Row],[Material (choose from dropdown]],MaterialData[#All],8,FALSE),0)</f>
        <v>0</v>
      </c>
      <c r="AG1232" s="322">
        <f>IFERROR(Calculations[[#This Row],[Total Kg]]*Calculations[[#This Row],[Seq factor]],0)</f>
        <v>0</v>
      </c>
      <c r="AI1232" s="322">
        <f>Calculations[[#This Row],[A1-3]]+Calculations[[#This Row],[A4]]+Calculations[[#This Row],[A5]]+Calculations[[#This Row],[B4]]+Calculations[[#This Row],[C2 total]]+Calculations[[#This Row],[C3 total]]+Calculations[[#This Row],[C4 total]]</f>
        <v>0</v>
      </c>
      <c r="AJ1232" s="2">
        <f>IFERROR(VLOOKUP(Calculations[[#This Row],[Material (choose from dropdown]],MaterialData[[#Headers],[#Data]],9,FALSE),0)</f>
        <v>0</v>
      </c>
      <c r="AK1232" s="4">
        <f>IFERROR(VLOOKUP(Calculations[[#This Row],[Material (choose from dropdown]],MaterialData[[#Headers],[#Data]],10,FALSE),0)</f>
        <v>0</v>
      </c>
      <c r="AL1232" s="322">
        <f>IFERROR(Calculations[[#This Row],[Data Quality Score]]*Calculations[[#This Row],[Total Kg]],0)</f>
        <v>0</v>
      </c>
    </row>
    <row r="1233" spans="1:38" x14ac:dyDescent="0.3">
      <c r="A1233" s="6">
        <f>IFERROR(MaterialsBoQ[[#This Row],[Scope Element]],0)</f>
        <v>0</v>
      </c>
      <c r="B1233" t="str">
        <f>IFERROR(MaterialsBoQ[[#This Row],[Material ]],"")</f>
        <v/>
      </c>
      <c r="C1233" t="str">
        <f>IFERROR(MaterialsBoQ[[#This Row],[Unit]],"")</f>
        <v/>
      </c>
      <c r="D1233" s="322">
        <f>IFERROR(MaterialsBoQ[[#This Row],[Number]],0)</f>
        <v>0</v>
      </c>
      <c r="E1233" s="322">
        <f>IFERROR(MaterialsBoQ[[#This Row],[Kg per unit]],0)</f>
        <v>0</v>
      </c>
      <c r="F1233" s="322">
        <f>IFERROR(Calculations[[#This Row],[Number]]*Calculations[[#This Row],[Conversion factor]],0)</f>
        <v>0</v>
      </c>
      <c r="G1233" s="322">
        <f>IFERROR(VLOOKUP(Calculations[[#This Row],[Material (choose from dropdown]],MaterialData[#All],7,FALSE),0)</f>
        <v>0</v>
      </c>
      <c r="H1233" s="322">
        <f>Calculations[[#This Row],[Total Kg]]*Calculations[[#This Row],[Carbon Factor]]</f>
        <v>0</v>
      </c>
      <c r="I1233" t="str">
        <f>IFERROR(VLOOKUP(Calculations[[#This Row],[Material (choose from dropdown]],MaterialData[#All],2,FALSE),"")</f>
        <v/>
      </c>
      <c r="J1233" s="322">
        <f>IFERROR(((VLOOKUP(Calculations[[#This Row],[TransportSource]],TransportDistance[],2,FALSE)*'Stage assumptions'!$C$11)+VLOOKUP(Calculations[[#This Row],[TransportSource]],TransportDistance[],3,FALSE)*'Stage assumptions'!$C$12)*Calculations[[#This Row],[Total Kg]],0)</f>
        <v>0</v>
      </c>
      <c r="K1233">
        <f>IFERROR(VLOOKUP(Calculations[[#This Row],[Material (choose from dropdown]], MaterialData[#All],3, FALSE),0)</f>
        <v>0</v>
      </c>
      <c r="L1233" s="322">
        <f>IFERROR(VLOOKUP(Calculations[[#This Row],[A5type]],A5WastageRate[#All],2,FALSE)*Calculations[[#This Row],[A1-3]],0)</f>
        <v>0</v>
      </c>
      <c r="N1233">
        <f>IFERROR(ROUNDUP(50/VLOOKUP(Calculations[[#This Row],[Scope Element]],B4referenceServiceLife[[Tier 2 element]:[Default Service Life]],2, FALSE)-1,0),0)</f>
        <v>0</v>
      </c>
      <c r="O1233" s="322">
        <f>IFERROR((Calculations[[#This Row],[A1-3]]+Calculations[[#This Row],[A4]]+Calculations[[#This Row],[A5]]+Calculations[[#This Row],[C2 total]]+Calculations[[#This Row],[C3 total]]+Calculations[[#This Row],[C4 total]])*Calculations[[#This Row],[Replacements]],0)</f>
        <v>0</v>
      </c>
      <c r="S1233" t="str">
        <f>IFERROR(VLOOKUP(Calculations[[#This Row],[Material (choose from dropdown]],MaterialData[#All],4,FALSE),"")</f>
        <v/>
      </c>
      <c r="T1233" s="322" cm="1">
        <f t="array" ref="T1233">IFERROR(VLOOKUP(Calculations[[#This Row],[Waste 1]],WasteScenario[#All],2,FALSE)*'Stage assumptions'!$C$225*WasteTransportMethod[Emissions Factor
kgCO2e/kg.km]*Calculations[[#This Row],[Total Kg]],0)</f>
        <v>0</v>
      </c>
      <c r="U1233" s="322" cm="1">
        <f t="array" ref="U1233">IFERROR(VLOOKUP(Calculations[[#This Row],[Waste 1]],WasteScenario[#All],3,FALSE)*'Stage assumptions'!$C$224*WasteTransportMethod[Emissions Factor
kgCO2e/kg.km]*Calculations[[#This Row],[Total Kg]],0)</f>
        <v>0</v>
      </c>
      <c r="V1233" s="322" cm="1">
        <f t="array" ref="V1233">IFERROR(VLOOKUP(Calculations[[#This Row],[Waste 1]],WasteScenario[#All],4,FALSE)*'Stage assumptions'!$C$223*WasteTransportMethod[Emissions Factor
kgCO2e/kg.km]*Calculations[[#This Row],[Total Kg]],0)</f>
        <v>0</v>
      </c>
      <c r="W1233" s="322" cm="1">
        <f t="array" ref="W1233">IFERROR(VLOOKUP(Calculations[[#This Row],[Waste 1]],WasteScenario[#All],5,FALSE)*'Stage assumptions'!$C$226*WasteTransportMethod[Emissions Factor
kgCO2e/kg.km]*Calculations[[#This Row],[Total Kg]],0)</f>
        <v>0</v>
      </c>
      <c r="X1233" s="322">
        <f>SUM(Calculations[[#This Row],[C2 Recycle]:[C2 Reuse]])</f>
        <v>0</v>
      </c>
      <c r="Y1233" t="str">
        <f>IFERROR(VLOOKUP(Calculations[[#This Row],[Material (choose from dropdown]],MaterialData[#All],5,FALSE),"")</f>
        <v/>
      </c>
      <c r="Z1233" s="322">
        <f>IFERROR(((VLOOKUP(Calculations[[#This Row],[Waste type 2]],WasteDisposalEmissions[#All],2,FALSE))*Calculations[[#This Row],[Total Kg]])*VLOOKUP(Calculations[[#This Row],[Waste 1]],WasteScenario[#All],2,FALSE),0)</f>
        <v>0</v>
      </c>
      <c r="AA1233" s="322">
        <f>IFERROR((VLOOKUP(Calculations[[#This Row],[Waste type 2]],WasteDisposalEmissions[#All],3,FALSE))*Calculations[[#This Row],[Total Kg]]*VLOOKUP(Calculations[[#This Row],[Waste 1]],WasteScenario[#All],3,FALSE),0)</f>
        <v>0</v>
      </c>
      <c r="AB1233" s="322">
        <f>SUM(Calculations[[#This Row],[C3 recyc]:[C3 incin]])</f>
        <v>0</v>
      </c>
      <c r="AC1233" s="334">
        <f>IFERROR((VLOOKUP(Calculations[[#This Row],[Waste type 2]],WasteLandfillEmissions[#All],2,FALSE))*Calculations[[#This Row],[Total Kg]]*VLOOKUP(Calculations[[#This Row],[Waste 1]],WasteScenario[#All],4,FALSE),0)</f>
        <v>0</v>
      </c>
      <c r="AD1233" s="322">
        <f>IFERROR((VLOOKUP(Calculations[[#This Row],[Waste type 2]],WasteLandfillEmissions[#All],3,FALSE))*Calculations[[#This Row],[Total Kg]]*VLOOKUP(Calculations[[#This Row],[Waste 1]],WasteScenario[#All],4,FALSE),0)</f>
        <v>0</v>
      </c>
      <c r="AE1233" s="322">
        <f>SUM(Calculations[[#This Row],[C4 landfill]:[C4 re-use]])</f>
        <v>0</v>
      </c>
      <c r="AF1233" s="322">
        <f>IFERROR(VLOOKUP(Calculations[[#This Row],[Material (choose from dropdown]],MaterialData[#All],8,FALSE),0)</f>
        <v>0</v>
      </c>
      <c r="AG1233" s="322">
        <f>IFERROR(Calculations[[#This Row],[Total Kg]]*Calculations[[#This Row],[Seq factor]],0)</f>
        <v>0</v>
      </c>
      <c r="AI1233" s="322">
        <f>Calculations[[#This Row],[A1-3]]+Calculations[[#This Row],[A4]]+Calculations[[#This Row],[A5]]+Calculations[[#This Row],[B4]]+Calculations[[#This Row],[C2 total]]+Calculations[[#This Row],[C3 total]]+Calculations[[#This Row],[C4 total]]</f>
        <v>0</v>
      </c>
      <c r="AJ1233" s="2">
        <f>IFERROR(VLOOKUP(Calculations[[#This Row],[Material (choose from dropdown]],MaterialData[[#Headers],[#Data]],9,FALSE),0)</f>
        <v>0</v>
      </c>
      <c r="AK1233" s="4">
        <f>IFERROR(VLOOKUP(Calculations[[#This Row],[Material (choose from dropdown]],MaterialData[[#Headers],[#Data]],10,FALSE),0)</f>
        <v>0</v>
      </c>
      <c r="AL1233" s="322">
        <f>IFERROR(Calculations[[#This Row],[Data Quality Score]]*Calculations[[#This Row],[Total Kg]],0)</f>
        <v>0</v>
      </c>
    </row>
    <row r="1234" spans="1:38" x14ac:dyDescent="0.3">
      <c r="A1234" s="6">
        <f>IFERROR(MaterialsBoQ[[#This Row],[Scope Element]],0)</f>
        <v>0</v>
      </c>
      <c r="B1234" t="str">
        <f>IFERROR(MaterialsBoQ[[#This Row],[Material ]],"")</f>
        <v/>
      </c>
      <c r="C1234" t="str">
        <f>IFERROR(MaterialsBoQ[[#This Row],[Unit]],"")</f>
        <v/>
      </c>
      <c r="D1234" s="322">
        <f>IFERROR(MaterialsBoQ[[#This Row],[Number]],0)</f>
        <v>0</v>
      </c>
      <c r="E1234" s="322">
        <f>IFERROR(MaterialsBoQ[[#This Row],[Kg per unit]],0)</f>
        <v>0</v>
      </c>
      <c r="F1234" s="322">
        <f>IFERROR(Calculations[[#This Row],[Number]]*Calculations[[#This Row],[Conversion factor]],0)</f>
        <v>0</v>
      </c>
      <c r="G1234" s="322">
        <f>IFERROR(VLOOKUP(Calculations[[#This Row],[Material (choose from dropdown]],MaterialData[#All],7,FALSE),0)</f>
        <v>0</v>
      </c>
      <c r="H1234" s="322">
        <f>Calculations[[#This Row],[Total Kg]]*Calculations[[#This Row],[Carbon Factor]]</f>
        <v>0</v>
      </c>
      <c r="I1234" t="str">
        <f>IFERROR(VLOOKUP(Calculations[[#This Row],[Material (choose from dropdown]],MaterialData[#All],2,FALSE),"")</f>
        <v/>
      </c>
      <c r="J1234" s="322">
        <f>IFERROR(((VLOOKUP(Calculations[[#This Row],[TransportSource]],TransportDistance[],2,FALSE)*'Stage assumptions'!$C$11)+VLOOKUP(Calculations[[#This Row],[TransportSource]],TransportDistance[],3,FALSE)*'Stage assumptions'!$C$12)*Calculations[[#This Row],[Total Kg]],0)</f>
        <v>0</v>
      </c>
      <c r="K1234">
        <f>IFERROR(VLOOKUP(Calculations[[#This Row],[Material (choose from dropdown]], MaterialData[#All],3, FALSE),0)</f>
        <v>0</v>
      </c>
      <c r="L1234" s="322">
        <f>IFERROR(VLOOKUP(Calculations[[#This Row],[A5type]],A5WastageRate[#All],2,FALSE)*Calculations[[#This Row],[A1-3]],0)</f>
        <v>0</v>
      </c>
      <c r="N1234">
        <f>IFERROR(ROUNDUP(50/VLOOKUP(Calculations[[#This Row],[Scope Element]],B4referenceServiceLife[[Tier 2 element]:[Default Service Life]],2, FALSE)-1,0),0)</f>
        <v>0</v>
      </c>
      <c r="O1234" s="322">
        <f>IFERROR((Calculations[[#This Row],[A1-3]]+Calculations[[#This Row],[A4]]+Calculations[[#This Row],[A5]]+Calculations[[#This Row],[C2 total]]+Calculations[[#This Row],[C3 total]]+Calculations[[#This Row],[C4 total]])*Calculations[[#This Row],[Replacements]],0)</f>
        <v>0</v>
      </c>
      <c r="S1234" t="str">
        <f>IFERROR(VLOOKUP(Calculations[[#This Row],[Material (choose from dropdown]],MaterialData[#All],4,FALSE),"")</f>
        <v/>
      </c>
      <c r="T1234" s="322" cm="1">
        <f t="array" ref="T1234">IFERROR(VLOOKUP(Calculations[[#This Row],[Waste 1]],WasteScenario[#All],2,FALSE)*'Stage assumptions'!$C$225*WasteTransportMethod[Emissions Factor
kgCO2e/kg.km]*Calculations[[#This Row],[Total Kg]],0)</f>
        <v>0</v>
      </c>
      <c r="U1234" s="322" cm="1">
        <f t="array" ref="U1234">IFERROR(VLOOKUP(Calculations[[#This Row],[Waste 1]],WasteScenario[#All],3,FALSE)*'Stage assumptions'!$C$224*WasteTransportMethod[Emissions Factor
kgCO2e/kg.km]*Calculations[[#This Row],[Total Kg]],0)</f>
        <v>0</v>
      </c>
      <c r="V1234" s="322" cm="1">
        <f t="array" ref="V1234">IFERROR(VLOOKUP(Calculations[[#This Row],[Waste 1]],WasteScenario[#All],4,FALSE)*'Stage assumptions'!$C$223*WasteTransportMethod[Emissions Factor
kgCO2e/kg.km]*Calculations[[#This Row],[Total Kg]],0)</f>
        <v>0</v>
      </c>
      <c r="W1234" s="322" cm="1">
        <f t="array" ref="W1234">IFERROR(VLOOKUP(Calculations[[#This Row],[Waste 1]],WasteScenario[#All],5,FALSE)*'Stage assumptions'!$C$226*WasteTransportMethod[Emissions Factor
kgCO2e/kg.km]*Calculations[[#This Row],[Total Kg]],0)</f>
        <v>0</v>
      </c>
      <c r="X1234" s="322">
        <f>SUM(Calculations[[#This Row],[C2 Recycle]:[C2 Reuse]])</f>
        <v>0</v>
      </c>
      <c r="Y1234" t="str">
        <f>IFERROR(VLOOKUP(Calculations[[#This Row],[Material (choose from dropdown]],MaterialData[#All],5,FALSE),"")</f>
        <v/>
      </c>
      <c r="Z1234" s="322">
        <f>IFERROR(((VLOOKUP(Calculations[[#This Row],[Waste type 2]],WasteDisposalEmissions[#All],2,FALSE))*Calculations[[#This Row],[Total Kg]])*VLOOKUP(Calculations[[#This Row],[Waste 1]],WasteScenario[#All],2,FALSE),0)</f>
        <v>0</v>
      </c>
      <c r="AA1234" s="322">
        <f>IFERROR((VLOOKUP(Calculations[[#This Row],[Waste type 2]],WasteDisposalEmissions[#All],3,FALSE))*Calculations[[#This Row],[Total Kg]]*VLOOKUP(Calculations[[#This Row],[Waste 1]],WasteScenario[#All],3,FALSE),0)</f>
        <v>0</v>
      </c>
      <c r="AB1234" s="322">
        <f>SUM(Calculations[[#This Row],[C3 recyc]:[C3 incin]])</f>
        <v>0</v>
      </c>
      <c r="AC1234" s="334">
        <f>IFERROR((VLOOKUP(Calculations[[#This Row],[Waste type 2]],WasteLandfillEmissions[#All],2,FALSE))*Calculations[[#This Row],[Total Kg]]*VLOOKUP(Calculations[[#This Row],[Waste 1]],WasteScenario[#All],4,FALSE),0)</f>
        <v>0</v>
      </c>
      <c r="AD1234" s="322">
        <f>IFERROR((VLOOKUP(Calculations[[#This Row],[Waste type 2]],WasteLandfillEmissions[#All],3,FALSE))*Calculations[[#This Row],[Total Kg]]*VLOOKUP(Calculations[[#This Row],[Waste 1]],WasteScenario[#All],4,FALSE),0)</f>
        <v>0</v>
      </c>
      <c r="AE1234" s="322">
        <f>SUM(Calculations[[#This Row],[C4 landfill]:[C4 re-use]])</f>
        <v>0</v>
      </c>
      <c r="AF1234" s="322">
        <f>IFERROR(VLOOKUP(Calculations[[#This Row],[Material (choose from dropdown]],MaterialData[#All],8,FALSE),0)</f>
        <v>0</v>
      </c>
      <c r="AG1234" s="322">
        <f>IFERROR(Calculations[[#This Row],[Total Kg]]*Calculations[[#This Row],[Seq factor]],0)</f>
        <v>0</v>
      </c>
      <c r="AI1234" s="322">
        <f>Calculations[[#This Row],[A1-3]]+Calculations[[#This Row],[A4]]+Calculations[[#This Row],[A5]]+Calculations[[#This Row],[B4]]+Calculations[[#This Row],[C2 total]]+Calculations[[#This Row],[C3 total]]+Calculations[[#This Row],[C4 total]]</f>
        <v>0</v>
      </c>
      <c r="AJ1234" s="2">
        <f>IFERROR(VLOOKUP(Calculations[[#This Row],[Material (choose from dropdown]],MaterialData[[#Headers],[#Data]],9,FALSE),0)</f>
        <v>0</v>
      </c>
      <c r="AK1234" s="4">
        <f>IFERROR(VLOOKUP(Calculations[[#This Row],[Material (choose from dropdown]],MaterialData[[#Headers],[#Data]],10,FALSE),0)</f>
        <v>0</v>
      </c>
      <c r="AL1234" s="322">
        <f>IFERROR(Calculations[[#This Row],[Data Quality Score]]*Calculations[[#This Row],[Total Kg]],0)</f>
        <v>0</v>
      </c>
    </row>
    <row r="1235" spans="1:38" x14ac:dyDescent="0.3">
      <c r="A1235" s="6">
        <f>IFERROR(MaterialsBoQ[[#This Row],[Scope Element]],0)</f>
        <v>0</v>
      </c>
      <c r="B1235" t="str">
        <f>IFERROR(MaterialsBoQ[[#This Row],[Material ]],"")</f>
        <v/>
      </c>
      <c r="C1235" t="str">
        <f>IFERROR(MaterialsBoQ[[#This Row],[Unit]],"")</f>
        <v/>
      </c>
      <c r="D1235" s="322">
        <f>IFERROR(MaterialsBoQ[[#This Row],[Number]],0)</f>
        <v>0</v>
      </c>
      <c r="E1235" s="322">
        <f>IFERROR(MaterialsBoQ[[#This Row],[Kg per unit]],0)</f>
        <v>0</v>
      </c>
      <c r="F1235" s="322">
        <f>IFERROR(Calculations[[#This Row],[Number]]*Calculations[[#This Row],[Conversion factor]],0)</f>
        <v>0</v>
      </c>
      <c r="G1235" s="322">
        <f>IFERROR(VLOOKUP(Calculations[[#This Row],[Material (choose from dropdown]],MaterialData[#All],7,FALSE),0)</f>
        <v>0</v>
      </c>
      <c r="H1235" s="322">
        <f>Calculations[[#This Row],[Total Kg]]*Calculations[[#This Row],[Carbon Factor]]</f>
        <v>0</v>
      </c>
      <c r="I1235" t="str">
        <f>IFERROR(VLOOKUP(Calculations[[#This Row],[Material (choose from dropdown]],MaterialData[#All],2,FALSE),"")</f>
        <v/>
      </c>
      <c r="J1235" s="322">
        <f>IFERROR(((VLOOKUP(Calculations[[#This Row],[TransportSource]],TransportDistance[],2,FALSE)*'Stage assumptions'!$C$11)+VLOOKUP(Calculations[[#This Row],[TransportSource]],TransportDistance[],3,FALSE)*'Stage assumptions'!$C$12)*Calculations[[#This Row],[Total Kg]],0)</f>
        <v>0</v>
      </c>
      <c r="K1235">
        <f>IFERROR(VLOOKUP(Calculations[[#This Row],[Material (choose from dropdown]], MaterialData[#All],3, FALSE),0)</f>
        <v>0</v>
      </c>
      <c r="L1235" s="322">
        <f>IFERROR(VLOOKUP(Calculations[[#This Row],[A5type]],A5WastageRate[#All],2,FALSE)*Calculations[[#This Row],[A1-3]],0)</f>
        <v>0</v>
      </c>
      <c r="N1235">
        <f>IFERROR(ROUNDUP(50/VLOOKUP(Calculations[[#This Row],[Scope Element]],B4referenceServiceLife[[Tier 2 element]:[Default Service Life]],2, FALSE)-1,0),0)</f>
        <v>0</v>
      </c>
      <c r="O1235" s="322">
        <f>IFERROR((Calculations[[#This Row],[A1-3]]+Calculations[[#This Row],[A4]]+Calculations[[#This Row],[A5]]+Calculations[[#This Row],[C2 total]]+Calculations[[#This Row],[C3 total]]+Calculations[[#This Row],[C4 total]])*Calculations[[#This Row],[Replacements]],0)</f>
        <v>0</v>
      </c>
      <c r="S1235" t="str">
        <f>IFERROR(VLOOKUP(Calculations[[#This Row],[Material (choose from dropdown]],MaterialData[#All],4,FALSE),"")</f>
        <v/>
      </c>
      <c r="T1235" s="322" cm="1">
        <f t="array" ref="T1235">IFERROR(VLOOKUP(Calculations[[#This Row],[Waste 1]],WasteScenario[#All],2,FALSE)*'Stage assumptions'!$C$225*WasteTransportMethod[Emissions Factor
kgCO2e/kg.km]*Calculations[[#This Row],[Total Kg]],0)</f>
        <v>0</v>
      </c>
      <c r="U1235" s="322" cm="1">
        <f t="array" ref="U1235">IFERROR(VLOOKUP(Calculations[[#This Row],[Waste 1]],WasteScenario[#All],3,FALSE)*'Stage assumptions'!$C$224*WasteTransportMethod[Emissions Factor
kgCO2e/kg.km]*Calculations[[#This Row],[Total Kg]],0)</f>
        <v>0</v>
      </c>
      <c r="V1235" s="322" cm="1">
        <f t="array" ref="V1235">IFERROR(VLOOKUP(Calculations[[#This Row],[Waste 1]],WasteScenario[#All],4,FALSE)*'Stage assumptions'!$C$223*WasteTransportMethod[Emissions Factor
kgCO2e/kg.km]*Calculations[[#This Row],[Total Kg]],0)</f>
        <v>0</v>
      </c>
      <c r="W1235" s="322" cm="1">
        <f t="array" ref="W1235">IFERROR(VLOOKUP(Calculations[[#This Row],[Waste 1]],WasteScenario[#All],5,FALSE)*'Stage assumptions'!$C$226*WasteTransportMethod[Emissions Factor
kgCO2e/kg.km]*Calculations[[#This Row],[Total Kg]],0)</f>
        <v>0</v>
      </c>
      <c r="X1235" s="322">
        <f>SUM(Calculations[[#This Row],[C2 Recycle]:[C2 Reuse]])</f>
        <v>0</v>
      </c>
      <c r="Y1235" t="str">
        <f>IFERROR(VLOOKUP(Calculations[[#This Row],[Material (choose from dropdown]],MaterialData[#All],5,FALSE),"")</f>
        <v/>
      </c>
      <c r="Z1235" s="322">
        <f>IFERROR(((VLOOKUP(Calculations[[#This Row],[Waste type 2]],WasteDisposalEmissions[#All],2,FALSE))*Calculations[[#This Row],[Total Kg]])*VLOOKUP(Calculations[[#This Row],[Waste 1]],WasteScenario[#All],2,FALSE),0)</f>
        <v>0</v>
      </c>
      <c r="AA1235" s="322">
        <f>IFERROR((VLOOKUP(Calculations[[#This Row],[Waste type 2]],WasteDisposalEmissions[#All],3,FALSE))*Calculations[[#This Row],[Total Kg]]*VLOOKUP(Calculations[[#This Row],[Waste 1]],WasteScenario[#All],3,FALSE),0)</f>
        <v>0</v>
      </c>
      <c r="AB1235" s="322">
        <f>SUM(Calculations[[#This Row],[C3 recyc]:[C3 incin]])</f>
        <v>0</v>
      </c>
      <c r="AC1235" s="334">
        <f>IFERROR((VLOOKUP(Calculations[[#This Row],[Waste type 2]],WasteLandfillEmissions[#All],2,FALSE))*Calculations[[#This Row],[Total Kg]]*VLOOKUP(Calculations[[#This Row],[Waste 1]],WasteScenario[#All],4,FALSE),0)</f>
        <v>0</v>
      </c>
      <c r="AD1235" s="322">
        <f>IFERROR((VLOOKUP(Calculations[[#This Row],[Waste type 2]],WasteLandfillEmissions[#All],3,FALSE))*Calculations[[#This Row],[Total Kg]]*VLOOKUP(Calculations[[#This Row],[Waste 1]],WasteScenario[#All],4,FALSE),0)</f>
        <v>0</v>
      </c>
      <c r="AE1235" s="322">
        <f>SUM(Calculations[[#This Row],[C4 landfill]:[C4 re-use]])</f>
        <v>0</v>
      </c>
      <c r="AF1235" s="322">
        <f>IFERROR(VLOOKUP(Calculations[[#This Row],[Material (choose from dropdown]],MaterialData[#All],8,FALSE),0)</f>
        <v>0</v>
      </c>
      <c r="AG1235" s="322">
        <f>IFERROR(Calculations[[#This Row],[Total Kg]]*Calculations[[#This Row],[Seq factor]],0)</f>
        <v>0</v>
      </c>
      <c r="AI1235" s="322">
        <f>Calculations[[#This Row],[A1-3]]+Calculations[[#This Row],[A4]]+Calculations[[#This Row],[A5]]+Calculations[[#This Row],[B4]]+Calculations[[#This Row],[C2 total]]+Calculations[[#This Row],[C3 total]]+Calculations[[#This Row],[C4 total]]</f>
        <v>0</v>
      </c>
      <c r="AJ1235" s="2">
        <f>IFERROR(VLOOKUP(Calculations[[#This Row],[Material (choose from dropdown]],MaterialData[[#Headers],[#Data]],9,FALSE),0)</f>
        <v>0</v>
      </c>
      <c r="AK1235" s="4">
        <f>IFERROR(VLOOKUP(Calculations[[#This Row],[Material (choose from dropdown]],MaterialData[[#Headers],[#Data]],10,FALSE),0)</f>
        <v>0</v>
      </c>
      <c r="AL1235" s="322">
        <f>IFERROR(Calculations[[#This Row],[Data Quality Score]]*Calculations[[#This Row],[Total Kg]],0)</f>
        <v>0</v>
      </c>
    </row>
    <row r="1236" spans="1:38" x14ac:dyDescent="0.3">
      <c r="A1236" s="6">
        <f>IFERROR(MaterialsBoQ[[#This Row],[Scope Element]],0)</f>
        <v>0</v>
      </c>
      <c r="B1236" t="str">
        <f>IFERROR(MaterialsBoQ[[#This Row],[Material ]],"")</f>
        <v/>
      </c>
      <c r="C1236" t="str">
        <f>IFERROR(MaterialsBoQ[[#This Row],[Unit]],"")</f>
        <v/>
      </c>
      <c r="D1236" s="322">
        <f>IFERROR(MaterialsBoQ[[#This Row],[Number]],0)</f>
        <v>0</v>
      </c>
      <c r="E1236" s="322">
        <f>IFERROR(MaterialsBoQ[[#This Row],[Kg per unit]],0)</f>
        <v>0</v>
      </c>
      <c r="F1236" s="322">
        <f>IFERROR(Calculations[[#This Row],[Number]]*Calculations[[#This Row],[Conversion factor]],0)</f>
        <v>0</v>
      </c>
      <c r="G1236" s="322">
        <f>IFERROR(VLOOKUP(Calculations[[#This Row],[Material (choose from dropdown]],MaterialData[#All],7,FALSE),0)</f>
        <v>0</v>
      </c>
      <c r="H1236" s="322">
        <f>Calculations[[#This Row],[Total Kg]]*Calculations[[#This Row],[Carbon Factor]]</f>
        <v>0</v>
      </c>
      <c r="I1236" t="str">
        <f>IFERROR(VLOOKUP(Calculations[[#This Row],[Material (choose from dropdown]],MaterialData[#All],2,FALSE),"")</f>
        <v/>
      </c>
      <c r="J1236" s="322">
        <f>IFERROR(((VLOOKUP(Calculations[[#This Row],[TransportSource]],TransportDistance[],2,FALSE)*'Stage assumptions'!$C$11)+VLOOKUP(Calculations[[#This Row],[TransportSource]],TransportDistance[],3,FALSE)*'Stage assumptions'!$C$12)*Calculations[[#This Row],[Total Kg]],0)</f>
        <v>0</v>
      </c>
      <c r="K1236">
        <f>IFERROR(VLOOKUP(Calculations[[#This Row],[Material (choose from dropdown]], MaterialData[#All],3, FALSE),0)</f>
        <v>0</v>
      </c>
      <c r="L1236" s="322">
        <f>IFERROR(VLOOKUP(Calculations[[#This Row],[A5type]],A5WastageRate[#All],2,FALSE)*Calculations[[#This Row],[A1-3]],0)</f>
        <v>0</v>
      </c>
      <c r="N1236">
        <f>IFERROR(ROUNDUP(50/VLOOKUP(Calculations[[#This Row],[Scope Element]],B4referenceServiceLife[[Tier 2 element]:[Default Service Life]],2, FALSE)-1,0),0)</f>
        <v>0</v>
      </c>
      <c r="O1236" s="322">
        <f>IFERROR((Calculations[[#This Row],[A1-3]]+Calculations[[#This Row],[A4]]+Calculations[[#This Row],[A5]]+Calculations[[#This Row],[C2 total]]+Calculations[[#This Row],[C3 total]]+Calculations[[#This Row],[C4 total]])*Calculations[[#This Row],[Replacements]],0)</f>
        <v>0</v>
      </c>
      <c r="S1236" t="str">
        <f>IFERROR(VLOOKUP(Calculations[[#This Row],[Material (choose from dropdown]],MaterialData[#All],4,FALSE),"")</f>
        <v/>
      </c>
      <c r="T1236" s="322" cm="1">
        <f t="array" ref="T1236">IFERROR(VLOOKUP(Calculations[[#This Row],[Waste 1]],WasteScenario[#All],2,FALSE)*'Stage assumptions'!$C$225*WasteTransportMethod[Emissions Factor
kgCO2e/kg.km]*Calculations[[#This Row],[Total Kg]],0)</f>
        <v>0</v>
      </c>
      <c r="U1236" s="322" cm="1">
        <f t="array" ref="U1236">IFERROR(VLOOKUP(Calculations[[#This Row],[Waste 1]],WasteScenario[#All],3,FALSE)*'Stage assumptions'!$C$224*WasteTransportMethod[Emissions Factor
kgCO2e/kg.km]*Calculations[[#This Row],[Total Kg]],0)</f>
        <v>0</v>
      </c>
      <c r="V1236" s="322" cm="1">
        <f t="array" ref="V1236">IFERROR(VLOOKUP(Calculations[[#This Row],[Waste 1]],WasteScenario[#All],4,FALSE)*'Stage assumptions'!$C$223*WasteTransportMethod[Emissions Factor
kgCO2e/kg.km]*Calculations[[#This Row],[Total Kg]],0)</f>
        <v>0</v>
      </c>
      <c r="W1236" s="322" cm="1">
        <f t="array" ref="W1236">IFERROR(VLOOKUP(Calculations[[#This Row],[Waste 1]],WasteScenario[#All],5,FALSE)*'Stage assumptions'!$C$226*WasteTransportMethod[Emissions Factor
kgCO2e/kg.km]*Calculations[[#This Row],[Total Kg]],0)</f>
        <v>0</v>
      </c>
      <c r="X1236" s="322">
        <f>SUM(Calculations[[#This Row],[C2 Recycle]:[C2 Reuse]])</f>
        <v>0</v>
      </c>
      <c r="Y1236" t="str">
        <f>IFERROR(VLOOKUP(Calculations[[#This Row],[Material (choose from dropdown]],MaterialData[#All],5,FALSE),"")</f>
        <v/>
      </c>
      <c r="Z1236" s="322">
        <f>IFERROR(((VLOOKUP(Calculations[[#This Row],[Waste type 2]],WasteDisposalEmissions[#All],2,FALSE))*Calculations[[#This Row],[Total Kg]])*VLOOKUP(Calculations[[#This Row],[Waste 1]],WasteScenario[#All],2,FALSE),0)</f>
        <v>0</v>
      </c>
      <c r="AA1236" s="322">
        <f>IFERROR((VLOOKUP(Calculations[[#This Row],[Waste type 2]],WasteDisposalEmissions[#All],3,FALSE))*Calculations[[#This Row],[Total Kg]]*VLOOKUP(Calculations[[#This Row],[Waste 1]],WasteScenario[#All],3,FALSE),0)</f>
        <v>0</v>
      </c>
      <c r="AB1236" s="322">
        <f>SUM(Calculations[[#This Row],[C3 recyc]:[C3 incin]])</f>
        <v>0</v>
      </c>
      <c r="AC1236" s="334">
        <f>IFERROR((VLOOKUP(Calculations[[#This Row],[Waste type 2]],WasteLandfillEmissions[#All],2,FALSE))*Calculations[[#This Row],[Total Kg]]*VLOOKUP(Calculations[[#This Row],[Waste 1]],WasteScenario[#All],4,FALSE),0)</f>
        <v>0</v>
      </c>
      <c r="AD1236" s="322">
        <f>IFERROR((VLOOKUP(Calculations[[#This Row],[Waste type 2]],WasteLandfillEmissions[#All],3,FALSE))*Calculations[[#This Row],[Total Kg]]*VLOOKUP(Calculations[[#This Row],[Waste 1]],WasteScenario[#All],4,FALSE),0)</f>
        <v>0</v>
      </c>
      <c r="AE1236" s="322">
        <f>SUM(Calculations[[#This Row],[C4 landfill]:[C4 re-use]])</f>
        <v>0</v>
      </c>
      <c r="AF1236" s="322">
        <f>IFERROR(VLOOKUP(Calculations[[#This Row],[Material (choose from dropdown]],MaterialData[#All],8,FALSE),0)</f>
        <v>0</v>
      </c>
      <c r="AG1236" s="322">
        <f>IFERROR(Calculations[[#This Row],[Total Kg]]*Calculations[[#This Row],[Seq factor]],0)</f>
        <v>0</v>
      </c>
      <c r="AI1236" s="322">
        <f>Calculations[[#This Row],[A1-3]]+Calculations[[#This Row],[A4]]+Calculations[[#This Row],[A5]]+Calculations[[#This Row],[B4]]+Calculations[[#This Row],[C2 total]]+Calculations[[#This Row],[C3 total]]+Calculations[[#This Row],[C4 total]]</f>
        <v>0</v>
      </c>
      <c r="AJ1236" s="2">
        <f>IFERROR(VLOOKUP(Calculations[[#This Row],[Material (choose from dropdown]],MaterialData[[#Headers],[#Data]],9,FALSE),0)</f>
        <v>0</v>
      </c>
      <c r="AK1236" s="4">
        <f>IFERROR(VLOOKUP(Calculations[[#This Row],[Material (choose from dropdown]],MaterialData[[#Headers],[#Data]],10,FALSE),0)</f>
        <v>0</v>
      </c>
      <c r="AL1236" s="322">
        <f>IFERROR(Calculations[[#This Row],[Data Quality Score]]*Calculations[[#This Row],[Total Kg]],0)</f>
        <v>0</v>
      </c>
    </row>
    <row r="1237" spans="1:38" x14ac:dyDescent="0.3">
      <c r="A1237" s="6">
        <f>IFERROR(MaterialsBoQ[[#This Row],[Scope Element]],0)</f>
        <v>0</v>
      </c>
      <c r="B1237" t="str">
        <f>IFERROR(MaterialsBoQ[[#This Row],[Material ]],"")</f>
        <v/>
      </c>
      <c r="C1237" t="str">
        <f>IFERROR(MaterialsBoQ[[#This Row],[Unit]],"")</f>
        <v/>
      </c>
      <c r="D1237" s="322">
        <f>IFERROR(MaterialsBoQ[[#This Row],[Number]],0)</f>
        <v>0</v>
      </c>
      <c r="E1237" s="322">
        <f>IFERROR(MaterialsBoQ[[#This Row],[Kg per unit]],0)</f>
        <v>0</v>
      </c>
      <c r="F1237" s="322">
        <f>IFERROR(Calculations[[#This Row],[Number]]*Calculations[[#This Row],[Conversion factor]],0)</f>
        <v>0</v>
      </c>
      <c r="G1237" s="322">
        <f>IFERROR(VLOOKUP(Calculations[[#This Row],[Material (choose from dropdown]],MaterialData[#All],7,FALSE),0)</f>
        <v>0</v>
      </c>
      <c r="H1237" s="322">
        <f>Calculations[[#This Row],[Total Kg]]*Calculations[[#This Row],[Carbon Factor]]</f>
        <v>0</v>
      </c>
      <c r="I1237" t="str">
        <f>IFERROR(VLOOKUP(Calculations[[#This Row],[Material (choose from dropdown]],MaterialData[#All],2,FALSE),"")</f>
        <v/>
      </c>
      <c r="J1237" s="322">
        <f>IFERROR(((VLOOKUP(Calculations[[#This Row],[TransportSource]],TransportDistance[],2,FALSE)*'Stage assumptions'!$C$11)+VLOOKUP(Calculations[[#This Row],[TransportSource]],TransportDistance[],3,FALSE)*'Stage assumptions'!$C$12)*Calculations[[#This Row],[Total Kg]],0)</f>
        <v>0</v>
      </c>
      <c r="K1237">
        <f>IFERROR(VLOOKUP(Calculations[[#This Row],[Material (choose from dropdown]], MaterialData[#All],3, FALSE),0)</f>
        <v>0</v>
      </c>
      <c r="L1237" s="322">
        <f>IFERROR(VLOOKUP(Calculations[[#This Row],[A5type]],A5WastageRate[#All],2,FALSE)*Calculations[[#This Row],[A1-3]],0)</f>
        <v>0</v>
      </c>
      <c r="N1237">
        <f>IFERROR(ROUNDUP(50/VLOOKUP(Calculations[[#This Row],[Scope Element]],B4referenceServiceLife[[Tier 2 element]:[Default Service Life]],2, FALSE)-1,0),0)</f>
        <v>0</v>
      </c>
      <c r="O1237" s="322">
        <f>IFERROR((Calculations[[#This Row],[A1-3]]+Calculations[[#This Row],[A4]]+Calculations[[#This Row],[A5]]+Calculations[[#This Row],[C2 total]]+Calculations[[#This Row],[C3 total]]+Calculations[[#This Row],[C4 total]])*Calculations[[#This Row],[Replacements]],0)</f>
        <v>0</v>
      </c>
      <c r="S1237" t="str">
        <f>IFERROR(VLOOKUP(Calculations[[#This Row],[Material (choose from dropdown]],MaterialData[#All],4,FALSE),"")</f>
        <v/>
      </c>
      <c r="T1237" s="322" cm="1">
        <f t="array" ref="T1237">IFERROR(VLOOKUP(Calculations[[#This Row],[Waste 1]],WasteScenario[#All],2,FALSE)*'Stage assumptions'!$C$225*WasteTransportMethod[Emissions Factor
kgCO2e/kg.km]*Calculations[[#This Row],[Total Kg]],0)</f>
        <v>0</v>
      </c>
      <c r="U1237" s="322" cm="1">
        <f t="array" ref="U1237">IFERROR(VLOOKUP(Calculations[[#This Row],[Waste 1]],WasteScenario[#All],3,FALSE)*'Stage assumptions'!$C$224*WasteTransportMethod[Emissions Factor
kgCO2e/kg.km]*Calculations[[#This Row],[Total Kg]],0)</f>
        <v>0</v>
      </c>
      <c r="V1237" s="322" cm="1">
        <f t="array" ref="V1237">IFERROR(VLOOKUP(Calculations[[#This Row],[Waste 1]],WasteScenario[#All],4,FALSE)*'Stage assumptions'!$C$223*WasteTransportMethod[Emissions Factor
kgCO2e/kg.km]*Calculations[[#This Row],[Total Kg]],0)</f>
        <v>0</v>
      </c>
      <c r="W1237" s="322" cm="1">
        <f t="array" ref="W1237">IFERROR(VLOOKUP(Calculations[[#This Row],[Waste 1]],WasteScenario[#All],5,FALSE)*'Stage assumptions'!$C$226*WasteTransportMethod[Emissions Factor
kgCO2e/kg.km]*Calculations[[#This Row],[Total Kg]],0)</f>
        <v>0</v>
      </c>
      <c r="X1237" s="322">
        <f>SUM(Calculations[[#This Row],[C2 Recycle]:[C2 Reuse]])</f>
        <v>0</v>
      </c>
      <c r="Y1237" t="str">
        <f>IFERROR(VLOOKUP(Calculations[[#This Row],[Material (choose from dropdown]],MaterialData[#All],5,FALSE),"")</f>
        <v/>
      </c>
      <c r="Z1237" s="322">
        <f>IFERROR(((VLOOKUP(Calculations[[#This Row],[Waste type 2]],WasteDisposalEmissions[#All],2,FALSE))*Calculations[[#This Row],[Total Kg]])*VLOOKUP(Calculations[[#This Row],[Waste 1]],WasteScenario[#All],2,FALSE),0)</f>
        <v>0</v>
      </c>
      <c r="AA1237" s="322">
        <f>IFERROR((VLOOKUP(Calculations[[#This Row],[Waste type 2]],WasteDisposalEmissions[#All],3,FALSE))*Calculations[[#This Row],[Total Kg]]*VLOOKUP(Calculations[[#This Row],[Waste 1]],WasteScenario[#All],3,FALSE),0)</f>
        <v>0</v>
      </c>
      <c r="AB1237" s="322">
        <f>SUM(Calculations[[#This Row],[C3 recyc]:[C3 incin]])</f>
        <v>0</v>
      </c>
      <c r="AC1237" s="334">
        <f>IFERROR((VLOOKUP(Calculations[[#This Row],[Waste type 2]],WasteLandfillEmissions[#All],2,FALSE))*Calculations[[#This Row],[Total Kg]]*VLOOKUP(Calculations[[#This Row],[Waste 1]],WasteScenario[#All],4,FALSE),0)</f>
        <v>0</v>
      </c>
      <c r="AD1237" s="322">
        <f>IFERROR((VLOOKUP(Calculations[[#This Row],[Waste type 2]],WasteLandfillEmissions[#All],3,FALSE))*Calculations[[#This Row],[Total Kg]]*VLOOKUP(Calculations[[#This Row],[Waste 1]],WasteScenario[#All],4,FALSE),0)</f>
        <v>0</v>
      </c>
      <c r="AE1237" s="322">
        <f>SUM(Calculations[[#This Row],[C4 landfill]:[C4 re-use]])</f>
        <v>0</v>
      </c>
      <c r="AF1237" s="322">
        <f>IFERROR(VLOOKUP(Calculations[[#This Row],[Material (choose from dropdown]],MaterialData[#All],8,FALSE),0)</f>
        <v>0</v>
      </c>
      <c r="AG1237" s="322">
        <f>IFERROR(Calculations[[#This Row],[Total Kg]]*Calculations[[#This Row],[Seq factor]],0)</f>
        <v>0</v>
      </c>
      <c r="AI1237" s="322">
        <f>Calculations[[#This Row],[A1-3]]+Calculations[[#This Row],[A4]]+Calculations[[#This Row],[A5]]+Calculations[[#This Row],[B4]]+Calculations[[#This Row],[C2 total]]+Calculations[[#This Row],[C3 total]]+Calculations[[#This Row],[C4 total]]</f>
        <v>0</v>
      </c>
      <c r="AJ1237" s="2">
        <f>IFERROR(VLOOKUP(Calculations[[#This Row],[Material (choose from dropdown]],MaterialData[[#Headers],[#Data]],9,FALSE),0)</f>
        <v>0</v>
      </c>
      <c r="AK1237" s="4">
        <f>IFERROR(VLOOKUP(Calculations[[#This Row],[Material (choose from dropdown]],MaterialData[[#Headers],[#Data]],10,FALSE),0)</f>
        <v>0</v>
      </c>
      <c r="AL1237" s="322">
        <f>IFERROR(Calculations[[#This Row],[Data Quality Score]]*Calculations[[#This Row],[Total Kg]],0)</f>
        <v>0</v>
      </c>
    </row>
    <row r="1238" spans="1:38" x14ac:dyDescent="0.3">
      <c r="A1238" s="6">
        <f>IFERROR(MaterialsBoQ[[#This Row],[Scope Element]],0)</f>
        <v>0</v>
      </c>
      <c r="B1238" t="str">
        <f>IFERROR(MaterialsBoQ[[#This Row],[Material ]],"")</f>
        <v/>
      </c>
      <c r="C1238" t="str">
        <f>IFERROR(MaterialsBoQ[[#This Row],[Unit]],"")</f>
        <v/>
      </c>
      <c r="D1238" s="322">
        <f>IFERROR(MaterialsBoQ[[#This Row],[Number]],0)</f>
        <v>0</v>
      </c>
      <c r="E1238" s="322">
        <f>IFERROR(MaterialsBoQ[[#This Row],[Kg per unit]],0)</f>
        <v>0</v>
      </c>
      <c r="F1238" s="322">
        <f>IFERROR(Calculations[[#This Row],[Number]]*Calculations[[#This Row],[Conversion factor]],0)</f>
        <v>0</v>
      </c>
      <c r="G1238" s="322">
        <f>IFERROR(VLOOKUP(Calculations[[#This Row],[Material (choose from dropdown]],MaterialData[#All],7,FALSE),0)</f>
        <v>0</v>
      </c>
      <c r="H1238" s="322">
        <f>Calculations[[#This Row],[Total Kg]]*Calculations[[#This Row],[Carbon Factor]]</f>
        <v>0</v>
      </c>
      <c r="I1238" t="str">
        <f>IFERROR(VLOOKUP(Calculations[[#This Row],[Material (choose from dropdown]],MaterialData[#All],2,FALSE),"")</f>
        <v/>
      </c>
      <c r="J1238" s="322">
        <f>IFERROR(((VLOOKUP(Calculations[[#This Row],[TransportSource]],TransportDistance[],2,FALSE)*'Stage assumptions'!$C$11)+VLOOKUP(Calculations[[#This Row],[TransportSource]],TransportDistance[],3,FALSE)*'Stage assumptions'!$C$12)*Calculations[[#This Row],[Total Kg]],0)</f>
        <v>0</v>
      </c>
      <c r="K1238">
        <f>IFERROR(VLOOKUP(Calculations[[#This Row],[Material (choose from dropdown]], MaterialData[#All],3, FALSE),0)</f>
        <v>0</v>
      </c>
      <c r="L1238" s="322">
        <f>IFERROR(VLOOKUP(Calculations[[#This Row],[A5type]],A5WastageRate[#All],2,FALSE)*Calculations[[#This Row],[A1-3]],0)</f>
        <v>0</v>
      </c>
      <c r="N1238">
        <f>IFERROR(ROUNDUP(50/VLOOKUP(Calculations[[#This Row],[Scope Element]],B4referenceServiceLife[[Tier 2 element]:[Default Service Life]],2, FALSE)-1,0),0)</f>
        <v>0</v>
      </c>
      <c r="O1238" s="322">
        <f>IFERROR((Calculations[[#This Row],[A1-3]]+Calculations[[#This Row],[A4]]+Calculations[[#This Row],[A5]]+Calculations[[#This Row],[C2 total]]+Calculations[[#This Row],[C3 total]]+Calculations[[#This Row],[C4 total]])*Calculations[[#This Row],[Replacements]],0)</f>
        <v>0</v>
      </c>
      <c r="S1238" t="str">
        <f>IFERROR(VLOOKUP(Calculations[[#This Row],[Material (choose from dropdown]],MaterialData[#All],4,FALSE),"")</f>
        <v/>
      </c>
      <c r="T1238" s="322" cm="1">
        <f t="array" ref="T1238">IFERROR(VLOOKUP(Calculations[[#This Row],[Waste 1]],WasteScenario[#All],2,FALSE)*'Stage assumptions'!$C$225*WasteTransportMethod[Emissions Factor
kgCO2e/kg.km]*Calculations[[#This Row],[Total Kg]],0)</f>
        <v>0</v>
      </c>
      <c r="U1238" s="322" cm="1">
        <f t="array" ref="U1238">IFERROR(VLOOKUP(Calculations[[#This Row],[Waste 1]],WasteScenario[#All],3,FALSE)*'Stage assumptions'!$C$224*WasteTransportMethod[Emissions Factor
kgCO2e/kg.km]*Calculations[[#This Row],[Total Kg]],0)</f>
        <v>0</v>
      </c>
      <c r="V1238" s="322" cm="1">
        <f t="array" ref="V1238">IFERROR(VLOOKUP(Calculations[[#This Row],[Waste 1]],WasteScenario[#All],4,FALSE)*'Stage assumptions'!$C$223*WasteTransportMethod[Emissions Factor
kgCO2e/kg.km]*Calculations[[#This Row],[Total Kg]],0)</f>
        <v>0</v>
      </c>
      <c r="W1238" s="322" cm="1">
        <f t="array" ref="W1238">IFERROR(VLOOKUP(Calculations[[#This Row],[Waste 1]],WasteScenario[#All],5,FALSE)*'Stage assumptions'!$C$226*WasteTransportMethod[Emissions Factor
kgCO2e/kg.km]*Calculations[[#This Row],[Total Kg]],0)</f>
        <v>0</v>
      </c>
      <c r="X1238" s="322">
        <f>SUM(Calculations[[#This Row],[C2 Recycle]:[C2 Reuse]])</f>
        <v>0</v>
      </c>
      <c r="Y1238" t="str">
        <f>IFERROR(VLOOKUP(Calculations[[#This Row],[Material (choose from dropdown]],MaterialData[#All],5,FALSE),"")</f>
        <v/>
      </c>
      <c r="Z1238" s="322">
        <f>IFERROR(((VLOOKUP(Calculations[[#This Row],[Waste type 2]],WasteDisposalEmissions[#All],2,FALSE))*Calculations[[#This Row],[Total Kg]])*VLOOKUP(Calculations[[#This Row],[Waste 1]],WasteScenario[#All],2,FALSE),0)</f>
        <v>0</v>
      </c>
      <c r="AA1238" s="322">
        <f>IFERROR((VLOOKUP(Calculations[[#This Row],[Waste type 2]],WasteDisposalEmissions[#All],3,FALSE))*Calculations[[#This Row],[Total Kg]]*VLOOKUP(Calculations[[#This Row],[Waste 1]],WasteScenario[#All],3,FALSE),0)</f>
        <v>0</v>
      </c>
      <c r="AB1238" s="322">
        <f>SUM(Calculations[[#This Row],[C3 recyc]:[C3 incin]])</f>
        <v>0</v>
      </c>
      <c r="AC1238" s="334">
        <f>IFERROR((VLOOKUP(Calculations[[#This Row],[Waste type 2]],WasteLandfillEmissions[#All],2,FALSE))*Calculations[[#This Row],[Total Kg]]*VLOOKUP(Calculations[[#This Row],[Waste 1]],WasteScenario[#All],4,FALSE),0)</f>
        <v>0</v>
      </c>
      <c r="AD1238" s="322">
        <f>IFERROR((VLOOKUP(Calculations[[#This Row],[Waste type 2]],WasteLandfillEmissions[#All],3,FALSE))*Calculations[[#This Row],[Total Kg]]*VLOOKUP(Calculations[[#This Row],[Waste 1]],WasteScenario[#All],4,FALSE),0)</f>
        <v>0</v>
      </c>
      <c r="AE1238" s="322">
        <f>SUM(Calculations[[#This Row],[C4 landfill]:[C4 re-use]])</f>
        <v>0</v>
      </c>
      <c r="AF1238" s="322">
        <f>IFERROR(VLOOKUP(Calculations[[#This Row],[Material (choose from dropdown]],MaterialData[#All],8,FALSE),0)</f>
        <v>0</v>
      </c>
      <c r="AG1238" s="322">
        <f>IFERROR(Calculations[[#This Row],[Total Kg]]*Calculations[[#This Row],[Seq factor]],0)</f>
        <v>0</v>
      </c>
      <c r="AI1238" s="322">
        <f>Calculations[[#This Row],[A1-3]]+Calculations[[#This Row],[A4]]+Calculations[[#This Row],[A5]]+Calculations[[#This Row],[B4]]+Calculations[[#This Row],[C2 total]]+Calculations[[#This Row],[C3 total]]+Calculations[[#This Row],[C4 total]]</f>
        <v>0</v>
      </c>
      <c r="AJ1238" s="2">
        <f>IFERROR(VLOOKUP(Calculations[[#This Row],[Material (choose from dropdown]],MaterialData[[#Headers],[#Data]],9,FALSE),0)</f>
        <v>0</v>
      </c>
      <c r="AK1238" s="4">
        <f>IFERROR(VLOOKUP(Calculations[[#This Row],[Material (choose from dropdown]],MaterialData[[#Headers],[#Data]],10,FALSE),0)</f>
        <v>0</v>
      </c>
      <c r="AL1238" s="322">
        <f>IFERROR(Calculations[[#This Row],[Data Quality Score]]*Calculations[[#This Row],[Total Kg]],0)</f>
        <v>0</v>
      </c>
    </row>
    <row r="1239" spans="1:38" x14ac:dyDescent="0.3">
      <c r="A1239" s="6">
        <f>IFERROR(MaterialsBoQ[[#This Row],[Scope Element]],0)</f>
        <v>0</v>
      </c>
      <c r="B1239" t="str">
        <f>IFERROR(MaterialsBoQ[[#This Row],[Material ]],"")</f>
        <v/>
      </c>
      <c r="C1239" t="str">
        <f>IFERROR(MaterialsBoQ[[#This Row],[Unit]],"")</f>
        <v/>
      </c>
      <c r="D1239" s="322">
        <f>IFERROR(MaterialsBoQ[[#This Row],[Number]],0)</f>
        <v>0</v>
      </c>
      <c r="E1239" s="322">
        <f>IFERROR(MaterialsBoQ[[#This Row],[Kg per unit]],0)</f>
        <v>0</v>
      </c>
      <c r="F1239" s="322">
        <f>IFERROR(Calculations[[#This Row],[Number]]*Calculations[[#This Row],[Conversion factor]],0)</f>
        <v>0</v>
      </c>
      <c r="G1239" s="322">
        <f>IFERROR(VLOOKUP(Calculations[[#This Row],[Material (choose from dropdown]],MaterialData[#All],7,FALSE),0)</f>
        <v>0</v>
      </c>
      <c r="H1239" s="322">
        <f>Calculations[[#This Row],[Total Kg]]*Calculations[[#This Row],[Carbon Factor]]</f>
        <v>0</v>
      </c>
      <c r="I1239" t="str">
        <f>IFERROR(VLOOKUP(Calculations[[#This Row],[Material (choose from dropdown]],MaterialData[#All],2,FALSE),"")</f>
        <v/>
      </c>
      <c r="J1239" s="322">
        <f>IFERROR(((VLOOKUP(Calculations[[#This Row],[TransportSource]],TransportDistance[],2,FALSE)*'Stage assumptions'!$C$11)+VLOOKUP(Calculations[[#This Row],[TransportSource]],TransportDistance[],3,FALSE)*'Stage assumptions'!$C$12)*Calculations[[#This Row],[Total Kg]],0)</f>
        <v>0</v>
      </c>
      <c r="K1239">
        <f>IFERROR(VLOOKUP(Calculations[[#This Row],[Material (choose from dropdown]], MaterialData[#All],3, FALSE),0)</f>
        <v>0</v>
      </c>
      <c r="L1239" s="322">
        <f>IFERROR(VLOOKUP(Calculations[[#This Row],[A5type]],A5WastageRate[#All],2,FALSE)*Calculations[[#This Row],[A1-3]],0)</f>
        <v>0</v>
      </c>
      <c r="N1239">
        <f>IFERROR(ROUNDUP(50/VLOOKUP(Calculations[[#This Row],[Scope Element]],B4referenceServiceLife[[Tier 2 element]:[Default Service Life]],2, FALSE)-1,0),0)</f>
        <v>0</v>
      </c>
      <c r="O1239" s="322">
        <f>IFERROR((Calculations[[#This Row],[A1-3]]+Calculations[[#This Row],[A4]]+Calculations[[#This Row],[A5]]+Calculations[[#This Row],[C2 total]]+Calculations[[#This Row],[C3 total]]+Calculations[[#This Row],[C4 total]])*Calculations[[#This Row],[Replacements]],0)</f>
        <v>0</v>
      </c>
      <c r="S1239" t="str">
        <f>IFERROR(VLOOKUP(Calculations[[#This Row],[Material (choose from dropdown]],MaterialData[#All],4,FALSE),"")</f>
        <v/>
      </c>
      <c r="T1239" s="322" cm="1">
        <f t="array" ref="T1239">IFERROR(VLOOKUP(Calculations[[#This Row],[Waste 1]],WasteScenario[#All],2,FALSE)*'Stage assumptions'!$C$225*WasteTransportMethod[Emissions Factor
kgCO2e/kg.km]*Calculations[[#This Row],[Total Kg]],0)</f>
        <v>0</v>
      </c>
      <c r="U1239" s="322" cm="1">
        <f t="array" ref="U1239">IFERROR(VLOOKUP(Calculations[[#This Row],[Waste 1]],WasteScenario[#All],3,FALSE)*'Stage assumptions'!$C$224*WasteTransportMethod[Emissions Factor
kgCO2e/kg.km]*Calculations[[#This Row],[Total Kg]],0)</f>
        <v>0</v>
      </c>
      <c r="V1239" s="322" cm="1">
        <f t="array" ref="V1239">IFERROR(VLOOKUP(Calculations[[#This Row],[Waste 1]],WasteScenario[#All],4,FALSE)*'Stage assumptions'!$C$223*WasteTransportMethod[Emissions Factor
kgCO2e/kg.km]*Calculations[[#This Row],[Total Kg]],0)</f>
        <v>0</v>
      </c>
      <c r="W1239" s="322" cm="1">
        <f t="array" ref="W1239">IFERROR(VLOOKUP(Calculations[[#This Row],[Waste 1]],WasteScenario[#All],5,FALSE)*'Stage assumptions'!$C$226*WasteTransportMethod[Emissions Factor
kgCO2e/kg.km]*Calculations[[#This Row],[Total Kg]],0)</f>
        <v>0</v>
      </c>
      <c r="X1239" s="322">
        <f>SUM(Calculations[[#This Row],[C2 Recycle]:[C2 Reuse]])</f>
        <v>0</v>
      </c>
      <c r="Y1239" t="str">
        <f>IFERROR(VLOOKUP(Calculations[[#This Row],[Material (choose from dropdown]],MaterialData[#All],5,FALSE),"")</f>
        <v/>
      </c>
      <c r="Z1239" s="322">
        <f>IFERROR(((VLOOKUP(Calculations[[#This Row],[Waste type 2]],WasteDisposalEmissions[#All],2,FALSE))*Calculations[[#This Row],[Total Kg]])*VLOOKUP(Calculations[[#This Row],[Waste 1]],WasteScenario[#All],2,FALSE),0)</f>
        <v>0</v>
      </c>
      <c r="AA1239" s="322">
        <f>IFERROR((VLOOKUP(Calculations[[#This Row],[Waste type 2]],WasteDisposalEmissions[#All],3,FALSE))*Calculations[[#This Row],[Total Kg]]*VLOOKUP(Calculations[[#This Row],[Waste 1]],WasteScenario[#All],3,FALSE),0)</f>
        <v>0</v>
      </c>
      <c r="AB1239" s="322">
        <f>SUM(Calculations[[#This Row],[C3 recyc]:[C3 incin]])</f>
        <v>0</v>
      </c>
      <c r="AC1239" s="334">
        <f>IFERROR((VLOOKUP(Calculations[[#This Row],[Waste type 2]],WasteLandfillEmissions[#All],2,FALSE))*Calculations[[#This Row],[Total Kg]]*VLOOKUP(Calculations[[#This Row],[Waste 1]],WasteScenario[#All],4,FALSE),0)</f>
        <v>0</v>
      </c>
      <c r="AD1239" s="322">
        <f>IFERROR((VLOOKUP(Calculations[[#This Row],[Waste type 2]],WasteLandfillEmissions[#All],3,FALSE))*Calculations[[#This Row],[Total Kg]]*VLOOKUP(Calculations[[#This Row],[Waste 1]],WasteScenario[#All],4,FALSE),0)</f>
        <v>0</v>
      </c>
      <c r="AE1239" s="322">
        <f>SUM(Calculations[[#This Row],[C4 landfill]:[C4 re-use]])</f>
        <v>0</v>
      </c>
      <c r="AF1239" s="322">
        <f>IFERROR(VLOOKUP(Calculations[[#This Row],[Material (choose from dropdown]],MaterialData[#All],8,FALSE),0)</f>
        <v>0</v>
      </c>
      <c r="AG1239" s="322">
        <f>IFERROR(Calculations[[#This Row],[Total Kg]]*Calculations[[#This Row],[Seq factor]],0)</f>
        <v>0</v>
      </c>
      <c r="AI1239" s="322">
        <f>Calculations[[#This Row],[A1-3]]+Calculations[[#This Row],[A4]]+Calculations[[#This Row],[A5]]+Calculations[[#This Row],[B4]]+Calculations[[#This Row],[C2 total]]+Calculations[[#This Row],[C3 total]]+Calculations[[#This Row],[C4 total]]</f>
        <v>0</v>
      </c>
      <c r="AJ1239" s="2">
        <f>IFERROR(VLOOKUP(Calculations[[#This Row],[Material (choose from dropdown]],MaterialData[[#Headers],[#Data]],9,FALSE),0)</f>
        <v>0</v>
      </c>
      <c r="AK1239" s="4">
        <f>IFERROR(VLOOKUP(Calculations[[#This Row],[Material (choose from dropdown]],MaterialData[[#Headers],[#Data]],10,FALSE),0)</f>
        <v>0</v>
      </c>
      <c r="AL1239" s="322">
        <f>IFERROR(Calculations[[#This Row],[Data Quality Score]]*Calculations[[#This Row],[Total Kg]],0)</f>
        <v>0</v>
      </c>
    </row>
    <row r="1240" spans="1:38" x14ac:dyDescent="0.3">
      <c r="A1240" s="6">
        <f>IFERROR(MaterialsBoQ[[#This Row],[Scope Element]],0)</f>
        <v>0</v>
      </c>
      <c r="B1240" t="str">
        <f>IFERROR(MaterialsBoQ[[#This Row],[Material ]],"")</f>
        <v/>
      </c>
      <c r="C1240" t="str">
        <f>IFERROR(MaterialsBoQ[[#This Row],[Unit]],"")</f>
        <v/>
      </c>
      <c r="D1240" s="322">
        <f>IFERROR(MaterialsBoQ[[#This Row],[Number]],0)</f>
        <v>0</v>
      </c>
      <c r="E1240" s="322">
        <f>IFERROR(MaterialsBoQ[[#This Row],[Kg per unit]],0)</f>
        <v>0</v>
      </c>
      <c r="F1240" s="322">
        <f>IFERROR(Calculations[[#This Row],[Number]]*Calculations[[#This Row],[Conversion factor]],0)</f>
        <v>0</v>
      </c>
      <c r="G1240" s="322">
        <f>IFERROR(VLOOKUP(Calculations[[#This Row],[Material (choose from dropdown]],MaterialData[#All],7,FALSE),0)</f>
        <v>0</v>
      </c>
      <c r="H1240" s="322">
        <f>Calculations[[#This Row],[Total Kg]]*Calculations[[#This Row],[Carbon Factor]]</f>
        <v>0</v>
      </c>
      <c r="I1240" t="str">
        <f>IFERROR(VLOOKUP(Calculations[[#This Row],[Material (choose from dropdown]],MaterialData[#All],2,FALSE),"")</f>
        <v/>
      </c>
      <c r="J1240" s="322">
        <f>IFERROR(((VLOOKUP(Calculations[[#This Row],[TransportSource]],TransportDistance[],2,FALSE)*'Stage assumptions'!$C$11)+VLOOKUP(Calculations[[#This Row],[TransportSource]],TransportDistance[],3,FALSE)*'Stage assumptions'!$C$12)*Calculations[[#This Row],[Total Kg]],0)</f>
        <v>0</v>
      </c>
      <c r="K1240">
        <f>IFERROR(VLOOKUP(Calculations[[#This Row],[Material (choose from dropdown]], MaterialData[#All],3, FALSE),0)</f>
        <v>0</v>
      </c>
      <c r="L1240" s="322">
        <f>IFERROR(VLOOKUP(Calculations[[#This Row],[A5type]],A5WastageRate[#All],2,FALSE)*Calculations[[#This Row],[A1-3]],0)</f>
        <v>0</v>
      </c>
      <c r="N1240">
        <f>IFERROR(ROUNDUP(50/VLOOKUP(Calculations[[#This Row],[Scope Element]],B4referenceServiceLife[[Tier 2 element]:[Default Service Life]],2, FALSE)-1,0),0)</f>
        <v>0</v>
      </c>
      <c r="O1240" s="322">
        <f>IFERROR((Calculations[[#This Row],[A1-3]]+Calculations[[#This Row],[A4]]+Calculations[[#This Row],[A5]]+Calculations[[#This Row],[C2 total]]+Calculations[[#This Row],[C3 total]]+Calculations[[#This Row],[C4 total]])*Calculations[[#This Row],[Replacements]],0)</f>
        <v>0</v>
      </c>
      <c r="S1240" t="str">
        <f>IFERROR(VLOOKUP(Calculations[[#This Row],[Material (choose from dropdown]],MaterialData[#All],4,FALSE),"")</f>
        <v/>
      </c>
      <c r="T1240" s="322" cm="1">
        <f t="array" ref="T1240">IFERROR(VLOOKUP(Calculations[[#This Row],[Waste 1]],WasteScenario[#All],2,FALSE)*'Stage assumptions'!$C$225*WasteTransportMethod[Emissions Factor
kgCO2e/kg.km]*Calculations[[#This Row],[Total Kg]],0)</f>
        <v>0</v>
      </c>
      <c r="U1240" s="322" cm="1">
        <f t="array" ref="U1240">IFERROR(VLOOKUP(Calculations[[#This Row],[Waste 1]],WasteScenario[#All],3,FALSE)*'Stage assumptions'!$C$224*WasteTransportMethod[Emissions Factor
kgCO2e/kg.km]*Calculations[[#This Row],[Total Kg]],0)</f>
        <v>0</v>
      </c>
      <c r="V1240" s="322" cm="1">
        <f t="array" ref="V1240">IFERROR(VLOOKUP(Calculations[[#This Row],[Waste 1]],WasteScenario[#All],4,FALSE)*'Stage assumptions'!$C$223*WasteTransportMethod[Emissions Factor
kgCO2e/kg.km]*Calculations[[#This Row],[Total Kg]],0)</f>
        <v>0</v>
      </c>
      <c r="W1240" s="322" cm="1">
        <f t="array" ref="W1240">IFERROR(VLOOKUP(Calculations[[#This Row],[Waste 1]],WasteScenario[#All],5,FALSE)*'Stage assumptions'!$C$226*WasteTransportMethod[Emissions Factor
kgCO2e/kg.km]*Calculations[[#This Row],[Total Kg]],0)</f>
        <v>0</v>
      </c>
      <c r="X1240" s="322">
        <f>SUM(Calculations[[#This Row],[C2 Recycle]:[C2 Reuse]])</f>
        <v>0</v>
      </c>
      <c r="Y1240" t="str">
        <f>IFERROR(VLOOKUP(Calculations[[#This Row],[Material (choose from dropdown]],MaterialData[#All],5,FALSE),"")</f>
        <v/>
      </c>
      <c r="Z1240" s="322">
        <f>IFERROR(((VLOOKUP(Calculations[[#This Row],[Waste type 2]],WasteDisposalEmissions[#All],2,FALSE))*Calculations[[#This Row],[Total Kg]])*VLOOKUP(Calculations[[#This Row],[Waste 1]],WasteScenario[#All],2,FALSE),0)</f>
        <v>0</v>
      </c>
      <c r="AA1240" s="322">
        <f>IFERROR((VLOOKUP(Calculations[[#This Row],[Waste type 2]],WasteDisposalEmissions[#All],3,FALSE))*Calculations[[#This Row],[Total Kg]]*VLOOKUP(Calculations[[#This Row],[Waste 1]],WasteScenario[#All],3,FALSE),0)</f>
        <v>0</v>
      </c>
      <c r="AB1240" s="322">
        <f>SUM(Calculations[[#This Row],[C3 recyc]:[C3 incin]])</f>
        <v>0</v>
      </c>
      <c r="AC1240" s="334">
        <f>IFERROR((VLOOKUP(Calculations[[#This Row],[Waste type 2]],WasteLandfillEmissions[#All],2,FALSE))*Calculations[[#This Row],[Total Kg]]*VLOOKUP(Calculations[[#This Row],[Waste 1]],WasteScenario[#All],4,FALSE),0)</f>
        <v>0</v>
      </c>
      <c r="AD1240" s="322">
        <f>IFERROR((VLOOKUP(Calculations[[#This Row],[Waste type 2]],WasteLandfillEmissions[#All],3,FALSE))*Calculations[[#This Row],[Total Kg]]*VLOOKUP(Calculations[[#This Row],[Waste 1]],WasteScenario[#All],4,FALSE),0)</f>
        <v>0</v>
      </c>
      <c r="AE1240" s="322">
        <f>SUM(Calculations[[#This Row],[C4 landfill]:[C4 re-use]])</f>
        <v>0</v>
      </c>
      <c r="AF1240" s="322">
        <f>IFERROR(VLOOKUP(Calculations[[#This Row],[Material (choose from dropdown]],MaterialData[#All],8,FALSE),0)</f>
        <v>0</v>
      </c>
      <c r="AG1240" s="322">
        <f>IFERROR(Calculations[[#This Row],[Total Kg]]*Calculations[[#This Row],[Seq factor]],0)</f>
        <v>0</v>
      </c>
      <c r="AI1240" s="322">
        <f>Calculations[[#This Row],[A1-3]]+Calculations[[#This Row],[A4]]+Calculations[[#This Row],[A5]]+Calculations[[#This Row],[B4]]+Calculations[[#This Row],[C2 total]]+Calculations[[#This Row],[C3 total]]+Calculations[[#This Row],[C4 total]]</f>
        <v>0</v>
      </c>
      <c r="AJ1240" s="2">
        <f>IFERROR(VLOOKUP(Calculations[[#This Row],[Material (choose from dropdown]],MaterialData[[#Headers],[#Data]],9,FALSE),0)</f>
        <v>0</v>
      </c>
      <c r="AK1240" s="4">
        <f>IFERROR(VLOOKUP(Calculations[[#This Row],[Material (choose from dropdown]],MaterialData[[#Headers],[#Data]],10,FALSE),0)</f>
        <v>0</v>
      </c>
      <c r="AL1240" s="322">
        <f>IFERROR(Calculations[[#This Row],[Data Quality Score]]*Calculations[[#This Row],[Total Kg]],0)</f>
        <v>0</v>
      </c>
    </row>
    <row r="1241" spans="1:38" x14ac:dyDescent="0.3">
      <c r="A1241" s="6">
        <f>IFERROR(MaterialsBoQ[[#This Row],[Scope Element]],0)</f>
        <v>0</v>
      </c>
      <c r="B1241" t="str">
        <f>IFERROR(MaterialsBoQ[[#This Row],[Material ]],"")</f>
        <v/>
      </c>
      <c r="C1241" t="str">
        <f>IFERROR(MaterialsBoQ[[#This Row],[Unit]],"")</f>
        <v/>
      </c>
      <c r="D1241" s="322">
        <f>IFERROR(MaterialsBoQ[[#This Row],[Number]],0)</f>
        <v>0</v>
      </c>
      <c r="E1241" s="322">
        <f>IFERROR(MaterialsBoQ[[#This Row],[Kg per unit]],0)</f>
        <v>0</v>
      </c>
      <c r="F1241" s="322">
        <f>IFERROR(Calculations[[#This Row],[Number]]*Calculations[[#This Row],[Conversion factor]],0)</f>
        <v>0</v>
      </c>
      <c r="G1241" s="322">
        <f>IFERROR(VLOOKUP(Calculations[[#This Row],[Material (choose from dropdown]],MaterialData[#All],7,FALSE),0)</f>
        <v>0</v>
      </c>
      <c r="H1241" s="322">
        <f>Calculations[[#This Row],[Total Kg]]*Calculations[[#This Row],[Carbon Factor]]</f>
        <v>0</v>
      </c>
      <c r="I1241" t="str">
        <f>IFERROR(VLOOKUP(Calculations[[#This Row],[Material (choose from dropdown]],MaterialData[#All],2,FALSE),"")</f>
        <v/>
      </c>
      <c r="J1241" s="322">
        <f>IFERROR(((VLOOKUP(Calculations[[#This Row],[TransportSource]],TransportDistance[],2,FALSE)*'Stage assumptions'!$C$11)+VLOOKUP(Calculations[[#This Row],[TransportSource]],TransportDistance[],3,FALSE)*'Stage assumptions'!$C$12)*Calculations[[#This Row],[Total Kg]],0)</f>
        <v>0</v>
      </c>
      <c r="K1241">
        <f>IFERROR(VLOOKUP(Calculations[[#This Row],[Material (choose from dropdown]], MaterialData[#All],3, FALSE),0)</f>
        <v>0</v>
      </c>
      <c r="L1241" s="322">
        <f>IFERROR(VLOOKUP(Calculations[[#This Row],[A5type]],A5WastageRate[#All],2,FALSE)*Calculations[[#This Row],[A1-3]],0)</f>
        <v>0</v>
      </c>
      <c r="N1241">
        <f>IFERROR(ROUNDUP(50/VLOOKUP(Calculations[[#This Row],[Scope Element]],B4referenceServiceLife[[Tier 2 element]:[Default Service Life]],2, FALSE)-1,0),0)</f>
        <v>0</v>
      </c>
      <c r="O1241" s="322">
        <f>IFERROR((Calculations[[#This Row],[A1-3]]+Calculations[[#This Row],[A4]]+Calculations[[#This Row],[A5]]+Calculations[[#This Row],[C2 total]]+Calculations[[#This Row],[C3 total]]+Calculations[[#This Row],[C4 total]])*Calculations[[#This Row],[Replacements]],0)</f>
        <v>0</v>
      </c>
      <c r="S1241" t="str">
        <f>IFERROR(VLOOKUP(Calculations[[#This Row],[Material (choose from dropdown]],MaterialData[#All],4,FALSE),"")</f>
        <v/>
      </c>
      <c r="T1241" s="322" cm="1">
        <f t="array" ref="T1241">IFERROR(VLOOKUP(Calculations[[#This Row],[Waste 1]],WasteScenario[#All],2,FALSE)*'Stage assumptions'!$C$225*WasteTransportMethod[Emissions Factor
kgCO2e/kg.km]*Calculations[[#This Row],[Total Kg]],0)</f>
        <v>0</v>
      </c>
      <c r="U1241" s="322" cm="1">
        <f t="array" ref="U1241">IFERROR(VLOOKUP(Calculations[[#This Row],[Waste 1]],WasteScenario[#All],3,FALSE)*'Stage assumptions'!$C$224*WasteTransportMethod[Emissions Factor
kgCO2e/kg.km]*Calculations[[#This Row],[Total Kg]],0)</f>
        <v>0</v>
      </c>
      <c r="V1241" s="322" cm="1">
        <f t="array" ref="V1241">IFERROR(VLOOKUP(Calculations[[#This Row],[Waste 1]],WasteScenario[#All],4,FALSE)*'Stage assumptions'!$C$223*WasteTransportMethod[Emissions Factor
kgCO2e/kg.km]*Calculations[[#This Row],[Total Kg]],0)</f>
        <v>0</v>
      </c>
      <c r="W1241" s="322" cm="1">
        <f t="array" ref="W1241">IFERROR(VLOOKUP(Calculations[[#This Row],[Waste 1]],WasteScenario[#All],5,FALSE)*'Stage assumptions'!$C$226*WasteTransportMethod[Emissions Factor
kgCO2e/kg.km]*Calculations[[#This Row],[Total Kg]],0)</f>
        <v>0</v>
      </c>
      <c r="X1241" s="322">
        <f>SUM(Calculations[[#This Row],[C2 Recycle]:[C2 Reuse]])</f>
        <v>0</v>
      </c>
      <c r="Y1241" t="str">
        <f>IFERROR(VLOOKUP(Calculations[[#This Row],[Material (choose from dropdown]],MaterialData[#All],5,FALSE),"")</f>
        <v/>
      </c>
      <c r="Z1241" s="322">
        <f>IFERROR(((VLOOKUP(Calculations[[#This Row],[Waste type 2]],WasteDisposalEmissions[#All],2,FALSE))*Calculations[[#This Row],[Total Kg]])*VLOOKUP(Calculations[[#This Row],[Waste 1]],WasteScenario[#All],2,FALSE),0)</f>
        <v>0</v>
      </c>
      <c r="AA1241" s="322">
        <f>IFERROR((VLOOKUP(Calculations[[#This Row],[Waste type 2]],WasteDisposalEmissions[#All],3,FALSE))*Calculations[[#This Row],[Total Kg]]*VLOOKUP(Calculations[[#This Row],[Waste 1]],WasteScenario[#All],3,FALSE),0)</f>
        <v>0</v>
      </c>
      <c r="AB1241" s="322">
        <f>SUM(Calculations[[#This Row],[C3 recyc]:[C3 incin]])</f>
        <v>0</v>
      </c>
      <c r="AC1241" s="334">
        <f>IFERROR((VLOOKUP(Calculations[[#This Row],[Waste type 2]],WasteLandfillEmissions[#All],2,FALSE))*Calculations[[#This Row],[Total Kg]]*VLOOKUP(Calculations[[#This Row],[Waste 1]],WasteScenario[#All],4,FALSE),0)</f>
        <v>0</v>
      </c>
      <c r="AD1241" s="322">
        <f>IFERROR((VLOOKUP(Calculations[[#This Row],[Waste type 2]],WasteLandfillEmissions[#All],3,FALSE))*Calculations[[#This Row],[Total Kg]]*VLOOKUP(Calculations[[#This Row],[Waste 1]],WasteScenario[#All],4,FALSE),0)</f>
        <v>0</v>
      </c>
      <c r="AE1241" s="322">
        <f>SUM(Calculations[[#This Row],[C4 landfill]:[C4 re-use]])</f>
        <v>0</v>
      </c>
      <c r="AF1241" s="322">
        <f>IFERROR(VLOOKUP(Calculations[[#This Row],[Material (choose from dropdown]],MaterialData[#All],8,FALSE),0)</f>
        <v>0</v>
      </c>
      <c r="AG1241" s="322">
        <f>IFERROR(Calculations[[#This Row],[Total Kg]]*Calculations[[#This Row],[Seq factor]],0)</f>
        <v>0</v>
      </c>
      <c r="AI1241" s="322">
        <f>Calculations[[#This Row],[A1-3]]+Calculations[[#This Row],[A4]]+Calculations[[#This Row],[A5]]+Calculations[[#This Row],[B4]]+Calculations[[#This Row],[C2 total]]+Calculations[[#This Row],[C3 total]]+Calculations[[#This Row],[C4 total]]</f>
        <v>0</v>
      </c>
      <c r="AJ1241" s="2">
        <f>IFERROR(VLOOKUP(Calculations[[#This Row],[Material (choose from dropdown]],MaterialData[[#Headers],[#Data]],9,FALSE),0)</f>
        <v>0</v>
      </c>
      <c r="AK1241" s="4">
        <f>IFERROR(VLOOKUP(Calculations[[#This Row],[Material (choose from dropdown]],MaterialData[[#Headers],[#Data]],10,FALSE),0)</f>
        <v>0</v>
      </c>
      <c r="AL1241" s="322">
        <f>IFERROR(Calculations[[#This Row],[Data Quality Score]]*Calculations[[#This Row],[Total Kg]],0)</f>
        <v>0</v>
      </c>
    </row>
    <row r="1242" spans="1:38" x14ac:dyDescent="0.3">
      <c r="A1242" s="6">
        <f>IFERROR(MaterialsBoQ[[#This Row],[Scope Element]],0)</f>
        <v>0</v>
      </c>
      <c r="B1242" t="str">
        <f>IFERROR(MaterialsBoQ[[#This Row],[Material ]],"")</f>
        <v/>
      </c>
      <c r="C1242" t="str">
        <f>IFERROR(MaterialsBoQ[[#This Row],[Unit]],"")</f>
        <v/>
      </c>
      <c r="D1242" s="322">
        <f>IFERROR(MaterialsBoQ[[#This Row],[Number]],0)</f>
        <v>0</v>
      </c>
      <c r="E1242" s="322">
        <f>IFERROR(MaterialsBoQ[[#This Row],[Kg per unit]],0)</f>
        <v>0</v>
      </c>
      <c r="F1242" s="322">
        <f>IFERROR(Calculations[[#This Row],[Number]]*Calculations[[#This Row],[Conversion factor]],0)</f>
        <v>0</v>
      </c>
      <c r="G1242" s="322">
        <f>IFERROR(VLOOKUP(Calculations[[#This Row],[Material (choose from dropdown]],MaterialData[#All],7,FALSE),0)</f>
        <v>0</v>
      </c>
      <c r="H1242" s="322">
        <f>Calculations[[#This Row],[Total Kg]]*Calculations[[#This Row],[Carbon Factor]]</f>
        <v>0</v>
      </c>
      <c r="I1242" t="str">
        <f>IFERROR(VLOOKUP(Calculations[[#This Row],[Material (choose from dropdown]],MaterialData[#All],2,FALSE),"")</f>
        <v/>
      </c>
      <c r="J1242" s="322">
        <f>IFERROR(((VLOOKUP(Calculations[[#This Row],[TransportSource]],TransportDistance[],2,FALSE)*'Stage assumptions'!$C$11)+VLOOKUP(Calculations[[#This Row],[TransportSource]],TransportDistance[],3,FALSE)*'Stage assumptions'!$C$12)*Calculations[[#This Row],[Total Kg]],0)</f>
        <v>0</v>
      </c>
      <c r="K1242">
        <f>IFERROR(VLOOKUP(Calculations[[#This Row],[Material (choose from dropdown]], MaterialData[#All],3, FALSE),0)</f>
        <v>0</v>
      </c>
      <c r="L1242" s="322">
        <f>IFERROR(VLOOKUP(Calculations[[#This Row],[A5type]],A5WastageRate[#All],2,FALSE)*Calculations[[#This Row],[A1-3]],0)</f>
        <v>0</v>
      </c>
      <c r="N1242">
        <f>IFERROR(ROUNDUP(50/VLOOKUP(Calculations[[#This Row],[Scope Element]],B4referenceServiceLife[[Tier 2 element]:[Default Service Life]],2, FALSE)-1,0),0)</f>
        <v>0</v>
      </c>
      <c r="O1242" s="322">
        <f>IFERROR((Calculations[[#This Row],[A1-3]]+Calculations[[#This Row],[A4]]+Calculations[[#This Row],[A5]]+Calculations[[#This Row],[C2 total]]+Calculations[[#This Row],[C3 total]]+Calculations[[#This Row],[C4 total]])*Calculations[[#This Row],[Replacements]],0)</f>
        <v>0</v>
      </c>
      <c r="S1242" t="str">
        <f>IFERROR(VLOOKUP(Calculations[[#This Row],[Material (choose from dropdown]],MaterialData[#All],4,FALSE),"")</f>
        <v/>
      </c>
      <c r="T1242" s="322" cm="1">
        <f t="array" ref="T1242">IFERROR(VLOOKUP(Calculations[[#This Row],[Waste 1]],WasteScenario[#All],2,FALSE)*'Stage assumptions'!$C$225*WasteTransportMethod[Emissions Factor
kgCO2e/kg.km]*Calculations[[#This Row],[Total Kg]],0)</f>
        <v>0</v>
      </c>
      <c r="U1242" s="322" cm="1">
        <f t="array" ref="U1242">IFERROR(VLOOKUP(Calculations[[#This Row],[Waste 1]],WasteScenario[#All],3,FALSE)*'Stage assumptions'!$C$224*WasteTransportMethod[Emissions Factor
kgCO2e/kg.km]*Calculations[[#This Row],[Total Kg]],0)</f>
        <v>0</v>
      </c>
      <c r="V1242" s="322" cm="1">
        <f t="array" ref="V1242">IFERROR(VLOOKUP(Calculations[[#This Row],[Waste 1]],WasteScenario[#All],4,FALSE)*'Stage assumptions'!$C$223*WasteTransportMethod[Emissions Factor
kgCO2e/kg.km]*Calculations[[#This Row],[Total Kg]],0)</f>
        <v>0</v>
      </c>
      <c r="W1242" s="322" cm="1">
        <f t="array" ref="W1242">IFERROR(VLOOKUP(Calculations[[#This Row],[Waste 1]],WasteScenario[#All],5,FALSE)*'Stage assumptions'!$C$226*WasteTransportMethod[Emissions Factor
kgCO2e/kg.km]*Calculations[[#This Row],[Total Kg]],0)</f>
        <v>0</v>
      </c>
      <c r="X1242" s="322">
        <f>SUM(Calculations[[#This Row],[C2 Recycle]:[C2 Reuse]])</f>
        <v>0</v>
      </c>
      <c r="Y1242" t="str">
        <f>IFERROR(VLOOKUP(Calculations[[#This Row],[Material (choose from dropdown]],MaterialData[#All],5,FALSE),"")</f>
        <v/>
      </c>
      <c r="Z1242" s="322">
        <f>IFERROR(((VLOOKUP(Calculations[[#This Row],[Waste type 2]],WasteDisposalEmissions[#All],2,FALSE))*Calculations[[#This Row],[Total Kg]])*VLOOKUP(Calculations[[#This Row],[Waste 1]],WasteScenario[#All],2,FALSE),0)</f>
        <v>0</v>
      </c>
      <c r="AA1242" s="322">
        <f>IFERROR((VLOOKUP(Calculations[[#This Row],[Waste type 2]],WasteDisposalEmissions[#All],3,FALSE))*Calculations[[#This Row],[Total Kg]]*VLOOKUP(Calculations[[#This Row],[Waste 1]],WasteScenario[#All],3,FALSE),0)</f>
        <v>0</v>
      </c>
      <c r="AB1242" s="322">
        <f>SUM(Calculations[[#This Row],[C3 recyc]:[C3 incin]])</f>
        <v>0</v>
      </c>
      <c r="AC1242" s="334">
        <f>IFERROR((VLOOKUP(Calculations[[#This Row],[Waste type 2]],WasteLandfillEmissions[#All],2,FALSE))*Calculations[[#This Row],[Total Kg]]*VLOOKUP(Calculations[[#This Row],[Waste 1]],WasteScenario[#All],4,FALSE),0)</f>
        <v>0</v>
      </c>
      <c r="AD1242" s="322">
        <f>IFERROR((VLOOKUP(Calculations[[#This Row],[Waste type 2]],WasteLandfillEmissions[#All],3,FALSE))*Calculations[[#This Row],[Total Kg]]*VLOOKUP(Calculations[[#This Row],[Waste 1]],WasteScenario[#All],4,FALSE),0)</f>
        <v>0</v>
      </c>
      <c r="AE1242" s="322">
        <f>SUM(Calculations[[#This Row],[C4 landfill]:[C4 re-use]])</f>
        <v>0</v>
      </c>
      <c r="AF1242" s="322">
        <f>IFERROR(VLOOKUP(Calculations[[#This Row],[Material (choose from dropdown]],MaterialData[#All],8,FALSE),0)</f>
        <v>0</v>
      </c>
      <c r="AG1242" s="322">
        <f>IFERROR(Calculations[[#This Row],[Total Kg]]*Calculations[[#This Row],[Seq factor]],0)</f>
        <v>0</v>
      </c>
      <c r="AI1242" s="322">
        <f>Calculations[[#This Row],[A1-3]]+Calculations[[#This Row],[A4]]+Calculations[[#This Row],[A5]]+Calculations[[#This Row],[B4]]+Calculations[[#This Row],[C2 total]]+Calculations[[#This Row],[C3 total]]+Calculations[[#This Row],[C4 total]]</f>
        <v>0</v>
      </c>
      <c r="AJ1242" s="2">
        <f>IFERROR(VLOOKUP(Calculations[[#This Row],[Material (choose from dropdown]],MaterialData[[#Headers],[#Data]],9,FALSE),0)</f>
        <v>0</v>
      </c>
      <c r="AK1242" s="4">
        <f>IFERROR(VLOOKUP(Calculations[[#This Row],[Material (choose from dropdown]],MaterialData[[#Headers],[#Data]],10,FALSE),0)</f>
        <v>0</v>
      </c>
      <c r="AL1242" s="322">
        <f>IFERROR(Calculations[[#This Row],[Data Quality Score]]*Calculations[[#This Row],[Total Kg]],0)</f>
        <v>0</v>
      </c>
    </row>
    <row r="1243" spans="1:38" x14ac:dyDescent="0.3">
      <c r="A1243" s="6">
        <f>IFERROR(MaterialsBoQ[[#This Row],[Scope Element]],0)</f>
        <v>0</v>
      </c>
      <c r="B1243" t="str">
        <f>IFERROR(MaterialsBoQ[[#This Row],[Material ]],"")</f>
        <v/>
      </c>
      <c r="C1243" t="str">
        <f>IFERROR(MaterialsBoQ[[#This Row],[Unit]],"")</f>
        <v/>
      </c>
      <c r="D1243" s="322">
        <f>IFERROR(MaterialsBoQ[[#This Row],[Number]],0)</f>
        <v>0</v>
      </c>
      <c r="E1243" s="322">
        <f>IFERROR(MaterialsBoQ[[#This Row],[Kg per unit]],0)</f>
        <v>0</v>
      </c>
      <c r="F1243" s="322">
        <f>IFERROR(Calculations[[#This Row],[Number]]*Calculations[[#This Row],[Conversion factor]],0)</f>
        <v>0</v>
      </c>
      <c r="G1243" s="322">
        <f>IFERROR(VLOOKUP(Calculations[[#This Row],[Material (choose from dropdown]],MaterialData[#All],7,FALSE),0)</f>
        <v>0</v>
      </c>
      <c r="H1243" s="322">
        <f>Calculations[[#This Row],[Total Kg]]*Calculations[[#This Row],[Carbon Factor]]</f>
        <v>0</v>
      </c>
      <c r="I1243" t="str">
        <f>IFERROR(VLOOKUP(Calculations[[#This Row],[Material (choose from dropdown]],MaterialData[#All],2,FALSE),"")</f>
        <v/>
      </c>
      <c r="J1243" s="322">
        <f>IFERROR(((VLOOKUP(Calculations[[#This Row],[TransportSource]],TransportDistance[],2,FALSE)*'Stage assumptions'!$C$11)+VLOOKUP(Calculations[[#This Row],[TransportSource]],TransportDistance[],3,FALSE)*'Stage assumptions'!$C$12)*Calculations[[#This Row],[Total Kg]],0)</f>
        <v>0</v>
      </c>
      <c r="K1243">
        <f>IFERROR(VLOOKUP(Calculations[[#This Row],[Material (choose from dropdown]], MaterialData[#All],3, FALSE),0)</f>
        <v>0</v>
      </c>
      <c r="L1243" s="322">
        <f>IFERROR(VLOOKUP(Calculations[[#This Row],[A5type]],A5WastageRate[#All],2,FALSE)*Calculations[[#This Row],[A1-3]],0)</f>
        <v>0</v>
      </c>
      <c r="N1243">
        <f>IFERROR(ROUNDUP(50/VLOOKUP(Calculations[[#This Row],[Scope Element]],B4referenceServiceLife[[Tier 2 element]:[Default Service Life]],2, FALSE)-1,0),0)</f>
        <v>0</v>
      </c>
      <c r="O1243" s="322">
        <f>IFERROR((Calculations[[#This Row],[A1-3]]+Calculations[[#This Row],[A4]]+Calculations[[#This Row],[A5]]+Calculations[[#This Row],[C2 total]]+Calculations[[#This Row],[C3 total]]+Calculations[[#This Row],[C4 total]])*Calculations[[#This Row],[Replacements]],0)</f>
        <v>0</v>
      </c>
      <c r="S1243" t="str">
        <f>IFERROR(VLOOKUP(Calculations[[#This Row],[Material (choose from dropdown]],MaterialData[#All],4,FALSE),"")</f>
        <v/>
      </c>
      <c r="T1243" s="322" cm="1">
        <f t="array" ref="T1243">IFERROR(VLOOKUP(Calculations[[#This Row],[Waste 1]],WasteScenario[#All],2,FALSE)*'Stage assumptions'!$C$225*WasteTransportMethod[Emissions Factor
kgCO2e/kg.km]*Calculations[[#This Row],[Total Kg]],0)</f>
        <v>0</v>
      </c>
      <c r="U1243" s="322" cm="1">
        <f t="array" ref="U1243">IFERROR(VLOOKUP(Calculations[[#This Row],[Waste 1]],WasteScenario[#All],3,FALSE)*'Stage assumptions'!$C$224*WasteTransportMethod[Emissions Factor
kgCO2e/kg.km]*Calculations[[#This Row],[Total Kg]],0)</f>
        <v>0</v>
      </c>
      <c r="V1243" s="322" cm="1">
        <f t="array" ref="V1243">IFERROR(VLOOKUP(Calculations[[#This Row],[Waste 1]],WasteScenario[#All],4,FALSE)*'Stage assumptions'!$C$223*WasteTransportMethod[Emissions Factor
kgCO2e/kg.km]*Calculations[[#This Row],[Total Kg]],0)</f>
        <v>0</v>
      </c>
      <c r="W1243" s="322" cm="1">
        <f t="array" ref="W1243">IFERROR(VLOOKUP(Calculations[[#This Row],[Waste 1]],WasteScenario[#All],5,FALSE)*'Stage assumptions'!$C$226*WasteTransportMethod[Emissions Factor
kgCO2e/kg.km]*Calculations[[#This Row],[Total Kg]],0)</f>
        <v>0</v>
      </c>
      <c r="X1243" s="322">
        <f>SUM(Calculations[[#This Row],[C2 Recycle]:[C2 Reuse]])</f>
        <v>0</v>
      </c>
      <c r="Y1243" t="str">
        <f>IFERROR(VLOOKUP(Calculations[[#This Row],[Material (choose from dropdown]],MaterialData[#All],5,FALSE),"")</f>
        <v/>
      </c>
      <c r="Z1243" s="322">
        <f>IFERROR(((VLOOKUP(Calculations[[#This Row],[Waste type 2]],WasteDisposalEmissions[#All],2,FALSE))*Calculations[[#This Row],[Total Kg]])*VLOOKUP(Calculations[[#This Row],[Waste 1]],WasteScenario[#All],2,FALSE),0)</f>
        <v>0</v>
      </c>
      <c r="AA1243" s="322">
        <f>IFERROR((VLOOKUP(Calculations[[#This Row],[Waste type 2]],WasteDisposalEmissions[#All],3,FALSE))*Calculations[[#This Row],[Total Kg]]*VLOOKUP(Calculations[[#This Row],[Waste 1]],WasteScenario[#All],3,FALSE),0)</f>
        <v>0</v>
      </c>
      <c r="AB1243" s="322">
        <f>SUM(Calculations[[#This Row],[C3 recyc]:[C3 incin]])</f>
        <v>0</v>
      </c>
      <c r="AC1243" s="334">
        <f>IFERROR((VLOOKUP(Calculations[[#This Row],[Waste type 2]],WasteLandfillEmissions[#All],2,FALSE))*Calculations[[#This Row],[Total Kg]]*VLOOKUP(Calculations[[#This Row],[Waste 1]],WasteScenario[#All],4,FALSE),0)</f>
        <v>0</v>
      </c>
      <c r="AD1243" s="322">
        <f>IFERROR((VLOOKUP(Calculations[[#This Row],[Waste type 2]],WasteLandfillEmissions[#All],3,FALSE))*Calculations[[#This Row],[Total Kg]]*VLOOKUP(Calculations[[#This Row],[Waste 1]],WasteScenario[#All],4,FALSE),0)</f>
        <v>0</v>
      </c>
      <c r="AE1243" s="322">
        <f>SUM(Calculations[[#This Row],[C4 landfill]:[C4 re-use]])</f>
        <v>0</v>
      </c>
      <c r="AF1243" s="322">
        <f>IFERROR(VLOOKUP(Calculations[[#This Row],[Material (choose from dropdown]],MaterialData[#All],8,FALSE),0)</f>
        <v>0</v>
      </c>
      <c r="AG1243" s="322">
        <f>IFERROR(Calculations[[#This Row],[Total Kg]]*Calculations[[#This Row],[Seq factor]],0)</f>
        <v>0</v>
      </c>
      <c r="AI1243" s="322">
        <f>Calculations[[#This Row],[A1-3]]+Calculations[[#This Row],[A4]]+Calculations[[#This Row],[A5]]+Calculations[[#This Row],[B4]]+Calculations[[#This Row],[C2 total]]+Calculations[[#This Row],[C3 total]]+Calculations[[#This Row],[C4 total]]</f>
        <v>0</v>
      </c>
      <c r="AJ1243" s="2">
        <f>IFERROR(VLOOKUP(Calculations[[#This Row],[Material (choose from dropdown]],MaterialData[[#Headers],[#Data]],9,FALSE),0)</f>
        <v>0</v>
      </c>
      <c r="AK1243" s="4">
        <f>IFERROR(VLOOKUP(Calculations[[#This Row],[Material (choose from dropdown]],MaterialData[[#Headers],[#Data]],10,FALSE),0)</f>
        <v>0</v>
      </c>
      <c r="AL1243" s="322">
        <f>IFERROR(Calculations[[#This Row],[Data Quality Score]]*Calculations[[#This Row],[Total Kg]],0)</f>
        <v>0</v>
      </c>
    </row>
    <row r="1244" spans="1:38" x14ac:dyDescent="0.3">
      <c r="A1244" s="6">
        <f>IFERROR(MaterialsBoQ[[#This Row],[Scope Element]],0)</f>
        <v>0</v>
      </c>
      <c r="B1244" t="str">
        <f>IFERROR(MaterialsBoQ[[#This Row],[Material ]],"")</f>
        <v/>
      </c>
      <c r="C1244" t="str">
        <f>IFERROR(MaterialsBoQ[[#This Row],[Unit]],"")</f>
        <v/>
      </c>
      <c r="D1244" s="322">
        <f>IFERROR(MaterialsBoQ[[#This Row],[Number]],0)</f>
        <v>0</v>
      </c>
      <c r="E1244" s="322">
        <f>IFERROR(MaterialsBoQ[[#This Row],[Kg per unit]],0)</f>
        <v>0</v>
      </c>
      <c r="F1244" s="322">
        <f>IFERROR(Calculations[[#This Row],[Number]]*Calculations[[#This Row],[Conversion factor]],0)</f>
        <v>0</v>
      </c>
      <c r="G1244" s="322">
        <f>IFERROR(VLOOKUP(Calculations[[#This Row],[Material (choose from dropdown]],MaterialData[#All],7,FALSE),0)</f>
        <v>0</v>
      </c>
      <c r="H1244" s="322">
        <f>Calculations[[#This Row],[Total Kg]]*Calculations[[#This Row],[Carbon Factor]]</f>
        <v>0</v>
      </c>
      <c r="I1244" t="str">
        <f>IFERROR(VLOOKUP(Calculations[[#This Row],[Material (choose from dropdown]],MaterialData[#All],2,FALSE),"")</f>
        <v/>
      </c>
      <c r="J1244" s="322">
        <f>IFERROR(((VLOOKUP(Calculations[[#This Row],[TransportSource]],TransportDistance[],2,FALSE)*'Stage assumptions'!$C$11)+VLOOKUP(Calculations[[#This Row],[TransportSource]],TransportDistance[],3,FALSE)*'Stage assumptions'!$C$12)*Calculations[[#This Row],[Total Kg]],0)</f>
        <v>0</v>
      </c>
      <c r="K1244">
        <f>IFERROR(VLOOKUP(Calculations[[#This Row],[Material (choose from dropdown]], MaterialData[#All],3, FALSE),0)</f>
        <v>0</v>
      </c>
      <c r="L1244" s="322">
        <f>IFERROR(VLOOKUP(Calculations[[#This Row],[A5type]],A5WastageRate[#All],2,FALSE)*Calculations[[#This Row],[A1-3]],0)</f>
        <v>0</v>
      </c>
      <c r="N1244">
        <f>IFERROR(ROUNDUP(50/VLOOKUP(Calculations[[#This Row],[Scope Element]],B4referenceServiceLife[[Tier 2 element]:[Default Service Life]],2, FALSE)-1,0),0)</f>
        <v>0</v>
      </c>
      <c r="O1244" s="322">
        <f>IFERROR((Calculations[[#This Row],[A1-3]]+Calculations[[#This Row],[A4]]+Calculations[[#This Row],[A5]]+Calculations[[#This Row],[C2 total]]+Calculations[[#This Row],[C3 total]]+Calculations[[#This Row],[C4 total]])*Calculations[[#This Row],[Replacements]],0)</f>
        <v>0</v>
      </c>
      <c r="S1244" t="str">
        <f>IFERROR(VLOOKUP(Calculations[[#This Row],[Material (choose from dropdown]],MaterialData[#All],4,FALSE),"")</f>
        <v/>
      </c>
      <c r="T1244" s="322" cm="1">
        <f t="array" ref="T1244">IFERROR(VLOOKUP(Calculations[[#This Row],[Waste 1]],WasteScenario[#All],2,FALSE)*'Stage assumptions'!$C$225*WasteTransportMethod[Emissions Factor
kgCO2e/kg.km]*Calculations[[#This Row],[Total Kg]],0)</f>
        <v>0</v>
      </c>
      <c r="U1244" s="322" cm="1">
        <f t="array" ref="U1244">IFERROR(VLOOKUP(Calculations[[#This Row],[Waste 1]],WasteScenario[#All],3,FALSE)*'Stage assumptions'!$C$224*WasteTransportMethod[Emissions Factor
kgCO2e/kg.km]*Calculations[[#This Row],[Total Kg]],0)</f>
        <v>0</v>
      </c>
      <c r="V1244" s="322" cm="1">
        <f t="array" ref="V1244">IFERROR(VLOOKUP(Calculations[[#This Row],[Waste 1]],WasteScenario[#All],4,FALSE)*'Stage assumptions'!$C$223*WasteTransportMethod[Emissions Factor
kgCO2e/kg.km]*Calculations[[#This Row],[Total Kg]],0)</f>
        <v>0</v>
      </c>
      <c r="W1244" s="322" cm="1">
        <f t="array" ref="W1244">IFERROR(VLOOKUP(Calculations[[#This Row],[Waste 1]],WasteScenario[#All],5,FALSE)*'Stage assumptions'!$C$226*WasteTransportMethod[Emissions Factor
kgCO2e/kg.km]*Calculations[[#This Row],[Total Kg]],0)</f>
        <v>0</v>
      </c>
      <c r="X1244" s="322">
        <f>SUM(Calculations[[#This Row],[C2 Recycle]:[C2 Reuse]])</f>
        <v>0</v>
      </c>
      <c r="Y1244" t="str">
        <f>IFERROR(VLOOKUP(Calculations[[#This Row],[Material (choose from dropdown]],MaterialData[#All],5,FALSE),"")</f>
        <v/>
      </c>
      <c r="Z1244" s="322">
        <f>IFERROR(((VLOOKUP(Calculations[[#This Row],[Waste type 2]],WasteDisposalEmissions[#All],2,FALSE))*Calculations[[#This Row],[Total Kg]])*VLOOKUP(Calculations[[#This Row],[Waste 1]],WasteScenario[#All],2,FALSE),0)</f>
        <v>0</v>
      </c>
      <c r="AA1244" s="322">
        <f>IFERROR((VLOOKUP(Calculations[[#This Row],[Waste type 2]],WasteDisposalEmissions[#All],3,FALSE))*Calculations[[#This Row],[Total Kg]]*VLOOKUP(Calculations[[#This Row],[Waste 1]],WasteScenario[#All],3,FALSE),0)</f>
        <v>0</v>
      </c>
      <c r="AB1244" s="322">
        <f>SUM(Calculations[[#This Row],[C3 recyc]:[C3 incin]])</f>
        <v>0</v>
      </c>
      <c r="AC1244" s="334">
        <f>IFERROR((VLOOKUP(Calculations[[#This Row],[Waste type 2]],WasteLandfillEmissions[#All],2,FALSE))*Calculations[[#This Row],[Total Kg]]*VLOOKUP(Calculations[[#This Row],[Waste 1]],WasteScenario[#All],4,FALSE),0)</f>
        <v>0</v>
      </c>
      <c r="AD1244" s="322">
        <f>IFERROR((VLOOKUP(Calculations[[#This Row],[Waste type 2]],WasteLandfillEmissions[#All],3,FALSE))*Calculations[[#This Row],[Total Kg]]*VLOOKUP(Calculations[[#This Row],[Waste 1]],WasteScenario[#All],4,FALSE),0)</f>
        <v>0</v>
      </c>
      <c r="AE1244" s="322">
        <f>SUM(Calculations[[#This Row],[C4 landfill]:[C4 re-use]])</f>
        <v>0</v>
      </c>
      <c r="AF1244" s="322">
        <f>IFERROR(VLOOKUP(Calculations[[#This Row],[Material (choose from dropdown]],MaterialData[#All],8,FALSE),0)</f>
        <v>0</v>
      </c>
      <c r="AG1244" s="322">
        <f>IFERROR(Calculations[[#This Row],[Total Kg]]*Calculations[[#This Row],[Seq factor]],0)</f>
        <v>0</v>
      </c>
      <c r="AI1244" s="322">
        <f>Calculations[[#This Row],[A1-3]]+Calculations[[#This Row],[A4]]+Calculations[[#This Row],[A5]]+Calculations[[#This Row],[B4]]+Calculations[[#This Row],[C2 total]]+Calculations[[#This Row],[C3 total]]+Calculations[[#This Row],[C4 total]]</f>
        <v>0</v>
      </c>
      <c r="AJ1244" s="2">
        <f>IFERROR(VLOOKUP(Calculations[[#This Row],[Material (choose from dropdown]],MaterialData[[#Headers],[#Data]],9,FALSE),0)</f>
        <v>0</v>
      </c>
      <c r="AK1244" s="4">
        <f>IFERROR(VLOOKUP(Calculations[[#This Row],[Material (choose from dropdown]],MaterialData[[#Headers],[#Data]],10,FALSE),0)</f>
        <v>0</v>
      </c>
      <c r="AL1244" s="322">
        <f>IFERROR(Calculations[[#This Row],[Data Quality Score]]*Calculations[[#This Row],[Total Kg]],0)</f>
        <v>0</v>
      </c>
    </row>
    <row r="1245" spans="1:38" x14ac:dyDescent="0.3">
      <c r="A1245" s="6">
        <f>IFERROR(MaterialsBoQ[[#This Row],[Scope Element]],0)</f>
        <v>0</v>
      </c>
      <c r="B1245" t="str">
        <f>IFERROR(MaterialsBoQ[[#This Row],[Material ]],"")</f>
        <v/>
      </c>
      <c r="C1245" t="str">
        <f>IFERROR(MaterialsBoQ[[#This Row],[Unit]],"")</f>
        <v/>
      </c>
      <c r="D1245" s="322">
        <f>IFERROR(MaterialsBoQ[[#This Row],[Number]],0)</f>
        <v>0</v>
      </c>
      <c r="E1245" s="322">
        <f>IFERROR(MaterialsBoQ[[#This Row],[Kg per unit]],0)</f>
        <v>0</v>
      </c>
      <c r="F1245" s="322">
        <f>IFERROR(Calculations[[#This Row],[Number]]*Calculations[[#This Row],[Conversion factor]],0)</f>
        <v>0</v>
      </c>
      <c r="G1245" s="322">
        <f>IFERROR(VLOOKUP(Calculations[[#This Row],[Material (choose from dropdown]],MaterialData[#All],7,FALSE),0)</f>
        <v>0</v>
      </c>
      <c r="H1245" s="322">
        <f>Calculations[[#This Row],[Total Kg]]*Calculations[[#This Row],[Carbon Factor]]</f>
        <v>0</v>
      </c>
      <c r="I1245" t="str">
        <f>IFERROR(VLOOKUP(Calculations[[#This Row],[Material (choose from dropdown]],MaterialData[#All],2,FALSE),"")</f>
        <v/>
      </c>
      <c r="J1245" s="322">
        <f>IFERROR(((VLOOKUP(Calculations[[#This Row],[TransportSource]],TransportDistance[],2,FALSE)*'Stage assumptions'!$C$11)+VLOOKUP(Calculations[[#This Row],[TransportSource]],TransportDistance[],3,FALSE)*'Stage assumptions'!$C$12)*Calculations[[#This Row],[Total Kg]],0)</f>
        <v>0</v>
      </c>
      <c r="K1245">
        <f>IFERROR(VLOOKUP(Calculations[[#This Row],[Material (choose from dropdown]], MaterialData[#All],3, FALSE),0)</f>
        <v>0</v>
      </c>
      <c r="L1245" s="322">
        <f>IFERROR(VLOOKUP(Calculations[[#This Row],[A5type]],A5WastageRate[#All],2,FALSE)*Calculations[[#This Row],[A1-3]],0)</f>
        <v>0</v>
      </c>
      <c r="N1245">
        <f>IFERROR(ROUNDUP(50/VLOOKUP(Calculations[[#This Row],[Scope Element]],B4referenceServiceLife[[Tier 2 element]:[Default Service Life]],2, FALSE)-1,0),0)</f>
        <v>0</v>
      </c>
      <c r="O1245" s="322">
        <f>IFERROR((Calculations[[#This Row],[A1-3]]+Calculations[[#This Row],[A4]]+Calculations[[#This Row],[A5]]+Calculations[[#This Row],[C2 total]]+Calculations[[#This Row],[C3 total]]+Calculations[[#This Row],[C4 total]])*Calculations[[#This Row],[Replacements]],0)</f>
        <v>0</v>
      </c>
      <c r="S1245" t="str">
        <f>IFERROR(VLOOKUP(Calculations[[#This Row],[Material (choose from dropdown]],MaterialData[#All],4,FALSE),"")</f>
        <v/>
      </c>
      <c r="T1245" s="322" cm="1">
        <f t="array" ref="T1245">IFERROR(VLOOKUP(Calculations[[#This Row],[Waste 1]],WasteScenario[#All],2,FALSE)*'Stage assumptions'!$C$225*WasteTransportMethod[Emissions Factor
kgCO2e/kg.km]*Calculations[[#This Row],[Total Kg]],0)</f>
        <v>0</v>
      </c>
      <c r="U1245" s="322" cm="1">
        <f t="array" ref="U1245">IFERROR(VLOOKUP(Calculations[[#This Row],[Waste 1]],WasteScenario[#All],3,FALSE)*'Stage assumptions'!$C$224*WasteTransportMethod[Emissions Factor
kgCO2e/kg.km]*Calculations[[#This Row],[Total Kg]],0)</f>
        <v>0</v>
      </c>
      <c r="V1245" s="322" cm="1">
        <f t="array" ref="V1245">IFERROR(VLOOKUP(Calculations[[#This Row],[Waste 1]],WasteScenario[#All],4,FALSE)*'Stage assumptions'!$C$223*WasteTransportMethod[Emissions Factor
kgCO2e/kg.km]*Calculations[[#This Row],[Total Kg]],0)</f>
        <v>0</v>
      </c>
      <c r="W1245" s="322" cm="1">
        <f t="array" ref="W1245">IFERROR(VLOOKUP(Calculations[[#This Row],[Waste 1]],WasteScenario[#All],5,FALSE)*'Stage assumptions'!$C$226*WasteTransportMethod[Emissions Factor
kgCO2e/kg.km]*Calculations[[#This Row],[Total Kg]],0)</f>
        <v>0</v>
      </c>
      <c r="X1245" s="322">
        <f>SUM(Calculations[[#This Row],[C2 Recycle]:[C2 Reuse]])</f>
        <v>0</v>
      </c>
      <c r="Y1245" t="str">
        <f>IFERROR(VLOOKUP(Calculations[[#This Row],[Material (choose from dropdown]],MaterialData[#All],5,FALSE),"")</f>
        <v/>
      </c>
      <c r="Z1245" s="322">
        <f>IFERROR(((VLOOKUP(Calculations[[#This Row],[Waste type 2]],WasteDisposalEmissions[#All],2,FALSE))*Calculations[[#This Row],[Total Kg]])*VLOOKUP(Calculations[[#This Row],[Waste 1]],WasteScenario[#All],2,FALSE),0)</f>
        <v>0</v>
      </c>
      <c r="AA1245" s="322">
        <f>IFERROR((VLOOKUP(Calculations[[#This Row],[Waste type 2]],WasteDisposalEmissions[#All],3,FALSE))*Calculations[[#This Row],[Total Kg]]*VLOOKUP(Calculations[[#This Row],[Waste 1]],WasteScenario[#All],3,FALSE),0)</f>
        <v>0</v>
      </c>
      <c r="AB1245" s="322">
        <f>SUM(Calculations[[#This Row],[C3 recyc]:[C3 incin]])</f>
        <v>0</v>
      </c>
      <c r="AC1245" s="334">
        <f>IFERROR((VLOOKUP(Calculations[[#This Row],[Waste type 2]],WasteLandfillEmissions[#All],2,FALSE))*Calculations[[#This Row],[Total Kg]]*VLOOKUP(Calculations[[#This Row],[Waste 1]],WasteScenario[#All],4,FALSE),0)</f>
        <v>0</v>
      </c>
      <c r="AD1245" s="322">
        <f>IFERROR((VLOOKUP(Calculations[[#This Row],[Waste type 2]],WasteLandfillEmissions[#All],3,FALSE))*Calculations[[#This Row],[Total Kg]]*VLOOKUP(Calculations[[#This Row],[Waste 1]],WasteScenario[#All],4,FALSE),0)</f>
        <v>0</v>
      </c>
      <c r="AE1245" s="322">
        <f>SUM(Calculations[[#This Row],[C4 landfill]:[C4 re-use]])</f>
        <v>0</v>
      </c>
      <c r="AF1245" s="322">
        <f>IFERROR(VLOOKUP(Calculations[[#This Row],[Material (choose from dropdown]],MaterialData[#All],8,FALSE),0)</f>
        <v>0</v>
      </c>
      <c r="AG1245" s="322">
        <f>IFERROR(Calculations[[#This Row],[Total Kg]]*Calculations[[#This Row],[Seq factor]],0)</f>
        <v>0</v>
      </c>
      <c r="AI1245" s="322">
        <f>Calculations[[#This Row],[A1-3]]+Calculations[[#This Row],[A4]]+Calculations[[#This Row],[A5]]+Calculations[[#This Row],[B4]]+Calculations[[#This Row],[C2 total]]+Calculations[[#This Row],[C3 total]]+Calculations[[#This Row],[C4 total]]</f>
        <v>0</v>
      </c>
      <c r="AJ1245" s="2">
        <f>IFERROR(VLOOKUP(Calculations[[#This Row],[Material (choose from dropdown]],MaterialData[[#Headers],[#Data]],9,FALSE),0)</f>
        <v>0</v>
      </c>
      <c r="AK1245" s="4">
        <f>IFERROR(VLOOKUP(Calculations[[#This Row],[Material (choose from dropdown]],MaterialData[[#Headers],[#Data]],10,FALSE),0)</f>
        <v>0</v>
      </c>
      <c r="AL1245" s="322">
        <f>IFERROR(Calculations[[#This Row],[Data Quality Score]]*Calculations[[#This Row],[Total Kg]],0)</f>
        <v>0</v>
      </c>
    </row>
    <row r="1246" spans="1:38" x14ac:dyDescent="0.3">
      <c r="A1246" s="6">
        <f>IFERROR(MaterialsBoQ[[#This Row],[Scope Element]],0)</f>
        <v>0</v>
      </c>
      <c r="B1246" t="str">
        <f>IFERROR(MaterialsBoQ[[#This Row],[Material ]],"")</f>
        <v/>
      </c>
      <c r="C1246" t="str">
        <f>IFERROR(MaterialsBoQ[[#This Row],[Unit]],"")</f>
        <v/>
      </c>
      <c r="D1246" s="322">
        <f>IFERROR(MaterialsBoQ[[#This Row],[Number]],0)</f>
        <v>0</v>
      </c>
      <c r="E1246" s="322">
        <f>IFERROR(MaterialsBoQ[[#This Row],[Kg per unit]],0)</f>
        <v>0</v>
      </c>
      <c r="F1246" s="322">
        <f>IFERROR(Calculations[[#This Row],[Number]]*Calculations[[#This Row],[Conversion factor]],0)</f>
        <v>0</v>
      </c>
      <c r="G1246" s="322">
        <f>IFERROR(VLOOKUP(Calculations[[#This Row],[Material (choose from dropdown]],MaterialData[#All],7,FALSE),0)</f>
        <v>0</v>
      </c>
      <c r="H1246" s="322">
        <f>Calculations[[#This Row],[Total Kg]]*Calculations[[#This Row],[Carbon Factor]]</f>
        <v>0</v>
      </c>
      <c r="I1246" t="str">
        <f>IFERROR(VLOOKUP(Calculations[[#This Row],[Material (choose from dropdown]],MaterialData[#All],2,FALSE),"")</f>
        <v/>
      </c>
      <c r="J1246" s="322">
        <f>IFERROR(((VLOOKUP(Calculations[[#This Row],[TransportSource]],TransportDistance[],2,FALSE)*'Stage assumptions'!$C$11)+VLOOKUP(Calculations[[#This Row],[TransportSource]],TransportDistance[],3,FALSE)*'Stage assumptions'!$C$12)*Calculations[[#This Row],[Total Kg]],0)</f>
        <v>0</v>
      </c>
      <c r="K1246">
        <f>IFERROR(VLOOKUP(Calculations[[#This Row],[Material (choose from dropdown]], MaterialData[#All],3, FALSE),0)</f>
        <v>0</v>
      </c>
      <c r="L1246" s="322">
        <f>IFERROR(VLOOKUP(Calculations[[#This Row],[A5type]],A5WastageRate[#All],2,FALSE)*Calculations[[#This Row],[A1-3]],0)</f>
        <v>0</v>
      </c>
      <c r="N1246">
        <f>IFERROR(ROUNDUP(50/VLOOKUP(Calculations[[#This Row],[Scope Element]],B4referenceServiceLife[[Tier 2 element]:[Default Service Life]],2, FALSE)-1,0),0)</f>
        <v>0</v>
      </c>
      <c r="O1246" s="322">
        <f>IFERROR((Calculations[[#This Row],[A1-3]]+Calculations[[#This Row],[A4]]+Calculations[[#This Row],[A5]]+Calculations[[#This Row],[C2 total]]+Calculations[[#This Row],[C3 total]]+Calculations[[#This Row],[C4 total]])*Calculations[[#This Row],[Replacements]],0)</f>
        <v>0</v>
      </c>
      <c r="S1246" t="str">
        <f>IFERROR(VLOOKUP(Calculations[[#This Row],[Material (choose from dropdown]],MaterialData[#All],4,FALSE),"")</f>
        <v/>
      </c>
      <c r="T1246" s="322" cm="1">
        <f t="array" ref="T1246">IFERROR(VLOOKUP(Calculations[[#This Row],[Waste 1]],WasteScenario[#All],2,FALSE)*'Stage assumptions'!$C$225*WasteTransportMethod[Emissions Factor
kgCO2e/kg.km]*Calculations[[#This Row],[Total Kg]],0)</f>
        <v>0</v>
      </c>
      <c r="U1246" s="322" cm="1">
        <f t="array" ref="U1246">IFERROR(VLOOKUP(Calculations[[#This Row],[Waste 1]],WasteScenario[#All],3,FALSE)*'Stage assumptions'!$C$224*WasteTransportMethod[Emissions Factor
kgCO2e/kg.km]*Calculations[[#This Row],[Total Kg]],0)</f>
        <v>0</v>
      </c>
      <c r="V1246" s="322" cm="1">
        <f t="array" ref="V1246">IFERROR(VLOOKUP(Calculations[[#This Row],[Waste 1]],WasteScenario[#All],4,FALSE)*'Stage assumptions'!$C$223*WasteTransportMethod[Emissions Factor
kgCO2e/kg.km]*Calculations[[#This Row],[Total Kg]],0)</f>
        <v>0</v>
      </c>
      <c r="W1246" s="322" cm="1">
        <f t="array" ref="W1246">IFERROR(VLOOKUP(Calculations[[#This Row],[Waste 1]],WasteScenario[#All],5,FALSE)*'Stage assumptions'!$C$226*WasteTransportMethod[Emissions Factor
kgCO2e/kg.km]*Calculations[[#This Row],[Total Kg]],0)</f>
        <v>0</v>
      </c>
      <c r="X1246" s="322">
        <f>SUM(Calculations[[#This Row],[C2 Recycle]:[C2 Reuse]])</f>
        <v>0</v>
      </c>
      <c r="Y1246" t="str">
        <f>IFERROR(VLOOKUP(Calculations[[#This Row],[Material (choose from dropdown]],MaterialData[#All],5,FALSE),"")</f>
        <v/>
      </c>
      <c r="Z1246" s="322">
        <f>IFERROR(((VLOOKUP(Calculations[[#This Row],[Waste type 2]],WasteDisposalEmissions[#All],2,FALSE))*Calculations[[#This Row],[Total Kg]])*VLOOKUP(Calculations[[#This Row],[Waste 1]],WasteScenario[#All],2,FALSE),0)</f>
        <v>0</v>
      </c>
      <c r="AA1246" s="322">
        <f>IFERROR((VLOOKUP(Calculations[[#This Row],[Waste type 2]],WasteDisposalEmissions[#All],3,FALSE))*Calculations[[#This Row],[Total Kg]]*VLOOKUP(Calculations[[#This Row],[Waste 1]],WasteScenario[#All],3,FALSE),0)</f>
        <v>0</v>
      </c>
      <c r="AB1246" s="322">
        <f>SUM(Calculations[[#This Row],[C3 recyc]:[C3 incin]])</f>
        <v>0</v>
      </c>
      <c r="AC1246" s="334">
        <f>IFERROR((VLOOKUP(Calculations[[#This Row],[Waste type 2]],WasteLandfillEmissions[#All],2,FALSE))*Calculations[[#This Row],[Total Kg]]*VLOOKUP(Calculations[[#This Row],[Waste 1]],WasteScenario[#All],4,FALSE),0)</f>
        <v>0</v>
      </c>
      <c r="AD1246" s="322">
        <f>IFERROR((VLOOKUP(Calculations[[#This Row],[Waste type 2]],WasteLandfillEmissions[#All],3,FALSE))*Calculations[[#This Row],[Total Kg]]*VLOOKUP(Calculations[[#This Row],[Waste 1]],WasteScenario[#All],4,FALSE),0)</f>
        <v>0</v>
      </c>
      <c r="AE1246" s="322">
        <f>SUM(Calculations[[#This Row],[C4 landfill]:[C4 re-use]])</f>
        <v>0</v>
      </c>
      <c r="AF1246" s="322">
        <f>IFERROR(VLOOKUP(Calculations[[#This Row],[Material (choose from dropdown]],MaterialData[#All],8,FALSE),0)</f>
        <v>0</v>
      </c>
      <c r="AG1246" s="322">
        <f>IFERROR(Calculations[[#This Row],[Total Kg]]*Calculations[[#This Row],[Seq factor]],0)</f>
        <v>0</v>
      </c>
      <c r="AI1246" s="322">
        <f>Calculations[[#This Row],[A1-3]]+Calculations[[#This Row],[A4]]+Calculations[[#This Row],[A5]]+Calculations[[#This Row],[B4]]+Calculations[[#This Row],[C2 total]]+Calculations[[#This Row],[C3 total]]+Calculations[[#This Row],[C4 total]]</f>
        <v>0</v>
      </c>
      <c r="AJ1246" s="2">
        <f>IFERROR(VLOOKUP(Calculations[[#This Row],[Material (choose from dropdown]],MaterialData[[#Headers],[#Data]],9,FALSE),0)</f>
        <v>0</v>
      </c>
      <c r="AK1246" s="4">
        <f>IFERROR(VLOOKUP(Calculations[[#This Row],[Material (choose from dropdown]],MaterialData[[#Headers],[#Data]],10,FALSE),0)</f>
        <v>0</v>
      </c>
      <c r="AL1246" s="322">
        <f>IFERROR(Calculations[[#This Row],[Data Quality Score]]*Calculations[[#This Row],[Total Kg]],0)</f>
        <v>0</v>
      </c>
    </row>
    <row r="1247" spans="1:38" x14ac:dyDescent="0.3">
      <c r="A1247" s="6">
        <f>IFERROR(MaterialsBoQ[[#This Row],[Scope Element]],0)</f>
        <v>0</v>
      </c>
      <c r="B1247" t="str">
        <f>IFERROR(MaterialsBoQ[[#This Row],[Material ]],"")</f>
        <v/>
      </c>
      <c r="C1247" t="str">
        <f>IFERROR(MaterialsBoQ[[#This Row],[Unit]],"")</f>
        <v/>
      </c>
      <c r="D1247" s="322">
        <f>IFERROR(MaterialsBoQ[[#This Row],[Number]],0)</f>
        <v>0</v>
      </c>
      <c r="E1247" s="322">
        <f>IFERROR(MaterialsBoQ[[#This Row],[Kg per unit]],0)</f>
        <v>0</v>
      </c>
      <c r="F1247" s="322">
        <f>IFERROR(Calculations[[#This Row],[Number]]*Calculations[[#This Row],[Conversion factor]],0)</f>
        <v>0</v>
      </c>
      <c r="G1247" s="322">
        <f>IFERROR(VLOOKUP(Calculations[[#This Row],[Material (choose from dropdown]],MaterialData[#All],7,FALSE),0)</f>
        <v>0</v>
      </c>
      <c r="H1247" s="322">
        <f>Calculations[[#This Row],[Total Kg]]*Calculations[[#This Row],[Carbon Factor]]</f>
        <v>0</v>
      </c>
      <c r="I1247" t="str">
        <f>IFERROR(VLOOKUP(Calculations[[#This Row],[Material (choose from dropdown]],MaterialData[#All],2,FALSE),"")</f>
        <v/>
      </c>
      <c r="J1247" s="322">
        <f>IFERROR(((VLOOKUP(Calculations[[#This Row],[TransportSource]],TransportDistance[],2,FALSE)*'Stage assumptions'!$C$11)+VLOOKUP(Calculations[[#This Row],[TransportSource]],TransportDistance[],3,FALSE)*'Stage assumptions'!$C$12)*Calculations[[#This Row],[Total Kg]],0)</f>
        <v>0</v>
      </c>
      <c r="K1247">
        <f>IFERROR(VLOOKUP(Calculations[[#This Row],[Material (choose from dropdown]], MaterialData[#All],3, FALSE),0)</f>
        <v>0</v>
      </c>
      <c r="L1247" s="322">
        <f>IFERROR(VLOOKUP(Calculations[[#This Row],[A5type]],A5WastageRate[#All],2,FALSE)*Calculations[[#This Row],[A1-3]],0)</f>
        <v>0</v>
      </c>
      <c r="N1247">
        <f>IFERROR(ROUNDUP(50/VLOOKUP(Calculations[[#This Row],[Scope Element]],B4referenceServiceLife[[Tier 2 element]:[Default Service Life]],2, FALSE)-1,0),0)</f>
        <v>0</v>
      </c>
      <c r="O1247" s="322">
        <f>IFERROR((Calculations[[#This Row],[A1-3]]+Calculations[[#This Row],[A4]]+Calculations[[#This Row],[A5]]+Calculations[[#This Row],[C2 total]]+Calculations[[#This Row],[C3 total]]+Calculations[[#This Row],[C4 total]])*Calculations[[#This Row],[Replacements]],0)</f>
        <v>0</v>
      </c>
      <c r="S1247" t="str">
        <f>IFERROR(VLOOKUP(Calculations[[#This Row],[Material (choose from dropdown]],MaterialData[#All],4,FALSE),"")</f>
        <v/>
      </c>
      <c r="T1247" s="322" cm="1">
        <f t="array" ref="T1247">IFERROR(VLOOKUP(Calculations[[#This Row],[Waste 1]],WasteScenario[#All],2,FALSE)*'Stage assumptions'!$C$225*WasteTransportMethod[Emissions Factor
kgCO2e/kg.km]*Calculations[[#This Row],[Total Kg]],0)</f>
        <v>0</v>
      </c>
      <c r="U1247" s="322" cm="1">
        <f t="array" ref="U1247">IFERROR(VLOOKUP(Calculations[[#This Row],[Waste 1]],WasteScenario[#All],3,FALSE)*'Stage assumptions'!$C$224*WasteTransportMethod[Emissions Factor
kgCO2e/kg.km]*Calculations[[#This Row],[Total Kg]],0)</f>
        <v>0</v>
      </c>
      <c r="V1247" s="322" cm="1">
        <f t="array" ref="V1247">IFERROR(VLOOKUP(Calculations[[#This Row],[Waste 1]],WasteScenario[#All],4,FALSE)*'Stage assumptions'!$C$223*WasteTransportMethod[Emissions Factor
kgCO2e/kg.km]*Calculations[[#This Row],[Total Kg]],0)</f>
        <v>0</v>
      </c>
      <c r="W1247" s="322" cm="1">
        <f t="array" ref="W1247">IFERROR(VLOOKUP(Calculations[[#This Row],[Waste 1]],WasteScenario[#All],5,FALSE)*'Stage assumptions'!$C$226*WasteTransportMethod[Emissions Factor
kgCO2e/kg.km]*Calculations[[#This Row],[Total Kg]],0)</f>
        <v>0</v>
      </c>
      <c r="X1247" s="322">
        <f>SUM(Calculations[[#This Row],[C2 Recycle]:[C2 Reuse]])</f>
        <v>0</v>
      </c>
      <c r="Y1247" t="str">
        <f>IFERROR(VLOOKUP(Calculations[[#This Row],[Material (choose from dropdown]],MaterialData[#All],5,FALSE),"")</f>
        <v/>
      </c>
      <c r="Z1247" s="322">
        <f>IFERROR(((VLOOKUP(Calculations[[#This Row],[Waste type 2]],WasteDisposalEmissions[#All],2,FALSE))*Calculations[[#This Row],[Total Kg]])*VLOOKUP(Calculations[[#This Row],[Waste 1]],WasteScenario[#All],2,FALSE),0)</f>
        <v>0</v>
      </c>
      <c r="AA1247" s="322">
        <f>IFERROR((VLOOKUP(Calculations[[#This Row],[Waste type 2]],WasteDisposalEmissions[#All],3,FALSE))*Calculations[[#This Row],[Total Kg]]*VLOOKUP(Calculations[[#This Row],[Waste 1]],WasteScenario[#All],3,FALSE),0)</f>
        <v>0</v>
      </c>
      <c r="AB1247" s="322">
        <f>SUM(Calculations[[#This Row],[C3 recyc]:[C3 incin]])</f>
        <v>0</v>
      </c>
      <c r="AC1247" s="334">
        <f>IFERROR((VLOOKUP(Calculations[[#This Row],[Waste type 2]],WasteLandfillEmissions[#All],2,FALSE))*Calculations[[#This Row],[Total Kg]]*VLOOKUP(Calculations[[#This Row],[Waste 1]],WasteScenario[#All],4,FALSE),0)</f>
        <v>0</v>
      </c>
      <c r="AD1247" s="322">
        <f>IFERROR((VLOOKUP(Calculations[[#This Row],[Waste type 2]],WasteLandfillEmissions[#All],3,FALSE))*Calculations[[#This Row],[Total Kg]]*VLOOKUP(Calculations[[#This Row],[Waste 1]],WasteScenario[#All],4,FALSE),0)</f>
        <v>0</v>
      </c>
      <c r="AE1247" s="322">
        <f>SUM(Calculations[[#This Row],[C4 landfill]:[C4 re-use]])</f>
        <v>0</v>
      </c>
      <c r="AF1247" s="322">
        <f>IFERROR(VLOOKUP(Calculations[[#This Row],[Material (choose from dropdown]],MaterialData[#All],8,FALSE),0)</f>
        <v>0</v>
      </c>
      <c r="AG1247" s="322">
        <f>IFERROR(Calculations[[#This Row],[Total Kg]]*Calculations[[#This Row],[Seq factor]],0)</f>
        <v>0</v>
      </c>
      <c r="AI1247" s="322">
        <f>Calculations[[#This Row],[A1-3]]+Calculations[[#This Row],[A4]]+Calculations[[#This Row],[A5]]+Calculations[[#This Row],[B4]]+Calculations[[#This Row],[C2 total]]+Calculations[[#This Row],[C3 total]]+Calculations[[#This Row],[C4 total]]</f>
        <v>0</v>
      </c>
      <c r="AJ1247" s="2">
        <f>IFERROR(VLOOKUP(Calculations[[#This Row],[Material (choose from dropdown]],MaterialData[[#Headers],[#Data]],9,FALSE),0)</f>
        <v>0</v>
      </c>
      <c r="AK1247" s="4">
        <f>IFERROR(VLOOKUP(Calculations[[#This Row],[Material (choose from dropdown]],MaterialData[[#Headers],[#Data]],10,FALSE),0)</f>
        <v>0</v>
      </c>
      <c r="AL1247" s="322">
        <f>IFERROR(Calculations[[#This Row],[Data Quality Score]]*Calculations[[#This Row],[Total Kg]],0)</f>
        <v>0</v>
      </c>
    </row>
    <row r="1248" spans="1:38" x14ac:dyDescent="0.3">
      <c r="A1248" s="6">
        <f>IFERROR(MaterialsBoQ[[#This Row],[Scope Element]],0)</f>
        <v>0</v>
      </c>
      <c r="B1248" t="str">
        <f>IFERROR(MaterialsBoQ[[#This Row],[Material ]],"")</f>
        <v/>
      </c>
      <c r="C1248" t="str">
        <f>IFERROR(MaterialsBoQ[[#This Row],[Unit]],"")</f>
        <v/>
      </c>
      <c r="D1248" s="322">
        <f>IFERROR(MaterialsBoQ[[#This Row],[Number]],0)</f>
        <v>0</v>
      </c>
      <c r="E1248" s="322">
        <f>IFERROR(MaterialsBoQ[[#This Row],[Kg per unit]],0)</f>
        <v>0</v>
      </c>
      <c r="F1248" s="322">
        <f>IFERROR(Calculations[[#This Row],[Number]]*Calculations[[#This Row],[Conversion factor]],0)</f>
        <v>0</v>
      </c>
      <c r="G1248" s="322">
        <f>IFERROR(VLOOKUP(Calculations[[#This Row],[Material (choose from dropdown]],MaterialData[#All],7,FALSE),0)</f>
        <v>0</v>
      </c>
      <c r="H1248" s="322">
        <f>Calculations[[#This Row],[Total Kg]]*Calculations[[#This Row],[Carbon Factor]]</f>
        <v>0</v>
      </c>
      <c r="I1248" t="str">
        <f>IFERROR(VLOOKUP(Calculations[[#This Row],[Material (choose from dropdown]],MaterialData[#All],2,FALSE),"")</f>
        <v/>
      </c>
      <c r="J1248" s="322">
        <f>IFERROR(((VLOOKUP(Calculations[[#This Row],[TransportSource]],TransportDistance[],2,FALSE)*'Stage assumptions'!$C$11)+VLOOKUP(Calculations[[#This Row],[TransportSource]],TransportDistance[],3,FALSE)*'Stage assumptions'!$C$12)*Calculations[[#This Row],[Total Kg]],0)</f>
        <v>0</v>
      </c>
      <c r="K1248">
        <f>IFERROR(VLOOKUP(Calculations[[#This Row],[Material (choose from dropdown]], MaterialData[#All],3, FALSE),0)</f>
        <v>0</v>
      </c>
      <c r="L1248" s="322">
        <f>IFERROR(VLOOKUP(Calculations[[#This Row],[A5type]],A5WastageRate[#All],2,FALSE)*Calculations[[#This Row],[A1-3]],0)</f>
        <v>0</v>
      </c>
      <c r="N1248">
        <f>IFERROR(ROUNDUP(50/VLOOKUP(Calculations[[#This Row],[Scope Element]],B4referenceServiceLife[[Tier 2 element]:[Default Service Life]],2, FALSE)-1,0),0)</f>
        <v>0</v>
      </c>
      <c r="O1248" s="322">
        <f>IFERROR((Calculations[[#This Row],[A1-3]]+Calculations[[#This Row],[A4]]+Calculations[[#This Row],[A5]]+Calculations[[#This Row],[C2 total]]+Calculations[[#This Row],[C3 total]]+Calculations[[#This Row],[C4 total]])*Calculations[[#This Row],[Replacements]],0)</f>
        <v>0</v>
      </c>
      <c r="S1248" t="str">
        <f>IFERROR(VLOOKUP(Calculations[[#This Row],[Material (choose from dropdown]],MaterialData[#All],4,FALSE),"")</f>
        <v/>
      </c>
      <c r="T1248" s="322" cm="1">
        <f t="array" ref="T1248">IFERROR(VLOOKUP(Calculations[[#This Row],[Waste 1]],WasteScenario[#All],2,FALSE)*'Stage assumptions'!$C$225*WasteTransportMethod[Emissions Factor
kgCO2e/kg.km]*Calculations[[#This Row],[Total Kg]],0)</f>
        <v>0</v>
      </c>
      <c r="U1248" s="322" cm="1">
        <f t="array" ref="U1248">IFERROR(VLOOKUP(Calculations[[#This Row],[Waste 1]],WasteScenario[#All],3,FALSE)*'Stage assumptions'!$C$224*WasteTransportMethod[Emissions Factor
kgCO2e/kg.km]*Calculations[[#This Row],[Total Kg]],0)</f>
        <v>0</v>
      </c>
      <c r="V1248" s="322" cm="1">
        <f t="array" ref="V1248">IFERROR(VLOOKUP(Calculations[[#This Row],[Waste 1]],WasteScenario[#All],4,FALSE)*'Stage assumptions'!$C$223*WasteTransportMethod[Emissions Factor
kgCO2e/kg.km]*Calculations[[#This Row],[Total Kg]],0)</f>
        <v>0</v>
      </c>
      <c r="W1248" s="322" cm="1">
        <f t="array" ref="W1248">IFERROR(VLOOKUP(Calculations[[#This Row],[Waste 1]],WasteScenario[#All],5,FALSE)*'Stage assumptions'!$C$226*WasteTransportMethod[Emissions Factor
kgCO2e/kg.km]*Calculations[[#This Row],[Total Kg]],0)</f>
        <v>0</v>
      </c>
      <c r="X1248" s="322">
        <f>SUM(Calculations[[#This Row],[C2 Recycle]:[C2 Reuse]])</f>
        <v>0</v>
      </c>
      <c r="Y1248" t="str">
        <f>IFERROR(VLOOKUP(Calculations[[#This Row],[Material (choose from dropdown]],MaterialData[#All],5,FALSE),"")</f>
        <v/>
      </c>
      <c r="Z1248" s="322">
        <f>IFERROR(((VLOOKUP(Calculations[[#This Row],[Waste type 2]],WasteDisposalEmissions[#All],2,FALSE))*Calculations[[#This Row],[Total Kg]])*VLOOKUP(Calculations[[#This Row],[Waste 1]],WasteScenario[#All],2,FALSE),0)</f>
        <v>0</v>
      </c>
      <c r="AA1248" s="322">
        <f>IFERROR((VLOOKUP(Calculations[[#This Row],[Waste type 2]],WasteDisposalEmissions[#All],3,FALSE))*Calculations[[#This Row],[Total Kg]]*VLOOKUP(Calculations[[#This Row],[Waste 1]],WasteScenario[#All],3,FALSE),0)</f>
        <v>0</v>
      </c>
      <c r="AB1248" s="322">
        <f>SUM(Calculations[[#This Row],[C3 recyc]:[C3 incin]])</f>
        <v>0</v>
      </c>
      <c r="AC1248" s="334">
        <f>IFERROR((VLOOKUP(Calculations[[#This Row],[Waste type 2]],WasteLandfillEmissions[#All],2,FALSE))*Calculations[[#This Row],[Total Kg]]*VLOOKUP(Calculations[[#This Row],[Waste 1]],WasteScenario[#All],4,FALSE),0)</f>
        <v>0</v>
      </c>
      <c r="AD1248" s="322">
        <f>IFERROR((VLOOKUP(Calculations[[#This Row],[Waste type 2]],WasteLandfillEmissions[#All],3,FALSE))*Calculations[[#This Row],[Total Kg]]*VLOOKUP(Calculations[[#This Row],[Waste 1]],WasteScenario[#All],4,FALSE),0)</f>
        <v>0</v>
      </c>
      <c r="AE1248" s="322">
        <f>SUM(Calculations[[#This Row],[C4 landfill]:[C4 re-use]])</f>
        <v>0</v>
      </c>
      <c r="AF1248" s="322">
        <f>IFERROR(VLOOKUP(Calculations[[#This Row],[Material (choose from dropdown]],MaterialData[#All],8,FALSE),0)</f>
        <v>0</v>
      </c>
      <c r="AG1248" s="322">
        <f>IFERROR(Calculations[[#This Row],[Total Kg]]*Calculations[[#This Row],[Seq factor]],0)</f>
        <v>0</v>
      </c>
      <c r="AI1248" s="322">
        <f>Calculations[[#This Row],[A1-3]]+Calculations[[#This Row],[A4]]+Calculations[[#This Row],[A5]]+Calculations[[#This Row],[B4]]+Calculations[[#This Row],[C2 total]]+Calculations[[#This Row],[C3 total]]+Calculations[[#This Row],[C4 total]]</f>
        <v>0</v>
      </c>
      <c r="AJ1248" s="2">
        <f>IFERROR(VLOOKUP(Calculations[[#This Row],[Material (choose from dropdown]],MaterialData[[#Headers],[#Data]],9,FALSE),0)</f>
        <v>0</v>
      </c>
      <c r="AK1248" s="4">
        <f>IFERROR(VLOOKUP(Calculations[[#This Row],[Material (choose from dropdown]],MaterialData[[#Headers],[#Data]],10,FALSE),0)</f>
        <v>0</v>
      </c>
      <c r="AL1248" s="322">
        <f>IFERROR(Calculations[[#This Row],[Data Quality Score]]*Calculations[[#This Row],[Total Kg]],0)</f>
        <v>0</v>
      </c>
    </row>
    <row r="1249" spans="1:38" x14ac:dyDescent="0.3">
      <c r="A1249" s="6">
        <f>IFERROR(MaterialsBoQ[[#This Row],[Scope Element]],0)</f>
        <v>0</v>
      </c>
      <c r="B1249" t="str">
        <f>IFERROR(MaterialsBoQ[[#This Row],[Material ]],"")</f>
        <v/>
      </c>
      <c r="C1249" t="str">
        <f>IFERROR(MaterialsBoQ[[#This Row],[Unit]],"")</f>
        <v/>
      </c>
      <c r="D1249" s="322">
        <f>IFERROR(MaterialsBoQ[[#This Row],[Number]],0)</f>
        <v>0</v>
      </c>
      <c r="E1249" s="322">
        <f>IFERROR(MaterialsBoQ[[#This Row],[Kg per unit]],0)</f>
        <v>0</v>
      </c>
      <c r="F1249" s="322">
        <f>IFERROR(Calculations[[#This Row],[Number]]*Calculations[[#This Row],[Conversion factor]],0)</f>
        <v>0</v>
      </c>
      <c r="G1249" s="322">
        <f>IFERROR(VLOOKUP(Calculations[[#This Row],[Material (choose from dropdown]],MaterialData[#All],7,FALSE),0)</f>
        <v>0</v>
      </c>
      <c r="H1249" s="322">
        <f>Calculations[[#This Row],[Total Kg]]*Calculations[[#This Row],[Carbon Factor]]</f>
        <v>0</v>
      </c>
      <c r="I1249" t="str">
        <f>IFERROR(VLOOKUP(Calculations[[#This Row],[Material (choose from dropdown]],MaterialData[#All],2,FALSE),"")</f>
        <v/>
      </c>
      <c r="J1249" s="322">
        <f>IFERROR(((VLOOKUP(Calculations[[#This Row],[TransportSource]],TransportDistance[],2,FALSE)*'Stage assumptions'!$C$11)+VLOOKUP(Calculations[[#This Row],[TransportSource]],TransportDistance[],3,FALSE)*'Stage assumptions'!$C$12)*Calculations[[#This Row],[Total Kg]],0)</f>
        <v>0</v>
      </c>
      <c r="K1249">
        <f>IFERROR(VLOOKUP(Calculations[[#This Row],[Material (choose from dropdown]], MaterialData[#All],3, FALSE),0)</f>
        <v>0</v>
      </c>
      <c r="L1249" s="322">
        <f>IFERROR(VLOOKUP(Calculations[[#This Row],[A5type]],A5WastageRate[#All],2,FALSE)*Calculations[[#This Row],[A1-3]],0)</f>
        <v>0</v>
      </c>
      <c r="N1249">
        <f>IFERROR(ROUNDUP(50/VLOOKUP(Calculations[[#This Row],[Scope Element]],B4referenceServiceLife[[Tier 2 element]:[Default Service Life]],2, FALSE)-1,0),0)</f>
        <v>0</v>
      </c>
      <c r="O1249" s="322">
        <f>IFERROR((Calculations[[#This Row],[A1-3]]+Calculations[[#This Row],[A4]]+Calculations[[#This Row],[A5]]+Calculations[[#This Row],[C2 total]]+Calculations[[#This Row],[C3 total]]+Calculations[[#This Row],[C4 total]])*Calculations[[#This Row],[Replacements]],0)</f>
        <v>0</v>
      </c>
      <c r="S1249" t="str">
        <f>IFERROR(VLOOKUP(Calculations[[#This Row],[Material (choose from dropdown]],MaterialData[#All],4,FALSE),"")</f>
        <v/>
      </c>
      <c r="T1249" s="322" cm="1">
        <f t="array" ref="T1249">IFERROR(VLOOKUP(Calculations[[#This Row],[Waste 1]],WasteScenario[#All],2,FALSE)*'Stage assumptions'!$C$225*WasteTransportMethod[Emissions Factor
kgCO2e/kg.km]*Calculations[[#This Row],[Total Kg]],0)</f>
        <v>0</v>
      </c>
      <c r="U1249" s="322" cm="1">
        <f t="array" ref="U1249">IFERROR(VLOOKUP(Calculations[[#This Row],[Waste 1]],WasteScenario[#All],3,FALSE)*'Stage assumptions'!$C$224*WasteTransportMethod[Emissions Factor
kgCO2e/kg.km]*Calculations[[#This Row],[Total Kg]],0)</f>
        <v>0</v>
      </c>
      <c r="V1249" s="322" cm="1">
        <f t="array" ref="V1249">IFERROR(VLOOKUP(Calculations[[#This Row],[Waste 1]],WasteScenario[#All],4,FALSE)*'Stage assumptions'!$C$223*WasteTransportMethod[Emissions Factor
kgCO2e/kg.km]*Calculations[[#This Row],[Total Kg]],0)</f>
        <v>0</v>
      </c>
      <c r="W1249" s="322" cm="1">
        <f t="array" ref="W1249">IFERROR(VLOOKUP(Calculations[[#This Row],[Waste 1]],WasteScenario[#All],5,FALSE)*'Stage assumptions'!$C$226*WasteTransportMethod[Emissions Factor
kgCO2e/kg.km]*Calculations[[#This Row],[Total Kg]],0)</f>
        <v>0</v>
      </c>
      <c r="X1249" s="322">
        <f>SUM(Calculations[[#This Row],[C2 Recycle]:[C2 Reuse]])</f>
        <v>0</v>
      </c>
      <c r="Y1249" t="str">
        <f>IFERROR(VLOOKUP(Calculations[[#This Row],[Material (choose from dropdown]],MaterialData[#All],5,FALSE),"")</f>
        <v/>
      </c>
      <c r="Z1249" s="322">
        <f>IFERROR(((VLOOKUP(Calculations[[#This Row],[Waste type 2]],WasteDisposalEmissions[#All],2,FALSE))*Calculations[[#This Row],[Total Kg]])*VLOOKUP(Calculations[[#This Row],[Waste 1]],WasteScenario[#All],2,FALSE),0)</f>
        <v>0</v>
      </c>
      <c r="AA1249" s="322">
        <f>IFERROR((VLOOKUP(Calculations[[#This Row],[Waste type 2]],WasteDisposalEmissions[#All],3,FALSE))*Calculations[[#This Row],[Total Kg]]*VLOOKUP(Calculations[[#This Row],[Waste 1]],WasteScenario[#All],3,FALSE),0)</f>
        <v>0</v>
      </c>
      <c r="AB1249" s="322">
        <f>SUM(Calculations[[#This Row],[C3 recyc]:[C3 incin]])</f>
        <v>0</v>
      </c>
      <c r="AC1249" s="334">
        <f>IFERROR((VLOOKUP(Calculations[[#This Row],[Waste type 2]],WasteLandfillEmissions[#All],2,FALSE))*Calculations[[#This Row],[Total Kg]]*VLOOKUP(Calculations[[#This Row],[Waste 1]],WasteScenario[#All],4,FALSE),0)</f>
        <v>0</v>
      </c>
      <c r="AD1249" s="322">
        <f>IFERROR((VLOOKUP(Calculations[[#This Row],[Waste type 2]],WasteLandfillEmissions[#All],3,FALSE))*Calculations[[#This Row],[Total Kg]]*VLOOKUP(Calculations[[#This Row],[Waste 1]],WasteScenario[#All],4,FALSE),0)</f>
        <v>0</v>
      </c>
      <c r="AE1249" s="322">
        <f>SUM(Calculations[[#This Row],[C4 landfill]:[C4 re-use]])</f>
        <v>0</v>
      </c>
      <c r="AF1249" s="322">
        <f>IFERROR(VLOOKUP(Calculations[[#This Row],[Material (choose from dropdown]],MaterialData[#All],8,FALSE),0)</f>
        <v>0</v>
      </c>
      <c r="AG1249" s="322">
        <f>IFERROR(Calculations[[#This Row],[Total Kg]]*Calculations[[#This Row],[Seq factor]],0)</f>
        <v>0</v>
      </c>
      <c r="AI1249" s="322">
        <f>Calculations[[#This Row],[A1-3]]+Calculations[[#This Row],[A4]]+Calculations[[#This Row],[A5]]+Calculations[[#This Row],[B4]]+Calculations[[#This Row],[C2 total]]+Calculations[[#This Row],[C3 total]]+Calculations[[#This Row],[C4 total]]</f>
        <v>0</v>
      </c>
      <c r="AJ1249" s="2">
        <f>IFERROR(VLOOKUP(Calculations[[#This Row],[Material (choose from dropdown]],MaterialData[[#Headers],[#Data]],9,FALSE),0)</f>
        <v>0</v>
      </c>
      <c r="AK1249" s="4">
        <f>IFERROR(VLOOKUP(Calculations[[#This Row],[Material (choose from dropdown]],MaterialData[[#Headers],[#Data]],10,FALSE),0)</f>
        <v>0</v>
      </c>
      <c r="AL1249" s="322">
        <f>IFERROR(Calculations[[#This Row],[Data Quality Score]]*Calculations[[#This Row],[Total Kg]],0)</f>
        <v>0</v>
      </c>
    </row>
    <row r="1250" spans="1:38" x14ac:dyDescent="0.3">
      <c r="A1250" s="6">
        <f>IFERROR(MaterialsBoQ[[#This Row],[Scope Element]],0)</f>
        <v>0</v>
      </c>
      <c r="B1250" t="str">
        <f>IFERROR(MaterialsBoQ[[#This Row],[Material ]],"")</f>
        <v/>
      </c>
      <c r="C1250" t="str">
        <f>IFERROR(MaterialsBoQ[[#This Row],[Unit]],"")</f>
        <v/>
      </c>
      <c r="D1250" s="322">
        <f>IFERROR(MaterialsBoQ[[#This Row],[Number]],0)</f>
        <v>0</v>
      </c>
      <c r="E1250" s="322">
        <f>IFERROR(MaterialsBoQ[[#This Row],[Kg per unit]],0)</f>
        <v>0</v>
      </c>
      <c r="F1250" s="322">
        <f>IFERROR(Calculations[[#This Row],[Number]]*Calculations[[#This Row],[Conversion factor]],0)</f>
        <v>0</v>
      </c>
      <c r="G1250" s="322">
        <f>IFERROR(VLOOKUP(Calculations[[#This Row],[Material (choose from dropdown]],MaterialData[#All],7,FALSE),0)</f>
        <v>0</v>
      </c>
      <c r="H1250" s="322">
        <f>Calculations[[#This Row],[Total Kg]]*Calculations[[#This Row],[Carbon Factor]]</f>
        <v>0</v>
      </c>
      <c r="I1250" t="str">
        <f>IFERROR(VLOOKUP(Calculations[[#This Row],[Material (choose from dropdown]],MaterialData[#All],2,FALSE),"")</f>
        <v/>
      </c>
      <c r="J1250" s="322">
        <f>IFERROR(((VLOOKUP(Calculations[[#This Row],[TransportSource]],TransportDistance[],2,FALSE)*'Stage assumptions'!$C$11)+VLOOKUP(Calculations[[#This Row],[TransportSource]],TransportDistance[],3,FALSE)*'Stage assumptions'!$C$12)*Calculations[[#This Row],[Total Kg]],0)</f>
        <v>0</v>
      </c>
      <c r="K1250">
        <f>IFERROR(VLOOKUP(Calculations[[#This Row],[Material (choose from dropdown]], MaterialData[#All],3, FALSE),0)</f>
        <v>0</v>
      </c>
      <c r="L1250" s="322">
        <f>IFERROR(VLOOKUP(Calculations[[#This Row],[A5type]],A5WastageRate[#All],2,FALSE)*Calculations[[#This Row],[A1-3]],0)</f>
        <v>0</v>
      </c>
      <c r="N1250">
        <f>IFERROR(ROUNDUP(50/VLOOKUP(Calculations[[#This Row],[Scope Element]],B4referenceServiceLife[[Tier 2 element]:[Default Service Life]],2, FALSE)-1,0),0)</f>
        <v>0</v>
      </c>
      <c r="O1250" s="322">
        <f>IFERROR((Calculations[[#This Row],[A1-3]]+Calculations[[#This Row],[A4]]+Calculations[[#This Row],[A5]]+Calculations[[#This Row],[C2 total]]+Calculations[[#This Row],[C3 total]]+Calculations[[#This Row],[C4 total]])*Calculations[[#This Row],[Replacements]],0)</f>
        <v>0</v>
      </c>
      <c r="S1250" t="str">
        <f>IFERROR(VLOOKUP(Calculations[[#This Row],[Material (choose from dropdown]],MaterialData[#All],4,FALSE),"")</f>
        <v/>
      </c>
      <c r="T1250" s="322" cm="1">
        <f t="array" ref="T1250">IFERROR(VLOOKUP(Calculations[[#This Row],[Waste 1]],WasteScenario[#All],2,FALSE)*'Stage assumptions'!$C$225*WasteTransportMethod[Emissions Factor
kgCO2e/kg.km]*Calculations[[#This Row],[Total Kg]],0)</f>
        <v>0</v>
      </c>
      <c r="U1250" s="322" cm="1">
        <f t="array" ref="U1250">IFERROR(VLOOKUP(Calculations[[#This Row],[Waste 1]],WasteScenario[#All],3,FALSE)*'Stage assumptions'!$C$224*WasteTransportMethod[Emissions Factor
kgCO2e/kg.km]*Calculations[[#This Row],[Total Kg]],0)</f>
        <v>0</v>
      </c>
      <c r="V1250" s="322" cm="1">
        <f t="array" ref="V1250">IFERROR(VLOOKUP(Calculations[[#This Row],[Waste 1]],WasteScenario[#All],4,FALSE)*'Stage assumptions'!$C$223*WasteTransportMethod[Emissions Factor
kgCO2e/kg.km]*Calculations[[#This Row],[Total Kg]],0)</f>
        <v>0</v>
      </c>
      <c r="W1250" s="322" cm="1">
        <f t="array" ref="W1250">IFERROR(VLOOKUP(Calculations[[#This Row],[Waste 1]],WasteScenario[#All],5,FALSE)*'Stage assumptions'!$C$226*WasteTransportMethod[Emissions Factor
kgCO2e/kg.km]*Calculations[[#This Row],[Total Kg]],0)</f>
        <v>0</v>
      </c>
      <c r="X1250" s="322">
        <f>SUM(Calculations[[#This Row],[C2 Recycle]:[C2 Reuse]])</f>
        <v>0</v>
      </c>
      <c r="Y1250" t="str">
        <f>IFERROR(VLOOKUP(Calculations[[#This Row],[Material (choose from dropdown]],MaterialData[#All],5,FALSE),"")</f>
        <v/>
      </c>
      <c r="Z1250" s="322">
        <f>IFERROR(((VLOOKUP(Calculations[[#This Row],[Waste type 2]],WasteDisposalEmissions[#All],2,FALSE))*Calculations[[#This Row],[Total Kg]])*VLOOKUP(Calculations[[#This Row],[Waste 1]],WasteScenario[#All],2,FALSE),0)</f>
        <v>0</v>
      </c>
      <c r="AA1250" s="322">
        <f>IFERROR((VLOOKUP(Calculations[[#This Row],[Waste type 2]],WasteDisposalEmissions[#All],3,FALSE))*Calculations[[#This Row],[Total Kg]]*VLOOKUP(Calculations[[#This Row],[Waste 1]],WasteScenario[#All],3,FALSE),0)</f>
        <v>0</v>
      </c>
      <c r="AB1250" s="322">
        <f>SUM(Calculations[[#This Row],[C3 recyc]:[C3 incin]])</f>
        <v>0</v>
      </c>
      <c r="AC1250" s="334">
        <f>IFERROR((VLOOKUP(Calculations[[#This Row],[Waste type 2]],WasteLandfillEmissions[#All],2,FALSE))*Calculations[[#This Row],[Total Kg]]*VLOOKUP(Calculations[[#This Row],[Waste 1]],WasteScenario[#All],4,FALSE),0)</f>
        <v>0</v>
      </c>
      <c r="AD1250" s="322">
        <f>IFERROR((VLOOKUP(Calculations[[#This Row],[Waste type 2]],WasteLandfillEmissions[#All],3,FALSE))*Calculations[[#This Row],[Total Kg]]*VLOOKUP(Calculations[[#This Row],[Waste 1]],WasteScenario[#All],4,FALSE),0)</f>
        <v>0</v>
      </c>
      <c r="AE1250" s="322">
        <f>SUM(Calculations[[#This Row],[C4 landfill]:[C4 re-use]])</f>
        <v>0</v>
      </c>
      <c r="AF1250" s="322">
        <f>IFERROR(VLOOKUP(Calculations[[#This Row],[Material (choose from dropdown]],MaterialData[#All],8,FALSE),0)</f>
        <v>0</v>
      </c>
      <c r="AG1250" s="322">
        <f>IFERROR(Calculations[[#This Row],[Total Kg]]*Calculations[[#This Row],[Seq factor]],0)</f>
        <v>0</v>
      </c>
      <c r="AI1250" s="322">
        <f>Calculations[[#This Row],[A1-3]]+Calculations[[#This Row],[A4]]+Calculations[[#This Row],[A5]]+Calculations[[#This Row],[B4]]+Calculations[[#This Row],[C2 total]]+Calculations[[#This Row],[C3 total]]+Calculations[[#This Row],[C4 total]]</f>
        <v>0</v>
      </c>
      <c r="AJ1250" s="2">
        <f>IFERROR(VLOOKUP(Calculations[[#This Row],[Material (choose from dropdown]],MaterialData[[#Headers],[#Data]],9,FALSE),0)</f>
        <v>0</v>
      </c>
      <c r="AK1250" s="4">
        <f>IFERROR(VLOOKUP(Calculations[[#This Row],[Material (choose from dropdown]],MaterialData[[#Headers],[#Data]],10,FALSE),0)</f>
        <v>0</v>
      </c>
      <c r="AL1250" s="322">
        <f>IFERROR(Calculations[[#This Row],[Data Quality Score]]*Calculations[[#This Row],[Total Kg]],0)</f>
        <v>0</v>
      </c>
    </row>
    <row r="1251" spans="1:38" x14ac:dyDescent="0.3">
      <c r="A1251" s="6">
        <f>IFERROR(MaterialsBoQ[[#This Row],[Scope Element]],0)</f>
        <v>0</v>
      </c>
      <c r="B1251" t="str">
        <f>IFERROR(MaterialsBoQ[[#This Row],[Material ]],"")</f>
        <v/>
      </c>
      <c r="C1251" t="str">
        <f>IFERROR(MaterialsBoQ[[#This Row],[Unit]],"")</f>
        <v/>
      </c>
      <c r="D1251" s="322">
        <f>IFERROR(MaterialsBoQ[[#This Row],[Number]],0)</f>
        <v>0</v>
      </c>
      <c r="E1251" s="322">
        <f>IFERROR(MaterialsBoQ[[#This Row],[Kg per unit]],0)</f>
        <v>0</v>
      </c>
      <c r="F1251" s="322">
        <f>IFERROR(Calculations[[#This Row],[Number]]*Calculations[[#This Row],[Conversion factor]],0)</f>
        <v>0</v>
      </c>
      <c r="G1251" s="322">
        <f>IFERROR(VLOOKUP(Calculations[[#This Row],[Material (choose from dropdown]],MaterialData[#All],7,FALSE),0)</f>
        <v>0</v>
      </c>
      <c r="H1251" s="322">
        <f>Calculations[[#This Row],[Total Kg]]*Calculations[[#This Row],[Carbon Factor]]</f>
        <v>0</v>
      </c>
      <c r="I1251" t="str">
        <f>IFERROR(VLOOKUP(Calculations[[#This Row],[Material (choose from dropdown]],MaterialData[#All],2,FALSE),"")</f>
        <v/>
      </c>
      <c r="J1251" s="322">
        <f>IFERROR(((VLOOKUP(Calculations[[#This Row],[TransportSource]],TransportDistance[],2,FALSE)*'Stage assumptions'!$C$11)+VLOOKUP(Calculations[[#This Row],[TransportSource]],TransportDistance[],3,FALSE)*'Stage assumptions'!$C$12)*Calculations[[#This Row],[Total Kg]],0)</f>
        <v>0</v>
      </c>
      <c r="K1251">
        <f>IFERROR(VLOOKUP(Calculations[[#This Row],[Material (choose from dropdown]], MaterialData[#All],3, FALSE),0)</f>
        <v>0</v>
      </c>
      <c r="L1251" s="322">
        <f>IFERROR(VLOOKUP(Calculations[[#This Row],[A5type]],A5WastageRate[#All],2,FALSE)*Calculations[[#This Row],[A1-3]],0)</f>
        <v>0</v>
      </c>
      <c r="N1251">
        <f>IFERROR(ROUNDUP(50/VLOOKUP(Calculations[[#This Row],[Scope Element]],B4referenceServiceLife[[Tier 2 element]:[Default Service Life]],2, FALSE)-1,0),0)</f>
        <v>0</v>
      </c>
      <c r="O1251" s="322">
        <f>IFERROR((Calculations[[#This Row],[A1-3]]+Calculations[[#This Row],[A4]]+Calculations[[#This Row],[A5]]+Calculations[[#This Row],[C2 total]]+Calculations[[#This Row],[C3 total]]+Calculations[[#This Row],[C4 total]])*Calculations[[#This Row],[Replacements]],0)</f>
        <v>0</v>
      </c>
      <c r="S1251" t="str">
        <f>IFERROR(VLOOKUP(Calculations[[#This Row],[Material (choose from dropdown]],MaterialData[#All],4,FALSE),"")</f>
        <v/>
      </c>
      <c r="T1251" s="322" cm="1">
        <f t="array" ref="T1251">IFERROR(VLOOKUP(Calculations[[#This Row],[Waste 1]],WasteScenario[#All],2,FALSE)*'Stage assumptions'!$C$225*WasteTransportMethod[Emissions Factor
kgCO2e/kg.km]*Calculations[[#This Row],[Total Kg]],0)</f>
        <v>0</v>
      </c>
      <c r="U1251" s="322" cm="1">
        <f t="array" ref="U1251">IFERROR(VLOOKUP(Calculations[[#This Row],[Waste 1]],WasteScenario[#All],3,FALSE)*'Stage assumptions'!$C$224*WasteTransportMethod[Emissions Factor
kgCO2e/kg.km]*Calculations[[#This Row],[Total Kg]],0)</f>
        <v>0</v>
      </c>
      <c r="V1251" s="322" cm="1">
        <f t="array" ref="V1251">IFERROR(VLOOKUP(Calculations[[#This Row],[Waste 1]],WasteScenario[#All],4,FALSE)*'Stage assumptions'!$C$223*WasteTransportMethod[Emissions Factor
kgCO2e/kg.km]*Calculations[[#This Row],[Total Kg]],0)</f>
        <v>0</v>
      </c>
      <c r="W1251" s="322" cm="1">
        <f t="array" ref="W1251">IFERROR(VLOOKUP(Calculations[[#This Row],[Waste 1]],WasteScenario[#All],5,FALSE)*'Stage assumptions'!$C$226*WasteTransportMethod[Emissions Factor
kgCO2e/kg.km]*Calculations[[#This Row],[Total Kg]],0)</f>
        <v>0</v>
      </c>
      <c r="X1251" s="322">
        <f>SUM(Calculations[[#This Row],[C2 Recycle]:[C2 Reuse]])</f>
        <v>0</v>
      </c>
      <c r="Y1251" t="str">
        <f>IFERROR(VLOOKUP(Calculations[[#This Row],[Material (choose from dropdown]],MaterialData[#All],5,FALSE),"")</f>
        <v/>
      </c>
      <c r="Z1251" s="322">
        <f>IFERROR(((VLOOKUP(Calculations[[#This Row],[Waste type 2]],WasteDisposalEmissions[#All],2,FALSE))*Calculations[[#This Row],[Total Kg]])*VLOOKUP(Calculations[[#This Row],[Waste 1]],WasteScenario[#All],2,FALSE),0)</f>
        <v>0</v>
      </c>
      <c r="AA1251" s="322">
        <f>IFERROR((VLOOKUP(Calculations[[#This Row],[Waste type 2]],WasteDisposalEmissions[#All],3,FALSE))*Calculations[[#This Row],[Total Kg]]*VLOOKUP(Calculations[[#This Row],[Waste 1]],WasteScenario[#All],3,FALSE),0)</f>
        <v>0</v>
      </c>
      <c r="AB1251" s="322">
        <f>SUM(Calculations[[#This Row],[C3 recyc]:[C3 incin]])</f>
        <v>0</v>
      </c>
      <c r="AC1251" s="334">
        <f>IFERROR((VLOOKUP(Calculations[[#This Row],[Waste type 2]],WasteLandfillEmissions[#All],2,FALSE))*Calculations[[#This Row],[Total Kg]]*VLOOKUP(Calculations[[#This Row],[Waste 1]],WasteScenario[#All],4,FALSE),0)</f>
        <v>0</v>
      </c>
      <c r="AD1251" s="322">
        <f>IFERROR((VLOOKUP(Calculations[[#This Row],[Waste type 2]],WasteLandfillEmissions[#All],3,FALSE))*Calculations[[#This Row],[Total Kg]]*VLOOKUP(Calculations[[#This Row],[Waste 1]],WasteScenario[#All],4,FALSE),0)</f>
        <v>0</v>
      </c>
      <c r="AE1251" s="322">
        <f>SUM(Calculations[[#This Row],[C4 landfill]:[C4 re-use]])</f>
        <v>0</v>
      </c>
      <c r="AF1251" s="322">
        <f>IFERROR(VLOOKUP(Calculations[[#This Row],[Material (choose from dropdown]],MaterialData[#All],8,FALSE),0)</f>
        <v>0</v>
      </c>
      <c r="AG1251" s="322">
        <f>IFERROR(Calculations[[#This Row],[Total Kg]]*Calculations[[#This Row],[Seq factor]],0)</f>
        <v>0</v>
      </c>
      <c r="AI1251" s="322">
        <f>Calculations[[#This Row],[A1-3]]+Calculations[[#This Row],[A4]]+Calculations[[#This Row],[A5]]+Calculations[[#This Row],[B4]]+Calculations[[#This Row],[C2 total]]+Calculations[[#This Row],[C3 total]]+Calculations[[#This Row],[C4 total]]</f>
        <v>0</v>
      </c>
      <c r="AJ1251" s="2">
        <f>IFERROR(VLOOKUP(Calculations[[#This Row],[Material (choose from dropdown]],MaterialData[[#Headers],[#Data]],9,FALSE),0)</f>
        <v>0</v>
      </c>
      <c r="AK1251" s="4">
        <f>IFERROR(VLOOKUP(Calculations[[#This Row],[Material (choose from dropdown]],MaterialData[[#Headers],[#Data]],10,FALSE),0)</f>
        <v>0</v>
      </c>
      <c r="AL1251" s="322">
        <f>IFERROR(Calculations[[#This Row],[Data Quality Score]]*Calculations[[#This Row],[Total Kg]],0)</f>
        <v>0</v>
      </c>
    </row>
    <row r="1252" spans="1:38" x14ac:dyDescent="0.3">
      <c r="A1252" s="6">
        <f>IFERROR(MaterialsBoQ[[#This Row],[Scope Element]],0)</f>
        <v>0</v>
      </c>
      <c r="B1252" t="str">
        <f>IFERROR(MaterialsBoQ[[#This Row],[Material ]],"")</f>
        <v/>
      </c>
      <c r="C1252" t="str">
        <f>IFERROR(MaterialsBoQ[[#This Row],[Unit]],"")</f>
        <v/>
      </c>
      <c r="D1252" s="322">
        <f>IFERROR(MaterialsBoQ[[#This Row],[Number]],0)</f>
        <v>0</v>
      </c>
      <c r="E1252" s="322">
        <f>IFERROR(MaterialsBoQ[[#This Row],[Kg per unit]],0)</f>
        <v>0</v>
      </c>
      <c r="F1252" s="322">
        <f>IFERROR(Calculations[[#This Row],[Number]]*Calculations[[#This Row],[Conversion factor]],0)</f>
        <v>0</v>
      </c>
      <c r="G1252" s="322">
        <f>IFERROR(VLOOKUP(Calculations[[#This Row],[Material (choose from dropdown]],MaterialData[#All],7,FALSE),0)</f>
        <v>0</v>
      </c>
      <c r="H1252" s="322">
        <f>Calculations[[#This Row],[Total Kg]]*Calculations[[#This Row],[Carbon Factor]]</f>
        <v>0</v>
      </c>
      <c r="I1252" t="str">
        <f>IFERROR(VLOOKUP(Calculations[[#This Row],[Material (choose from dropdown]],MaterialData[#All],2,FALSE),"")</f>
        <v/>
      </c>
      <c r="J1252" s="322">
        <f>IFERROR(((VLOOKUP(Calculations[[#This Row],[TransportSource]],TransportDistance[],2,FALSE)*'Stage assumptions'!$C$11)+VLOOKUP(Calculations[[#This Row],[TransportSource]],TransportDistance[],3,FALSE)*'Stage assumptions'!$C$12)*Calculations[[#This Row],[Total Kg]],0)</f>
        <v>0</v>
      </c>
      <c r="K1252">
        <f>IFERROR(VLOOKUP(Calculations[[#This Row],[Material (choose from dropdown]], MaterialData[#All],3, FALSE),0)</f>
        <v>0</v>
      </c>
      <c r="L1252" s="322">
        <f>IFERROR(VLOOKUP(Calculations[[#This Row],[A5type]],A5WastageRate[#All],2,FALSE)*Calculations[[#This Row],[A1-3]],0)</f>
        <v>0</v>
      </c>
      <c r="N1252">
        <f>IFERROR(ROUNDUP(50/VLOOKUP(Calculations[[#This Row],[Scope Element]],B4referenceServiceLife[[Tier 2 element]:[Default Service Life]],2, FALSE)-1,0),0)</f>
        <v>0</v>
      </c>
      <c r="O1252" s="322">
        <f>IFERROR((Calculations[[#This Row],[A1-3]]+Calculations[[#This Row],[A4]]+Calculations[[#This Row],[A5]]+Calculations[[#This Row],[C2 total]]+Calculations[[#This Row],[C3 total]]+Calculations[[#This Row],[C4 total]])*Calculations[[#This Row],[Replacements]],0)</f>
        <v>0</v>
      </c>
      <c r="S1252" t="str">
        <f>IFERROR(VLOOKUP(Calculations[[#This Row],[Material (choose from dropdown]],MaterialData[#All],4,FALSE),"")</f>
        <v/>
      </c>
      <c r="T1252" s="322" cm="1">
        <f t="array" ref="T1252">IFERROR(VLOOKUP(Calculations[[#This Row],[Waste 1]],WasteScenario[#All],2,FALSE)*'Stage assumptions'!$C$225*WasteTransportMethod[Emissions Factor
kgCO2e/kg.km]*Calculations[[#This Row],[Total Kg]],0)</f>
        <v>0</v>
      </c>
      <c r="U1252" s="322" cm="1">
        <f t="array" ref="U1252">IFERROR(VLOOKUP(Calculations[[#This Row],[Waste 1]],WasteScenario[#All],3,FALSE)*'Stage assumptions'!$C$224*WasteTransportMethod[Emissions Factor
kgCO2e/kg.km]*Calculations[[#This Row],[Total Kg]],0)</f>
        <v>0</v>
      </c>
      <c r="V1252" s="322" cm="1">
        <f t="array" ref="V1252">IFERROR(VLOOKUP(Calculations[[#This Row],[Waste 1]],WasteScenario[#All],4,FALSE)*'Stage assumptions'!$C$223*WasteTransportMethod[Emissions Factor
kgCO2e/kg.km]*Calculations[[#This Row],[Total Kg]],0)</f>
        <v>0</v>
      </c>
      <c r="W1252" s="322" cm="1">
        <f t="array" ref="W1252">IFERROR(VLOOKUP(Calculations[[#This Row],[Waste 1]],WasteScenario[#All],5,FALSE)*'Stage assumptions'!$C$226*WasteTransportMethod[Emissions Factor
kgCO2e/kg.km]*Calculations[[#This Row],[Total Kg]],0)</f>
        <v>0</v>
      </c>
      <c r="X1252" s="322">
        <f>SUM(Calculations[[#This Row],[C2 Recycle]:[C2 Reuse]])</f>
        <v>0</v>
      </c>
      <c r="Y1252" t="str">
        <f>IFERROR(VLOOKUP(Calculations[[#This Row],[Material (choose from dropdown]],MaterialData[#All],5,FALSE),"")</f>
        <v/>
      </c>
      <c r="Z1252" s="322">
        <f>IFERROR(((VLOOKUP(Calculations[[#This Row],[Waste type 2]],WasteDisposalEmissions[#All],2,FALSE))*Calculations[[#This Row],[Total Kg]])*VLOOKUP(Calculations[[#This Row],[Waste 1]],WasteScenario[#All],2,FALSE),0)</f>
        <v>0</v>
      </c>
      <c r="AA1252" s="322">
        <f>IFERROR((VLOOKUP(Calculations[[#This Row],[Waste type 2]],WasteDisposalEmissions[#All],3,FALSE))*Calculations[[#This Row],[Total Kg]]*VLOOKUP(Calculations[[#This Row],[Waste 1]],WasteScenario[#All],3,FALSE),0)</f>
        <v>0</v>
      </c>
      <c r="AB1252" s="322">
        <f>SUM(Calculations[[#This Row],[C3 recyc]:[C3 incin]])</f>
        <v>0</v>
      </c>
      <c r="AC1252" s="334">
        <f>IFERROR((VLOOKUP(Calculations[[#This Row],[Waste type 2]],WasteLandfillEmissions[#All],2,FALSE))*Calculations[[#This Row],[Total Kg]]*VLOOKUP(Calculations[[#This Row],[Waste 1]],WasteScenario[#All],4,FALSE),0)</f>
        <v>0</v>
      </c>
      <c r="AD1252" s="322">
        <f>IFERROR((VLOOKUP(Calculations[[#This Row],[Waste type 2]],WasteLandfillEmissions[#All],3,FALSE))*Calculations[[#This Row],[Total Kg]]*VLOOKUP(Calculations[[#This Row],[Waste 1]],WasteScenario[#All],4,FALSE),0)</f>
        <v>0</v>
      </c>
      <c r="AE1252" s="322">
        <f>SUM(Calculations[[#This Row],[C4 landfill]:[C4 re-use]])</f>
        <v>0</v>
      </c>
      <c r="AF1252" s="322">
        <f>IFERROR(VLOOKUP(Calculations[[#This Row],[Material (choose from dropdown]],MaterialData[#All],8,FALSE),0)</f>
        <v>0</v>
      </c>
      <c r="AG1252" s="322">
        <f>IFERROR(Calculations[[#This Row],[Total Kg]]*Calculations[[#This Row],[Seq factor]],0)</f>
        <v>0</v>
      </c>
      <c r="AI1252" s="322">
        <f>Calculations[[#This Row],[A1-3]]+Calculations[[#This Row],[A4]]+Calculations[[#This Row],[A5]]+Calculations[[#This Row],[B4]]+Calculations[[#This Row],[C2 total]]+Calculations[[#This Row],[C3 total]]+Calculations[[#This Row],[C4 total]]</f>
        <v>0</v>
      </c>
      <c r="AJ1252" s="2">
        <f>IFERROR(VLOOKUP(Calculations[[#This Row],[Material (choose from dropdown]],MaterialData[[#Headers],[#Data]],9,FALSE),0)</f>
        <v>0</v>
      </c>
      <c r="AK1252" s="4">
        <f>IFERROR(VLOOKUP(Calculations[[#This Row],[Material (choose from dropdown]],MaterialData[[#Headers],[#Data]],10,FALSE),0)</f>
        <v>0</v>
      </c>
      <c r="AL1252" s="322">
        <f>IFERROR(Calculations[[#This Row],[Data Quality Score]]*Calculations[[#This Row],[Total Kg]],0)</f>
        <v>0</v>
      </c>
    </row>
    <row r="1253" spans="1:38" x14ac:dyDescent="0.3">
      <c r="A1253" s="6">
        <f>IFERROR(MaterialsBoQ[[#This Row],[Scope Element]],0)</f>
        <v>0</v>
      </c>
      <c r="B1253" t="str">
        <f>IFERROR(MaterialsBoQ[[#This Row],[Material ]],"")</f>
        <v/>
      </c>
      <c r="C1253" t="str">
        <f>IFERROR(MaterialsBoQ[[#This Row],[Unit]],"")</f>
        <v/>
      </c>
      <c r="D1253" s="322">
        <f>IFERROR(MaterialsBoQ[[#This Row],[Number]],0)</f>
        <v>0</v>
      </c>
      <c r="E1253" s="322">
        <f>IFERROR(MaterialsBoQ[[#This Row],[Kg per unit]],0)</f>
        <v>0</v>
      </c>
      <c r="F1253" s="322">
        <f>IFERROR(Calculations[[#This Row],[Number]]*Calculations[[#This Row],[Conversion factor]],0)</f>
        <v>0</v>
      </c>
      <c r="G1253" s="322">
        <f>IFERROR(VLOOKUP(Calculations[[#This Row],[Material (choose from dropdown]],MaterialData[#All],7,FALSE),0)</f>
        <v>0</v>
      </c>
      <c r="H1253" s="322">
        <f>Calculations[[#This Row],[Total Kg]]*Calculations[[#This Row],[Carbon Factor]]</f>
        <v>0</v>
      </c>
      <c r="I1253" t="str">
        <f>IFERROR(VLOOKUP(Calculations[[#This Row],[Material (choose from dropdown]],MaterialData[#All],2,FALSE),"")</f>
        <v/>
      </c>
      <c r="J1253" s="322">
        <f>IFERROR(((VLOOKUP(Calculations[[#This Row],[TransportSource]],TransportDistance[],2,FALSE)*'Stage assumptions'!$C$11)+VLOOKUP(Calculations[[#This Row],[TransportSource]],TransportDistance[],3,FALSE)*'Stage assumptions'!$C$12)*Calculations[[#This Row],[Total Kg]],0)</f>
        <v>0</v>
      </c>
      <c r="K1253">
        <f>IFERROR(VLOOKUP(Calculations[[#This Row],[Material (choose from dropdown]], MaterialData[#All],3, FALSE),0)</f>
        <v>0</v>
      </c>
      <c r="L1253" s="322">
        <f>IFERROR(VLOOKUP(Calculations[[#This Row],[A5type]],A5WastageRate[#All],2,FALSE)*Calculations[[#This Row],[A1-3]],0)</f>
        <v>0</v>
      </c>
      <c r="N1253">
        <f>IFERROR(ROUNDUP(50/VLOOKUP(Calculations[[#This Row],[Scope Element]],B4referenceServiceLife[[Tier 2 element]:[Default Service Life]],2, FALSE)-1,0),0)</f>
        <v>0</v>
      </c>
      <c r="O1253" s="322">
        <f>IFERROR((Calculations[[#This Row],[A1-3]]+Calculations[[#This Row],[A4]]+Calculations[[#This Row],[A5]]+Calculations[[#This Row],[C2 total]]+Calculations[[#This Row],[C3 total]]+Calculations[[#This Row],[C4 total]])*Calculations[[#This Row],[Replacements]],0)</f>
        <v>0</v>
      </c>
      <c r="S1253" t="str">
        <f>IFERROR(VLOOKUP(Calculations[[#This Row],[Material (choose from dropdown]],MaterialData[#All],4,FALSE),"")</f>
        <v/>
      </c>
      <c r="T1253" s="322" cm="1">
        <f t="array" ref="T1253">IFERROR(VLOOKUP(Calculations[[#This Row],[Waste 1]],WasteScenario[#All],2,FALSE)*'Stage assumptions'!$C$225*WasteTransportMethod[Emissions Factor
kgCO2e/kg.km]*Calculations[[#This Row],[Total Kg]],0)</f>
        <v>0</v>
      </c>
      <c r="U1253" s="322" cm="1">
        <f t="array" ref="U1253">IFERROR(VLOOKUP(Calculations[[#This Row],[Waste 1]],WasteScenario[#All],3,FALSE)*'Stage assumptions'!$C$224*WasteTransportMethod[Emissions Factor
kgCO2e/kg.km]*Calculations[[#This Row],[Total Kg]],0)</f>
        <v>0</v>
      </c>
      <c r="V1253" s="322" cm="1">
        <f t="array" ref="V1253">IFERROR(VLOOKUP(Calculations[[#This Row],[Waste 1]],WasteScenario[#All],4,FALSE)*'Stage assumptions'!$C$223*WasteTransportMethod[Emissions Factor
kgCO2e/kg.km]*Calculations[[#This Row],[Total Kg]],0)</f>
        <v>0</v>
      </c>
      <c r="W1253" s="322" cm="1">
        <f t="array" ref="W1253">IFERROR(VLOOKUP(Calculations[[#This Row],[Waste 1]],WasteScenario[#All],5,FALSE)*'Stage assumptions'!$C$226*WasteTransportMethod[Emissions Factor
kgCO2e/kg.km]*Calculations[[#This Row],[Total Kg]],0)</f>
        <v>0</v>
      </c>
      <c r="X1253" s="322">
        <f>SUM(Calculations[[#This Row],[C2 Recycle]:[C2 Reuse]])</f>
        <v>0</v>
      </c>
      <c r="Y1253" t="str">
        <f>IFERROR(VLOOKUP(Calculations[[#This Row],[Material (choose from dropdown]],MaterialData[#All],5,FALSE),"")</f>
        <v/>
      </c>
      <c r="Z1253" s="322">
        <f>IFERROR(((VLOOKUP(Calculations[[#This Row],[Waste type 2]],WasteDisposalEmissions[#All],2,FALSE))*Calculations[[#This Row],[Total Kg]])*VLOOKUP(Calculations[[#This Row],[Waste 1]],WasteScenario[#All],2,FALSE),0)</f>
        <v>0</v>
      </c>
      <c r="AA1253" s="322">
        <f>IFERROR((VLOOKUP(Calculations[[#This Row],[Waste type 2]],WasteDisposalEmissions[#All],3,FALSE))*Calculations[[#This Row],[Total Kg]]*VLOOKUP(Calculations[[#This Row],[Waste 1]],WasteScenario[#All],3,FALSE),0)</f>
        <v>0</v>
      </c>
      <c r="AB1253" s="322">
        <f>SUM(Calculations[[#This Row],[C3 recyc]:[C3 incin]])</f>
        <v>0</v>
      </c>
      <c r="AC1253" s="334">
        <f>IFERROR((VLOOKUP(Calculations[[#This Row],[Waste type 2]],WasteLandfillEmissions[#All],2,FALSE))*Calculations[[#This Row],[Total Kg]]*VLOOKUP(Calculations[[#This Row],[Waste 1]],WasteScenario[#All],4,FALSE),0)</f>
        <v>0</v>
      </c>
      <c r="AD1253" s="322">
        <f>IFERROR((VLOOKUP(Calculations[[#This Row],[Waste type 2]],WasteLandfillEmissions[#All],3,FALSE))*Calculations[[#This Row],[Total Kg]]*VLOOKUP(Calculations[[#This Row],[Waste 1]],WasteScenario[#All],4,FALSE),0)</f>
        <v>0</v>
      </c>
      <c r="AE1253" s="322">
        <f>SUM(Calculations[[#This Row],[C4 landfill]:[C4 re-use]])</f>
        <v>0</v>
      </c>
      <c r="AF1253" s="322">
        <f>IFERROR(VLOOKUP(Calculations[[#This Row],[Material (choose from dropdown]],MaterialData[#All],8,FALSE),0)</f>
        <v>0</v>
      </c>
      <c r="AG1253" s="322">
        <f>IFERROR(Calculations[[#This Row],[Total Kg]]*Calculations[[#This Row],[Seq factor]],0)</f>
        <v>0</v>
      </c>
      <c r="AI1253" s="322">
        <f>Calculations[[#This Row],[A1-3]]+Calculations[[#This Row],[A4]]+Calculations[[#This Row],[A5]]+Calculations[[#This Row],[B4]]+Calculations[[#This Row],[C2 total]]+Calculations[[#This Row],[C3 total]]+Calculations[[#This Row],[C4 total]]</f>
        <v>0</v>
      </c>
      <c r="AJ1253" s="2">
        <f>IFERROR(VLOOKUP(Calculations[[#This Row],[Material (choose from dropdown]],MaterialData[[#Headers],[#Data]],9,FALSE),0)</f>
        <v>0</v>
      </c>
      <c r="AK1253" s="4">
        <f>IFERROR(VLOOKUP(Calculations[[#This Row],[Material (choose from dropdown]],MaterialData[[#Headers],[#Data]],10,FALSE),0)</f>
        <v>0</v>
      </c>
      <c r="AL1253" s="322">
        <f>IFERROR(Calculations[[#This Row],[Data Quality Score]]*Calculations[[#This Row],[Total Kg]],0)</f>
        <v>0</v>
      </c>
    </row>
    <row r="1254" spans="1:38" x14ac:dyDescent="0.3">
      <c r="A1254" s="6">
        <f>IFERROR(MaterialsBoQ[[#This Row],[Scope Element]],0)</f>
        <v>0</v>
      </c>
      <c r="B1254" t="str">
        <f>IFERROR(MaterialsBoQ[[#This Row],[Material ]],"")</f>
        <v/>
      </c>
      <c r="C1254" t="str">
        <f>IFERROR(MaterialsBoQ[[#This Row],[Unit]],"")</f>
        <v/>
      </c>
      <c r="D1254" s="322">
        <f>IFERROR(MaterialsBoQ[[#This Row],[Number]],0)</f>
        <v>0</v>
      </c>
      <c r="E1254" s="322">
        <f>IFERROR(MaterialsBoQ[[#This Row],[Kg per unit]],0)</f>
        <v>0</v>
      </c>
      <c r="F1254" s="322">
        <f>IFERROR(Calculations[[#This Row],[Number]]*Calculations[[#This Row],[Conversion factor]],0)</f>
        <v>0</v>
      </c>
      <c r="G1254" s="322">
        <f>IFERROR(VLOOKUP(Calculations[[#This Row],[Material (choose from dropdown]],MaterialData[#All],7,FALSE),0)</f>
        <v>0</v>
      </c>
      <c r="H1254" s="322">
        <f>Calculations[[#This Row],[Total Kg]]*Calculations[[#This Row],[Carbon Factor]]</f>
        <v>0</v>
      </c>
      <c r="I1254" t="str">
        <f>IFERROR(VLOOKUP(Calculations[[#This Row],[Material (choose from dropdown]],MaterialData[#All],2,FALSE),"")</f>
        <v/>
      </c>
      <c r="J1254" s="322">
        <f>IFERROR(((VLOOKUP(Calculations[[#This Row],[TransportSource]],TransportDistance[],2,FALSE)*'Stage assumptions'!$C$11)+VLOOKUP(Calculations[[#This Row],[TransportSource]],TransportDistance[],3,FALSE)*'Stage assumptions'!$C$12)*Calculations[[#This Row],[Total Kg]],0)</f>
        <v>0</v>
      </c>
      <c r="K1254">
        <f>IFERROR(VLOOKUP(Calculations[[#This Row],[Material (choose from dropdown]], MaterialData[#All],3, FALSE),0)</f>
        <v>0</v>
      </c>
      <c r="L1254" s="322">
        <f>IFERROR(VLOOKUP(Calculations[[#This Row],[A5type]],A5WastageRate[#All],2,FALSE)*Calculations[[#This Row],[A1-3]],0)</f>
        <v>0</v>
      </c>
      <c r="N1254">
        <f>IFERROR(ROUNDUP(50/VLOOKUP(Calculations[[#This Row],[Scope Element]],B4referenceServiceLife[[Tier 2 element]:[Default Service Life]],2, FALSE)-1,0),0)</f>
        <v>0</v>
      </c>
      <c r="O1254" s="322">
        <f>IFERROR((Calculations[[#This Row],[A1-3]]+Calculations[[#This Row],[A4]]+Calculations[[#This Row],[A5]]+Calculations[[#This Row],[C2 total]]+Calculations[[#This Row],[C3 total]]+Calculations[[#This Row],[C4 total]])*Calculations[[#This Row],[Replacements]],0)</f>
        <v>0</v>
      </c>
      <c r="S1254" t="str">
        <f>IFERROR(VLOOKUP(Calculations[[#This Row],[Material (choose from dropdown]],MaterialData[#All],4,FALSE),"")</f>
        <v/>
      </c>
      <c r="T1254" s="322" cm="1">
        <f t="array" ref="T1254">IFERROR(VLOOKUP(Calculations[[#This Row],[Waste 1]],WasteScenario[#All],2,FALSE)*'Stage assumptions'!$C$225*WasteTransportMethod[Emissions Factor
kgCO2e/kg.km]*Calculations[[#This Row],[Total Kg]],0)</f>
        <v>0</v>
      </c>
      <c r="U1254" s="322" cm="1">
        <f t="array" ref="U1254">IFERROR(VLOOKUP(Calculations[[#This Row],[Waste 1]],WasteScenario[#All],3,FALSE)*'Stage assumptions'!$C$224*WasteTransportMethod[Emissions Factor
kgCO2e/kg.km]*Calculations[[#This Row],[Total Kg]],0)</f>
        <v>0</v>
      </c>
      <c r="V1254" s="322" cm="1">
        <f t="array" ref="V1254">IFERROR(VLOOKUP(Calculations[[#This Row],[Waste 1]],WasteScenario[#All],4,FALSE)*'Stage assumptions'!$C$223*WasteTransportMethod[Emissions Factor
kgCO2e/kg.km]*Calculations[[#This Row],[Total Kg]],0)</f>
        <v>0</v>
      </c>
      <c r="W1254" s="322" cm="1">
        <f t="array" ref="W1254">IFERROR(VLOOKUP(Calculations[[#This Row],[Waste 1]],WasteScenario[#All],5,FALSE)*'Stage assumptions'!$C$226*WasteTransportMethod[Emissions Factor
kgCO2e/kg.km]*Calculations[[#This Row],[Total Kg]],0)</f>
        <v>0</v>
      </c>
      <c r="X1254" s="322">
        <f>SUM(Calculations[[#This Row],[C2 Recycle]:[C2 Reuse]])</f>
        <v>0</v>
      </c>
      <c r="Y1254" t="str">
        <f>IFERROR(VLOOKUP(Calculations[[#This Row],[Material (choose from dropdown]],MaterialData[#All],5,FALSE),"")</f>
        <v/>
      </c>
      <c r="Z1254" s="322">
        <f>IFERROR(((VLOOKUP(Calculations[[#This Row],[Waste type 2]],WasteDisposalEmissions[#All],2,FALSE))*Calculations[[#This Row],[Total Kg]])*VLOOKUP(Calculations[[#This Row],[Waste 1]],WasteScenario[#All],2,FALSE),0)</f>
        <v>0</v>
      </c>
      <c r="AA1254" s="322">
        <f>IFERROR((VLOOKUP(Calculations[[#This Row],[Waste type 2]],WasteDisposalEmissions[#All],3,FALSE))*Calculations[[#This Row],[Total Kg]]*VLOOKUP(Calculations[[#This Row],[Waste 1]],WasteScenario[#All],3,FALSE),0)</f>
        <v>0</v>
      </c>
      <c r="AB1254" s="322">
        <f>SUM(Calculations[[#This Row],[C3 recyc]:[C3 incin]])</f>
        <v>0</v>
      </c>
      <c r="AC1254" s="334">
        <f>IFERROR((VLOOKUP(Calculations[[#This Row],[Waste type 2]],WasteLandfillEmissions[#All],2,FALSE))*Calculations[[#This Row],[Total Kg]]*VLOOKUP(Calculations[[#This Row],[Waste 1]],WasteScenario[#All],4,FALSE),0)</f>
        <v>0</v>
      </c>
      <c r="AD1254" s="322">
        <f>IFERROR((VLOOKUP(Calculations[[#This Row],[Waste type 2]],WasteLandfillEmissions[#All],3,FALSE))*Calculations[[#This Row],[Total Kg]]*VLOOKUP(Calculations[[#This Row],[Waste 1]],WasteScenario[#All],4,FALSE),0)</f>
        <v>0</v>
      </c>
      <c r="AE1254" s="322">
        <f>SUM(Calculations[[#This Row],[C4 landfill]:[C4 re-use]])</f>
        <v>0</v>
      </c>
      <c r="AF1254" s="322">
        <f>IFERROR(VLOOKUP(Calculations[[#This Row],[Material (choose from dropdown]],MaterialData[#All],8,FALSE),0)</f>
        <v>0</v>
      </c>
      <c r="AG1254" s="322">
        <f>IFERROR(Calculations[[#This Row],[Total Kg]]*Calculations[[#This Row],[Seq factor]],0)</f>
        <v>0</v>
      </c>
      <c r="AI1254" s="322">
        <f>Calculations[[#This Row],[A1-3]]+Calculations[[#This Row],[A4]]+Calculations[[#This Row],[A5]]+Calculations[[#This Row],[B4]]+Calculations[[#This Row],[C2 total]]+Calculations[[#This Row],[C3 total]]+Calculations[[#This Row],[C4 total]]</f>
        <v>0</v>
      </c>
      <c r="AJ1254" s="2">
        <f>IFERROR(VLOOKUP(Calculations[[#This Row],[Material (choose from dropdown]],MaterialData[[#Headers],[#Data]],9,FALSE),0)</f>
        <v>0</v>
      </c>
      <c r="AK1254" s="4">
        <f>IFERROR(VLOOKUP(Calculations[[#This Row],[Material (choose from dropdown]],MaterialData[[#Headers],[#Data]],10,FALSE),0)</f>
        <v>0</v>
      </c>
      <c r="AL1254" s="322">
        <f>IFERROR(Calculations[[#This Row],[Data Quality Score]]*Calculations[[#This Row],[Total Kg]],0)</f>
        <v>0</v>
      </c>
    </row>
    <row r="1255" spans="1:38" x14ac:dyDescent="0.3">
      <c r="A1255" s="6">
        <f>IFERROR(MaterialsBoQ[[#This Row],[Scope Element]],0)</f>
        <v>0</v>
      </c>
      <c r="B1255" t="str">
        <f>IFERROR(MaterialsBoQ[[#This Row],[Material ]],"")</f>
        <v/>
      </c>
      <c r="C1255" t="str">
        <f>IFERROR(MaterialsBoQ[[#This Row],[Unit]],"")</f>
        <v/>
      </c>
      <c r="D1255" s="322">
        <f>IFERROR(MaterialsBoQ[[#This Row],[Number]],0)</f>
        <v>0</v>
      </c>
      <c r="E1255" s="322">
        <f>IFERROR(MaterialsBoQ[[#This Row],[Kg per unit]],0)</f>
        <v>0</v>
      </c>
      <c r="F1255" s="322">
        <f>IFERROR(Calculations[[#This Row],[Number]]*Calculations[[#This Row],[Conversion factor]],0)</f>
        <v>0</v>
      </c>
      <c r="G1255" s="322">
        <f>IFERROR(VLOOKUP(Calculations[[#This Row],[Material (choose from dropdown]],MaterialData[#All],7,FALSE),0)</f>
        <v>0</v>
      </c>
      <c r="H1255" s="322">
        <f>Calculations[[#This Row],[Total Kg]]*Calculations[[#This Row],[Carbon Factor]]</f>
        <v>0</v>
      </c>
      <c r="I1255" t="str">
        <f>IFERROR(VLOOKUP(Calculations[[#This Row],[Material (choose from dropdown]],MaterialData[#All],2,FALSE),"")</f>
        <v/>
      </c>
      <c r="J1255" s="322">
        <f>IFERROR(((VLOOKUP(Calculations[[#This Row],[TransportSource]],TransportDistance[],2,FALSE)*'Stage assumptions'!$C$11)+VLOOKUP(Calculations[[#This Row],[TransportSource]],TransportDistance[],3,FALSE)*'Stage assumptions'!$C$12)*Calculations[[#This Row],[Total Kg]],0)</f>
        <v>0</v>
      </c>
      <c r="K1255">
        <f>IFERROR(VLOOKUP(Calculations[[#This Row],[Material (choose from dropdown]], MaterialData[#All],3, FALSE),0)</f>
        <v>0</v>
      </c>
      <c r="L1255" s="322">
        <f>IFERROR(VLOOKUP(Calculations[[#This Row],[A5type]],A5WastageRate[#All],2,FALSE)*Calculations[[#This Row],[A1-3]],0)</f>
        <v>0</v>
      </c>
      <c r="N1255">
        <f>IFERROR(ROUNDUP(50/VLOOKUP(Calculations[[#This Row],[Scope Element]],B4referenceServiceLife[[Tier 2 element]:[Default Service Life]],2, FALSE)-1,0),0)</f>
        <v>0</v>
      </c>
      <c r="O1255" s="322">
        <f>IFERROR((Calculations[[#This Row],[A1-3]]+Calculations[[#This Row],[A4]]+Calculations[[#This Row],[A5]]+Calculations[[#This Row],[C2 total]]+Calculations[[#This Row],[C3 total]]+Calculations[[#This Row],[C4 total]])*Calculations[[#This Row],[Replacements]],0)</f>
        <v>0</v>
      </c>
      <c r="S1255" t="str">
        <f>IFERROR(VLOOKUP(Calculations[[#This Row],[Material (choose from dropdown]],MaterialData[#All],4,FALSE),"")</f>
        <v/>
      </c>
      <c r="T1255" s="322" cm="1">
        <f t="array" ref="T1255">IFERROR(VLOOKUP(Calculations[[#This Row],[Waste 1]],WasteScenario[#All],2,FALSE)*'Stage assumptions'!$C$225*WasteTransportMethod[Emissions Factor
kgCO2e/kg.km]*Calculations[[#This Row],[Total Kg]],0)</f>
        <v>0</v>
      </c>
      <c r="U1255" s="322" cm="1">
        <f t="array" ref="U1255">IFERROR(VLOOKUP(Calculations[[#This Row],[Waste 1]],WasteScenario[#All],3,FALSE)*'Stage assumptions'!$C$224*WasteTransportMethod[Emissions Factor
kgCO2e/kg.km]*Calculations[[#This Row],[Total Kg]],0)</f>
        <v>0</v>
      </c>
      <c r="V1255" s="322" cm="1">
        <f t="array" ref="V1255">IFERROR(VLOOKUP(Calculations[[#This Row],[Waste 1]],WasteScenario[#All],4,FALSE)*'Stage assumptions'!$C$223*WasteTransportMethod[Emissions Factor
kgCO2e/kg.km]*Calculations[[#This Row],[Total Kg]],0)</f>
        <v>0</v>
      </c>
      <c r="W1255" s="322" cm="1">
        <f t="array" ref="W1255">IFERROR(VLOOKUP(Calculations[[#This Row],[Waste 1]],WasteScenario[#All],5,FALSE)*'Stage assumptions'!$C$226*WasteTransportMethod[Emissions Factor
kgCO2e/kg.km]*Calculations[[#This Row],[Total Kg]],0)</f>
        <v>0</v>
      </c>
      <c r="X1255" s="322">
        <f>SUM(Calculations[[#This Row],[C2 Recycle]:[C2 Reuse]])</f>
        <v>0</v>
      </c>
      <c r="Y1255" t="str">
        <f>IFERROR(VLOOKUP(Calculations[[#This Row],[Material (choose from dropdown]],MaterialData[#All],5,FALSE),"")</f>
        <v/>
      </c>
      <c r="Z1255" s="322">
        <f>IFERROR(((VLOOKUP(Calculations[[#This Row],[Waste type 2]],WasteDisposalEmissions[#All],2,FALSE))*Calculations[[#This Row],[Total Kg]])*VLOOKUP(Calculations[[#This Row],[Waste 1]],WasteScenario[#All],2,FALSE),0)</f>
        <v>0</v>
      </c>
      <c r="AA1255" s="322">
        <f>IFERROR((VLOOKUP(Calculations[[#This Row],[Waste type 2]],WasteDisposalEmissions[#All],3,FALSE))*Calculations[[#This Row],[Total Kg]]*VLOOKUP(Calculations[[#This Row],[Waste 1]],WasteScenario[#All],3,FALSE),0)</f>
        <v>0</v>
      </c>
      <c r="AB1255" s="322">
        <f>SUM(Calculations[[#This Row],[C3 recyc]:[C3 incin]])</f>
        <v>0</v>
      </c>
      <c r="AC1255" s="334">
        <f>IFERROR((VLOOKUP(Calculations[[#This Row],[Waste type 2]],WasteLandfillEmissions[#All],2,FALSE))*Calculations[[#This Row],[Total Kg]]*VLOOKUP(Calculations[[#This Row],[Waste 1]],WasteScenario[#All],4,FALSE),0)</f>
        <v>0</v>
      </c>
      <c r="AD1255" s="322">
        <f>IFERROR((VLOOKUP(Calculations[[#This Row],[Waste type 2]],WasteLandfillEmissions[#All],3,FALSE))*Calculations[[#This Row],[Total Kg]]*VLOOKUP(Calculations[[#This Row],[Waste 1]],WasteScenario[#All],4,FALSE),0)</f>
        <v>0</v>
      </c>
      <c r="AE1255" s="322">
        <f>SUM(Calculations[[#This Row],[C4 landfill]:[C4 re-use]])</f>
        <v>0</v>
      </c>
      <c r="AF1255" s="322">
        <f>IFERROR(VLOOKUP(Calculations[[#This Row],[Material (choose from dropdown]],MaterialData[#All],8,FALSE),0)</f>
        <v>0</v>
      </c>
      <c r="AG1255" s="322">
        <f>IFERROR(Calculations[[#This Row],[Total Kg]]*Calculations[[#This Row],[Seq factor]],0)</f>
        <v>0</v>
      </c>
      <c r="AI1255" s="322">
        <f>Calculations[[#This Row],[A1-3]]+Calculations[[#This Row],[A4]]+Calculations[[#This Row],[A5]]+Calculations[[#This Row],[B4]]+Calculations[[#This Row],[C2 total]]+Calculations[[#This Row],[C3 total]]+Calculations[[#This Row],[C4 total]]</f>
        <v>0</v>
      </c>
      <c r="AJ1255" s="2">
        <f>IFERROR(VLOOKUP(Calculations[[#This Row],[Material (choose from dropdown]],MaterialData[[#Headers],[#Data]],9,FALSE),0)</f>
        <v>0</v>
      </c>
      <c r="AK1255" s="4">
        <f>IFERROR(VLOOKUP(Calculations[[#This Row],[Material (choose from dropdown]],MaterialData[[#Headers],[#Data]],10,FALSE),0)</f>
        <v>0</v>
      </c>
      <c r="AL1255" s="322">
        <f>IFERROR(Calculations[[#This Row],[Data Quality Score]]*Calculations[[#This Row],[Total Kg]],0)</f>
        <v>0</v>
      </c>
    </row>
    <row r="1256" spans="1:38" x14ac:dyDescent="0.3">
      <c r="A1256" s="6">
        <f>IFERROR(MaterialsBoQ[[#This Row],[Scope Element]],0)</f>
        <v>0</v>
      </c>
      <c r="B1256" t="str">
        <f>IFERROR(MaterialsBoQ[[#This Row],[Material ]],"")</f>
        <v/>
      </c>
      <c r="C1256" t="str">
        <f>IFERROR(MaterialsBoQ[[#This Row],[Unit]],"")</f>
        <v/>
      </c>
      <c r="D1256" s="322">
        <f>IFERROR(MaterialsBoQ[[#This Row],[Number]],0)</f>
        <v>0</v>
      </c>
      <c r="E1256" s="322">
        <f>IFERROR(MaterialsBoQ[[#This Row],[Kg per unit]],0)</f>
        <v>0</v>
      </c>
      <c r="F1256" s="322">
        <f>IFERROR(Calculations[[#This Row],[Number]]*Calculations[[#This Row],[Conversion factor]],0)</f>
        <v>0</v>
      </c>
      <c r="G1256" s="322">
        <f>IFERROR(VLOOKUP(Calculations[[#This Row],[Material (choose from dropdown]],MaterialData[#All],7,FALSE),0)</f>
        <v>0</v>
      </c>
      <c r="H1256" s="322">
        <f>Calculations[[#This Row],[Total Kg]]*Calculations[[#This Row],[Carbon Factor]]</f>
        <v>0</v>
      </c>
      <c r="I1256" t="str">
        <f>IFERROR(VLOOKUP(Calculations[[#This Row],[Material (choose from dropdown]],MaterialData[#All],2,FALSE),"")</f>
        <v/>
      </c>
      <c r="J1256" s="322">
        <f>IFERROR(((VLOOKUP(Calculations[[#This Row],[TransportSource]],TransportDistance[],2,FALSE)*'Stage assumptions'!$C$11)+VLOOKUP(Calculations[[#This Row],[TransportSource]],TransportDistance[],3,FALSE)*'Stage assumptions'!$C$12)*Calculations[[#This Row],[Total Kg]],0)</f>
        <v>0</v>
      </c>
      <c r="K1256">
        <f>IFERROR(VLOOKUP(Calculations[[#This Row],[Material (choose from dropdown]], MaterialData[#All],3, FALSE),0)</f>
        <v>0</v>
      </c>
      <c r="L1256" s="322">
        <f>IFERROR(VLOOKUP(Calculations[[#This Row],[A5type]],A5WastageRate[#All],2,FALSE)*Calculations[[#This Row],[A1-3]],0)</f>
        <v>0</v>
      </c>
      <c r="N1256">
        <f>IFERROR(ROUNDUP(50/VLOOKUP(Calculations[[#This Row],[Scope Element]],B4referenceServiceLife[[Tier 2 element]:[Default Service Life]],2, FALSE)-1,0),0)</f>
        <v>0</v>
      </c>
      <c r="O1256" s="322">
        <f>IFERROR((Calculations[[#This Row],[A1-3]]+Calculations[[#This Row],[A4]]+Calculations[[#This Row],[A5]]+Calculations[[#This Row],[C2 total]]+Calculations[[#This Row],[C3 total]]+Calculations[[#This Row],[C4 total]])*Calculations[[#This Row],[Replacements]],0)</f>
        <v>0</v>
      </c>
      <c r="S1256" t="str">
        <f>IFERROR(VLOOKUP(Calculations[[#This Row],[Material (choose from dropdown]],MaterialData[#All],4,FALSE),"")</f>
        <v/>
      </c>
      <c r="T1256" s="322" cm="1">
        <f t="array" ref="T1256">IFERROR(VLOOKUP(Calculations[[#This Row],[Waste 1]],WasteScenario[#All],2,FALSE)*'Stage assumptions'!$C$225*WasteTransportMethod[Emissions Factor
kgCO2e/kg.km]*Calculations[[#This Row],[Total Kg]],0)</f>
        <v>0</v>
      </c>
      <c r="U1256" s="322" cm="1">
        <f t="array" ref="U1256">IFERROR(VLOOKUP(Calculations[[#This Row],[Waste 1]],WasteScenario[#All],3,FALSE)*'Stage assumptions'!$C$224*WasteTransportMethod[Emissions Factor
kgCO2e/kg.km]*Calculations[[#This Row],[Total Kg]],0)</f>
        <v>0</v>
      </c>
      <c r="V1256" s="322" cm="1">
        <f t="array" ref="V1256">IFERROR(VLOOKUP(Calculations[[#This Row],[Waste 1]],WasteScenario[#All],4,FALSE)*'Stage assumptions'!$C$223*WasteTransportMethod[Emissions Factor
kgCO2e/kg.km]*Calculations[[#This Row],[Total Kg]],0)</f>
        <v>0</v>
      </c>
      <c r="W1256" s="322" cm="1">
        <f t="array" ref="W1256">IFERROR(VLOOKUP(Calculations[[#This Row],[Waste 1]],WasteScenario[#All],5,FALSE)*'Stage assumptions'!$C$226*WasteTransportMethod[Emissions Factor
kgCO2e/kg.km]*Calculations[[#This Row],[Total Kg]],0)</f>
        <v>0</v>
      </c>
      <c r="X1256" s="322">
        <f>SUM(Calculations[[#This Row],[C2 Recycle]:[C2 Reuse]])</f>
        <v>0</v>
      </c>
      <c r="Y1256" t="str">
        <f>IFERROR(VLOOKUP(Calculations[[#This Row],[Material (choose from dropdown]],MaterialData[#All],5,FALSE),"")</f>
        <v/>
      </c>
      <c r="Z1256" s="322">
        <f>IFERROR(((VLOOKUP(Calculations[[#This Row],[Waste type 2]],WasteDisposalEmissions[#All],2,FALSE))*Calculations[[#This Row],[Total Kg]])*VLOOKUP(Calculations[[#This Row],[Waste 1]],WasteScenario[#All],2,FALSE),0)</f>
        <v>0</v>
      </c>
      <c r="AA1256" s="322">
        <f>IFERROR((VLOOKUP(Calculations[[#This Row],[Waste type 2]],WasteDisposalEmissions[#All],3,FALSE))*Calculations[[#This Row],[Total Kg]]*VLOOKUP(Calculations[[#This Row],[Waste 1]],WasteScenario[#All],3,FALSE),0)</f>
        <v>0</v>
      </c>
      <c r="AB1256" s="322">
        <f>SUM(Calculations[[#This Row],[C3 recyc]:[C3 incin]])</f>
        <v>0</v>
      </c>
      <c r="AC1256" s="334">
        <f>IFERROR((VLOOKUP(Calculations[[#This Row],[Waste type 2]],WasteLandfillEmissions[#All],2,FALSE))*Calculations[[#This Row],[Total Kg]]*VLOOKUP(Calculations[[#This Row],[Waste 1]],WasteScenario[#All],4,FALSE),0)</f>
        <v>0</v>
      </c>
      <c r="AD1256" s="322">
        <f>IFERROR((VLOOKUP(Calculations[[#This Row],[Waste type 2]],WasteLandfillEmissions[#All],3,FALSE))*Calculations[[#This Row],[Total Kg]]*VLOOKUP(Calculations[[#This Row],[Waste 1]],WasteScenario[#All],4,FALSE),0)</f>
        <v>0</v>
      </c>
      <c r="AE1256" s="322">
        <f>SUM(Calculations[[#This Row],[C4 landfill]:[C4 re-use]])</f>
        <v>0</v>
      </c>
      <c r="AF1256" s="322">
        <f>IFERROR(VLOOKUP(Calculations[[#This Row],[Material (choose from dropdown]],MaterialData[#All],8,FALSE),0)</f>
        <v>0</v>
      </c>
      <c r="AG1256" s="322">
        <f>IFERROR(Calculations[[#This Row],[Total Kg]]*Calculations[[#This Row],[Seq factor]],0)</f>
        <v>0</v>
      </c>
      <c r="AI1256" s="322">
        <f>Calculations[[#This Row],[A1-3]]+Calculations[[#This Row],[A4]]+Calculations[[#This Row],[A5]]+Calculations[[#This Row],[B4]]+Calculations[[#This Row],[C2 total]]+Calculations[[#This Row],[C3 total]]+Calculations[[#This Row],[C4 total]]</f>
        <v>0</v>
      </c>
      <c r="AJ1256" s="2">
        <f>IFERROR(VLOOKUP(Calculations[[#This Row],[Material (choose from dropdown]],MaterialData[[#Headers],[#Data]],9,FALSE),0)</f>
        <v>0</v>
      </c>
      <c r="AK1256" s="4">
        <f>IFERROR(VLOOKUP(Calculations[[#This Row],[Material (choose from dropdown]],MaterialData[[#Headers],[#Data]],10,FALSE),0)</f>
        <v>0</v>
      </c>
      <c r="AL1256" s="322">
        <f>IFERROR(Calculations[[#This Row],[Data Quality Score]]*Calculations[[#This Row],[Total Kg]],0)</f>
        <v>0</v>
      </c>
    </row>
    <row r="1257" spans="1:38" x14ac:dyDescent="0.3">
      <c r="A1257" s="6">
        <f>IFERROR(MaterialsBoQ[[#This Row],[Scope Element]],0)</f>
        <v>0</v>
      </c>
      <c r="B1257" t="str">
        <f>IFERROR(MaterialsBoQ[[#This Row],[Material ]],"")</f>
        <v/>
      </c>
      <c r="C1257" t="str">
        <f>IFERROR(MaterialsBoQ[[#This Row],[Unit]],"")</f>
        <v/>
      </c>
      <c r="D1257" s="322">
        <f>IFERROR(MaterialsBoQ[[#This Row],[Number]],0)</f>
        <v>0</v>
      </c>
      <c r="E1257" s="322">
        <f>IFERROR(MaterialsBoQ[[#This Row],[Kg per unit]],0)</f>
        <v>0</v>
      </c>
      <c r="F1257" s="322">
        <f>IFERROR(Calculations[[#This Row],[Number]]*Calculations[[#This Row],[Conversion factor]],0)</f>
        <v>0</v>
      </c>
      <c r="G1257" s="322">
        <f>IFERROR(VLOOKUP(Calculations[[#This Row],[Material (choose from dropdown]],MaterialData[#All],7,FALSE),0)</f>
        <v>0</v>
      </c>
      <c r="H1257" s="322">
        <f>Calculations[[#This Row],[Total Kg]]*Calculations[[#This Row],[Carbon Factor]]</f>
        <v>0</v>
      </c>
      <c r="I1257" t="str">
        <f>IFERROR(VLOOKUP(Calculations[[#This Row],[Material (choose from dropdown]],MaterialData[#All],2,FALSE),"")</f>
        <v/>
      </c>
      <c r="J1257" s="322">
        <f>IFERROR(((VLOOKUP(Calculations[[#This Row],[TransportSource]],TransportDistance[],2,FALSE)*'Stage assumptions'!$C$11)+VLOOKUP(Calculations[[#This Row],[TransportSource]],TransportDistance[],3,FALSE)*'Stage assumptions'!$C$12)*Calculations[[#This Row],[Total Kg]],0)</f>
        <v>0</v>
      </c>
      <c r="K1257">
        <f>IFERROR(VLOOKUP(Calculations[[#This Row],[Material (choose from dropdown]], MaterialData[#All],3, FALSE),0)</f>
        <v>0</v>
      </c>
      <c r="L1257" s="322">
        <f>IFERROR(VLOOKUP(Calculations[[#This Row],[A5type]],A5WastageRate[#All],2,FALSE)*Calculations[[#This Row],[A1-3]],0)</f>
        <v>0</v>
      </c>
      <c r="N1257">
        <f>IFERROR(ROUNDUP(50/VLOOKUP(Calculations[[#This Row],[Scope Element]],B4referenceServiceLife[[Tier 2 element]:[Default Service Life]],2, FALSE)-1,0),0)</f>
        <v>0</v>
      </c>
      <c r="O1257" s="322">
        <f>IFERROR((Calculations[[#This Row],[A1-3]]+Calculations[[#This Row],[A4]]+Calculations[[#This Row],[A5]]+Calculations[[#This Row],[C2 total]]+Calculations[[#This Row],[C3 total]]+Calculations[[#This Row],[C4 total]])*Calculations[[#This Row],[Replacements]],0)</f>
        <v>0</v>
      </c>
      <c r="S1257" t="str">
        <f>IFERROR(VLOOKUP(Calculations[[#This Row],[Material (choose from dropdown]],MaterialData[#All],4,FALSE),"")</f>
        <v/>
      </c>
      <c r="T1257" s="322" cm="1">
        <f t="array" ref="T1257">IFERROR(VLOOKUP(Calculations[[#This Row],[Waste 1]],WasteScenario[#All],2,FALSE)*'Stage assumptions'!$C$225*WasteTransportMethod[Emissions Factor
kgCO2e/kg.km]*Calculations[[#This Row],[Total Kg]],0)</f>
        <v>0</v>
      </c>
      <c r="U1257" s="322" cm="1">
        <f t="array" ref="U1257">IFERROR(VLOOKUP(Calculations[[#This Row],[Waste 1]],WasteScenario[#All],3,FALSE)*'Stage assumptions'!$C$224*WasteTransportMethod[Emissions Factor
kgCO2e/kg.km]*Calculations[[#This Row],[Total Kg]],0)</f>
        <v>0</v>
      </c>
      <c r="V1257" s="322" cm="1">
        <f t="array" ref="V1257">IFERROR(VLOOKUP(Calculations[[#This Row],[Waste 1]],WasteScenario[#All],4,FALSE)*'Stage assumptions'!$C$223*WasteTransportMethod[Emissions Factor
kgCO2e/kg.km]*Calculations[[#This Row],[Total Kg]],0)</f>
        <v>0</v>
      </c>
      <c r="W1257" s="322" cm="1">
        <f t="array" ref="W1257">IFERROR(VLOOKUP(Calculations[[#This Row],[Waste 1]],WasteScenario[#All],5,FALSE)*'Stage assumptions'!$C$226*WasteTransportMethod[Emissions Factor
kgCO2e/kg.km]*Calculations[[#This Row],[Total Kg]],0)</f>
        <v>0</v>
      </c>
      <c r="X1257" s="322">
        <f>SUM(Calculations[[#This Row],[C2 Recycle]:[C2 Reuse]])</f>
        <v>0</v>
      </c>
      <c r="Y1257" t="str">
        <f>IFERROR(VLOOKUP(Calculations[[#This Row],[Material (choose from dropdown]],MaterialData[#All],5,FALSE),"")</f>
        <v/>
      </c>
      <c r="Z1257" s="322">
        <f>IFERROR(((VLOOKUP(Calculations[[#This Row],[Waste type 2]],WasteDisposalEmissions[#All],2,FALSE))*Calculations[[#This Row],[Total Kg]])*VLOOKUP(Calculations[[#This Row],[Waste 1]],WasteScenario[#All],2,FALSE),0)</f>
        <v>0</v>
      </c>
      <c r="AA1257" s="322">
        <f>IFERROR((VLOOKUP(Calculations[[#This Row],[Waste type 2]],WasteDisposalEmissions[#All],3,FALSE))*Calculations[[#This Row],[Total Kg]]*VLOOKUP(Calculations[[#This Row],[Waste 1]],WasteScenario[#All],3,FALSE),0)</f>
        <v>0</v>
      </c>
      <c r="AB1257" s="322">
        <f>SUM(Calculations[[#This Row],[C3 recyc]:[C3 incin]])</f>
        <v>0</v>
      </c>
      <c r="AC1257" s="334">
        <f>IFERROR((VLOOKUP(Calculations[[#This Row],[Waste type 2]],WasteLandfillEmissions[#All],2,FALSE))*Calculations[[#This Row],[Total Kg]]*VLOOKUP(Calculations[[#This Row],[Waste 1]],WasteScenario[#All],4,FALSE),0)</f>
        <v>0</v>
      </c>
      <c r="AD1257" s="322">
        <f>IFERROR((VLOOKUP(Calculations[[#This Row],[Waste type 2]],WasteLandfillEmissions[#All],3,FALSE))*Calculations[[#This Row],[Total Kg]]*VLOOKUP(Calculations[[#This Row],[Waste 1]],WasteScenario[#All],4,FALSE),0)</f>
        <v>0</v>
      </c>
      <c r="AE1257" s="322">
        <f>SUM(Calculations[[#This Row],[C4 landfill]:[C4 re-use]])</f>
        <v>0</v>
      </c>
      <c r="AF1257" s="322">
        <f>IFERROR(VLOOKUP(Calculations[[#This Row],[Material (choose from dropdown]],MaterialData[#All],8,FALSE),0)</f>
        <v>0</v>
      </c>
      <c r="AG1257" s="322">
        <f>IFERROR(Calculations[[#This Row],[Total Kg]]*Calculations[[#This Row],[Seq factor]],0)</f>
        <v>0</v>
      </c>
      <c r="AI1257" s="322">
        <f>Calculations[[#This Row],[A1-3]]+Calculations[[#This Row],[A4]]+Calculations[[#This Row],[A5]]+Calculations[[#This Row],[B4]]+Calculations[[#This Row],[C2 total]]+Calculations[[#This Row],[C3 total]]+Calculations[[#This Row],[C4 total]]</f>
        <v>0</v>
      </c>
      <c r="AJ1257" s="2">
        <f>IFERROR(VLOOKUP(Calculations[[#This Row],[Material (choose from dropdown]],MaterialData[[#Headers],[#Data]],9,FALSE),0)</f>
        <v>0</v>
      </c>
      <c r="AK1257" s="4">
        <f>IFERROR(VLOOKUP(Calculations[[#This Row],[Material (choose from dropdown]],MaterialData[[#Headers],[#Data]],10,FALSE),0)</f>
        <v>0</v>
      </c>
      <c r="AL1257" s="322">
        <f>IFERROR(Calculations[[#This Row],[Data Quality Score]]*Calculations[[#This Row],[Total Kg]],0)</f>
        <v>0</v>
      </c>
    </row>
    <row r="1258" spans="1:38" x14ac:dyDescent="0.3">
      <c r="A1258" s="6">
        <f>IFERROR(MaterialsBoQ[[#This Row],[Scope Element]],0)</f>
        <v>0</v>
      </c>
      <c r="B1258" t="str">
        <f>IFERROR(MaterialsBoQ[[#This Row],[Material ]],"")</f>
        <v/>
      </c>
      <c r="C1258" t="str">
        <f>IFERROR(MaterialsBoQ[[#This Row],[Unit]],"")</f>
        <v/>
      </c>
      <c r="D1258" s="322">
        <f>IFERROR(MaterialsBoQ[[#This Row],[Number]],0)</f>
        <v>0</v>
      </c>
      <c r="E1258" s="322">
        <f>IFERROR(MaterialsBoQ[[#This Row],[Kg per unit]],0)</f>
        <v>0</v>
      </c>
      <c r="F1258" s="322">
        <f>IFERROR(Calculations[[#This Row],[Number]]*Calculations[[#This Row],[Conversion factor]],0)</f>
        <v>0</v>
      </c>
      <c r="G1258" s="322">
        <f>IFERROR(VLOOKUP(Calculations[[#This Row],[Material (choose from dropdown]],MaterialData[#All],7,FALSE),0)</f>
        <v>0</v>
      </c>
      <c r="H1258" s="322">
        <f>Calculations[[#This Row],[Total Kg]]*Calculations[[#This Row],[Carbon Factor]]</f>
        <v>0</v>
      </c>
      <c r="I1258" t="str">
        <f>IFERROR(VLOOKUP(Calculations[[#This Row],[Material (choose from dropdown]],MaterialData[#All],2,FALSE),"")</f>
        <v/>
      </c>
      <c r="J1258" s="322">
        <f>IFERROR(((VLOOKUP(Calculations[[#This Row],[TransportSource]],TransportDistance[],2,FALSE)*'Stage assumptions'!$C$11)+VLOOKUP(Calculations[[#This Row],[TransportSource]],TransportDistance[],3,FALSE)*'Stage assumptions'!$C$12)*Calculations[[#This Row],[Total Kg]],0)</f>
        <v>0</v>
      </c>
      <c r="K1258">
        <f>IFERROR(VLOOKUP(Calculations[[#This Row],[Material (choose from dropdown]], MaterialData[#All],3, FALSE),0)</f>
        <v>0</v>
      </c>
      <c r="L1258" s="322">
        <f>IFERROR(VLOOKUP(Calculations[[#This Row],[A5type]],A5WastageRate[#All],2,FALSE)*Calculations[[#This Row],[A1-3]],0)</f>
        <v>0</v>
      </c>
      <c r="N1258">
        <f>IFERROR(ROUNDUP(50/VLOOKUP(Calculations[[#This Row],[Scope Element]],B4referenceServiceLife[[Tier 2 element]:[Default Service Life]],2, FALSE)-1,0),0)</f>
        <v>0</v>
      </c>
      <c r="O1258" s="322">
        <f>IFERROR((Calculations[[#This Row],[A1-3]]+Calculations[[#This Row],[A4]]+Calculations[[#This Row],[A5]]+Calculations[[#This Row],[C2 total]]+Calculations[[#This Row],[C3 total]]+Calculations[[#This Row],[C4 total]])*Calculations[[#This Row],[Replacements]],0)</f>
        <v>0</v>
      </c>
      <c r="S1258" t="str">
        <f>IFERROR(VLOOKUP(Calculations[[#This Row],[Material (choose from dropdown]],MaterialData[#All],4,FALSE),"")</f>
        <v/>
      </c>
      <c r="T1258" s="322" cm="1">
        <f t="array" ref="T1258">IFERROR(VLOOKUP(Calculations[[#This Row],[Waste 1]],WasteScenario[#All],2,FALSE)*'Stage assumptions'!$C$225*WasteTransportMethod[Emissions Factor
kgCO2e/kg.km]*Calculations[[#This Row],[Total Kg]],0)</f>
        <v>0</v>
      </c>
      <c r="U1258" s="322" cm="1">
        <f t="array" ref="U1258">IFERROR(VLOOKUP(Calculations[[#This Row],[Waste 1]],WasteScenario[#All],3,FALSE)*'Stage assumptions'!$C$224*WasteTransportMethod[Emissions Factor
kgCO2e/kg.km]*Calculations[[#This Row],[Total Kg]],0)</f>
        <v>0</v>
      </c>
      <c r="V1258" s="322" cm="1">
        <f t="array" ref="V1258">IFERROR(VLOOKUP(Calculations[[#This Row],[Waste 1]],WasteScenario[#All],4,FALSE)*'Stage assumptions'!$C$223*WasteTransportMethod[Emissions Factor
kgCO2e/kg.km]*Calculations[[#This Row],[Total Kg]],0)</f>
        <v>0</v>
      </c>
      <c r="W1258" s="322" cm="1">
        <f t="array" ref="W1258">IFERROR(VLOOKUP(Calculations[[#This Row],[Waste 1]],WasteScenario[#All],5,FALSE)*'Stage assumptions'!$C$226*WasteTransportMethod[Emissions Factor
kgCO2e/kg.km]*Calculations[[#This Row],[Total Kg]],0)</f>
        <v>0</v>
      </c>
      <c r="X1258" s="322">
        <f>SUM(Calculations[[#This Row],[C2 Recycle]:[C2 Reuse]])</f>
        <v>0</v>
      </c>
      <c r="Y1258" t="str">
        <f>IFERROR(VLOOKUP(Calculations[[#This Row],[Material (choose from dropdown]],MaterialData[#All],5,FALSE),"")</f>
        <v/>
      </c>
      <c r="Z1258" s="322">
        <f>IFERROR(((VLOOKUP(Calculations[[#This Row],[Waste type 2]],WasteDisposalEmissions[#All],2,FALSE))*Calculations[[#This Row],[Total Kg]])*VLOOKUP(Calculations[[#This Row],[Waste 1]],WasteScenario[#All],2,FALSE),0)</f>
        <v>0</v>
      </c>
      <c r="AA1258" s="322">
        <f>IFERROR((VLOOKUP(Calculations[[#This Row],[Waste type 2]],WasteDisposalEmissions[#All],3,FALSE))*Calculations[[#This Row],[Total Kg]]*VLOOKUP(Calculations[[#This Row],[Waste 1]],WasteScenario[#All],3,FALSE),0)</f>
        <v>0</v>
      </c>
      <c r="AB1258" s="322">
        <f>SUM(Calculations[[#This Row],[C3 recyc]:[C3 incin]])</f>
        <v>0</v>
      </c>
      <c r="AC1258" s="334">
        <f>IFERROR((VLOOKUP(Calculations[[#This Row],[Waste type 2]],WasteLandfillEmissions[#All],2,FALSE))*Calculations[[#This Row],[Total Kg]]*VLOOKUP(Calculations[[#This Row],[Waste 1]],WasteScenario[#All],4,FALSE),0)</f>
        <v>0</v>
      </c>
      <c r="AD1258" s="322">
        <f>IFERROR((VLOOKUP(Calculations[[#This Row],[Waste type 2]],WasteLandfillEmissions[#All],3,FALSE))*Calculations[[#This Row],[Total Kg]]*VLOOKUP(Calculations[[#This Row],[Waste 1]],WasteScenario[#All],4,FALSE),0)</f>
        <v>0</v>
      </c>
      <c r="AE1258" s="322">
        <f>SUM(Calculations[[#This Row],[C4 landfill]:[C4 re-use]])</f>
        <v>0</v>
      </c>
      <c r="AF1258" s="322">
        <f>IFERROR(VLOOKUP(Calculations[[#This Row],[Material (choose from dropdown]],MaterialData[#All],8,FALSE),0)</f>
        <v>0</v>
      </c>
      <c r="AG1258" s="322">
        <f>IFERROR(Calculations[[#This Row],[Total Kg]]*Calculations[[#This Row],[Seq factor]],0)</f>
        <v>0</v>
      </c>
      <c r="AI1258" s="322">
        <f>Calculations[[#This Row],[A1-3]]+Calculations[[#This Row],[A4]]+Calculations[[#This Row],[A5]]+Calculations[[#This Row],[B4]]+Calculations[[#This Row],[C2 total]]+Calculations[[#This Row],[C3 total]]+Calculations[[#This Row],[C4 total]]</f>
        <v>0</v>
      </c>
      <c r="AJ1258" s="2">
        <f>IFERROR(VLOOKUP(Calculations[[#This Row],[Material (choose from dropdown]],MaterialData[[#Headers],[#Data]],9,FALSE),0)</f>
        <v>0</v>
      </c>
      <c r="AK1258" s="4">
        <f>IFERROR(VLOOKUP(Calculations[[#This Row],[Material (choose from dropdown]],MaterialData[[#Headers],[#Data]],10,FALSE),0)</f>
        <v>0</v>
      </c>
      <c r="AL1258" s="322">
        <f>IFERROR(Calculations[[#This Row],[Data Quality Score]]*Calculations[[#This Row],[Total Kg]],0)</f>
        <v>0</v>
      </c>
    </row>
    <row r="1259" spans="1:38" x14ac:dyDescent="0.3">
      <c r="A1259" s="6">
        <f>IFERROR(MaterialsBoQ[[#This Row],[Scope Element]],0)</f>
        <v>0</v>
      </c>
      <c r="B1259" t="str">
        <f>IFERROR(MaterialsBoQ[[#This Row],[Material ]],"")</f>
        <v/>
      </c>
      <c r="C1259" t="str">
        <f>IFERROR(MaterialsBoQ[[#This Row],[Unit]],"")</f>
        <v/>
      </c>
      <c r="D1259" s="322">
        <f>IFERROR(MaterialsBoQ[[#This Row],[Number]],0)</f>
        <v>0</v>
      </c>
      <c r="E1259" s="322">
        <f>IFERROR(MaterialsBoQ[[#This Row],[Kg per unit]],0)</f>
        <v>0</v>
      </c>
      <c r="F1259" s="322">
        <f>IFERROR(Calculations[[#This Row],[Number]]*Calculations[[#This Row],[Conversion factor]],0)</f>
        <v>0</v>
      </c>
      <c r="G1259" s="322">
        <f>IFERROR(VLOOKUP(Calculations[[#This Row],[Material (choose from dropdown]],MaterialData[#All],7,FALSE),0)</f>
        <v>0</v>
      </c>
      <c r="H1259" s="322">
        <f>Calculations[[#This Row],[Total Kg]]*Calculations[[#This Row],[Carbon Factor]]</f>
        <v>0</v>
      </c>
      <c r="I1259" t="str">
        <f>IFERROR(VLOOKUP(Calculations[[#This Row],[Material (choose from dropdown]],MaterialData[#All],2,FALSE),"")</f>
        <v/>
      </c>
      <c r="J1259" s="322">
        <f>IFERROR(((VLOOKUP(Calculations[[#This Row],[TransportSource]],TransportDistance[],2,FALSE)*'Stage assumptions'!$C$11)+VLOOKUP(Calculations[[#This Row],[TransportSource]],TransportDistance[],3,FALSE)*'Stage assumptions'!$C$12)*Calculations[[#This Row],[Total Kg]],0)</f>
        <v>0</v>
      </c>
      <c r="K1259">
        <f>IFERROR(VLOOKUP(Calculations[[#This Row],[Material (choose from dropdown]], MaterialData[#All],3, FALSE),0)</f>
        <v>0</v>
      </c>
      <c r="L1259" s="322">
        <f>IFERROR(VLOOKUP(Calculations[[#This Row],[A5type]],A5WastageRate[#All],2,FALSE)*Calculations[[#This Row],[A1-3]],0)</f>
        <v>0</v>
      </c>
      <c r="N1259">
        <f>IFERROR(ROUNDUP(50/VLOOKUP(Calculations[[#This Row],[Scope Element]],B4referenceServiceLife[[Tier 2 element]:[Default Service Life]],2, FALSE)-1,0),0)</f>
        <v>0</v>
      </c>
      <c r="O1259" s="322">
        <f>IFERROR((Calculations[[#This Row],[A1-3]]+Calculations[[#This Row],[A4]]+Calculations[[#This Row],[A5]]+Calculations[[#This Row],[C2 total]]+Calculations[[#This Row],[C3 total]]+Calculations[[#This Row],[C4 total]])*Calculations[[#This Row],[Replacements]],0)</f>
        <v>0</v>
      </c>
      <c r="S1259" t="str">
        <f>IFERROR(VLOOKUP(Calculations[[#This Row],[Material (choose from dropdown]],MaterialData[#All],4,FALSE),"")</f>
        <v/>
      </c>
      <c r="T1259" s="322" cm="1">
        <f t="array" ref="T1259">IFERROR(VLOOKUP(Calculations[[#This Row],[Waste 1]],WasteScenario[#All],2,FALSE)*'Stage assumptions'!$C$225*WasteTransportMethod[Emissions Factor
kgCO2e/kg.km]*Calculations[[#This Row],[Total Kg]],0)</f>
        <v>0</v>
      </c>
      <c r="U1259" s="322" cm="1">
        <f t="array" ref="U1259">IFERROR(VLOOKUP(Calculations[[#This Row],[Waste 1]],WasteScenario[#All],3,FALSE)*'Stage assumptions'!$C$224*WasteTransportMethod[Emissions Factor
kgCO2e/kg.km]*Calculations[[#This Row],[Total Kg]],0)</f>
        <v>0</v>
      </c>
      <c r="V1259" s="322" cm="1">
        <f t="array" ref="V1259">IFERROR(VLOOKUP(Calculations[[#This Row],[Waste 1]],WasteScenario[#All],4,FALSE)*'Stage assumptions'!$C$223*WasteTransportMethod[Emissions Factor
kgCO2e/kg.km]*Calculations[[#This Row],[Total Kg]],0)</f>
        <v>0</v>
      </c>
      <c r="W1259" s="322" cm="1">
        <f t="array" ref="W1259">IFERROR(VLOOKUP(Calculations[[#This Row],[Waste 1]],WasteScenario[#All],5,FALSE)*'Stage assumptions'!$C$226*WasteTransportMethod[Emissions Factor
kgCO2e/kg.km]*Calculations[[#This Row],[Total Kg]],0)</f>
        <v>0</v>
      </c>
      <c r="X1259" s="322">
        <f>SUM(Calculations[[#This Row],[C2 Recycle]:[C2 Reuse]])</f>
        <v>0</v>
      </c>
      <c r="Y1259" t="str">
        <f>IFERROR(VLOOKUP(Calculations[[#This Row],[Material (choose from dropdown]],MaterialData[#All],5,FALSE),"")</f>
        <v/>
      </c>
      <c r="Z1259" s="322">
        <f>IFERROR(((VLOOKUP(Calculations[[#This Row],[Waste type 2]],WasteDisposalEmissions[#All],2,FALSE))*Calculations[[#This Row],[Total Kg]])*VLOOKUP(Calculations[[#This Row],[Waste 1]],WasteScenario[#All],2,FALSE),0)</f>
        <v>0</v>
      </c>
      <c r="AA1259" s="322">
        <f>IFERROR((VLOOKUP(Calculations[[#This Row],[Waste type 2]],WasteDisposalEmissions[#All],3,FALSE))*Calculations[[#This Row],[Total Kg]]*VLOOKUP(Calculations[[#This Row],[Waste 1]],WasteScenario[#All],3,FALSE),0)</f>
        <v>0</v>
      </c>
      <c r="AB1259" s="322">
        <f>SUM(Calculations[[#This Row],[C3 recyc]:[C3 incin]])</f>
        <v>0</v>
      </c>
      <c r="AC1259" s="334">
        <f>IFERROR((VLOOKUP(Calculations[[#This Row],[Waste type 2]],WasteLandfillEmissions[#All],2,FALSE))*Calculations[[#This Row],[Total Kg]]*VLOOKUP(Calculations[[#This Row],[Waste 1]],WasteScenario[#All],4,FALSE),0)</f>
        <v>0</v>
      </c>
      <c r="AD1259" s="322">
        <f>IFERROR((VLOOKUP(Calculations[[#This Row],[Waste type 2]],WasteLandfillEmissions[#All],3,FALSE))*Calculations[[#This Row],[Total Kg]]*VLOOKUP(Calculations[[#This Row],[Waste 1]],WasteScenario[#All],4,FALSE),0)</f>
        <v>0</v>
      </c>
      <c r="AE1259" s="322">
        <f>SUM(Calculations[[#This Row],[C4 landfill]:[C4 re-use]])</f>
        <v>0</v>
      </c>
      <c r="AF1259" s="322">
        <f>IFERROR(VLOOKUP(Calculations[[#This Row],[Material (choose from dropdown]],MaterialData[#All],8,FALSE),0)</f>
        <v>0</v>
      </c>
      <c r="AG1259" s="322">
        <f>IFERROR(Calculations[[#This Row],[Total Kg]]*Calculations[[#This Row],[Seq factor]],0)</f>
        <v>0</v>
      </c>
      <c r="AI1259" s="322">
        <f>Calculations[[#This Row],[A1-3]]+Calculations[[#This Row],[A4]]+Calculations[[#This Row],[A5]]+Calculations[[#This Row],[B4]]+Calculations[[#This Row],[C2 total]]+Calculations[[#This Row],[C3 total]]+Calculations[[#This Row],[C4 total]]</f>
        <v>0</v>
      </c>
      <c r="AJ1259" s="2">
        <f>IFERROR(VLOOKUP(Calculations[[#This Row],[Material (choose from dropdown]],MaterialData[[#Headers],[#Data]],9,FALSE),0)</f>
        <v>0</v>
      </c>
      <c r="AK1259" s="4">
        <f>IFERROR(VLOOKUP(Calculations[[#This Row],[Material (choose from dropdown]],MaterialData[[#Headers],[#Data]],10,FALSE),0)</f>
        <v>0</v>
      </c>
      <c r="AL1259" s="322">
        <f>IFERROR(Calculations[[#This Row],[Data Quality Score]]*Calculations[[#This Row],[Total Kg]],0)</f>
        <v>0</v>
      </c>
    </row>
    <row r="1260" spans="1:38" x14ac:dyDescent="0.3">
      <c r="A1260" s="6">
        <f>IFERROR(MaterialsBoQ[[#This Row],[Scope Element]],0)</f>
        <v>0</v>
      </c>
      <c r="B1260" t="str">
        <f>IFERROR(MaterialsBoQ[[#This Row],[Material ]],"")</f>
        <v/>
      </c>
      <c r="C1260" t="str">
        <f>IFERROR(MaterialsBoQ[[#This Row],[Unit]],"")</f>
        <v/>
      </c>
      <c r="D1260" s="322">
        <f>IFERROR(MaterialsBoQ[[#This Row],[Number]],0)</f>
        <v>0</v>
      </c>
      <c r="E1260" s="322">
        <f>IFERROR(MaterialsBoQ[[#This Row],[Kg per unit]],0)</f>
        <v>0</v>
      </c>
      <c r="F1260" s="322">
        <f>IFERROR(Calculations[[#This Row],[Number]]*Calculations[[#This Row],[Conversion factor]],0)</f>
        <v>0</v>
      </c>
      <c r="G1260" s="322">
        <f>IFERROR(VLOOKUP(Calculations[[#This Row],[Material (choose from dropdown]],MaterialData[#All],7,FALSE),0)</f>
        <v>0</v>
      </c>
      <c r="H1260" s="322">
        <f>Calculations[[#This Row],[Total Kg]]*Calculations[[#This Row],[Carbon Factor]]</f>
        <v>0</v>
      </c>
      <c r="I1260" t="str">
        <f>IFERROR(VLOOKUP(Calculations[[#This Row],[Material (choose from dropdown]],MaterialData[#All],2,FALSE),"")</f>
        <v/>
      </c>
      <c r="J1260" s="322">
        <f>IFERROR(((VLOOKUP(Calculations[[#This Row],[TransportSource]],TransportDistance[],2,FALSE)*'Stage assumptions'!$C$11)+VLOOKUP(Calculations[[#This Row],[TransportSource]],TransportDistance[],3,FALSE)*'Stage assumptions'!$C$12)*Calculations[[#This Row],[Total Kg]],0)</f>
        <v>0</v>
      </c>
      <c r="K1260">
        <f>IFERROR(VLOOKUP(Calculations[[#This Row],[Material (choose from dropdown]], MaterialData[#All],3, FALSE),0)</f>
        <v>0</v>
      </c>
      <c r="L1260" s="322">
        <f>IFERROR(VLOOKUP(Calculations[[#This Row],[A5type]],A5WastageRate[#All],2,FALSE)*Calculations[[#This Row],[A1-3]],0)</f>
        <v>0</v>
      </c>
      <c r="N1260">
        <f>IFERROR(ROUNDUP(50/VLOOKUP(Calculations[[#This Row],[Scope Element]],B4referenceServiceLife[[Tier 2 element]:[Default Service Life]],2, FALSE)-1,0),0)</f>
        <v>0</v>
      </c>
      <c r="O1260" s="322">
        <f>IFERROR((Calculations[[#This Row],[A1-3]]+Calculations[[#This Row],[A4]]+Calculations[[#This Row],[A5]]+Calculations[[#This Row],[C2 total]]+Calculations[[#This Row],[C3 total]]+Calculations[[#This Row],[C4 total]])*Calculations[[#This Row],[Replacements]],0)</f>
        <v>0</v>
      </c>
      <c r="S1260" t="str">
        <f>IFERROR(VLOOKUP(Calculations[[#This Row],[Material (choose from dropdown]],MaterialData[#All],4,FALSE),"")</f>
        <v/>
      </c>
      <c r="T1260" s="322" cm="1">
        <f t="array" ref="T1260">IFERROR(VLOOKUP(Calculations[[#This Row],[Waste 1]],WasteScenario[#All],2,FALSE)*'Stage assumptions'!$C$225*WasteTransportMethod[Emissions Factor
kgCO2e/kg.km]*Calculations[[#This Row],[Total Kg]],0)</f>
        <v>0</v>
      </c>
      <c r="U1260" s="322" cm="1">
        <f t="array" ref="U1260">IFERROR(VLOOKUP(Calculations[[#This Row],[Waste 1]],WasteScenario[#All],3,FALSE)*'Stage assumptions'!$C$224*WasteTransportMethod[Emissions Factor
kgCO2e/kg.km]*Calculations[[#This Row],[Total Kg]],0)</f>
        <v>0</v>
      </c>
      <c r="V1260" s="322" cm="1">
        <f t="array" ref="V1260">IFERROR(VLOOKUP(Calculations[[#This Row],[Waste 1]],WasteScenario[#All],4,FALSE)*'Stage assumptions'!$C$223*WasteTransportMethod[Emissions Factor
kgCO2e/kg.km]*Calculations[[#This Row],[Total Kg]],0)</f>
        <v>0</v>
      </c>
      <c r="W1260" s="322" cm="1">
        <f t="array" ref="W1260">IFERROR(VLOOKUP(Calculations[[#This Row],[Waste 1]],WasteScenario[#All],5,FALSE)*'Stage assumptions'!$C$226*WasteTransportMethod[Emissions Factor
kgCO2e/kg.km]*Calculations[[#This Row],[Total Kg]],0)</f>
        <v>0</v>
      </c>
      <c r="X1260" s="322">
        <f>SUM(Calculations[[#This Row],[C2 Recycle]:[C2 Reuse]])</f>
        <v>0</v>
      </c>
      <c r="Y1260" t="str">
        <f>IFERROR(VLOOKUP(Calculations[[#This Row],[Material (choose from dropdown]],MaterialData[#All],5,FALSE),"")</f>
        <v/>
      </c>
      <c r="Z1260" s="322">
        <f>IFERROR(((VLOOKUP(Calculations[[#This Row],[Waste type 2]],WasteDisposalEmissions[#All],2,FALSE))*Calculations[[#This Row],[Total Kg]])*VLOOKUP(Calculations[[#This Row],[Waste 1]],WasteScenario[#All],2,FALSE),0)</f>
        <v>0</v>
      </c>
      <c r="AA1260" s="322">
        <f>IFERROR((VLOOKUP(Calculations[[#This Row],[Waste type 2]],WasteDisposalEmissions[#All],3,FALSE))*Calculations[[#This Row],[Total Kg]]*VLOOKUP(Calculations[[#This Row],[Waste 1]],WasteScenario[#All],3,FALSE),0)</f>
        <v>0</v>
      </c>
      <c r="AB1260" s="322">
        <f>SUM(Calculations[[#This Row],[C3 recyc]:[C3 incin]])</f>
        <v>0</v>
      </c>
      <c r="AC1260" s="334">
        <f>IFERROR((VLOOKUP(Calculations[[#This Row],[Waste type 2]],WasteLandfillEmissions[#All],2,FALSE))*Calculations[[#This Row],[Total Kg]]*VLOOKUP(Calculations[[#This Row],[Waste 1]],WasteScenario[#All],4,FALSE),0)</f>
        <v>0</v>
      </c>
      <c r="AD1260" s="322">
        <f>IFERROR((VLOOKUP(Calculations[[#This Row],[Waste type 2]],WasteLandfillEmissions[#All],3,FALSE))*Calculations[[#This Row],[Total Kg]]*VLOOKUP(Calculations[[#This Row],[Waste 1]],WasteScenario[#All],4,FALSE),0)</f>
        <v>0</v>
      </c>
      <c r="AE1260" s="322">
        <f>SUM(Calculations[[#This Row],[C4 landfill]:[C4 re-use]])</f>
        <v>0</v>
      </c>
      <c r="AF1260" s="322">
        <f>IFERROR(VLOOKUP(Calculations[[#This Row],[Material (choose from dropdown]],MaterialData[#All],8,FALSE),0)</f>
        <v>0</v>
      </c>
      <c r="AG1260" s="322">
        <f>IFERROR(Calculations[[#This Row],[Total Kg]]*Calculations[[#This Row],[Seq factor]],0)</f>
        <v>0</v>
      </c>
      <c r="AI1260" s="322">
        <f>Calculations[[#This Row],[A1-3]]+Calculations[[#This Row],[A4]]+Calculations[[#This Row],[A5]]+Calculations[[#This Row],[B4]]+Calculations[[#This Row],[C2 total]]+Calculations[[#This Row],[C3 total]]+Calculations[[#This Row],[C4 total]]</f>
        <v>0</v>
      </c>
      <c r="AJ1260" s="2">
        <f>IFERROR(VLOOKUP(Calculations[[#This Row],[Material (choose from dropdown]],MaterialData[[#Headers],[#Data]],9,FALSE),0)</f>
        <v>0</v>
      </c>
      <c r="AK1260" s="4">
        <f>IFERROR(VLOOKUP(Calculations[[#This Row],[Material (choose from dropdown]],MaterialData[[#Headers],[#Data]],10,FALSE),0)</f>
        <v>0</v>
      </c>
      <c r="AL1260" s="322">
        <f>IFERROR(Calculations[[#This Row],[Data Quality Score]]*Calculations[[#This Row],[Total Kg]],0)</f>
        <v>0</v>
      </c>
    </row>
    <row r="1261" spans="1:38" x14ac:dyDescent="0.3">
      <c r="A1261" s="6">
        <f>IFERROR(MaterialsBoQ[[#This Row],[Scope Element]],0)</f>
        <v>0</v>
      </c>
      <c r="B1261" t="str">
        <f>IFERROR(MaterialsBoQ[[#This Row],[Material ]],"")</f>
        <v/>
      </c>
      <c r="C1261" t="str">
        <f>IFERROR(MaterialsBoQ[[#This Row],[Unit]],"")</f>
        <v/>
      </c>
      <c r="D1261" s="322">
        <f>IFERROR(MaterialsBoQ[[#This Row],[Number]],0)</f>
        <v>0</v>
      </c>
      <c r="E1261" s="322">
        <f>IFERROR(MaterialsBoQ[[#This Row],[Kg per unit]],0)</f>
        <v>0</v>
      </c>
      <c r="F1261" s="322">
        <f>IFERROR(Calculations[[#This Row],[Number]]*Calculations[[#This Row],[Conversion factor]],0)</f>
        <v>0</v>
      </c>
      <c r="G1261" s="322">
        <f>IFERROR(VLOOKUP(Calculations[[#This Row],[Material (choose from dropdown]],MaterialData[#All],7,FALSE),0)</f>
        <v>0</v>
      </c>
      <c r="H1261" s="322">
        <f>Calculations[[#This Row],[Total Kg]]*Calculations[[#This Row],[Carbon Factor]]</f>
        <v>0</v>
      </c>
      <c r="I1261" t="str">
        <f>IFERROR(VLOOKUP(Calculations[[#This Row],[Material (choose from dropdown]],MaterialData[#All],2,FALSE),"")</f>
        <v/>
      </c>
      <c r="J1261" s="322">
        <f>IFERROR(((VLOOKUP(Calculations[[#This Row],[TransportSource]],TransportDistance[],2,FALSE)*'Stage assumptions'!$C$11)+VLOOKUP(Calculations[[#This Row],[TransportSource]],TransportDistance[],3,FALSE)*'Stage assumptions'!$C$12)*Calculations[[#This Row],[Total Kg]],0)</f>
        <v>0</v>
      </c>
      <c r="K1261">
        <f>IFERROR(VLOOKUP(Calculations[[#This Row],[Material (choose from dropdown]], MaterialData[#All],3, FALSE),0)</f>
        <v>0</v>
      </c>
      <c r="L1261" s="322">
        <f>IFERROR(VLOOKUP(Calculations[[#This Row],[A5type]],A5WastageRate[#All],2,FALSE)*Calculations[[#This Row],[A1-3]],0)</f>
        <v>0</v>
      </c>
      <c r="N1261">
        <f>IFERROR(ROUNDUP(50/VLOOKUP(Calculations[[#This Row],[Scope Element]],B4referenceServiceLife[[Tier 2 element]:[Default Service Life]],2, FALSE)-1,0),0)</f>
        <v>0</v>
      </c>
      <c r="O1261" s="322">
        <f>IFERROR((Calculations[[#This Row],[A1-3]]+Calculations[[#This Row],[A4]]+Calculations[[#This Row],[A5]]+Calculations[[#This Row],[C2 total]]+Calculations[[#This Row],[C3 total]]+Calculations[[#This Row],[C4 total]])*Calculations[[#This Row],[Replacements]],0)</f>
        <v>0</v>
      </c>
      <c r="S1261" t="str">
        <f>IFERROR(VLOOKUP(Calculations[[#This Row],[Material (choose from dropdown]],MaterialData[#All],4,FALSE),"")</f>
        <v/>
      </c>
      <c r="T1261" s="322" cm="1">
        <f t="array" ref="T1261">IFERROR(VLOOKUP(Calculations[[#This Row],[Waste 1]],WasteScenario[#All],2,FALSE)*'Stage assumptions'!$C$225*WasteTransportMethod[Emissions Factor
kgCO2e/kg.km]*Calculations[[#This Row],[Total Kg]],0)</f>
        <v>0</v>
      </c>
      <c r="U1261" s="322" cm="1">
        <f t="array" ref="U1261">IFERROR(VLOOKUP(Calculations[[#This Row],[Waste 1]],WasteScenario[#All],3,FALSE)*'Stage assumptions'!$C$224*WasteTransportMethod[Emissions Factor
kgCO2e/kg.km]*Calculations[[#This Row],[Total Kg]],0)</f>
        <v>0</v>
      </c>
      <c r="V1261" s="322" cm="1">
        <f t="array" ref="V1261">IFERROR(VLOOKUP(Calculations[[#This Row],[Waste 1]],WasteScenario[#All],4,FALSE)*'Stage assumptions'!$C$223*WasteTransportMethod[Emissions Factor
kgCO2e/kg.km]*Calculations[[#This Row],[Total Kg]],0)</f>
        <v>0</v>
      </c>
      <c r="W1261" s="322" cm="1">
        <f t="array" ref="W1261">IFERROR(VLOOKUP(Calculations[[#This Row],[Waste 1]],WasteScenario[#All],5,FALSE)*'Stage assumptions'!$C$226*WasteTransportMethod[Emissions Factor
kgCO2e/kg.km]*Calculations[[#This Row],[Total Kg]],0)</f>
        <v>0</v>
      </c>
      <c r="X1261" s="322">
        <f>SUM(Calculations[[#This Row],[C2 Recycle]:[C2 Reuse]])</f>
        <v>0</v>
      </c>
      <c r="Y1261" t="str">
        <f>IFERROR(VLOOKUP(Calculations[[#This Row],[Material (choose from dropdown]],MaterialData[#All],5,FALSE),"")</f>
        <v/>
      </c>
      <c r="Z1261" s="322">
        <f>IFERROR(((VLOOKUP(Calculations[[#This Row],[Waste type 2]],WasteDisposalEmissions[#All],2,FALSE))*Calculations[[#This Row],[Total Kg]])*VLOOKUP(Calculations[[#This Row],[Waste 1]],WasteScenario[#All],2,FALSE),0)</f>
        <v>0</v>
      </c>
      <c r="AA1261" s="322">
        <f>IFERROR((VLOOKUP(Calculations[[#This Row],[Waste type 2]],WasteDisposalEmissions[#All],3,FALSE))*Calculations[[#This Row],[Total Kg]]*VLOOKUP(Calculations[[#This Row],[Waste 1]],WasteScenario[#All],3,FALSE),0)</f>
        <v>0</v>
      </c>
      <c r="AB1261" s="322">
        <f>SUM(Calculations[[#This Row],[C3 recyc]:[C3 incin]])</f>
        <v>0</v>
      </c>
      <c r="AC1261" s="334">
        <f>IFERROR((VLOOKUP(Calculations[[#This Row],[Waste type 2]],WasteLandfillEmissions[#All],2,FALSE))*Calculations[[#This Row],[Total Kg]]*VLOOKUP(Calculations[[#This Row],[Waste 1]],WasteScenario[#All],4,FALSE),0)</f>
        <v>0</v>
      </c>
      <c r="AD1261" s="322">
        <f>IFERROR((VLOOKUP(Calculations[[#This Row],[Waste type 2]],WasteLandfillEmissions[#All],3,FALSE))*Calculations[[#This Row],[Total Kg]]*VLOOKUP(Calculations[[#This Row],[Waste 1]],WasteScenario[#All],4,FALSE),0)</f>
        <v>0</v>
      </c>
      <c r="AE1261" s="322">
        <f>SUM(Calculations[[#This Row],[C4 landfill]:[C4 re-use]])</f>
        <v>0</v>
      </c>
      <c r="AF1261" s="322">
        <f>IFERROR(VLOOKUP(Calculations[[#This Row],[Material (choose from dropdown]],MaterialData[#All],8,FALSE),0)</f>
        <v>0</v>
      </c>
      <c r="AG1261" s="322">
        <f>IFERROR(Calculations[[#This Row],[Total Kg]]*Calculations[[#This Row],[Seq factor]],0)</f>
        <v>0</v>
      </c>
      <c r="AI1261" s="322">
        <f>Calculations[[#This Row],[A1-3]]+Calculations[[#This Row],[A4]]+Calculations[[#This Row],[A5]]+Calculations[[#This Row],[B4]]+Calculations[[#This Row],[C2 total]]+Calculations[[#This Row],[C3 total]]+Calculations[[#This Row],[C4 total]]</f>
        <v>0</v>
      </c>
      <c r="AJ1261" s="2">
        <f>IFERROR(VLOOKUP(Calculations[[#This Row],[Material (choose from dropdown]],MaterialData[[#Headers],[#Data]],9,FALSE),0)</f>
        <v>0</v>
      </c>
      <c r="AK1261" s="4">
        <f>IFERROR(VLOOKUP(Calculations[[#This Row],[Material (choose from dropdown]],MaterialData[[#Headers],[#Data]],10,FALSE),0)</f>
        <v>0</v>
      </c>
      <c r="AL1261" s="322">
        <f>IFERROR(Calculations[[#This Row],[Data Quality Score]]*Calculations[[#This Row],[Total Kg]],0)</f>
        <v>0</v>
      </c>
    </row>
    <row r="1262" spans="1:38" x14ac:dyDescent="0.3">
      <c r="A1262" s="6">
        <f>IFERROR(MaterialsBoQ[[#This Row],[Scope Element]],0)</f>
        <v>0</v>
      </c>
      <c r="B1262" t="str">
        <f>IFERROR(MaterialsBoQ[[#This Row],[Material ]],"")</f>
        <v/>
      </c>
      <c r="C1262" t="str">
        <f>IFERROR(MaterialsBoQ[[#This Row],[Unit]],"")</f>
        <v/>
      </c>
      <c r="D1262" s="322">
        <f>IFERROR(MaterialsBoQ[[#This Row],[Number]],0)</f>
        <v>0</v>
      </c>
      <c r="E1262" s="322">
        <f>IFERROR(MaterialsBoQ[[#This Row],[Kg per unit]],0)</f>
        <v>0</v>
      </c>
      <c r="F1262" s="322">
        <f>IFERROR(Calculations[[#This Row],[Number]]*Calculations[[#This Row],[Conversion factor]],0)</f>
        <v>0</v>
      </c>
      <c r="G1262" s="322">
        <f>IFERROR(VLOOKUP(Calculations[[#This Row],[Material (choose from dropdown]],MaterialData[#All],7,FALSE),0)</f>
        <v>0</v>
      </c>
      <c r="H1262" s="322">
        <f>Calculations[[#This Row],[Total Kg]]*Calculations[[#This Row],[Carbon Factor]]</f>
        <v>0</v>
      </c>
      <c r="I1262" t="str">
        <f>IFERROR(VLOOKUP(Calculations[[#This Row],[Material (choose from dropdown]],MaterialData[#All],2,FALSE),"")</f>
        <v/>
      </c>
      <c r="J1262" s="322">
        <f>IFERROR(((VLOOKUP(Calculations[[#This Row],[TransportSource]],TransportDistance[],2,FALSE)*'Stage assumptions'!$C$11)+VLOOKUP(Calculations[[#This Row],[TransportSource]],TransportDistance[],3,FALSE)*'Stage assumptions'!$C$12)*Calculations[[#This Row],[Total Kg]],0)</f>
        <v>0</v>
      </c>
      <c r="K1262">
        <f>IFERROR(VLOOKUP(Calculations[[#This Row],[Material (choose from dropdown]], MaterialData[#All],3, FALSE),0)</f>
        <v>0</v>
      </c>
      <c r="L1262" s="322">
        <f>IFERROR(VLOOKUP(Calculations[[#This Row],[A5type]],A5WastageRate[#All],2,FALSE)*Calculations[[#This Row],[A1-3]],0)</f>
        <v>0</v>
      </c>
      <c r="N1262">
        <f>IFERROR(ROUNDUP(50/VLOOKUP(Calculations[[#This Row],[Scope Element]],B4referenceServiceLife[[Tier 2 element]:[Default Service Life]],2, FALSE)-1,0),0)</f>
        <v>0</v>
      </c>
      <c r="O1262" s="322">
        <f>IFERROR((Calculations[[#This Row],[A1-3]]+Calculations[[#This Row],[A4]]+Calculations[[#This Row],[A5]]+Calculations[[#This Row],[C2 total]]+Calculations[[#This Row],[C3 total]]+Calculations[[#This Row],[C4 total]])*Calculations[[#This Row],[Replacements]],0)</f>
        <v>0</v>
      </c>
      <c r="S1262" t="str">
        <f>IFERROR(VLOOKUP(Calculations[[#This Row],[Material (choose from dropdown]],MaterialData[#All],4,FALSE),"")</f>
        <v/>
      </c>
      <c r="T1262" s="322" cm="1">
        <f t="array" ref="T1262">IFERROR(VLOOKUP(Calculations[[#This Row],[Waste 1]],WasteScenario[#All],2,FALSE)*'Stage assumptions'!$C$225*WasteTransportMethod[Emissions Factor
kgCO2e/kg.km]*Calculations[[#This Row],[Total Kg]],0)</f>
        <v>0</v>
      </c>
      <c r="U1262" s="322" cm="1">
        <f t="array" ref="U1262">IFERROR(VLOOKUP(Calculations[[#This Row],[Waste 1]],WasteScenario[#All],3,FALSE)*'Stage assumptions'!$C$224*WasteTransportMethod[Emissions Factor
kgCO2e/kg.km]*Calculations[[#This Row],[Total Kg]],0)</f>
        <v>0</v>
      </c>
      <c r="V1262" s="322" cm="1">
        <f t="array" ref="V1262">IFERROR(VLOOKUP(Calculations[[#This Row],[Waste 1]],WasteScenario[#All],4,FALSE)*'Stage assumptions'!$C$223*WasteTransportMethod[Emissions Factor
kgCO2e/kg.km]*Calculations[[#This Row],[Total Kg]],0)</f>
        <v>0</v>
      </c>
      <c r="W1262" s="322" cm="1">
        <f t="array" ref="W1262">IFERROR(VLOOKUP(Calculations[[#This Row],[Waste 1]],WasteScenario[#All],5,FALSE)*'Stage assumptions'!$C$226*WasteTransportMethod[Emissions Factor
kgCO2e/kg.km]*Calculations[[#This Row],[Total Kg]],0)</f>
        <v>0</v>
      </c>
      <c r="X1262" s="322">
        <f>SUM(Calculations[[#This Row],[C2 Recycle]:[C2 Reuse]])</f>
        <v>0</v>
      </c>
      <c r="Y1262" t="str">
        <f>IFERROR(VLOOKUP(Calculations[[#This Row],[Material (choose from dropdown]],MaterialData[#All],5,FALSE),"")</f>
        <v/>
      </c>
      <c r="Z1262" s="322">
        <f>IFERROR(((VLOOKUP(Calculations[[#This Row],[Waste type 2]],WasteDisposalEmissions[#All],2,FALSE))*Calculations[[#This Row],[Total Kg]])*VLOOKUP(Calculations[[#This Row],[Waste 1]],WasteScenario[#All],2,FALSE),0)</f>
        <v>0</v>
      </c>
      <c r="AA1262" s="322">
        <f>IFERROR((VLOOKUP(Calculations[[#This Row],[Waste type 2]],WasteDisposalEmissions[#All],3,FALSE))*Calculations[[#This Row],[Total Kg]]*VLOOKUP(Calculations[[#This Row],[Waste 1]],WasteScenario[#All],3,FALSE),0)</f>
        <v>0</v>
      </c>
      <c r="AB1262" s="322">
        <f>SUM(Calculations[[#This Row],[C3 recyc]:[C3 incin]])</f>
        <v>0</v>
      </c>
      <c r="AC1262" s="334">
        <f>IFERROR((VLOOKUP(Calculations[[#This Row],[Waste type 2]],WasteLandfillEmissions[#All],2,FALSE))*Calculations[[#This Row],[Total Kg]]*VLOOKUP(Calculations[[#This Row],[Waste 1]],WasteScenario[#All],4,FALSE),0)</f>
        <v>0</v>
      </c>
      <c r="AD1262" s="322">
        <f>IFERROR((VLOOKUP(Calculations[[#This Row],[Waste type 2]],WasteLandfillEmissions[#All],3,FALSE))*Calculations[[#This Row],[Total Kg]]*VLOOKUP(Calculations[[#This Row],[Waste 1]],WasteScenario[#All],4,FALSE),0)</f>
        <v>0</v>
      </c>
      <c r="AE1262" s="322">
        <f>SUM(Calculations[[#This Row],[C4 landfill]:[C4 re-use]])</f>
        <v>0</v>
      </c>
      <c r="AF1262" s="322">
        <f>IFERROR(VLOOKUP(Calculations[[#This Row],[Material (choose from dropdown]],MaterialData[#All],8,FALSE),0)</f>
        <v>0</v>
      </c>
      <c r="AG1262" s="322">
        <f>IFERROR(Calculations[[#This Row],[Total Kg]]*Calculations[[#This Row],[Seq factor]],0)</f>
        <v>0</v>
      </c>
      <c r="AI1262" s="322">
        <f>Calculations[[#This Row],[A1-3]]+Calculations[[#This Row],[A4]]+Calculations[[#This Row],[A5]]+Calculations[[#This Row],[B4]]+Calculations[[#This Row],[C2 total]]+Calculations[[#This Row],[C3 total]]+Calculations[[#This Row],[C4 total]]</f>
        <v>0</v>
      </c>
      <c r="AJ1262" s="2">
        <f>IFERROR(VLOOKUP(Calculations[[#This Row],[Material (choose from dropdown]],MaterialData[[#Headers],[#Data]],9,FALSE),0)</f>
        <v>0</v>
      </c>
      <c r="AK1262" s="4">
        <f>IFERROR(VLOOKUP(Calculations[[#This Row],[Material (choose from dropdown]],MaterialData[[#Headers],[#Data]],10,FALSE),0)</f>
        <v>0</v>
      </c>
      <c r="AL1262" s="322">
        <f>IFERROR(Calculations[[#This Row],[Data Quality Score]]*Calculations[[#This Row],[Total Kg]],0)</f>
        <v>0</v>
      </c>
    </row>
    <row r="1263" spans="1:38" x14ac:dyDescent="0.3">
      <c r="A1263" s="6">
        <f>IFERROR(MaterialsBoQ[[#This Row],[Scope Element]],0)</f>
        <v>0</v>
      </c>
      <c r="B1263" t="str">
        <f>IFERROR(MaterialsBoQ[[#This Row],[Material ]],"")</f>
        <v/>
      </c>
      <c r="C1263" t="str">
        <f>IFERROR(MaterialsBoQ[[#This Row],[Unit]],"")</f>
        <v/>
      </c>
      <c r="D1263" s="322">
        <f>IFERROR(MaterialsBoQ[[#This Row],[Number]],0)</f>
        <v>0</v>
      </c>
      <c r="E1263" s="322">
        <f>IFERROR(MaterialsBoQ[[#This Row],[Kg per unit]],0)</f>
        <v>0</v>
      </c>
      <c r="F1263" s="322">
        <f>IFERROR(Calculations[[#This Row],[Number]]*Calculations[[#This Row],[Conversion factor]],0)</f>
        <v>0</v>
      </c>
      <c r="G1263" s="322">
        <f>IFERROR(VLOOKUP(Calculations[[#This Row],[Material (choose from dropdown]],MaterialData[#All],7,FALSE),0)</f>
        <v>0</v>
      </c>
      <c r="H1263" s="322">
        <f>Calculations[[#This Row],[Total Kg]]*Calculations[[#This Row],[Carbon Factor]]</f>
        <v>0</v>
      </c>
      <c r="I1263" t="str">
        <f>IFERROR(VLOOKUP(Calculations[[#This Row],[Material (choose from dropdown]],MaterialData[#All],2,FALSE),"")</f>
        <v/>
      </c>
      <c r="J1263" s="322">
        <f>IFERROR(((VLOOKUP(Calculations[[#This Row],[TransportSource]],TransportDistance[],2,FALSE)*'Stage assumptions'!$C$11)+VLOOKUP(Calculations[[#This Row],[TransportSource]],TransportDistance[],3,FALSE)*'Stage assumptions'!$C$12)*Calculations[[#This Row],[Total Kg]],0)</f>
        <v>0</v>
      </c>
      <c r="K1263">
        <f>IFERROR(VLOOKUP(Calculations[[#This Row],[Material (choose from dropdown]], MaterialData[#All],3, FALSE),0)</f>
        <v>0</v>
      </c>
      <c r="L1263" s="322">
        <f>IFERROR(VLOOKUP(Calculations[[#This Row],[A5type]],A5WastageRate[#All],2,FALSE)*Calculations[[#This Row],[A1-3]],0)</f>
        <v>0</v>
      </c>
      <c r="N1263">
        <f>IFERROR(ROUNDUP(50/VLOOKUP(Calculations[[#This Row],[Scope Element]],B4referenceServiceLife[[Tier 2 element]:[Default Service Life]],2, FALSE)-1,0),0)</f>
        <v>0</v>
      </c>
      <c r="O1263" s="322">
        <f>IFERROR((Calculations[[#This Row],[A1-3]]+Calculations[[#This Row],[A4]]+Calculations[[#This Row],[A5]]+Calculations[[#This Row],[C2 total]]+Calculations[[#This Row],[C3 total]]+Calculations[[#This Row],[C4 total]])*Calculations[[#This Row],[Replacements]],0)</f>
        <v>0</v>
      </c>
      <c r="S1263" t="str">
        <f>IFERROR(VLOOKUP(Calculations[[#This Row],[Material (choose from dropdown]],MaterialData[#All],4,FALSE),"")</f>
        <v/>
      </c>
      <c r="T1263" s="322" cm="1">
        <f t="array" ref="T1263">IFERROR(VLOOKUP(Calculations[[#This Row],[Waste 1]],WasteScenario[#All],2,FALSE)*'Stage assumptions'!$C$225*WasteTransportMethod[Emissions Factor
kgCO2e/kg.km]*Calculations[[#This Row],[Total Kg]],0)</f>
        <v>0</v>
      </c>
      <c r="U1263" s="322" cm="1">
        <f t="array" ref="U1263">IFERROR(VLOOKUP(Calculations[[#This Row],[Waste 1]],WasteScenario[#All],3,FALSE)*'Stage assumptions'!$C$224*WasteTransportMethod[Emissions Factor
kgCO2e/kg.km]*Calculations[[#This Row],[Total Kg]],0)</f>
        <v>0</v>
      </c>
      <c r="V1263" s="322" cm="1">
        <f t="array" ref="V1263">IFERROR(VLOOKUP(Calculations[[#This Row],[Waste 1]],WasteScenario[#All],4,FALSE)*'Stage assumptions'!$C$223*WasteTransportMethod[Emissions Factor
kgCO2e/kg.km]*Calculations[[#This Row],[Total Kg]],0)</f>
        <v>0</v>
      </c>
      <c r="W1263" s="322" cm="1">
        <f t="array" ref="W1263">IFERROR(VLOOKUP(Calculations[[#This Row],[Waste 1]],WasteScenario[#All],5,FALSE)*'Stage assumptions'!$C$226*WasteTransportMethod[Emissions Factor
kgCO2e/kg.km]*Calculations[[#This Row],[Total Kg]],0)</f>
        <v>0</v>
      </c>
      <c r="X1263" s="322">
        <f>SUM(Calculations[[#This Row],[C2 Recycle]:[C2 Reuse]])</f>
        <v>0</v>
      </c>
      <c r="Y1263" t="str">
        <f>IFERROR(VLOOKUP(Calculations[[#This Row],[Material (choose from dropdown]],MaterialData[#All],5,FALSE),"")</f>
        <v/>
      </c>
      <c r="Z1263" s="322">
        <f>IFERROR(((VLOOKUP(Calculations[[#This Row],[Waste type 2]],WasteDisposalEmissions[#All],2,FALSE))*Calculations[[#This Row],[Total Kg]])*VLOOKUP(Calculations[[#This Row],[Waste 1]],WasteScenario[#All],2,FALSE),0)</f>
        <v>0</v>
      </c>
      <c r="AA1263" s="322">
        <f>IFERROR((VLOOKUP(Calculations[[#This Row],[Waste type 2]],WasteDisposalEmissions[#All],3,FALSE))*Calculations[[#This Row],[Total Kg]]*VLOOKUP(Calculations[[#This Row],[Waste 1]],WasteScenario[#All],3,FALSE),0)</f>
        <v>0</v>
      </c>
      <c r="AB1263" s="322">
        <f>SUM(Calculations[[#This Row],[C3 recyc]:[C3 incin]])</f>
        <v>0</v>
      </c>
      <c r="AC1263" s="334">
        <f>IFERROR((VLOOKUP(Calculations[[#This Row],[Waste type 2]],WasteLandfillEmissions[#All],2,FALSE))*Calculations[[#This Row],[Total Kg]]*VLOOKUP(Calculations[[#This Row],[Waste 1]],WasteScenario[#All],4,FALSE),0)</f>
        <v>0</v>
      </c>
      <c r="AD1263" s="322">
        <f>IFERROR((VLOOKUP(Calculations[[#This Row],[Waste type 2]],WasteLandfillEmissions[#All],3,FALSE))*Calculations[[#This Row],[Total Kg]]*VLOOKUP(Calculations[[#This Row],[Waste 1]],WasteScenario[#All],4,FALSE),0)</f>
        <v>0</v>
      </c>
      <c r="AE1263" s="322">
        <f>SUM(Calculations[[#This Row],[C4 landfill]:[C4 re-use]])</f>
        <v>0</v>
      </c>
      <c r="AF1263" s="322">
        <f>IFERROR(VLOOKUP(Calculations[[#This Row],[Material (choose from dropdown]],MaterialData[#All],8,FALSE),0)</f>
        <v>0</v>
      </c>
      <c r="AG1263" s="322">
        <f>IFERROR(Calculations[[#This Row],[Total Kg]]*Calculations[[#This Row],[Seq factor]],0)</f>
        <v>0</v>
      </c>
      <c r="AI1263" s="322">
        <f>Calculations[[#This Row],[A1-3]]+Calculations[[#This Row],[A4]]+Calculations[[#This Row],[A5]]+Calculations[[#This Row],[B4]]+Calculations[[#This Row],[C2 total]]+Calculations[[#This Row],[C3 total]]+Calculations[[#This Row],[C4 total]]</f>
        <v>0</v>
      </c>
      <c r="AJ1263" s="2">
        <f>IFERROR(VLOOKUP(Calculations[[#This Row],[Material (choose from dropdown]],MaterialData[[#Headers],[#Data]],9,FALSE),0)</f>
        <v>0</v>
      </c>
      <c r="AK1263" s="4">
        <f>IFERROR(VLOOKUP(Calculations[[#This Row],[Material (choose from dropdown]],MaterialData[[#Headers],[#Data]],10,FALSE),0)</f>
        <v>0</v>
      </c>
      <c r="AL1263" s="322">
        <f>IFERROR(Calculations[[#This Row],[Data Quality Score]]*Calculations[[#This Row],[Total Kg]],0)</f>
        <v>0</v>
      </c>
    </row>
    <row r="1264" spans="1:38" x14ac:dyDescent="0.3">
      <c r="A1264" s="6">
        <f>IFERROR(MaterialsBoQ[[#This Row],[Scope Element]],0)</f>
        <v>0</v>
      </c>
      <c r="B1264" t="str">
        <f>IFERROR(MaterialsBoQ[[#This Row],[Material ]],"")</f>
        <v/>
      </c>
      <c r="C1264" t="str">
        <f>IFERROR(MaterialsBoQ[[#This Row],[Unit]],"")</f>
        <v/>
      </c>
      <c r="D1264" s="322">
        <f>IFERROR(MaterialsBoQ[[#This Row],[Number]],0)</f>
        <v>0</v>
      </c>
      <c r="E1264" s="322">
        <f>IFERROR(MaterialsBoQ[[#This Row],[Kg per unit]],0)</f>
        <v>0</v>
      </c>
      <c r="F1264" s="322">
        <f>IFERROR(Calculations[[#This Row],[Number]]*Calculations[[#This Row],[Conversion factor]],0)</f>
        <v>0</v>
      </c>
      <c r="G1264" s="322">
        <f>IFERROR(VLOOKUP(Calculations[[#This Row],[Material (choose from dropdown]],MaterialData[#All],7,FALSE),0)</f>
        <v>0</v>
      </c>
      <c r="H1264" s="322">
        <f>Calculations[[#This Row],[Total Kg]]*Calculations[[#This Row],[Carbon Factor]]</f>
        <v>0</v>
      </c>
      <c r="I1264" t="str">
        <f>IFERROR(VLOOKUP(Calculations[[#This Row],[Material (choose from dropdown]],MaterialData[#All],2,FALSE),"")</f>
        <v/>
      </c>
      <c r="J1264" s="322">
        <f>IFERROR(((VLOOKUP(Calculations[[#This Row],[TransportSource]],TransportDistance[],2,FALSE)*'Stage assumptions'!$C$11)+VLOOKUP(Calculations[[#This Row],[TransportSource]],TransportDistance[],3,FALSE)*'Stage assumptions'!$C$12)*Calculations[[#This Row],[Total Kg]],0)</f>
        <v>0</v>
      </c>
      <c r="K1264">
        <f>IFERROR(VLOOKUP(Calculations[[#This Row],[Material (choose from dropdown]], MaterialData[#All],3, FALSE),0)</f>
        <v>0</v>
      </c>
      <c r="L1264" s="322">
        <f>IFERROR(VLOOKUP(Calculations[[#This Row],[A5type]],A5WastageRate[#All],2,FALSE)*Calculations[[#This Row],[A1-3]],0)</f>
        <v>0</v>
      </c>
      <c r="N1264">
        <f>IFERROR(ROUNDUP(50/VLOOKUP(Calculations[[#This Row],[Scope Element]],B4referenceServiceLife[[Tier 2 element]:[Default Service Life]],2, FALSE)-1,0),0)</f>
        <v>0</v>
      </c>
      <c r="O1264" s="322">
        <f>IFERROR((Calculations[[#This Row],[A1-3]]+Calculations[[#This Row],[A4]]+Calculations[[#This Row],[A5]]+Calculations[[#This Row],[C2 total]]+Calculations[[#This Row],[C3 total]]+Calculations[[#This Row],[C4 total]])*Calculations[[#This Row],[Replacements]],0)</f>
        <v>0</v>
      </c>
      <c r="S1264" t="str">
        <f>IFERROR(VLOOKUP(Calculations[[#This Row],[Material (choose from dropdown]],MaterialData[#All],4,FALSE),"")</f>
        <v/>
      </c>
      <c r="T1264" s="322" cm="1">
        <f t="array" ref="T1264">IFERROR(VLOOKUP(Calculations[[#This Row],[Waste 1]],WasteScenario[#All],2,FALSE)*'Stage assumptions'!$C$225*WasteTransportMethod[Emissions Factor
kgCO2e/kg.km]*Calculations[[#This Row],[Total Kg]],0)</f>
        <v>0</v>
      </c>
      <c r="U1264" s="322" cm="1">
        <f t="array" ref="U1264">IFERROR(VLOOKUP(Calculations[[#This Row],[Waste 1]],WasteScenario[#All],3,FALSE)*'Stage assumptions'!$C$224*WasteTransportMethod[Emissions Factor
kgCO2e/kg.km]*Calculations[[#This Row],[Total Kg]],0)</f>
        <v>0</v>
      </c>
      <c r="V1264" s="322" cm="1">
        <f t="array" ref="V1264">IFERROR(VLOOKUP(Calculations[[#This Row],[Waste 1]],WasteScenario[#All],4,FALSE)*'Stage assumptions'!$C$223*WasteTransportMethod[Emissions Factor
kgCO2e/kg.km]*Calculations[[#This Row],[Total Kg]],0)</f>
        <v>0</v>
      </c>
      <c r="W1264" s="322" cm="1">
        <f t="array" ref="W1264">IFERROR(VLOOKUP(Calculations[[#This Row],[Waste 1]],WasteScenario[#All],5,FALSE)*'Stage assumptions'!$C$226*WasteTransportMethod[Emissions Factor
kgCO2e/kg.km]*Calculations[[#This Row],[Total Kg]],0)</f>
        <v>0</v>
      </c>
      <c r="X1264" s="322">
        <f>SUM(Calculations[[#This Row],[C2 Recycle]:[C2 Reuse]])</f>
        <v>0</v>
      </c>
      <c r="Y1264" t="str">
        <f>IFERROR(VLOOKUP(Calculations[[#This Row],[Material (choose from dropdown]],MaterialData[#All],5,FALSE),"")</f>
        <v/>
      </c>
      <c r="Z1264" s="322">
        <f>IFERROR(((VLOOKUP(Calculations[[#This Row],[Waste type 2]],WasteDisposalEmissions[#All],2,FALSE))*Calculations[[#This Row],[Total Kg]])*VLOOKUP(Calculations[[#This Row],[Waste 1]],WasteScenario[#All],2,FALSE),0)</f>
        <v>0</v>
      </c>
      <c r="AA1264" s="322">
        <f>IFERROR((VLOOKUP(Calculations[[#This Row],[Waste type 2]],WasteDisposalEmissions[#All],3,FALSE))*Calculations[[#This Row],[Total Kg]]*VLOOKUP(Calculations[[#This Row],[Waste 1]],WasteScenario[#All],3,FALSE),0)</f>
        <v>0</v>
      </c>
      <c r="AB1264" s="322">
        <f>SUM(Calculations[[#This Row],[C3 recyc]:[C3 incin]])</f>
        <v>0</v>
      </c>
      <c r="AC1264" s="334">
        <f>IFERROR((VLOOKUP(Calculations[[#This Row],[Waste type 2]],WasteLandfillEmissions[#All],2,FALSE))*Calculations[[#This Row],[Total Kg]]*VLOOKUP(Calculations[[#This Row],[Waste 1]],WasteScenario[#All],4,FALSE),0)</f>
        <v>0</v>
      </c>
      <c r="AD1264" s="322">
        <f>IFERROR((VLOOKUP(Calculations[[#This Row],[Waste type 2]],WasteLandfillEmissions[#All],3,FALSE))*Calculations[[#This Row],[Total Kg]]*VLOOKUP(Calculations[[#This Row],[Waste 1]],WasteScenario[#All],4,FALSE),0)</f>
        <v>0</v>
      </c>
      <c r="AE1264" s="322">
        <f>SUM(Calculations[[#This Row],[C4 landfill]:[C4 re-use]])</f>
        <v>0</v>
      </c>
      <c r="AF1264" s="322">
        <f>IFERROR(VLOOKUP(Calculations[[#This Row],[Material (choose from dropdown]],MaterialData[#All],8,FALSE),0)</f>
        <v>0</v>
      </c>
      <c r="AG1264" s="322">
        <f>IFERROR(Calculations[[#This Row],[Total Kg]]*Calculations[[#This Row],[Seq factor]],0)</f>
        <v>0</v>
      </c>
      <c r="AI1264" s="322">
        <f>Calculations[[#This Row],[A1-3]]+Calculations[[#This Row],[A4]]+Calculations[[#This Row],[A5]]+Calculations[[#This Row],[B4]]+Calculations[[#This Row],[C2 total]]+Calculations[[#This Row],[C3 total]]+Calculations[[#This Row],[C4 total]]</f>
        <v>0</v>
      </c>
      <c r="AJ1264" s="2">
        <f>IFERROR(VLOOKUP(Calculations[[#This Row],[Material (choose from dropdown]],MaterialData[[#Headers],[#Data]],9,FALSE),0)</f>
        <v>0</v>
      </c>
      <c r="AK1264" s="4">
        <f>IFERROR(VLOOKUP(Calculations[[#This Row],[Material (choose from dropdown]],MaterialData[[#Headers],[#Data]],10,FALSE),0)</f>
        <v>0</v>
      </c>
      <c r="AL1264" s="322">
        <f>IFERROR(Calculations[[#This Row],[Data Quality Score]]*Calculations[[#This Row],[Total Kg]],0)</f>
        <v>0</v>
      </c>
    </row>
    <row r="1265" spans="1:38" x14ac:dyDescent="0.3">
      <c r="A1265" s="6">
        <f>IFERROR(MaterialsBoQ[[#This Row],[Scope Element]],0)</f>
        <v>0</v>
      </c>
      <c r="B1265" t="str">
        <f>IFERROR(MaterialsBoQ[[#This Row],[Material ]],"")</f>
        <v/>
      </c>
      <c r="C1265" t="str">
        <f>IFERROR(MaterialsBoQ[[#This Row],[Unit]],"")</f>
        <v/>
      </c>
      <c r="D1265" s="322">
        <f>IFERROR(MaterialsBoQ[[#This Row],[Number]],0)</f>
        <v>0</v>
      </c>
      <c r="E1265" s="322">
        <f>IFERROR(MaterialsBoQ[[#This Row],[Kg per unit]],0)</f>
        <v>0</v>
      </c>
      <c r="F1265" s="322">
        <f>IFERROR(Calculations[[#This Row],[Number]]*Calculations[[#This Row],[Conversion factor]],0)</f>
        <v>0</v>
      </c>
      <c r="G1265" s="322">
        <f>IFERROR(VLOOKUP(Calculations[[#This Row],[Material (choose from dropdown]],MaterialData[#All],7,FALSE),0)</f>
        <v>0</v>
      </c>
      <c r="H1265" s="322">
        <f>Calculations[[#This Row],[Total Kg]]*Calculations[[#This Row],[Carbon Factor]]</f>
        <v>0</v>
      </c>
      <c r="I1265" t="str">
        <f>IFERROR(VLOOKUP(Calculations[[#This Row],[Material (choose from dropdown]],MaterialData[#All],2,FALSE),"")</f>
        <v/>
      </c>
      <c r="J1265" s="322">
        <f>IFERROR(((VLOOKUP(Calculations[[#This Row],[TransportSource]],TransportDistance[],2,FALSE)*'Stage assumptions'!$C$11)+VLOOKUP(Calculations[[#This Row],[TransportSource]],TransportDistance[],3,FALSE)*'Stage assumptions'!$C$12)*Calculations[[#This Row],[Total Kg]],0)</f>
        <v>0</v>
      </c>
      <c r="K1265">
        <f>IFERROR(VLOOKUP(Calculations[[#This Row],[Material (choose from dropdown]], MaterialData[#All],3, FALSE),0)</f>
        <v>0</v>
      </c>
      <c r="L1265" s="322">
        <f>IFERROR(VLOOKUP(Calculations[[#This Row],[A5type]],A5WastageRate[#All],2,FALSE)*Calculations[[#This Row],[A1-3]],0)</f>
        <v>0</v>
      </c>
      <c r="N1265">
        <f>IFERROR(ROUNDUP(50/VLOOKUP(Calculations[[#This Row],[Scope Element]],B4referenceServiceLife[[Tier 2 element]:[Default Service Life]],2, FALSE)-1,0),0)</f>
        <v>0</v>
      </c>
      <c r="O1265" s="322">
        <f>IFERROR((Calculations[[#This Row],[A1-3]]+Calculations[[#This Row],[A4]]+Calculations[[#This Row],[A5]]+Calculations[[#This Row],[C2 total]]+Calculations[[#This Row],[C3 total]]+Calculations[[#This Row],[C4 total]])*Calculations[[#This Row],[Replacements]],0)</f>
        <v>0</v>
      </c>
      <c r="S1265" t="str">
        <f>IFERROR(VLOOKUP(Calculations[[#This Row],[Material (choose from dropdown]],MaterialData[#All],4,FALSE),"")</f>
        <v/>
      </c>
      <c r="T1265" s="322" cm="1">
        <f t="array" ref="T1265">IFERROR(VLOOKUP(Calculations[[#This Row],[Waste 1]],WasteScenario[#All],2,FALSE)*'Stage assumptions'!$C$225*WasteTransportMethod[Emissions Factor
kgCO2e/kg.km]*Calculations[[#This Row],[Total Kg]],0)</f>
        <v>0</v>
      </c>
      <c r="U1265" s="322" cm="1">
        <f t="array" ref="U1265">IFERROR(VLOOKUP(Calculations[[#This Row],[Waste 1]],WasteScenario[#All],3,FALSE)*'Stage assumptions'!$C$224*WasteTransportMethod[Emissions Factor
kgCO2e/kg.km]*Calculations[[#This Row],[Total Kg]],0)</f>
        <v>0</v>
      </c>
      <c r="V1265" s="322" cm="1">
        <f t="array" ref="V1265">IFERROR(VLOOKUP(Calculations[[#This Row],[Waste 1]],WasteScenario[#All],4,FALSE)*'Stage assumptions'!$C$223*WasteTransportMethod[Emissions Factor
kgCO2e/kg.km]*Calculations[[#This Row],[Total Kg]],0)</f>
        <v>0</v>
      </c>
      <c r="W1265" s="322" cm="1">
        <f t="array" ref="W1265">IFERROR(VLOOKUP(Calculations[[#This Row],[Waste 1]],WasteScenario[#All],5,FALSE)*'Stage assumptions'!$C$226*WasteTransportMethod[Emissions Factor
kgCO2e/kg.km]*Calculations[[#This Row],[Total Kg]],0)</f>
        <v>0</v>
      </c>
      <c r="X1265" s="322">
        <f>SUM(Calculations[[#This Row],[C2 Recycle]:[C2 Reuse]])</f>
        <v>0</v>
      </c>
      <c r="Y1265" t="str">
        <f>IFERROR(VLOOKUP(Calculations[[#This Row],[Material (choose from dropdown]],MaterialData[#All],5,FALSE),"")</f>
        <v/>
      </c>
      <c r="Z1265" s="322">
        <f>IFERROR(((VLOOKUP(Calculations[[#This Row],[Waste type 2]],WasteDisposalEmissions[#All],2,FALSE))*Calculations[[#This Row],[Total Kg]])*VLOOKUP(Calculations[[#This Row],[Waste 1]],WasteScenario[#All],2,FALSE),0)</f>
        <v>0</v>
      </c>
      <c r="AA1265" s="322">
        <f>IFERROR((VLOOKUP(Calculations[[#This Row],[Waste type 2]],WasteDisposalEmissions[#All],3,FALSE))*Calculations[[#This Row],[Total Kg]]*VLOOKUP(Calculations[[#This Row],[Waste 1]],WasteScenario[#All],3,FALSE),0)</f>
        <v>0</v>
      </c>
      <c r="AB1265" s="322">
        <f>SUM(Calculations[[#This Row],[C3 recyc]:[C3 incin]])</f>
        <v>0</v>
      </c>
      <c r="AC1265" s="334">
        <f>IFERROR((VLOOKUP(Calculations[[#This Row],[Waste type 2]],WasteLandfillEmissions[#All],2,FALSE))*Calculations[[#This Row],[Total Kg]]*VLOOKUP(Calculations[[#This Row],[Waste 1]],WasteScenario[#All],4,FALSE),0)</f>
        <v>0</v>
      </c>
      <c r="AD1265" s="322">
        <f>IFERROR((VLOOKUP(Calculations[[#This Row],[Waste type 2]],WasteLandfillEmissions[#All],3,FALSE))*Calculations[[#This Row],[Total Kg]]*VLOOKUP(Calculations[[#This Row],[Waste 1]],WasteScenario[#All],4,FALSE),0)</f>
        <v>0</v>
      </c>
      <c r="AE1265" s="322">
        <f>SUM(Calculations[[#This Row],[C4 landfill]:[C4 re-use]])</f>
        <v>0</v>
      </c>
      <c r="AF1265" s="322">
        <f>IFERROR(VLOOKUP(Calculations[[#This Row],[Material (choose from dropdown]],MaterialData[#All],8,FALSE),0)</f>
        <v>0</v>
      </c>
      <c r="AG1265" s="322">
        <f>IFERROR(Calculations[[#This Row],[Total Kg]]*Calculations[[#This Row],[Seq factor]],0)</f>
        <v>0</v>
      </c>
      <c r="AI1265" s="322">
        <f>Calculations[[#This Row],[A1-3]]+Calculations[[#This Row],[A4]]+Calculations[[#This Row],[A5]]+Calculations[[#This Row],[B4]]+Calculations[[#This Row],[C2 total]]+Calculations[[#This Row],[C3 total]]+Calculations[[#This Row],[C4 total]]</f>
        <v>0</v>
      </c>
      <c r="AJ1265" s="2">
        <f>IFERROR(VLOOKUP(Calculations[[#This Row],[Material (choose from dropdown]],MaterialData[[#Headers],[#Data]],9,FALSE),0)</f>
        <v>0</v>
      </c>
      <c r="AK1265" s="4">
        <f>IFERROR(VLOOKUP(Calculations[[#This Row],[Material (choose from dropdown]],MaterialData[[#Headers],[#Data]],10,FALSE),0)</f>
        <v>0</v>
      </c>
      <c r="AL1265" s="322">
        <f>IFERROR(Calculations[[#This Row],[Data Quality Score]]*Calculations[[#This Row],[Total Kg]],0)</f>
        <v>0</v>
      </c>
    </row>
    <row r="1266" spans="1:38" x14ac:dyDescent="0.3">
      <c r="A1266" s="6">
        <f>IFERROR(MaterialsBoQ[[#This Row],[Scope Element]],0)</f>
        <v>0</v>
      </c>
      <c r="B1266" t="str">
        <f>IFERROR(MaterialsBoQ[[#This Row],[Material ]],"")</f>
        <v/>
      </c>
      <c r="C1266" t="str">
        <f>IFERROR(MaterialsBoQ[[#This Row],[Unit]],"")</f>
        <v/>
      </c>
      <c r="D1266" s="322">
        <f>IFERROR(MaterialsBoQ[[#This Row],[Number]],0)</f>
        <v>0</v>
      </c>
      <c r="E1266" s="322">
        <f>IFERROR(MaterialsBoQ[[#This Row],[Kg per unit]],0)</f>
        <v>0</v>
      </c>
      <c r="F1266" s="322">
        <f>IFERROR(Calculations[[#This Row],[Number]]*Calculations[[#This Row],[Conversion factor]],0)</f>
        <v>0</v>
      </c>
      <c r="G1266" s="322">
        <f>IFERROR(VLOOKUP(Calculations[[#This Row],[Material (choose from dropdown]],MaterialData[#All],7,FALSE),0)</f>
        <v>0</v>
      </c>
      <c r="H1266" s="322">
        <f>Calculations[[#This Row],[Total Kg]]*Calculations[[#This Row],[Carbon Factor]]</f>
        <v>0</v>
      </c>
      <c r="I1266" t="str">
        <f>IFERROR(VLOOKUP(Calculations[[#This Row],[Material (choose from dropdown]],MaterialData[#All],2,FALSE),"")</f>
        <v/>
      </c>
      <c r="J1266" s="322">
        <f>IFERROR(((VLOOKUP(Calculations[[#This Row],[TransportSource]],TransportDistance[],2,FALSE)*'Stage assumptions'!$C$11)+VLOOKUP(Calculations[[#This Row],[TransportSource]],TransportDistance[],3,FALSE)*'Stage assumptions'!$C$12)*Calculations[[#This Row],[Total Kg]],0)</f>
        <v>0</v>
      </c>
      <c r="K1266">
        <f>IFERROR(VLOOKUP(Calculations[[#This Row],[Material (choose from dropdown]], MaterialData[#All],3, FALSE),0)</f>
        <v>0</v>
      </c>
      <c r="L1266" s="322">
        <f>IFERROR(VLOOKUP(Calculations[[#This Row],[A5type]],A5WastageRate[#All],2,FALSE)*Calculations[[#This Row],[A1-3]],0)</f>
        <v>0</v>
      </c>
      <c r="N1266">
        <f>IFERROR(ROUNDUP(50/VLOOKUP(Calculations[[#This Row],[Scope Element]],B4referenceServiceLife[[Tier 2 element]:[Default Service Life]],2, FALSE)-1,0),0)</f>
        <v>0</v>
      </c>
      <c r="O1266" s="322">
        <f>IFERROR((Calculations[[#This Row],[A1-3]]+Calculations[[#This Row],[A4]]+Calculations[[#This Row],[A5]]+Calculations[[#This Row],[C2 total]]+Calculations[[#This Row],[C3 total]]+Calculations[[#This Row],[C4 total]])*Calculations[[#This Row],[Replacements]],0)</f>
        <v>0</v>
      </c>
      <c r="S1266" t="str">
        <f>IFERROR(VLOOKUP(Calculations[[#This Row],[Material (choose from dropdown]],MaterialData[#All],4,FALSE),"")</f>
        <v/>
      </c>
      <c r="T1266" s="322" cm="1">
        <f t="array" ref="T1266">IFERROR(VLOOKUP(Calculations[[#This Row],[Waste 1]],WasteScenario[#All],2,FALSE)*'Stage assumptions'!$C$225*WasteTransportMethod[Emissions Factor
kgCO2e/kg.km]*Calculations[[#This Row],[Total Kg]],0)</f>
        <v>0</v>
      </c>
      <c r="U1266" s="322" cm="1">
        <f t="array" ref="U1266">IFERROR(VLOOKUP(Calculations[[#This Row],[Waste 1]],WasteScenario[#All],3,FALSE)*'Stage assumptions'!$C$224*WasteTransportMethod[Emissions Factor
kgCO2e/kg.km]*Calculations[[#This Row],[Total Kg]],0)</f>
        <v>0</v>
      </c>
      <c r="V1266" s="322" cm="1">
        <f t="array" ref="V1266">IFERROR(VLOOKUP(Calculations[[#This Row],[Waste 1]],WasteScenario[#All],4,FALSE)*'Stage assumptions'!$C$223*WasteTransportMethod[Emissions Factor
kgCO2e/kg.km]*Calculations[[#This Row],[Total Kg]],0)</f>
        <v>0</v>
      </c>
      <c r="W1266" s="322" cm="1">
        <f t="array" ref="W1266">IFERROR(VLOOKUP(Calculations[[#This Row],[Waste 1]],WasteScenario[#All],5,FALSE)*'Stage assumptions'!$C$226*WasteTransportMethod[Emissions Factor
kgCO2e/kg.km]*Calculations[[#This Row],[Total Kg]],0)</f>
        <v>0</v>
      </c>
      <c r="X1266" s="322">
        <f>SUM(Calculations[[#This Row],[C2 Recycle]:[C2 Reuse]])</f>
        <v>0</v>
      </c>
      <c r="Y1266" t="str">
        <f>IFERROR(VLOOKUP(Calculations[[#This Row],[Material (choose from dropdown]],MaterialData[#All],5,FALSE),"")</f>
        <v/>
      </c>
      <c r="Z1266" s="322">
        <f>IFERROR(((VLOOKUP(Calculations[[#This Row],[Waste type 2]],WasteDisposalEmissions[#All],2,FALSE))*Calculations[[#This Row],[Total Kg]])*VLOOKUP(Calculations[[#This Row],[Waste 1]],WasteScenario[#All],2,FALSE),0)</f>
        <v>0</v>
      </c>
      <c r="AA1266" s="322">
        <f>IFERROR((VLOOKUP(Calculations[[#This Row],[Waste type 2]],WasteDisposalEmissions[#All],3,FALSE))*Calculations[[#This Row],[Total Kg]]*VLOOKUP(Calculations[[#This Row],[Waste 1]],WasteScenario[#All],3,FALSE),0)</f>
        <v>0</v>
      </c>
      <c r="AB1266" s="322">
        <f>SUM(Calculations[[#This Row],[C3 recyc]:[C3 incin]])</f>
        <v>0</v>
      </c>
      <c r="AC1266" s="334">
        <f>IFERROR((VLOOKUP(Calculations[[#This Row],[Waste type 2]],WasteLandfillEmissions[#All],2,FALSE))*Calculations[[#This Row],[Total Kg]]*VLOOKUP(Calculations[[#This Row],[Waste 1]],WasteScenario[#All],4,FALSE),0)</f>
        <v>0</v>
      </c>
      <c r="AD1266" s="322">
        <f>IFERROR((VLOOKUP(Calculations[[#This Row],[Waste type 2]],WasteLandfillEmissions[#All],3,FALSE))*Calculations[[#This Row],[Total Kg]]*VLOOKUP(Calculations[[#This Row],[Waste 1]],WasteScenario[#All],4,FALSE),0)</f>
        <v>0</v>
      </c>
      <c r="AE1266" s="322">
        <f>SUM(Calculations[[#This Row],[C4 landfill]:[C4 re-use]])</f>
        <v>0</v>
      </c>
      <c r="AF1266" s="322">
        <f>IFERROR(VLOOKUP(Calculations[[#This Row],[Material (choose from dropdown]],MaterialData[#All],8,FALSE),0)</f>
        <v>0</v>
      </c>
      <c r="AG1266" s="322">
        <f>IFERROR(Calculations[[#This Row],[Total Kg]]*Calculations[[#This Row],[Seq factor]],0)</f>
        <v>0</v>
      </c>
      <c r="AI1266" s="322">
        <f>Calculations[[#This Row],[A1-3]]+Calculations[[#This Row],[A4]]+Calculations[[#This Row],[A5]]+Calculations[[#This Row],[B4]]+Calculations[[#This Row],[C2 total]]+Calculations[[#This Row],[C3 total]]+Calculations[[#This Row],[C4 total]]</f>
        <v>0</v>
      </c>
      <c r="AJ1266" s="2">
        <f>IFERROR(VLOOKUP(Calculations[[#This Row],[Material (choose from dropdown]],MaterialData[[#Headers],[#Data]],9,FALSE),0)</f>
        <v>0</v>
      </c>
      <c r="AK1266" s="4">
        <f>IFERROR(VLOOKUP(Calculations[[#This Row],[Material (choose from dropdown]],MaterialData[[#Headers],[#Data]],10,FALSE),0)</f>
        <v>0</v>
      </c>
      <c r="AL1266" s="322">
        <f>IFERROR(Calculations[[#This Row],[Data Quality Score]]*Calculations[[#This Row],[Total Kg]],0)</f>
        <v>0</v>
      </c>
    </row>
    <row r="1267" spans="1:38" x14ac:dyDescent="0.3">
      <c r="A1267" s="6">
        <f>IFERROR(MaterialsBoQ[[#This Row],[Scope Element]],0)</f>
        <v>0</v>
      </c>
      <c r="B1267" t="str">
        <f>IFERROR(MaterialsBoQ[[#This Row],[Material ]],"")</f>
        <v/>
      </c>
      <c r="C1267" t="str">
        <f>IFERROR(MaterialsBoQ[[#This Row],[Unit]],"")</f>
        <v/>
      </c>
      <c r="D1267" s="322">
        <f>IFERROR(MaterialsBoQ[[#This Row],[Number]],0)</f>
        <v>0</v>
      </c>
      <c r="E1267" s="322">
        <f>IFERROR(MaterialsBoQ[[#This Row],[Kg per unit]],0)</f>
        <v>0</v>
      </c>
      <c r="F1267" s="322">
        <f>IFERROR(Calculations[[#This Row],[Number]]*Calculations[[#This Row],[Conversion factor]],0)</f>
        <v>0</v>
      </c>
      <c r="G1267" s="322">
        <f>IFERROR(VLOOKUP(Calculations[[#This Row],[Material (choose from dropdown]],MaterialData[#All],7,FALSE),0)</f>
        <v>0</v>
      </c>
      <c r="H1267" s="322">
        <f>Calculations[[#This Row],[Total Kg]]*Calculations[[#This Row],[Carbon Factor]]</f>
        <v>0</v>
      </c>
      <c r="I1267" t="str">
        <f>IFERROR(VLOOKUP(Calculations[[#This Row],[Material (choose from dropdown]],MaterialData[#All],2,FALSE),"")</f>
        <v/>
      </c>
      <c r="J1267" s="322">
        <f>IFERROR(((VLOOKUP(Calculations[[#This Row],[TransportSource]],TransportDistance[],2,FALSE)*'Stage assumptions'!$C$11)+VLOOKUP(Calculations[[#This Row],[TransportSource]],TransportDistance[],3,FALSE)*'Stage assumptions'!$C$12)*Calculations[[#This Row],[Total Kg]],0)</f>
        <v>0</v>
      </c>
      <c r="K1267">
        <f>IFERROR(VLOOKUP(Calculations[[#This Row],[Material (choose from dropdown]], MaterialData[#All],3, FALSE),0)</f>
        <v>0</v>
      </c>
      <c r="L1267" s="322">
        <f>IFERROR(VLOOKUP(Calculations[[#This Row],[A5type]],A5WastageRate[#All],2,FALSE)*Calculations[[#This Row],[A1-3]],0)</f>
        <v>0</v>
      </c>
      <c r="N1267">
        <f>IFERROR(ROUNDUP(50/VLOOKUP(Calculations[[#This Row],[Scope Element]],B4referenceServiceLife[[Tier 2 element]:[Default Service Life]],2, FALSE)-1,0),0)</f>
        <v>0</v>
      </c>
      <c r="O1267" s="322">
        <f>IFERROR((Calculations[[#This Row],[A1-3]]+Calculations[[#This Row],[A4]]+Calculations[[#This Row],[A5]]+Calculations[[#This Row],[C2 total]]+Calculations[[#This Row],[C3 total]]+Calculations[[#This Row],[C4 total]])*Calculations[[#This Row],[Replacements]],0)</f>
        <v>0</v>
      </c>
      <c r="S1267" t="str">
        <f>IFERROR(VLOOKUP(Calculations[[#This Row],[Material (choose from dropdown]],MaterialData[#All],4,FALSE),"")</f>
        <v/>
      </c>
      <c r="T1267" s="322" cm="1">
        <f t="array" ref="T1267">IFERROR(VLOOKUP(Calculations[[#This Row],[Waste 1]],WasteScenario[#All],2,FALSE)*'Stage assumptions'!$C$225*WasteTransportMethod[Emissions Factor
kgCO2e/kg.km]*Calculations[[#This Row],[Total Kg]],0)</f>
        <v>0</v>
      </c>
      <c r="U1267" s="322" cm="1">
        <f t="array" ref="U1267">IFERROR(VLOOKUP(Calculations[[#This Row],[Waste 1]],WasteScenario[#All],3,FALSE)*'Stage assumptions'!$C$224*WasteTransportMethod[Emissions Factor
kgCO2e/kg.km]*Calculations[[#This Row],[Total Kg]],0)</f>
        <v>0</v>
      </c>
      <c r="V1267" s="322" cm="1">
        <f t="array" ref="V1267">IFERROR(VLOOKUP(Calculations[[#This Row],[Waste 1]],WasteScenario[#All],4,FALSE)*'Stage assumptions'!$C$223*WasteTransportMethod[Emissions Factor
kgCO2e/kg.km]*Calculations[[#This Row],[Total Kg]],0)</f>
        <v>0</v>
      </c>
      <c r="W1267" s="322" cm="1">
        <f t="array" ref="W1267">IFERROR(VLOOKUP(Calculations[[#This Row],[Waste 1]],WasteScenario[#All],5,FALSE)*'Stage assumptions'!$C$226*WasteTransportMethod[Emissions Factor
kgCO2e/kg.km]*Calculations[[#This Row],[Total Kg]],0)</f>
        <v>0</v>
      </c>
      <c r="X1267" s="322">
        <f>SUM(Calculations[[#This Row],[C2 Recycle]:[C2 Reuse]])</f>
        <v>0</v>
      </c>
      <c r="Y1267" t="str">
        <f>IFERROR(VLOOKUP(Calculations[[#This Row],[Material (choose from dropdown]],MaterialData[#All],5,FALSE),"")</f>
        <v/>
      </c>
      <c r="Z1267" s="322">
        <f>IFERROR(((VLOOKUP(Calculations[[#This Row],[Waste type 2]],WasteDisposalEmissions[#All],2,FALSE))*Calculations[[#This Row],[Total Kg]])*VLOOKUP(Calculations[[#This Row],[Waste 1]],WasteScenario[#All],2,FALSE),0)</f>
        <v>0</v>
      </c>
      <c r="AA1267" s="322">
        <f>IFERROR((VLOOKUP(Calculations[[#This Row],[Waste type 2]],WasteDisposalEmissions[#All],3,FALSE))*Calculations[[#This Row],[Total Kg]]*VLOOKUP(Calculations[[#This Row],[Waste 1]],WasteScenario[#All],3,FALSE),0)</f>
        <v>0</v>
      </c>
      <c r="AB1267" s="322">
        <f>SUM(Calculations[[#This Row],[C3 recyc]:[C3 incin]])</f>
        <v>0</v>
      </c>
      <c r="AC1267" s="334">
        <f>IFERROR((VLOOKUP(Calculations[[#This Row],[Waste type 2]],WasteLandfillEmissions[#All],2,FALSE))*Calculations[[#This Row],[Total Kg]]*VLOOKUP(Calculations[[#This Row],[Waste 1]],WasteScenario[#All],4,FALSE),0)</f>
        <v>0</v>
      </c>
      <c r="AD1267" s="322">
        <f>IFERROR((VLOOKUP(Calculations[[#This Row],[Waste type 2]],WasteLandfillEmissions[#All],3,FALSE))*Calculations[[#This Row],[Total Kg]]*VLOOKUP(Calculations[[#This Row],[Waste 1]],WasteScenario[#All],4,FALSE),0)</f>
        <v>0</v>
      </c>
      <c r="AE1267" s="322">
        <f>SUM(Calculations[[#This Row],[C4 landfill]:[C4 re-use]])</f>
        <v>0</v>
      </c>
      <c r="AF1267" s="322">
        <f>IFERROR(VLOOKUP(Calculations[[#This Row],[Material (choose from dropdown]],MaterialData[#All],8,FALSE),0)</f>
        <v>0</v>
      </c>
      <c r="AG1267" s="322">
        <f>IFERROR(Calculations[[#This Row],[Total Kg]]*Calculations[[#This Row],[Seq factor]],0)</f>
        <v>0</v>
      </c>
      <c r="AI1267" s="322">
        <f>Calculations[[#This Row],[A1-3]]+Calculations[[#This Row],[A4]]+Calculations[[#This Row],[A5]]+Calculations[[#This Row],[B4]]+Calculations[[#This Row],[C2 total]]+Calculations[[#This Row],[C3 total]]+Calculations[[#This Row],[C4 total]]</f>
        <v>0</v>
      </c>
      <c r="AJ1267" s="2">
        <f>IFERROR(VLOOKUP(Calculations[[#This Row],[Material (choose from dropdown]],MaterialData[[#Headers],[#Data]],9,FALSE),0)</f>
        <v>0</v>
      </c>
      <c r="AK1267" s="4">
        <f>IFERROR(VLOOKUP(Calculations[[#This Row],[Material (choose from dropdown]],MaterialData[[#Headers],[#Data]],10,FALSE),0)</f>
        <v>0</v>
      </c>
      <c r="AL1267" s="322">
        <f>IFERROR(Calculations[[#This Row],[Data Quality Score]]*Calculations[[#This Row],[Total Kg]],0)</f>
        <v>0</v>
      </c>
    </row>
    <row r="1268" spans="1:38" x14ac:dyDescent="0.3">
      <c r="A1268" s="6">
        <f>IFERROR(MaterialsBoQ[[#This Row],[Scope Element]],0)</f>
        <v>0</v>
      </c>
      <c r="B1268" t="str">
        <f>IFERROR(MaterialsBoQ[[#This Row],[Material ]],"")</f>
        <v/>
      </c>
      <c r="C1268" t="str">
        <f>IFERROR(MaterialsBoQ[[#This Row],[Unit]],"")</f>
        <v/>
      </c>
      <c r="D1268" s="322">
        <f>IFERROR(MaterialsBoQ[[#This Row],[Number]],0)</f>
        <v>0</v>
      </c>
      <c r="E1268" s="322">
        <f>IFERROR(MaterialsBoQ[[#This Row],[Kg per unit]],0)</f>
        <v>0</v>
      </c>
      <c r="F1268" s="322">
        <f>IFERROR(Calculations[[#This Row],[Number]]*Calculations[[#This Row],[Conversion factor]],0)</f>
        <v>0</v>
      </c>
      <c r="G1268" s="322">
        <f>IFERROR(VLOOKUP(Calculations[[#This Row],[Material (choose from dropdown]],MaterialData[#All],7,FALSE),0)</f>
        <v>0</v>
      </c>
      <c r="H1268" s="322">
        <f>Calculations[[#This Row],[Total Kg]]*Calculations[[#This Row],[Carbon Factor]]</f>
        <v>0</v>
      </c>
      <c r="I1268" t="str">
        <f>IFERROR(VLOOKUP(Calculations[[#This Row],[Material (choose from dropdown]],MaterialData[#All],2,FALSE),"")</f>
        <v/>
      </c>
      <c r="J1268" s="322">
        <f>IFERROR(((VLOOKUP(Calculations[[#This Row],[TransportSource]],TransportDistance[],2,FALSE)*'Stage assumptions'!$C$11)+VLOOKUP(Calculations[[#This Row],[TransportSource]],TransportDistance[],3,FALSE)*'Stage assumptions'!$C$12)*Calculations[[#This Row],[Total Kg]],0)</f>
        <v>0</v>
      </c>
      <c r="K1268">
        <f>IFERROR(VLOOKUP(Calculations[[#This Row],[Material (choose from dropdown]], MaterialData[#All],3, FALSE),0)</f>
        <v>0</v>
      </c>
      <c r="L1268" s="322">
        <f>IFERROR(VLOOKUP(Calculations[[#This Row],[A5type]],A5WastageRate[#All],2,FALSE)*Calculations[[#This Row],[A1-3]],0)</f>
        <v>0</v>
      </c>
      <c r="N1268">
        <f>IFERROR(ROUNDUP(50/VLOOKUP(Calculations[[#This Row],[Scope Element]],B4referenceServiceLife[[Tier 2 element]:[Default Service Life]],2, FALSE)-1,0),0)</f>
        <v>0</v>
      </c>
      <c r="O1268" s="322">
        <f>IFERROR((Calculations[[#This Row],[A1-3]]+Calculations[[#This Row],[A4]]+Calculations[[#This Row],[A5]]+Calculations[[#This Row],[C2 total]]+Calculations[[#This Row],[C3 total]]+Calculations[[#This Row],[C4 total]])*Calculations[[#This Row],[Replacements]],0)</f>
        <v>0</v>
      </c>
      <c r="S1268" t="str">
        <f>IFERROR(VLOOKUP(Calculations[[#This Row],[Material (choose from dropdown]],MaterialData[#All],4,FALSE),"")</f>
        <v/>
      </c>
      <c r="T1268" s="322" cm="1">
        <f t="array" ref="T1268">IFERROR(VLOOKUP(Calculations[[#This Row],[Waste 1]],WasteScenario[#All],2,FALSE)*'Stage assumptions'!$C$225*WasteTransportMethod[Emissions Factor
kgCO2e/kg.km]*Calculations[[#This Row],[Total Kg]],0)</f>
        <v>0</v>
      </c>
      <c r="U1268" s="322" cm="1">
        <f t="array" ref="U1268">IFERROR(VLOOKUP(Calculations[[#This Row],[Waste 1]],WasteScenario[#All],3,FALSE)*'Stage assumptions'!$C$224*WasteTransportMethod[Emissions Factor
kgCO2e/kg.km]*Calculations[[#This Row],[Total Kg]],0)</f>
        <v>0</v>
      </c>
      <c r="V1268" s="322" cm="1">
        <f t="array" ref="V1268">IFERROR(VLOOKUP(Calculations[[#This Row],[Waste 1]],WasteScenario[#All],4,FALSE)*'Stage assumptions'!$C$223*WasteTransportMethod[Emissions Factor
kgCO2e/kg.km]*Calculations[[#This Row],[Total Kg]],0)</f>
        <v>0</v>
      </c>
      <c r="W1268" s="322" cm="1">
        <f t="array" ref="W1268">IFERROR(VLOOKUP(Calculations[[#This Row],[Waste 1]],WasteScenario[#All],5,FALSE)*'Stage assumptions'!$C$226*WasteTransportMethod[Emissions Factor
kgCO2e/kg.km]*Calculations[[#This Row],[Total Kg]],0)</f>
        <v>0</v>
      </c>
      <c r="X1268" s="322">
        <f>SUM(Calculations[[#This Row],[C2 Recycle]:[C2 Reuse]])</f>
        <v>0</v>
      </c>
      <c r="Y1268" t="str">
        <f>IFERROR(VLOOKUP(Calculations[[#This Row],[Material (choose from dropdown]],MaterialData[#All],5,FALSE),"")</f>
        <v/>
      </c>
      <c r="Z1268" s="322">
        <f>IFERROR(((VLOOKUP(Calculations[[#This Row],[Waste type 2]],WasteDisposalEmissions[#All],2,FALSE))*Calculations[[#This Row],[Total Kg]])*VLOOKUP(Calculations[[#This Row],[Waste 1]],WasteScenario[#All],2,FALSE),0)</f>
        <v>0</v>
      </c>
      <c r="AA1268" s="322">
        <f>IFERROR((VLOOKUP(Calculations[[#This Row],[Waste type 2]],WasteDisposalEmissions[#All],3,FALSE))*Calculations[[#This Row],[Total Kg]]*VLOOKUP(Calculations[[#This Row],[Waste 1]],WasteScenario[#All],3,FALSE),0)</f>
        <v>0</v>
      </c>
      <c r="AB1268" s="322">
        <f>SUM(Calculations[[#This Row],[C3 recyc]:[C3 incin]])</f>
        <v>0</v>
      </c>
      <c r="AC1268" s="334">
        <f>IFERROR((VLOOKUP(Calculations[[#This Row],[Waste type 2]],WasteLandfillEmissions[#All],2,FALSE))*Calculations[[#This Row],[Total Kg]]*VLOOKUP(Calculations[[#This Row],[Waste 1]],WasteScenario[#All],4,FALSE),0)</f>
        <v>0</v>
      </c>
      <c r="AD1268" s="322">
        <f>IFERROR((VLOOKUP(Calculations[[#This Row],[Waste type 2]],WasteLandfillEmissions[#All],3,FALSE))*Calculations[[#This Row],[Total Kg]]*VLOOKUP(Calculations[[#This Row],[Waste 1]],WasteScenario[#All],4,FALSE),0)</f>
        <v>0</v>
      </c>
      <c r="AE1268" s="322">
        <f>SUM(Calculations[[#This Row],[C4 landfill]:[C4 re-use]])</f>
        <v>0</v>
      </c>
      <c r="AF1268" s="322">
        <f>IFERROR(VLOOKUP(Calculations[[#This Row],[Material (choose from dropdown]],MaterialData[#All],8,FALSE),0)</f>
        <v>0</v>
      </c>
      <c r="AG1268" s="322">
        <f>IFERROR(Calculations[[#This Row],[Total Kg]]*Calculations[[#This Row],[Seq factor]],0)</f>
        <v>0</v>
      </c>
      <c r="AI1268" s="322">
        <f>Calculations[[#This Row],[A1-3]]+Calculations[[#This Row],[A4]]+Calculations[[#This Row],[A5]]+Calculations[[#This Row],[B4]]+Calculations[[#This Row],[C2 total]]+Calculations[[#This Row],[C3 total]]+Calculations[[#This Row],[C4 total]]</f>
        <v>0</v>
      </c>
      <c r="AJ1268" s="2">
        <f>IFERROR(VLOOKUP(Calculations[[#This Row],[Material (choose from dropdown]],MaterialData[[#Headers],[#Data]],9,FALSE),0)</f>
        <v>0</v>
      </c>
      <c r="AK1268" s="4">
        <f>IFERROR(VLOOKUP(Calculations[[#This Row],[Material (choose from dropdown]],MaterialData[[#Headers],[#Data]],10,FALSE),0)</f>
        <v>0</v>
      </c>
      <c r="AL1268" s="322">
        <f>IFERROR(Calculations[[#This Row],[Data Quality Score]]*Calculations[[#This Row],[Total Kg]],0)</f>
        <v>0</v>
      </c>
    </row>
    <row r="1269" spans="1:38" x14ac:dyDescent="0.3">
      <c r="A1269" s="6">
        <f>IFERROR(MaterialsBoQ[[#This Row],[Scope Element]],0)</f>
        <v>0</v>
      </c>
      <c r="B1269" t="str">
        <f>IFERROR(MaterialsBoQ[[#This Row],[Material ]],"")</f>
        <v/>
      </c>
      <c r="C1269" t="str">
        <f>IFERROR(MaterialsBoQ[[#This Row],[Unit]],"")</f>
        <v/>
      </c>
      <c r="D1269" s="322">
        <f>IFERROR(MaterialsBoQ[[#This Row],[Number]],0)</f>
        <v>0</v>
      </c>
      <c r="E1269" s="322">
        <f>IFERROR(MaterialsBoQ[[#This Row],[Kg per unit]],0)</f>
        <v>0</v>
      </c>
      <c r="F1269" s="322">
        <f>IFERROR(Calculations[[#This Row],[Number]]*Calculations[[#This Row],[Conversion factor]],0)</f>
        <v>0</v>
      </c>
      <c r="G1269" s="322">
        <f>IFERROR(VLOOKUP(Calculations[[#This Row],[Material (choose from dropdown]],MaterialData[#All],7,FALSE),0)</f>
        <v>0</v>
      </c>
      <c r="H1269" s="322">
        <f>Calculations[[#This Row],[Total Kg]]*Calculations[[#This Row],[Carbon Factor]]</f>
        <v>0</v>
      </c>
      <c r="I1269" t="str">
        <f>IFERROR(VLOOKUP(Calculations[[#This Row],[Material (choose from dropdown]],MaterialData[#All],2,FALSE),"")</f>
        <v/>
      </c>
      <c r="J1269" s="322">
        <f>IFERROR(((VLOOKUP(Calculations[[#This Row],[TransportSource]],TransportDistance[],2,FALSE)*'Stage assumptions'!$C$11)+VLOOKUP(Calculations[[#This Row],[TransportSource]],TransportDistance[],3,FALSE)*'Stage assumptions'!$C$12)*Calculations[[#This Row],[Total Kg]],0)</f>
        <v>0</v>
      </c>
      <c r="K1269">
        <f>IFERROR(VLOOKUP(Calculations[[#This Row],[Material (choose from dropdown]], MaterialData[#All],3, FALSE),0)</f>
        <v>0</v>
      </c>
      <c r="L1269" s="322">
        <f>IFERROR(VLOOKUP(Calculations[[#This Row],[A5type]],A5WastageRate[#All],2,FALSE)*Calculations[[#This Row],[A1-3]],0)</f>
        <v>0</v>
      </c>
      <c r="N1269">
        <f>IFERROR(ROUNDUP(50/VLOOKUP(Calculations[[#This Row],[Scope Element]],B4referenceServiceLife[[Tier 2 element]:[Default Service Life]],2, FALSE)-1,0),0)</f>
        <v>0</v>
      </c>
      <c r="O1269" s="322">
        <f>IFERROR((Calculations[[#This Row],[A1-3]]+Calculations[[#This Row],[A4]]+Calculations[[#This Row],[A5]]+Calculations[[#This Row],[C2 total]]+Calculations[[#This Row],[C3 total]]+Calculations[[#This Row],[C4 total]])*Calculations[[#This Row],[Replacements]],0)</f>
        <v>0</v>
      </c>
      <c r="S1269" t="str">
        <f>IFERROR(VLOOKUP(Calculations[[#This Row],[Material (choose from dropdown]],MaterialData[#All],4,FALSE),"")</f>
        <v/>
      </c>
      <c r="T1269" s="322" cm="1">
        <f t="array" ref="T1269">IFERROR(VLOOKUP(Calculations[[#This Row],[Waste 1]],WasteScenario[#All],2,FALSE)*'Stage assumptions'!$C$225*WasteTransportMethod[Emissions Factor
kgCO2e/kg.km]*Calculations[[#This Row],[Total Kg]],0)</f>
        <v>0</v>
      </c>
      <c r="U1269" s="322" cm="1">
        <f t="array" ref="U1269">IFERROR(VLOOKUP(Calculations[[#This Row],[Waste 1]],WasteScenario[#All],3,FALSE)*'Stage assumptions'!$C$224*WasteTransportMethod[Emissions Factor
kgCO2e/kg.km]*Calculations[[#This Row],[Total Kg]],0)</f>
        <v>0</v>
      </c>
      <c r="V1269" s="322" cm="1">
        <f t="array" ref="V1269">IFERROR(VLOOKUP(Calculations[[#This Row],[Waste 1]],WasteScenario[#All],4,FALSE)*'Stage assumptions'!$C$223*WasteTransportMethod[Emissions Factor
kgCO2e/kg.km]*Calculations[[#This Row],[Total Kg]],0)</f>
        <v>0</v>
      </c>
      <c r="W1269" s="322" cm="1">
        <f t="array" ref="W1269">IFERROR(VLOOKUP(Calculations[[#This Row],[Waste 1]],WasteScenario[#All],5,FALSE)*'Stage assumptions'!$C$226*WasteTransportMethod[Emissions Factor
kgCO2e/kg.km]*Calculations[[#This Row],[Total Kg]],0)</f>
        <v>0</v>
      </c>
      <c r="X1269" s="322">
        <f>SUM(Calculations[[#This Row],[C2 Recycle]:[C2 Reuse]])</f>
        <v>0</v>
      </c>
      <c r="Y1269" t="str">
        <f>IFERROR(VLOOKUP(Calculations[[#This Row],[Material (choose from dropdown]],MaterialData[#All],5,FALSE),"")</f>
        <v/>
      </c>
      <c r="Z1269" s="322">
        <f>IFERROR(((VLOOKUP(Calculations[[#This Row],[Waste type 2]],WasteDisposalEmissions[#All],2,FALSE))*Calculations[[#This Row],[Total Kg]])*VLOOKUP(Calculations[[#This Row],[Waste 1]],WasteScenario[#All],2,FALSE),0)</f>
        <v>0</v>
      </c>
      <c r="AA1269" s="322">
        <f>IFERROR((VLOOKUP(Calculations[[#This Row],[Waste type 2]],WasteDisposalEmissions[#All],3,FALSE))*Calculations[[#This Row],[Total Kg]]*VLOOKUP(Calculations[[#This Row],[Waste 1]],WasteScenario[#All],3,FALSE),0)</f>
        <v>0</v>
      </c>
      <c r="AB1269" s="322">
        <f>SUM(Calculations[[#This Row],[C3 recyc]:[C3 incin]])</f>
        <v>0</v>
      </c>
      <c r="AC1269" s="334">
        <f>IFERROR((VLOOKUP(Calculations[[#This Row],[Waste type 2]],WasteLandfillEmissions[#All],2,FALSE))*Calculations[[#This Row],[Total Kg]]*VLOOKUP(Calculations[[#This Row],[Waste 1]],WasteScenario[#All],4,FALSE),0)</f>
        <v>0</v>
      </c>
      <c r="AD1269" s="322">
        <f>IFERROR((VLOOKUP(Calculations[[#This Row],[Waste type 2]],WasteLandfillEmissions[#All],3,FALSE))*Calculations[[#This Row],[Total Kg]]*VLOOKUP(Calculations[[#This Row],[Waste 1]],WasteScenario[#All],4,FALSE),0)</f>
        <v>0</v>
      </c>
      <c r="AE1269" s="322">
        <f>SUM(Calculations[[#This Row],[C4 landfill]:[C4 re-use]])</f>
        <v>0</v>
      </c>
      <c r="AF1269" s="322">
        <f>IFERROR(VLOOKUP(Calculations[[#This Row],[Material (choose from dropdown]],MaterialData[#All],8,FALSE),0)</f>
        <v>0</v>
      </c>
      <c r="AG1269" s="322">
        <f>IFERROR(Calculations[[#This Row],[Total Kg]]*Calculations[[#This Row],[Seq factor]],0)</f>
        <v>0</v>
      </c>
      <c r="AI1269" s="322">
        <f>Calculations[[#This Row],[A1-3]]+Calculations[[#This Row],[A4]]+Calculations[[#This Row],[A5]]+Calculations[[#This Row],[B4]]+Calculations[[#This Row],[C2 total]]+Calculations[[#This Row],[C3 total]]+Calculations[[#This Row],[C4 total]]</f>
        <v>0</v>
      </c>
      <c r="AJ1269" s="2">
        <f>IFERROR(VLOOKUP(Calculations[[#This Row],[Material (choose from dropdown]],MaterialData[[#Headers],[#Data]],9,FALSE),0)</f>
        <v>0</v>
      </c>
      <c r="AK1269" s="4">
        <f>IFERROR(VLOOKUP(Calculations[[#This Row],[Material (choose from dropdown]],MaterialData[[#Headers],[#Data]],10,FALSE),0)</f>
        <v>0</v>
      </c>
      <c r="AL1269" s="322">
        <f>IFERROR(Calculations[[#This Row],[Data Quality Score]]*Calculations[[#This Row],[Total Kg]],0)</f>
        <v>0</v>
      </c>
    </row>
    <row r="1270" spans="1:38" x14ac:dyDescent="0.3">
      <c r="A1270" s="6">
        <f>IFERROR(MaterialsBoQ[[#This Row],[Scope Element]],0)</f>
        <v>0</v>
      </c>
      <c r="B1270" t="str">
        <f>IFERROR(MaterialsBoQ[[#This Row],[Material ]],"")</f>
        <v/>
      </c>
      <c r="C1270" t="str">
        <f>IFERROR(MaterialsBoQ[[#This Row],[Unit]],"")</f>
        <v/>
      </c>
      <c r="D1270" s="322">
        <f>IFERROR(MaterialsBoQ[[#This Row],[Number]],0)</f>
        <v>0</v>
      </c>
      <c r="E1270" s="322">
        <f>IFERROR(MaterialsBoQ[[#This Row],[Kg per unit]],0)</f>
        <v>0</v>
      </c>
      <c r="F1270" s="322">
        <f>IFERROR(Calculations[[#This Row],[Number]]*Calculations[[#This Row],[Conversion factor]],0)</f>
        <v>0</v>
      </c>
      <c r="G1270" s="322">
        <f>IFERROR(VLOOKUP(Calculations[[#This Row],[Material (choose from dropdown]],MaterialData[#All],7,FALSE),0)</f>
        <v>0</v>
      </c>
      <c r="H1270" s="322">
        <f>Calculations[[#This Row],[Total Kg]]*Calculations[[#This Row],[Carbon Factor]]</f>
        <v>0</v>
      </c>
      <c r="I1270" t="str">
        <f>IFERROR(VLOOKUP(Calculations[[#This Row],[Material (choose from dropdown]],MaterialData[#All],2,FALSE),"")</f>
        <v/>
      </c>
      <c r="J1270" s="322">
        <f>IFERROR(((VLOOKUP(Calculations[[#This Row],[TransportSource]],TransportDistance[],2,FALSE)*'Stage assumptions'!$C$11)+VLOOKUP(Calculations[[#This Row],[TransportSource]],TransportDistance[],3,FALSE)*'Stage assumptions'!$C$12)*Calculations[[#This Row],[Total Kg]],0)</f>
        <v>0</v>
      </c>
      <c r="K1270">
        <f>IFERROR(VLOOKUP(Calculations[[#This Row],[Material (choose from dropdown]], MaterialData[#All],3, FALSE),0)</f>
        <v>0</v>
      </c>
      <c r="L1270" s="322">
        <f>IFERROR(VLOOKUP(Calculations[[#This Row],[A5type]],A5WastageRate[#All],2,FALSE)*Calculations[[#This Row],[A1-3]],0)</f>
        <v>0</v>
      </c>
      <c r="N1270">
        <f>IFERROR(ROUNDUP(50/VLOOKUP(Calculations[[#This Row],[Scope Element]],B4referenceServiceLife[[Tier 2 element]:[Default Service Life]],2, FALSE)-1,0),0)</f>
        <v>0</v>
      </c>
      <c r="O1270" s="322">
        <f>IFERROR((Calculations[[#This Row],[A1-3]]+Calculations[[#This Row],[A4]]+Calculations[[#This Row],[A5]]+Calculations[[#This Row],[C2 total]]+Calculations[[#This Row],[C3 total]]+Calculations[[#This Row],[C4 total]])*Calculations[[#This Row],[Replacements]],0)</f>
        <v>0</v>
      </c>
      <c r="S1270" t="str">
        <f>IFERROR(VLOOKUP(Calculations[[#This Row],[Material (choose from dropdown]],MaterialData[#All],4,FALSE),"")</f>
        <v/>
      </c>
      <c r="T1270" s="322" cm="1">
        <f t="array" ref="T1270">IFERROR(VLOOKUP(Calculations[[#This Row],[Waste 1]],WasteScenario[#All],2,FALSE)*'Stage assumptions'!$C$225*WasteTransportMethod[Emissions Factor
kgCO2e/kg.km]*Calculations[[#This Row],[Total Kg]],0)</f>
        <v>0</v>
      </c>
      <c r="U1270" s="322" cm="1">
        <f t="array" ref="U1270">IFERROR(VLOOKUP(Calculations[[#This Row],[Waste 1]],WasteScenario[#All],3,FALSE)*'Stage assumptions'!$C$224*WasteTransportMethod[Emissions Factor
kgCO2e/kg.km]*Calculations[[#This Row],[Total Kg]],0)</f>
        <v>0</v>
      </c>
      <c r="V1270" s="322" cm="1">
        <f t="array" ref="V1270">IFERROR(VLOOKUP(Calculations[[#This Row],[Waste 1]],WasteScenario[#All],4,FALSE)*'Stage assumptions'!$C$223*WasteTransportMethod[Emissions Factor
kgCO2e/kg.km]*Calculations[[#This Row],[Total Kg]],0)</f>
        <v>0</v>
      </c>
      <c r="W1270" s="322" cm="1">
        <f t="array" ref="W1270">IFERROR(VLOOKUP(Calculations[[#This Row],[Waste 1]],WasteScenario[#All],5,FALSE)*'Stage assumptions'!$C$226*WasteTransportMethod[Emissions Factor
kgCO2e/kg.km]*Calculations[[#This Row],[Total Kg]],0)</f>
        <v>0</v>
      </c>
      <c r="X1270" s="322">
        <f>SUM(Calculations[[#This Row],[C2 Recycle]:[C2 Reuse]])</f>
        <v>0</v>
      </c>
      <c r="Y1270" t="str">
        <f>IFERROR(VLOOKUP(Calculations[[#This Row],[Material (choose from dropdown]],MaterialData[#All],5,FALSE),"")</f>
        <v/>
      </c>
      <c r="Z1270" s="322">
        <f>IFERROR(((VLOOKUP(Calculations[[#This Row],[Waste type 2]],WasteDisposalEmissions[#All],2,FALSE))*Calculations[[#This Row],[Total Kg]])*VLOOKUP(Calculations[[#This Row],[Waste 1]],WasteScenario[#All],2,FALSE),0)</f>
        <v>0</v>
      </c>
      <c r="AA1270" s="322">
        <f>IFERROR((VLOOKUP(Calculations[[#This Row],[Waste type 2]],WasteDisposalEmissions[#All],3,FALSE))*Calculations[[#This Row],[Total Kg]]*VLOOKUP(Calculations[[#This Row],[Waste 1]],WasteScenario[#All],3,FALSE),0)</f>
        <v>0</v>
      </c>
      <c r="AB1270" s="322">
        <f>SUM(Calculations[[#This Row],[C3 recyc]:[C3 incin]])</f>
        <v>0</v>
      </c>
      <c r="AC1270" s="334">
        <f>IFERROR((VLOOKUP(Calculations[[#This Row],[Waste type 2]],WasteLandfillEmissions[#All],2,FALSE))*Calculations[[#This Row],[Total Kg]]*VLOOKUP(Calculations[[#This Row],[Waste 1]],WasteScenario[#All],4,FALSE),0)</f>
        <v>0</v>
      </c>
      <c r="AD1270" s="322">
        <f>IFERROR((VLOOKUP(Calculations[[#This Row],[Waste type 2]],WasteLandfillEmissions[#All],3,FALSE))*Calculations[[#This Row],[Total Kg]]*VLOOKUP(Calculations[[#This Row],[Waste 1]],WasteScenario[#All],4,FALSE),0)</f>
        <v>0</v>
      </c>
      <c r="AE1270" s="322">
        <f>SUM(Calculations[[#This Row],[C4 landfill]:[C4 re-use]])</f>
        <v>0</v>
      </c>
      <c r="AF1270" s="322">
        <f>IFERROR(VLOOKUP(Calculations[[#This Row],[Material (choose from dropdown]],MaterialData[#All],8,FALSE),0)</f>
        <v>0</v>
      </c>
      <c r="AG1270" s="322">
        <f>IFERROR(Calculations[[#This Row],[Total Kg]]*Calculations[[#This Row],[Seq factor]],0)</f>
        <v>0</v>
      </c>
      <c r="AI1270" s="322">
        <f>Calculations[[#This Row],[A1-3]]+Calculations[[#This Row],[A4]]+Calculations[[#This Row],[A5]]+Calculations[[#This Row],[B4]]+Calculations[[#This Row],[C2 total]]+Calculations[[#This Row],[C3 total]]+Calculations[[#This Row],[C4 total]]</f>
        <v>0</v>
      </c>
      <c r="AJ1270" s="2">
        <f>IFERROR(VLOOKUP(Calculations[[#This Row],[Material (choose from dropdown]],MaterialData[[#Headers],[#Data]],9,FALSE),0)</f>
        <v>0</v>
      </c>
      <c r="AK1270" s="4">
        <f>IFERROR(VLOOKUP(Calculations[[#This Row],[Material (choose from dropdown]],MaterialData[[#Headers],[#Data]],10,FALSE),0)</f>
        <v>0</v>
      </c>
      <c r="AL1270" s="322">
        <f>IFERROR(Calculations[[#This Row],[Data Quality Score]]*Calculations[[#This Row],[Total Kg]],0)</f>
        <v>0</v>
      </c>
    </row>
    <row r="1271" spans="1:38" x14ac:dyDescent="0.3">
      <c r="A1271" s="6">
        <f>IFERROR(MaterialsBoQ[[#This Row],[Scope Element]],0)</f>
        <v>0</v>
      </c>
      <c r="B1271" t="str">
        <f>IFERROR(MaterialsBoQ[[#This Row],[Material ]],"")</f>
        <v/>
      </c>
      <c r="C1271" t="str">
        <f>IFERROR(MaterialsBoQ[[#This Row],[Unit]],"")</f>
        <v/>
      </c>
      <c r="D1271" s="322">
        <f>IFERROR(MaterialsBoQ[[#This Row],[Number]],0)</f>
        <v>0</v>
      </c>
      <c r="E1271" s="322">
        <f>IFERROR(MaterialsBoQ[[#This Row],[Kg per unit]],0)</f>
        <v>0</v>
      </c>
      <c r="F1271" s="322">
        <f>IFERROR(Calculations[[#This Row],[Number]]*Calculations[[#This Row],[Conversion factor]],0)</f>
        <v>0</v>
      </c>
      <c r="G1271" s="322">
        <f>IFERROR(VLOOKUP(Calculations[[#This Row],[Material (choose from dropdown]],MaterialData[#All],7,FALSE),0)</f>
        <v>0</v>
      </c>
      <c r="H1271" s="322">
        <f>Calculations[[#This Row],[Total Kg]]*Calculations[[#This Row],[Carbon Factor]]</f>
        <v>0</v>
      </c>
      <c r="I1271" t="str">
        <f>IFERROR(VLOOKUP(Calculations[[#This Row],[Material (choose from dropdown]],MaterialData[#All],2,FALSE),"")</f>
        <v/>
      </c>
      <c r="J1271" s="322">
        <f>IFERROR(((VLOOKUP(Calculations[[#This Row],[TransportSource]],TransportDistance[],2,FALSE)*'Stage assumptions'!$C$11)+VLOOKUP(Calculations[[#This Row],[TransportSource]],TransportDistance[],3,FALSE)*'Stage assumptions'!$C$12)*Calculations[[#This Row],[Total Kg]],0)</f>
        <v>0</v>
      </c>
      <c r="K1271">
        <f>IFERROR(VLOOKUP(Calculations[[#This Row],[Material (choose from dropdown]], MaterialData[#All],3, FALSE),0)</f>
        <v>0</v>
      </c>
      <c r="L1271" s="322">
        <f>IFERROR(VLOOKUP(Calculations[[#This Row],[A5type]],A5WastageRate[#All],2,FALSE)*Calculations[[#This Row],[A1-3]],0)</f>
        <v>0</v>
      </c>
      <c r="N1271">
        <f>IFERROR(ROUNDUP(50/VLOOKUP(Calculations[[#This Row],[Scope Element]],B4referenceServiceLife[[Tier 2 element]:[Default Service Life]],2, FALSE)-1,0),0)</f>
        <v>0</v>
      </c>
      <c r="O1271" s="322">
        <f>IFERROR((Calculations[[#This Row],[A1-3]]+Calculations[[#This Row],[A4]]+Calculations[[#This Row],[A5]]+Calculations[[#This Row],[C2 total]]+Calculations[[#This Row],[C3 total]]+Calculations[[#This Row],[C4 total]])*Calculations[[#This Row],[Replacements]],0)</f>
        <v>0</v>
      </c>
      <c r="S1271" t="str">
        <f>IFERROR(VLOOKUP(Calculations[[#This Row],[Material (choose from dropdown]],MaterialData[#All],4,FALSE),"")</f>
        <v/>
      </c>
      <c r="T1271" s="322" cm="1">
        <f t="array" ref="T1271">IFERROR(VLOOKUP(Calculations[[#This Row],[Waste 1]],WasteScenario[#All],2,FALSE)*'Stage assumptions'!$C$225*WasteTransportMethod[Emissions Factor
kgCO2e/kg.km]*Calculations[[#This Row],[Total Kg]],0)</f>
        <v>0</v>
      </c>
      <c r="U1271" s="322" cm="1">
        <f t="array" ref="U1271">IFERROR(VLOOKUP(Calculations[[#This Row],[Waste 1]],WasteScenario[#All],3,FALSE)*'Stage assumptions'!$C$224*WasteTransportMethod[Emissions Factor
kgCO2e/kg.km]*Calculations[[#This Row],[Total Kg]],0)</f>
        <v>0</v>
      </c>
      <c r="V1271" s="322" cm="1">
        <f t="array" ref="V1271">IFERROR(VLOOKUP(Calculations[[#This Row],[Waste 1]],WasteScenario[#All],4,FALSE)*'Stage assumptions'!$C$223*WasteTransportMethod[Emissions Factor
kgCO2e/kg.km]*Calculations[[#This Row],[Total Kg]],0)</f>
        <v>0</v>
      </c>
      <c r="W1271" s="322" cm="1">
        <f t="array" ref="W1271">IFERROR(VLOOKUP(Calculations[[#This Row],[Waste 1]],WasteScenario[#All],5,FALSE)*'Stage assumptions'!$C$226*WasteTransportMethod[Emissions Factor
kgCO2e/kg.km]*Calculations[[#This Row],[Total Kg]],0)</f>
        <v>0</v>
      </c>
      <c r="X1271" s="322">
        <f>SUM(Calculations[[#This Row],[C2 Recycle]:[C2 Reuse]])</f>
        <v>0</v>
      </c>
      <c r="Y1271" t="str">
        <f>IFERROR(VLOOKUP(Calculations[[#This Row],[Material (choose from dropdown]],MaterialData[#All],5,FALSE),"")</f>
        <v/>
      </c>
      <c r="Z1271" s="322">
        <f>IFERROR(((VLOOKUP(Calculations[[#This Row],[Waste type 2]],WasteDisposalEmissions[#All],2,FALSE))*Calculations[[#This Row],[Total Kg]])*VLOOKUP(Calculations[[#This Row],[Waste 1]],WasteScenario[#All],2,FALSE),0)</f>
        <v>0</v>
      </c>
      <c r="AA1271" s="322">
        <f>IFERROR((VLOOKUP(Calculations[[#This Row],[Waste type 2]],WasteDisposalEmissions[#All],3,FALSE))*Calculations[[#This Row],[Total Kg]]*VLOOKUP(Calculations[[#This Row],[Waste 1]],WasteScenario[#All],3,FALSE),0)</f>
        <v>0</v>
      </c>
      <c r="AB1271" s="322">
        <f>SUM(Calculations[[#This Row],[C3 recyc]:[C3 incin]])</f>
        <v>0</v>
      </c>
      <c r="AC1271" s="334">
        <f>IFERROR((VLOOKUP(Calculations[[#This Row],[Waste type 2]],WasteLandfillEmissions[#All],2,FALSE))*Calculations[[#This Row],[Total Kg]]*VLOOKUP(Calculations[[#This Row],[Waste 1]],WasteScenario[#All],4,FALSE),0)</f>
        <v>0</v>
      </c>
      <c r="AD1271" s="322">
        <f>IFERROR((VLOOKUP(Calculations[[#This Row],[Waste type 2]],WasteLandfillEmissions[#All],3,FALSE))*Calculations[[#This Row],[Total Kg]]*VLOOKUP(Calculations[[#This Row],[Waste 1]],WasteScenario[#All],4,FALSE),0)</f>
        <v>0</v>
      </c>
      <c r="AE1271" s="322">
        <f>SUM(Calculations[[#This Row],[C4 landfill]:[C4 re-use]])</f>
        <v>0</v>
      </c>
      <c r="AF1271" s="322">
        <f>IFERROR(VLOOKUP(Calculations[[#This Row],[Material (choose from dropdown]],MaterialData[#All],8,FALSE),0)</f>
        <v>0</v>
      </c>
      <c r="AG1271" s="322">
        <f>IFERROR(Calculations[[#This Row],[Total Kg]]*Calculations[[#This Row],[Seq factor]],0)</f>
        <v>0</v>
      </c>
      <c r="AI1271" s="322">
        <f>Calculations[[#This Row],[A1-3]]+Calculations[[#This Row],[A4]]+Calculations[[#This Row],[A5]]+Calculations[[#This Row],[B4]]+Calculations[[#This Row],[C2 total]]+Calculations[[#This Row],[C3 total]]+Calculations[[#This Row],[C4 total]]</f>
        <v>0</v>
      </c>
      <c r="AJ1271" s="2">
        <f>IFERROR(VLOOKUP(Calculations[[#This Row],[Material (choose from dropdown]],MaterialData[[#Headers],[#Data]],9,FALSE),0)</f>
        <v>0</v>
      </c>
      <c r="AK1271" s="4">
        <f>IFERROR(VLOOKUP(Calculations[[#This Row],[Material (choose from dropdown]],MaterialData[[#Headers],[#Data]],10,FALSE),0)</f>
        <v>0</v>
      </c>
      <c r="AL1271" s="322">
        <f>IFERROR(Calculations[[#This Row],[Data Quality Score]]*Calculations[[#This Row],[Total Kg]],0)</f>
        <v>0</v>
      </c>
    </row>
    <row r="1272" spans="1:38" x14ac:dyDescent="0.3">
      <c r="A1272" s="6">
        <f>IFERROR(MaterialsBoQ[[#This Row],[Scope Element]],0)</f>
        <v>0</v>
      </c>
      <c r="B1272" t="str">
        <f>IFERROR(MaterialsBoQ[[#This Row],[Material ]],"")</f>
        <v/>
      </c>
      <c r="C1272" t="str">
        <f>IFERROR(MaterialsBoQ[[#This Row],[Unit]],"")</f>
        <v/>
      </c>
      <c r="D1272" s="322">
        <f>IFERROR(MaterialsBoQ[[#This Row],[Number]],0)</f>
        <v>0</v>
      </c>
      <c r="E1272" s="322">
        <f>IFERROR(MaterialsBoQ[[#This Row],[Kg per unit]],0)</f>
        <v>0</v>
      </c>
      <c r="F1272" s="322">
        <f>IFERROR(Calculations[[#This Row],[Number]]*Calculations[[#This Row],[Conversion factor]],0)</f>
        <v>0</v>
      </c>
      <c r="G1272" s="322">
        <f>IFERROR(VLOOKUP(Calculations[[#This Row],[Material (choose from dropdown]],MaterialData[#All],7,FALSE),0)</f>
        <v>0</v>
      </c>
      <c r="H1272" s="322">
        <f>Calculations[[#This Row],[Total Kg]]*Calculations[[#This Row],[Carbon Factor]]</f>
        <v>0</v>
      </c>
      <c r="I1272" t="str">
        <f>IFERROR(VLOOKUP(Calculations[[#This Row],[Material (choose from dropdown]],MaterialData[#All],2,FALSE),"")</f>
        <v/>
      </c>
      <c r="J1272" s="322">
        <f>IFERROR(((VLOOKUP(Calculations[[#This Row],[TransportSource]],TransportDistance[],2,FALSE)*'Stage assumptions'!$C$11)+VLOOKUP(Calculations[[#This Row],[TransportSource]],TransportDistance[],3,FALSE)*'Stage assumptions'!$C$12)*Calculations[[#This Row],[Total Kg]],0)</f>
        <v>0</v>
      </c>
      <c r="K1272">
        <f>IFERROR(VLOOKUP(Calculations[[#This Row],[Material (choose from dropdown]], MaterialData[#All],3, FALSE),0)</f>
        <v>0</v>
      </c>
      <c r="L1272" s="322">
        <f>IFERROR(VLOOKUP(Calculations[[#This Row],[A5type]],A5WastageRate[#All],2,FALSE)*Calculations[[#This Row],[A1-3]],0)</f>
        <v>0</v>
      </c>
      <c r="N1272">
        <f>IFERROR(ROUNDUP(50/VLOOKUP(Calculations[[#This Row],[Scope Element]],B4referenceServiceLife[[Tier 2 element]:[Default Service Life]],2, FALSE)-1,0),0)</f>
        <v>0</v>
      </c>
      <c r="O1272" s="322">
        <f>IFERROR((Calculations[[#This Row],[A1-3]]+Calculations[[#This Row],[A4]]+Calculations[[#This Row],[A5]]+Calculations[[#This Row],[C2 total]]+Calculations[[#This Row],[C3 total]]+Calculations[[#This Row],[C4 total]])*Calculations[[#This Row],[Replacements]],0)</f>
        <v>0</v>
      </c>
      <c r="S1272" t="str">
        <f>IFERROR(VLOOKUP(Calculations[[#This Row],[Material (choose from dropdown]],MaterialData[#All],4,FALSE),"")</f>
        <v/>
      </c>
      <c r="T1272" s="322" cm="1">
        <f t="array" ref="T1272">IFERROR(VLOOKUP(Calculations[[#This Row],[Waste 1]],WasteScenario[#All],2,FALSE)*'Stage assumptions'!$C$225*WasteTransportMethod[Emissions Factor
kgCO2e/kg.km]*Calculations[[#This Row],[Total Kg]],0)</f>
        <v>0</v>
      </c>
      <c r="U1272" s="322" cm="1">
        <f t="array" ref="U1272">IFERROR(VLOOKUP(Calculations[[#This Row],[Waste 1]],WasteScenario[#All],3,FALSE)*'Stage assumptions'!$C$224*WasteTransportMethod[Emissions Factor
kgCO2e/kg.km]*Calculations[[#This Row],[Total Kg]],0)</f>
        <v>0</v>
      </c>
      <c r="V1272" s="322" cm="1">
        <f t="array" ref="V1272">IFERROR(VLOOKUP(Calculations[[#This Row],[Waste 1]],WasteScenario[#All],4,FALSE)*'Stage assumptions'!$C$223*WasteTransportMethod[Emissions Factor
kgCO2e/kg.km]*Calculations[[#This Row],[Total Kg]],0)</f>
        <v>0</v>
      </c>
      <c r="W1272" s="322" cm="1">
        <f t="array" ref="W1272">IFERROR(VLOOKUP(Calculations[[#This Row],[Waste 1]],WasteScenario[#All],5,FALSE)*'Stage assumptions'!$C$226*WasteTransportMethod[Emissions Factor
kgCO2e/kg.km]*Calculations[[#This Row],[Total Kg]],0)</f>
        <v>0</v>
      </c>
      <c r="X1272" s="322">
        <f>SUM(Calculations[[#This Row],[C2 Recycle]:[C2 Reuse]])</f>
        <v>0</v>
      </c>
      <c r="Y1272" t="str">
        <f>IFERROR(VLOOKUP(Calculations[[#This Row],[Material (choose from dropdown]],MaterialData[#All],5,FALSE),"")</f>
        <v/>
      </c>
      <c r="Z1272" s="322">
        <f>IFERROR(((VLOOKUP(Calculations[[#This Row],[Waste type 2]],WasteDisposalEmissions[#All],2,FALSE))*Calculations[[#This Row],[Total Kg]])*VLOOKUP(Calculations[[#This Row],[Waste 1]],WasteScenario[#All],2,FALSE),0)</f>
        <v>0</v>
      </c>
      <c r="AA1272" s="322">
        <f>IFERROR((VLOOKUP(Calculations[[#This Row],[Waste type 2]],WasteDisposalEmissions[#All],3,FALSE))*Calculations[[#This Row],[Total Kg]]*VLOOKUP(Calculations[[#This Row],[Waste 1]],WasteScenario[#All],3,FALSE),0)</f>
        <v>0</v>
      </c>
      <c r="AB1272" s="322">
        <f>SUM(Calculations[[#This Row],[C3 recyc]:[C3 incin]])</f>
        <v>0</v>
      </c>
      <c r="AC1272" s="334">
        <f>IFERROR((VLOOKUP(Calculations[[#This Row],[Waste type 2]],WasteLandfillEmissions[#All],2,FALSE))*Calculations[[#This Row],[Total Kg]]*VLOOKUP(Calculations[[#This Row],[Waste 1]],WasteScenario[#All],4,FALSE),0)</f>
        <v>0</v>
      </c>
      <c r="AD1272" s="322">
        <f>IFERROR((VLOOKUP(Calculations[[#This Row],[Waste type 2]],WasteLandfillEmissions[#All],3,FALSE))*Calculations[[#This Row],[Total Kg]]*VLOOKUP(Calculations[[#This Row],[Waste 1]],WasteScenario[#All],4,FALSE),0)</f>
        <v>0</v>
      </c>
      <c r="AE1272" s="322">
        <f>SUM(Calculations[[#This Row],[C4 landfill]:[C4 re-use]])</f>
        <v>0</v>
      </c>
      <c r="AF1272" s="322">
        <f>IFERROR(VLOOKUP(Calculations[[#This Row],[Material (choose from dropdown]],MaterialData[#All],8,FALSE),0)</f>
        <v>0</v>
      </c>
      <c r="AG1272" s="322">
        <f>IFERROR(Calculations[[#This Row],[Total Kg]]*Calculations[[#This Row],[Seq factor]],0)</f>
        <v>0</v>
      </c>
      <c r="AI1272" s="322">
        <f>Calculations[[#This Row],[A1-3]]+Calculations[[#This Row],[A4]]+Calculations[[#This Row],[A5]]+Calculations[[#This Row],[B4]]+Calculations[[#This Row],[C2 total]]+Calculations[[#This Row],[C3 total]]+Calculations[[#This Row],[C4 total]]</f>
        <v>0</v>
      </c>
      <c r="AJ1272" s="2">
        <f>IFERROR(VLOOKUP(Calculations[[#This Row],[Material (choose from dropdown]],MaterialData[[#Headers],[#Data]],9,FALSE),0)</f>
        <v>0</v>
      </c>
      <c r="AK1272" s="4">
        <f>IFERROR(VLOOKUP(Calculations[[#This Row],[Material (choose from dropdown]],MaterialData[[#Headers],[#Data]],10,FALSE),0)</f>
        <v>0</v>
      </c>
      <c r="AL1272" s="322">
        <f>IFERROR(Calculations[[#This Row],[Data Quality Score]]*Calculations[[#This Row],[Total Kg]],0)</f>
        <v>0</v>
      </c>
    </row>
    <row r="1273" spans="1:38" x14ac:dyDescent="0.3">
      <c r="A1273" s="6">
        <f>IFERROR(MaterialsBoQ[[#This Row],[Scope Element]],0)</f>
        <v>0</v>
      </c>
      <c r="B1273" t="str">
        <f>IFERROR(MaterialsBoQ[[#This Row],[Material ]],"")</f>
        <v/>
      </c>
      <c r="C1273" t="str">
        <f>IFERROR(MaterialsBoQ[[#This Row],[Unit]],"")</f>
        <v/>
      </c>
      <c r="D1273" s="322">
        <f>IFERROR(MaterialsBoQ[[#This Row],[Number]],0)</f>
        <v>0</v>
      </c>
      <c r="E1273" s="322">
        <f>IFERROR(MaterialsBoQ[[#This Row],[Kg per unit]],0)</f>
        <v>0</v>
      </c>
      <c r="F1273" s="322">
        <f>IFERROR(Calculations[[#This Row],[Number]]*Calculations[[#This Row],[Conversion factor]],0)</f>
        <v>0</v>
      </c>
      <c r="G1273" s="322">
        <f>IFERROR(VLOOKUP(Calculations[[#This Row],[Material (choose from dropdown]],MaterialData[#All],7,FALSE),0)</f>
        <v>0</v>
      </c>
      <c r="H1273" s="322">
        <f>Calculations[[#This Row],[Total Kg]]*Calculations[[#This Row],[Carbon Factor]]</f>
        <v>0</v>
      </c>
      <c r="I1273" t="str">
        <f>IFERROR(VLOOKUP(Calculations[[#This Row],[Material (choose from dropdown]],MaterialData[#All],2,FALSE),"")</f>
        <v/>
      </c>
      <c r="J1273" s="322">
        <f>IFERROR(((VLOOKUP(Calculations[[#This Row],[TransportSource]],TransportDistance[],2,FALSE)*'Stage assumptions'!$C$11)+VLOOKUP(Calculations[[#This Row],[TransportSource]],TransportDistance[],3,FALSE)*'Stage assumptions'!$C$12)*Calculations[[#This Row],[Total Kg]],0)</f>
        <v>0</v>
      </c>
      <c r="K1273">
        <f>IFERROR(VLOOKUP(Calculations[[#This Row],[Material (choose from dropdown]], MaterialData[#All],3, FALSE),0)</f>
        <v>0</v>
      </c>
      <c r="L1273" s="322">
        <f>IFERROR(VLOOKUP(Calculations[[#This Row],[A5type]],A5WastageRate[#All],2,FALSE)*Calculations[[#This Row],[A1-3]],0)</f>
        <v>0</v>
      </c>
      <c r="N1273">
        <f>IFERROR(ROUNDUP(50/VLOOKUP(Calculations[[#This Row],[Scope Element]],B4referenceServiceLife[[Tier 2 element]:[Default Service Life]],2, FALSE)-1,0),0)</f>
        <v>0</v>
      </c>
      <c r="O1273" s="322">
        <f>IFERROR((Calculations[[#This Row],[A1-3]]+Calculations[[#This Row],[A4]]+Calculations[[#This Row],[A5]]+Calculations[[#This Row],[C2 total]]+Calculations[[#This Row],[C3 total]]+Calculations[[#This Row],[C4 total]])*Calculations[[#This Row],[Replacements]],0)</f>
        <v>0</v>
      </c>
      <c r="S1273" t="str">
        <f>IFERROR(VLOOKUP(Calculations[[#This Row],[Material (choose from dropdown]],MaterialData[#All],4,FALSE),"")</f>
        <v/>
      </c>
      <c r="T1273" s="322" cm="1">
        <f t="array" ref="T1273">IFERROR(VLOOKUP(Calculations[[#This Row],[Waste 1]],WasteScenario[#All],2,FALSE)*'Stage assumptions'!$C$225*WasteTransportMethod[Emissions Factor
kgCO2e/kg.km]*Calculations[[#This Row],[Total Kg]],0)</f>
        <v>0</v>
      </c>
      <c r="U1273" s="322" cm="1">
        <f t="array" ref="U1273">IFERROR(VLOOKUP(Calculations[[#This Row],[Waste 1]],WasteScenario[#All],3,FALSE)*'Stage assumptions'!$C$224*WasteTransportMethod[Emissions Factor
kgCO2e/kg.km]*Calculations[[#This Row],[Total Kg]],0)</f>
        <v>0</v>
      </c>
      <c r="V1273" s="322" cm="1">
        <f t="array" ref="V1273">IFERROR(VLOOKUP(Calculations[[#This Row],[Waste 1]],WasteScenario[#All],4,FALSE)*'Stage assumptions'!$C$223*WasteTransportMethod[Emissions Factor
kgCO2e/kg.km]*Calculations[[#This Row],[Total Kg]],0)</f>
        <v>0</v>
      </c>
      <c r="W1273" s="322" cm="1">
        <f t="array" ref="W1273">IFERROR(VLOOKUP(Calculations[[#This Row],[Waste 1]],WasteScenario[#All],5,FALSE)*'Stage assumptions'!$C$226*WasteTransportMethod[Emissions Factor
kgCO2e/kg.km]*Calculations[[#This Row],[Total Kg]],0)</f>
        <v>0</v>
      </c>
      <c r="X1273" s="322">
        <f>SUM(Calculations[[#This Row],[C2 Recycle]:[C2 Reuse]])</f>
        <v>0</v>
      </c>
      <c r="Y1273" t="str">
        <f>IFERROR(VLOOKUP(Calculations[[#This Row],[Material (choose from dropdown]],MaterialData[#All],5,FALSE),"")</f>
        <v/>
      </c>
      <c r="Z1273" s="322">
        <f>IFERROR(((VLOOKUP(Calculations[[#This Row],[Waste type 2]],WasteDisposalEmissions[#All],2,FALSE))*Calculations[[#This Row],[Total Kg]])*VLOOKUP(Calculations[[#This Row],[Waste 1]],WasteScenario[#All],2,FALSE),0)</f>
        <v>0</v>
      </c>
      <c r="AA1273" s="322">
        <f>IFERROR((VLOOKUP(Calculations[[#This Row],[Waste type 2]],WasteDisposalEmissions[#All],3,FALSE))*Calculations[[#This Row],[Total Kg]]*VLOOKUP(Calculations[[#This Row],[Waste 1]],WasteScenario[#All],3,FALSE),0)</f>
        <v>0</v>
      </c>
      <c r="AB1273" s="322">
        <f>SUM(Calculations[[#This Row],[C3 recyc]:[C3 incin]])</f>
        <v>0</v>
      </c>
      <c r="AC1273" s="334">
        <f>IFERROR((VLOOKUP(Calculations[[#This Row],[Waste type 2]],WasteLandfillEmissions[#All],2,FALSE))*Calculations[[#This Row],[Total Kg]]*VLOOKUP(Calculations[[#This Row],[Waste 1]],WasteScenario[#All],4,FALSE),0)</f>
        <v>0</v>
      </c>
      <c r="AD1273" s="322">
        <f>IFERROR((VLOOKUP(Calculations[[#This Row],[Waste type 2]],WasteLandfillEmissions[#All],3,FALSE))*Calculations[[#This Row],[Total Kg]]*VLOOKUP(Calculations[[#This Row],[Waste 1]],WasteScenario[#All],4,FALSE),0)</f>
        <v>0</v>
      </c>
      <c r="AE1273" s="322">
        <f>SUM(Calculations[[#This Row],[C4 landfill]:[C4 re-use]])</f>
        <v>0</v>
      </c>
      <c r="AF1273" s="322">
        <f>IFERROR(VLOOKUP(Calculations[[#This Row],[Material (choose from dropdown]],MaterialData[#All],8,FALSE),0)</f>
        <v>0</v>
      </c>
      <c r="AG1273" s="322">
        <f>IFERROR(Calculations[[#This Row],[Total Kg]]*Calculations[[#This Row],[Seq factor]],0)</f>
        <v>0</v>
      </c>
      <c r="AI1273" s="322">
        <f>Calculations[[#This Row],[A1-3]]+Calculations[[#This Row],[A4]]+Calculations[[#This Row],[A5]]+Calculations[[#This Row],[B4]]+Calculations[[#This Row],[C2 total]]+Calculations[[#This Row],[C3 total]]+Calculations[[#This Row],[C4 total]]</f>
        <v>0</v>
      </c>
      <c r="AJ1273" s="2">
        <f>IFERROR(VLOOKUP(Calculations[[#This Row],[Material (choose from dropdown]],MaterialData[[#Headers],[#Data]],9,FALSE),0)</f>
        <v>0</v>
      </c>
      <c r="AK1273" s="4">
        <f>IFERROR(VLOOKUP(Calculations[[#This Row],[Material (choose from dropdown]],MaterialData[[#Headers],[#Data]],10,FALSE),0)</f>
        <v>0</v>
      </c>
      <c r="AL1273" s="322">
        <f>IFERROR(Calculations[[#This Row],[Data Quality Score]]*Calculations[[#This Row],[Total Kg]],0)</f>
        <v>0</v>
      </c>
    </row>
    <row r="1274" spans="1:38" x14ac:dyDescent="0.3">
      <c r="A1274" s="6">
        <f>IFERROR(MaterialsBoQ[[#This Row],[Scope Element]],0)</f>
        <v>0</v>
      </c>
      <c r="B1274" t="str">
        <f>IFERROR(MaterialsBoQ[[#This Row],[Material ]],"")</f>
        <v/>
      </c>
      <c r="C1274" t="str">
        <f>IFERROR(MaterialsBoQ[[#This Row],[Unit]],"")</f>
        <v/>
      </c>
      <c r="D1274" s="322">
        <f>IFERROR(MaterialsBoQ[[#This Row],[Number]],0)</f>
        <v>0</v>
      </c>
      <c r="E1274" s="322">
        <f>IFERROR(MaterialsBoQ[[#This Row],[Kg per unit]],0)</f>
        <v>0</v>
      </c>
      <c r="F1274" s="322">
        <f>IFERROR(Calculations[[#This Row],[Number]]*Calculations[[#This Row],[Conversion factor]],0)</f>
        <v>0</v>
      </c>
      <c r="G1274" s="322">
        <f>IFERROR(VLOOKUP(Calculations[[#This Row],[Material (choose from dropdown]],MaterialData[#All],7,FALSE),0)</f>
        <v>0</v>
      </c>
      <c r="H1274" s="322">
        <f>Calculations[[#This Row],[Total Kg]]*Calculations[[#This Row],[Carbon Factor]]</f>
        <v>0</v>
      </c>
      <c r="I1274" t="str">
        <f>IFERROR(VLOOKUP(Calculations[[#This Row],[Material (choose from dropdown]],MaterialData[#All],2,FALSE),"")</f>
        <v/>
      </c>
      <c r="J1274" s="322">
        <f>IFERROR(((VLOOKUP(Calculations[[#This Row],[TransportSource]],TransportDistance[],2,FALSE)*'Stage assumptions'!$C$11)+VLOOKUP(Calculations[[#This Row],[TransportSource]],TransportDistance[],3,FALSE)*'Stage assumptions'!$C$12)*Calculations[[#This Row],[Total Kg]],0)</f>
        <v>0</v>
      </c>
      <c r="K1274">
        <f>IFERROR(VLOOKUP(Calculations[[#This Row],[Material (choose from dropdown]], MaterialData[#All],3, FALSE),0)</f>
        <v>0</v>
      </c>
      <c r="L1274" s="322">
        <f>IFERROR(VLOOKUP(Calculations[[#This Row],[A5type]],A5WastageRate[#All],2,FALSE)*Calculations[[#This Row],[A1-3]],0)</f>
        <v>0</v>
      </c>
      <c r="N1274">
        <f>IFERROR(ROUNDUP(50/VLOOKUP(Calculations[[#This Row],[Scope Element]],B4referenceServiceLife[[Tier 2 element]:[Default Service Life]],2, FALSE)-1,0),0)</f>
        <v>0</v>
      </c>
      <c r="O1274" s="322">
        <f>IFERROR((Calculations[[#This Row],[A1-3]]+Calculations[[#This Row],[A4]]+Calculations[[#This Row],[A5]]+Calculations[[#This Row],[C2 total]]+Calculations[[#This Row],[C3 total]]+Calculations[[#This Row],[C4 total]])*Calculations[[#This Row],[Replacements]],0)</f>
        <v>0</v>
      </c>
      <c r="S1274" t="str">
        <f>IFERROR(VLOOKUP(Calculations[[#This Row],[Material (choose from dropdown]],MaterialData[#All],4,FALSE),"")</f>
        <v/>
      </c>
      <c r="T1274" s="322" cm="1">
        <f t="array" ref="T1274">IFERROR(VLOOKUP(Calculations[[#This Row],[Waste 1]],WasteScenario[#All],2,FALSE)*'Stage assumptions'!$C$225*WasteTransportMethod[Emissions Factor
kgCO2e/kg.km]*Calculations[[#This Row],[Total Kg]],0)</f>
        <v>0</v>
      </c>
      <c r="U1274" s="322" cm="1">
        <f t="array" ref="U1274">IFERROR(VLOOKUP(Calculations[[#This Row],[Waste 1]],WasteScenario[#All],3,FALSE)*'Stage assumptions'!$C$224*WasteTransportMethod[Emissions Factor
kgCO2e/kg.km]*Calculations[[#This Row],[Total Kg]],0)</f>
        <v>0</v>
      </c>
      <c r="V1274" s="322" cm="1">
        <f t="array" ref="V1274">IFERROR(VLOOKUP(Calculations[[#This Row],[Waste 1]],WasteScenario[#All],4,FALSE)*'Stage assumptions'!$C$223*WasteTransportMethod[Emissions Factor
kgCO2e/kg.km]*Calculations[[#This Row],[Total Kg]],0)</f>
        <v>0</v>
      </c>
      <c r="W1274" s="322" cm="1">
        <f t="array" ref="W1274">IFERROR(VLOOKUP(Calculations[[#This Row],[Waste 1]],WasteScenario[#All],5,FALSE)*'Stage assumptions'!$C$226*WasteTransportMethod[Emissions Factor
kgCO2e/kg.km]*Calculations[[#This Row],[Total Kg]],0)</f>
        <v>0</v>
      </c>
      <c r="X1274" s="322">
        <f>SUM(Calculations[[#This Row],[C2 Recycle]:[C2 Reuse]])</f>
        <v>0</v>
      </c>
      <c r="Y1274" t="str">
        <f>IFERROR(VLOOKUP(Calculations[[#This Row],[Material (choose from dropdown]],MaterialData[#All],5,FALSE),"")</f>
        <v/>
      </c>
      <c r="Z1274" s="322">
        <f>IFERROR(((VLOOKUP(Calculations[[#This Row],[Waste type 2]],WasteDisposalEmissions[#All],2,FALSE))*Calculations[[#This Row],[Total Kg]])*VLOOKUP(Calculations[[#This Row],[Waste 1]],WasteScenario[#All],2,FALSE),0)</f>
        <v>0</v>
      </c>
      <c r="AA1274" s="322">
        <f>IFERROR((VLOOKUP(Calculations[[#This Row],[Waste type 2]],WasteDisposalEmissions[#All],3,FALSE))*Calculations[[#This Row],[Total Kg]]*VLOOKUP(Calculations[[#This Row],[Waste 1]],WasteScenario[#All],3,FALSE),0)</f>
        <v>0</v>
      </c>
      <c r="AB1274" s="322">
        <f>SUM(Calculations[[#This Row],[C3 recyc]:[C3 incin]])</f>
        <v>0</v>
      </c>
      <c r="AC1274" s="334">
        <f>IFERROR((VLOOKUP(Calculations[[#This Row],[Waste type 2]],WasteLandfillEmissions[#All],2,FALSE))*Calculations[[#This Row],[Total Kg]]*VLOOKUP(Calculations[[#This Row],[Waste 1]],WasteScenario[#All],4,FALSE),0)</f>
        <v>0</v>
      </c>
      <c r="AD1274" s="322">
        <f>IFERROR((VLOOKUP(Calculations[[#This Row],[Waste type 2]],WasteLandfillEmissions[#All],3,FALSE))*Calculations[[#This Row],[Total Kg]]*VLOOKUP(Calculations[[#This Row],[Waste 1]],WasteScenario[#All],4,FALSE),0)</f>
        <v>0</v>
      </c>
      <c r="AE1274" s="322">
        <f>SUM(Calculations[[#This Row],[C4 landfill]:[C4 re-use]])</f>
        <v>0</v>
      </c>
      <c r="AF1274" s="322">
        <f>IFERROR(VLOOKUP(Calculations[[#This Row],[Material (choose from dropdown]],MaterialData[#All],8,FALSE),0)</f>
        <v>0</v>
      </c>
      <c r="AG1274" s="322">
        <f>IFERROR(Calculations[[#This Row],[Total Kg]]*Calculations[[#This Row],[Seq factor]],0)</f>
        <v>0</v>
      </c>
      <c r="AI1274" s="322">
        <f>Calculations[[#This Row],[A1-3]]+Calculations[[#This Row],[A4]]+Calculations[[#This Row],[A5]]+Calculations[[#This Row],[B4]]+Calculations[[#This Row],[C2 total]]+Calculations[[#This Row],[C3 total]]+Calculations[[#This Row],[C4 total]]</f>
        <v>0</v>
      </c>
      <c r="AJ1274" s="2">
        <f>IFERROR(VLOOKUP(Calculations[[#This Row],[Material (choose from dropdown]],MaterialData[[#Headers],[#Data]],9,FALSE),0)</f>
        <v>0</v>
      </c>
      <c r="AK1274" s="4">
        <f>IFERROR(VLOOKUP(Calculations[[#This Row],[Material (choose from dropdown]],MaterialData[[#Headers],[#Data]],10,FALSE),0)</f>
        <v>0</v>
      </c>
      <c r="AL1274" s="322">
        <f>IFERROR(Calculations[[#This Row],[Data Quality Score]]*Calculations[[#This Row],[Total Kg]],0)</f>
        <v>0</v>
      </c>
    </row>
    <row r="1275" spans="1:38" x14ac:dyDescent="0.3">
      <c r="A1275" s="6">
        <f>IFERROR(MaterialsBoQ[[#This Row],[Scope Element]],0)</f>
        <v>0</v>
      </c>
      <c r="B1275" t="str">
        <f>IFERROR(MaterialsBoQ[[#This Row],[Material ]],"")</f>
        <v/>
      </c>
      <c r="C1275" t="str">
        <f>IFERROR(MaterialsBoQ[[#This Row],[Unit]],"")</f>
        <v/>
      </c>
      <c r="D1275" s="322">
        <f>IFERROR(MaterialsBoQ[[#This Row],[Number]],0)</f>
        <v>0</v>
      </c>
      <c r="E1275" s="322">
        <f>IFERROR(MaterialsBoQ[[#This Row],[Kg per unit]],0)</f>
        <v>0</v>
      </c>
      <c r="F1275" s="322">
        <f>IFERROR(Calculations[[#This Row],[Number]]*Calculations[[#This Row],[Conversion factor]],0)</f>
        <v>0</v>
      </c>
      <c r="G1275" s="322">
        <f>IFERROR(VLOOKUP(Calculations[[#This Row],[Material (choose from dropdown]],MaterialData[#All],7,FALSE),0)</f>
        <v>0</v>
      </c>
      <c r="H1275" s="322">
        <f>Calculations[[#This Row],[Total Kg]]*Calculations[[#This Row],[Carbon Factor]]</f>
        <v>0</v>
      </c>
      <c r="I1275" t="str">
        <f>IFERROR(VLOOKUP(Calculations[[#This Row],[Material (choose from dropdown]],MaterialData[#All],2,FALSE),"")</f>
        <v/>
      </c>
      <c r="J1275" s="322">
        <f>IFERROR(((VLOOKUP(Calculations[[#This Row],[TransportSource]],TransportDistance[],2,FALSE)*'Stage assumptions'!$C$11)+VLOOKUP(Calculations[[#This Row],[TransportSource]],TransportDistance[],3,FALSE)*'Stage assumptions'!$C$12)*Calculations[[#This Row],[Total Kg]],0)</f>
        <v>0</v>
      </c>
      <c r="K1275">
        <f>IFERROR(VLOOKUP(Calculations[[#This Row],[Material (choose from dropdown]], MaterialData[#All],3, FALSE),0)</f>
        <v>0</v>
      </c>
      <c r="L1275" s="322">
        <f>IFERROR(VLOOKUP(Calculations[[#This Row],[A5type]],A5WastageRate[#All],2,FALSE)*Calculations[[#This Row],[A1-3]],0)</f>
        <v>0</v>
      </c>
      <c r="N1275">
        <f>IFERROR(ROUNDUP(50/VLOOKUP(Calculations[[#This Row],[Scope Element]],B4referenceServiceLife[[Tier 2 element]:[Default Service Life]],2, FALSE)-1,0),0)</f>
        <v>0</v>
      </c>
      <c r="O1275" s="322">
        <f>IFERROR((Calculations[[#This Row],[A1-3]]+Calculations[[#This Row],[A4]]+Calculations[[#This Row],[A5]]+Calculations[[#This Row],[C2 total]]+Calculations[[#This Row],[C3 total]]+Calculations[[#This Row],[C4 total]])*Calculations[[#This Row],[Replacements]],0)</f>
        <v>0</v>
      </c>
      <c r="S1275" t="str">
        <f>IFERROR(VLOOKUP(Calculations[[#This Row],[Material (choose from dropdown]],MaterialData[#All],4,FALSE),"")</f>
        <v/>
      </c>
      <c r="T1275" s="322" cm="1">
        <f t="array" ref="T1275">IFERROR(VLOOKUP(Calculations[[#This Row],[Waste 1]],WasteScenario[#All],2,FALSE)*'Stage assumptions'!$C$225*WasteTransportMethod[Emissions Factor
kgCO2e/kg.km]*Calculations[[#This Row],[Total Kg]],0)</f>
        <v>0</v>
      </c>
      <c r="U1275" s="322" cm="1">
        <f t="array" ref="U1275">IFERROR(VLOOKUP(Calculations[[#This Row],[Waste 1]],WasteScenario[#All],3,FALSE)*'Stage assumptions'!$C$224*WasteTransportMethod[Emissions Factor
kgCO2e/kg.km]*Calculations[[#This Row],[Total Kg]],0)</f>
        <v>0</v>
      </c>
      <c r="V1275" s="322" cm="1">
        <f t="array" ref="V1275">IFERROR(VLOOKUP(Calculations[[#This Row],[Waste 1]],WasteScenario[#All],4,FALSE)*'Stage assumptions'!$C$223*WasteTransportMethod[Emissions Factor
kgCO2e/kg.km]*Calculations[[#This Row],[Total Kg]],0)</f>
        <v>0</v>
      </c>
      <c r="W1275" s="322" cm="1">
        <f t="array" ref="W1275">IFERROR(VLOOKUP(Calculations[[#This Row],[Waste 1]],WasteScenario[#All],5,FALSE)*'Stage assumptions'!$C$226*WasteTransportMethod[Emissions Factor
kgCO2e/kg.km]*Calculations[[#This Row],[Total Kg]],0)</f>
        <v>0</v>
      </c>
      <c r="X1275" s="322">
        <f>SUM(Calculations[[#This Row],[C2 Recycle]:[C2 Reuse]])</f>
        <v>0</v>
      </c>
      <c r="Y1275" t="str">
        <f>IFERROR(VLOOKUP(Calculations[[#This Row],[Material (choose from dropdown]],MaterialData[#All],5,FALSE),"")</f>
        <v/>
      </c>
      <c r="Z1275" s="322">
        <f>IFERROR(((VLOOKUP(Calculations[[#This Row],[Waste type 2]],WasteDisposalEmissions[#All],2,FALSE))*Calculations[[#This Row],[Total Kg]])*VLOOKUP(Calculations[[#This Row],[Waste 1]],WasteScenario[#All],2,FALSE),0)</f>
        <v>0</v>
      </c>
      <c r="AA1275" s="322">
        <f>IFERROR((VLOOKUP(Calculations[[#This Row],[Waste type 2]],WasteDisposalEmissions[#All],3,FALSE))*Calculations[[#This Row],[Total Kg]]*VLOOKUP(Calculations[[#This Row],[Waste 1]],WasteScenario[#All],3,FALSE),0)</f>
        <v>0</v>
      </c>
      <c r="AB1275" s="322">
        <f>SUM(Calculations[[#This Row],[C3 recyc]:[C3 incin]])</f>
        <v>0</v>
      </c>
      <c r="AC1275" s="334">
        <f>IFERROR((VLOOKUP(Calculations[[#This Row],[Waste type 2]],WasteLandfillEmissions[#All],2,FALSE))*Calculations[[#This Row],[Total Kg]]*VLOOKUP(Calculations[[#This Row],[Waste 1]],WasteScenario[#All],4,FALSE),0)</f>
        <v>0</v>
      </c>
      <c r="AD1275" s="322">
        <f>IFERROR((VLOOKUP(Calculations[[#This Row],[Waste type 2]],WasteLandfillEmissions[#All],3,FALSE))*Calculations[[#This Row],[Total Kg]]*VLOOKUP(Calculations[[#This Row],[Waste 1]],WasteScenario[#All],4,FALSE),0)</f>
        <v>0</v>
      </c>
      <c r="AE1275" s="322">
        <f>SUM(Calculations[[#This Row],[C4 landfill]:[C4 re-use]])</f>
        <v>0</v>
      </c>
      <c r="AF1275" s="322">
        <f>IFERROR(VLOOKUP(Calculations[[#This Row],[Material (choose from dropdown]],MaterialData[#All],8,FALSE),0)</f>
        <v>0</v>
      </c>
      <c r="AG1275" s="322">
        <f>IFERROR(Calculations[[#This Row],[Total Kg]]*Calculations[[#This Row],[Seq factor]],0)</f>
        <v>0</v>
      </c>
      <c r="AI1275" s="322">
        <f>Calculations[[#This Row],[A1-3]]+Calculations[[#This Row],[A4]]+Calculations[[#This Row],[A5]]+Calculations[[#This Row],[B4]]+Calculations[[#This Row],[C2 total]]+Calculations[[#This Row],[C3 total]]+Calculations[[#This Row],[C4 total]]</f>
        <v>0</v>
      </c>
      <c r="AJ1275" s="2">
        <f>IFERROR(VLOOKUP(Calculations[[#This Row],[Material (choose from dropdown]],MaterialData[[#Headers],[#Data]],9,FALSE),0)</f>
        <v>0</v>
      </c>
      <c r="AK1275" s="4">
        <f>IFERROR(VLOOKUP(Calculations[[#This Row],[Material (choose from dropdown]],MaterialData[[#Headers],[#Data]],10,FALSE),0)</f>
        <v>0</v>
      </c>
      <c r="AL1275" s="322">
        <f>IFERROR(Calculations[[#This Row],[Data Quality Score]]*Calculations[[#This Row],[Total Kg]],0)</f>
        <v>0</v>
      </c>
    </row>
    <row r="1276" spans="1:38" x14ac:dyDescent="0.3">
      <c r="A1276" s="6">
        <f>IFERROR(MaterialsBoQ[[#This Row],[Scope Element]],0)</f>
        <v>0</v>
      </c>
      <c r="B1276" t="str">
        <f>IFERROR(MaterialsBoQ[[#This Row],[Material ]],"")</f>
        <v/>
      </c>
      <c r="C1276" t="str">
        <f>IFERROR(MaterialsBoQ[[#This Row],[Unit]],"")</f>
        <v/>
      </c>
      <c r="D1276" s="322">
        <f>IFERROR(MaterialsBoQ[[#This Row],[Number]],0)</f>
        <v>0</v>
      </c>
      <c r="E1276" s="322">
        <f>IFERROR(MaterialsBoQ[[#This Row],[Kg per unit]],0)</f>
        <v>0</v>
      </c>
      <c r="F1276" s="322">
        <f>IFERROR(Calculations[[#This Row],[Number]]*Calculations[[#This Row],[Conversion factor]],0)</f>
        <v>0</v>
      </c>
      <c r="G1276" s="322">
        <f>IFERROR(VLOOKUP(Calculations[[#This Row],[Material (choose from dropdown]],MaterialData[#All],7,FALSE),0)</f>
        <v>0</v>
      </c>
      <c r="H1276" s="322">
        <f>Calculations[[#This Row],[Total Kg]]*Calculations[[#This Row],[Carbon Factor]]</f>
        <v>0</v>
      </c>
      <c r="I1276" t="str">
        <f>IFERROR(VLOOKUP(Calculations[[#This Row],[Material (choose from dropdown]],MaterialData[#All],2,FALSE),"")</f>
        <v/>
      </c>
      <c r="J1276" s="322">
        <f>IFERROR(((VLOOKUP(Calculations[[#This Row],[TransportSource]],TransportDistance[],2,FALSE)*'Stage assumptions'!$C$11)+VLOOKUP(Calculations[[#This Row],[TransportSource]],TransportDistance[],3,FALSE)*'Stage assumptions'!$C$12)*Calculations[[#This Row],[Total Kg]],0)</f>
        <v>0</v>
      </c>
      <c r="K1276">
        <f>IFERROR(VLOOKUP(Calculations[[#This Row],[Material (choose from dropdown]], MaterialData[#All],3, FALSE),0)</f>
        <v>0</v>
      </c>
      <c r="L1276" s="322">
        <f>IFERROR(VLOOKUP(Calculations[[#This Row],[A5type]],A5WastageRate[#All],2,FALSE)*Calculations[[#This Row],[A1-3]],0)</f>
        <v>0</v>
      </c>
      <c r="N1276">
        <f>IFERROR(ROUNDUP(50/VLOOKUP(Calculations[[#This Row],[Scope Element]],B4referenceServiceLife[[Tier 2 element]:[Default Service Life]],2, FALSE)-1,0),0)</f>
        <v>0</v>
      </c>
      <c r="O1276" s="322">
        <f>IFERROR((Calculations[[#This Row],[A1-3]]+Calculations[[#This Row],[A4]]+Calculations[[#This Row],[A5]]+Calculations[[#This Row],[C2 total]]+Calculations[[#This Row],[C3 total]]+Calculations[[#This Row],[C4 total]])*Calculations[[#This Row],[Replacements]],0)</f>
        <v>0</v>
      </c>
      <c r="S1276" t="str">
        <f>IFERROR(VLOOKUP(Calculations[[#This Row],[Material (choose from dropdown]],MaterialData[#All],4,FALSE),"")</f>
        <v/>
      </c>
      <c r="T1276" s="322" cm="1">
        <f t="array" ref="T1276">IFERROR(VLOOKUP(Calculations[[#This Row],[Waste 1]],WasteScenario[#All],2,FALSE)*'Stage assumptions'!$C$225*WasteTransportMethod[Emissions Factor
kgCO2e/kg.km]*Calculations[[#This Row],[Total Kg]],0)</f>
        <v>0</v>
      </c>
      <c r="U1276" s="322" cm="1">
        <f t="array" ref="U1276">IFERROR(VLOOKUP(Calculations[[#This Row],[Waste 1]],WasteScenario[#All],3,FALSE)*'Stage assumptions'!$C$224*WasteTransportMethod[Emissions Factor
kgCO2e/kg.km]*Calculations[[#This Row],[Total Kg]],0)</f>
        <v>0</v>
      </c>
      <c r="V1276" s="322" cm="1">
        <f t="array" ref="V1276">IFERROR(VLOOKUP(Calculations[[#This Row],[Waste 1]],WasteScenario[#All],4,FALSE)*'Stage assumptions'!$C$223*WasteTransportMethod[Emissions Factor
kgCO2e/kg.km]*Calculations[[#This Row],[Total Kg]],0)</f>
        <v>0</v>
      </c>
      <c r="W1276" s="322" cm="1">
        <f t="array" ref="W1276">IFERROR(VLOOKUP(Calculations[[#This Row],[Waste 1]],WasteScenario[#All],5,FALSE)*'Stage assumptions'!$C$226*WasteTransportMethod[Emissions Factor
kgCO2e/kg.km]*Calculations[[#This Row],[Total Kg]],0)</f>
        <v>0</v>
      </c>
      <c r="X1276" s="322">
        <f>SUM(Calculations[[#This Row],[C2 Recycle]:[C2 Reuse]])</f>
        <v>0</v>
      </c>
      <c r="Y1276" t="str">
        <f>IFERROR(VLOOKUP(Calculations[[#This Row],[Material (choose from dropdown]],MaterialData[#All],5,FALSE),"")</f>
        <v/>
      </c>
      <c r="Z1276" s="322">
        <f>IFERROR(((VLOOKUP(Calculations[[#This Row],[Waste type 2]],WasteDisposalEmissions[#All],2,FALSE))*Calculations[[#This Row],[Total Kg]])*VLOOKUP(Calculations[[#This Row],[Waste 1]],WasteScenario[#All],2,FALSE),0)</f>
        <v>0</v>
      </c>
      <c r="AA1276" s="322">
        <f>IFERROR((VLOOKUP(Calculations[[#This Row],[Waste type 2]],WasteDisposalEmissions[#All],3,FALSE))*Calculations[[#This Row],[Total Kg]]*VLOOKUP(Calculations[[#This Row],[Waste 1]],WasteScenario[#All],3,FALSE),0)</f>
        <v>0</v>
      </c>
      <c r="AB1276" s="322">
        <f>SUM(Calculations[[#This Row],[C3 recyc]:[C3 incin]])</f>
        <v>0</v>
      </c>
      <c r="AC1276" s="334">
        <f>IFERROR((VLOOKUP(Calculations[[#This Row],[Waste type 2]],WasteLandfillEmissions[#All],2,FALSE))*Calculations[[#This Row],[Total Kg]]*VLOOKUP(Calculations[[#This Row],[Waste 1]],WasteScenario[#All],4,FALSE),0)</f>
        <v>0</v>
      </c>
      <c r="AD1276" s="322">
        <f>IFERROR((VLOOKUP(Calculations[[#This Row],[Waste type 2]],WasteLandfillEmissions[#All],3,FALSE))*Calculations[[#This Row],[Total Kg]]*VLOOKUP(Calculations[[#This Row],[Waste 1]],WasteScenario[#All],4,FALSE),0)</f>
        <v>0</v>
      </c>
      <c r="AE1276" s="322">
        <f>SUM(Calculations[[#This Row],[C4 landfill]:[C4 re-use]])</f>
        <v>0</v>
      </c>
      <c r="AF1276" s="322">
        <f>IFERROR(VLOOKUP(Calculations[[#This Row],[Material (choose from dropdown]],MaterialData[#All],8,FALSE),0)</f>
        <v>0</v>
      </c>
      <c r="AG1276" s="322">
        <f>IFERROR(Calculations[[#This Row],[Total Kg]]*Calculations[[#This Row],[Seq factor]],0)</f>
        <v>0</v>
      </c>
      <c r="AI1276" s="322">
        <f>Calculations[[#This Row],[A1-3]]+Calculations[[#This Row],[A4]]+Calculations[[#This Row],[A5]]+Calculations[[#This Row],[B4]]+Calculations[[#This Row],[C2 total]]+Calculations[[#This Row],[C3 total]]+Calculations[[#This Row],[C4 total]]</f>
        <v>0</v>
      </c>
      <c r="AJ1276" s="2">
        <f>IFERROR(VLOOKUP(Calculations[[#This Row],[Material (choose from dropdown]],MaterialData[[#Headers],[#Data]],9,FALSE),0)</f>
        <v>0</v>
      </c>
      <c r="AK1276" s="4">
        <f>IFERROR(VLOOKUP(Calculations[[#This Row],[Material (choose from dropdown]],MaterialData[[#Headers],[#Data]],10,FALSE),0)</f>
        <v>0</v>
      </c>
      <c r="AL1276" s="322">
        <f>IFERROR(Calculations[[#This Row],[Data Quality Score]]*Calculations[[#This Row],[Total Kg]],0)</f>
        <v>0</v>
      </c>
    </row>
    <row r="1277" spans="1:38" x14ac:dyDescent="0.3">
      <c r="A1277" s="6">
        <f>IFERROR(MaterialsBoQ[[#This Row],[Scope Element]],0)</f>
        <v>0</v>
      </c>
      <c r="B1277" t="str">
        <f>IFERROR(MaterialsBoQ[[#This Row],[Material ]],"")</f>
        <v/>
      </c>
      <c r="C1277" t="str">
        <f>IFERROR(MaterialsBoQ[[#This Row],[Unit]],"")</f>
        <v/>
      </c>
      <c r="D1277" s="322">
        <f>IFERROR(MaterialsBoQ[[#This Row],[Number]],0)</f>
        <v>0</v>
      </c>
      <c r="E1277" s="322">
        <f>IFERROR(MaterialsBoQ[[#This Row],[Kg per unit]],0)</f>
        <v>0</v>
      </c>
      <c r="F1277" s="322">
        <f>IFERROR(Calculations[[#This Row],[Number]]*Calculations[[#This Row],[Conversion factor]],0)</f>
        <v>0</v>
      </c>
      <c r="G1277" s="322">
        <f>IFERROR(VLOOKUP(Calculations[[#This Row],[Material (choose from dropdown]],MaterialData[#All],7,FALSE),0)</f>
        <v>0</v>
      </c>
      <c r="H1277" s="322">
        <f>Calculations[[#This Row],[Total Kg]]*Calculations[[#This Row],[Carbon Factor]]</f>
        <v>0</v>
      </c>
      <c r="I1277" t="str">
        <f>IFERROR(VLOOKUP(Calculations[[#This Row],[Material (choose from dropdown]],MaterialData[#All],2,FALSE),"")</f>
        <v/>
      </c>
      <c r="J1277" s="322">
        <f>IFERROR(((VLOOKUP(Calculations[[#This Row],[TransportSource]],TransportDistance[],2,FALSE)*'Stage assumptions'!$C$11)+VLOOKUP(Calculations[[#This Row],[TransportSource]],TransportDistance[],3,FALSE)*'Stage assumptions'!$C$12)*Calculations[[#This Row],[Total Kg]],0)</f>
        <v>0</v>
      </c>
      <c r="K1277">
        <f>IFERROR(VLOOKUP(Calculations[[#This Row],[Material (choose from dropdown]], MaterialData[#All],3, FALSE),0)</f>
        <v>0</v>
      </c>
      <c r="L1277" s="322">
        <f>IFERROR(VLOOKUP(Calculations[[#This Row],[A5type]],A5WastageRate[#All],2,FALSE)*Calculations[[#This Row],[A1-3]],0)</f>
        <v>0</v>
      </c>
      <c r="N1277">
        <f>IFERROR(ROUNDUP(50/VLOOKUP(Calculations[[#This Row],[Scope Element]],B4referenceServiceLife[[Tier 2 element]:[Default Service Life]],2, FALSE)-1,0),0)</f>
        <v>0</v>
      </c>
      <c r="O1277" s="322">
        <f>IFERROR((Calculations[[#This Row],[A1-3]]+Calculations[[#This Row],[A4]]+Calculations[[#This Row],[A5]]+Calculations[[#This Row],[C2 total]]+Calculations[[#This Row],[C3 total]]+Calculations[[#This Row],[C4 total]])*Calculations[[#This Row],[Replacements]],0)</f>
        <v>0</v>
      </c>
      <c r="S1277" t="str">
        <f>IFERROR(VLOOKUP(Calculations[[#This Row],[Material (choose from dropdown]],MaterialData[#All],4,FALSE),"")</f>
        <v/>
      </c>
      <c r="T1277" s="322" cm="1">
        <f t="array" ref="T1277">IFERROR(VLOOKUP(Calculations[[#This Row],[Waste 1]],WasteScenario[#All],2,FALSE)*'Stage assumptions'!$C$225*WasteTransportMethod[Emissions Factor
kgCO2e/kg.km]*Calculations[[#This Row],[Total Kg]],0)</f>
        <v>0</v>
      </c>
      <c r="U1277" s="322" cm="1">
        <f t="array" ref="U1277">IFERROR(VLOOKUP(Calculations[[#This Row],[Waste 1]],WasteScenario[#All],3,FALSE)*'Stage assumptions'!$C$224*WasteTransportMethod[Emissions Factor
kgCO2e/kg.km]*Calculations[[#This Row],[Total Kg]],0)</f>
        <v>0</v>
      </c>
      <c r="V1277" s="322" cm="1">
        <f t="array" ref="V1277">IFERROR(VLOOKUP(Calculations[[#This Row],[Waste 1]],WasteScenario[#All],4,FALSE)*'Stage assumptions'!$C$223*WasteTransportMethod[Emissions Factor
kgCO2e/kg.km]*Calculations[[#This Row],[Total Kg]],0)</f>
        <v>0</v>
      </c>
      <c r="W1277" s="322" cm="1">
        <f t="array" ref="W1277">IFERROR(VLOOKUP(Calculations[[#This Row],[Waste 1]],WasteScenario[#All],5,FALSE)*'Stage assumptions'!$C$226*WasteTransportMethod[Emissions Factor
kgCO2e/kg.km]*Calculations[[#This Row],[Total Kg]],0)</f>
        <v>0</v>
      </c>
      <c r="X1277" s="322">
        <f>SUM(Calculations[[#This Row],[C2 Recycle]:[C2 Reuse]])</f>
        <v>0</v>
      </c>
      <c r="Y1277" t="str">
        <f>IFERROR(VLOOKUP(Calculations[[#This Row],[Material (choose from dropdown]],MaterialData[#All],5,FALSE),"")</f>
        <v/>
      </c>
      <c r="Z1277" s="322">
        <f>IFERROR(((VLOOKUP(Calculations[[#This Row],[Waste type 2]],WasteDisposalEmissions[#All],2,FALSE))*Calculations[[#This Row],[Total Kg]])*VLOOKUP(Calculations[[#This Row],[Waste 1]],WasteScenario[#All],2,FALSE),0)</f>
        <v>0</v>
      </c>
      <c r="AA1277" s="322">
        <f>IFERROR((VLOOKUP(Calculations[[#This Row],[Waste type 2]],WasteDisposalEmissions[#All],3,FALSE))*Calculations[[#This Row],[Total Kg]]*VLOOKUP(Calculations[[#This Row],[Waste 1]],WasteScenario[#All],3,FALSE),0)</f>
        <v>0</v>
      </c>
      <c r="AB1277" s="322">
        <f>SUM(Calculations[[#This Row],[C3 recyc]:[C3 incin]])</f>
        <v>0</v>
      </c>
      <c r="AC1277" s="334">
        <f>IFERROR((VLOOKUP(Calculations[[#This Row],[Waste type 2]],WasteLandfillEmissions[#All],2,FALSE))*Calculations[[#This Row],[Total Kg]]*VLOOKUP(Calculations[[#This Row],[Waste 1]],WasteScenario[#All],4,FALSE),0)</f>
        <v>0</v>
      </c>
      <c r="AD1277" s="322">
        <f>IFERROR((VLOOKUP(Calculations[[#This Row],[Waste type 2]],WasteLandfillEmissions[#All],3,FALSE))*Calculations[[#This Row],[Total Kg]]*VLOOKUP(Calculations[[#This Row],[Waste 1]],WasteScenario[#All],4,FALSE),0)</f>
        <v>0</v>
      </c>
      <c r="AE1277" s="322">
        <f>SUM(Calculations[[#This Row],[C4 landfill]:[C4 re-use]])</f>
        <v>0</v>
      </c>
      <c r="AF1277" s="322">
        <f>IFERROR(VLOOKUP(Calculations[[#This Row],[Material (choose from dropdown]],MaterialData[#All],8,FALSE),0)</f>
        <v>0</v>
      </c>
      <c r="AG1277" s="322">
        <f>IFERROR(Calculations[[#This Row],[Total Kg]]*Calculations[[#This Row],[Seq factor]],0)</f>
        <v>0</v>
      </c>
      <c r="AI1277" s="322">
        <f>Calculations[[#This Row],[A1-3]]+Calculations[[#This Row],[A4]]+Calculations[[#This Row],[A5]]+Calculations[[#This Row],[B4]]+Calculations[[#This Row],[C2 total]]+Calculations[[#This Row],[C3 total]]+Calculations[[#This Row],[C4 total]]</f>
        <v>0</v>
      </c>
      <c r="AJ1277" s="2">
        <f>IFERROR(VLOOKUP(Calculations[[#This Row],[Material (choose from dropdown]],MaterialData[[#Headers],[#Data]],9,FALSE),0)</f>
        <v>0</v>
      </c>
      <c r="AK1277" s="4">
        <f>IFERROR(VLOOKUP(Calculations[[#This Row],[Material (choose from dropdown]],MaterialData[[#Headers],[#Data]],10,FALSE),0)</f>
        <v>0</v>
      </c>
      <c r="AL1277" s="322">
        <f>IFERROR(Calculations[[#This Row],[Data Quality Score]]*Calculations[[#This Row],[Total Kg]],0)</f>
        <v>0</v>
      </c>
    </row>
    <row r="1278" spans="1:38" x14ac:dyDescent="0.3">
      <c r="A1278" s="6">
        <f>IFERROR(MaterialsBoQ[[#This Row],[Scope Element]],0)</f>
        <v>0</v>
      </c>
      <c r="B1278" t="str">
        <f>IFERROR(MaterialsBoQ[[#This Row],[Material ]],"")</f>
        <v/>
      </c>
      <c r="C1278" t="str">
        <f>IFERROR(MaterialsBoQ[[#This Row],[Unit]],"")</f>
        <v/>
      </c>
      <c r="D1278" s="322">
        <f>IFERROR(MaterialsBoQ[[#This Row],[Number]],0)</f>
        <v>0</v>
      </c>
      <c r="E1278" s="322">
        <f>IFERROR(MaterialsBoQ[[#This Row],[Kg per unit]],0)</f>
        <v>0</v>
      </c>
      <c r="F1278" s="322">
        <f>IFERROR(Calculations[[#This Row],[Number]]*Calculations[[#This Row],[Conversion factor]],0)</f>
        <v>0</v>
      </c>
      <c r="G1278" s="322">
        <f>IFERROR(VLOOKUP(Calculations[[#This Row],[Material (choose from dropdown]],MaterialData[#All],7,FALSE),0)</f>
        <v>0</v>
      </c>
      <c r="H1278" s="322">
        <f>Calculations[[#This Row],[Total Kg]]*Calculations[[#This Row],[Carbon Factor]]</f>
        <v>0</v>
      </c>
      <c r="I1278" t="str">
        <f>IFERROR(VLOOKUP(Calculations[[#This Row],[Material (choose from dropdown]],MaterialData[#All],2,FALSE),"")</f>
        <v/>
      </c>
      <c r="J1278" s="322">
        <f>IFERROR(((VLOOKUP(Calculations[[#This Row],[TransportSource]],TransportDistance[],2,FALSE)*'Stage assumptions'!$C$11)+VLOOKUP(Calculations[[#This Row],[TransportSource]],TransportDistance[],3,FALSE)*'Stage assumptions'!$C$12)*Calculations[[#This Row],[Total Kg]],0)</f>
        <v>0</v>
      </c>
      <c r="K1278">
        <f>IFERROR(VLOOKUP(Calculations[[#This Row],[Material (choose from dropdown]], MaterialData[#All],3, FALSE),0)</f>
        <v>0</v>
      </c>
      <c r="L1278" s="322">
        <f>IFERROR(VLOOKUP(Calculations[[#This Row],[A5type]],A5WastageRate[#All],2,FALSE)*Calculations[[#This Row],[A1-3]],0)</f>
        <v>0</v>
      </c>
      <c r="N1278">
        <f>IFERROR(ROUNDUP(50/VLOOKUP(Calculations[[#This Row],[Scope Element]],B4referenceServiceLife[[Tier 2 element]:[Default Service Life]],2, FALSE)-1,0),0)</f>
        <v>0</v>
      </c>
      <c r="O1278" s="322">
        <f>IFERROR((Calculations[[#This Row],[A1-3]]+Calculations[[#This Row],[A4]]+Calculations[[#This Row],[A5]]+Calculations[[#This Row],[C2 total]]+Calculations[[#This Row],[C3 total]]+Calculations[[#This Row],[C4 total]])*Calculations[[#This Row],[Replacements]],0)</f>
        <v>0</v>
      </c>
      <c r="S1278" t="str">
        <f>IFERROR(VLOOKUP(Calculations[[#This Row],[Material (choose from dropdown]],MaterialData[#All],4,FALSE),"")</f>
        <v/>
      </c>
      <c r="T1278" s="322" cm="1">
        <f t="array" ref="T1278">IFERROR(VLOOKUP(Calculations[[#This Row],[Waste 1]],WasteScenario[#All],2,FALSE)*'Stage assumptions'!$C$225*WasteTransportMethod[Emissions Factor
kgCO2e/kg.km]*Calculations[[#This Row],[Total Kg]],0)</f>
        <v>0</v>
      </c>
      <c r="U1278" s="322" cm="1">
        <f t="array" ref="U1278">IFERROR(VLOOKUP(Calculations[[#This Row],[Waste 1]],WasteScenario[#All],3,FALSE)*'Stage assumptions'!$C$224*WasteTransportMethod[Emissions Factor
kgCO2e/kg.km]*Calculations[[#This Row],[Total Kg]],0)</f>
        <v>0</v>
      </c>
      <c r="V1278" s="322" cm="1">
        <f t="array" ref="V1278">IFERROR(VLOOKUP(Calculations[[#This Row],[Waste 1]],WasteScenario[#All],4,FALSE)*'Stage assumptions'!$C$223*WasteTransportMethod[Emissions Factor
kgCO2e/kg.km]*Calculations[[#This Row],[Total Kg]],0)</f>
        <v>0</v>
      </c>
      <c r="W1278" s="322" cm="1">
        <f t="array" ref="W1278">IFERROR(VLOOKUP(Calculations[[#This Row],[Waste 1]],WasteScenario[#All],5,FALSE)*'Stage assumptions'!$C$226*WasteTransportMethod[Emissions Factor
kgCO2e/kg.km]*Calculations[[#This Row],[Total Kg]],0)</f>
        <v>0</v>
      </c>
      <c r="X1278" s="322">
        <f>SUM(Calculations[[#This Row],[C2 Recycle]:[C2 Reuse]])</f>
        <v>0</v>
      </c>
      <c r="Y1278" t="str">
        <f>IFERROR(VLOOKUP(Calculations[[#This Row],[Material (choose from dropdown]],MaterialData[#All],5,FALSE),"")</f>
        <v/>
      </c>
      <c r="Z1278" s="322">
        <f>IFERROR(((VLOOKUP(Calculations[[#This Row],[Waste type 2]],WasteDisposalEmissions[#All],2,FALSE))*Calculations[[#This Row],[Total Kg]])*VLOOKUP(Calculations[[#This Row],[Waste 1]],WasteScenario[#All],2,FALSE),0)</f>
        <v>0</v>
      </c>
      <c r="AA1278" s="322">
        <f>IFERROR((VLOOKUP(Calculations[[#This Row],[Waste type 2]],WasteDisposalEmissions[#All],3,FALSE))*Calculations[[#This Row],[Total Kg]]*VLOOKUP(Calculations[[#This Row],[Waste 1]],WasteScenario[#All],3,FALSE),0)</f>
        <v>0</v>
      </c>
      <c r="AB1278" s="322">
        <f>SUM(Calculations[[#This Row],[C3 recyc]:[C3 incin]])</f>
        <v>0</v>
      </c>
      <c r="AC1278" s="334">
        <f>IFERROR((VLOOKUP(Calculations[[#This Row],[Waste type 2]],WasteLandfillEmissions[#All],2,FALSE))*Calculations[[#This Row],[Total Kg]]*VLOOKUP(Calculations[[#This Row],[Waste 1]],WasteScenario[#All],4,FALSE),0)</f>
        <v>0</v>
      </c>
      <c r="AD1278" s="322">
        <f>IFERROR((VLOOKUP(Calculations[[#This Row],[Waste type 2]],WasteLandfillEmissions[#All],3,FALSE))*Calculations[[#This Row],[Total Kg]]*VLOOKUP(Calculations[[#This Row],[Waste 1]],WasteScenario[#All],4,FALSE),0)</f>
        <v>0</v>
      </c>
      <c r="AE1278" s="322">
        <f>SUM(Calculations[[#This Row],[C4 landfill]:[C4 re-use]])</f>
        <v>0</v>
      </c>
      <c r="AF1278" s="322">
        <f>IFERROR(VLOOKUP(Calculations[[#This Row],[Material (choose from dropdown]],MaterialData[#All],8,FALSE),0)</f>
        <v>0</v>
      </c>
      <c r="AG1278" s="322">
        <f>IFERROR(Calculations[[#This Row],[Total Kg]]*Calculations[[#This Row],[Seq factor]],0)</f>
        <v>0</v>
      </c>
      <c r="AI1278" s="322">
        <f>Calculations[[#This Row],[A1-3]]+Calculations[[#This Row],[A4]]+Calculations[[#This Row],[A5]]+Calculations[[#This Row],[B4]]+Calculations[[#This Row],[C2 total]]+Calculations[[#This Row],[C3 total]]+Calculations[[#This Row],[C4 total]]</f>
        <v>0</v>
      </c>
      <c r="AJ1278" s="2">
        <f>IFERROR(VLOOKUP(Calculations[[#This Row],[Material (choose from dropdown]],MaterialData[[#Headers],[#Data]],9,FALSE),0)</f>
        <v>0</v>
      </c>
      <c r="AK1278" s="4">
        <f>IFERROR(VLOOKUP(Calculations[[#This Row],[Material (choose from dropdown]],MaterialData[[#Headers],[#Data]],10,FALSE),0)</f>
        <v>0</v>
      </c>
      <c r="AL1278" s="322">
        <f>IFERROR(Calculations[[#This Row],[Data Quality Score]]*Calculations[[#This Row],[Total Kg]],0)</f>
        <v>0</v>
      </c>
    </row>
    <row r="1279" spans="1:38" x14ac:dyDescent="0.3">
      <c r="A1279" s="6">
        <f>IFERROR(MaterialsBoQ[[#This Row],[Scope Element]],0)</f>
        <v>0</v>
      </c>
      <c r="B1279" t="str">
        <f>IFERROR(MaterialsBoQ[[#This Row],[Material ]],"")</f>
        <v/>
      </c>
      <c r="C1279" t="str">
        <f>IFERROR(MaterialsBoQ[[#This Row],[Unit]],"")</f>
        <v/>
      </c>
      <c r="D1279" s="322">
        <f>IFERROR(MaterialsBoQ[[#This Row],[Number]],0)</f>
        <v>0</v>
      </c>
      <c r="E1279" s="322">
        <f>IFERROR(MaterialsBoQ[[#This Row],[Kg per unit]],0)</f>
        <v>0</v>
      </c>
      <c r="F1279" s="322">
        <f>IFERROR(Calculations[[#This Row],[Number]]*Calculations[[#This Row],[Conversion factor]],0)</f>
        <v>0</v>
      </c>
      <c r="G1279" s="322">
        <f>IFERROR(VLOOKUP(Calculations[[#This Row],[Material (choose from dropdown]],MaterialData[#All],7,FALSE),0)</f>
        <v>0</v>
      </c>
      <c r="H1279" s="322">
        <f>Calculations[[#This Row],[Total Kg]]*Calculations[[#This Row],[Carbon Factor]]</f>
        <v>0</v>
      </c>
      <c r="I1279" t="str">
        <f>IFERROR(VLOOKUP(Calculations[[#This Row],[Material (choose from dropdown]],MaterialData[#All],2,FALSE),"")</f>
        <v/>
      </c>
      <c r="J1279" s="322">
        <f>IFERROR(((VLOOKUP(Calculations[[#This Row],[TransportSource]],TransportDistance[],2,FALSE)*'Stage assumptions'!$C$11)+VLOOKUP(Calculations[[#This Row],[TransportSource]],TransportDistance[],3,FALSE)*'Stage assumptions'!$C$12)*Calculations[[#This Row],[Total Kg]],0)</f>
        <v>0</v>
      </c>
      <c r="K1279">
        <f>IFERROR(VLOOKUP(Calculations[[#This Row],[Material (choose from dropdown]], MaterialData[#All],3, FALSE),0)</f>
        <v>0</v>
      </c>
      <c r="L1279" s="322">
        <f>IFERROR(VLOOKUP(Calculations[[#This Row],[A5type]],A5WastageRate[#All],2,FALSE)*Calculations[[#This Row],[A1-3]],0)</f>
        <v>0</v>
      </c>
      <c r="N1279">
        <f>IFERROR(ROUNDUP(50/VLOOKUP(Calculations[[#This Row],[Scope Element]],B4referenceServiceLife[[Tier 2 element]:[Default Service Life]],2, FALSE)-1,0),0)</f>
        <v>0</v>
      </c>
      <c r="O1279" s="322">
        <f>IFERROR((Calculations[[#This Row],[A1-3]]+Calculations[[#This Row],[A4]]+Calculations[[#This Row],[A5]]+Calculations[[#This Row],[C2 total]]+Calculations[[#This Row],[C3 total]]+Calculations[[#This Row],[C4 total]])*Calculations[[#This Row],[Replacements]],0)</f>
        <v>0</v>
      </c>
      <c r="S1279" t="str">
        <f>IFERROR(VLOOKUP(Calculations[[#This Row],[Material (choose from dropdown]],MaterialData[#All],4,FALSE),"")</f>
        <v/>
      </c>
      <c r="T1279" s="322" cm="1">
        <f t="array" ref="T1279">IFERROR(VLOOKUP(Calculations[[#This Row],[Waste 1]],WasteScenario[#All],2,FALSE)*'Stage assumptions'!$C$225*WasteTransportMethod[Emissions Factor
kgCO2e/kg.km]*Calculations[[#This Row],[Total Kg]],0)</f>
        <v>0</v>
      </c>
      <c r="U1279" s="322" cm="1">
        <f t="array" ref="U1279">IFERROR(VLOOKUP(Calculations[[#This Row],[Waste 1]],WasteScenario[#All],3,FALSE)*'Stage assumptions'!$C$224*WasteTransportMethod[Emissions Factor
kgCO2e/kg.km]*Calculations[[#This Row],[Total Kg]],0)</f>
        <v>0</v>
      </c>
      <c r="V1279" s="322" cm="1">
        <f t="array" ref="V1279">IFERROR(VLOOKUP(Calculations[[#This Row],[Waste 1]],WasteScenario[#All],4,FALSE)*'Stage assumptions'!$C$223*WasteTransportMethod[Emissions Factor
kgCO2e/kg.km]*Calculations[[#This Row],[Total Kg]],0)</f>
        <v>0</v>
      </c>
      <c r="W1279" s="322" cm="1">
        <f t="array" ref="W1279">IFERROR(VLOOKUP(Calculations[[#This Row],[Waste 1]],WasteScenario[#All],5,FALSE)*'Stage assumptions'!$C$226*WasteTransportMethod[Emissions Factor
kgCO2e/kg.km]*Calculations[[#This Row],[Total Kg]],0)</f>
        <v>0</v>
      </c>
      <c r="X1279" s="322">
        <f>SUM(Calculations[[#This Row],[C2 Recycle]:[C2 Reuse]])</f>
        <v>0</v>
      </c>
      <c r="Y1279" t="str">
        <f>IFERROR(VLOOKUP(Calculations[[#This Row],[Material (choose from dropdown]],MaterialData[#All],5,FALSE),"")</f>
        <v/>
      </c>
      <c r="Z1279" s="322">
        <f>IFERROR(((VLOOKUP(Calculations[[#This Row],[Waste type 2]],WasteDisposalEmissions[#All],2,FALSE))*Calculations[[#This Row],[Total Kg]])*VLOOKUP(Calculations[[#This Row],[Waste 1]],WasteScenario[#All],2,FALSE),0)</f>
        <v>0</v>
      </c>
      <c r="AA1279" s="322">
        <f>IFERROR((VLOOKUP(Calculations[[#This Row],[Waste type 2]],WasteDisposalEmissions[#All],3,FALSE))*Calculations[[#This Row],[Total Kg]]*VLOOKUP(Calculations[[#This Row],[Waste 1]],WasteScenario[#All],3,FALSE),0)</f>
        <v>0</v>
      </c>
      <c r="AB1279" s="322">
        <f>SUM(Calculations[[#This Row],[C3 recyc]:[C3 incin]])</f>
        <v>0</v>
      </c>
      <c r="AC1279" s="334">
        <f>IFERROR((VLOOKUP(Calculations[[#This Row],[Waste type 2]],WasteLandfillEmissions[#All],2,FALSE))*Calculations[[#This Row],[Total Kg]]*VLOOKUP(Calculations[[#This Row],[Waste 1]],WasteScenario[#All],4,FALSE),0)</f>
        <v>0</v>
      </c>
      <c r="AD1279" s="322">
        <f>IFERROR((VLOOKUP(Calculations[[#This Row],[Waste type 2]],WasteLandfillEmissions[#All],3,FALSE))*Calculations[[#This Row],[Total Kg]]*VLOOKUP(Calculations[[#This Row],[Waste 1]],WasteScenario[#All],4,FALSE),0)</f>
        <v>0</v>
      </c>
      <c r="AE1279" s="322">
        <f>SUM(Calculations[[#This Row],[C4 landfill]:[C4 re-use]])</f>
        <v>0</v>
      </c>
      <c r="AF1279" s="322">
        <f>IFERROR(VLOOKUP(Calculations[[#This Row],[Material (choose from dropdown]],MaterialData[#All],8,FALSE),0)</f>
        <v>0</v>
      </c>
      <c r="AG1279" s="322">
        <f>IFERROR(Calculations[[#This Row],[Total Kg]]*Calculations[[#This Row],[Seq factor]],0)</f>
        <v>0</v>
      </c>
      <c r="AI1279" s="322">
        <f>Calculations[[#This Row],[A1-3]]+Calculations[[#This Row],[A4]]+Calculations[[#This Row],[A5]]+Calculations[[#This Row],[B4]]+Calculations[[#This Row],[C2 total]]+Calculations[[#This Row],[C3 total]]+Calculations[[#This Row],[C4 total]]</f>
        <v>0</v>
      </c>
      <c r="AJ1279" s="2">
        <f>IFERROR(VLOOKUP(Calculations[[#This Row],[Material (choose from dropdown]],MaterialData[[#Headers],[#Data]],9,FALSE),0)</f>
        <v>0</v>
      </c>
      <c r="AK1279" s="4">
        <f>IFERROR(VLOOKUP(Calculations[[#This Row],[Material (choose from dropdown]],MaterialData[[#Headers],[#Data]],10,FALSE),0)</f>
        <v>0</v>
      </c>
      <c r="AL1279" s="322">
        <f>IFERROR(Calculations[[#This Row],[Data Quality Score]]*Calculations[[#This Row],[Total Kg]],0)</f>
        <v>0</v>
      </c>
    </row>
    <row r="1280" spans="1:38" x14ac:dyDescent="0.3">
      <c r="A1280" s="6">
        <f>IFERROR(MaterialsBoQ[[#This Row],[Scope Element]],0)</f>
        <v>0</v>
      </c>
      <c r="B1280" t="str">
        <f>IFERROR(MaterialsBoQ[[#This Row],[Material ]],"")</f>
        <v/>
      </c>
      <c r="C1280" t="str">
        <f>IFERROR(MaterialsBoQ[[#This Row],[Unit]],"")</f>
        <v/>
      </c>
      <c r="D1280" s="322">
        <f>IFERROR(MaterialsBoQ[[#This Row],[Number]],0)</f>
        <v>0</v>
      </c>
      <c r="E1280" s="322">
        <f>IFERROR(MaterialsBoQ[[#This Row],[Kg per unit]],0)</f>
        <v>0</v>
      </c>
      <c r="F1280" s="322">
        <f>IFERROR(Calculations[[#This Row],[Number]]*Calculations[[#This Row],[Conversion factor]],0)</f>
        <v>0</v>
      </c>
      <c r="G1280" s="322">
        <f>IFERROR(VLOOKUP(Calculations[[#This Row],[Material (choose from dropdown]],MaterialData[#All],7,FALSE),0)</f>
        <v>0</v>
      </c>
      <c r="H1280" s="322">
        <f>Calculations[[#This Row],[Total Kg]]*Calculations[[#This Row],[Carbon Factor]]</f>
        <v>0</v>
      </c>
      <c r="I1280" t="str">
        <f>IFERROR(VLOOKUP(Calculations[[#This Row],[Material (choose from dropdown]],MaterialData[#All],2,FALSE),"")</f>
        <v/>
      </c>
      <c r="J1280" s="322">
        <f>IFERROR(((VLOOKUP(Calculations[[#This Row],[TransportSource]],TransportDistance[],2,FALSE)*'Stage assumptions'!$C$11)+VLOOKUP(Calculations[[#This Row],[TransportSource]],TransportDistance[],3,FALSE)*'Stage assumptions'!$C$12)*Calculations[[#This Row],[Total Kg]],0)</f>
        <v>0</v>
      </c>
      <c r="K1280">
        <f>IFERROR(VLOOKUP(Calculations[[#This Row],[Material (choose from dropdown]], MaterialData[#All],3, FALSE),0)</f>
        <v>0</v>
      </c>
      <c r="L1280" s="322">
        <f>IFERROR(VLOOKUP(Calculations[[#This Row],[A5type]],A5WastageRate[#All],2,FALSE)*Calculations[[#This Row],[A1-3]],0)</f>
        <v>0</v>
      </c>
      <c r="N1280">
        <f>IFERROR(ROUNDUP(50/VLOOKUP(Calculations[[#This Row],[Scope Element]],B4referenceServiceLife[[Tier 2 element]:[Default Service Life]],2, FALSE)-1,0),0)</f>
        <v>0</v>
      </c>
      <c r="O1280" s="322">
        <f>IFERROR((Calculations[[#This Row],[A1-3]]+Calculations[[#This Row],[A4]]+Calculations[[#This Row],[A5]]+Calculations[[#This Row],[C2 total]]+Calculations[[#This Row],[C3 total]]+Calculations[[#This Row],[C4 total]])*Calculations[[#This Row],[Replacements]],0)</f>
        <v>0</v>
      </c>
      <c r="S1280" t="str">
        <f>IFERROR(VLOOKUP(Calculations[[#This Row],[Material (choose from dropdown]],MaterialData[#All],4,FALSE),"")</f>
        <v/>
      </c>
      <c r="T1280" s="322" cm="1">
        <f t="array" ref="T1280">IFERROR(VLOOKUP(Calculations[[#This Row],[Waste 1]],WasteScenario[#All],2,FALSE)*'Stage assumptions'!$C$225*WasteTransportMethod[Emissions Factor
kgCO2e/kg.km]*Calculations[[#This Row],[Total Kg]],0)</f>
        <v>0</v>
      </c>
      <c r="U1280" s="322" cm="1">
        <f t="array" ref="U1280">IFERROR(VLOOKUP(Calculations[[#This Row],[Waste 1]],WasteScenario[#All],3,FALSE)*'Stage assumptions'!$C$224*WasteTransportMethod[Emissions Factor
kgCO2e/kg.km]*Calculations[[#This Row],[Total Kg]],0)</f>
        <v>0</v>
      </c>
      <c r="V1280" s="322" cm="1">
        <f t="array" ref="V1280">IFERROR(VLOOKUP(Calculations[[#This Row],[Waste 1]],WasteScenario[#All],4,FALSE)*'Stage assumptions'!$C$223*WasteTransportMethod[Emissions Factor
kgCO2e/kg.km]*Calculations[[#This Row],[Total Kg]],0)</f>
        <v>0</v>
      </c>
      <c r="W1280" s="322" cm="1">
        <f t="array" ref="W1280">IFERROR(VLOOKUP(Calculations[[#This Row],[Waste 1]],WasteScenario[#All],5,FALSE)*'Stage assumptions'!$C$226*WasteTransportMethod[Emissions Factor
kgCO2e/kg.km]*Calculations[[#This Row],[Total Kg]],0)</f>
        <v>0</v>
      </c>
      <c r="X1280" s="322">
        <f>SUM(Calculations[[#This Row],[C2 Recycle]:[C2 Reuse]])</f>
        <v>0</v>
      </c>
      <c r="Y1280" t="str">
        <f>IFERROR(VLOOKUP(Calculations[[#This Row],[Material (choose from dropdown]],MaterialData[#All],5,FALSE),"")</f>
        <v/>
      </c>
      <c r="Z1280" s="322">
        <f>IFERROR(((VLOOKUP(Calculations[[#This Row],[Waste type 2]],WasteDisposalEmissions[#All],2,FALSE))*Calculations[[#This Row],[Total Kg]])*VLOOKUP(Calculations[[#This Row],[Waste 1]],WasteScenario[#All],2,FALSE),0)</f>
        <v>0</v>
      </c>
      <c r="AA1280" s="322">
        <f>IFERROR((VLOOKUP(Calculations[[#This Row],[Waste type 2]],WasteDisposalEmissions[#All],3,FALSE))*Calculations[[#This Row],[Total Kg]]*VLOOKUP(Calculations[[#This Row],[Waste 1]],WasteScenario[#All],3,FALSE),0)</f>
        <v>0</v>
      </c>
      <c r="AB1280" s="322">
        <f>SUM(Calculations[[#This Row],[C3 recyc]:[C3 incin]])</f>
        <v>0</v>
      </c>
      <c r="AC1280" s="334">
        <f>IFERROR((VLOOKUP(Calculations[[#This Row],[Waste type 2]],WasteLandfillEmissions[#All],2,FALSE))*Calculations[[#This Row],[Total Kg]]*VLOOKUP(Calculations[[#This Row],[Waste 1]],WasteScenario[#All],4,FALSE),0)</f>
        <v>0</v>
      </c>
      <c r="AD1280" s="322">
        <f>IFERROR((VLOOKUP(Calculations[[#This Row],[Waste type 2]],WasteLandfillEmissions[#All],3,FALSE))*Calculations[[#This Row],[Total Kg]]*VLOOKUP(Calculations[[#This Row],[Waste 1]],WasteScenario[#All],4,FALSE),0)</f>
        <v>0</v>
      </c>
      <c r="AE1280" s="322">
        <f>SUM(Calculations[[#This Row],[C4 landfill]:[C4 re-use]])</f>
        <v>0</v>
      </c>
      <c r="AF1280" s="322">
        <f>IFERROR(VLOOKUP(Calculations[[#This Row],[Material (choose from dropdown]],MaterialData[#All],8,FALSE),0)</f>
        <v>0</v>
      </c>
      <c r="AG1280" s="322">
        <f>IFERROR(Calculations[[#This Row],[Total Kg]]*Calculations[[#This Row],[Seq factor]],0)</f>
        <v>0</v>
      </c>
      <c r="AI1280" s="322">
        <f>Calculations[[#This Row],[A1-3]]+Calculations[[#This Row],[A4]]+Calculations[[#This Row],[A5]]+Calculations[[#This Row],[B4]]+Calculations[[#This Row],[C2 total]]+Calculations[[#This Row],[C3 total]]+Calculations[[#This Row],[C4 total]]</f>
        <v>0</v>
      </c>
      <c r="AJ1280" s="2">
        <f>IFERROR(VLOOKUP(Calculations[[#This Row],[Material (choose from dropdown]],MaterialData[[#Headers],[#Data]],9,FALSE),0)</f>
        <v>0</v>
      </c>
      <c r="AK1280" s="4">
        <f>IFERROR(VLOOKUP(Calculations[[#This Row],[Material (choose from dropdown]],MaterialData[[#Headers],[#Data]],10,FALSE),0)</f>
        <v>0</v>
      </c>
      <c r="AL1280" s="322">
        <f>IFERROR(Calculations[[#This Row],[Data Quality Score]]*Calculations[[#This Row],[Total Kg]],0)</f>
        <v>0</v>
      </c>
    </row>
    <row r="1281" spans="1:38" x14ac:dyDescent="0.3">
      <c r="A1281" s="6">
        <f>IFERROR(MaterialsBoQ[[#This Row],[Scope Element]],0)</f>
        <v>0</v>
      </c>
      <c r="B1281" t="str">
        <f>IFERROR(MaterialsBoQ[[#This Row],[Material ]],"")</f>
        <v/>
      </c>
      <c r="C1281" t="str">
        <f>IFERROR(MaterialsBoQ[[#This Row],[Unit]],"")</f>
        <v/>
      </c>
      <c r="D1281" s="322">
        <f>IFERROR(MaterialsBoQ[[#This Row],[Number]],0)</f>
        <v>0</v>
      </c>
      <c r="E1281" s="322">
        <f>IFERROR(MaterialsBoQ[[#This Row],[Kg per unit]],0)</f>
        <v>0</v>
      </c>
      <c r="F1281" s="322">
        <f>IFERROR(Calculations[[#This Row],[Number]]*Calculations[[#This Row],[Conversion factor]],0)</f>
        <v>0</v>
      </c>
      <c r="G1281" s="322">
        <f>IFERROR(VLOOKUP(Calculations[[#This Row],[Material (choose from dropdown]],MaterialData[#All],7,FALSE),0)</f>
        <v>0</v>
      </c>
      <c r="H1281" s="322">
        <f>Calculations[[#This Row],[Total Kg]]*Calculations[[#This Row],[Carbon Factor]]</f>
        <v>0</v>
      </c>
      <c r="I1281" t="str">
        <f>IFERROR(VLOOKUP(Calculations[[#This Row],[Material (choose from dropdown]],MaterialData[#All],2,FALSE),"")</f>
        <v/>
      </c>
      <c r="J1281" s="322">
        <f>IFERROR(((VLOOKUP(Calculations[[#This Row],[TransportSource]],TransportDistance[],2,FALSE)*'Stage assumptions'!$C$11)+VLOOKUP(Calculations[[#This Row],[TransportSource]],TransportDistance[],3,FALSE)*'Stage assumptions'!$C$12)*Calculations[[#This Row],[Total Kg]],0)</f>
        <v>0</v>
      </c>
      <c r="K1281">
        <f>IFERROR(VLOOKUP(Calculations[[#This Row],[Material (choose from dropdown]], MaterialData[#All],3, FALSE),0)</f>
        <v>0</v>
      </c>
      <c r="L1281" s="322">
        <f>IFERROR(VLOOKUP(Calculations[[#This Row],[A5type]],A5WastageRate[#All],2,FALSE)*Calculations[[#This Row],[A1-3]],0)</f>
        <v>0</v>
      </c>
      <c r="N1281">
        <f>IFERROR(ROUNDUP(50/VLOOKUP(Calculations[[#This Row],[Scope Element]],B4referenceServiceLife[[Tier 2 element]:[Default Service Life]],2, FALSE)-1,0),0)</f>
        <v>0</v>
      </c>
      <c r="O1281" s="322">
        <f>IFERROR((Calculations[[#This Row],[A1-3]]+Calculations[[#This Row],[A4]]+Calculations[[#This Row],[A5]]+Calculations[[#This Row],[C2 total]]+Calculations[[#This Row],[C3 total]]+Calculations[[#This Row],[C4 total]])*Calculations[[#This Row],[Replacements]],0)</f>
        <v>0</v>
      </c>
      <c r="S1281" t="str">
        <f>IFERROR(VLOOKUP(Calculations[[#This Row],[Material (choose from dropdown]],MaterialData[#All],4,FALSE),"")</f>
        <v/>
      </c>
      <c r="T1281" s="322" cm="1">
        <f t="array" ref="T1281">IFERROR(VLOOKUP(Calculations[[#This Row],[Waste 1]],WasteScenario[#All],2,FALSE)*'Stage assumptions'!$C$225*WasteTransportMethod[Emissions Factor
kgCO2e/kg.km]*Calculations[[#This Row],[Total Kg]],0)</f>
        <v>0</v>
      </c>
      <c r="U1281" s="322" cm="1">
        <f t="array" ref="U1281">IFERROR(VLOOKUP(Calculations[[#This Row],[Waste 1]],WasteScenario[#All],3,FALSE)*'Stage assumptions'!$C$224*WasteTransportMethod[Emissions Factor
kgCO2e/kg.km]*Calculations[[#This Row],[Total Kg]],0)</f>
        <v>0</v>
      </c>
      <c r="V1281" s="322" cm="1">
        <f t="array" ref="V1281">IFERROR(VLOOKUP(Calculations[[#This Row],[Waste 1]],WasteScenario[#All],4,FALSE)*'Stage assumptions'!$C$223*WasteTransportMethod[Emissions Factor
kgCO2e/kg.km]*Calculations[[#This Row],[Total Kg]],0)</f>
        <v>0</v>
      </c>
      <c r="W1281" s="322" cm="1">
        <f t="array" ref="W1281">IFERROR(VLOOKUP(Calculations[[#This Row],[Waste 1]],WasteScenario[#All],5,FALSE)*'Stage assumptions'!$C$226*WasteTransportMethod[Emissions Factor
kgCO2e/kg.km]*Calculations[[#This Row],[Total Kg]],0)</f>
        <v>0</v>
      </c>
      <c r="X1281" s="322">
        <f>SUM(Calculations[[#This Row],[C2 Recycle]:[C2 Reuse]])</f>
        <v>0</v>
      </c>
      <c r="Y1281" t="str">
        <f>IFERROR(VLOOKUP(Calculations[[#This Row],[Material (choose from dropdown]],MaterialData[#All],5,FALSE),"")</f>
        <v/>
      </c>
      <c r="Z1281" s="322">
        <f>IFERROR(((VLOOKUP(Calculations[[#This Row],[Waste type 2]],WasteDisposalEmissions[#All],2,FALSE))*Calculations[[#This Row],[Total Kg]])*VLOOKUP(Calculations[[#This Row],[Waste 1]],WasteScenario[#All],2,FALSE),0)</f>
        <v>0</v>
      </c>
      <c r="AA1281" s="322">
        <f>IFERROR((VLOOKUP(Calculations[[#This Row],[Waste type 2]],WasteDisposalEmissions[#All],3,FALSE))*Calculations[[#This Row],[Total Kg]]*VLOOKUP(Calculations[[#This Row],[Waste 1]],WasteScenario[#All],3,FALSE),0)</f>
        <v>0</v>
      </c>
      <c r="AB1281" s="322">
        <f>SUM(Calculations[[#This Row],[C3 recyc]:[C3 incin]])</f>
        <v>0</v>
      </c>
      <c r="AC1281" s="334">
        <f>IFERROR((VLOOKUP(Calculations[[#This Row],[Waste type 2]],WasteLandfillEmissions[#All],2,FALSE))*Calculations[[#This Row],[Total Kg]]*VLOOKUP(Calculations[[#This Row],[Waste 1]],WasteScenario[#All],4,FALSE),0)</f>
        <v>0</v>
      </c>
      <c r="AD1281" s="322">
        <f>IFERROR((VLOOKUP(Calculations[[#This Row],[Waste type 2]],WasteLandfillEmissions[#All],3,FALSE))*Calculations[[#This Row],[Total Kg]]*VLOOKUP(Calculations[[#This Row],[Waste 1]],WasteScenario[#All],4,FALSE),0)</f>
        <v>0</v>
      </c>
      <c r="AE1281" s="322">
        <f>SUM(Calculations[[#This Row],[C4 landfill]:[C4 re-use]])</f>
        <v>0</v>
      </c>
      <c r="AF1281" s="322">
        <f>IFERROR(VLOOKUP(Calculations[[#This Row],[Material (choose from dropdown]],MaterialData[#All],8,FALSE),0)</f>
        <v>0</v>
      </c>
      <c r="AG1281" s="322">
        <f>IFERROR(Calculations[[#This Row],[Total Kg]]*Calculations[[#This Row],[Seq factor]],0)</f>
        <v>0</v>
      </c>
      <c r="AI1281" s="322">
        <f>Calculations[[#This Row],[A1-3]]+Calculations[[#This Row],[A4]]+Calculations[[#This Row],[A5]]+Calculations[[#This Row],[B4]]+Calculations[[#This Row],[C2 total]]+Calculations[[#This Row],[C3 total]]+Calculations[[#This Row],[C4 total]]</f>
        <v>0</v>
      </c>
      <c r="AJ1281" s="2">
        <f>IFERROR(VLOOKUP(Calculations[[#This Row],[Material (choose from dropdown]],MaterialData[[#Headers],[#Data]],9,FALSE),0)</f>
        <v>0</v>
      </c>
      <c r="AK1281" s="4">
        <f>IFERROR(VLOOKUP(Calculations[[#This Row],[Material (choose from dropdown]],MaterialData[[#Headers],[#Data]],10,FALSE),0)</f>
        <v>0</v>
      </c>
      <c r="AL1281" s="322">
        <f>IFERROR(Calculations[[#This Row],[Data Quality Score]]*Calculations[[#This Row],[Total Kg]],0)</f>
        <v>0</v>
      </c>
    </row>
    <row r="1282" spans="1:38" x14ac:dyDescent="0.3">
      <c r="A1282" s="6">
        <f>IFERROR(MaterialsBoQ[[#This Row],[Scope Element]],0)</f>
        <v>0</v>
      </c>
      <c r="B1282" t="str">
        <f>IFERROR(MaterialsBoQ[[#This Row],[Material ]],"")</f>
        <v/>
      </c>
      <c r="C1282" t="str">
        <f>IFERROR(MaterialsBoQ[[#This Row],[Unit]],"")</f>
        <v/>
      </c>
      <c r="D1282" s="322">
        <f>IFERROR(MaterialsBoQ[[#This Row],[Number]],0)</f>
        <v>0</v>
      </c>
      <c r="E1282" s="322">
        <f>IFERROR(MaterialsBoQ[[#This Row],[Kg per unit]],0)</f>
        <v>0</v>
      </c>
      <c r="F1282" s="322">
        <f>IFERROR(Calculations[[#This Row],[Number]]*Calculations[[#This Row],[Conversion factor]],0)</f>
        <v>0</v>
      </c>
      <c r="G1282" s="322">
        <f>IFERROR(VLOOKUP(Calculations[[#This Row],[Material (choose from dropdown]],MaterialData[#All],7,FALSE),0)</f>
        <v>0</v>
      </c>
      <c r="H1282" s="322">
        <f>Calculations[[#This Row],[Total Kg]]*Calculations[[#This Row],[Carbon Factor]]</f>
        <v>0</v>
      </c>
      <c r="I1282" t="str">
        <f>IFERROR(VLOOKUP(Calculations[[#This Row],[Material (choose from dropdown]],MaterialData[#All],2,FALSE),"")</f>
        <v/>
      </c>
      <c r="J1282" s="322">
        <f>IFERROR(((VLOOKUP(Calculations[[#This Row],[TransportSource]],TransportDistance[],2,FALSE)*'Stage assumptions'!$C$11)+VLOOKUP(Calculations[[#This Row],[TransportSource]],TransportDistance[],3,FALSE)*'Stage assumptions'!$C$12)*Calculations[[#This Row],[Total Kg]],0)</f>
        <v>0</v>
      </c>
      <c r="K1282">
        <f>IFERROR(VLOOKUP(Calculations[[#This Row],[Material (choose from dropdown]], MaterialData[#All],3, FALSE),0)</f>
        <v>0</v>
      </c>
      <c r="L1282" s="322">
        <f>IFERROR(VLOOKUP(Calculations[[#This Row],[A5type]],A5WastageRate[#All],2,FALSE)*Calculations[[#This Row],[A1-3]],0)</f>
        <v>0</v>
      </c>
      <c r="N1282">
        <f>IFERROR(ROUNDUP(50/VLOOKUP(Calculations[[#This Row],[Scope Element]],B4referenceServiceLife[[Tier 2 element]:[Default Service Life]],2, FALSE)-1,0),0)</f>
        <v>0</v>
      </c>
      <c r="O1282" s="322">
        <f>IFERROR((Calculations[[#This Row],[A1-3]]+Calculations[[#This Row],[A4]]+Calculations[[#This Row],[A5]]+Calculations[[#This Row],[C2 total]]+Calculations[[#This Row],[C3 total]]+Calculations[[#This Row],[C4 total]])*Calculations[[#This Row],[Replacements]],0)</f>
        <v>0</v>
      </c>
      <c r="S1282" t="str">
        <f>IFERROR(VLOOKUP(Calculations[[#This Row],[Material (choose from dropdown]],MaterialData[#All],4,FALSE),"")</f>
        <v/>
      </c>
      <c r="T1282" s="322" cm="1">
        <f t="array" ref="T1282">IFERROR(VLOOKUP(Calculations[[#This Row],[Waste 1]],WasteScenario[#All],2,FALSE)*'Stage assumptions'!$C$225*WasteTransportMethod[Emissions Factor
kgCO2e/kg.km]*Calculations[[#This Row],[Total Kg]],0)</f>
        <v>0</v>
      </c>
      <c r="U1282" s="322" cm="1">
        <f t="array" ref="U1282">IFERROR(VLOOKUP(Calculations[[#This Row],[Waste 1]],WasteScenario[#All],3,FALSE)*'Stage assumptions'!$C$224*WasteTransportMethod[Emissions Factor
kgCO2e/kg.km]*Calculations[[#This Row],[Total Kg]],0)</f>
        <v>0</v>
      </c>
      <c r="V1282" s="322" cm="1">
        <f t="array" ref="V1282">IFERROR(VLOOKUP(Calculations[[#This Row],[Waste 1]],WasteScenario[#All],4,FALSE)*'Stage assumptions'!$C$223*WasteTransportMethod[Emissions Factor
kgCO2e/kg.km]*Calculations[[#This Row],[Total Kg]],0)</f>
        <v>0</v>
      </c>
      <c r="W1282" s="322" cm="1">
        <f t="array" ref="W1282">IFERROR(VLOOKUP(Calculations[[#This Row],[Waste 1]],WasteScenario[#All],5,FALSE)*'Stage assumptions'!$C$226*WasteTransportMethod[Emissions Factor
kgCO2e/kg.km]*Calculations[[#This Row],[Total Kg]],0)</f>
        <v>0</v>
      </c>
      <c r="X1282" s="322">
        <f>SUM(Calculations[[#This Row],[C2 Recycle]:[C2 Reuse]])</f>
        <v>0</v>
      </c>
      <c r="Y1282" t="str">
        <f>IFERROR(VLOOKUP(Calculations[[#This Row],[Material (choose from dropdown]],MaterialData[#All],5,FALSE),"")</f>
        <v/>
      </c>
      <c r="Z1282" s="322">
        <f>IFERROR(((VLOOKUP(Calculations[[#This Row],[Waste type 2]],WasteDisposalEmissions[#All],2,FALSE))*Calculations[[#This Row],[Total Kg]])*VLOOKUP(Calculations[[#This Row],[Waste 1]],WasteScenario[#All],2,FALSE),0)</f>
        <v>0</v>
      </c>
      <c r="AA1282" s="322">
        <f>IFERROR((VLOOKUP(Calculations[[#This Row],[Waste type 2]],WasteDisposalEmissions[#All],3,FALSE))*Calculations[[#This Row],[Total Kg]]*VLOOKUP(Calculations[[#This Row],[Waste 1]],WasteScenario[#All],3,FALSE),0)</f>
        <v>0</v>
      </c>
      <c r="AB1282" s="322">
        <f>SUM(Calculations[[#This Row],[C3 recyc]:[C3 incin]])</f>
        <v>0</v>
      </c>
      <c r="AC1282" s="334">
        <f>IFERROR((VLOOKUP(Calculations[[#This Row],[Waste type 2]],WasteLandfillEmissions[#All],2,FALSE))*Calculations[[#This Row],[Total Kg]]*VLOOKUP(Calculations[[#This Row],[Waste 1]],WasteScenario[#All],4,FALSE),0)</f>
        <v>0</v>
      </c>
      <c r="AD1282" s="322">
        <f>IFERROR((VLOOKUP(Calculations[[#This Row],[Waste type 2]],WasteLandfillEmissions[#All],3,FALSE))*Calculations[[#This Row],[Total Kg]]*VLOOKUP(Calculations[[#This Row],[Waste 1]],WasteScenario[#All],4,FALSE),0)</f>
        <v>0</v>
      </c>
      <c r="AE1282" s="322">
        <f>SUM(Calculations[[#This Row],[C4 landfill]:[C4 re-use]])</f>
        <v>0</v>
      </c>
      <c r="AF1282" s="322">
        <f>IFERROR(VLOOKUP(Calculations[[#This Row],[Material (choose from dropdown]],MaterialData[#All],8,FALSE),0)</f>
        <v>0</v>
      </c>
      <c r="AG1282" s="322">
        <f>IFERROR(Calculations[[#This Row],[Total Kg]]*Calculations[[#This Row],[Seq factor]],0)</f>
        <v>0</v>
      </c>
      <c r="AI1282" s="322">
        <f>Calculations[[#This Row],[A1-3]]+Calculations[[#This Row],[A4]]+Calculations[[#This Row],[A5]]+Calculations[[#This Row],[B4]]+Calculations[[#This Row],[C2 total]]+Calculations[[#This Row],[C3 total]]+Calculations[[#This Row],[C4 total]]</f>
        <v>0</v>
      </c>
      <c r="AJ1282" s="2">
        <f>IFERROR(VLOOKUP(Calculations[[#This Row],[Material (choose from dropdown]],MaterialData[[#Headers],[#Data]],9,FALSE),0)</f>
        <v>0</v>
      </c>
      <c r="AK1282" s="4">
        <f>IFERROR(VLOOKUP(Calculations[[#This Row],[Material (choose from dropdown]],MaterialData[[#Headers],[#Data]],10,FALSE),0)</f>
        <v>0</v>
      </c>
      <c r="AL1282" s="322">
        <f>IFERROR(Calculations[[#This Row],[Data Quality Score]]*Calculations[[#This Row],[Total Kg]],0)</f>
        <v>0</v>
      </c>
    </row>
    <row r="1283" spans="1:38" x14ac:dyDescent="0.3">
      <c r="A1283" s="6">
        <f>IFERROR(MaterialsBoQ[[#This Row],[Scope Element]],0)</f>
        <v>0</v>
      </c>
      <c r="B1283" t="str">
        <f>IFERROR(MaterialsBoQ[[#This Row],[Material ]],"")</f>
        <v/>
      </c>
      <c r="C1283" t="str">
        <f>IFERROR(MaterialsBoQ[[#This Row],[Unit]],"")</f>
        <v/>
      </c>
      <c r="D1283" s="322">
        <f>IFERROR(MaterialsBoQ[[#This Row],[Number]],0)</f>
        <v>0</v>
      </c>
      <c r="E1283" s="322">
        <f>IFERROR(MaterialsBoQ[[#This Row],[Kg per unit]],0)</f>
        <v>0</v>
      </c>
      <c r="F1283" s="322">
        <f>IFERROR(Calculations[[#This Row],[Number]]*Calculations[[#This Row],[Conversion factor]],0)</f>
        <v>0</v>
      </c>
      <c r="G1283" s="322">
        <f>IFERROR(VLOOKUP(Calculations[[#This Row],[Material (choose from dropdown]],MaterialData[#All],7,FALSE),0)</f>
        <v>0</v>
      </c>
      <c r="H1283" s="322">
        <f>Calculations[[#This Row],[Total Kg]]*Calculations[[#This Row],[Carbon Factor]]</f>
        <v>0</v>
      </c>
      <c r="I1283" t="str">
        <f>IFERROR(VLOOKUP(Calculations[[#This Row],[Material (choose from dropdown]],MaterialData[#All],2,FALSE),"")</f>
        <v/>
      </c>
      <c r="J1283" s="322">
        <f>IFERROR(((VLOOKUP(Calculations[[#This Row],[TransportSource]],TransportDistance[],2,FALSE)*'Stage assumptions'!$C$11)+VLOOKUP(Calculations[[#This Row],[TransportSource]],TransportDistance[],3,FALSE)*'Stage assumptions'!$C$12)*Calculations[[#This Row],[Total Kg]],0)</f>
        <v>0</v>
      </c>
      <c r="K1283">
        <f>IFERROR(VLOOKUP(Calculations[[#This Row],[Material (choose from dropdown]], MaterialData[#All],3, FALSE),0)</f>
        <v>0</v>
      </c>
      <c r="L1283" s="322">
        <f>IFERROR(VLOOKUP(Calculations[[#This Row],[A5type]],A5WastageRate[#All],2,FALSE)*Calculations[[#This Row],[A1-3]],0)</f>
        <v>0</v>
      </c>
      <c r="N1283">
        <f>IFERROR(ROUNDUP(50/VLOOKUP(Calculations[[#This Row],[Scope Element]],B4referenceServiceLife[[Tier 2 element]:[Default Service Life]],2, FALSE)-1,0),0)</f>
        <v>0</v>
      </c>
      <c r="O1283" s="322">
        <f>IFERROR((Calculations[[#This Row],[A1-3]]+Calculations[[#This Row],[A4]]+Calculations[[#This Row],[A5]]+Calculations[[#This Row],[C2 total]]+Calculations[[#This Row],[C3 total]]+Calculations[[#This Row],[C4 total]])*Calculations[[#This Row],[Replacements]],0)</f>
        <v>0</v>
      </c>
      <c r="S1283" t="str">
        <f>IFERROR(VLOOKUP(Calculations[[#This Row],[Material (choose from dropdown]],MaterialData[#All],4,FALSE),"")</f>
        <v/>
      </c>
      <c r="T1283" s="322" cm="1">
        <f t="array" ref="T1283">IFERROR(VLOOKUP(Calculations[[#This Row],[Waste 1]],WasteScenario[#All],2,FALSE)*'Stage assumptions'!$C$225*WasteTransportMethod[Emissions Factor
kgCO2e/kg.km]*Calculations[[#This Row],[Total Kg]],0)</f>
        <v>0</v>
      </c>
      <c r="U1283" s="322" cm="1">
        <f t="array" ref="U1283">IFERROR(VLOOKUP(Calculations[[#This Row],[Waste 1]],WasteScenario[#All],3,FALSE)*'Stage assumptions'!$C$224*WasteTransportMethod[Emissions Factor
kgCO2e/kg.km]*Calculations[[#This Row],[Total Kg]],0)</f>
        <v>0</v>
      </c>
      <c r="V1283" s="322" cm="1">
        <f t="array" ref="V1283">IFERROR(VLOOKUP(Calculations[[#This Row],[Waste 1]],WasteScenario[#All],4,FALSE)*'Stage assumptions'!$C$223*WasteTransportMethod[Emissions Factor
kgCO2e/kg.km]*Calculations[[#This Row],[Total Kg]],0)</f>
        <v>0</v>
      </c>
      <c r="W1283" s="322" cm="1">
        <f t="array" ref="W1283">IFERROR(VLOOKUP(Calculations[[#This Row],[Waste 1]],WasteScenario[#All],5,FALSE)*'Stage assumptions'!$C$226*WasteTransportMethod[Emissions Factor
kgCO2e/kg.km]*Calculations[[#This Row],[Total Kg]],0)</f>
        <v>0</v>
      </c>
      <c r="X1283" s="322">
        <f>SUM(Calculations[[#This Row],[C2 Recycle]:[C2 Reuse]])</f>
        <v>0</v>
      </c>
      <c r="Y1283" t="str">
        <f>IFERROR(VLOOKUP(Calculations[[#This Row],[Material (choose from dropdown]],MaterialData[#All],5,FALSE),"")</f>
        <v/>
      </c>
      <c r="Z1283" s="322">
        <f>IFERROR(((VLOOKUP(Calculations[[#This Row],[Waste type 2]],WasteDisposalEmissions[#All],2,FALSE))*Calculations[[#This Row],[Total Kg]])*VLOOKUP(Calculations[[#This Row],[Waste 1]],WasteScenario[#All],2,FALSE),0)</f>
        <v>0</v>
      </c>
      <c r="AA1283" s="322">
        <f>IFERROR((VLOOKUP(Calculations[[#This Row],[Waste type 2]],WasteDisposalEmissions[#All],3,FALSE))*Calculations[[#This Row],[Total Kg]]*VLOOKUP(Calculations[[#This Row],[Waste 1]],WasteScenario[#All],3,FALSE),0)</f>
        <v>0</v>
      </c>
      <c r="AB1283" s="322">
        <f>SUM(Calculations[[#This Row],[C3 recyc]:[C3 incin]])</f>
        <v>0</v>
      </c>
      <c r="AC1283" s="334">
        <f>IFERROR((VLOOKUP(Calculations[[#This Row],[Waste type 2]],WasteLandfillEmissions[#All],2,FALSE))*Calculations[[#This Row],[Total Kg]]*VLOOKUP(Calculations[[#This Row],[Waste 1]],WasteScenario[#All],4,FALSE),0)</f>
        <v>0</v>
      </c>
      <c r="AD1283" s="322">
        <f>IFERROR((VLOOKUP(Calculations[[#This Row],[Waste type 2]],WasteLandfillEmissions[#All],3,FALSE))*Calculations[[#This Row],[Total Kg]]*VLOOKUP(Calculations[[#This Row],[Waste 1]],WasteScenario[#All],4,FALSE),0)</f>
        <v>0</v>
      </c>
      <c r="AE1283" s="322">
        <f>SUM(Calculations[[#This Row],[C4 landfill]:[C4 re-use]])</f>
        <v>0</v>
      </c>
      <c r="AF1283" s="322">
        <f>IFERROR(VLOOKUP(Calculations[[#This Row],[Material (choose from dropdown]],MaterialData[#All],8,FALSE),0)</f>
        <v>0</v>
      </c>
      <c r="AG1283" s="322">
        <f>IFERROR(Calculations[[#This Row],[Total Kg]]*Calculations[[#This Row],[Seq factor]],0)</f>
        <v>0</v>
      </c>
      <c r="AI1283" s="322">
        <f>Calculations[[#This Row],[A1-3]]+Calculations[[#This Row],[A4]]+Calculations[[#This Row],[A5]]+Calculations[[#This Row],[B4]]+Calculations[[#This Row],[C2 total]]+Calculations[[#This Row],[C3 total]]+Calculations[[#This Row],[C4 total]]</f>
        <v>0</v>
      </c>
      <c r="AJ1283" s="2">
        <f>IFERROR(VLOOKUP(Calculations[[#This Row],[Material (choose from dropdown]],MaterialData[[#Headers],[#Data]],9,FALSE),0)</f>
        <v>0</v>
      </c>
      <c r="AK1283" s="4">
        <f>IFERROR(VLOOKUP(Calculations[[#This Row],[Material (choose from dropdown]],MaterialData[[#Headers],[#Data]],10,FALSE),0)</f>
        <v>0</v>
      </c>
      <c r="AL1283" s="322">
        <f>IFERROR(Calculations[[#This Row],[Data Quality Score]]*Calculations[[#This Row],[Total Kg]],0)</f>
        <v>0</v>
      </c>
    </row>
    <row r="1284" spans="1:38" x14ac:dyDescent="0.3">
      <c r="A1284" s="6">
        <f>IFERROR(MaterialsBoQ[[#This Row],[Scope Element]],0)</f>
        <v>0</v>
      </c>
      <c r="B1284" t="str">
        <f>IFERROR(MaterialsBoQ[[#This Row],[Material ]],"")</f>
        <v/>
      </c>
      <c r="C1284" t="str">
        <f>IFERROR(MaterialsBoQ[[#This Row],[Unit]],"")</f>
        <v/>
      </c>
      <c r="D1284" s="322">
        <f>IFERROR(MaterialsBoQ[[#This Row],[Number]],0)</f>
        <v>0</v>
      </c>
      <c r="E1284" s="322">
        <f>IFERROR(MaterialsBoQ[[#This Row],[Kg per unit]],0)</f>
        <v>0</v>
      </c>
      <c r="F1284" s="322">
        <f>IFERROR(Calculations[[#This Row],[Number]]*Calculations[[#This Row],[Conversion factor]],0)</f>
        <v>0</v>
      </c>
      <c r="G1284" s="322">
        <f>IFERROR(VLOOKUP(Calculations[[#This Row],[Material (choose from dropdown]],MaterialData[#All],7,FALSE),0)</f>
        <v>0</v>
      </c>
      <c r="H1284" s="322">
        <f>Calculations[[#This Row],[Total Kg]]*Calculations[[#This Row],[Carbon Factor]]</f>
        <v>0</v>
      </c>
      <c r="I1284" t="str">
        <f>IFERROR(VLOOKUP(Calculations[[#This Row],[Material (choose from dropdown]],MaterialData[#All],2,FALSE),"")</f>
        <v/>
      </c>
      <c r="J1284" s="322">
        <f>IFERROR(((VLOOKUP(Calculations[[#This Row],[TransportSource]],TransportDistance[],2,FALSE)*'Stage assumptions'!$C$11)+VLOOKUP(Calculations[[#This Row],[TransportSource]],TransportDistance[],3,FALSE)*'Stage assumptions'!$C$12)*Calculations[[#This Row],[Total Kg]],0)</f>
        <v>0</v>
      </c>
      <c r="K1284">
        <f>IFERROR(VLOOKUP(Calculations[[#This Row],[Material (choose from dropdown]], MaterialData[#All],3, FALSE),0)</f>
        <v>0</v>
      </c>
      <c r="L1284" s="322">
        <f>IFERROR(VLOOKUP(Calculations[[#This Row],[A5type]],A5WastageRate[#All],2,FALSE)*Calculations[[#This Row],[A1-3]],0)</f>
        <v>0</v>
      </c>
      <c r="N1284">
        <f>IFERROR(ROUNDUP(50/VLOOKUP(Calculations[[#This Row],[Scope Element]],B4referenceServiceLife[[Tier 2 element]:[Default Service Life]],2, FALSE)-1,0),0)</f>
        <v>0</v>
      </c>
      <c r="O1284" s="322">
        <f>IFERROR((Calculations[[#This Row],[A1-3]]+Calculations[[#This Row],[A4]]+Calculations[[#This Row],[A5]]+Calculations[[#This Row],[C2 total]]+Calculations[[#This Row],[C3 total]]+Calculations[[#This Row],[C4 total]])*Calculations[[#This Row],[Replacements]],0)</f>
        <v>0</v>
      </c>
      <c r="S1284" t="str">
        <f>IFERROR(VLOOKUP(Calculations[[#This Row],[Material (choose from dropdown]],MaterialData[#All],4,FALSE),"")</f>
        <v/>
      </c>
      <c r="T1284" s="322" cm="1">
        <f t="array" ref="T1284">IFERROR(VLOOKUP(Calculations[[#This Row],[Waste 1]],WasteScenario[#All],2,FALSE)*'Stage assumptions'!$C$225*WasteTransportMethod[Emissions Factor
kgCO2e/kg.km]*Calculations[[#This Row],[Total Kg]],0)</f>
        <v>0</v>
      </c>
      <c r="U1284" s="322" cm="1">
        <f t="array" ref="U1284">IFERROR(VLOOKUP(Calculations[[#This Row],[Waste 1]],WasteScenario[#All],3,FALSE)*'Stage assumptions'!$C$224*WasteTransportMethod[Emissions Factor
kgCO2e/kg.km]*Calculations[[#This Row],[Total Kg]],0)</f>
        <v>0</v>
      </c>
      <c r="V1284" s="322" cm="1">
        <f t="array" ref="V1284">IFERROR(VLOOKUP(Calculations[[#This Row],[Waste 1]],WasteScenario[#All],4,FALSE)*'Stage assumptions'!$C$223*WasteTransportMethod[Emissions Factor
kgCO2e/kg.km]*Calculations[[#This Row],[Total Kg]],0)</f>
        <v>0</v>
      </c>
      <c r="W1284" s="322" cm="1">
        <f t="array" ref="W1284">IFERROR(VLOOKUP(Calculations[[#This Row],[Waste 1]],WasteScenario[#All],5,FALSE)*'Stage assumptions'!$C$226*WasteTransportMethod[Emissions Factor
kgCO2e/kg.km]*Calculations[[#This Row],[Total Kg]],0)</f>
        <v>0</v>
      </c>
      <c r="X1284" s="322">
        <f>SUM(Calculations[[#This Row],[C2 Recycle]:[C2 Reuse]])</f>
        <v>0</v>
      </c>
      <c r="Y1284" t="str">
        <f>IFERROR(VLOOKUP(Calculations[[#This Row],[Material (choose from dropdown]],MaterialData[#All],5,FALSE),"")</f>
        <v/>
      </c>
      <c r="Z1284" s="322">
        <f>IFERROR(((VLOOKUP(Calculations[[#This Row],[Waste type 2]],WasteDisposalEmissions[#All],2,FALSE))*Calculations[[#This Row],[Total Kg]])*VLOOKUP(Calculations[[#This Row],[Waste 1]],WasteScenario[#All],2,FALSE),0)</f>
        <v>0</v>
      </c>
      <c r="AA1284" s="322">
        <f>IFERROR((VLOOKUP(Calculations[[#This Row],[Waste type 2]],WasteDisposalEmissions[#All],3,FALSE))*Calculations[[#This Row],[Total Kg]]*VLOOKUP(Calculations[[#This Row],[Waste 1]],WasteScenario[#All],3,FALSE),0)</f>
        <v>0</v>
      </c>
      <c r="AB1284" s="322">
        <f>SUM(Calculations[[#This Row],[C3 recyc]:[C3 incin]])</f>
        <v>0</v>
      </c>
      <c r="AC1284" s="334">
        <f>IFERROR((VLOOKUP(Calculations[[#This Row],[Waste type 2]],WasteLandfillEmissions[#All],2,FALSE))*Calculations[[#This Row],[Total Kg]]*VLOOKUP(Calculations[[#This Row],[Waste 1]],WasteScenario[#All],4,FALSE),0)</f>
        <v>0</v>
      </c>
      <c r="AD1284" s="322">
        <f>IFERROR((VLOOKUP(Calculations[[#This Row],[Waste type 2]],WasteLandfillEmissions[#All],3,FALSE))*Calculations[[#This Row],[Total Kg]]*VLOOKUP(Calculations[[#This Row],[Waste 1]],WasteScenario[#All],4,FALSE),0)</f>
        <v>0</v>
      </c>
      <c r="AE1284" s="322">
        <f>SUM(Calculations[[#This Row],[C4 landfill]:[C4 re-use]])</f>
        <v>0</v>
      </c>
      <c r="AF1284" s="322">
        <f>IFERROR(VLOOKUP(Calculations[[#This Row],[Material (choose from dropdown]],MaterialData[#All],8,FALSE),0)</f>
        <v>0</v>
      </c>
      <c r="AG1284" s="322">
        <f>IFERROR(Calculations[[#This Row],[Total Kg]]*Calculations[[#This Row],[Seq factor]],0)</f>
        <v>0</v>
      </c>
      <c r="AI1284" s="322">
        <f>Calculations[[#This Row],[A1-3]]+Calculations[[#This Row],[A4]]+Calculations[[#This Row],[A5]]+Calculations[[#This Row],[B4]]+Calculations[[#This Row],[C2 total]]+Calculations[[#This Row],[C3 total]]+Calculations[[#This Row],[C4 total]]</f>
        <v>0</v>
      </c>
      <c r="AJ1284" s="2">
        <f>IFERROR(VLOOKUP(Calculations[[#This Row],[Material (choose from dropdown]],MaterialData[[#Headers],[#Data]],9,FALSE),0)</f>
        <v>0</v>
      </c>
      <c r="AK1284" s="4">
        <f>IFERROR(VLOOKUP(Calculations[[#This Row],[Material (choose from dropdown]],MaterialData[[#Headers],[#Data]],10,FALSE),0)</f>
        <v>0</v>
      </c>
      <c r="AL1284" s="322">
        <f>IFERROR(Calculations[[#This Row],[Data Quality Score]]*Calculations[[#This Row],[Total Kg]],0)</f>
        <v>0</v>
      </c>
    </row>
    <row r="1285" spans="1:38" x14ac:dyDescent="0.3">
      <c r="A1285" s="6">
        <f>IFERROR(MaterialsBoQ[[#This Row],[Scope Element]],0)</f>
        <v>0</v>
      </c>
      <c r="B1285" t="str">
        <f>IFERROR(MaterialsBoQ[[#This Row],[Material ]],"")</f>
        <v/>
      </c>
      <c r="C1285" t="str">
        <f>IFERROR(MaterialsBoQ[[#This Row],[Unit]],"")</f>
        <v/>
      </c>
      <c r="D1285" s="322">
        <f>IFERROR(MaterialsBoQ[[#This Row],[Number]],0)</f>
        <v>0</v>
      </c>
      <c r="E1285" s="322">
        <f>IFERROR(MaterialsBoQ[[#This Row],[Kg per unit]],0)</f>
        <v>0</v>
      </c>
      <c r="F1285" s="322">
        <f>IFERROR(Calculations[[#This Row],[Number]]*Calculations[[#This Row],[Conversion factor]],0)</f>
        <v>0</v>
      </c>
      <c r="G1285" s="322">
        <f>IFERROR(VLOOKUP(Calculations[[#This Row],[Material (choose from dropdown]],MaterialData[#All],7,FALSE),0)</f>
        <v>0</v>
      </c>
      <c r="H1285" s="322">
        <f>Calculations[[#This Row],[Total Kg]]*Calculations[[#This Row],[Carbon Factor]]</f>
        <v>0</v>
      </c>
      <c r="I1285" t="str">
        <f>IFERROR(VLOOKUP(Calculations[[#This Row],[Material (choose from dropdown]],MaterialData[#All],2,FALSE),"")</f>
        <v/>
      </c>
      <c r="J1285" s="322">
        <f>IFERROR(((VLOOKUP(Calculations[[#This Row],[TransportSource]],TransportDistance[],2,FALSE)*'Stage assumptions'!$C$11)+VLOOKUP(Calculations[[#This Row],[TransportSource]],TransportDistance[],3,FALSE)*'Stage assumptions'!$C$12)*Calculations[[#This Row],[Total Kg]],0)</f>
        <v>0</v>
      </c>
      <c r="K1285">
        <f>IFERROR(VLOOKUP(Calculations[[#This Row],[Material (choose from dropdown]], MaterialData[#All],3, FALSE),0)</f>
        <v>0</v>
      </c>
      <c r="L1285" s="322">
        <f>IFERROR(VLOOKUP(Calculations[[#This Row],[A5type]],A5WastageRate[#All],2,FALSE)*Calculations[[#This Row],[A1-3]],0)</f>
        <v>0</v>
      </c>
      <c r="N1285">
        <f>IFERROR(ROUNDUP(50/VLOOKUP(Calculations[[#This Row],[Scope Element]],B4referenceServiceLife[[Tier 2 element]:[Default Service Life]],2, FALSE)-1,0),0)</f>
        <v>0</v>
      </c>
      <c r="O1285" s="322">
        <f>IFERROR((Calculations[[#This Row],[A1-3]]+Calculations[[#This Row],[A4]]+Calculations[[#This Row],[A5]]+Calculations[[#This Row],[C2 total]]+Calculations[[#This Row],[C3 total]]+Calculations[[#This Row],[C4 total]])*Calculations[[#This Row],[Replacements]],0)</f>
        <v>0</v>
      </c>
      <c r="S1285" t="str">
        <f>IFERROR(VLOOKUP(Calculations[[#This Row],[Material (choose from dropdown]],MaterialData[#All],4,FALSE),"")</f>
        <v/>
      </c>
      <c r="T1285" s="322" cm="1">
        <f t="array" ref="T1285">IFERROR(VLOOKUP(Calculations[[#This Row],[Waste 1]],WasteScenario[#All],2,FALSE)*'Stage assumptions'!$C$225*WasteTransportMethod[Emissions Factor
kgCO2e/kg.km]*Calculations[[#This Row],[Total Kg]],0)</f>
        <v>0</v>
      </c>
      <c r="U1285" s="322" cm="1">
        <f t="array" ref="U1285">IFERROR(VLOOKUP(Calculations[[#This Row],[Waste 1]],WasteScenario[#All],3,FALSE)*'Stage assumptions'!$C$224*WasteTransportMethod[Emissions Factor
kgCO2e/kg.km]*Calculations[[#This Row],[Total Kg]],0)</f>
        <v>0</v>
      </c>
      <c r="V1285" s="322" cm="1">
        <f t="array" ref="V1285">IFERROR(VLOOKUP(Calculations[[#This Row],[Waste 1]],WasteScenario[#All],4,FALSE)*'Stage assumptions'!$C$223*WasteTransportMethod[Emissions Factor
kgCO2e/kg.km]*Calculations[[#This Row],[Total Kg]],0)</f>
        <v>0</v>
      </c>
      <c r="W1285" s="322" cm="1">
        <f t="array" ref="W1285">IFERROR(VLOOKUP(Calculations[[#This Row],[Waste 1]],WasteScenario[#All],5,FALSE)*'Stage assumptions'!$C$226*WasteTransportMethod[Emissions Factor
kgCO2e/kg.km]*Calculations[[#This Row],[Total Kg]],0)</f>
        <v>0</v>
      </c>
      <c r="X1285" s="322">
        <f>SUM(Calculations[[#This Row],[C2 Recycle]:[C2 Reuse]])</f>
        <v>0</v>
      </c>
      <c r="Y1285" t="str">
        <f>IFERROR(VLOOKUP(Calculations[[#This Row],[Material (choose from dropdown]],MaterialData[#All],5,FALSE),"")</f>
        <v/>
      </c>
      <c r="Z1285" s="322">
        <f>IFERROR(((VLOOKUP(Calculations[[#This Row],[Waste type 2]],WasteDisposalEmissions[#All],2,FALSE))*Calculations[[#This Row],[Total Kg]])*VLOOKUP(Calculations[[#This Row],[Waste 1]],WasteScenario[#All],2,FALSE),0)</f>
        <v>0</v>
      </c>
      <c r="AA1285" s="322">
        <f>IFERROR((VLOOKUP(Calculations[[#This Row],[Waste type 2]],WasteDisposalEmissions[#All],3,FALSE))*Calculations[[#This Row],[Total Kg]]*VLOOKUP(Calculations[[#This Row],[Waste 1]],WasteScenario[#All],3,FALSE),0)</f>
        <v>0</v>
      </c>
      <c r="AB1285" s="322">
        <f>SUM(Calculations[[#This Row],[C3 recyc]:[C3 incin]])</f>
        <v>0</v>
      </c>
      <c r="AC1285" s="334">
        <f>IFERROR((VLOOKUP(Calculations[[#This Row],[Waste type 2]],WasteLandfillEmissions[#All],2,FALSE))*Calculations[[#This Row],[Total Kg]]*VLOOKUP(Calculations[[#This Row],[Waste 1]],WasteScenario[#All],4,FALSE),0)</f>
        <v>0</v>
      </c>
      <c r="AD1285" s="322">
        <f>IFERROR((VLOOKUP(Calculations[[#This Row],[Waste type 2]],WasteLandfillEmissions[#All],3,FALSE))*Calculations[[#This Row],[Total Kg]]*VLOOKUP(Calculations[[#This Row],[Waste 1]],WasteScenario[#All],4,FALSE),0)</f>
        <v>0</v>
      </c>
      <c r="AE1285" s="322">
        <f>SUM(Calculations[[#This Row],[C4 landfill]:[C4 re-use]])</f>
        <v>0</v>
      </c>
      <c r="AF1285" s="322">
        <f>IFERROR(VLOOKUP(Calculations[[#This Row],[Material (choose from dropdown]],MaterialData[#All],8,FALSE),0)</f>
        <v>0</v>
      </c>
      <c r="AG1285" s="322">
        <f>IFERROR(Calculations[[#This Row],[Total Kg]]*Calculations[[#This Row],[Seq factor]],0)</f>
        <v>0</v>
      </c>
      <c r="AI1285" s="322">
        <f>Calculations[[#This Row],[A1-3]]+Calculations[[#This Row],[A4]]+Calculations[[#This Row],[A5]]+Calculations[[#This Row],[B4]]+Calculations[[#This Row],[C2 total]]+Calculations[[#This Row],[C3 total]]+Calculations[[#This Row],[C4 total]]</f>
        <v>0</v>
      </c>
      <c r="AJ1285" s="2">
        <f>IFERROR(VLOOKUP(Calculations[[#This Row],[Material (choose from dropdown]],MaterialData[[#Headers],[#Data]],9,FALSE),0)</f>
        <v>0</v>
      </c>
      <c r="AK1285" s="4">
        <f>IFERROR(VLOOKUP(Calculations[[#This Row],[Material (choose from dropdown]],MaterialData[[#Headers],[#Data]],10,FALSE),0)</f>
        <v>0</v>
      </c>
      <c r="AL1285" s="322">
        <f>IFERROR(Calculations[[#This Row],[Data Quality Score]]*Calculations[[#This Row],[Total Kg]],0)</f>
        <v>0</v>
      </c>
    </row>
    <row r="1286" spans="1:38" x14ac:dyDescent="0.3">
      <c r="A1286" s="6">
        <f>IFERROR(MaterialsBoQ[[#This Row],[Scope Element]],0)</f>
        <v>0</v>
      </c>
      <c r="B1286" t="str">
        <f>IFERROR(MaterialsBoQ[[#This Row],[Material ]],"")</f>
        <v/>
      </c>
      <c r="C1286" t="str">
        <f>IFERROR(MaterialsBoQ[[#This Row],[Unit]],"")</f>
        <v/>
      </c>
      <c r="D1286" s="322">
        <f>IFERROR(MaterialsBoQ[[#This Row],[Number]],0)</f>
        <v>0</v>
      </c>
      <c r="E1286" s="322">
        <f>IFERROR(MaterialsBoQ[[#This Row],[Kg per unit]],0)</f>
        <v>0</v>
      </c>
      <c r="F1286" s="322">
        <f>IFERROR(Calculations[[#This Row],[Number]]*Calculations[[#This Row],[Conversion factor]],0)</f>
        <v>0</v>
      </c>
      <c r="G1286" s="322">
        <f>IFERROR(VLOOKUP(Calculations[[#This Row],[Material (choose from dropdown]],MaterialData[#All],7,FALSE),0)</f>
        <v>0</v>
      </c>
      <c r="H1286" s="322">
        <f>Calculations[[#This Row],[Total Kg]]*Calculations[[#This Row],[Carbon Factor]]</f>
        <v>0</v>
      </c>
      <c r="I1286" t="str">
        <f>IFERROR(VLOOKUP(Calculations[[#This Row],[Material (choose from dropdown]],MaterialData[#All],2,FALSE),"")</f>
        <v/>
      </c>
      <c r="J1286" s="322">
        <f>IFERROR(((VLOOKUP(Calculations[[#This Row],[TransportSource]],TransportDistance[],2,FALSE)*'Stage assumptions'!$C$11)+VLOOKUP(Calculations[[#This Row],[TransportSource]],TransportDistance[],3,FALSE)*'Stage assumptions'!$C$12)*Calculations[[#This Row],[Total Kg]],0)</f>
        <v>0</v>
      </c>
      <c r="K1286">
        <f>IFERROR(VLOOKUP(Calculations[[#This Row],[Material (choose from dropdown]], MaterialData[#All],3, FALSE),0)</f>
        <v>0</v>
      </c>
      <c r="L1286" s="322">
        <f>IFERROR(VLOOKUP(Calculations[[#This Row],[A5type]],A5WastageRate[#All],2,FALSE)*Calculations[[#This Row],[A1-3]],0)</f>
        <v>0</v>
      </c>
      <c r="N1286">
        <f>IFERROR(ROUNDUP(50/VLOOKUP(Calculations[[#This Row],[Scope Element]],B4referenceServiceLife[[Tier 2 element]:[Default Service Life]],2, FALSE)-1,0),0)</f>
        <v>0</v>
      </c>
      <c r="O1286" s="322">
        <f>IFERROR((Calculations[[#This Row],[A1-3]]+Calculations[[#This Row],[A4]]+Calculations[[#This Row],[A5]]+Calculations[[#This Row],[C2 total]]+Calculations[[#This Row],[C3 total]]+Calculations[[#This Row],[C4 total]])*Calculations[[#This Row],[Replacements]],0)</f>
        <v>0</v>
      </c>
      <c r="S1286" t="str">
        <f>IFERROR(VLOOKUP(Calculations[[#This Row],[Material (choose from dropdown]],MaterialData[#All],4,FALSE),"")</f>
        <v/>
      </c>
      <c r="T1286" s="322" cm="1">
        <f t="array" ref="T1286">IFERROR(VLOOKUP(Calculations[[#This Row],[Waste 1]],WasteScenario[#All],2,FALSE)*'Stage assumptions'!$C$225*WasteTransportMethod[Emissions Factor
kgCO2e/kg.km]*Calculations[[#This Row],[Total Kg]],0)</f>
        <v>0</v>
      </c>
      <c r="U1286" s="322" cm="1">
        <f t="array" ref="U1286">IFERROR(VLOOKUP(Calculations[[#This Row],[Waste 1]],WasteScenario[#All],3,FALSE)*'Stage assumptions'!$C$224*WasteTransportMethod[Emissions Factor
kgCO2e/kg.km]*Calculations[[#This Row],[Total Kg]],0)</f>
        <v>0</v>
      </c>
      <c r="V1286" s="322" cm="1">
        <f t="array" ref="V1286">IFERROR(VLOOKUP(Calculations[[#This Row],[Waste 1]],WasteScenario[#All],4,FALSE)*'Stage assumptions'!$C$223*WasteTransportMethod[Emissions Factor
kgCO2e/kg.km]*Calculations[[#This Row],[Total Kg]],0)</f>
        <v>0</v>
      </c>
      <c r="W1286" s="322" cm="1">
        <f t="array" ref="W1286">IFERROR(VLOOKUP(Calculations[[#This Row],[Waste 1]],WasteScenario[#All],5,FALSE)*'Stage assumptions'!$C$226*WasteTransportMethod[Emissions Factor
kgCO2e/kg.km]*Calculations[[#This Row],[Total Kg]],0)</f>
        <v>0</v>
      </c>
      <c r="X1286" s="322">
        <f>SUM(Calculations[[#This Row],[C2 Recycle]:[C2 Reuse]])</f>
        <v>0</v>
      </c>
      <c r="Y1286" t="str">
        <f>IFERROR(VLOOKUP(Calculations[[#This Row],[Material (choose from dropdown]],MaterialData[#All],5,FALSE),"")</f>
        <v/>
      </c>
      <c r="Z1286" s="322">
        <f>IFERROR(((VLOOKUP(Calculations[[#This Row],[Waste type 2]],WasteDisposalEmissions[#All],2,FALSE))*Calculations[[#This Row],[Total Kg]])*VLOOKUP(Calculations[[#This Row],[Waste 1]],WasteScenario[#All],2,FALSE),0)</f>
        <v>0</v>
      </c>
      <c r="AA1286" s="322">
        <f>IFERROR((VLOOKUP(Calculations[[#This Row],[Waste type 2]],WasteDisposalEmissions[#All],3,FALSE))*Calculations[[#This Row],[Total Kg]]*VLOOKUP(Calculations[[#This Row],[Waste 1]],WasteScenario[#All],3,FALSE),0)</f>
        <v>0</v>
      </c>
      <c r="AB1286" s="322">
        <f>SUM(Calculations[[#This Row],[C3 recyc]:[C3 incin]])</f>
        <v>0</v>
      </c>
      <c r="AC1286" s="334">
        <f>IFERROR((VLOOKUP(Calculations[[#This Row],[Waste type 2]],WasteLandfillEmissions[#All],2,FALSE))*Calculations[[#This Row],[Total Kg]]*VLOOKUP(Calculations[[#This Row],[Waste 1]],WasteScenario[#All],4,FALSE),0)</f>
        <v>0</v>
      </c>
      <c r="AD1286" s="322">
        <f>IFERROR((VLOOKUP(Calculations[[#This Row],[Waste type 2]],WasteLandfillEmissions[#All],3,FALSE))*Calculations[[#This Row],[Total Kg]]*VLOOKUP(Calculations[[#This Row],[Waste 1]],WasteScenario[#All],4,FALSE),0)</f>
        <v>0</v>
      </c>
      <c r="AE1286" s="322">
        <f>SUM(Calculations[[#This Row],[C4 landfill]:[C4 re-use]])</f>
        <v>0</v>
      </c>
      <c r="AF1286" s="322">
        <f>IFERROR(VLOOKUP(Calculations[[#This Row],[Material (choose from dropdown]],MaterialData[#All],8,FALSE),0)</f>
        <v>0</v>
      </c>
      <c r="AG1286" s="322">
        <f>IFERROR(Calculations[[#This Row],[Total Kg]]*Calculations[[#This Row],[Seq factor]],0)</f>
        <v>0</v>
      </c>
      <c r="AI1286" s="322">
        <f>Calculations[[#This Row],[A1-3]]+Calculations[[#This Row],[A4]]+Calculations[[#This Row],[A5]]+Calculations[[#This Row],[B4]]+Calculations[[#This Row],[C2 total]]+Calculations[[#This Row],[C3 total]]+Calculations[[#This Row],[C4 total]]</f>
        <v>0</v>
      </c>
      <c r="AJ1286" s="2">
        <f>IFERROR(VLOOKUP(Calculations[[#This Row],[Material (choose from dropdown]],MaterialData[[#Headers],[#Data]],9,FALSE),0)</f>
        <v>0</v>
      </c>
      <c r="AK1286" s="4">
        <f>IFERROR(VLOOKUP(Calculations[[#This Row],[Material (choose from dropdown]],MaterialData[[#Headers],[#Data]],10,FALSE),0)</f>
        <v>0</v>
      </c>
      <c r="AL1286" s="322">
        <f>IFERROR(Calculations[[#This Row],[Data Quality Score]]*Calculations[[#This Row],[Total Kg]],0)</f>
        <v>0</v>
      </c>
    </row>
    <row r="1287" spans="1:38" x14ac:dyDescent="0.3">
      <c r="A1287" s="6">
        <f>IFERROR(MaterialsBoQ[[#This Row],[Scope Element]],0)</f>
        <v>0</v>
      </c>
      <c r="B1287" t="str">
        <f>IFERROR(MaterialsBoQ[[#This Row],[Material ]],"")</f>
        <v/>
      </c>
      <c r="C1287" t="str">
        <f>IFERROR(MaterialsBoQ[[#This Row],[Unit]],"")</f>
        <v/>
      </c>
      <c r="D1287" s="322">
        <f>IFERROR(MaterialsBoQ[[#This Row],[Number]],0)</f>
        <v>0</v>
      </c>
      <c r="E1287" s="322">
        <f>IFERROR(MaterialsBoQ[[#This Row],[Kg per unit]],0)</f>
        <v>0</v>
      </c>
      <c r="F1287" s="322">
        <f>IFERROR(Calculations[[#This Row],[Number]]*Calculations[[#This Row],[Conversion factor]],0)</f>
        <v>0</v>
      </c>
      <c r="G1287" s="322">
        <f>IFERROR(VLOOKUP(Calculations[[#This Row],[Material (choose from dropdown]],MaterialData[#All],7,FALSE),0)</f>
        <v>0</v>
      </c>
      <c r="H1287" s="322">
        <f>Calculations[[#This Row],[Total Kg]]*Calculations[[#This Row],[Carbon Factor]]</f>
        <v>0</v>
      </c>
      <c r="I1287" t="str">
        <f>IFERROR(VLOOKUP(Calculations[[#This Row],[Material (choose from dropdown]],MaterialData[#All],2,FALSE),"")</f>
        <v/>
      </c>
      <c r="J1287" s="322">
        <f>IFERROR(((VLOOKUP(Calculations[[#This Row],[TransportSource]],TransportDistance[],2,FALSE)*'Stage assumptions'!$C$11)+VLOOKUP(Calculations[[#This Row],[TransportSource]],TransportDistance[],3,FALSE)*'Stage assumptions'!$C$12)*Calculations[[#This Row],[Total Kg]],0)</f>
        <v>0</v>
      </c>
      <c r="K1287">
        <f>IFERROR(VLOOKUP(Calculations[[#This Row],[Material (choose from dropdown]], MaterialData[#All],3, FALSE),0)</f>
        <v>0</v>
      </c>
      <c r="L1287" s="322">
        <f>IFERROR(VLOOKUP(Calculations[[#This Row],[A5type]],A5WastageRate[#All],2,FALSE)*Calculations[[#This Row],[A1-3]],0)</f>
        <v>0</v>
      </c>
      <c r="N1287">
        <f>IFERROR(ROUNDUP(50/VLOOKUP(Calculations[[#This Row],[Scope Element]],B4referenceServiceLife[[Tier 2 element]:[Default Service Life]],2, FALSE)-1,0),0)</f>
        <v>0</v>
      </c>
      <c r="O1287" s="322">
        <f>IFERROR((Calculations[[#This Row],[A1-3]]+Calculations[[#This Row],[A4]]+Calculations[[#This Row],[A5]]+Calculations[[#This Row],[C2 total]]+Calculations[[#This Row],[C3 total]]+Calculations[[#This Row],[C4 total]])*Calculations[[#This Row],[Replacements]],0)</f>
        <v>0</v>
      </c>
      <c r="S1287" t="str">
        <f>IFERROR(VLOOKUP(Calculations[[#This Row],[Material (choose from dropdown]],MaterialData[#All],4,FALSE),"")</f>
        <v/>
      </c>
      <c r="T1287" s="322" cm="1">
        <f t="array" ref="T1287">IFERROR(VLOOKUP(Calculations[[#This Row],[Waste 1]],WasteScenario[#All],2,FALSE)*'Stage assumptions'!$C$225*WasteTransportMethod[Emissions Factor
kgCO2e/kg.km]*Calculations[[#This Row],[Total Kg]],0)</f>
        <v>0</v>
      </c>
      <c r="U1287" s="322" cm="1">
        <f t="array" ref="U1287">IFERROR(VLOOKUP(Calculations[[#This Row],[Waste 1]],WasteScenario[#All],3,FALSE)*'Stage assumptions'!$C$224*WasteTransportMethod[Emissions Factor
kgCO2e/kg.km]*Calculations[[#This Row],[Total Kg]],0)</f>
        <v>0</v>
      </c>
      <c r="V1287" s="322" cm="1">
        <f t="array" ref="V1287">IFERROR(VLOOKUP(Calculations[[#This Row],[Waste 1]],WasteScenario[#All],4,FALSE)*'Stage assumptions'!$C$223*WasteTransportMethod[Emissions Factor
kgCO2e/kg.km]*Calculations[[#This Row],[Total Kg]],0)</f>
        <v>0</v>
      </c>
      <c r="W1287" s="322" cm="1">
        <f t="array" ref="W1287">IFERROR(VLOOKUP(Calculations[[#This Row],[Waste 1]],WasteScenario[#All],5,FALSE)*'Stage assumptions'!$C$226*WasteTransportMethod[Emissions Factor
kgCO2e/kg.km]*Calculations[[#This Row],[Total Kg]],0)</f>
        <v>0</v>
      </c>
      <c r="X1287" s="322">
        <f>SUM(Calculations[[#This Row],[C2 Recycle]:[C2 Reuse]])</f>
        <v>0</v>
      </c>
      <c r="Y1287" t="str">
        <f>IFERROR(VLOOKUP(Calculations[[#This Row],[Material (choose from dropdown]],MaterialData[#All],5,FALSE),"")</f>
        <v/>
      </c>
      <c r="Z1287" s="322">
        <f>IFERROR(((VLOOKUP(Calculations[[#This Row],[Waste type 2]],WasteDisposalEmissions[#All],2,FALSE))*Calculations[[#This Row],[Total Kg]])*VLOOKUP(Calculations[[#This Row],[Waste 1]],WasteScenario[#All],2,FALSE),0)</f>
        <v>0</v>
      </c>
      <c r="AA1287" s="322">
        <f>IFERROR((VLOOKUP(Calculations[[#This Row],[Waste type 2]],WasteDisposalEmissions[#All],3,FALSE))*Calculations[[#This Row],[Total Kg]]*VLOOKUP(Calculations[[#This Row],[Waste 1]],WasteScenario[#All],3,FALSE),0)</f>
        <v>0</v>
      </c>
      <c r="AB1287" s="322">
        <f>SUM(Calculations[[#This Row],[C3 recyc]:[C3 incin]])</f>
        <v>0</v>
      </c>
      <c r="AC1287" s="334">
        <f>IFERROR((VLOOKUP(Calculations[[#This Row],[Waste type 2]],WasteLandfillEmissions[#All],2,FALSE))*Calculations[[#This Row],[Total Kg]]*VLOOKUP(Calculations[[#This Row],[Waste 1]],WasteScenario[#All],4,FALSE),0)</f>
        <v>0</v>
      </c>
      <c r="AD1287" s="322">
        <f>IFERROR((VLOOKUP(Calculations[[#This Row],[Waste type 2]],WasteLandfillEmissions[#All],3,FALSE))*Calculations[[#This Row],[Total Kg]]*VLOOKUP(Calculations[[#This Row],[Waste 1]],WasteScenario[#All],4,FALSE),0)</f>
        <v>0</v>
      </c>
      <c r="AE1287" s="322">
        <f>SUM(Calculations[[#This Row],[C4 landfill]:[C4 re-use]])</f>
        <v>0</v>
      </c>
      <c r="AF1287" s="322">
        <f>IFERROR(VLOOKUP(Calculations[[#This Row],[Material (choose from dropdown]],MaterialData[#All],8,FALSE),0)</f>
        <v>0</v>
      </c>
      <c r="AG1287" s="322">
        <f>IFERROR(Calculations[[#This Row],[Total Kg]]*Calculations[[#This Row],[Seq factor]],0)</f>
        <v>0</v>
      </c>
      <c r="AI1287" s="322">
        <f>Calculations[[#This Row],[A1-3]]+Calculations[[#This Row],[A4]]+Calculations[[#This Row],[A5]]+Calculations[[#This Row],[B4]]+Calculations[[#This Row],[C2 total]]+Calculations[[#This Row],[C3 total]]+Calculations[[#This Row],[C4 total]]</f>
        <v>0</v>
      </c>
      <c r="AJ1287" s="2">
        <f>IFERROR(VLOOKUP(Calculations[[#This Row],[Material (choose from dropdown]],MaterialData[[#Headers],[#Data]],9,FALSE),0)</f>
        <v>0</v>
      </c>
      <c r="AK1287" s="4">
        <f>IFERROR(VLOOKUP(Calculations[[#This Row],[Material (choose from dropdown]],MaterialData[[#Headers],[#Data]],10,FALSE),0)</f>
        <v>0</v>
      </c>
      <c r="AL1287" s="322">
        <f>IFERROR(Calculations[[#This Row],[Data Quality Score]]*Calculations[[#This Row],[Total Kg]],0)</f>
        <v>0</v>
      </c>
    </row>
    <row r="1288" spans="1:38" x14ac:dyDescent="0.3">
      <c r="A1288" s="6">
        <f>IFERROR(MaterialsBoQ[[#This Row],[Scope Element]],0)</f>
        <v>0</v>
      </c>
      <c r="B1288" t="str">
        <f>IFERROR(MaterialsBoQ[[#This Row],[Material ]],"")</f>
        <v/>
      </c>
      <c r="C1288" t="str">
        <f>IFERROR(MaterialsBoQ[[#This Row],[Unit]],"")</f>
        <v/>
      </c>
      <c r="D1288" s="322">
        <f>IFERROR(MaterialsBoQ[[#This Row],[Number]],0)</f>
        <v>0</v>
      </c>
      <c r="E1288" s="322">
        <f>IFERROR(MaterialsBoQ[[#This Row],[Kg per unit]],0)</f>
        <v>0</v>
      </c>
      <c r="F1288" s="322">
        <f>IFERROR(Calculations[[#This Row],[Number]]*Calculations[[#This Row],[Conversion factor]],0)</f>
        <v>0</v>
      </c>
      <c r="G1288" s="322">
        <f>IFERROR(VLOOKUP(Calculations[[#This Row],[Material (choose from dropdown]],MaterialData[#All],7,FALSE),0)</f>
        <v>0</v>
      </c>
      <c r="H1288" s="322">
        <f>Calculations[[#This Row],[Total Kg]]*Calculations[[#This Row],[Carbon Factor]]</f>
        <v>0</v>
      </c>
      <c r="I1288" t="str">
        <f>IFERROR(VLOOKUP(Calculations[[#This Row],[Material (choose from dropdown]],MaterialData[#All],2,FALSE),"")</f>
        <v/>
      </c>
      <c r="J1288" s="322">
        <f>IFERROR(((VLOOKUP(Calculations[[#This Row],[TransportSource]],TransportDistance[],2,FALSE)*'Stage assumptions'!$C$11)+VLOOKUP(Calculations[[#This Row],[TransportSource]],TransportDistance[],3,FALSE)*'Stage assumptions'!$C$12)*Calculations[[#This Row],[Total Kg]],0)</f>
        <v>0</v>
      </c>
      <c r="K1288">
        <f>IFERROR(VLOOKUP(Calculations[[#This Row],[Material (choose from dropdown]], MaterialData[#All],3, FALSE),0)</f>
        <v>0</v>
      </c>
      <c r="L1288" s="322">
        <f>IFERROR(VLOOKUP(Calculations[[#This Row],[A5type]],A5WastageRate[#All],2,FALSE)*Calculations[[#This Row],[A1-3]],0)</f>
        <v>0</v>
      </c>
      <c r="N1288">
        <f>IFERROR(ROUNDUP(50/VLOOKUP(Calculations[[#This Row],[Scope Element]],B4referenceServiceLife[[Tier 2 element]:[Default Service Life]],2, FALSE)-1,0),0)</f>
        <v>0</v>
      </c>
      <c r="O1288" s="322">
        <f>IFERROR((Calculations[[#This Row],[A1-3]]+Calculations[[#This Row],[A4]]+Calculations[[#This Row],[A5]]+Calculations[[#This Row],[C2 total]]+Calculations[[#This Row],[C3 total]]+Calculations[[#This Row],[C4 total]])*Calculations[[#This Row],[Replacements]],0)</f>
        <v>0</v>
      </c>
      <c r="S1288" t="str">
        <f>IFERROR(VLOOKUP(Calculations[[#This Row],[Material (choose from dropdown]],MaterialData[#All],4,FALSE),"")</f>
        <v/>
      </c>
      <c r="T1288" s="322" cm="1">
        <f t="array" ref="T1288">IFERROR(VLOOKUP(Calculations[[#This Row],[Waste 1]],WasteScenario[#All],2,FALSE)*'Stage assumptions'!$C$225*WasteTransportMethod[Emissions Factor
kgCO2e/kg.km]*Calculations[[#This Row],[Total Kg]],0)</f>
        <v>0</v>
      </c>
      <c r="U1288" s="322" cm="1">
        <f t="array" ref="U1288">IFERROR(VLOOKUP(Calculations[[#This Row],[Waste 1]],WasteScenario[#All],3,FALSE)*'Stage assumptions'!$C$224*WasteTransportMethod[Emissions Factor
kgCO2e/kg.km]*Calculations[[#This Row],[Total Kg]],0)</f>
        <v>0</v>
      </c>
      <c r="V1288" s="322" cm="1">
        <f t="array" ref="V1288">IFERROR(VLOOKUP(Calculations[[#This Row],[Waste 1]],WasteScenario[#All],4,FALSE)*'Stage assumptions'!$C$223*WasteTransportMethod[Emissions Factor
kgCO2e/kg.km]*Calculations[[#This Row],[Total Kg]],0)</f>
        <v>0</v>
      </c>
      <c r="W1288" s="322" cm="1">
        <f t="array" ref="W1288">IFERROR(VLOOKUP(Calculations[[#This Row],[Waste 1]],WasteScenario[#All],5,FALSE)*'Stage assumptions'!$C$226*WasteTransportMethod[Emissions Factor
kgCO2e/kg.km]*Calculations[[#This Row],[Total Kg]],0)</f>
        <v>0</v>
      </c>
      <c r="X1288" s="322">
        <f>SUM(Calculations[[#This Row],[C2 Recycle]:[C2 Reuse]])</f>
        <v>0</v>
      </c>
      <c r="Y1288" t="str">
        <f>IFERROR(VLOOKUP(Calculations[[#This Row],[Material (choose from dropdown]],MaterialData[#All],5,FALSE),"")</f>
        <v/>
      </c>
      <c r="Z1288" s="322">
        <f>IFERROR(((VLOOKUP(Calculations[[#This Row],[Waste type 2]],WasteDisposalEmissions[#All],2,FALSE))*Calculations[[#This Row],[Total Kg]])*VLOOKUP(Calculations[[#This Row],[Waste 1]],WasteScenario[#All],2,FALSE),0)</f>
        <v>0</v>
      </c>
      <c r="AA1288" s="322">
        <f>IFERROR((VLOOKUP(Calculations[[#This Row],[Waste type 2]],WasteDisposalEmissions[#All],3,FALSE))*Calculations[[#This Row],[Total Kg]]*VLOOKUP(Calculations[[#This Row],[Waste 1]],WasteScenario[#All],3,FALSE),0)</f>
        <v>0</v>
      </c>
      <c r="AB1288" s="322">
        <f>SUM(Calculations[[#This Row],[C3 recyc]:[C3 incin]])</f>
        <v>0</v>
      </c>
      <c r="AC1288" s="334">
        <f>IFERROR((VLOOKUP(Calculations[[#This Row],[Waste type 2]],WasteLandfillEmissions[#All],2,FALSE))*Calculations[[#This Row],[Total Kg]]*VLOOKUP(Calculations[[#This Row],[Waste 1]],WasteScenario[#All],4,FALSE),0)</f>
        <v>0</v>
      </c>
      <c r="AD1288" s="322">
        <f>IFERROR((VLOOKUP(Calculations[[#This Row],[Waste type 2]],WasteLandfillEmissions[#All],3,FALSE))*Calculations[[#This Row],[Total Kg]]*VLOOKUP(Calculations[[#This Row],[Waste 1]],WasteScenario[#All],4,FALSE),0)</f>
        <v>0</v>
      </c>
      <c r="AE1288" s="322">
        <f>SUM(Calculations[[#This Row],[C4 landfill]:[C4 re-use]])</f>
        <v>0</v>
      </c>
      <c r="AF1288" s="322">
        <f>IFERROR(VLOOKUP(Calculations[[#This Row],[Material (choose from dropdown]],MaterialData[#All],8,FALSE),0)</f>
        <v>0</v>
      </c>
      <c r="AG1288" s="322">
        <f>IFERROR(Calculations[[#This Row],[Total Kg]]*Calculations[[#This Row],[Seq factor]],0)</f>
        <v>0</v>
      </c>
      <c r="AI1288" s="322">
        <f>Calculations[[#This Row],[A1-3]]+Calculations[[#This Row],[A4]]+Calculations[[#This Row],[A5]]+Calculations[[#This Row],[B4]]+Calculations[[#This Row],[C2 total]]+Calculations[[#This Row],[C3 total]]+Calculations[[#This Row],[C4 total]]</f>
        <v>0</v>
      </c>
      <c r="AJ1288" s="2">
        <f>IFERROR(VLOOKUP(Calculations[[#This Row],[Material (choose from dropdown]],MaterialData[[#Headers],[#Data]],9,FALSE),0)</f>
        <v>0</v>
      </c>
      <c r="AK1288" s="4">
        <f>IFERROR(VLOOKUP(Calculations[[#This Row],[Material (choose from dropdown]],MaterialData[[#Headers],[#Data]],10,FALSE),0)</f>
        <v>0</v>
      </c>
      <c r="AL1288" s="322">
        <f>IFERROR(Calculations[[#This Row],[Data Quality Score]]*Calculations[[#This Row],[Total Kg]],0)</f>
        <v>0</v>
      </c>
    </row>
    <row r="1289" spans="1:38" x14ac:dyDescent="0.3">
      <c r="A1289" s="6">
        <f>IFERROR(MaterialsBoQ[[#This Row],[Scope Element]],0)</f>
        <v>0</v>
      </c>
      <c r="B1289" t="str">
        <f>IFERROR(MaterialsBoQ[[#This Row],[Material ]],"")</f>
        <v/>
      </c>
      <c r="C1289" t="str">
        <f>IFERROR(MaterialsBoQ[[#This Row],[Unit]],"")</f>
        <v/>
      </c>
      <c r="D1289" s="322">
        <f>IFERROR(MaterialsBoQ[[#This Row],[Number]],0)</f>
        <v>0</v>
      </c>
      <c r="E1289" s="322">
        <f>IFERROR(MaterialsBoQ[[#This Row],[Kg per unit]],0)</f>
        <v>0</v>
      </c>
      <c r="F1289" s="322">
        <f>IFERROR(Calculations[[#This Row],[Number]]*Calculations[[#This Row],[Conversion factor]],0)</f>
        <v>0</v>
      </c>
      <c r="G1289" s="322">
        <f>IFERROR(VLOOKUP(Calculations[[#This Row],[Material (choose from dropdown]],MaterialData[#All],7,FALSE),0)</f>
        <v>0</v>
      </c>
      <c r="H1289" s="322">
        <f>Calculations[[#This Row],[Total Kg]]*Calculations[[#This Row],[Carbon Factor]]</f>
        <v>0</v>
      </c>
      <c r="I1289" t="str">
        <f>IFERROR(VLOOKUP(Calculations[[#This Row],[Material (choose from dropdown]],MaterialData[#All],2,FALSE),"")</f>
        <v/>
      </c>
      <c r="J1289" s="322">
        <f>IFERROR(((VLOOKUP(Calculations[[#This Row],[TransportSource]],TransportDistance[],2,FALSE)*'Stage assumptions'!$C$11)+VLOOKUP(Calculations[[#This Row],[TransportSource]],TransportDistance[],3,FALSE)*'Stage assumptions'!$C$12)*Calculations[[#This Row],[Total Kg]],0)</f>
        <v>0</v>
      </c>
      <c r="K1289">
        <f>IFERROR(VLOOKUP(Calculations[[#This Row],[Material (choose from dropdown]], MaterialData[#All],3, FALSE),0)</f>
        <v>0</v>
      </c>
      <c r="L1289" s="322">
        <f>IFERROR(VLOOKUP(Calculations[[#This Row],[A5type]],A5WastageRate[#All],2,FALSE)*Calculations[[#This Row],[A1-3]],0)</f>
        <v>0</v>
      </c>
      <c r="N1289">
        <f>IFERROR(ROUNDUP(50/VLOOKUP(Calculations[[#This Row],[Scope Element]],B4referenceServiceLife[[Tier 2 element]:[Default Service Life]],2, FALSE)-1,0),0)</f>
        <v>0</v>
      </c>
      <c r="O1289" s="322">
        <f>IFERROR((Calculations[[#This Row],[A1-3]]+Calculations[[#This Row],[A4]]+Calculations[[#This Row],[A5]]+Calculations[[#This Row],[C2 total]]+Calculations[[#This Row],[C3 total]]+Calculations[[#This Row],[C4 total]])*Calculations[[#This Row],[Replacements]],0)</f>
        <v>0</v>
      </c>
      <c r="S1289" t="str">
        <f>IFERROR(VLOOKUP(Calculations[[#This Row],[Material (choose from dropdown]],MaterialData[#All],4,FALSE),"")</f>
        <v/>
      </c>
      <c r="T1289" s="322" cm="1">
        <f t="array" ref="T1289">IFERROR(VLOOKUP(Calculations[[#This Row],[Waste 1]],WasteScenario[#All],2,FALSE)*'Stage assumptions'!$C$225*WasteTransportMethod[Emissions Factor
kgCO2e/kg.km]*Calculations[[#This Row],[Total Kg]],0)</f>
        <v>0</v>
      </c>
      <c r="U1289" s="322" cm="1">
        <f t="array" ref="U1289">IFERROR(VLOOKUP(Calculations[[#This Row],[Waste 1]],WasteScenario[#All],3,FALSE)*'Stage assumptions'!$C$224*WasteTransportMethod[Emissions Factor
kgCO2e/kg.km]*Calculations[[#This Row],[Total Kg]],0)</f>
        <v>0</v>
      </c>
      <c r="V1289" s="322" cm="1">
        <f t="array" ref="V1289">IFERROR(VLOOKUP(Calculations[[#This Row],[Waste 1]],WasteScenario[#All],4,FALSE)*'Stage assumptions'!$C$223*WasteTransportMethod[Emissions Factor
kgCO2e/kg.km]*Calculations[[#This Row],[Total Kg]],0)</f>
        <v>0</v>
      </c>
      <c r="W1289" s="322" cm="1">
        <f t="array" ref="W1289">IFERROR(VLOOKUP(Calculations[[#This Row],[Waste 1]],WasteScenario[#All],5,FALSE)*'Stage assumptions'!$C$226*WasteTransportMethod[Emissions Factor
kgCO2e/kg.km]*Calculations[[#This Row],[Total Kg]],0)</f>
        <v>0</v>
      </c>
      <c r="X1289" s="322">
        <f>SUM(Calculations[[#This Row],[C2 Recycle]:[C2 Reuse]])</f>
        <v>0</v>
      </c>
      <c r="Y1289" t="str">
        <f>IFERROR(VLOOKUP(Calculations[[#This Row],[Material (choose from dropdown]],MaterialData[#All],5,FALSE),"")</f>
        <v/>
      </c>
      <c r="Z1289" s="322">
        <f>IFERROR(((VLOOKUP(Calculations[[#This Row],[Waste type 2]],WasteDisposalEmissions[#All],2,FALSE))*Calculations[[#This Row],[Total Kg]])*VLOOKUP(Calculations[[#This Row],[Waste 1]],WasteScenario[#All],2,FALSE),0)</f>
        <v>0</v>
      </c>
      <c r="AA1289" s="322">
        <f>IFERROR((VLOOKUP(Calculations[[#This Row],[Waste type 2]],WasteDisposalEmissions[#All],3,FALSE))*Calculations[[#This Row],[Total Kg]]*VLOOKUP(Calculations[[#This Row],[Waste 1]],WasteScenario[#All],3,FALSE),0)</f>
        <v>0</v>
      </c>
      <c r="AB1289" s="322">
        <f>SUM(Calculations[[#This Row],[C3 recyc]:[C3 incin]])</f>
        <v>0</v>
      </c>
      <c r="AC1289" s="334">
        <f>IFERROR((VLOOKUP(Calculations[[#This Row],[Waste type 2]],WasteLandfillEmissions[#All],2,FALSE))*Calculations[[#This Row],[Total Kg]]*VLOOKUP(Calculations[[#This Row],[Waste 1]],WasteScenario[#All],4,FALSE),0)</f>
        <v>0</v>
      </c>
      <c r="AD1289" s="322">
        <f>IFERROR((VLOOKUP(Calculations[[#This Row],[Waste type 2]],WasteLandfillEmissions[#All],3,FALSE))*Calculations[[#This Row],[Total Kg]]*VLOOKUP(Calculations[[#This Row],[Waste 1]],WasteScenario[#All],4,FALSE),0)</f>
        <v>0</v>
      </c>
      <c r="AE1289" s="322">
        <f>SUM(Calculations[[#This Row],[C4 landfill]:[C4 re-use]])</f>
        <v>0</v>
      </c>
      <c r="AF1289" s="322">
        <f>IFERROR(VLOOKUP(Calculations[[#This Row],[Material (choose from dropdown]],MaterialData[#All],8,FALSE),0)</f>
        <v>0</v>
      </c>
      <c r="AG1289" s="322">
        <f>IFERROR(Calculations[[#This Row],[Total Kg]]*Calculations[[#This Row],[Seq factor]],0)</f>
        <v>0</v>
      </c>
      <c r="AI1289" s="322">
        <f>Calculations[[#This Row],[A1-3]]+Calculations[[#This Row],[A4]]+Calculations[[#This Row],[A5]]+Calculations[[#This Row],[B4]]+Calculations[[#This Row],[C2 total]]+Calculations[[#This Row],[C3 total]]+Calculations[[#This Row],[C4 total]]</f>
        <v>0</v>
      </c>
      <c r="AJ1289" s="2">
        <f>IFERROR(VLOOKUP(Calculations[[#This Row],[Material (choose from dropdown]],MaterialData[[#Headers],[#Data]],9,FALSE),0)</f>
        <v>0</v>
      </c>
      <c r="AK1289" s="4">
        <f>IFERROR(VLOOKUP(Calculations[[#This Row],[Material (choose from dropdown]],MaterialData[[#Headers],[#Data]],10,FALSE),0)</f>
        <v>0</v>
      </c>
      <c r="AL1289" s="322">
        <f>IFERROR(Calculations[[#This Row],[Data Quality Score]]*Calculations[[#This Row],[Total Kg]],0)</f>
        <v>0</v>
      </c>
    </row>
    <row r="1290" spans="1:38" x14ac:dyDescent="0.3">
      <c r="A1290" s="6">
        <f>IFERROR(MaterialsBoQ[[#This Row],[Scope Element]],0)</f>
        <v>0</v>
      </c>
      <c r="B1290" t="str">
        <f>IFERROR(MaterialsBoQ[[#This Row],[Material ]],"")</f>
        <v/>
      </c>
      <c r="C1290" t="str">
        <f>IFERROR(MaterialsBoQ[[#This Row],[Unit]],"")</f>
        <v/>
      </c>
      <c r="D1290" s="322">
        <f>IFERROR(MaterialsBoQ[[#This Row],[Number]],0)</f>
        <v>0</v>
      </c>
      <c r="E1290" s="322">
        <f>IFERROR(MaterialsBoQ[[#This Row],[Kg per unit]],0)</f>
        <v>0</v>
      </c>
      <c r="F1290" s="322">
        <f>IFERROR(Calculations[[#This Row],[Number]]*Calculations[[#This Row],[Conversion factor]],0)</f>
        <v>0</v>
      </c>
      <c r="G1290" s="322">
        <f>IFERROR(VLOOKUP(Calculations[[#This Row],[Material (choose from dropdown]],MaterialData[#All],7,FALSE),0)</f>
        <v>0</v>
      </c>
      <c r="H1290" s="322">
        <f>Calculations[[#This Row],[Total Kg]]*Calculations[[#This Row],[Carbon Factor]]</f>
        <v>0</v>
      </c>
      <c r="I1290" t="str">
        <f>IFERROR(VLOOKUP(Calculations[[#This Row],[Material (choose from dropdown]],MaterialData[#All],2,FALSE),"")</f>
        <v/>
      </c>
      <c r="J1290" s="322">
        <f>IFERROR(((VLOOKUP(Calculations[[#This Row],[TransportSource]],TransportDistance[],2,FALSE)*'Stage assumptions'!$C$11)+VLOOKUP(Calculations[[#This Row],[TransportSource]],TransportDistance[],3,FALSE)*'Stage assumptions'!$C$12)*Calculations[[#This Row],[Total Kg]],0)</f>
        <v>0</v>
      </c>
      <c r="K1290">
        <f>IFERROR(VLOOKUP(Calculations[[#This Row],[Material (choose from dropdown]], MaterialData[#All],3, FALSE),0)</f>
        <v>0</v>
      </c>
      <c r="L1290" s="322">
        <f>IFERROR(VLOOKUP(Calculations[[#This Row],[A5type]],A5WastageRate[#All],2,FALSE)*Calculations[[#This Row],[A1-3]],0)</f>
        <v>0</v>
      </c>
      <c r="N1290">
        <f>IFERROR(ROUNDUP(50/VLOOKUP(Calculations[[#This Row],[Scope Element]],B4referenceServiceLife[[Tier 2 element]:[Default Service Life]],2, FALSE)-1,0),0)</f>
        <v>0</v>
      </c>
      <c r="O1290" s="322">
        <f>IFERROR((Calculations[[#This Row],[A1-3]]+Calculations[[#This Row],[A4]]+Calculations[[#This Row],[A5]]+Calculations[[#This Row],[C2 total]]+Calculations[[#This Row],[C3 total]]+Calculations[[#This Row],[C4 total]])*Calculations[[#This Row],[Replacements]],0)</f>
        <v>0</v>
      </c>
      <c r="S1290" t="str">
        <f>IFERROR(VLOOKUP(Calculations[[#This Row],[Material (choose from dropdown]],MaterialData[#All],4,FALSE),"")</f>
        <v/>
      </c>
      <c r="T1290" s="322" cm="1">
        <f t="array" ref="T1290">IFERROR(VLOOKUP(Calculations[[#This Row],[Waste 1]],WasteScenario[#All],2,FALSE)*'Stage assumptions'!$C$225*WasteTransportMethod[Emissions Factor
kgCO2e/kg.km]*Calculations[[#This Row],[Total Kg]],0)</f>
        <v>0</v>
      </c>
      <c r="U1290" s="322" cm="1">
        <f t="array" ref="U1290">IFERROR(VLOOKUP(Calculations[[#This Row],[Waste 1]],WasteScenario[#All],3,FALSE)*'Stage assumptions'!$C$224*WasteTransportMethod[Emissions Factor
kgCO2e/kg.km]*Calculations[[#This Row],[Total Kg]],0)</f>
        <v>0</v>
      </c>
      <c r="V1290" s="322" cm="1">
        <f t="array" ref="V1290">IFERROR(VLOOKUP(Calculations[[#This Row],[Waste 1]],WasteScenario[#All],4,FALSE)*'Stage assumptions'!$C$223*WasteTransportMethod[Emissions Factor
kgCO2e/kg.km]*Calculations[[#This Row],[Total Kg]],0)</f>
        <v>0</v>
      </c>
      <c r="W1290" s="322" cm="1">
        <f t="array" ref="W1290">IFERROR(VLOOKUP(Calculations[[#This Row],[Waste 1]],WasteScenario[#All],5,FALSE)*'Stage assumptions'!$C$226*WasteTransportMethod[Emissions Factor
kgCO2e/kg.km]*Calculations[[#This Row],[Total Kg]],0)</f>
        <v>0</v>
      </c>
      <c r="X1290" s="322">
        <f>SUM(Calculations[[#This Row],[C2 Recycle]:[C2 Reuse]])</f>
        <v>0</v>
      </c>
      <c r="Y1290" t="str">
        <f>IFERROR(VLOOKUP(Calculations[[#This Row],[Material (choose from dropdown]],MaterialData[#All],5,FALSE),"")</f>
        <v/>
      </c>
      <c r="Z1290" s="322">
        <f>IFERROR(((VLOOKUP(Calculations[[#This Row],[Waste type 2]],WasteDisposalEmissions[#All],2,FALSE))*Calculations[[#This Row],[Total Kg]])*VLOOKUP(Calculations[[#This Row],[Waste 1]],WasteScenario[#All],2,FALSE),0)</f>
        <v>0</v>
      </c>
      <c r="AA1290" s="322">
        <f>IFERROR((VLOOKUP(Calculations[[#This Row],[Waste type 2]],WasteDisposalEmissions[#All],3,FALSE))*Calculations[[#This Row],[Total Kg]]*VLOOKUP(Calculations[[#This Row],[Waste 1]],WasteScenario[#All],3,FALSE),0)</f>
        <v>0</v>
      </c>
      <c r="AB1290" s="322">
        <f>SUM(Calculations[[#This Row],[C3 recyc]:[C3 incin]])</f>
        <v>0</v>
      </c>
      <c r="AC1290" s="334">
        <f>IFERROR((VLOOKUP(Calculations[[#This Row],[Waste type 2]],WasteLandfillEmissions[#All],2,FALSE))*Calculations[[#This Row],[Total Kg]]*VLOOKUP(Calculations[[#This Row],[Waste 1]],WasteScenario[#All],4,FALSE),0)</f>
        <v>0</v>
      </c>
      <c r="AD1290" s="322">
        <f>IFERROR((VLOOKUP(Calculations[[#This Row],[Waste type 2]],WasteLandfillEmissions[#All],3,FALSE))*Calculations[[#This Row],[Total Kg]]*VLOOKUP(Calculations[[#This Row],[Waste 1]],WasteScenario[#All],4,FALSE),0)</f>
        <v>0</v>
      </c>
      <c r="AE1290" s="322">
        <f>SUM(Calculations[[#This Row],[C4 landfill]:[C4 re-use]])</f>
        <v>0</v>
      </c>
      <c r="AF1290" s="322">
        <f>IFERROR(VLOOKUP(Calculations[[#This Row],[Material (choose from dropdown]],MaterialData[#All],8,FALSE),0)</f>
        <v>0</v>
      </c>
      <c r="AG1290" s="322">
        <f>IFERROR(Calculations[[#This Row],[Total Kg]]*Calculations[[#This Row],[Seq factor]],0)</f>
        <v>0</v>
      </c>
      <c r="AI1290" s="322">
        <f>Calculations[[#This Row],[A1-3]]+Calculations[[#This Row],[A4]]+Calculations[[#This Row],[A5]]+Calculations[[#This Row],[B4]]+Calculations[[#This Row],[C2 total]]+Calculations[[#This Row],[C3 total]]+Calculations[[#This Row],[C4 total]]</f>
        <v>0</v>
      </c>
      <c r="AJ1290" s="2">
        <f>IFERROR(VLOOKUP(Calculations[[#This Row],[Material (choose from dropdown]],MaterialData[[#Headers],[#Data]],9,FALSE),0)</f>
        <v>0</v>
      </c>
      <c r="AK1290" s="4">
        <f>IFERROR(VLOOKUP(Calculations[[#This Row],[Material (choose from dropdown]],MaterialData[[#Headers],[#Data]],10,FALSE),0)</f>
        <v>0</v>
      </c>
      <c r="AL1290" s="322">
        <f>IFERROR(Calculations[[#This Row],[Data Quality Score]]*Calculations[[#This Row],[Total Kg]],0)</f>
        <v>0</v>
      </c>
    </row>
    <row r="1291" spans="1:38" x14ac:dyDescent="0.3">
      <c r="A1291" s="6">
        <f>IFERROR(MaterialsBoQ[[#This Row],[Scope Element]],0)</f>
        <v>0</v>
      </c>
      <c r="B1291" t="str">
        <f>IFERROR(MaterialsBoQ[[#This Row],[Material ]],"")</f>
        <v/>
      </c>
      <c r="C1291" t="str">
        <f>IFERROR(MaterialsBoQ[[#This Row],[Unit]],"")</f>
        <v/>
      </c>
      <c r="D1291" s="322">
        <f>IFERROR(MaterialsBoQ[[#This Row],[Number]],0)</f>
        <v>0</v>
      </c>
      <c r="E1291" s="322">
        <f>IFERROR(MaterialsBoQ[[#This Row],[Kg per unit]],0)</f>
        <v>0</v>
      </c>
      <c r="F1291" s="322">
        <f>IFERROR(Calculations[[#This Row],[Number]]*Calculations[[#This Row],[Conversion factor]],0)</f>
        <v>0</v>
      </c>
      <c r="G1291" s="322">
        <f>IFERROR(VLOOKUP(Calculations[[#This Row],[Material (choose from dropdown]],MaterialData[#All],7,FALSE),0)</f>
        <v>0</v>
      </c>
      <c r="H1291" s="322">
        <f>Calculations[[#This Row],[Total Kg]]*Calculations[[#This Row],[Carbon Factor]]</f>
        <v>0</v>
      </c>
      <c r="I1291" t="str">
        <f>IFERROR(VLOOKUP(Calculations[[#This Row],[Material (choose from dropdown]],MaterialData[#All],2,FALSE),"")</f>
        <v/>
      </c>
      <c r="J1291" s="322">
        <f>IFERROR(((VLOOKUP(Calculations[[#This Row],[TransportSource]],TransportDistance[],2,FALSE)*'Stage assumptions'!$C$11)+VLOOKUP(Calculations[[#This Row],[TransportSource]],TransportDistance[],3,FALSE)*'Stage assumptions'!$C$12)*Calculations[[#This Row],[Total Kg]],0)</f>
        <v>0</v>
      </c>
      <c r="K1291">
        <f>IFERROR(VLOOKUP(Calculations[[#This Row],[Material (choose from dropdown]], MaterialData[#All],3, FALSE),0)</f>
        <v>0</v>
      </c>
      <c r="L1291" s="322">
        <f>IFERROR(VLOOKUP(Calculations[[#This Row],[A5type]],A5WastageRate[#All],2,FALSE)*Calculations[[#This Row],[A1-3]],0)</f>
        <v>0</v>
      </c>
      <c r="N1291">
        <f>IFERROR(ROUNDUP(50/VLOOKUP(Calculations[[#This Row],[Scope Element]],B4referenceServiceLife[[Tier 2 element]:[Default Service Life]],2, FALSE)-1,0),0)</f>
        <v>0</v>
      </c>
      <c r="O1291" s="322">
        <f>IFERROR((Calculations[[#This Row],[A1-3]]+Calculations[[#This Row],[A4]]+Calculations[[#This Row],[A5]]+Calculations[[#This Row],[C2 total]]+Calculations[[#This Row],[C3 total]]+Calculations[[#This Row],[C4 total]])*Calculations[[#This Row],[Replacements]],0)</f>
        <v>0</v>
      </c>
      <c r="S1291" t="str">
        <f>IFERROR(VLOOKUP(Calculations[[#This Row],[Material (choose from dropdown]],MaterialData[#All],4,FALSE),"")</f>
        <v/>
      </c>
      <c r="T1291" s="322" cm="1">
        <f t="array" ref="T1291">IFERROR(VLOOKUP(Calculations[[#This Row],[Waste 1]],WasteScenario[#All],2,FALSE)*'Stage assumptions'!$C$225*WasteTransportMethod[Emissions Factor
kgCO2e/kg.km]*Calculations[[#This Row],[Total Kg]],0)</f>
        <v>0</v>
      </c>
      <c r="U1291" s="322" cm="1">
        <f t="array" ref="U1291">IFERROR(VLOOKUP(Calculations[[#This Row],[Waste 1]],WasteScenario[#All],3,FALSE)*'Stage assumptions'!$C$224*WasteTransportMethod[Emissions Factor
kgCO2e/kg.km]*Calculations[[#This Row],[Total Kg]],0)</f>
        <v>0</v>
      </c>
      <c r="V1291" s="322" cm="1">
        <f t="array" ref="V1291">IFERROR(VLOOKUP(Calculations[[#This Row],[Waste 1]],WasteScenario[#All],4,FALSE)*'Stage assumptions'!$C$223*WasteTransportMethod[Emissions Factor
kgCO2e/kg.km]*Calculations[[#This Row],[Total Kg]],0)</f>
        <v>0</v>
      </c>
      <c r="W1291" s="322" cm="1">
        <f t="array" ref="W1291">IFERROR(VLOOKUP(Calculations[[#This Row],[Waste 1]],WasteScenario[#All],5,FALSE)*'Stage assumptions'!$C$226*WasteTransportMethod[Emissions Factor
kgCO2e/kg.km]*Calculations[[#This Row],[Total Kg]],0)</f>
        <v>0</v>
      </c>
      <c r="X1291" s="322">
        <f>SUM(Calculations[[#This Row],[C2 Recycle]:[C2 Reuse]])</f>
        <v>0</v>
      </c>
      <c r="Y1291" t="str">
        <f>IFERROR(VLOOKUP(Calculations[[#This Row],[Material (choose from dropdown]],MaterialData[#All],5,FALSE),"")</f>
        <v/>
      </c>
      <c r="Z1291" s="322">
        <f>IFERROR(((VLOOKUP(Calculations[[#This Row],[Waste type 2]],WasteDisposalEmissions[#All],2,FALSE))*Calculations[[#This Row],[Total Kg]])*VLOOKUP(Calculations[[#This Row],[Waste 1]],WasteScenario[#All],2,FALSE),0)</f>
        <v>0</v>
      </c>
      <c r="AA1291" s="322">
        <f>IFERROR((VLOOKUP(Calculations[[#This Row],[Waste type 2]],WasteDisposalEmissions[#All],3,FALSE))*Calculations[[#This Row],[Total Kg]]*VLOOKUP(Calculations[[#This Row],[Waste 1]],WasteScenario[#All],3,FALSE),0)</f>
        <v>0</v>
      </c>
      <c r="AB1291" s="322">
        <f>SUM(Calculations[[#This Row],[C3 recyc]:[C3 incin]])</f>
        <v>0</v>
      </c>
      <c r="AC1291" s="334">
        <f>IFERROR((VLOOKUP(Calculations[[#This Row],[Waste type 2]],WasteLandfillEmissions[#All],2,FALSE))*Calculations[[#This Row],[Total Kg]]*VLOOKUP(Calculations[[#This Row],[Waste 1]],WasteScenario[#All],4,FALSE),0)</f>
        <v>0</v>
      </c>
      <c r="AD1291" s="322">
        <f>IFERROR((VLOOKUP(Calculations[[#This Row],[Waste type 2]],WasteLandfillEmissions[#All],3,FALSE))*Calculations[[#This Row],[Total Kg]]*VLOOKUP(Calculations[[#This Row],[Waste 1]],WasteScenario[#All],4,FALSE),0)</f>
        <v>0</v>
      </c>
      <c r="AE1291" s="322">
        <f>SUM(Calculations[[#This Row],[C4 landfill]:[C4 re-use]])</f>
        <v>0</v>
      </c>
      <c r="AF1291" s="322">
        <f>IFERROR(VLOOKUP(Calculations[[#This Row],[Material (choose from dropdown]],MaterialData[#All],8,FALSE),0)</f>
        <v>0</v>
      </c>
      <c r="AG1291" s="322">
        <f>IFERROR(Calculations[[#This Row],[Total Kg]]*Calculations[[#This Row],[Seq factor]],0)</f>
        <v>0</v>
      </c>
      <c r="AI1291" s="322">
        <f>Calculations[[#This Row],[A1-3]]+Calculations[[#This Row],[A4]]+Calculations[[#This Row],[A5]]+Calculations[[#This Row],[B4]]+Calculations[[#This Row],[C2 total]]+Calculations[[#This Row],[C3 total]]+Calculations[[#This Row],[C4 total]]</f>
        <v>0</v>
      </c>
      <c r="AJ1291" s="2">
        <f>IFERROR(VLOOKUP(Calculations[[#This Row],[Material (choose from dropdown]],MaterialData[[#Headers],[#Data]],9,FALSE),0)</f>
        <v>0</v>
      </c>
      <c r="AK1291" s="4">
        <f>IFERROR(VLOOKUP(Calculations[[#This Row],[Material (choose from dropdown]],MaterialData[[#Headers],[#Data]],10,FALSE),0)</f>
        <v>0</v>
      </c>
      <c r="AL1291" s="322">
        <f>IFERROR(Calculations[[#This Row],[Data Quality Score]]*Calculations[[#This Row],[Total Kg]],0)</f>
        <v>0</v>
      </c>
    </row>
    <row r="1292" spans="1:38" x14ac:dyDescent="0.3">
      <c r="A1292" s="6">
        <f>IFERROR(MaterialsBoQ[[#This Row],[Scope Element]],0)</f>
        <v>0</v>
      </c>
      <c r="B1292" t="str">
        <f>IFERROR(MaterialsBoQ[[#This Row],[Material ]],"")</f>
        <v/>
      </c>
      <c r="C1292" t="str">
        <f>IFERROR(MaterialsBoQ[[#This Row],[Unit]],"")</f>
        <v/>
      </c>
      <c r="D1292" s="322">
        <f>IFERROR(MaterialsBoQ[[#This Row],[Number]],0)</f>
        <v>0</v>
      </c>
      <c r="E1292" s="322">
        <f>IFERROR(MaterialsBoQ[[#This Row],[Kg per unit]],0)</f>
        <v>0</v>
      </c>
      <c r="F1292" s="322">
        <f>IFERROR(Calculations[[#This Row],[Number]]*Calculations[[#This Row],[Conversion factor]],0)</f>
        <v>0</v>
      </c>
      <c r="G1292" s="322">
        <f>IFERROR(VLOOKUP(Calculations[[#This Row],[Material (choose from dropdown]],MaterialData[#All],7,FALSE),0)</f>
        <v>0</v>
      </c>
      <c r="H1292" s="322">
        <f>Calculations[[#This Row],[Total Kg]]*Calculations[[#This Row],[Carbon Factor]]</f>
        <v>0</v>
      </c>
      <c r="I1292" t="str">
        <f>IFERROR(VLOOKUP(Calculations[[#This Row],[Material (choose from dropdown]],MaterialData[#All],2,FALSE),"")</f>
        <v/>
      </c>
      <c r="J1292" s="322">
        <f>IFERROR(((VLOOKUP(Calculations[[#This Row],[TransportSource]],TransportDistance[],2,FALSE)*'Stage assumptions'!$C$11)+VLOOKUP(Calculations[[#This Row],[TransportSource]],TransportDistance[],3,FALSE)*'Stage assumptions'!$C$12)*Calculations[[#This Row],[Total Kg]],0)</f>
        <v>0</v>
      </c>
      <c r="K1292">
        <f>IFERROR(VLOOKUP(Calculations[[#This Row],[Material (choose from dropdown]], MaterialData[#All],3, FALSE),0)</f>
        <v>0</v>
      </c>
      <c r="L1292" s="322">
        <f>IFERROR(VLOOKUP(Calculations[[#This Row],[A5type]],A5WastageRate[#All],2,FALSE)*Calculations[[#This Row],[A1-3]],0)</f>
        <v>0</v>
      </c>
      <c r="N1292">
        <f>IFERROR(ROUNDUP(50/VLOOKUP(Calculations[[#This Row],[Scope Element]],B4referenceServiceLife[[Tier 2 element]:[Default Service Life]],2, FALSE)-1,0),0)</f>
        <v>0</v>
      </c>
      <c r="O1292" s="322">
        <f>IFERROR((Calculations[[#This Row],[A1-3]]+Calculations[[#This Row],[A4]]+Calculations[[#This Row],[A5]]+Calculations[[#This Row],[C2 total]]+Calculations[[#This Row],[C3 total]]+Calculations[[#This Row],[C4 total]])*Calculations[[#This Row],[Replacements]],0)</f>
        <v>0</v>
      </c>
      <c r="S1292" t="str">
        <f>IFERROR(VLOOKUP(Calculations[[#This Row],[Material (choose from dropdown]],MaterialData[#All],4,FALSE),"")</f>
        <v/>
      </c>
      <c r="T1292" s="322" cm="1">
        <f t="array" ref="T1292">IFERROR(VLOOKUP(Calculations[[#This Row],[Waste 1]],WasteScenario[#All],2,FALSE)*'Stage assumptions'!$C$225*WasteTransportMethod[Emissions Factor
kgCO2e/kg.km]*Calculations[[#This Row],[Total Kg]],0)</f>
        <v>0</v>
      </c>
      <c r="U1292" s="322" cm="1">
        <f t="array" ref="U1292">IFERROR(VLOOKUP(Calculations[[#This Row],[Waste 1]],WasteScenario[#All],3,FALSE)*'Stage assumptions'!$C$224*WasteTransportMethod[Emissions Factor
kgCO2e/kg.km]*Calculations[[#This Row],[Total Kg]],0)</f>
        <v>0</v>
      </c>
      <c r="V1292" s="322" cm="1">
        <f t="array" ref="V1292">IFERROR(VLOOKUP(Calculations[[#This Row],[Waste 1]],WasteScenario[#All],4,FALSE)*'Stage assumptions'!$C$223*WasteTransportMethod[Emissions Factor
kgCO2e/kg.km]*Calculations[[#This Row],[Total Kg]],0)</f>
        <v>0</v>
      </c>
      <c r="W1292" s="322" cm="1">
        <f t="array" ref="W1292">IFERROR(VLOOKUP(Calculations[[#This Row],[Waste 1]],WasteScenario[#All],5,FALSE)*'Stage assumptions'!$C$226*WasteTransportMethod[Emissions Factor
kgCO2e/kg.km]*Calculations[[#This Row],[Total Kg]],0)</f>
        <v>0</v>
      </c>
      <c r="X1292" s="322">
        <f>SUM(Calculations[[#This Row],[C2 Recycle]:[C2 Reuse]])</f>
        <v>0</v>
      </c>
      <c r="Y1292" t="str">
        <f>IFERROR(VLOOKUP(Calculations[[#This Row],[Material (choose from dropdown]],MaterialData[#All],5,FALSE),"")</f>
        <v/>
      </c>
      <c r="Z1292" s="322">
        <f>IFERROR(((VLOOKUP(Calculations[[#This Row],[Waste type 2]],WasteDisposalEmissions[#All],2,FALSE))*Calculations[[#This Row],[Total Kg]])*VLOOKUP(Calculations[[#This Row],[Waste 1]],WasteScenario[#All],2,FALSE),0)</f>
        <v>0</v>
      </c>
      <c r="AA1292" s="322">
        <f>IFERROR((VLOOKUP(Calculations[[#This Row],[Waste type 2]],WasteDisposalEmissions[#All],3,FALSE))*Calculations[[#This Row],[Total Kg]]*VLOOKUP(Calculations[[#This Row],[Waste 1]],WasteScenario[#All],3,FALSE),0)</f>
        <v>0</v>
      </c>
      <c r="AB1292" s="322">
        <f>SUM(Calculations[[#This Row],[C3 recyc]:[C3 incin]])</f>
        <v>0</v>
      </c>
      <c r="AC1292" s="334">
        <f>IFERROR((VLOOKUP(Calculations[[#This Row],[Waste type 2]],WasteLandfillEmissions[#All],2,FALSE))*Calculations[[#This Row],[Total Kg]]*VLOOKUP(Calculations[[#This Row],[Waste 1]],WasteScenario[#All],4,FALSE),0)</f>
        <v>0</v>
      </c>
      <c r="AD1292" s="322">
        <f>IFERROR((VLOOKUP(Calculations[[#This Row],[Waste type 2]],WasteLandfillEmissions[#All],3,FALSE))*Calculations[[#This Row],[Total Kg]]*VLOOKUP(Calculations[[#This Row],[Waste 1]],WasteScenario[#All],4,FALSE),0)</f>
        <v>0</v>
      </c>
      <c r="AE1292" s="322">
        <f>SUM(Calculations[[#This Row],[C4 landfill]:[C4 re-use]])</f>
        <v>0</v>
      </c>
      <c r="AF1292" s="322">
        <f>IFERROR(VLOOKUP(Calculations[[#This Row],[Material (choose from dropdown]],MaterialData[#All],8,FALSE),0)</f>
        <v>0</v>
      </c>
      <c r="AG1292" s="322">
        <f>IFERROR(Calculations[[#This Row],[Total Kg]]*Calculations[[#This Row],[Seq factor]],0)</f>
        <v>0</v>
      </c>
      <c r="AI1292" s="322">
        <f>Calculations[[#This Row],[A1-3]]+Calculations[[#This Row],[A4]]+Calculations[[#This Row],[A5]]+Calculations[[#This Row],[B4]]+Calculations[[#This Row],[C2 total]]+Calculations[[#This Row],[C3 total]]+Calculations[[#This Row],[C4 total]]</f>
        <v>0</v>
      </c>
      <c r="AJ1292" s="2">
        <f>IFERROR(VLOOKUP(Calculations[[#This Row],[Material (choose from dropdown]],MaterialData[[#Headers],[#Data]],9,FALSE),0)</f>
        <v>0</v>
      </c>
      <c r="AK1292" s="4">
        <f>IFERROR(VLOOKUP(Calculations[[#This Row],[Material (choose from dropdown]],MaterialData[[#Headers],[#Data]],10,FALSE),0)</f>
        <v>0</v>
      </c>
      <c r="AL1292" s="322">
        <f>IFERROR(Calculations[[#This Row],[Data Quality Score]]*Calculations[[#This Row],[Total Kg]],0)</f>
        <v>0</v>
      </c>
    </row>
    <row r="1293" spans="1:38" x14ac:dyDescent="0.3">
      <c r="A1293" s="6">
        <f>IFERROR(MaterialsBoQ[[#This Row],[Scope Element]],0)</f>
        <v>0</v>
      </c>
      <c r="B1293" t="str">
        <f>IFERROR(MaterialsBoQ[[#This Row],[Material ]],"")</f>
        <v/>
      </c>
      <c r="C1293" t="str">
        <f>IFERROR(MaterialsBoQ[[#This Row],[Unit]],"")</f>
        <v/>
      </c>
      <c r="D1293" s="322">
        <f>IFERROR(MaterialsBoQ[[#This Row],[Number]],0)</f>
        <v>0</v>
      </c>
      <c r="E1293" s="322">
        <f>IFERROR(MaterialsBoQ[[#This Row],[Kg per unit]],0)</f>
        <v>0</v>
      </c>
      <c r="F1293" s="322">
        <f>IFERROR(Calculations[[#This Row],[Number]]*Calculations[[#This Row],[Conversion factor]],0)</f>
        <v>0</v>
      </c>
      <c r="G1293" s="322">
        <f>IFERROR(VLOOKUP(Calculations[[#This Row],[Material (choose from dropdown]],MaterialData[#All],7,FALSE),0)</f>
        <v>0</v>
      </c>
      <c r="H1293" s="322">
        <f>Calculations[[#This Row],[Total Kg]]*Calculations[[#This Row],[Carbon Factor]]</f>
        <v>0</v>
      </c>
      <c r="I1293" t="str">
        <f>IFERROR(VLOOKUP(Calculations[[#This Row],[Material (choose from dropdown]],MaterialData[#All],2,FALSE),"")</f>
        <v/>
      </c>
      <c r="J1293" s="322">
        <f>IFERROR(((VLOOKUP(Calculations[[#This Row],[TransportSource]],TransportDistance[],2,FALSE)*'Stage assumptions'!$C$11)+VLOOKUP(Calculations[[#This Row],[TransportSource]],TransportDistance[],3,FALSE)*'Stage assumptions'!$C$12)*Calculations[[#This Row],[Total Kg]],0)</f>
        <v>0</v>
      </c>
      <c r="K1293">
        <f>IFERROR(VLOOKUP(Calculations[[#This Row],[Material (choose from dropdown]], MaterialData[#All],3, FALSE),0)</f>
        <v>0</v>
      </c>
      <c r="L1293" s="322">
        <f>IFERROR(VLOOKUP(Calculations[[#This Row],[A5type]],A5WastageRate[#All],2,FALSE)*Calculations[[#This Row],[A1-3]],0)</f>
        <v>0</v>
      </c>
      <c r="N1293">
        <f>IFERROR(ROUNDUP(50/VLOOKUP(Calculations[[#This Row],[Scope Element]],B4referenceServiceLife[[Tier 2 element]:[Default Service Life]],2, FALSE)-1,0),0)</f>
        <v>0</v>
      </c>
      <c r="O1293" s="322">
        <f>IFERROR((Calculations[[#This Row],[A1-3]]+Calculations[[#This Row],[A4]]+Calculations[[#This Row],[A5]]+Calculations[[#This Row],[C2 total]]+Calculations[[#This Row],[C3 total]]+Calculations[[#This Row],[C4 total]])*Calculations[[#This Row],[Replacements]],0)</f>
        <v>0</v>
      </c>
      <c r="S1293" t="str">
        <f>IFERROR(VLOOKUP(Calculations[[#This Row],[Material (choose from dropdown]],MaterialData[#All],4,FALSE),"")</f>
        <v/>
      </c>
      <c r="T1293" s="322" cm="1">
        <f t="array" ref="T1293">IFERROR(VLOOKUP(Calculations[[#This Row],[Waste 1]],WasteScenario[#All],2,FALSE)*'Stage assumptions'!$C$225*WasteTransportMethod[Emissions Factor
kgCO2e/kg.km]*Calculations[[#This Row],[Total Kg]],0)</f>
        <v>0</v>
      </c>
      <c r="U1293" s="322" cm="1">
        <f t="array" ref="U1293">IFERROR(VLOOKUP(Calculations[[#This Row],[Waste 1]],WasteScenario[#All],3,FALSE)*'Stage assumptions'!$C$224*WasteTransportMethod[Emissions Factor
kgCO2e/kg.km]*Calculations[[#This Row],[Total Kg]],0)</f>
        <v>0</v>
      </c>
      <c r="V1293" s="322" cm="1">
        <f t="array" ref="V1293">IFERROR(VLOOKUP(Calculations[[#This Row],[Waste 1]],WasteScenario[#All],4,FALSE)*'Stage assumptions'!$C$223*WasteTransportMethod[Emissions Factor
kgCO2e/kg.km]*Calculations[[#This Row],[Total Kg]],0)</f>
        <v>0</v>
      </c>
      <c r="W1293" s="322" cm="1">
        <f t="array" ref="W1293">IFERROR(VLOOKUP(Calculations[[#This Row],[Waste 1]],WasteScenario[#All],5,FALSE)*'Stage assumptions'!$C$226*WasteTransportMethod[Emissions Factor
kgCO2e/kg.km]*Calculations[[#This Row],[Total Kg]],0)</f>
        <v>0</v>
      </c>
      <c r="X1293" s="322">
        <f>SUM(Calculations[[#This Row],[C2 Recycle]:[C2 Reuse]])</f>
        <v>0</v>
      </c>
      <c r="Y1293" t="str">
        <f>IFERROR(VLOOKUP(Calculations[[#This Row],[Material (choose from dropdown]],MaterialData[#All],5,FALSE),"")</f>
        <v/>
      </c>
      <c r="Z1293" s="322">
        <f>IFERROR(((VLOOKUP(Calculations[[#This Row],[Waste type 2]],WasteDisposalEmissions[#All],2,FALSE))*Calculations[[#This Row],[Total Kg]])*VLOOKUP(Calculations[[#This Row],[Waste 1]],WasteScenario[#All],2,FALSE),0)</f>
        <v>0</v>
      </c>
      <c r="AA1293" s="322">
        <f>IFERROR((VLOOKUP(Calculations[[#This Row],[Waste type 2]],WasteDisposalEmissions[#All],3,FALSE))*Calculations[[#This Row],[Total Kg]]*VLOOKUP(Calculations[[#This Row],[Waste 1]],WasteScenario[#All],3,FALSE),0)</f>
        <v>0</v>
      </c>
      <c r="AB1293" s="322">
        <f>SUM(Calculations[[#This Row],[C3 recyc]:[C3 incin]])</f>
        <v>0</v>
      </c>
      <c r="AC1293" s="334">
        <f>IFERROR((VLOOKUP(Calculations[[#This Row],[Waste type 2]],WasteLandfillEmissions[#All],2,FALSE))*Calculations[[#This Row],[Total Kg]]*VLOOKUP(Calculations[[#This Row],[Waste 1]],WasteScenario[#All],4,FALSE),0)</f>
        <v>0</v>
      </c>
      <c r="AD1293" s="322">
        <f>IFERROR((VLOOKUP(Calculations[[#This Row],[Waste type 2]],WasteLandfillEmissions[#All],3,FALSE))*Calculations[[#This Row],[Total Kg]]*VLOOKUP(Calculations[[#This Row],[Waste 1]],WasteScenario[#All],4,FALSE),0)</f>
        <v>0</v>
      </c>
      <c r="AE1293" s="322">
        <f>SUM(Calculations[[#This Row],[C4 landfill]:[C4 re-use]])</f>
        <v>0</v>
      </c>
      <c r="AF1293" s="322">
        <f>IFERROR(VLOOKUP(Calculations[[#This Row],[Material (choose from dropdown]],MaterialData[#All],8,FALSE),0)</f>
        <v>0</v>
      </c>
      <c r="AG1293" s="322">
        <f>IFERROR(Calculations[[#This Row],[Total Kg]]*Calculations[[#This Row],[Seq factor]],0)</f>
        <v>0</v>
      </c>
      <c r="AI1293" s="322">
        <f>Calculations[[#This Row],[A1-3]]+Calculations[[#This Row],[A4]]+Calculations[[#This Row],[A5]]+Calculations[[#This Row],[B4]]+Calculations[[#This Row],[C2 total]]+Calculations[[#This Row],[C3 total]]+Calculations[[#This Row],[C4 total]]</f>
        <v>0</v>
      </c>
      <c r="AJ1293" s="2">
        <f>IFERROR(VLOOKUP(Calculations[[#This Row],[Material (choose from dropdown]],MaterialData[[#Headers],[#Data]],9,FALSE),0)</f>
        <v>0</v>
      </c>
      <c r="AK1293" s="4">
        <f>IFERROR(VLOOKUP(Calculations[[#This Row],[Material (choose from dropdown]],MaterialData[[#Headers],[#Data]],10,FALSE),0)</f>
        <v>0</v>
      </c>
      <c r="AL1293" s="322">
        <f>IFERROR(Calculations[[#This Row],[Data Quality Score]]*Calculations[[#This Row],[Total Kg]],0)</f>
        <v>0</v>
      </c>
    </row>
    <row r="1294" spans="1:38" x14ac:dyDescent="0.3">
      <c r="A1294" s="6">
        <f>IFERROR(MaterialsBoQ[[#This Row],[Scope Element]],0)</f>
        <v>0</v>
      </c>
      <c r="B1294" t="str">
        <f>IFERROR(MaterialsBoQ[[#This Row],[Material ]],"")</f>
        <v/>
      </c>
      <c r="C1294" t="str">
        <f>IFERROR(MaterialsBoQ[[#This Row],[Unit]],"")</f>
        <v/>
      </c>
      <c r="D1294" s="322">
        <f>IFERROR(MaterialsBoQ[[#This Row],[Number]],0)</f>
        <v>0</v>
      </c>
      <c r="E1294" s="322">
        <f>IFERROR(MaterialsBoQ[[#This Row],[Kg per unit]],0)</f>
        <v>0</v>
      </c>
      <c r="F1294" s="322">
        <f>IFERROR(Calculations[[#This Row],[Number]]*Calculations[[#This Row],[Conversion factor]],0)</f>
        <v>0</v>
      </c>
      <c r="G1294" s="322">
        <f>IFERROR(VLOOKUP(Calculations[[#This Row],[Material (choose from dropdown]],MaterialData[#All],7,FALSE),0)</f>
        <v>0</v>
      </c>
      <c r="H1294" s="322">
        <f>Calculations[[#This Row],[Total Kg]]*Calculations[[#This Row],[Carbon Factor]]</f>
        <v>0</v>
      </c>
      <c r="I1294" t="str">
        <f>IFERROR(VLOOKUP(Calculations[[#This Row],[Material (choose from dropdown]],MaterialData[#All],2,FALSE),"")</f>
        <v/>
      </c>
      <c r="J1294" s="322">
        <f>IFERROR(((VLOOKUP(Calculations[[#This Row],[TransportSource]],TransportDistance[],2,FALSE)*'Stage assumptions'!$C$11)+VLOOKUP(Calculations[[#This Row],[TransportSource]],TransportDistance[],3,FALSE)*'Stage assumptions'!$C$12)*Calculations[[#This Row],[Total Kg]],0)</f>
        <v>0</v>
      </c>
      <c r="K1294">
        <f>IFERROR(VLOOKUP(Calculations[[#This Row],[Material (choose from dropdown]], MaterialData[#All],3, FALSE),0)</f>
        <v>0</v>
      </c>
      <c r="L1294" s="322">
        <f>IFERROR(VLOOKUP(Calculations[[#This Row],[A5type]],A5WastageRate[#All],2,FALSE)*Calculations[[#This Row],[A1-3]],0)</f>
        <v>0</v>
      </c>
      <c r="N1294">
        <f>IFERROR(ROUNDUP(50/VLOOKUP(Calculations[[#This Row],[Scope Element]],B4referenceServiceLife[[Tier 2 element]:[Default Service Life]],2, FALSE)-1,0),0)</f>
        <v>0</v>
      </c>
      <c r="O1294" s="322">
        <f>IFERROR((Calculations[[#This Row],[A1-3]]+Calculations[[#This Row],[A4]]+Calculations[[#This Row],[A5]]+Calculations[[#This Row],[C2 total]]+Calculations[[#This Row],[C3 total]]+Calculations[[#This Row],[C4 total]])*Calculations[[#This Row],[Replacements]],0)</f>
        <v>0</v>
      </c>
      <c r="S1294" t="str">
        <f>IFERROR(VLOOKUP(Calculations[[#This Row],[Material (choose from dropdown]],MaterialData[#All],4,FALSE),"")</f>
        <v/>
      </c>
      <c r="T1294" s="322" cm="1">
        <f t="array" ref="T1294">IFERROR(VLOOKUP(Calculations[[#This Row],[Waste 1]],WasteScenario[#All],2,FALSE)*'Stage assumptions'!$C$225*WasteTransportMethod[Emissions Factor
kgCO2e/kg.km]*Calculations[[#This Row],[Total Kg]],0)</f>
        <v>0</v>
      </c>
      <c r="U1294" s="322" cm="1">
        <f t="array" ref="U1294">IFERROR(VLOOKUP(Calculations[[#This Row],[Waste 1]],WasteScenario[#All],3,FALSE)*'Stage assumptions'!$C$224*WasteTransportMethod[Emissions Factor
kgCO2e/kg.km]*Calculations[[#This Row],[Total Kg]],0)</f>
        <v>0</v>
      </c>
      <c r="V1294" s="322" cm="1">
        <f t="array" ref="V1294">IFERROR(VLOOKUP(Calculations[[#This Row],[Waste 1]],WasteScenario[#All],4,FALSE)*'Stage assumptions'!$C$223*WasteTransportMethod[Emissions Factor
kgCO2e/kg.km]*Calculations[[#This Row],[Total Kg]],0)</f>
        <v>0</v>
      </c>
      <c r="W1294" s="322" cm="1">
        <f t="array" ref="W1294">IFERROR(VLOOKUP(Calculations[[#This Row],[Waste 1]],WasteScenario[#All],5,FALSE)*'Stage assumptions'!$C$226*WasteTransportMethod[Emissions Factor
kgCO2e/kg.km]*Calculations[[#This Row],[Total Kg]],0)</f>
        <v>0</v>
      </c>
      <c r="X1294" s="322">
        <f>SUM(Calculations[[#This Row],[C2 Recycle]:[C2 Reuse]])</f>
        <v>0</v>
      </c>
      <c r="Y1294" t="str">
        <f>IFERROR(VLOOKUP(Calculations[[#This Row],[Material (choose from dropdown]],MaterialData[#All],5,FALSE),"")</f>
        <v/>
      </c>
      <c r="Z1294" s="322">
        <f>IFERROR(((VLOOKUP(Calculations[[#This Row],[Waste type 2]],WasteDisposalEmissions[#All],2,FALSE))*Calculations[[#This Row],[Total Kg]])*VLOOKUP(Calculations[[#This Row],[Waste 1]],WasteScenario[#All],2,FALSE),0)</f>
        <v>0</v>
      </c>
      <c r="AA1294" s="322">
        <f>IFERROR((VLOOKUP(Calculations[[#This Row],[Waste type 2]],WasteDisposalEmissions[#All],3,FALSE))*Calculations[[#This Row],[Total Kg]]*VLOOKUP(Calculations[[#This Row],[Waste 1]],WasteScenario[#All],3,FALSE),0)</f>
        <v>0</v>
      </c>
      <c r="AB1294" s="322">
        <f>SUM(Calculations[[#This Row],[C3 recyc]:[C3 incin]])</f>
        <v>0</v>
      </c>
      <c r="AC1294" s="334">
        <f>IFERROR((VLOOKUP(Calculations[[#This Row],[Waste type 2]],WasteLandfillEmissions[#All],2,FALSE))*Calculations[[#This Row],[Total Kg]]*VLOOKUP(Calculations[[#This Row],[Waste 1]],WasteScenario[#All],4,FALSE),0)</f>
        <v>0</v>
      </c>
      <c r="AD1294" s="322">
        <f>IFERROR((VLOOKUP(Calculations[[#This Row],[Waste type 2]],WasteLandfillEmissions[#All],3,FALSE))*Calculations[[#This Row],[Total Kg]]*VLOOKUP(Calculations[[#This Row],[Waste 1]],WasteScenario[#All],4,FALSE),0)</f>
        <v>0</v>
      </c>
      <c r="AE1294" s="322">
        <f>SUM(Calculations[[#This Row],[C4 landfill]:[C4 re-use]])</f>
        <v>0</v>
      </c>
      <c r="AF1294" s="322">
        <f>IFERROR(VLOOKUP(Calculations[[#This Row],[Material (choose from dropdown]],MaterialData[#All],8,FALSE),0)</f>
        <v>0</v>
      </c>
      <c r="AG1294" s="322">
        <f>IFERROR(Calculations[[#This Row],[Total Kg]]*Calculations[[#This Row],[Seq factor]],0)</f>
        <v>0</v>
      </c>
      <c r="AI1294" s="322">
        <f>Calculations[[#This Row],[A1-3]]+Calculations[[#This Row],[A4]]+Calculations[[#This Row],[A5]]+Calculations[[#This Row],[B4]]+Calculations[[#This Row],[C2 total]]+Calculations[[#This Row],[C3 total]]+Calculations[[#This Row],[C4 total]]</f>
        <v>0</v>
      </c>
      <c r="AJ1294" s="2">
        <f>IFERROR(VLOOKUP(Calculations[[#This Row],[Material (choose from dropdown]],MaterialData[[#Headers],[#Data]],9,FALSE),0)</f>
        <v>0</v>
      </c>
      <c r="AK1294" s="4">
        <f>IFERROR(VLOOKUP(Calculations[[#This Row],[Material (choose from dropdown]],MaterialData[[#Headers],[#Data]],10,FALSE),0)</f>
        <v>0</v>
      </c>
      <c r="AL1294" s="322">
        <f>IFERROR(Calculations[[#This Row],[Data Quality Score]]*Calculations[[#This Row],[Total Kg]],0)</f>
        <v>0</v>
      </c>
    </row>
    <row r="1295" spans="1:38" x14ac:dyDescent="0.3">
      <c r="A1295" s="6">
        <f>IFERROR(MaterialsBoQ[[#This Row],[Scope Element]],0)</f>
        <v>0</v>
      </c>
      <c r="B1295" t="str">
        <f>IFERROR(MaterialsBoQ[[#This Row],[Material ]],"")</f>
        <v/>
      </c>
      <c r="C1295" t="str">
        <f>IFERROR(MaterialsBoQ[[#This Row],[Unit]],"")</f>
        <v/>
      </c>
      <c r="D1295" s="322">
        <f>IFERROR(MaterialsBoQ[[#This Row],[Number]],0)</f>
        <v>0</v>
      </c>
      <c r="E1295" s="322">
        <f>IFERROR(MaterialsBoQ[[#This Row],[Kg per unit]],0)</f>
        <v>0</v>
      </c>
      <c r="F1295" s="322">
        <f>IFERROR(Calculations[[#This Row],[Number]]*Calculations[[#This Row],[Conversion factor]],0)</f>
        <v>0</v>
      </c>
      <c r="G1295" s="322">
        <f>IFERROR(VLOOKUP(Calculations[[#This Row],[Material (choose from dropdown]],MaterialData[#All],7,FALSE),0)</f>
        <v>0</v>
      </c>
      <c r="H1295" s="322">
        <f>Calculations[[#This Row],[Total Kg]]*Calculations[[#This Row],[Carbon Factor]]</f>
        <v>0</v>
      </c>
      <c r="I1295" t="str">
        <f>IFERROR(VLOOKUP(Calculations[[#This Row],[Material (choose from dropdown]],MaterialData[#All],2,FALSE),"")</f>
        <v/>
      </c>
      <c r="J1295" s="322">
        <f>IFERROR(((VLOOKUP(Calculations[[#This Row],[TransportSource]],TransportDistance[],2,FALSE)*'Stage assumptions'!$C$11)+VLOOKUP(Calculations[[#This Row],[TransportSource]],TransportDistance[],3,FALSE)*'Stage assumptions'!$C$12)*Calculations[[#This Row],[Total Kg]],0)</f>
        <v>0</v>
      </c>
      <c r="K1295">
        <f>IFERROR(VLOOKUP(Calculations[[#This Row],[Material (choose from dropdown]], MaterialData[#All],3, FALSE),0)</f>
        <v>0</v>
      </c>
      <c r="L1295" s="322">
        <f>IFERROR(VLOOKUP(Calculations[[#This Row],[A5type]],A5WastageRate[#All],2,FALSE)*Calculations[[#This Row],[A1-3]],0)</f>
        <v>0</v>
      </c>
      <c r="N1295">
        <f>IFERROR(ROUNDUP(50/VLOOKUP(Calculations[[#This Row],[Scope Element]],B4referenceServiceLife[[Tier 2 element]:[Default Service Life]],2, FALSE)-1,0),0)</f>
        <v>0</v>
      </c>
      <c r="O1295" s="322">
        <f>IFERROR((Calculations[[#This Row],[A1-3]]+Calculations[[#This Row],[A4]]+Calculations[[#This Row],[A5]]+Calculations[[#This Row],[C2 total]]+Calculations[[#This Row],[C3 total]]+Calculations[[#This Row],[C4 total]])*Calculations[[#This Row],[Replacements]],0)</f>
        <v>0</v>
      </c>
      <c r="S1295" t="str">
        <f>IFERROR(VLOOKUP(Calculations[[#This Row],[Material (choose from dropdown]],MaterialData[#All],4,FALSE),"")</f>
        <v/>
      </c>
      <c r="T1295" s="322" cm="1">
        <f t="array" ref="T1295">IFERROR(VLOOKUP(Calculations[[#This Row],[Waste 1]],WasteScenario[#All],2,FALSE)*'Stage assumptions'!$C$225*WasteTransportMethod[Emissions Factor
kgCO2e/kg.km]*Calculations[[#This Row],[Total Kg]],0)</f>
        <v>0</v>
      </c>
      <c r="U1295" s="322" cm="1">
        <f t="array" ref="U1295">IFERROR(VLOOKUP(Calculations[[#This Row],[Waste 1]],WasteScenario[#All],3,FALSE)*'Stage assumptions'!$C$224*WasteTransportMethod[Emissions Factor
kgCO2e/kg.km]*Calculations[[#This Row],[Total Kg]],0)</f>
        <v>0</v>
      </c>
      <c r="V1295" s="322" cm="1">
        <f t="array" ref="V1295">IFERROR(VLOOKUP(Calculations[[#This Row],[Waste 1]],WasteScenario[#All],4,FALSE)*'Stage assumptions'!$C$223*WasteTransportMethod[Emissions Factor
kgCO2e/kg.km]*Calculations[[#This Row],[Total Kg]],0)</f>
        <v>0</v>
      </c>
      <c r="W1295" s="322" cm="1">
        <f t="array" ref="W1295">IFERROR(VLOOKUP(Calculations[[#This Row],[Waste 1]],WasteScenario[#All],5,FALSE)*'Stage assumptions'!$C$226*WasteTransportMethod[Emissions Factor
kgCO2e/kg.km]*Calculations[[#This Row],[Total Kg]],0)</f>
        <v>0</v>
      </c>
      <c r="X1295" s="322">
        <f>SUM(Calculations[[#This Row],[C2 Recycle]:[C2 Reuse]])</f>
        <v>0</v>
      </c>
      <c r="Y1295" t="str">
        <f>IFERROR(VLOOKUP(Calculations[[#This Row],[Material (choose from dropdown]],MaterialData[#All],5,FALSE),"")</f>
        <v/>
      </c>
      <c r="Z1295" s="322">
        <f>IFERROR(((VLOOKUP(Calculations[[#This Row],[Waste type 2]],WasteDisposalEmissions[#All],2,FALSE))*Calculations[[#This Row],[Total Kg]])*VLOOKUP(Calculations[[#This Row],[Waste 1]],WasteScenario[#All],2,FALSE),0)</f>
        <v>0</v>
      </c>
      <c r="AA1295" s="322">
        <f>IFERROR((VLOOKUP(Calculations[[#This Row],[Waste type 2]],WasteDisposalEmissions[#All],3,FALSE))*Calculations[[#This Row],[Total Kg]]*VLOOKUP(Calculations[[#This Row],[Waste 1]],WasteScenario[#All],3,FALSE),0)</f>
        <v>0</v>
      </c>
      <c r="AB1295" s="322">
        <f>SUM(Calculations[[#This Row],[C3 recyc]:[C3 incin]])</f>
        <v>0</v>
      </c>
      <c r="AC1295" s="334">
        <f>IFERROR((VLOOKUP(Calculations[[#This Row],[Waste type 2]],WasteLandfillEmissions[#All],2,FALSE))*Calculations[[#This Row],[Total Kg]]*VLOOKUP(Calculations[[#This Row],[Waste 1]],WasteScenario[#All],4,FALSE),0)</f>
        <v>0</v>
      </c>
      <c r="AD1295" s="322">
        <f>IFERROR((VLOOKUP(Calculations[[#This Row],[Waste type 2]],WasteLandfillEmissions[#All],3,FALSE))*Calculations[[#This Row],[Total Kg]]*VLOOKUP(Calculations[[#This Row],[Waste 1]],WasteScenario[#All],4,FALSE),0)</f>
        <v>0</v>
      </c>
      <c r="AE1295" s="322">
        <f>SUM(Calculations[[#This Row],[C4 landfill]:[C4 re-use]])</f>
        <v>0</v>
      </c>
      <c r="AF1295" s="322">
        <f>IFERROR(VLOOKUP(Calculations[[#This Row],[Material (choose from dropdown]],MaterialData[#All],8,FALSE),0)</f>
        <v>0</v>
      </c>
      <c r="AG1295" s="322">
        <f>IFERROR(Calculations[[#This Row],[Total Kg]]*Calculations[[#This Row],[Seq factor]],0)</f>
        <v>0</v>
      </c>
      <c r="AI1295" s="322">
        <f>Calculations[[#This Row],[A1-3]]+Calculations[[#This Row],[A4]]+Calculations[[#This Row],[A5]]+Calculations[[#This Row],[B4]]+Calculations[[#This Row],[C2 total]]+Calculations[[#This Row],[C3 total]]+Calculations[[#This Row],[C4 total]]</f>
        <v>0</v>
      </c>
      <c r="AJ1295" s="2">
        <f>IFERROR(VLOOKUP(Calculations[[#This Row],[Material (choose from dropdown]],MaterialData[[#Headers],[#Data]],9,FALSE),0)</f>
        <v>0</v>
      </c>
      <c r="AK1295" s="4">
        <f>IFERROR(VLOOKUP(Calculations[[#This Row],[Material (choose from dropdown]],MaterialData[[#Headers],[#Data]],10,FALSE),0)</f>
        <v>0</v>
      </c>
      <c r="AL1295" s="322">
        <f>IFERROR(Calculations[[#This Row],[Data Quality Score]]*Calculations[[#This Row],[Total Kg]],0)</f>
        <v>0</v>
      </c>
    </row>
    <row r="1296" spans="1:38" x14ac:dyDescent="0.3">
      <c r="A1296" s="6">
        <f>IFERROR(MaterialsBoQ[[#This Row],[Scope Element]],0)</f>
        <v>0</v>
      </c>
      <c r="B1296" t="str">
        <f>IFERROR(MaterialsBoQ[[#This Row],[Material ]],"")</f>
        <v/>
      </c>
      <c r="C1296" t="str">
        <f>IFERROR(MaterialsBoQ[[#This Row],[Unit]],"")</f>
        <v/>
      </c>
      <c r="D1296" s="322">
        <f>IFERROR(MaterialsBoQ[[#This Row],[Number]],0)</f>
        <v>0</v>
      </c>
      <c r="E1296" s="322">
        <f>IFERROR(MaterialsBoQ[[#This Row],[Kg per unit]],0)</f>
        <v>0</v>
      </c>
      <c r="F1296" s="322">
        <f>IFERROR(Calculations[[#This Row],[Number]]*Calculations[[#This Row],[Conversion factor]],0)</f>
        <v>0</v>
      </c>
      <c r="G1296" s="322">
        <f>IFERROR(VLOOKUP(Calculations[[#This Row],[Material (choose from dropdown]],MaterialData[#All],7,FALSE),0)</f>
        <v>0</v>
      </c>
      <c r="H1296" s="322">
        <f>Calculations[[#This Row],[Total Kg]]*Calculations[[#This Row],[Carbon Factor]]</f>
        <v>0</v>
      </c>
      <c r="I1296" t="str">
        <f>IFERROR(VLOOKUP(Calculations[[#This Row],[Material (choose from dropdown]],MaterialData[#All],2,FALSE),"")</f>
        <v/>
      </c>
      <c r="J1296" s="322">
        <f>IFERROR(((VLOOKUP(Calculations[[#This Row],[TransportSource]],TransportDistance[],2,FALSE)*'Stage assumptions'!$C$11)+VLOOKUP(Calculations[[#This Row],[TransportSource]],TransportDistance[],3,FALSE)*'Stage assumptions'!$C$12)*Calculations[[#This Row],[Total Kg]],0)</f>
        <v>0</v>
      </c>
      <c r="K1296">
        <f>IFERROR(VLOOKUP(Calculations[[#This Row],[Material (choose from dropdown]], MaterialData[#All],3, FALSE),0)</f>
        <v>0</v>
      </c>
      <c r="L1296" s="322">
        <f>IFERROR(VLOOKUP(Calculations[[#This Row],[A5type]],A5WastageRate[#All],2,FALSE)*Calculations[[#This Row],[A1-3]],0)</f>
        <v>0</v>
      </c>
      <c r="N1296">
        <f>IFERROR(ROUNDUP(50/VLOOKUP(Calculations[[#This Row],[Scope Element]],B4referenceServiceLife[[Tier 2 element]:[Default Service Life]],2, FALSE)-1,0),0)</f>
        <v>0</v>
      </c>
      <c r="O1296" s="322">
        <f>IFERROR((Calculations[[#This Row],[A1-3]]+Calculations[[#This Row],[A4]]+Calculations[[#This Row],[A5]]+Calculations[[#This Row],[C2 total]]+Calculations[[#This Row],[C3 total]]+Calculations[[#This Row],[C4 total]])*Calculations[[#This Row],[Replacements]],0)</f>
        <v>0</v>
      </c>
      <c r="S1296" t="str">
        <f>IFERROR(VLOOKUP(Calculations[[#This Row],[Material (choose from dropdown]],MaterialData[#All],4,FALSE),"")</f>
        <v/>
      </c>
      <c r="T1296" s="322" cm="1">
        <f t="array" ref="T1296">IFERROR(VLOOKUP(Calculations[[#This Row],[Waste 1]],WasteScenario[#All],2,FALSE)*'Stage assumptions'!$C$225*WasteTransportMethod[Emissions Factor
kgCO2e/kg.km]*Calculations[[#This Row],[Total Kg]],0)</f>
        <v>0</v>
      </c>
      <c r="U1296" s="322" cm="1">
        <f t="array" ref="U1296">IFERROR(VLOOKUP(Calculations[[#This Row],[Waste 1]],WasteScenario[#All],3,FALSE)*'Stage assumptions'!$C$224*WasteTransportMethod[Emissions Factor
kgCO2e/kg.km]*Calculations[[#This Row],[Total Kg]],0)</f>
        <v>0</v>
      </c>
      <c r="V1296" s="322" cm="1">
        <f t="array" ref="V1296">IFERROR(VLOOKUP(Calculations[[#This Row],[Waste 1]],WasteScenario[#All],4,FALSE)*'Stage assumptions'!$C$223*WasteTransportMethod[Emissions Factor
kgCO2e/kg.km]*Calculations[[#This Row],[Total Kg]],0)</f>
        <v>0</v>
      </c>
      <c r="W1296" s="322" cm="1">
        <f t="array" ref="W1296">IFERROR(VLOOKUP(Calculations[[#This Row],[Waste 1]],WasteScenario[#All],5,FALSE)*'Stage assumptions'!$C$226*WasteTransportMethod[Emissions Factor
kgCO2e/kg.km]*Calculations[[#This Row],[Total Kg]],0)</f>
        <v>0</v>
      </c>
      <c r="X1296" s="322">
        <f>SUM(Calculations[[#This Row],[C2 Recycle]:[C2 Reuse]])</f>
        <v>0</v>
      </c>
      <c r="Y1296" t="str">
        <f>IFERROR(VLOOKUP(Calculations[[#This Row],[Material (choose from dropdown]],MaterialData[#All],5,FALSE),"")</f>
        <v/>
      </c>
      <c r="Z1296" s="322">
        <f>IFERROR(((VLOOKUP(Calculations[[#This Row],[Waste type 2]],WasteDisposalEmissions[#All],2,FALSE))*Calculations[[#This Row],[Total Kg]])*VLOOKUP(Calculations[[#This Row],[Waste 1]],WasteScenario[#All],2,FALSE),0)</f>
        <v>0</v>
      </c>
      <c r="AA1296" s="322">
        <f>IFERROR((VLOOKUP(Calculations[[#This Row],[Waste type 2]],WasteDisposalEmissions[#All],3,FALSE))*Calculations[[#This Row],[Total Kg]]*VLOOKUP(Calculations[[#This Row],[Waste 1]],WasteScenario[#All],3,FALSE),0)</f>
        <v>0</v>
      </c>
      <c r="AB1296" s="322">
        <f>SUM(Calculations[[#This Row],[C3 recyc]:[C3 incin]])</f>
        <v>0</v>
      </c>
      <c r="AC1296" s="334">
        <f>IFERROR((VLOOKUP(Calculations[[#This Row],[Waste type 2]],WasteLandfillEmissions[#All],2,FALSE))*Calculations[[#This Row],[Total Kg]]*VLOOKUP(Calculations[[#This Row],[Waste 1]],WasteScenario[#All],4,FALSE),0)</f>
        <v>0</v>
      </c>
      <c r="AD1296" s="322">
        <f>IFERROR((VLOOKUP(Calculations[[#This Row],[Waste type 2]],WasteLandfillEmissions[#All],3,FALSE))*Calculations[[#This Row],[Total Kg]]*VLOOKUP(Calculations[[#This Row],[Waste 1]],WasteScenario[#All],4,FALSE),0)</f>
        <v>0</v>
      </c>
      <c r="AE1296" s="322">
        <f>SUM(Calculations[[#This Row],[C4 landfill]:[C4 re-use]])</f>
        <v>0</v>
      </c>
      <c r="AF1296" s="322">
        <f>IFERROR(VLOOKUP(Calculations[[#This Row],[Material (choose from dropdown]],MaterialData[#All],8,FALSE),0)</f>
        <v>0</v>
      </c>
      <c r="AG1296" s="322">
        <f>IFERROR(Calculations[[#This Row],[Total Kg]]*Calculations[[#This Row],[Seq factor]],0)</f>
        <v>0</v>
      </c>
      <c r="AI1296" s="322">
        <f>Calculations[[#This Row],[A1-3]]+Calculations[[#This Row],[A4]]+Calculations[[#This Row],[A5]]+Calculations[[#This Row],[B4]]+Calculations[[#This Row],[C2 total]]+Calculations[[#This Row],[C3 total]]+Calculations[[#This Row],[C4 total]]</f>
        <v>0</v>
      </c>
      <c r="AJ1296" s="2">
        <f>IFERROR(VLOOKUP(Calculations[[#This Row],[Material (choose from dropdown]],MaterialData[[#Headers],[#Data]],9,FALSE),0)</f>
        <v>0</v>
      </c>
      <c r="AK1296" s="4">
        <f>IFERROR(VLOOKUP(Calculations[[#This Row],[Material (choose from dropdown]],MaterialData[[#Headers],[#Data]],10,FALSE),0)</f>
        <v>0</v>
      </c>
      <c r="AL1296" s="322">
        <f>IFERROR(Calculations[[#This Row],[Data Quality Score]]*Calculations[[#This Row],[Total Kg]],0)</f>
        <v>0</v>
      </c>
    </row>
    <row r="1297" spans="1:38" x14ac:dyDescent="0.3">
      <c r="A1297" s="6">
        <f>IFERROR(MaterialsBoQ[[#This Row],[Scope Element]],0)</f>
        <v>0</v>
      </c>
      <c r="B1297" t="str">
        <f>IFERROR(MaterialsBoQ[[#This Row],[Material ]],"")</f>
        <v/>
      </c>
      <c r="C1297" t="str">
        <f>IFERROR(MaterialsBoQ[[#This Row],[Unit]],"")</f>
        <v/>
      </c>
      <c r="D1297" s="322">
        <f>IFERROR(MaterialsBoQ[[#This Row],[Number]],0)</f>
        <v>0</v>
      </c>
      <c r="E1297" s="322">
        <f>IFERROR(MaterialsBoQ[[#This Row],[Kg per unit]],0)</f>
        <v>0</v>
      </c>
      <c r="F1297" s="322">
        <f>IFERROR(Calculations[[#This Row],[Number]]*Calculations[[#This Row],[Conversion factor]],0)</f>
        <v>0</v>
      </c>
      <c r="G1297" s="322">
        <f>IFERROR(VLOOKUP(Calculations[[#This Row],[Material (choose from dropdown]],MaterialData[#All],7,FALSE),0)</f>
        <v>0</v>
      </c>
      <c r="H1297" s="322">
        <f>Calculations[[#This Row],[Total Kg]]*Calculations[[#This Row],[Carbon Factor]]</f>
        <v>0</v>
      </c>
      <c r="I1297" t="str">
        <f>IFERROR(VLOOKUP(Calculations[[#This Row],[Material (choose from dropdown]],MaterialData[#All],2,FALSE),"")</f>
        <v/>
      </c>
      <c r="J1297" s="322">
        <f>IFERROR(((VLOOKUP(Calculations[[#This Row],[TransportSource]],TransportDistance[],2,FALSE)*'Stage assumptions'!$C$11)+VLOOKUP(Calculations[[#This Row],[TransportSource]],TransportDistance[],3,FALSE)*'Stage assumptions'!$C$12)*Calculations[[#This Row],[Total Kg]],0)</f>
        <v>0</v>
      </c>
      <c r="K1297">
        <f>IFERROR(VLOOKUP(Calculations[[#This Row],[Material (choose from dropdown]], MaterialData[#All],3, FALSE),0)</f>
        <v>0</v>
      </c>
      <c r="L1297" s="322">
        <f>IFERROR(VLOOKUP(Calculations[[#This Row],[A5type]],A5WastageRate[#All],2,FALSE)*Calculations[[#This Row],[A1-3]],0)</f>
        <v>0</v>
      </c>
      <c r="N1297">
        <f>IFERROR(ROUNDUP(50/VLOOKUP(Calculations[[#This Row],[Scope Element]],B4referenceServiceLife[[Tier 2 element]:[Default Service Life]],2, FALSE)-1,0),0)</f>
        <v>0</v>
      </c>
      <c r="O1297" s="322">
        <f>IFERROR((Calculations[[#This Row],[A1-3]]+Calculations[[#This Row],[A4]]+Calculations[[#This Row],[A5]]+Calculations[[#This Row],[C2 total]]+Calculations[[#This Row],[C3 total]]+Calculations[[#This Row],[C4 total]])*Calculations[[#This Row],[Replacements]],0)</f>
        <v>0</v>
      </c>
      <c r="S1297" t="str">
        <f>IFERROR(VLOOKUP(Calculations[[#This Row],[Material (choose from dropdown]],MaterialData[#All],4,FALSE),"")</f>
        <v/>
      </c>
      <c r="T1297" s="322" cm="1">
        <f t="array" ref="T1297">IFERROR(VLOOKUP(Calculations[[#This Row],[Waste 1]],WasteScenario[#All],2,FALSE)*'Stage assumptions'!$C$225*WasteTransportMethod[Emissions Factor
kgCO2e/kg.km]*Calculations[[#This Row],[Total Kg]],0)</f>
        <v>0</v>
      </c>
      <c r="U1297" s="322" cm="1">
        <f t="array" ref="U1297">IFERROR(VLOOKUP(Calculations[[#This Row],[Waste 1]],WasteScenario[#All],3,FALSE)*'Stage assumptions'!$C$224*WasteTransportMethod[Emissions Factor
kgCO2e/kg.km]*Calculations[[#This Row],[Total Kg]],0)</f>
        <v>0</v>
      </c>
      <c r="V1297" s="322" cm="1">
        <f t="array" ref="V1297">IFERROR(VLOOKUP(Calculations[[#This Row],[Waste 1]],WasteScenario[#All],4,FALSE)*'Stage assumptions'!$C$223*WasteTransportMethod[Emissions Factor
kgCO2e/kg.km]*Calculations[[#This Row],[Total Kg]],0)</f>
        <v>0</v>
      </c>
      <c r="W1297" s="322" cm="1">
        <f t="array" ref="W1297">IFERROR(VLOOKUP(Calculations[[#This Row],[Waste 1]],WasteScenario[#All],5,FALSE)*'Stage assumptions'!$C$226*WasteTransportMethod[Emissions Factor
kgCO2e/kg.km]*Calculations[[#This Row],[Total Kg]],0)</f>
        <v>0</v>
      </c>
      <c r="X1297" s="322">
        <f>SUM(Calculations[[#This Row],[C2 Recycle]:[C2 Reuse]])</f>
        <v>0</v>
      </c>
      <c r="Y1297" t="str">
        <f>IFERROR(VLOOKUP(Calculations[[#This Row],[Material (choose from dropdown]],MaterialData[#All],5,FALSE),"")</f>
        <v/>
      </c>
      <c r="Z1297" s="322">
        <f>IFERROR(((VLOOKUP(Calculations[[#This Row],[Waste type 2]],WasteDisposalEmissions[#All],2,FALSE))*Calculations[[#This Row],[Total Kg]])*VLOOKUP(Calculations[[#This Row],[Waste 1]],WasteScenario[#All],2,FALSE),0)</f>
        <v>0</v>
      </c>
      <c r="AA1297" s="322">
        <f>IFERROR((VLOOKUP(Calculations[[#This Row],[Waste type 2]],WasteDisposalEmissions[#All],3,FALSE))*Calculations[[#This Row],[Total Kg]]*VLOOKUP(Calculations[[#This Row],[Waste 1]],WasteScenario[#All],3,FALSE),0)</f>
        <v>0</v>
      </c>
      <c r="AB1297" s="322">
        <f>SUM(Calculations[[#This Row],[C3 recyc]:[C3 incin]])</f>
        <v>0</v>
      </c>
      <c r="AC1297" s="334">
        <f>IFERROR((VLOOKUP(Calculations[[#This Row],[Waste type 2]],WasteLandfillEmissions[#All],2,FALSE))*Calculations[[#This Row],[Total Kg]]*VLOOKUP(Calculations[[#This Row],[Waste 1]],WasteScenario[#All],4,FALSE),0)</f>
        <v>0</v>
      </c>
      <c r="AD1297" s="322">
        <f>IFERROR((VLOOKUP(Calculations[[#This Row],[Waste type 2]],WasteLandfillEmissions[#All],3,FALSE))*Calculations[[#This Row],[Total Kg]]*VLOOKUP(Calculations[[#This Row],[Waste 1]],WasteScenario[#All],4,FALSE),0)</f>
        <v>0</v>
      </c>
      <c r="AE1297" s="322">
        <f>SUM(Calculations[[#This Row],[C4 landfill]:[C4 re-use]])</f>
        <v>0</v>
      </c>
      <c r="AF1297" s="322">
        <f>IFERROR(VLOOKUP(Calculations[[#This Row],[Material (choose from dropdown]],MaterialData[#All],8,FALSE),0)</f>
        <v>0</v>
      </c>
      <c r="AG1297" s="322">
        <f>IFERROR(Calculations[[#This Row],[Total Kg]]*Calculations[[#This Row],[Seq factor]],0)</f>
        <v>0</v>
      </c>
      <c r="AI1297" s="322">
        <f>Calculations[[#This Row],[A1-3]]+Calculations[[#This Row],[A4]]+Calculations[[#This Row],[A5]]+Calculations[[#This Row],[B4]]+Calculations[[#This Row],[C2 total]]+Calculations[[#This Row],[C3 total]]+Calculations[[#This Row],[C4 total]]</f>
        <v>0</v>
      </c>
      <c r="AJ1297" s="2">
        <f>IFERROR(VLOOKUP(Calculations[[#This Row],[Material (choose from dropdown]],MaterialData[[#Headers],[#Data]],9,FALSE),0)</f>
        <v>0</v>
      </c>
      <c r="AK1297" s="4">
        <f>IFERROR(VLOOKUP(Calculations[[#This Row],[Material (choose from dropdown]],MaterialData[[#Headers],[#Data]],10,FALSE),0)</f>
        <v>0</v>
      </c>
      <c r="AL1297" s="322">
        <f>IFERROR(Calculations[[#This Row],[Data Quality Score]]*Calculations[[#This Row],[Total Kg]],0)</f>
        <v>0</v>
      </c>
    </row>
    <row r="1298" spans="1:38" x14ac:dyDescent="0.3">
      <c r="A1298" s="6">
        <f>IFERROR(MaterialsBoQ[[#This Row],[Scope Element]],0)</f>
        <v>0</v>
      </c>
      <c r="B1298" t="str">
        <f>IFERROR(MaterialsBoQ[[#This Row],[Material ]],"")</f>
        <v/>
      </c>
      <c r="C1298" t="str">
        <f>IFERROR(MaterialsBoQ[[#This Row],[Unit]],"")</f>
        <v/>
      </c>
      <c r="D1298" s="322">
        <f>IFERROR(MaterialsBoQ[[#This Row],[Number]],0)</f>
        <v>0</v>
      </c>
      <c r="E1298" s="322">
        <f>IFERROR(MaterialsBoQ[[#This Row],[Kg per unit]],0)</f>
        <v>0</v>
      </c>
      <c r="F1298" s="322">
        <f>IFERROR(Calculations[[#This Row],[Number]]*Calculations[[#This Row],[Conversion factor]],0)</f>
        <v>0</v>
      </c>
      <c r="G1298" s="322">
        <f>IFERROR(VLOOKUP(Calculations[[#This Row],[Material (choose from dropdown]],MaterialData[#All],7,FALSE),0)</f>
        <v>0</v>
      </c>
      <c r="H1298" s="322">
        <f>Calculations[[#This Row],[Total Kg]]*Calculations[[#This Row],[Carbon Factor]]</f>
        <v>0</v>
      </c>
      <c r="I1298" t="str">
        <f>IFERROR(VLOOKUP(Calculations[[#This Row],[Material (choose from dropdown]],MaterialData[#All],2,FALSE),"")</f>
        <v/>
      </c>
      <c r="J1298" s="322">
        <f>IFERROR(((VLOOKUP(Calculations[[#This Row],[TransportSource]],TransportDistance[],2,FALSE)*'Stage assumptions'!$C$11)+VLOOKUP(Calculations[[#This Row],[TransportSource]],TransportDistance[],3,FALSE)*'Stage assumptions'!$C$12)*Calculations[[#This Row],[Total Kg]],0)</f>
        <v>0</v>
      </c>
      <c r="K1298">
        <f>IFERROR(VLOOKUP(Calculations[[#This Row],[Material (choose from dropdown]], MaterialData[#All],3, FALSE),0)</f>
        <v>0</v>
      </c>
      <c r="L1298" s="322">
        <f>IFERROR(VLOOKUP(Calculations[[#This Row],[A5type]],A5WastageRate[#All],2,FALSE)*Calculations[[#This Row],[A1-3]],0)</f>
        <v>0</v>
      </c>
      <c r="N1298">
        <f>IFERROR(ROUNDUP(50/VLOOKUP(Calculations[[#This Row],[Scope Element]],B4referenceServiceLife[[Tier 2 element]:[Default Service Life]],2, FALSE)-1,0),0)</f>
        <v>0</v>
      </c>
      <c r="O1298" s="322">
        <f>IFERROR((Calculations[[#This Row],[A1-3]]+Calculations[[#This Row],[A4]]+Calculations[[#This Row],[A5]]+Calculations[[#This Row],[C2 total]]+Calculations[[#This Row],[C3 total]]+Calculations[[#This Row],[C4 total]])*Calculations[[#This Row],[Replacements]],0)</f>
        <v>0</v>
      </c>
      <c r="S1298" t="str">
        <f>IFERROR(VLOOKUP(Calculations[[#This Row],[Material (choose from dropdown]],MaterialData[#All],4,FALSE),"")</f>
        <v/>
      </c>
      <c r="T1298" s="322" cm="1">
        <f t="array" ref="T1298">IFERROR(VLOOKUP(Calculations[[#This Row],[Waste 1]],WasteScenario[#All],2,FALSE)*'Stage assumptions'!$C$225*WasteTransportMethod[Emissions Factor
kgCO2e/kg.km]*Calculations[[#This Row],[Total Kg]],0)</f>
        <v>0</v>
      </c>
      <c r="U1298" s="322" cm="1">
        <f t="array" ref="U1298">IFERROR(VLOOKUP(Calculations[[#This Row],[Waste 1]],WasteScenario[#All],3,FALSE)*'Stage assumptions'!$C$224*WasteTransportMethod[Emissions Factor
kgCO2e/kg.km]*Calculations[[#This Row],[Total Kg]],0)</f>
        <v>0</v>
      </c>
      <c r="V1298" s="322" cm="1">
        <f t="array" ref="V1298">IFERROR(VLOOKUP(Calculations[[#This Row],[Waste 1]],WasteScenario[#All],4,FALSE)*'Stage assumptions'!$C$223*WasteTransportMethod[Emissions Factor
kgCO2e/kg.km]*Calculations[[#This Row],[Total Kg]],0)</f>
        <v>0</v>
      </c>
      <c r="W1298" s="322" cm="1">
        <f t="array" ref="W1298">IFERROR(VLOOKUP(Calculations[[#This Row],[Waste 1]],WasteScenario[#All],5,FALSE)*'Stage assumptions'!$C$226*WasteTransportMethod[Emissions Factor
kgCO2e/kg.km]*Calculations[[#This Row],[Total Kg]],0)</f>
        <v>0</v>
      </c>
      <c r="X1298" s="322">
        <f>SUM(Calculations[[#This Row],[C2 Recycle]:[C2 Reuse]])</f>
        <v>0</v>
      </c>
      <c r="Y1298" t="str">
        <f>IFERROR(VLOOKUP(Calculations[[#This Row],[Material (choose from dropdown]],MaterialData[#All],5,FALSE),"")</f>
        <v/>
      </c>
      <c r="Z1298" s="322">
        <f>IFERROR(((VLOOKUP(Calculations[[#This Row],[Waste type 2]],WasteDisposalEmissions[#All],2,FALSE))*Calculations[[#This Row],[Total Kg]])*VLOOKUP(Calculations[[#This Row],[Waste 1]],WasteScenario[#All],2,FALSE),0)</f>
        <v>0</v>
      </c>
      <c r="AA1298" s="322">
        <f>IFERROR((VLOOKUP(Calculations[[#This Row],[Waste type 2]],WasteDisposalEmissions[#All],3,FALSE))*Calculations[[#This Row],[Total Kg]]*VLOOKUP(Calculations[[#This Row],[Waste 1]],WasteScenario[#All],3,FALSE),0)</f>
        <v>0</v>
      </c>
      <c r="AB1298" s="322">
        <f>SUM(Calculations[[#This Row],[C3 recyc]:[C3 incin]])</f>
        <v>0</v>
      </c>
      <c r="AC1298" s="334">
        <f>IFERROR((VLOOKUP(Calculations[[#This Row],[Waste type 2]],WasteLandfillEmissions[#All],2,FALSE))*Calculations[[#This Row],[Total Kg]]*VLOOKUP(Calculations[[#This Row],[Waste 1]],WasteScenario[#All],4,FALSE),0)</f>
        <v>0</v>
      </c>
      <c r="AD1298" s="322">
        <f>IFERROR((VLOOKUP(Calculations[[#This Row],[Waste type 2]],WasteLandfillEmissions[#All],3,FALSE))*Calculations[[#This Row],[Total Kg]]*VLOOKUP(Calculations[[#This Row],[Waste 1]],WasteScenario[#All],4,FALSE),0)</f>
        <v>0</v>
      </c>
      <c r="AE1298" s="322">
        <f>SUM(Calculations[[#This Row],[C4 landfill]:[C4 re-use]])</f>
        <v>0</v>
      </c>
      <c r="AF1298" s="322">
        <f>IFERROR(VLOOKUP(Calculations[[#This Row],[Material (choose from dropdown]],MaterialData[#All],8,FALSE),0)</f>
        <v>0</v>
      </c>
      <c r="AG1298" s="322">
        <f>IFERROR(Calculations[[#This Row],[Total Kg]]*Calculations[[#This Row],[Seq factor]],0)</f>
        <v>0</v>
      </c>
      <c r="AI1298" s="322">
        <f>Calculations[[#This Row],[A1-3]]+Calculations[[#This Row],[A4]]+Calculations[[#This Row],[A5]]+Calculations[[#This Row],[B4]]+Calculations[[#This Row],[C2 total]]+Calculations[[#This Row],[C3 total]]+Calculations[[#This Row],[C4 total]]</f>
        <v>0</v>
      </c>
      <c r="AJ1298" s="2">
        <f>IFERROR(VLOOKUP(Calculations[[#This Row],[Material (choose from dropdown]],MaterialData[[#Headers],[#Data]],9,FALSE),0)</f>
        <v>0</v>
      </c>
      <c r="AK1298" s="4">
        <f>IFERROR(VLOOKUP(Calculations[[#This Row],[Material (choose from dropdown]],MaterialData[[#Headers],[#Data]],10,FALSE),0)</f>
        <v>0</v>
      </c>
      <c r="AL1298" s="322">
        <f>IFERROR(Calculations[[#This Row],[Data Quality Score]]*Calculations[[#This Row],[Total Kg]],0)</f>
        <v>0</v>
      </c>
    </row>
    <row r="1299" spans="1:38" x14ac:dyDescent="0.3">
      <c r="A1299" s="6">
        <f>IFERROR(MaterialsBoQ[[#This Row],[Scope Element]],0)</f>
        <v>0</v>
      </c>
      <c r="B1299" t="str">
        <f>IFERROR(MaterialsBoQ[[#This Row],[Material ]],"")</f>
        <v/>
      </c>
      <c r="C1299" t="str">
        <f>IFERROR(MaterialsBoQ[[#This Row],[Unit]],"")</f>
        <v/>
      </c>
      <c r="D1299" s="322">
        <f>IFERROR(MaterialsBoQ[[#This Row],[Number]],0)</f>
        <v>0</v>
      </c>
      <c r="E1299" s="322">
        <f>IFERROR(MaterialsBoQ[[#This Row],[Kg per unit]],0)</f>
        <v>0</v>
      </c>
      <c r="F1299" s="322">
        <f>IFERROR(Calculations[[#This Row],[Number]]*Calculations[[#This Row],[Conversion factor]],0)</f>
        <v>0</v>
      </c>
      <c r="G1299" s="322">
        <f>IFERROR(VLOOKUP(Calculations[[#This Row],[Material (choose from dropdown]],MaterialData[#All],7,FALSE),0)</f>
        <v>0</v>
      </c>
      <c r="H1299" s="322">
        <f>Calculations[[#This Row],[Total Kg]]*Calculations[[#This Row],[Carbon Factor]]</f>
        <v>0</v>
      </c>
      <c r="I1299" t="str">
        <f>IFERROR(VLOOKUP(Calculations[[#This Row],[Material (choose from dropdown]],MaterialData[#All],2,FALSE),"")</f>
        <v/>
      </c>
      <c r="J1299" s="322">
        <f>IFERROR(((VLOOKUP(Calculations[[#This Row],[TransportSource]],TransportDistance[],2,FALSE)*'Stage assumptions'!$C$11)+VLOOKUP(Calculations[[#This Row],[TransportSource]],TransportDistance[],3,FALSE)*'Stage assumptions'!$C$12)*Calculations[[#This Row],[Total Kg]],0)</f>
        <v>0</v>
      </c>
      <c r="K1299">
        <f>IFERROR(VLOOKUP(Calculations[[#This Row],[Material (choose from dropdown]], MaterialData[#All],3, FALSE),0)</f>
        <v>0</v>
      </c>
      <c r="L1299" s="322">
        <f>IFERROR(VLOOKUP(Calculations[[#This Row],[A5type]],A5WastageRate[#All],2,FALSE)*Calculations[[#This Row],[A1-3]],0)</f>
        <v>0</v>
      </c>
      <c r="N1299">
        <f>IFERROR(ROUNDUP(50/VLOOKUP(Calculations[[#This Row],[Scope Element]],B4referenceServiceLife[[Tier 2 element]:[Default Service Life]],2, FALSE)-1,0),0)</f>
        <v>0</v>
      </c>
      <c r="O1299" s="322">
        <f>IFERROR((Calculations[[#This Row],[A1-3]]+Calculations[[#This Row],[A4]]+Calculations[[#This Row],[A5]]+Calculations[[#This Row],[C2 total]]+Calculations[[#This Row],[C3 total]]+Calculations[[#This Row],[C4 total]])*Calculations[[#This Row],[Replacements]],0)</f>
        <v>0</v>
      </c>
      <c r="S1299" t="str">
        <f>IFERROR(VLOOKUP(Calculations[[#This Row],[Material (choose from dropdown]],MaterialData[#All],4,FALSE),"")</f>
        <v/>
      </c>
      <c r="T1299" s="322" cm="1">
        <f t="array" ref="T1299">IFERROR(VLOOKUP(Calculations[[#This Row],[Waste 1]],WasteScenario[#All],2,FALSE)*'Stage assumptions'!$C$225*WasteTransportMethod[Emissions Factor
kgCO2e/kg.km]*Calculations[[#This Row],[Total Kg]],0)</f>
        <v>0</v>
      </c>
      <c r="U1299" s="322" cm="1">
        <f t="array" ref="U1299">IFERROR(VLOOKUP(Calculations[[#This Row],[Waste 1]],WasteScenario[#All],3,FALSE)*'Stage assumptions'!$C$224*WasteTransportMethod[Emissions Factor
kgCO2e/kg.km]*Calculations[[#This Row],[Total Kg]],0)</f>
        <v>0</v>
      </c>
      <c r="V1299" s="322" cm="1">
        <f t="array" ref="V1299">IFERROR(VLOOKUP(Calculations[[#This Row],[Waste 1]],WasteScenario[#All],4,FALSE)*'Stage assumptions'!$C$223*WasteTransportMethod[Emissions Factor
kgCO2e/kg.km]*Calculations[[#This Row],[Total Kg]],0)</f>
        <v>0</v>
      </c>
      <c r="W1299" s="322" cm="1">
        <f t="array" ref="W1299">IFERROR(VLOOKUP(Calculations[[#This Row],[Waste 1]],WasteScenario[#All],5,FALSE)*'Stage assumptions'!$C$226*WasteTransportMethod[Emissions Factor
kgCO2e/kg.km]*Calculations[[#This Row],[Total Kg]],0)</f>
        <v>0</v>
      </c>
      <c r="X1299" s="322">
        <f>SUM(Calculations[[#This Row],[C2 Recycle]:[C2 Reuse]])</f>
        <v>0</v>
      </c>
      <c r="Y1299" t="str">
        <f>IFERROR(VLOOKUP(Calculations[[#This Row],[Material (choose from dropdown]],MaterialData[#All],5,FALSE),"")</f>
        <v/>
      </c>
      <c r="Z1299" s="322">
        <f>IFERROR(((VLOOKUP(Calculations[[#This Row],[Waste type 2]],WasteDisposalEmissions[#All],2,FALSE))*Calculations[[#This Row],[Total Kg]])*VLOOKUP(Calculations[[#This Row],[Waste 1]],WasteScenario[#All],2,FALSE),0)</f>
        <v>0</v>
      </c>
      <c r="AA1299" s="322">
        <f>IFERROR((VLOOKUP(Calculations[[#This Row],[Waste type 2]],WasteDisposalEmissions[#All],3,FALSE))*Calculations[[#This Row],[Total Kg]]*VLOOKUP(Calculations[[#This Row],[Waste 1]],WasteScenario[#All],3,FALSE),0)</f>
        <v>0</v>
      </c>
      <c r="AB1299" s="322">
        <f>SUM(Calculations[[#This Row],[C3 recyc]:[C3 incin]])</f>
        <v>0</v>
      </c>
      <c r="AC1299" s="334">
        <f>IFERROR((VLOOKUP(Calculations[[#This Row],[Waste type 2]],WasteLandfillEmissions[#All],2,FALSE))*Calculations[[#This Row],[Total Kg]]*VLOOKUP(Calculations[[#This Row],[Waste 1]],WasteScenario[#All],4,FALSE),0)</f>
        <v>0</v>
      </c>
      <c r="AD1299" s="322">
        <f>IFERROR((VLOOKUP(Calculations[[#This Row],[Waste type 2]],WasteLandfillEmissions[#All],3,FALSE))*Calculations[[#This Row],[Total Kg]]*VLOOKUP(Calculations[[#This Row],[Waste 1]],WasteScenario[#All],4,FALSE),0)</f>
        <v>0</v>
      </c>
      <c r="AE1299" s="322">
        <f>SUM(Calculations[[#This Row],[C4 landfill]:[C4 re-use]])</f>
        <v>0</v>
      </c>
      <c r="AF1299" s="322">
        <f>IFERROR(VLOOKUP(Calculations[[#This Row],[Material (choose from dropdown]],MaterialData[#All],8,FALSE),0)</f>
        <v>0</v>
      </c>
      <c r="AG1299" s="322">
        <f>IFERROR(Calculations[[#This Row],[Total Kg]]*Calculations[[#This Row],[Seq factor]],0)</f>
        <v>0</v>
      </c>
      <c r="AI1299" s="322">
        <f>Calculations[[#This Row],[A1-3]]+Calculations[[#This Row],[A4]]+Calculations[[#This Row],[A5]]+Calculations[[#This Row],[B4]]+Calculations[[#This Row],[C2 total]]+Calculations[[#This Row],[C3 total]]+Calculations[[#This Row],[C4 total]]</f>
        <v>0</v>
      </c>
      <c r="AJ1299" s="2">
        <f>IFERROR(VLOOKUP(Calculations[[#This Row],[Material (choose from dropdown]],MaterialData[[#Headers],[#Data]],9,FALSE),0)</f>
        <v>0</v>
      </c>
      <c r="AK1299" s="4">
        <f>IFERROR(VLOOKUP(Calculations[[#This Row],[Material (choose from dropdown]],MaterialData[[#Headers],[#Data]],10,FALSE),0)</f>
        <v>0</v>
      </c>
      <c r="AL1299" s="322">
        <f>IFERROR(Calculations[[#This Row],[Data Quality Score]]*Calculations[[#This Row],[Total Kg]],0)</f>
        <v>0</v>
      </c>
    </row>
    <row r="1300" spans="1:38" x14ac:dyDescent="0.3">
      <c r="A1300" s="6">
        <f>IFERROR(MaterialsBoQ[[#This Row],[Scope Element]],0)</f>
        <v>0</v>
      </c>
      <c r="B1300" t="str">
        <f>IFERROR(MaterialsBoQ[[#This Row],[Material ]],"")</f>
        <v/>
      </c>
      <c r="C1300" t="str">
        <f>IFERROR(MaterialsBoQ[[#This Row],[Unit]],"")</f>
        <v/>
      </c>
      <c r="D1300" s="322">
        <f>IFERROR(MaterialsBoQ[[#This Row],[Number]],0)</f>
        <v>0</v>
      </c>
      <c r="E1300" s="322">
        <f>IFERROR(MaterialsBoQ[[#This Row],[Kg per unit]],0)</f>
        <v>0</v>
      </c>
      <c r="F1300" s="322">
        <f>IFERROR(Calculations[[#This Row],[Number]]*Calculations[[#This Row],[Conversion factor]],0)</f>
        <v>0</v>
      </c>
      <c r="G1300" s="322">
        <f>IFERROR(VLOOKUP(Calculations[[#This Row],[Material (choose from dropdown]],MaterialData[#All],7,FALSE),0)</f>
        <v>0</v>
      </c>
      <c r="H1300" s="322">
        <f>Calculations[[#This Row],[Total Kg]]*Calculations[[#This Row],[Carbon Factor]]</f>
        <v>0</v>
      </c>
      <c r="I1300" t="str">
        <f>IFERROR(VLOOKUP(Calculations[[#This Row],[Material (choose from dropdown]],MaterialData[#All],2,FALSE),"")</f>
        <v/>
      </c>
      <c r="J1300" s="322">
        <f>IFERROR(((VLOOKUP(Calculations[[#This Row],[TransportSource]],TransportDistance[],2,FALSE)*'Stage assumptions'!$C$11)+VLOOKUP(Calculations[[#This Row],[TransportSource]],TransportDistance[],3,FALSE)*'Stage assumptions'!$C$12)*Calculations[[#This Row],[Total Kg]],0)</f>
        <v>0</v>
      </c>
      <c r="K1300">
        <f>IFERROR(VLOOKUP(Calculations[[#This Row],[Material (choose from dropdown]], MaterialData[#All],3, FALSE),0)</f>
        <v>0</v>
      </c>
      <c r="L1300" s="322">
        <f>IFERROR(VLOOKUP(Calculations[[#This Row],[A5type]],A5WastageRate[#All],2,FALSE)*Calculations[[#This Row],[A1-3]],0)</f>
        <v>0</v>
      </c>
      <c r="N1300">
        <f>IFERROR(ROUNDUP(50/VLOOKUP(Calculations[[#This Row],[Scope Element]],B4referenceServiceLife[[Tier 2 element]:[Default Service Life]],2, FALSE)-1,0),0)</f>
        <v>0</v>
      </c>
      <c r="O1300" s="322">
        <f>IFERROR((Calculations[[#This Row],[A1-3]]+Calculations[[#This Row],[A4]]+Calculations[[#This Row],[A5]]+Calculations[[#This Row],[C2 total]]+Calculations[[#This Row],[C3 total]]+Calculations[[#This Row],[C4 total]])*Calculations[[#This Row],[Replacements]],0)</f>
        <v>0</v>
      </c>
      <c r="S1300" t="str">
        <f>IFERROR(VLOOKUP(Calculations[[#This Row],[Material (choose from dropdown]],MaterialData[#All],4,FALSE),"")</f>
        <v/>
      </c>
      <c r="T1300" s="322" cm="1">
        <f t="array" ref="T1300">IFERROR(VLOOKUP(Calculations[[#This Row],[Waste 1]],WasteScenario[#All],2,FALSE)*'Stage assumptions'!$C$225*WasteTransportMethod[Emissions Factor
kgCO2e/kg.km]*Calculations[[#This Row],[Total Kg]],0)</f>
        <v>0</v>
      </c>
      <c r="U1300" s="322" cm="1">
        <f t="array" ref="U1300">IFERROR(VLOOKUP(Calculations[[#This Row],[Waste 1]],WasteScenario[#All],3,FALSE)*'Stage assumptions'!$C$224*WasteTransportMethod[Emissions Factor
kgCO2e/kg.km]*Calculations[[#This Row],[Total Kg]],0)</f>
        <v>0</v>
      </c>
      <c r="V1300" s="322" cm="1">
        <f t="array" ref="V1300">IFERROR(VLOOKUP(Calculations[[#This Row],[Waste 1]],WasteScenario[#All],4,FALSE)*'Stage assumptions'!$C$223*WasteTransportMethod[Emissions Factor
kgCO2e/kg.km]*Calculations[[#This Row],[Total Kg]],0)</f>
        <v>0</v>
      </c>
      <c r="W1300" s="322" cm="1">
        <f t="array" ref="W1300">IFERROR(VLOOKUP(Calculations[[#This Row],[Waste 1]],WasteScenario[#All],5,FALSE)*'Stage assumptions'!$C$226*WasteTransportMethod[Emissions Factor
kgCO2e/kg.km]*Calculations[[#This Row],[Total Kg]],0)</f>
        <v>0</v>
      </c>
      <c r="X1300" s="322">
        <f>SUM(Calculations[[#This Row],[C2 Recycle]:[C2 Reuse]])</f>
        <v>0</v>
      </c>
      <c r="Y1300" t="str">
        <f>IFERROR(VLOOKUP(Calculations[[#This Row],[Material (choose from dropdown]],MaterialData[#All],5,FALSE),"")</f>
        <v/>
      </c>
      <c r="Z1300" s="322">
        <f>IFERROR(((VLOOKUP(Calculations[[#This Row],[Waste type 2]],WasteDisposalEmissions[#All],2,FALSE))*Calculations[[#This Row],[Total Kg]])*VLOOKUP(Calculations[[#This Row],[Waste 1]],WasteScenario[#All],2,FALSE),0)</f>
        <v>0</v>
      </c>
      <c r="AA1300" s="322">
        <f>IFERROR((VLOOKUP(Calculations[[#This Row],[Waste type 2]],WasteDisposalEmissions[#All],3,FALSE))*Calculations[[#This Row],[Total Kg]]*VLOOKUP(Calculations[[#This Row],[Waste 1]],WasteScenario[#All],3,FALSE),0)</f>
        <v>0</v>
      </c>
      <c r="AB1300" s="322">
        <f>SUM(Calculations[[#This Row],[C3 recyc]:[C3 incin]])</f>
        <v>0</v>
      </c>
      <c r="AC1300" s="334">
        <f>IFERROR((VLOOKUP(Calculations[[#This Row],[Waste type 2]],WasteLandfillEmissions[#All],2,FALSE))*Calculations[[#This Row],[Total Kg]]*VLOOKUP(Calculations[[#This Row],[Waste 1]],WasteScenario[#All],4,FALSE),0)</f>
        <v>0</v>
      </c>
      <c r="AD1300" s="322">
        <f>IFERROR((VLOOKUP(Calculations[[#This Row],[Waste type 2]],WasteLandfillEmissions[#All],3,FALSE))*Calculations[[#This Row],[Total Kg]]*VLOOKUP(Calculations[[#This Row],[Waste 1]],WasteScenario[#All],4,FALSE),0)</f>
        <v>0</v>
      </c>
      <c r="AE1300" s="322">
        <f>SUM(Calculations[[#This Row],[C4 landfill]:[C4 re-use]])</f>
        <v>0</v>
      </c>
      <c r="AF1300" s="322">
        <f>IFERROR(VLOOKUP(Calculations[[#This Row],[Material (choose from dropdown]],MaterialData[#All],8,FALSE),0)</f>
        <v>0</v>
      </c>
      <c r="AG1300" s="322">
        <f>IFERROR(Calculations[[#This Row],[Total Kg]]*Calculations[[#This Row],[Seq factor]],0)</f>
        <v>0</v>
      </c>
      <c r="AI1300" s="322">
        <f>Calculations[[#This Row],[A1-3]]+Calculations[[#This Row],[A4]]+Calculations[[#This Row],[A5]]+Calculations[[#This Row],[B4]]+Calculations[[#This Row],[C2 total]]+Calculations[[#This Row],[C3 total]]+Calculations[[#This Row],[C4 total]]</f>
        <v>0</v>
      </c>
      <c r="AJ1300" s="2">
        <f>IFERROR(VLOOKUP(Calculations[[#This Row],[Material (choose from dropdown]],MaterialData[[#Headers],[#Data]],9,FALSE),0)</f>
        <v>0</v>
      </c>
      <c r="AK1300" s="4">
        <f>IFERROR(VLOOKUP(Calculations[[#This Row],[Material (choose from dropdown]],MaterialData[[#Headers],[#Data]],10,FALSE),0)</f>
        <v>0</v>
      </c>
      <c r="AL1300" s="322">
        <f>IFERROR(Calculations[[#This Row],[Data Quality Score]]*Calculations[[#This Row],[Total Kg]],0)</f>
        <v>0</v>
      </c>
    </row>
    <row r="1301" spans="1:38" x14ac:dyDescent="0.3">
      <c r="A1301" s="6">
        <f>IFERROR(MaterialsBoQ[[#This Row],[Scope Element]],0)</f>
        <v>0</v>
      </c>
      <c r="B1301" t="str">
        <f>IFERROR(MaterialsBoQ[[#This Row],[Material ]],"")</f>
        <v/>
      </c>
      <c r="C1301" t="str">
        <f>IFERROR(MaterialsBoQ[[#This Row],[Unit]],"")</f>
        <v/>
      </c>
      <c r="D1301" s="322">
        <f>IFERROR(MaterialsBoQ[[#This Row],[Number]],0)</f>
        <v>0</v>
      </c>
      <c r="E1301" s="322">
        <f>IFERROR(MaterialsBoQ[[#This Row],[Kg per unit]],0)</f>
        <v>0</v>
      </c>
      <c r="F1301" s="322">
        <f>IFERROR(Calculations[[#This Row],[Number]]*Calculations[[#This Row],[Conversion factor]],0)</f>
        <v>0</v>
      </c>
      <c r="G1301" s="322">
        <f>IFERROR(VLOOKUP(Calculations[[#This Row],[Material (choose from dropdown]],MaterialData[#All],7,FALSE),0)</f>
        <v>0</v>
      </c>
      <c r="H1301" s="322">
        <f>Calculations[[#This Row],[Total Kg]]*Calculations[[#This Row],[Carbon Factor]]</f>
        <v>0</v>
      </c>
      <c r="I1301" t="str">
        <f>IFERROR(VLOOKUP(Calculations[[#This Row],[Material (choose from dropdown]],MaterialData[#All],2,FALSE),"")</f>
        <v/>
      </c>
      <c r="J1301" s="322">
        <f>IFERROR(((VLOOKUP(Calculations[[#This Row],[TransportSource]],TransportDistance[],2,FALSE)*'Stage assumptions'!$C$11)+VLOOKUP(Calculations[[#This Row],[TransportSource]],TransportDistance[],3,FALSE)*'Stage assumptions'!$C$12)*Calculations[[#This Row],[Total Kg]],0)</f>
        <v>0</v>
      </c>
      <c r="K1301">
        <f>IFERROR(VLOOKUP(Calculations[[#This Row],[Material (choose from dropdown]], MaterialData[#All],3, FALSE),0)</f>
        <v>0</v>
      </c>
      <c r="L1301" s="322">
        <f>IFERROR(VLOOKUP(Calculations[[#This Row],[A5type]],A5WastageRate[#All],2,FALSE)*Calculations[[#This Row],[A1-3]],0)</f>
        <v>0</v>
      </c>
      <c r="N1301">
        <f>IFERROR(ROUNDUP(50/VLOOKUP(Calculations[[#This Row],[Scope Element]],B4referenceServiceLife[[Tier 2 element]:[Default Service Life]],2, FALSE)-1,0),0)</f>
        <v>0</v>
      </c>
      <c r="O1301" s="322">
        <f>IFERROR((Calculations[[#This Row],[A1-3]]+Calculations[[#This Row],[A4]]+Calculations[[#This Row],[A5]]+Calculations[[#This Row],[C2 total]]+Calculations[[#This Row],[C3 total]]+Calculations[[#This Row],[C4 total]])*Calculations[[#This Row],[Replacements]],0)</f>
        <v>0</v>
      </c>
      <c r="S1301" t="str">
        <f>IFERROR(VLOOKUP(Calculations[[#This Row],[Material (choose from dropdown]],MaterialData[#All],4,FALSE),"")</f>
        <v/>
      </c>
      <c r="T1301" s="322" cm="1">
        <f t="array" ref="T1301">IFERROR(VLOOKUP(Calculations[[#This Row],[Waste 1]],WasteScenario[#All],2,FALSE)*'Stage assumptions'!$C$225*WasteTransportMethod[Emissions Factor
kgCO2e/kg.km]*Calculations[[#This Row],[Total Kg]],0)</f>
        <v>0</v>
      </c>
      <c r="U1301" s="322" cm="1">
        <f t="array" ref="U1301">IFERROR(VLOOKUP(Calculations[[#This Row],[Waste 1]],WasteScenario[#All],3,FALSE)*'Stage assumptions'!$C$224*WasteTransportMethod[Emissions Factor
kgCO2e/kg.km]*Calculations[[#This Row],[Total Kg]],0)</f>
        <v>0</v>
      </c>
      <c r="V1301" s="322" cm="1">
        <f t="array" ref="V1301">IFERROR(VLOOKUP(Calculations[[#This Row],[Waste 1]],WasteScenario[#All],4,FALSE)*'Stage assumptions'!$C$223*WasteTransportMethod[Emissions Factor
kgCO2e/kg.km]*Calculations[[#This Row],[Total Kg]],0)</f>
        <v>0</v>
      </c>
      <c r="W1301" s="322" cm="1">
        <f t="array" ref="W1301">IFERROR(VLOOKUP(Calculations[[#This Row],[Waste 1]],WasteScenario[#All],5,FALSE)*'Stage assumptions'!$C$226*WasteTransportMethod[Emissions Factor
kgCO2e/kg.km]*Calculations[[#This Row],[Total Kg]],0)</f>
        <v>0</v>
      </c>
      <c r="X1301" s="322">
        <f>SUM(Calculations[[#This Row],[C2 Recycle]:[C2 Reuse]])</f>
        <v>0</v>
      </c>
      <c r="Y1301" t="str">
        <f>IFERROR(VLOOKUP(Calculations[[#This Row],[Material (choose from dropdown]],MaterialData[#All],5,FALSE),"")</f>
        <v/>
      </c>
      <c r="Z1301" s="322">
        <f>IFERROR(((VLOOKUP(Calculations[[#This Row],[Waste type 2]],WasteDisposalEmissions[#All],2,FALSE))*Calculations[[#This Row],[Total Kg]])*VLOOKUP(Calculations[[#This Row],[Waste 1]],WasteScenario[#All],2,FALSE),0)</f>
        <v>0</v>
      </c>
      <c r="AA1301" s="322">
        <f>IFERROR((VLOOKUP(Calculations[[#This Row],[Waste type 2]],WasteDisposalEmissions[#All],3,FALSE))*Calculations[[#This Row],[Total Kg]]*VLOOKUP(Calculations[[#This Row],[Waste 1]],WasteScenario[#All],3,FALSE),0)</f>
        <v>0</v>
      </c>
      <c r="AB1301" s="322">
        <f>SUM(Calculations[[#This Row],[C3 recyc]:[C3 incin]])</f>
        <v>0</v>
      </c>
      <c r="AC1301" s="334">
        <f>IFERROR((VLOOKUP(Calculations[[#This Row],[Waste type 2]],WasteLandfillEmissions[#All],2,FALSE))*Calculations[[#This Row],[Total Kg]]*VLOOKUP(Calculations[[#This Row],[Waste 1]],WasteScenario[#All],4,FALSE),0)</f>
        <v>0</v>
      </c>
      <c r="AD1301" s="322">
        <f>IFERROR((VLOOKUP(Calculations[[#This Row],[Waste type 2]],WasteLandfillEmissions[#All],3,FALSE))*Calculations[[#This Row],[Total Kg]]*VLOOKUP(Calculations[[#This Row],[Waste 1]],WasteScenario[#All],4,FALSE),0)</f>
        <v>0</v>
      </c>
      <c r="AE1301" s="322">
        <f>SUM(Calculations[[#This Row],[C4 landfill]:[C4 re-use]])</f>
        <v>0</v>
      </c>
      <c r="AF1301" s="322">
        <f>IFERROR(VLOOKUP(Calculations[[#This Row],[Material (choose from dropdown]],MaterialData[#All],8,FALSE),0)</f>
        <v>0</v>
      </c>
      <c r="AG1301" s="322">
        <f>IFERROR(Calculations[[#This Row],[Total Kg]]*Calculations[[#This Row],[Seq factor]],0)</f>
        <v>0</v>
      </c>
      <c r="AI1301" s="322">
        <f>Calculations[[#This Row],[A1-3]]+Calculations[[#This Row],[A4]]+Calculations[[#This Row],[A5]]+Calculations[[#This Row],[B4]]+Calculations[[#This Row],[C2 total]]+Calculations[[#This Row],[C3 total]]+Calculations[[#This Row],[C4 total]]</f>
        <v>0</v>
      </c>
      <c r="AJ1301" s="2">
        <f>IFERROR(VLOOKUP(Calculations[[#This Row],[Material (choose from dropdown]],MaterialData[[#Headers],[#Data]],9,FALSE),0)</f>
        <v>0</v>
      </c>
      <c r="AK1301" s="4">
        <f>IFERROR(VLOOKUP(Calculations[[#This Row],[Material (choose from dropdown]],MaterialData[[#Headers],[#Data]],10,FALSE),0)</f>
        <v>0</v>
      </c>
      <c r="AL1301" s="322">
        <f>IFERROR(Calculations[[#This Row],[Data Quality Score]]*Calculations[[#This Row],[Total Kg]],0)</f>
        <v>0</v>
      </c>
    </row>
    <row r="1302" spans="1:38" x14ac:dyDescent="0.3">
      <c r="A1302" s="6">
        <f>IFERROR(MaterialsBoQ[[#This Row],[Scope Element]],0)</f>
        <v>0</v>
      </c>
      <c r="B1302" t="str">
        <f>IFERROR(MaterialsBoQ[[#This Row],[Material ]],"")</f>
        <v/>
      </c>
      <c r="C1302" t="str">
        <f>IFERROR(MaterialsBoQ[[#This Row],[Unit]],"")</f>
        <v/>
      </c>
      <c r="D1302" s="322">
        <f>IFERROR(MaterialsBoQ[[#This Row],[Number]],0)</f>
        <v>0</v>
      </c>
      <c r="E1302" s="322">
        <f>IFERROR(MaterialsBoQ[[#This Row],[Kg per unit]],0)</f>
        <v>0</v>
      </c>
      <c r="F1302" s="322">
        <f>IFERROR(Calculations[[#This Row],[Number]]*Calculations[[#This Row],[Conversion factor]],0)</f>
        <v>0</v>
      </c>
      <c r="G1302" s="322">
        <f>IFERROR(VLOOKUP(Calculations[[#This Row],[Material (choose from dropdown]],MaterialData[#All],7,FALSE),0)</f>
        <v>0</v>
      </c>
      <c r="H1302" s="322">
        <f>Calculations[[#This Row],[Total Kg]]*Calculations[[#This Row],[Carbon Factor]]</f>
        <v>0</v>
      </c>
      <c r="I1302" t="str">
        <f>IFERROR(VLOOKUP(Calculations[[#This Row],[Material (choose from dropdown]],MaterialData[#All],2,FALSE),"")</f>
        <v/>
      </c>
      <c r="J1302" s="322">
        <f>IFERROR(((VLOOKUP(Calculations[[#This Row],[TransportSource]],TransportDistance[],2,FALSE)*'Stage assumptions'!$C$11)+VLOOKUP(Calculations[[#This Row],[TransportSource]],TransportDistance[],3,FALSE)*'Stage assumptions'!$C$12)*Calculations[[#This Row],[Total Kg]],0)</f>
        <v>0</v>
      </c>
      <c r="K1302">
        <f>IFERROR(VLOOKUP(Calculations[[#This Row],[Material (choose from dropdown]], MaterialData[#All],3, FALSE),0)</f>
        <v>0</v>
      </c>
      <c r="L1302" s="322">
        <f>IFERROR(VLOOKUP(Calculations[[#This Row],[A5type]],A5WastageRate[#All],2,FALSE)*Calculations[[#This Row],[A1-3]],0)</f>
        <v>0</v>
      </c>
      <c r="N1302">
        <f>IFERROR(ROUNDUP(50/VLOOKUP(Calculations[[#This Row],[Scope Element]],B4referenceServiceLife[[Tier 2 element]:[Default Service Life]],2, FALSE)-1,0),0)</f>
        <v>0</v>
      </c>
      <c r="O1302" s="322">
        <f>IFERROR((Calculations[[#This Row],[A1-3]]+Calculations[[#This Row],[A4]]+Calculations[[#This Row],[A5]]+Calculations[[#This Row],[C2 total]]+Calculations[[#This Row],[C3 total]]+Calculations[[#This Row],[C4 total]])*Calculations[[#This Row],[Replacements]],0)</f>
        <v>0</v>
      </c>
      <c r="S1302" t="str">
        <f>IFERROR(VLOOKUP(Calculations[[#This Row],[Material (choose from dropdown]],MaterialData[#All],4,FALSE),"")</f>
        <v/>
      </c>
      <c r="T1302" s="322" cm="1">
        <f t="array" ref="T1302">IFERROR(VLOOKUP(Calculations[[#This Row],[Waste 1]],WasteScenario[#All],2,FALSE)*'Stage assumptions'!$C$225*WasteTransportMethod[Emissions Factor
kgCO2e/kg.km]*Calculations[[#This Row],[Total Kg]],0)</f>
        <v>0</v>
      </c>
      <c r="U1302" s="322" cm="1">
        <f t="array" ref="U1302">IFERROR(VLOOKUP(Calculations[[#This Row],[Waste 1]],WasteScenario[#All],3,FALSE)*'Stage assumptions'!$C$224*WasteTransportMethod[Emissions Factor
kgCO2e/kg.km]*Calculations[[#This Row],[Total Kg]],0)</f>
        <v>0</v>
      </c>
      <c r="V1302" s="322" cm="1">
        <f t="array" ref="V1302">IFERROR(VLOOKUP(Calculations[[#This Row],[Waste 1]],WasteScenario[#All],4,FALSE)*'Stage assumptions'!$C$223*WasteTransportMethod[Emissions Factor
kgCO2e/kg.km]*Calculations[[#This Row],[Total Kg]],0)</f>
        <v>0</v>
      </c>
      <c r="W1302" s="322" cm="1">
        <f t="array" ref="W1302">IFERROR(VLOOKUP(Calculations[[#This Row],[Waste 1]],WasteScenario[#All],5,FALSE)*'Stage assumptions'!$C$226*WasteTransportMethod[Emissions Factor
kgCO2e/kg.km]*Calculations[[#This Row],[Total Kg]],0)</f>
        <v>0</v>
      </c>
      <c r="X1302" s="322">
        <f>SUM(Calculations[[#This Row],[C2 Recycle]:[C2 Reuse]])</f>
        <v>0</v>
      </c>
      <c r="Y1302" t="str">
        <f>IFERROR(VLOOKUP(Calculations[[#This Row],[Material (choose from dropdown]],MaterialData[#All],5,FALSE),"")</f>
        <v/>
      </c>
      <c r="Z1302" s="322">
        <f>IFERROR(((VLOOKUP(Calculations[[#This Row],[Waste type 2]],WasteDisposalEmissions[#All],2,FALSE))*Calculations[[#This Row],[Total Kg]])*VLOOKUP(Calculations[[#This Row],[Waste 1]],WasteScenario[#All],2,FALSE),0)</f>
        <v>0</v>
      </c>
      <c r="AA1302" s="322">
        <f>IFERROR((VLOOKUP(Calculations[[#This Row],[Waste type 2]],WasteDisposalEmissions[#All],3,FALSE))*Calculations[[#This Row],[Total Kg]]*VLOOKUP(Calculations[[#This Row],[Waste 1]],WasteScenario[#All],3,FALSE),0)</f>
        <v>0</v>
      </c>
      <c r="AB1302" s="322">
        <f>SUM(Calculations[[#This Row],[C3 recyc]:[C3 incin]])</f>
        <v>0</v>
      </c>
      <c r="AC1302" s="334">
        <f>IFERROR((VLOOKUP(Calculations[[#This Row],[Waste type 2]],WasteLandfillEmissions[#All],2,FALSE))*Calculations[[#This Row],[Total Kg]]*VLOOKUP(Calculations[[#This Row],[Waste 1]],WasteScenario[#All],4,FALSE),0)</f>
        <v>0</v>
      </c>
      <c r="AD1302" s="322">
        <f>IFERROR((VLOOKUP(Calculations[[#This Row],[Waste type 2]],WasteLandfillEmissions[#All],3,FALSE))*Calculations[[#This Row],[Total Kg]]*VLOOKUP(Calculations[[#This Row],[Waste 1]],WasteScenario[#All],4,FALSE),0)</f>
        <v>0</v>
      </c>
      <c r="AE1302" s="322">
        <f>SUM(Calculations[[#This Row],[C4 landfill]:[C4 re-use]])</f>
        <v>0</v>
      </c>
      <c r="AF1302" s="322">
        <f>IFERROR(VLOOKUP(Calculations[[#This Row],[Material (choose from dropdown]],MaterialData[#All],8,FALSE),0)</f>
        <v>0</v>
      </c>
      <c r="AG1302" s="322">
        <f>IFERROR(Calculations[[#This Row],[Total Kg]]*Calculations[[#This Row],[Seq factor]],0)</f>
        <v>0</v>
      </c>
      <c r="AI1302" s="322">
        <f>Calculations[[#This Row],[A1-3]]+Calculations[[#This Row],[A4]]+Calculations[[#This Row],[A5]]+Calculations[[#This Row],[B4]]+Calculations[[#This Row],[C2 total]]+Calculations[[#This Row],[C3 total]]+Calculations[[#This Row],[C4 total]]</f>
        <v>0</v>
      </c>
      <c r="AJ1302" s="2">
        <f>IFERROR(VLOOKUP(Calculations[[#This Row],[Material (choose from dropdown]],MaterialData[[#Headers],[#Data]],9,FALSE),0)</f>
        <v>0</v>
      </c>
      <c r="AK1302" s="4">
        <f>IFERROR(VLOOKUP(Calculations[[#This Row],[Material (choose from dropdown]],MaterialData[[#Headers],[#Data]],10,FALSE),0)</f>
        <v>0</v>
      </c>
      <c r="AL1302" s="322">
        <f>IFERROR(Calculations[[#This Row],[Data Quality Score]]*Calculations[[#This Row],[Total Kg]],0)</f>
        <v>0</v>
      </c>
    </row>
    <row r="1303" spans="1:38" x14ac:dyDescent="0.3">
      <c r="A1303" s="6">
        <f>IFERROR(MaterialsBoQ[[#This Row],[Scope Element]],0)</f>
        <v>0</v>
      </c>
      <c r="B1303" t="str">
        <f>IFERROR(MaterialsBoQ[[#This Row],[Material ]],"")</f>
        <v/>
      </c>
      <c r="C1303" t="str">
        <f>IFERROR(MaterialsBoQ[[#This Row],[Unit]],"")</f>
        <v/>
      </c>
      <c r="D1303" s="322">
        <f>IFERROR(MaterialsBoQ[[#This Row],[Number]],0)</f>
        <v>0</v>
      </c>
      <c r="E1303" s="322">
        <f>IFERROR(MaterialsBoQ[[#This Row],[Kg per unit]],0)</f>
        <v>0</v>
      </c>
      <c r="F1303" s="322">
        <f>IFERROR(Calculations[[#This Row],[Number]]*Calculations[[#This Row],[Conversion factor]],0)</f>
        <v>0</v>
      </c>
      <c r="G1303" s="322">
        <f>IFERROR(VLOOKUP(Calculations[[#This Row],[Material (choose from dropdown]],MaterialData[#All],7,FALSE),0)</f>
        <v>0</v>
      </c>
      <c r="H1303" s="322">
        <f>Calculations[[#This Row],[Total Kg]]*Calculations[[#This Row],[Carbon Factor]]</f>
        <v>0</v>
      </c>
      <c r="I1303" t="str">
        <f>IFERROR(VLOOKUP(Calculations[[#This Row],[Material (choose from dropdown]],MaterialData[#All],2,FALSE),"")</f>
        <v/>
      </c>
      <c r="J1303" s="322">
        <f>IFERROR(((VLOOKUP(Calculations[[#This Row],[TransportSource]],TransportDistance[],2,FALSE)*'Stage assumptions'!$C$11)+VLOOKUP(Calculations[[#This Row],[TransportSource]],TransportDistance[],3,FALSE)*'Stage assumptions'!$C$12)*Calculations[[#This Row],[Total Kg]],0)</f>
        <v>0</v>
      </c>
      <c r="K1303">
        <f>IFERROR(VLOOKUP(Calculations[[#This Row],[Material (choose from dropdown]], MaterialData[#All],3, FALSE),0)</f>
        <v>0</v>
      </c>
      <c r="L1303" s="322">
        <f>IFERROR(VLOOKUP(Calculations[[#This Row],[A5type]],A5WastageRate[#All],2,FALSE)*Calculations[[#This Row],[A1-3]],0)</f>
        <v>0</v>
      </c>
      <c r="N1303">
        <f>IFERROR(ROUNDUP(50/VLOOKUP(Calculations[[#This Row],[Scope Element]],B4referenceServiceLife[[Tier 2 element]:[Default Service Life]],2, FALSE)-1,0),0)</f>
        <v>0</v>
      </c>
      <c r="O1303" s="322">
        <f>IFERROR((Calculations[[#This Row],[A1-3]]+Calculations[[#This Row],[A4]]+Calculations[[#This Row],[A5]]+Calculations[[#This Row],[C2 total]]+Calculations[[#This Row],[C3 total]]+Calculations[[#This Row],[C4 total]])*Calculations[[#This Row],[Replacements]],0)</f>
        <v>0</v>
      </c>
      <c r="S1303" t="str">
        <f>IFERROR(VLOOKUP(Calculations[[#This Row],[Material (choose from dropdown]],MaterialData[#All],4,FALSE),"")</f>
        <v/>
      </c>
      <c r="T1303" s="322" cm="1">
        <f t="array" ref="T1303">IFERROR(VLOOKUP(Calculations[[#This Row],[Waste 1]],WasteScenario[#All],2,FALSE)*'Stage assumptions'!$C$225*WasteTransportMethod[Emissions Factor
kgCO2e/kg.km]*Calculations[[#This Row],[Total Kg]],0)</f>
        <v>0</v>
      </c>
      <c r="U1303" s="322" cm="1">
        <f t="array" ref="U1303">IFERROR(VLOOKUP(Calculations[[#This Row],[Waste 1]],WasteScenario[#All],3,FALSE)*'Stage assumptions'!$C$224*WasteTransportMethod[Emissions Factor
kgCO2e/kg.km]*Calculations[[#This Row],[Total Kg]],0)</f>
        <v>0</v>
      </c>
      <c r="V1303" s="322" cm="1">
        <f t="array" ref="V1303">IFERROR(VLOOKUP(Calculations[[#This Row],[Waste 1]],WasteScenario[#All],4,FALSE)*'Stage assumptions'!$C$223*WasteTransportMethod[Emissions Factor
kgCO2e/kg.km]*Calculations[[#This Row],[Total Kg]],0)</f>
        <v>0</v>
      </c>
      <c r="W1303" s="322" cm="1">
        <f t="array" ref="W1303">IFERROR(VLOOKUP(Calculations[[#This Row],[Waste 1]],WasteScenario[#All],5,FALSE)*'Stage assumptions'!$C$226*WasteTransportMethod[Emissions Factor
kgCO2e/kg.km]*Calculations[[#This Row],[Total Kg]],0)</f>
        <v>0</v>
      </c>
      <c r="X1303" s="322">
        <f>SUM(Calculations[[#This Row],[C2 Recycle]:[C2 Reuse]])</f>
        <v>0</v>
      </c>
      <c r="Y1303" t="str">
        <f>IFERROR(VLOOKUP(Calculations[[#This Row],[Material (choose from dropdown]],MaterialData[#All],5,FALSE),"")</f>
        <v/>
      </c>
      <c r="Z1303" s="322">
        <f>IFERROR(((VLOOKUP(Calculations[[#This Row],[Waste type 2]],WasteDisposalEmissions[#All],2,FALSE))*Calculations[[#This Row],[Total Kg]])*VLOOKUP(Calculations[[#This Row],[Waste 1]],WasteScenario[#All],2,FALSE),0)</f>
        <v>0</v>
      </c>
      <c r="AA1303" s="322">
        <f>IFERROR((VLOOKUP(Calculations[[#This Row],[Waste type 2]],WasteDisposalEmissions[#All],3,FALSE))*Calculations[[#This Row],[Total Kg]]*VLOOKUP(Calculations[[#This Row],[Waste 1]],WasteScenario[#All],3,FALSE),0)</f>
        <v>0</v>
      </c>
      <c r="AB1303" s="322">
        <f>SUM(Calculations[[#This Row],[C3 recyc]:[C3 incin]])</f>
        <v>0</v>
      </c>
      <c r="AC1303" s="334">
        <f>IFERROR((VLOOKUP(Calculations[[#This Row],[Waste type 2]],WasteLandfillEmissions[#All],2,FALSE))*Calculations[[#This Row],[Total Kg]]*VLOOKUP(Calculations[[#This Row],[Waste 1]],WasteScenario[#All],4,FALSE),0)</f>
        <v>0</v>
      </c>
      <c r="AD1303" s="322">
        <f>IFERROR((VLOOKUP(Calculations[[#This Row],[Waste type 2]],WasteLandfillEmissions[#All],3,FALSE))*Calculations[[#This Row],[Total Kg]]*VLOOKUP(Calculations[[#This Row],[Waste 1]],WasteScenario[#All],4,FALSE),0)</f>
        <v>0</v>
      </c>
      <c r="AE1303" s="322">
        <f>SUM(Calculations[[#This Row],[C4 landfill]:[C4 re-use]])</f>
        <v>0</v>
      </c>
      <c r="AF1303" s="322">
        <f>IFERROR(VLOOKUP(Calculations[[#This Row],[Material (choose from dropdown]],MaterialData[#All],8,FALSE),0)</f>
        <v>0</v>
      </c>
      <c r="AG1303" s="322">
        <f>IFERROR(Calculations[[#This Row],[Total Kg]]*Calculations[[#This Row],[Seq factor]],0)</f>
        <v>0</v>
      </c>
      <c r="AI1303" s="322">
        <f>Calculations[[#This Row],[A1-3]]+Calculations[[#This Row],[A4]]+Calculations[[#This Row],[A5]]+Calculations[[#This Row],[B4]]+Calculations[[#This Row],[C2 total]]+Calculations[[#This Row],[C3 total]]+Calculations[[#This Row],[C4 total]]</f>
        <v>0</v>
      </c>
      <c r="AJ1303" s="2">
        <f>IFERROR(VLOOKUP(Calculations[[#This Row],[Material (choose from dropdown]],MaterialData[[#Headers],[#Data]],9,FALSE),0)</f>
        <v>0</v>
      </c>
      <c r="AK1303" s="4">
        <f>IFERROR(VLOOKUP(Calculations[[#This Row],[Material (choose from dropdown]],MaterialData[[#Headers],[#Data]],10,FALSE),0)</f>
        <v>0</v>
      </c>
      <c r="AL1303" s="322">
        <f>IFERROR(Calculations[[#This Row],[Data Quality Score]]*Calculations[[#This Row],[Total Kg]],0)</f>
        <v>0</v>
      </c>
    </row>
    <row r="1304" spans="1:38" x14ac:dyDescent="0.3">
      <c r="A1304" s="6">
        <f>IFERROR(MaterialsBoQ[[#This Row],[Scope Element]],0)</f>
        <v>0</v>
      </c>
      <c r="B1304" t="str">
        <f>IFERROR(MaterialsBoQ[[#This Row],[Material ]],"")</f>
        <v/>
      </c>
      <c r="C1304" t="str">
        <f>IFERROR(MaterialsBoQ[[#This Row],[Unit]],"")</f>
        <v/>
      </c>
      <c r="D1304" s="322">
        <f>IFERROR(MaterialsBoQ[[#This Row],[Number]],0)</f>
        <v>0</v>
      </c>
      <c r="E1304" s="322">
        <f>IFERROR(MaterialsBoQ[[#This Row],[Kg per unit]],0)</f>
        <v>0</v>
      </c>
      <c r="F1304" s="322">
        <f>IFERROR(Calculations[[#This Row],[Number]]*Calculations[[#This Row],[Conversion factor]],0)</f>
        <v>0</v>
      </c>
      <c r="G1304" s="322">
        <f>IFERROR(VLOOKUP(Calculations[[#This Row],[Material (choose from dropdown]],MaterialData[#All],7,FALSE),0)</f>
        <v>0</v>
      </c>
      <c r="H1304" s="322">
        <f>Calculations[[#This Row],[Total Kg]]*Calculations[[#This Row],[Carbon Factor]]</f>
        <v>0</v>
      </c>
      <c r="I1304" t="str">
        <f>IFERROR(VLOOKUP(Calculations[[#This Row],[Material (choose from dropdown]],MaterialData[#All],2,FALSE),"")</f>
        <v/>
      </c>
      <c r="J1304" s="322">
        <f>IFERROR(((VLOOKUP(Calculations[[#This Row],[TransportSource]],TransportDistance[],2,FALSE)*'Stage assumptions'!$C$11)+VLOOKUP(Calculations[[#This Row],[TransportSource]],TransportDistance[],3,FALSE)*'Stage assumptions'!$C$12)*Calculations[[#This Row],[Total Kg]],0)</f>
        <v>0</v>
      </c>
      <c r="K1304">
        <f>IFERROR(VLOOKUP(Calculations[[#This Row],[Material (choose from dropdown]], MaterialData[#All],3, FALSE),0)</f>
        <v>0</v>
      </c>
      <c r="L1304" s="322">
        <f>IFERROR(VLOOKUP(Calculations[[#This Row],[A5type]],A5WastageRate[#All],2,FALSE)*Calculations[[#This Row],[A1-3]],0)</f>
        <v>0</v>
      </c>
      <c r="N1304">
        <f>IFERROR(ROUNDUP(50/VLOOKUP(Calculations[[#This Row],[Scope Element]],B4referenceServiceLife[[Tier 2 element]:[Default Service Life]],2, FALSE)-1,0),0)</f>
        <v>0</v>
      </c>
      <c r="O1304" s="322">
        <f>IFERROR((Calculations[[#This Row],[A1-3]]+Calculations[[#This Row],[A4]]+Calculations[[#This Row],[A5]]+Calculations[[#This Row],[C2 total]]+Calculations[[#This Row],[C3 total]]+Calculations[[#This Row],[C4 total]])*Calculations[[#This Row],[Replacements]],0)</f>
        <v>0</v>
      </c>
      <c r="S1304" t="str">
        <f>IFERROR(VLOOKUP(Calculations[[#This Row],[Material (choose from dropdown]],MaterialData[#All],4,FALSE),"")</f>
        <v/>
      </c>
      <c r="T1304" s="322" cm="1">
        <f t="array" ref="T1304">IFERROR(VLOOKUP(Calculations[[#This Row],[Waste 1]],WasteScenario[#All],2,FALSE)*'Stage assumptions'!$C$225*WasteTransportMethod[Emissions Factor
kgCO2e/kg.km]*Calculations[[#This Row],[Total Kg]],0)</f>
        <v>0</v>
      </c>
      <c r="U1304" s="322" cm="1">
        <f t="array" ref="U1304">IFERROR(VLOOKUP(Calculations[[#This Row],[Waste 1]],WasteScenario[#All],3,FALSE)*'Stage assumptions'!$C$224*WasteTransportMethod[Emissions Factor
kgCO2e/kg.km]*Calculations[[#This Row],[Total Kg]],0)</f>
        <v>0</v>
      </c>
      <c r="V1304" s="322" cm="1">
        <f t="array" ref="V1304">IFERROR(VLOOKUP(Calculations[[#This Row],[Waste 1]],WasteScenario[#All],4,FALSE)*'Stage assumptions'!$C$223*WasteTransportMethod[Emissions Factor
kgCO2e/kg.km]*Calculations[[#This Row],[Total Kg]],0)</f>
        <v>0</v>
      </c>
      <c r="W1304" s="322" cm="1">
        <f t="array" ref="W1304">IFERROR(VLOOKUP(Calculations[[#This Row],[Waste 1]],WasteScenario[#All],5,FALSE)*'Stage assumptions'!$C$226*WasteTransportMethod[Emissions Factor
kgCO2e/kg.km]*Calculations[[#This Row],[Total Kg]],0)</f>
        <v>0</v>
      </c>
      <c r="X1304" s="322">
        <f>SUM(Calculations[[#This Row],[C2 Recycle]:[C2 Reuse]])</f>
        <v>0</v>
      </c>
      <c r="Y1304" t="str">
        <f>IFERROR(VLOOKUP(Calculations[[#This Row],[Material (choose from dropdown]],MaterialData[#All],5,FALSE),"")</f>
        <v/>
      </c>
      <c r="Z1304" s="322">
        <f>IFERROR(((VLOOKUP(Calculations[[#This Row],[Waste type 2]],WasteDisposalEmissions[#All],2,FALSE))*Calculations[[#This Row],[Total Kg]])*VLOOKUP(Calculations[[#This Row],[Waste 1]],WasteScenario[#All],2,FALSE),0)</f>
        <v>0</v>
      </c>
      <c r="AA1304" s="322">
        <f>IFERROR((VLOOKUP(Calculations[[#This Row],[Waste type 2]],WasteDisposalEmissions[#All],3,FALSE))*Calculations[[#This Row],[Total Kg]]*VLOOKUP(Calculations[[#This Row],[Waste 1]],WasteScenario[#All],3,FALSE),0)</f>
        <v>0</v>
      </c>
      <c r="AB1304" s="322">
        <f>SUM(Calculations[[#This Row],[C3 recyc]:[C3 incin]])</f>
        <v>0</v>
      </c>
      <c r="AC1304" s="334">
        <f>IFERROR((VLOOKUP(Calculations[[#This Row],[Waste type 2]],WasteLandfillEmissions[#All],2,FALSE))*Calculations[[#This Row],[Total Kg]]*VLOOKUP(Calculations[[#This Row],[Waste 1]],WasteScenario[#All],4,FALSE),0)</f>
        <v>0</v>
      </c>
      <c r="AD1304" s="322">
        <f>IFERROR((VLOOKUP(Calculations[[#This Row],[Waste type 2]],WasteLandfillEmissions[#All],3,FALSE))*Calculations[[#This Row],[Total Kg]]*VLOOKUP(Calculations[[#This Row],[Waste 1]],WasteScenario[#All],4,FALSE),0)</f>
        <v>0</v>
      </c>
      <c r="AE1304" s="322">
        <f>SUM(Calculations[[#This Row],[C4 landfill]:[C4 re-use]])</f>
        <v>0</v>
      </c>
      <c r="AF1304" s="322">
        <f>IFERROR(VLOOKUP(Calculations[[#This Row],[Material (choose from dropdown]],MaterialData[#All],8,FALSE),0)</f>
        <v>0</v>
      </c>
      <c r="AG1304" s="322">
        <f>IFERROR(Calculations[[#This Row],[Total Kg]]*Calculations[[#This Row],[Seq factor]],0)</f>
        <v>0</v>
      </c>
      <c r="AI1304" s="322">
        <f>Calculations[[#This Row],[A1-3]]+Calculations[[#This Row],[A4]]+Calculations[[#This Row],[A5]]+Calculations[[#This Row],[B4]]+Calculations[[#This Row],[C2 total]]+Calculations[[#This Row],[C3 total]]+Calculations[[#This Row],[C4 total]]</f>
        <v>0</v>
      </c>
      <c r="AJ1304" s="2">
        <f>IFERROR(VLOOKUP(Calculations[[#This Row],[Material (choose from dropdown]],MaterialData[[#Headers],[#Data]],9,FALSE),0)</f>
        <v>0</v>
      </c>
      <c r="AK1304" s="4">
        <f>IFERROR(VLOOKUP(Calculations[[#This Row],[Material (choose from dropdown]],MaterialData[[#Headers],[#Data]],10,FALSE),0)</f>
        <v>0</v>
      </c>
      <c r="AL1304" s="322">
        <f>IFERROR(Calculations[[#This Row],[Data Quality Score]]*Calculations[[#This Row],[Total Kg]],0)</f>
        <v>0</v>
      </c>
    </row>
    <row r="1305" spans="1:38" x14ac:dyDescent="0.3">
      <c r="A1305" s="6">
        <f>IFERROR(MaterialsBoQ[[#This Row],[Scope Element]],0)</f>
        <v>0</v>
      </c>
      <c r="B1305" t="str">
        <f>IFERROR(MaterialsBoQ[[#This Row],[Material ]],"")</f>
        <v/>
      </c>
      <c r="C1305" t="str">
        <f>IFERROR(MaterialsBoQ[[#This Row],[Unit]],"")</f>
        <v/>
      </c>
      <c r="D1305" s="322">
        <f>IFERROR(MaterialsBoQ[[#This Row],[Number]],0)</f>
        <v>0</v>
      </c>
      <c r="E1305" s="322">
        <f>IFERROR(MaterialsBoQ[[#This Row],[Kg per unit]],0)</f>
        <v>0</v>
      </c>
      <c r="F1305" s="322">
        <f>IFERROR(Calculations[[#This Row],[Number]]*Calculations[[#This Row],[Conversion factor]],0)</f>
        <v>0</v>
      </c>
      <c r="G1305" s="322">
        <f>IFERROR(VLOOKUP(Calculations[[#This Row],[Material (choose from dropdown]],MaterialData[#All],7,FALSE),0)</f>
        <v>0</v>
      </c>
      <c r="H1305" s="322">
        <f>Calculations[[#This Row],[Total Kg]]*Calculations[[#This Row],[Carbon Factor]]</f>
        <v>0</v>
      </c>
      <c r="I1305" t="str">
        <f>IFERROR(VLOOKUP(Calculations[[#This Row],[Material (choose from dropdown]],MaterialData[#All],2,FALSE),"")</f>
        <v/>
      </c>
      <c r="J1305" s="322">
        <f>IFERROR(((VLOOKUP(Calculations[[#This Row],[TransportSource]],TransportDistance[],2,FALSE)*'Stage assumptions'!$C$11)+VLOOKUP(Calculations[[#This Row],[TransportSource]],TransportDistance[],3,FALSE)*'Stage assumptions'!$C$12)*Calculations[[#This Row],[Total Kg]],0)</f>
        <v>0</v>
      </c>
      <c r="K1305">
        <f>IFERROR(VLOOKUP(Calculations[[#This Row],[Material (choose from dropdown]], MaterialData[#All],3, FALSE),0)</f>
        <v>0</v>
      </c>
      <c r="L1305" s="322">
        <f>IFERROR(VLOOKUP(Calculations[[#This Row],[A5type]],A5WastageRate[#All],2,FALSE)*Calculations[[#This Row],[A1-3]],0)</f>
        <v>0</v>
      </c>
      <c r="N1305">
        <f>IFERROR(ROUNDUP(50/VLOOKUP(Calculations[[#This Row],[Scope Element]],B4referenceServiceLife[[Tier 2 element]:[Default Service Life]],2, FALSE)-1,0),0)</f>
        <v>0</v>
      </c>
      <c r="O1305" s="322">
        <f>IFERROR((Calculations[[#This Row],[A1-3]]+Calculations[[#This Row],[A4]]+Calculations[[#This Row],[A5]]+Calculations[[#This Row],[C2 total]]+Calculations[[#This Row],[C3 total]]+Calculations[[#This Row],[C4 total]])*Calculations[[#This Row],[Replacements]],0)</f>
        <v>0</v>
      </c>
      <c r="S1305" t="str">
        <f>IFERROR(VLOOKUP(Calculations[[#This Row],[Material (choose from dropdown]],MaterialData[#All],4,FALSE),"")</f>
        <v/>
      </c>
      <c r="T1305" s="322" cm="1">
        <f t="array" ref="T1305">IFERROR(VLOOKUP(Calculations[[#This Row],[Waste 1]],WasteScenario[#All],2,FALSE)*'Stage assumptions'!$C$225*WasteTransportMethod[Emissions Factor
kgCO2e/kg.km]*Calculations[[#This Row],[Total Kg]],0)</f>
        <v>0</v>
      </c>
      <c r="U1305" s="322" cm="1">
        <f t="array" ref="U1305">IFERROR(VLOOKUP(Calculations[[#This Row],[Waste 1]],WasteScenario[#All],3,FALSE)*'Stage assumptions'!$C$224*WasteTransportMethod[Emissions Factor
kgCO2e/kg.km]*Calculations[[#This Row],[Total Kg]],0)</f>
        <v>0</v>
      </c>
      <c r="V1305" s="322" cm="1">
        <f t="array" ref="V1305">IFERROR(VLOOKUP(Calculations[[#This Row],[Waste 1]],WasteScenario[#All],4,FALSE)*'Stage assumptions'!$C$223*WasteTransportMethod[Emissions Factor
kgCO2e/kg.km]*Calculations[[#This Row],[Total Kg]],0)</f>
        <v>0</v>
      </c>
      <c r="W1305" s="322" cm="1">
        <f t="array" ref="W1305">IFERROR(VLOOKUP(Calculations[[#This Row],[Waste 1]],WasteScenario[#All],5,FALSE)*'Stage assumptions'!$C$226*WasteTransportMethod[Emissions Factor
kgCO2e/kg.km]*Calculations[[#This Row],[Total Kg]],0)</f>
        <v>0</v>
      </c>
      <c r="X1305" s="322">
        <f>SUM(Calculations[[#This Row],[C2 Recycle]:[C2 Reuse]])</f>
        <v>0</v>
      </c>
      <c r="Y1305" t="str">
        <f>IFERROR(VLOOKUP(Calculations[[#This Row],[Material (choose from dropdown]],MaterialData[#All],5,FALSE),"")</f>
        <v/>
      </c>
      <c r="Z1305" s="322">
        <f>IFERROR(((VLOOKUP(Calculations[[#This Row],[Waste type 2]],WasteDisposalEmissions[#All],2,FALSE))*Calculations[[#This Row],[Total Kg]])*VLOOKUP(Calculations[[#This Row],[Waste 1]],WasteScenario[#All],2,FALSE),0)</f>
        <v>0</v>
      </c>
      <c r="AA1305" s="322">
        <f>IFERROR((VLOOKUP(Calculations[[#This Row],[Waste type 2]],WasteDisposalEmissions[#All],3,FALSE))*Calculations[[#This Row],[Total Kg]]*VLOOKUP(Calculations[[#This Row],[Waste 1]],WasteScenario[#All],3,FALSE),0)</f>
        <v>0</v>
      </c>
      <c r="AB1305" s="322">
        <f>SUM(Calculations[[#This Row],[C3 recyc]:[C3 incin]])</f>
        <v>0</v>
      </c>
      <c r="AC1305" s="334">
        <f>IFERROR((VLOOKUP(Calculations[[#This Row],[Waste type 2]],WasteLandfillEmissions[#All],2,FALSE))*Calculations[[#This Row],[Total Kg]]*VLOOKUP(Calculations[[#This Row],[Waste 1]],WasteScenario[#All],4,FALSE),0)</f>
        <v>0</v>
      </c>
      <c r="AD1305" s="322">
        <f>IFERROR((VLOOKUP(Calculations[[#This Row],[Waste type 2]],WasteLandfillEmissions[#All],3,FALSE))*Calculations[[#This Row],[Total Kg]]*VLOOKUP(Calculations[[#This Row],[Waste 1]],WasteScenario[#All],4,FALSE),0)</f>
        <v>0</v>
      </c>
      <c r="AE1305" s="322">
        <f>SUM(Calculations[[#This Row],[C4 landfill]:[C4 re-use]])</f>
        <v>0</v>
      </c>
      <c r="AF1305" s="322">
        <f>IFERROR(VLOOKUP(Calculations[[#This Row],[Material (choose from dropdown]],MaterialData[#All],8,FALSE),0)</f>
        <v>0</v>
      </c>
      <c r="AG1305" s="322">
        <f>IFERROR(Calculations[[#This Row],[Total Kg]]*Calculations[[#This Row],[Seq factor]],0)</f>
        <v>0</v>
      </c>
      <c r="AI1305" s="322">
        <f>Calculations[[#This Row],[A1-3]]+Calculations[[#This Row],[A4]]+Calculations[[#This Row],[A5]]+Calculations[[#This Row],[B4]]+Calculations[[#This Row],[C2 total]]+Calculations[[#This Row],[C3 total]]+Calculations[[#This Row],[C4 total]]</f>
        <v>0</v>
      </c>
      <c r="AJ1305" s="2">
        <f>IFERROR(VLOOKUP(Calculations[[#This Row],[Material (choose from dropdown]],MaterialData[[#Headers],[#Data]],9,FALSE),0)</f>
        <v>0</v>
      </c>
      <c r="AK1305" s="4">
        <f>IFERROR(VLOOKUP(Calculations[[#This Row],[Material (choose from dropdown]],MaterialData[[#Headers],[#Data]],10,FALSE),0)</f>
        <v>0</v>
      </c>
      <c r="AL1305" s="322">
        <f>IFERROR(Calculations[[#This Row],[Data Quality Score]]*Calculations[[#This Row],[Total Kg]],0)</f>
        <v>0</v>
      </c>
    </row>
    <row r="1306" spans="1:38" x14ac:dyDescent="0.3">
      <c r="A1306" s="6">
        <f>IFERROR(MaterialsBoQ[[#This Row],[Scope Element]],0)</f>
        <v>0</v>
      </c>
      <c r="B1306" t="str">
        <f>IFERROR(MaterialsBoQ[[#This Row],[Material ]],"")</f>
        <v/>
      </c>
      <c r="C1306" t="str">
        <f>IFERROR(MaterialsBoQ[[#This Row],[Unit]],"")</f>
        <v/>
      </c>
      <c r="D1306" s="322">
        <f>IFERROR(MaterialsBoQ[[#This Row],[Number]],0)</f>
        <v>0</v>
      </c>
      <c r="E1306" s="322">
        <f>IFERROR(MaterialsBoQ[[#This Row],[Kg per unit]],0)</f>
        <v>0</v>
      </c>
      <c r="F1306" s="322">
        <f>IFERROR(Calculations[[#This Row],[Number]]*Calculations[[#This Row],[Conversion factor]],0)</f>
        <v>0</v>
      </c>
      <c r="G1306" s="322">
        <f>IFERROR(VLOOKUP(Calculations[[#This Row],[Material (choose from dropdown]],MaterialData[#All],7,FALSE),0)</f>
        <v>0</v>
      </c>
      <c r="H1306" s="322">
        <f>Calculations[[#This Row],[Total Kg]]*Calculations[[#This Row],[Carbon Factor]]</f>
        <v>0</v>
      </c>
      <c r="I1306" t="str">
        <f>IFERROR(VLOOKUP(Calculations[[#This Row],[Material (choose from dropdown]],MaterialData[#All],2,FALSE),"")</f>
        <v/>
      </c>
      <c r="J1306" s="322">
        <f>IFERROR(((VLOOKUP(Calculations[[#This Row],[TransportSource]],TransportDistance[],2,FALSE)*'Stage assumptions'!$C$11)+VLOOKUP(Calculations[[#This Row],[TransportSource]],TransportDistance[],3,FALSE)*'Stage assumptions'!$C$12)*Calculations[[#This Row],[Total Kg]],0)</f>
        <v>0</v>
      </c>
      <c r="K1306">
        <f>IFERROR(VLOOKUP(Calculations[[#This Row],[Material (choose from dropdown]], MaterialData[#All],3, FALSE),0)</f>
        <v>0</v>
      </c>
      <c r="L1306" s="322">
        <f>IFERROR(VLOOKUP(Calculations[[#This Row],[A5type]],A5WastageRate[#All],2,FALSE)*Calculations[[#This Row],[A1-3]],0)</f>
        <v>0</v>
      </c>
      <c r="N1306">
        <f>IFERROR(ROUNDUP(50/VLOOKUP(Calculations[[#This Row],[Scope Element]],B4referenceServiceLife[[Tier 2 element]:[Default Service Life]],2, FALSE)-1,0),0)</f>
        <v>0</v>
      </c>
      <c r="O1306" s="322">
        <f>IFERROR((Calculations[[#This Row],[A1-3]]+Calculations[[#This Row],[A4]]+Calculations[[#This Row],[A5]]+Calculations[[#This Row],[C2 total]]+Calculations[[#This Row],[C3 total]]+Calculations[[#This Row],[C4 total]])*Calculations[[#This Row],[Replacements]],0)</f>
        <v>0</v>
      </c>
      <c r="S1306" t="str">
        <f>IFERROR(VLOOKUP(Calculations[[#This Row],[Material (choose from dropdown]],MaterialData[#All],4,FALSE),"")</f>
        <v/>
      </c>
      <c r="T1306" s="322" cm="1">
        <f t="array" ref="T1306">IFERROR(VLOOKUP(Calculations[[#This Row],[Waste 1]],WasteScenario[#All],2,FALSE)*'Stage assumptions'!$C$225*WasteTransportMethod[Emissions Factor
kgCO2e/kg.km]*Calculations[[#This Row],[Total Kg]],0)</f>
        <v>0</v>
      </c>
      <c r="U1306" s="322" cm="1">
        <f t="array" ref="U1306">IFERROR(VLOOKUP(Calculations[[#This Row],[Waste 1]],WasteScenario[#All],3,FALSE)*'Stage assumptions'!$C$224*WasteTransportMethod[Emissions Factor
kgCO2e/kg.km]*Calculations[[#This Row],[Total Kg]],0)</f>
        <v>0</v>
      </c>
      <c r="V1306" s="322" cm="1">
        <f t="array" ref="V1306">IFERROR(VLOOKUP(Calculations[[#This Row],[Waste 1]],WasteScenario[#All],4,FALSE)*'Stage assumptions'!$C$223*WasteTransportMethod[Emissions Factor
kgCO2e/kg.km]*Calculations[[#This Row],[Total Kg]],0)</f>
        <v>0</v>
      </c>
      <c r="W1306" s="322" cm="1">
        <f t="array" ref="W1306">IFERROR(VLOOKUP(Calculations[[#This Row],[Waste 1]],WasteScenario[#All],5,FALSE)*'Stage assumptions'!$C$226*WasteTransportMethod[Emissions Factor
kgCO2e/kg.km]*Calculations[[#This Row],[Total Kg]],0)</f>
        <v>0</v>
      </c>
      <c r="X1306" s="322">
        <f>SUM(Calculations[[#This Row],[C2 Recycle]:[C2 Reuse]])</f>
        <v>0</v>
      </c>
      <c r="Y1306" t="str">
        <f>IFERROR(VLOOKUP(Calculations[[#This Row],[Material (choose from dropdown]],MaterialData[#All],5,FALSE),"")</f>
        <v/>
      </c>
      <c r="Z1306" s="322">
        <f>IFERROR(((VLOOKUP(Calculations[[#This Row],[Waste type 2]],WasteDisposalEmissions[#All],2,FALSE))*Calculations[[#This Row],[Total Kg]])*VLOOKUP(Calculations[[#This Row],[Waste 1]],WasteScenario[#All],2,FALSE),0)</f>
        <v>0</v>
      </c>
      <c r="AA1306" s="322">
        <f>IFERROR((VLOOKUP(Calculations[[#This Row],[Waste type 2]],WasteDisposalEmissions[#All],3,FALSE))*Calculations[[#This Row],[Total Kg]]*VLOOKUP(Calculations[[#This Row],[Waste 1]],WasteScenario[#All],3,FALSE),0)</f>
        <v>0</v>
      </c>
      <c r="AB1306" s="322">
        <f>SUM(Calculations[[#This Row],[C3 recyc]:[C3 incin]])</f>
        <v>0</v>
      </c>
      <c r="AC1306" s="334">
        <f>IFERROR((VLOOKUP(Calculations[[#This Row],[Waste type 2]],WasteLandfillEmissions[#All],2,FALSE))*Calculations[[#This Row],[Total Kg]]*VLOOKUP(Calculations[[#This Row],[Waste 1]],WasteScenario[#All],4,FALSE),0)</f>
        <v>0</v>
      </c>
      <c r="AD1306" s="322">
        <f>IFERROR((VLOOKUP(Calculations[[#This Row],[Waste type 2]],WasteLandfillEmissions[#All],3,FALSE))*Calculations[[#This Row],[Total Kg]]*VLOOKUP(Calculations[[#This Row],[Waste 1]],WasteScenario[#All],4,FALSE),0)</f>
        <v>0</v>
      </c>
      <c r="AE1306" s="322">
        <f>SUM(Calculations[[#This Row],[C4 landfill]:[C4 re-use]])</f>
        <v>0</v>
      </c>
      <c r="AF1306" s="322">
        <f>IFERROR(VLOOKUP(Calculations[[#This Row],[Material (choose from dropdown]],MaterialData[#All],8,FALSE),0)</f>
        <v>0</v>
      </c>
      <c r="AG1306" s="322">
        <f>IFERROR(Calculations[[#This Row],[Total Kg]]*Calculations[[#This Row],[Seq factor]],0)</f>
        <v>0</v>
      </c>
      <c r="AI1306" s="322">
        <f>Calculations[[#This Row],[A1-3]]+Calculations[[#This Row],[A4]]+Calculations[[#This Row],[A5]]+Calculations[[#This Row],[B4]]+Calculations[[#This Row],[C2 total]]+Calculations[[#This Row],[C3 total]]+Calculations[[#This Row],[C4 total]]</f>
        <v>0</v>
      </c>
      <c r="AJ1306" s="2">
        <f>IFERROR(VLOOKUP(Calculations[[#This Row],[Material (choose from dropdown]],MaterialData[[#Headers],[#Data]],9,FALSE),0)</f>
        <v>0</v>
      </c>
      <c r="AK1306" s="4">
        <f>IFERROR(VLOOKUP(Calculations[[#This Row],[Material (choose from dropdown]],MaterialData[[#Headers],[#Data]],10,FALSE),0)</f>
        <v>0</v>
      </c>
      <c r="AL1306" s="322">
        <f>IFERROR(Calculations[[#This Row],[Data Quality Score]]*Calculations[[#This Row],[Total Kg]],0)</f>
        <v>0</v>
      </c>
    </row>
    <row r="1307" spans="1:38" x14ac:dyDescent="0.3">
      <c r="A1307" s="6">
        <f>IFERROR(MaterialsBoQ[[#This Row],[Scope Element]],0)</f>
        <v>0</v>
      </c>
      <c r="B1307" t="str">
        <f>IFERROR(MaterialsBoQ[[#This Row],[Material ]],"")</f>
        <v/>
      </c>
      <c r="C1307" t="str">
        <f>IFERROR(MaterialsBoQ[[#This Row],[Unit]],"")</f>
        <v/>
      </c>
      <c r="D1307" s="322">
        <f>IFERROR(MaterialsBoQ[[#This Row],[Number]],0)</f>
        <v>0</v>
      </c>
      <c r="E1307" s="322">
        <f>IFERROR(MaterialsBoQ[[#This Row],[Kg per unit]],0)</f>
        <v>0</v>
      </c>
      <c r="F1307" s="322">
        <f>IFERROR(Calculations[[#This Row],[Number]]*Calculations[[#This Row],[Conversion factor]],0)</f>
        <v>0</v>
      </c>
      <c r="G1307" s="322">
        <f>IFERROR(VLOOKUP(Calculations[[#This Row],[Material (choose from dropdown]],MaterialData[#All],7,FALSE),0)</f>
        <v>0</v>
      </c>
      <c r="H1307" s="322">
        <f>Calculations[[#This Row],[Total Kg]]*Calculations[[#This Row],[Carbon Factor]]</f>
        <v>0</v>
      </c>
      <c r="I1307" t="str">
        <f>IFERROR(VLOOKUP(Calculations[[#This Row],[Material (choose from dropdown]],MaterialData[#All],2,FALSE),"")</f>
        <v/>
      </c>
      <c r="J1307" s="322">
        <f>IFERROR(((VLOOKUP(Calculations[[#This Row],[TransportSource]],TransportDistance[],2,FALSE)*'Stage assumptions'!$C$11)+VLOOKUP(Calculations[[#This Row],[TransportSource]],TransportDistance[],3,FALSE)*'Stage assumptions'!$C$12)*Calculations[[#This Row],[Total Kg]],0)</f>
        <v>0</v>
      </c>
      <c r="K1307">
        <f>IFERROR(VLOOKUP(Calculations[[#This Row],[Material (choose from dropdown]], MaterialData[#All],3, FALSE),0)</f>
        <v>0</v>
      </c>
      <c r="L1307" s="322">
        <f>IFERROR(VLOOKUP(Calculations[[#This Row],[A5type]],A5WastageRate[#All],2,FALSE)*Calculations[[#This Row],[A1-3]],0)</f>
        <v>0</v>
      </c>
      <c r="N1307">
        <f>IFERROR(ROUNDUP(50/VLOOKUP(Calculations[[#This Row],[Scope Element]],B4referenceServiceLife[[Tier 2 element]:[Default Service Life]],2, FALSE)-1,0),0)</f>
        <v>0</v>
      </c>
      <c r="O1307" s="322">
        <f>IFERROR((Calculations[[#This Row],[A1-3]]+Calculations[[#This Row],[A4]]+Calculations[[#This Row],[A5]]+Calculations[[#This Row],[C2 total]]+Calculations[[#This Row],[C3 total]]+Calculations[[#This Row],[C4 total]])*Calculations[[#This Row],[Replacements]],0)</f>
        <v>0</v>
      </c>
      <c r="S1307" t="str">
        <f>IFERROR(VLOOKUP(Calculations[[#This Row],[Material (choose from dropdown]],MaterialData[#All],4,FALSE),"")</f>
        <v/>
      </c>
      <c r="T1307" s="322" cm="1">
        <f t="array" ref="T1307">IFERROR(VLOOKUP(Calculations[[#This Row],[Waste 1]],WasteScenario[#All],2,FALSE)*'Stage assumptions'!$C$225*WasteTransportMethod[Emissions Factor
kgCO2e/kg.km]*Calculations[[#This Row],[Total Kg]],0)</f>
        <v>0</v>
      </c>
      <c r="U1307" s="322" cm="1">
        <f t="array" ref="U1307">IFERROR(VLOOKUP(Calculations[[#This Row],[Waste 1]],WasteScenario[#All],3,FALSE)*'Stage assumptions'!$C$224*WasteTransportMethod[Emissions Factor
kgCO2e/kg.km]*Calculations[[#This Row],[Total Kg]],0)</f>
        <v>0</v>
      </c>
      <c r="V1307" s="322" cm="1">
        <f t="array" ref="V1307">IFERROR(VLOOKUP(Calculations[[#This Row],[Waste 1]],WasteScenario[#All],4,FALSE)*'Stage assumptions'!$C$223*WasteTransportMethod[Emissions Factor
kgCO2e/kg.km]*Calculations[[#This Row],[Total Kg]],0)</f>
        <v>0</v>
      </c>
      <c r="W1307" s="322" cm="1">
        <f t="array" ref="W1307">IFERROR(VLOOKUP(Calculations[[#This Row],[Waste 1]],WasteScenario[#All],5,FALSE)*'Stage assumptions'!$C$226*WasteTransportMethod[Emissions Factor
kgCO2e/kg.km]*Calculations[[#This Row],[Total Kg]],0)</f>
        <v>0</v>
      </c>
      <c r="X1307" s="322">
        <f>SUM(Calculations[[#This Row],[C2 Recycle]:[C2 Reuse]])</f>
        <v>0</v>
      </c>
      <c r="Y1307" t="str">
        <f>IFERROR(VLOOKUP(Calculations[[#This Row],[Material (choose from dropdown]],MaterialData[#All],5,FALSE),"")</f>
        <v/>
      </c>
      <c r="Z1307" s="322">
        <f>IFERROR(((VLOOKUP(Calculations[[#This Row],[Waste type 2]],WasteDisposalEmissions[#All],2,FALSE))*Calculations[[#This Row],[Total Kg]])*VLOOKUP(Calculations[[#This Row],[Waste 1]],WasteScenario[#All],2,FALSE),0)</f>
        <v>0</v>
      </c>
      <c r="AA1307" s="322">
        <f>IFERROR((VLOOKUP(Calculations[[#This Row],[Waste type 2]],WasteDisposalEmissions[#All],3,FALSE))*Calculations[[#This Row],[Total Kg]]*VLOOKUP(Calculations[[#This Row],[Waste 1]],WasteScenario[#All],3,FALSE),0)</f>
        <v>0</v>
      </c>
      <c r="AB1307" s="322">
        <f>SUM(Calculations[[#This Row],[C3 recyc]:[C3 incin]])</f>
        <v>0</v>
      </c>
      <c r="AC1307" s="334">
        <f>IFERROR((VLOOKUP(Calculations[[#This Row],[Waste type 2]],WasteLandfillEmissions[#All],2,FALSE))*Calculations[[#This Row],[Total Kg]]*VLOOKUP(Calculations[[#This Row],[Waste 1]],WasteScenario[#All],4,FALSE),0)</f>
        <v>0</v>
      </c>
      <c r="AD1307" s="322">
        <f>IFERROR((VLOOKUP(Calculations[[#This Row],[Waste type 2]],WasteLandfillEmissions[#All],3,FALSE))*Calculations[[#This Row],[Total Kg]]*VLOOKUP(Calculations[[#This Row],[Waste 1]],WasteScenario[#All],4,FALSE),0)</f>
        <v>0</v>
      </c>
      <c r="AE1307" s="322">
        <f>SUM(Calculations[[#This Row],[C4 landfill]:[C4 re-use]])</f>
        <v>0</v>
      </c>
      <c r="AF1307" s="322">
        <f>IFERROR(VLOOKUP(Calculations[[#This Row],[Material (choose from dropdown]],MaterialData[#All],8,FALSE),0)</f>
        <v>0</v>
      </c>
      <c r="AG1307" s="322">
        <f>IFERROR(Calculations[[#This Row],[Total Kg]]*Calculations[[#This Row],[Seq factor]],0)</f>
        <v>0</v>
      </c>
      <c r="AI1307" s="322">
        <f>Calculations[[#This Row],[A1-3]]+Calculations[[#This Row],[A4]]+Calculations[[#This Row],[A5]]+Calculations[[#This Row],[B4]]+Calculations[[#This Row],[C2 total]]+Calculations[[#This Row],[C3 total]]+Calculations[[#This Row],[C4 total]]</f>
        <v>0</v>
      </c>
      <c r="AJ1307" s="2">
        <f>IFERROR(VLOOKUP(Calculations[[#This Row],[Material (choose from dropdown]],MaterialData[[#Headers],[#Data]],9,FALSE),0)</f>
        <v>0</v>
      </c>
      <c r="AK1307" s="4">
        <f>IFERROR(VLOOKUP(Calculations[[#This Row],[Material (choose from dropdown]],MaterialData[[#Headers],[#Data]],10,FALSE),0)</f>
        <v>0</v>
      </c>
      <c r="AL1307" s="322">
        <f>IFERROR(Calculations[[#This Row],[Data Quality Score]]*Calculations[[#This Row],[Total Kg]],0)</f>
        <v>0</v>
      </c>
    </row>
    <row r="1308" spans="1:38" x14ac:dyDescent="0.3">
      <c r="A1308" s="6">
        <f>IFERROR(MaterialsBoQ[[#This Row],[Scope Element]],0)</f>
        <v>0</v>
      </c>
      <c r="B1308" t="str">
        <f>IFERROR(MaterialsBoQ[[#This Row],[Material ]],"")</f>
        <v/>
      </c>
      <c r="C1308" t="str">
        <f>IFERROR(MaterialsBoQ[[#This Row],[Unit]],"")</f>
        <v/>
      </c>
      <c r="D1308" s="322">
        <f>IFERROR(MaterialsBoQ[[#This Row],[Number]],0)</f>
        <v>0</v>
      </c>
      <c r="E1308" s="322">
        <f>IFERROR(MaterialsBoQ[[#This Row],[Kg per unit]],0)</f>
        <v>0</v>
      </c>
      <c r="F1308" s="322">
        <f>IFERROR(Calculations[[#This Row],[Number]]*Calculations[[#This Row],[Conversion factor]],0)</f>
        <v>0</v>
      </c>
      <c r="G1308" s="322">
        <f>IFERROR(VLOOKUP(Calculations[[#This Row],[Material (choose from dropdown]],MaterialData[#All],7,FALSE),0)</f>
        <v>0</v>
      </c>
      <c r="H1308" s="322">
        <f>Calculations[[#This Row],[Total Kg]]*Calculations[[#This Row],[Carbon Factor]]</f>
        <v>0</v>
      </c>
      <c r="I1308" t="str">
        <f>IFERROR(VLOOKUP(Calculations[[#This Row],[Material (choose from dropdown]],MaterialData[#All],2,FALSE),"")</f>
        <v/>
      </c>
      <c r="J1308" s="322">
        <f>IFERROR(((VLOOKUP(Calculations[[#This Row],[TransportSource]],TransportDistance[],2,FALSE)*'Stage assumptions'!$C$11)+VLOOKUP(Calculations[[#This Row],[TransportSource]],TransportDistance[],3,FALSE)*'Stage assumptions'!$C$12)*Calculations[[#This Row],[Total Kg]],0)</f>
        <v>0</v>
      </c>
      <c r="K1308">
        <f>IFERROR(VLOOKUP(Calculations[[#This Row],[Material (choose from dropdown]], MaterialData[#All],3, FALSE),0)</f>
        <v>0</v>
      </c>
      <c r="L1308" s="322">
        <f>IFERROR(VLOOKUP(Calculations[[#This Row],[A5type]],A5WastageRate[#All],2,FALSE)*Calculations[[#This Row],[A1-3]],0)</f>
        <v>0</v>
      </c>
      <c r="N1308">
        <f>IFERROR(ROUNDUP(50/VLOOKUP(Calculations[[#This Row],[Scope Element]],B4referenceServiceLife[[Tier 2 element]:[Default Service Life]],2, FALSE)-1,0),0)</f>
        <v>0</v>
      </c>
      <c r="O1308" s="322">
        <f>IFERROR((Calculations[[#This Row],[A1-3]]+Calculations[[#This Row],[A4]]+Calculations[[#This Row],[A5]]+Calculations[[#This Row],[C2 total]]+Calculations[[#This Row],[C3 total]]+Calculations[[#This Row],[C4 total]])*Calculations[[#This Row],[Replacements]],0)</f>
        <v>0</v>
      </c>
      <c r="S1308" t="str">
        <f>IFERROR(VLOOKUP(Calculations[[#This Row],[Material (choose from dropdown]],MaterialData[#All],4,FALSE),"")</f>
        <v/>
      </c>
      <c r="T1308" s="322" cm="1">
        <f t="array" ref="T1308">IFERROR(VLOOKUP(Calculations[[#This Row],[Waste 1]],WasteScenario[#All],2,FALSE)*'Stage assumptions'!$C$225*WasteTransportMethod[Emissions Factor
kgCO2e/kg.km]*Calculations[[#This Row],[Total Kg]],0)</f>
        <v>0</v>
      </c>
      <c r="U1308" s="322" cm="1">
        <f t="array" ref="U1308">IFERROR(VLOOKUP(Calculations[[#This Row],[Waste 1]],WasteScenario[#All],3,FALSE)*'Stage assumptions'!$C$224*WasteTransportMethod[Emissions Factor
kgCO2e/kg.km]*Calculations[[#This Row],[Total Kg]],0)</f>
        <v>0</v>
      </c>
      <c r="V1308" s="322" cm="1">
        <f t="array" ref="V1308">IFERROR(VLOOKUP(Calculations[[#This Row],[Waste 1]],WasteScenario[#All],4,FALSE)*'Stage assumptions'!$C$223*WasteTransportMethod[Emissions Factor
kgCO2e/kg.km]*Calculations[[#This Row],[Total Kg]],0)</f>
        <v>0</v>
      </c>
      <c r="W1308" s="322" cm="1">
        <f t="array" ref="W1308">IFERROR(VLOOKUP(Calculations[[#This Row],[Waste 1]],WasteScenario[#All],5,FALSE)*'Stage assumptions'!$C$226*WasteTransportMethod[Emissions Factor
kgCO2e/kg.km]*Calculations[[#This Row],[Total Kg]],0)</f>
        <v>0</v>
      </c>
      <c r="X1308" s="322">
        <f>SUM(Calculations[[#This Row],[C2 Recycle]:[C2 Reuse]])</f>
        <v>0</v>
      </c>
      <c r="Y1308" t="str">
        <f>IFERROR(VLOOKUP(Calculations[[#This Row],[Material (choose from dropdown]],MaterialData[#All],5,FALSE),"")</f>
        <v/>
      </c>
      <c r="Z1308" s="322">
        <f>IFERROR(((VLOOKUP(Calculations[[#This Row],[Waste type 2]],WasteDisposalEmissions[#All],2,FALSE))*Calculations[[#This Row],[Total Kg]])*VLOOKUP(Calculations[[#This Row],[Waste 1]],WasteScenario[#All],2,FALSE),0)</f>
        <v>0</v>
      </c>
      <c r="AA1308" s="322">
        <f>IFERROR((VLOOKUP(Calculations[[#This Row],[Waste type 2]],WasteDisposalEmissions[#All],3,FALSE))*Calculations[[#This Row],[Total Kg]]*VLOOKUP(Calculations[[#This Row],[Waste 1]],WasteScenario[#All],3,FALSE),0)</f>
        <v>0</v>
      </c>
      <c r="AB1308" s="322">
        <f>SUM(Calculations[[#This Row],[C3 recyc]:[C3 incin]])</f>
        <v>0</v>
      </c>
      <c r="AC1308" s="334">
        <f>IFERROR((VLOOKUP(Calculations[[#This Row],[Waste type 2]],WasteLandfillEmissions[#All],2,FALSE))*Calculations[[#This Row],[Total Kg]]*VLOOKUP(Calculations[[#This Row],[Waste 1]],WasteScenario[#All],4,FALSE),0)</f>
        <v>0</v>
      </c>
      <c r="AD1308" s="322">
        <f>IFERROR((VLOOKUP(Calculations[[#This Row],[Waste type 2]],WasteLandfillEmissions[#All],3,FALSE))*Calculations[[#This Row],[Total Kg]]*VLOOKUP(Calculations[[#This Row],[Waste 1]],WasteScenario[#All],4,FALSE),0)</f>
        <v>0</v>
      </c>
      <c r="AE1308" s="322">
        <f>SUM(Calculations[[#This Row],[C4 landfill]:[C4 re-use]])</f>
        <v>0</v>
      </c>
      <c r="AF1308" s="322">
        <f>IFERROR(VLOOKUP(Calculations[[#This Row],[Material (choose from dropdown]],MaterialData[#All],8,FALSE),0)</f>
        <v>0</v>
      </c>
      <c r="AG1308" s="322">
        <f>IFERROR(Calculations[[#This Row],[Total Kg]]*Calculations[[#This Row],[Seq factor]],0)</f>
        <v>0</v>
      </c>
      <c r="AI1308" s="322">
        <f>Calculations[[#This Row],[A1-3]]+Calculations[[#This Row],[A4]]+Calculations[[#This Row],[A5]]+Calculations[[#This Row],[B4]]+Calculations[[#This Row],[C2 total]]+Calculations[[#This Row],[C3 total]]+Calculations[[#This Row],[C4 total]]</f>
        <v>0</v>
      </c>
      <c r="AJ1308" s="2">
        <f>IFERROR(VLOOKUP(Calculations[[#This Row],[Material (choose from dropdown]],MaterialData[[#Headers],[#Data]],9,FALSE),0)</f>
        <v>0</v>
      </c>
      <c r="AK1308" s="4">
        <f>IFERROR(VLOOKUP(Calculations[[#This Row],[Material (choose from dropdown]],MaterialData[[#Headers],[#Data]],10,FALSE),0)</f>
        <v>0</v>
      </c>
      <c r="AL1308" s="322">
        <f>IFERROR(Calculations[[#This Row],[Data Quality Score]]*Calculations[[#This Row],[Total Kg]],0)</f>
        <v>0</v>
      </c>
    </row>
    <row r="1309" spans="1:38" x14ac:dyDescent="0.3">
      <c r="A1309" s="6">
        <f>IFERROR(MaterialsBoQ[[#This Row],[Scope Element]],0)</f>
        <v>0</v>
      </c>
      <c r="B1309" t="str">
        <f>IFERROR(MaterialsBoQ[[#This Row],[Material ]],"")</f>
        <v/>
      </c>
      <c r="C1309" t="str">
        <f>IFERROR(MaterialsBoQ[[#This Row],[Unit]],"")</f>
        <v/>
      </c>
      <c r="D1309" s="322">
        <f>IFERROR(MaterialsBoQ[[#This Row],[Number]],0)</f>
        <v>0</v>
      </c>
      <c r="E1309" s="322">
        <f>IFERROR(MaterialsBoQ[[#This Row],[Kg per unit]],0)</f>
        <v>0</v>
      </c>
      <c r="F1309" s="322">
        <f>IFERROR(Calculations[[#This Row],[Number]]*Calculations[[#This Row],[Conversion factor]],0)</f>
        <v>0</v>
      </c>
      <c r="G1309" s="322">
        <f>IFERROR(VLOOKUP(Calculations[[#This Row],[Material (choose from dropdown]],MaterialData[#All],7,FALSE),0)</f>
        <v>0</v>
      </c>
      <c r="H1309" s="322">
        <f>Calculations[[#This Row],[Total Kg]]*Calculations[[#This Row],[Carbon Factor]]</f>
        <v>0</v>
      </c>
      <c r="I1309" t="str">
        <f>IFERROR(VLOOKUP(Calculations[[#This Row],[Material (choose from dropdown]],MaterialData[#All],2,FALSE),"")</f>
        <v/>
      </c>
      <c r="J1309" s="322">
        <f>IFERROR(((VLOOKUP(Calculations[[#This Row],[TransportSource]],TransportDistance[],2,FALSE)*'Stage assumptions'!$C$11)+VLOOKUP(Calculations[[#This Row],[TransportSource]],TransportDistance[],3,FALSE)*'Stage assumptions'!$C$12)*Calculations[[#This Row],[Total Kg]],0)</f>
        <v>0</v>
      </c>
      <c r="K1309">
        <f>IFERROR(VLOOKUP(Calculations[[#This Row],[Material (choose from dropdown]], MaterialData[#All],3, FALSE),0)</f>
        <v>0</v>
      </c>
      <c r="L1309" s="322">
        <f>IFERROR(VLOOKUP(Calculations[[#This Row],[A5type]],A5WastageRate[#All],2,FALSE)*Calculations[[#This Row],[A1-3]],0)</f>
        <v>0</v>
      </c>
      <c r="N1309">
        <f>IFERROR(ROUNDUP(50/VLOOKUP(Calculations[[#This Row],[Scope Element]],B4referenceServiceLife[[Tier 2 element]:[Default Service Life]],2, FALSE)-1,0),0)</f>
        <v>0</v>
      </c>
      <c r="O1309" s="322">
        <f>IFERROR((Calculations[[#This Row],[A1-3]]+Calculations[[#This Row],[A4]]+Calculations[[#This Row],[A5]]+Calculations[[#This Row],[C2 total]]+Calculations[[#This Row],[C3 total]]+Calculations[[#This Row],[C4 total]])*Calculations[[#This Row],[Replacements]],0)</f>
        <v>0</v>
      </c>
      <c r="S1309" t="str">
        <f>IFERROR(VLOOKUP(Calculations[[#This Row],[Material (choose from dropdown]],MaterialData[#All],4,FALSE),"")</f>
        <v/>
      </c>
      <c r="T1309" s="322" cm="1">
        <f t="array" ref="T1309">IFERROR(VLOOKUP(Calculations[[#This Row],[Waste 1]],WasteScenario[#All],2,FALSE)*'Stage assumptions'!$C$225*WasteTransportMethod[Emissions Factor
kgCO2e/kg.km]*Calculations[[#This Row],[Total Kg]],0)</f>
        <v>0</v>
      </c>
      <c r="U1309" s="322" cm="1">
        <f t="array" ref="U1309">IFERROR(VLOOKUP(Calculations[[#This Row],[Waste 1]],WasteScenario[#All],3,FALSE)*'Stage assumptions'!$C$224*WasteTransportMethod[Emissions Factor
kgCO2e/kg.km]*Calculations[[#This Row],[Total Kg]],0)</f>
        <v>0</v>
      </c>
      <c r="V1309" s="322" cm="1">
        <f t="array" ref="V1309">IFERROR(VLOOKUP(Calculations[[#This Row],[Waste 1]],WasteScenario[#All],4,FALSE)*'Stage assumptions'!$C$223*WasteTransportMethod[Emissions Factor
kgCO2e/kg.km]*Calculations[[#This Row],[Total Kg]],0)</f>
        <v>0</v>
      </c>
      <c r="W1309" s="322" cm="1">
        <f t="array" ref="W1309">IFERROR(VLOOKUP(Calculations[[#This Row],[Waste 1]],WasteScenario[#All],5,FALSE)*'Stage assumptions'!$C$226*WasteTransportMethod[Emissions Factor
kgCO2e/kg.km]*Calculations[[#This Row],[Total Kg]],0)</f>
        <v>0</v>
      </c>
      <c r="X1309" s="322">
        <f>SUM(Calculations[[#This Row],[C2 Recycle]:[C2 Reuse]])</f>
        <v>0</v>
      </c>
      <c r="Y1309" t="str">
        <f>IFERROR(VLOOKUP(Calculations[[#This Row],[Material (choose from dropdown]],MaterialData[#All],5,FALSE),"")</f>
        <v/>
      </c>
      <c r="Z1309" s="322">
        <f>IFERROR(((VLOOKUP(Calculations[[#This Row],[Waste type 2]],WasteDisposalEmissions[#All],2,FALSE))*Calculations[[#This Row],[Total Kg]])*VLOOKUP(Calculations[[#This Row],[Waste 1]],WasteScenario[#All],2,FALSE),0)</f>
        <v>0</v>
      </c>
      <c r="AA1309" s="322">
        <f>IFERROR((VLOOKUP(Calculations[[#This Row],[Waste type 2]],WasteDisposalEmissions[#All],3,FALSE))*Calculations[[#This Row],[Total Kg]]*VLOOKUP(Calculations[[#This Row],[Waste 1]],WasteScenario[#All],3,FALSE),0)</f>
        <v>0</v>
      </c>
      <c r="AB1309" s="322">
        <f>SUM(Calculations[[#This Row],[C3 recyc]:[C3 incin]])</f>
        <v>0</v>
      </c>
      <c r="AC1309" s="334">
        <f>IFERROR((VLOOKUP(Calculations[[#This Row],[Waste type 2]],WasteLandfillEmissions[#All],2,FALSE))*Calculations[[#This Row],[Total Kg]]*VLOOKUP(Calculations[[#This Row],[Waste 1]],WasteScenario[#All],4,FALSE),0)</f>
        <v>0</v>
      </c>
      <c r="AD1309" s="322">
        <f>IFERROR((VLOOKUP(Calculations[[#This Row],[Waste type 2]],WasteLandfillEmissions[#All],3,FALSE))*Calculations[[#This Row],[Total Kg]]*VLOOKUP(Calculations[[#This Row],[Waste 1]],WasteScenario[#All],4,FALSE),0)</f>
        <v>0</v>
      </c>
      <c r="AE1309" s="322">
        <f>SUM(Calculations[[#This Row],[C4 landfill]:[C4 re-use]])</f>
        <v>0</v>
      </c>
      <c r="AF1309" s="322">
        <f>IFERROR(VLOOKUP(Calculations[[#This Row],[Material (choose from dropdown]],MaterialData[#All],8,FALSE),0)</f>
        <v>0</v>
      </c>
      <c r="AG1309" s="322">
        <f>IFERROR(Calculations[[#This Row],[Total Kg]]*Calculations[[#This Row],[Seq factor]],0)</f>
        <v>0</v>
      </c>
      <c r="AI1309" s="322">
        <f>Calculations[[#This Row],[A1-3]]+Calculations[[#This Row],[A4]]+Calculations[[#This Row],[A5]]+Calculations[[#This Row],[B4]]+Calculations[[#This Row],[C2 total]]+Calculations[[#This Row],[C3 total]]+Calculations[[#This Row],[C4 total]]</f>
        <v>0</v>
      </c>
      <c r="AJ1309" s="2">
        <f>IFERROR(VLOOKUP(Calculations[[#This Row],[Material (choose from dropdown]],MaterialData[[#Headers],[#Data]],9,FALSE),0)</f>
        <v>0</v>
      </c>
      <c r="AK1309" s="4">
        <f>IFERROR(VLOOKUP(Calculations[[#This Row],[Material (choose from dropdown]],MaterialData[[#Headers],[#Data]],10,FALSE),0)</f>
        <v>0</v>
      </c>
      <c r="AL1309" s="322">
        <f>IFERROR(Calculations[[#This Row],[Data Quality Score]]*Calculations[[#This Row],[Total Kg]],0)</f>
        <v>0</v>
      </c>
    </row>
    <row r="1310" spans="1:38" x14ac:dyDescent="0.3">
      <c r="A1310" s="6">
        <f>IFERROR(MaterialsBoQ[[#This Row],[Scope Element]],0)</f>
        <v>0</v>
      </c>
      <c r="B1310" t="str">
        <f>IFERROR(MaterialsBoQ[[#This Row],[Material ]],"")</f>
        <v/>
      </c>
      <c r="C1310" t="str">
        <f>IFERROR(MaterialsBoQ[[#This Row],[Unit]],"")</f>
        <v/>
      </c>
      <c r="D1310" s="322">
        <f>IFERROR(MaterialsBoQ[[#This Row],[Number]],0)</f>
        <v>0</v>
      </c>
      <c r="E1310" s="322">
        <f>IFERROR(MaterialsBoQ[[#This Row],[Kg per unit]],0)</f>
        <v>0</v>
      </c>
      <c r="F1310" s="322">
        <f>IFERROR(Calculations[[#This Row],[Number]]*Calculations[[#This Row],[Conversion factor]],0)</f>
        <v>0</v>
      </c>
      <c r="G1310" s="322">
        <f>IFERROR(VLOOKUP(Calculations[[#This Row],[Material (choose from dropdown]],MaterialData[#All],7,FALSE),0)</f>
        <v>0</v>
      </c>
      <c r="H1310" s="322">
        <f>Calculations[[#This Row],[Total Kg]]*Calculations[[#This Row],[Carbon Factor]]</f>
        <v>0</v>
      </c>
      <c r="I1310" t="str">
        <f>IFERROR(VLOOKUP(Calculations[[#This Row],[Material (choose from dropdown]],MaterialData[#All],2,FALSE),"")</f>
        <v/>
      </c>
      <c r="J1310" s="322">
        <f>IFERROR(((VLOOKUP(Calculations[[#This Row],[TransportSource]],TransportDistance[],2,FALSE)*'Stage assumptions'!$C$11)+VLOOKUP(Calculations[[#This Row],[TransportSource]],TransportDistance[],3,FALSE)*'Stage assumptions'!$C$12)*Calculations[[#This Row],[Total Kg]],0)</f>
        <v>0</v>
      </c>
      <c r="K1310">
        <f>IFERROR(VLOOKUP(Calculations[[#This Row],[Material (choose from dropdown]], MaterialData[#All],3, FALSE),0)</f>
        <v>0</v>
      </c>
      <c r="L1310" s="322">
        <f>IFERROR(VLOOKUP(Calculations[[#This Row],[A5type]],A5WastageRate[#All],2,FALSE)*Calculations[[#This Row],[A1-3]],0)</f>
        <v>0</v>
      </c>
      <c r="N1310">
        <f>IFERROR(ROUNDUP(50/VLOOKUP(Calculations[[#This Row],[Scope Element]],B4referenceServiceLife[[Tier 2 element]:[Default Service Life]],2, FALSE)-1,0),0)</f>
        <v>0</v>
      </c>
      <c r="O1310" s="322">
        <f>IFERROR((Calculations[[#This Row],[A1-3]]+Calculations[[#This Row],[A4]]+Calculations[[#This Row],[A5]]+Calculations[[#This Row],[C2 total]]+Calculations[[#This Row],[C3 total]]+Calculations[[#This Row],[C4 total]])*Calculations[[#This Row],[Replacements]],0)</f>
        <v>0</v>
      </c>
      <c r="S1310" t="str">
        <f>IFERROR(VLOOKUP(Calculations[[#This Row],[Material (choose from dropdown]],MaterialData[#All],4,FALSE),"")</f>
        <v/>
      </c>
      <c r="T1310" s="322" cm="1">
        <f t="array" ref="T1310">IFERROR(VLOOKUP(Calculations[[#This Row],[Waste 1]],WasteScenario[#All],2,FALSE)*'Stage assumptions'!$C$225*WasteTransportMethod[Emissions Factor
kgCO2e/kg.km]*Calculations[[#This Row],[Total Kg]],0)</f>
        <v>0</v>
      </c>
      <c r="U1310" s="322" cm="1">
        <f t="array" ref="U1310">IFERROR(VLOOKUP(Calculations[[#This Row],[Waste 1]],WasteScenario[#All],3,FALSE)*'Stage assumptions'!$C$224*WasteTransportMethod[Emissions Factor
kgCO2e/kg.km]*Calculations[[#This Row],[Total Kg]],0)</f>
        <v>0</v>
      </c>
      <c r="V1310" s="322" cm="1">
        <f t="array" ref="V1310">IFERROR(VLOOKUP(Calculations[[#This Row],[Waste 1]],WasteScenario[#All],4,FALSE)*'Stage assumptions'!$C$223*WasteTransportMethod[Emissions Factor
kgCO2e/kg.km]*Calculations[[#This Row],[Total Kg]],0)</f>
        <v>0</v>
      </c>
      <c r="W1310" s="322" cm="1">
        <f t="array" ref="W1310">IFERROR(VLOOKUP(Calculations[[#This Row],[Waste 1]],WasteScenario[#All],5,FALSE)*'Stage assumptions'!$C$226*WasteTransportMethod[Emissions Factor
kgCO2e/kg.km]*Calculations[[#This Row],[Total Kg]],0)</f>
        <v>0</v>
      </c>
      <c r="X1310" s="322">
        <f>SUM(Calculations[[#This Row],[C2 Recycle]:[C2 Reuse]])</f>
        <v>0</v>
      </c>
      <c r="Y1310" t="str">
        <f>IFERROR(VLOOKUP(Calculations[[#This Row],[Material (choose from dropdown]],MaterialData[#All],5,FALSE),"")</f>
        <v/>
      </c>
      <c r="Z1310" s="322">
        <f>IFERROR(((VLOOKUP(Calculations[[#This Row],[Waste type 2]],WasteDisposalEmissions[#All],2,FALSE))*Calculations[[#This Row],[Total Kg]])*VLOOKUP(Calculations[[#This Row],[Waste 1]],WasteScenario[#All],2,FALSE),0)</f>
        <v>0</v>
      </c>
      <c r="AA1310" s="322">
        <f>IFERROR((VLOOKUP(Calculations[[#This Row],[Waste type 2]],WasteDisposalEmissions[#All],3,FALSE))*Calculations[[#This Row],[Total Kg]]*VLOOKUP(Calculations[[#This Row],[Waste 1]],WasteScenario[#All],3,FALSE),0)</f>
        <v>0</v>
      </c>
      <c r="AB1310" s="322">
        <f>SUM(Calculations[[#This Row],[C3 recyc]:[C3 incin]])</f>
        <v>0</v>
      </c>
      <c r="AC1310" s="334">
        <f>IFERROR((VLOOKUP(Calculations[[#This Row],[Waste type 2]],WasteLandfillEmissions[#All],2,FALSE))*Calculations[[#This Row],[Total Kg]]*VLOOKUP(Calculations[[#This Row],[Waste 1]],WasteScenario[#All],4,FALSE),0)</f>
        <v>0</v>
      </c>
      <c r="AD1310" s="322">
        <f>IFERROR((VLOOKUP(Calculations[[#This Row],[Waste type 2]],WasteLandfillEmissions[#All],3,FALSE))*Calculations[[#This Row],[Total Kg]]*VLOOKUP(Calculations[[#This Row],[Waste 1]],WasteScenario[#All],4,FALSE),0)</f>
        <v>0</v>
      </c>
      <c r="AE1310" s="322">
        <f>SUM(Calculations[[#This Row],[C4 landfill]:[C4 re-use]])</f>
        <v>0</v>
      </c>
      <c r="AF1310" s="322">
        <f>IFERROR(VLOOKUP(Calculations[[#This Row],[Material (choose from dropdown]],MaterialData[#All],8,FALSE),0)</f>
        <v>0</v>
      </c>
      <c r="AG1310" s="322">
        <f>IFERROR(Calculations[[#This Row],[Total Kg]]*Calculations[[#This Row],[Seq factor]],0)</f>
        <v>0</v>
      </c>
      <c r="AI1310" s="322">
        <f>Calculations[[#This Row],[A1-3]]+Calculations[[#This Row],[A4]]+Calculations[[#This Row],[A5]]+Calculations[[#This Row],[B4]]+Calculations[[#This Row],[C2 total]]+Calculations[[#This Row],[C3 total]]+Calculations[[#This Row],[C4 total]]</f>
        <v>0</v>
      </c>
      <c r="AJ1310" s="2">
        <f>IFERROR(VLOOKUP(Calculations[[#This Row],[Material (choose from dropdown]],MaterialData[[#Headers],[#Data]],9,FALSE),0)</f>
        <v>0</v>
      </c>
      <c r="AK1310" s="4">
        <f>IFERROR(VLOOKUP(Calculations[[#This Row],[Material (choose from dropdown]],MaterialData[[#Headers],[#Data]],10,FALSE),0)</f>
        <v>0</v>
      </c>
      <c r="AL1310" s="322">
        <f>IFERROR(Calculations[[#This Row],[Data Quality Score]]*Calculations[[#This Row],[Total Kg]],0)</f>
        <v>0</v>
      </c>
    </row>
    <row r="1311" spans="1:38" x14ac:dyDescent="0.3">
      <c r="A1311" s="6">
        <f>IFERROR(MaterialsBoQ[[#This Row],[Scope Element]],0)</f>
        <v>0</v>
      </c>
      <c r="B1311" t="str">
        <f>IFERROR(MaterialsBoQ[[#This Row],[Material ]],"")</f>
        <v/>
      </c>
      <c r="C1311" t="str">
        <f>IFERROR(MaterialsBoQ[[#This Row],[Unit]],"")</f>
        <v/>
      </c>
      <c r="D1311" s="322">
        <f>IFERROR(MaterialsBoQ[[#This Row],[Number]],0)</f>
        <v>0</v>
      </c>
      <c r="E1311" s="322">
        <f>IFERROR(MaterialsBoQ[[#This Row],[Kg per unit]],0)</f>
        <v>0</v>
      </c>
      <c r="F1311" s="322">
        <f>IFERROR(Calculations[[#This Row],[Number]]*Calculations[[#This Row],[Conversion factor]],0)</f>
        <v>0</v>
      </c>
      <c r="G1311" s="322">
        <f>IFERROR(VLOOKUP(Calculations[[#This Row],[Material (choose from dropdown]],MaterialData[#All],7,FALSE),0)</f>
        <v>0</v>
      </c>
      <c r="H1311" s="322">
        <f>Calculations[[#This Row],[Total Kg]]*Calculations[[#This Row],[Carbon Factor]]</f>
        <v>0</v>
      </c>
      <c r="I1311" t="str">
        <f>IFERROR(VLOOKUP(Calculations[[#This Row],[Material (choose from dropdown]],MaterialData[#All],2,FALSE),"")</f>
        <v/>
      </c>
      <c r="J1311" s="322">
        <f>IFERROR(((VLOOKUP(Calculations[[#This Row],[TransportSource]],TransportDistance[],2,FALSE)*'Stage assumptions'!$C$11)+VLOOKUP(Calculations[[#This Row],[TransportSource]],TransportDistance[],3,FALSE)*'Stage assumptions'!$C$12)*Calculations[[#This Row],[Total Kg]],0)</f>
        <v>0</v>
      </c>
      <c r="K1311">
        <f>IFERROR(VLOOKUP(Calculations[[#This Row],[Material (choose from dropdown]], MaterialData[#All],3, FALSE),0)</f>
        <v>0</v>
      </c>
      <c r="L1311" s="322">
        <f>IFERROR(VLOOKUP(Calculations[[#This Row],[A5type]],A5WastageRate[#All],2,FALSE)*Calculations[[#This Row],[A1-3]],0)</f>
        <v>0</v>
      </c>
      <c r="N1311">
        <f>IFERROR(ROUNDUP(50/VLOOKUP(Calculations[[#This Row],[Scope Element]],B4referenceServiceLife[[Tier 2 element]:[Default Service Life]],2, FALSE)-1,0),0)</f>
        <v>0</v>
      </c>
      <c r="O1311" s="322">
        <f>IFERROR((Calculations[[#This Row],[A1-3]]+Calculations[[#This Row],[A4]]+Calculations[[#This Row],[A5]]+Calculations[[#This Row],[C2 total]]+Calculations[[#This Row],[C3 total]]+Calculations[[#This Row],[C4 total]])*Calculations[[#This Row],[Replacements]],0)</f>
        <v>0</v>
      </c>
      <c r="S1311" t="str">
        <f>IFERROR(VLOOKUP(Calculations[[#This Row],[Material (choose from dropdown]],MaterialData[#All],4,FALSE),"")</f>
        <v/>
      </c>
      <c r="T1311" s="322" cm="1">
        <f t="array" ref="T1311">IFERROR(VLOOKUP(Calculations[[#This Row],[Waste 1]],WasteScenario[#All],2,FALSE)*'Stage assumptions'!$C$225*WasteTransportMethod[Emissions Factor
kgCO2e/kg.km]*Calculations[[#This Row],[Total Kg]],0)</f>
        <v>0</v>
      </c>
      <c r="U1311" s="322" cm="1">
        <f t="array" ref="U1311">IFERROR(VLOOKUP(Calculations[[#This Row],[Waste 1]],WasteScenario[#All],3,FALSE)*'Stage assumptions'!$C$224*WasteTransportMethod[Emissions Factor
kgCO2e/kg.km]*Calculations[[#This Row],[Total Kg]],0)</f>
        <v>0</v>
      </c>
      <c r="V1311" s="322" cm="1">
        <f t="array" ref="V1311">IFERROR(VLOOKUP(Calculations[[#This Row],[Waste 1]],WasteScenario[#All],4,FALSE)*'Stage assumptions'!$C$223*WasteTransportMethod[Emissions Factor
kgCO2e/kg.km]*Calculations[[#This Row],[Total Kg]],0)</f>
        <v>0</v>
      </c>
      <c r="W1311" s="322" cm="1">
        <f t="array" ref="W1311">IFERROR(VLOOKUP(Calculations[[#This Row],[Waste 1]],WasteScenario[#All],5,FALSE)*'Stage assumptions'!$C$226*WasteTransportMethod[Emissions Factor
kgCO2e/kg.km]*Calculations[[#This Row],[Total Kg]],0)</f>
        <v>0</v>
      </c>
      <c r="X1311" s="322">
        <f>SUM(Calculations[[#This Row],[C2 Recycle]:[C2 Reuse]])</f>
        <v>0</v>
      </c>
      <c r="Y1311" t="str">
        <f>IFERROR(VLOOKUP(Calculations[[#This Row],[Material (choose from dropdown]],MaterialData[#All],5,FALSE),"")</f>
        <v/>
      </c>
      <c r="Z1311" s="322">
        <f>IFERROR(((VLOOKUP(Calculations[[#This Row],[Waste type 2]],WasteDisposalEmissions[#All],2,FALSE))*Calculations[[#This Row],[Total Kg]])*VLOOKUP(Calculations[[#This Row],[Waste 1]],WasteScenario[#All],2,FALSE),0)</f>
        <v>0</v>
      </c>
      <c r="AA1311" s="322">
        <f>IFERROR((VLOOKUP(Calculations[[#This Row],[Waste type 2]],WasteDisposalEmissions[#All],3,FALSE))*Calculations[[#This Row],[Total Kg]]*VLOOKUP(Calculations[[#This Row],[Waste 1]],WasteScenario[#All],3,FALSE),0)</f>
        <v>0</v>
      </c>
      <c r="AB1311" s="322">
        <f>SUM(Calculations[[#This Row],[C3 recyc]:[C3 incin]])</f>
        <v>0</v>
      </c>
      <c r="AC1311" s="334">
        <f>IFERROR((VLOOKUP(Calculations[[#This Row],[Waste type 2]],WasteLandfillEmissions[#All],2,FALSE))*Calculations[[#This Row],[Total Kg]]*VLOOKUP(Calculations[[#This Row],[Waste 1]],WasteScenario[#All],4,FALSE),0)</f>
        <v>0</v>
      </c>
      <c r="AD1311" s="322">
        <f>IFERROR((VLOOKUP(Calculations[[#This Row],[Waste type 2]],WasteLandfillEmissions[#All],3,FALSE))*Calculations[[#This Row],[Total Kg]]*VLOOKUP(Calculations[[#This Row],[Waste 1]],WasteScenario[#All],4,FALSE),0)</f>
        <v>0</v>
      </c>
      <c r="AE1311" s="322">
        <f>SUM(Calculations[[#This Row],[C4 landfill]:[C4 re-use]])</f>
        <v>0</v>
      </c>
      <c r="AF1311" s="322">
        <f>IFERROR(VLOOKUP(Calculations[[#This Row],[Material (choose from dropdown]],MaterialData[#All],8,FALSE),0)</f>
        <v>0</v>
      </c>
      <c r="AG1311" s="322">
        <f>IFERROR(Calculations[[#This Row],[Total Kg]]*Calculations[[#This Row],[Seq factor]],0)</f>
        <v>0</v>
      </c>
      <c r="AI1311" s="322">
        <f>Calculations[[#This Row],[A1-3]]+Calculations[[#This Row],[A4]]+Calculations[[#This Row],[A5]]+Calculations[[#This Row],[B4]]+Calculations[[#This Row],[C2 total]]+Calculations[[#This Row],[C3 total]]+Calculations[[#This Row],[C4 total]]</f>
        <v>0</v>
      </c>
      <c r="AJ1311" s="2">
        <f>IFERROR(VLOOKUP(Calculations[[#This Row],[Material (choose from dropdown]],MaterialData[[#Headers],[#Data]],9,FALSE),0)</f>
        <v>0</v>
      </c>
      <c r="AK1311" s="4">
        <f>IFERROR(VLOOKUP(Calculations[[#This Row],[Material (choose from dropdown]],MaterialData[[#Headers],[#Data]],10,FALSE),0)</f>
        <v>0</v>
      </c>
      <c r="AL1311" s="322">
        <f>IFERROR(Calculations[[#This Row],[Data Quality Score]]*Calculations[[#This Row],[Total Kg]],0)</f>
        <v>0</v>
      </c>
    </row>
    <row r="1312" spans="1:38" x14ac:dyDescent="0.3">
      <c r="A1312" s="6">
        <f>IFERROR(MaterialsBoQ[[#This Row],[Scope Element]],0)</f>
        <v>0</v>
      </c>
      <c r="B1312" t="str">
        <f>IFERROR(MaterialsBoQ[[#This Row],[Material ]],"")</f>
        <v/>
      </c>
      <c r="C1312" t="str">
        <f>IFERROR(MaterialsBoQ[[#This Row],[Unit]],"")</f>
        <v/>
      </c>
      <c r="D1312" s="322">
        <f>IFERROR(MaterialsBoQ[[#This Row],[Number]],0)</f>
        <v>0</v>
      </c>
      <c r="E1312" s="322">
        <f>IFERROR(MaterialsBoQ[[#This Row],[Kg per unit]],0)</f>
        <v>0</v>
      </c>
      <c r="F1312" s="322">
        <f>IFERROR(Calculations[[#This Row],[Number]]*Calculations[[#This Row],[Conversion factor]],0)</f>
        <v>0</v>
      </c>
      <c r="G1312" s="322">
        <f>IFERROR(VLOOKUP(Calculations[[#This Row],[Material (choose from dropdown]],MaterialData[#All],7,FALSE),0)</f>
        <v>0</v>
      </c>
      <c r="H1312" s="322">
        <f>Calculations[[#This Row],[Total Kg]]*Calculations[[#This Row],[Carbon Factor]]</f>
        <v>0</v>
      </c>
      <c r="I1312" t="str">
        <f>IFERROR(VLOOKUP(Calculations[[#This Row],[Material (choose from dropdown]],MaterialData[#All],2,FALSE),"")</f>
        <v/>
      </c>
      <c r="J1312" s="322">
        <f>IFERROR(((VLOOKUP(Calculations[[#This Row],[TransportSource]],TransportDistance[],2,FALSE)*'Stage assumptions'!$C$11)+VLOOKUP(Calculations[[#This Row],[TransportSource]],TransportDistance[],3,FALSE)*'Stage assumptions'!$C$12)*Calculations[[#This Row],[Total Kg]],0)</f>
        <v>0</v>
      </c>
      <c r="K1312">
        <f>IFERROR(VLOOKUP(Calculations[[#This Row],[Material (choose from dropdown]], MaterialData[#All],3, FALSE),0)</f>
        <v>0</v>
      </c>
      <c r="L1312" s="322">
        <f>IFERROR(VLOOKUP(Calculations[[#This Row],[A5type]],A5WastageRate[#All],2,FALSE)*Calculations[[#This Row],[A1-3]],0)</f>
        <v>0</v>
      </c>
      <c r="N1312">
        <f>IFERROR(ROUNDUP(50/VLOOKUP(Calculations[[#This Row],[Scope Element]],B4referenceServiceLife[[Tier 2 element]:[Default Service Life]],2, FALSE)-1,0),0)</f>
        <v>0</v>
      </c>
      <c r="O1312" s="322">
        <f>IFERROR((Calculations[[#This Row],[A1-3]]+Calculations[[#This Row],[A4]]+Calculations[[#This Row],[A5]]+Calculations[[#This Row],[C2 total]]+Calculations[[#This Row],[C3 total]]+Calculations[[#This Row],[C4 total]])*Calculations[[#This Row],[Replacements]],0)</f>
        <v>0</v>
      </c>
      <c r="S1312" t="str">
        <f>IFERROR(VLOOKUP(Calculations[[#This Row],[Material (choose from dropdown]],MaterialData[#All],4,FALSE),"")</f>
        <v/>
      </c>
      <c r="T1312" s="322" cm="1">
        <f t="array" ref="T1312">IFERROR(VLOOKUP(Calculations[[#This Row],[Waste 1]],WasteScenario[#All],2,FALSE)*'Stage assumptions'!$C$225*WasteTransportMethod[Emissions Factor
kgCO2e/kg.km]*Calculations[[#This Row],[Total Kg]],0)</f>
        <v>0</v>
      </c>
      <c r="U1312" s="322" cm="1">
        <f t="array" ref="U1312">IFERROR(VLOOKUP(Calculations[[#This Row],[Waste 1]],WasteScenario[#All],3,FALSE)*'Stage assumptions'!$C$224*WasteTransportMethod[Emissions Factor
kgCO2e/kg.km]*Calculations[[#This Row],[Total Kg]],0)</f>
        <v>0</v>
      </c>
      <c r="V1312" s="322" cm="1">
        <f t="array" ref="V1312">IFERROR(VLOOKUP(Calculations[[#This Row],[Waste 1]],WasteScenario[#All],4,FALSE)*'Stage assumptions'!$C$223*WasteTransportMethod[Emissions Factor
kgCO2e/kg.km]*Calculations[[#This Row],[Total Kg]],0)</f>
        <v>0</v>
      </c>
      <c r="W1312" s="322" cm="1">
        <f t="array" ref="W1312">IFERROR(VLOOKUP(Calculations[[#This Row],[Waste 1]],WasteScenario[#All],5,FALSE)*'Stage assumptions'!$C$226*WasteTransportMethod[Emissions Factor
kgCO2e/kg.km]*Calculations[[#This Row],[Total Kg]],0)</f>
        <v>0</v>
      </c>
      <c r="X1312" s="322">
        <f>SUM(Calculations[[#This Row],[C2 Recycle]:[C2 Reuse]])</f>
        <v>0</v>
      </c>
      <c r="Y1312" t="str">
        <f>IFERROR(VLOOKUP(Calculations[[#This Row],[Material (choose from dropdown]],MaterialData[#All],5,FALSE),"")</f>
        <v/>
      </c>
      <c r="Z1312" s="322">
        <f>IFERROR(((VLOOKUP(Calculations[[#This Row],[Waste type 2]],WasteDisposalEmissions[#All],2,FALSE))*Calculations[[#This Row],[Total Kg]])*VLOOKUP(Calculations[[#This Row],[Waste 1]],WasteScenario[#All],2,FALSE),0)</f>
        <v>0</v>
      </c>
      <c r="AA1312" s="322">
        <f>IFERROR((VLOOKUP(Calculations[[#This Row],[Waste type 2]],WasteDisposalEmissions[#All],3,FALSE))*Calculations[[#This Row],[Total Kg]]*VLOOKUP(Calculations[[#This Row],[Waste 1]],WasteScenario[#All],3,FALSE),0)</f>
        <v>0</v>
      </c>
      <c r="AB1312" s="322">
        <f>SUM(Calculations[[#This Row],[C3 recyc]:[C3 incin]])</f>
        <v>0</v>
      </c>
      <c r="AC1312" s="334">
        <f>IFERROR((VLOOKUP(Calculations[[#This Row],[Waste type 2]],WasteLandfillEmissions[#All],2,FALSE))*Calculations[[#This Row],[Total Kg]]*VLOOKUP(Calculations[[#This Row],[Waste 1]],WasteScenario[#All],4,FALSE),0)</f>
        <v>0</v>
      </c>
      <c r="AD1312" s="322">
        <f>IFERROR((VLOOKUP(Calculations[[#This Row],[Waste type 2]],WasteLandfillEmissions[#All],3,FALSE))*Calculations[[#This Row],[Total Kg]]*VLOOKUP(Calculations[[#This Row],[Waste 1]],WasteScenario[#All],4,FALSE),0)</f>
        <v>0</v>
      </c>
      <c r="AE1312" s="322">
        <f>SUM(Calculations[[#This Row],[C4 landfill]:[C4 re-use]])</f>
        <v>0</v>
      </c>
      <c r="AF1312" s="322">
        <f>IFERROR(VLOOKUP(Calculations[[#This Row],[Material (choose from dropdown]],MaterialData[#All],8,FALSE),0)</f>
        <v>0</v>
      </c>
      <c r="AG1312" s="322">
        <f>IFERROR(Calculations[[#This Row],[Total Kg]]*Calculations[[#This Row],[Seq factor]],0)</f>
        <v>0</v>
      </c>
      <c r="AI1312" s="322">
        <f>Calculations[[#This Row],[A1-3]]+Calculations[[#This Row],[A4]]+Calculations[[#This Row],[A5]]+Calculations[[#This Row],[B4]]+Calculations[[#This Row],[C2 total]]+Calculations[[#This Row],[C3 total]]+Calculations[[#This Row],[C4 total]]</f>
        <v>0</v>
      </c>
      <c r="AJ1312" s="2">
        <f>IFERROR(VLOOKUP(Calculations[[#This Row],[Material (choose from dropdown]],MaterialData[[#Headers],[#Data]],9,FALSE),0)</f>
        <v>0</v>
      </c>
      <c r="AK1312" s="4">
        <f>IFERROR(VLOOKUP(Calculations[[#This Row],[Material (choose from dropdown]],MaterialData[[#Headers],[#Data]],10,FALSE),0)</f>
        <v>0</v>
      </c>
      <c r="AL1312" s="322">
        <f>IFERROR(Calculations[[#This Row],[Data Quality Score]]*Calculations[[#This Row],[Total Kg]],0)</f>
        <v>0</v>
      </c>
    </row>
    <row r="1313" spans="1:38" x14ac:dyDescent="0.3">
      <c r="A1313" s="6">
        <f>IFERROR(MaterialsBoQ[[#This Row],[Scope Element]],0)</f>
        <v>0</v>
      </c>
      <c r="B1313" t="str">
        <f>IFERROR(MaterialsBoQ[[#This Row],[Material ]],"")</f>
        <v/>
      </c>
      <c r="C1313" t="str">
        <f>IFERROR(MaterialsBoQ[[#This Row],[Unit]],"")</f>
        <v/>
      </c>
      <c r="D1313" s="322">
        <f>IFERROR(MaterialsBoQ[[#This Row],[Number]],0)</f>
        <v>0</v>
      </c>
      <c r="E1313" s="322">
        <f>IFERROR(MaterialsBoQ[[#This Row],[Kg per unit]],0)</f>
        <v>0</v>
      </c>
      <c r="F1313" s="322">
        <f>IFERROR(Calculations[[#This Row],[Number]]*Calculations[[#This Row],[Conversion factor]],0)</f>
        <v>0</v>
      </c>
      <c r="G1313" s="322">
        <f>IFERROR(VLOOKUP(Calculations[[#This Row],[Material (choose from dropdown]],MaterialData[#All],7,FALSE),0)</f>
        <v>0</v>
      </c>
      <c r="H1313" s="322">
        <f>Calculations[[#This Row],[Total Kg]]*Calculations[[#This Row],[Carbon Factor]]</f>
        <v>0</v>
      </c>
      <c r="I1313" t="str">
        <f>IFERROR(VLOOKUP(Calculations[[#This Row],[Material (choose from dropdown]],MaterialData[#All],2,FALSE),"")</f>
        <v/>
      </c>
      <c r="J1313" s="322">
        <f>IFERROR(((VLOOKUP(Calculations[[#This Row],[TransportSource]],TransportDistance[],2,FALSE)*'Stage assumptions'!$C$11)+VLOOKUP(Calculations[[#This Row],[TransportSource]],TransportDistance[],3,FALSE)*'Stage assumptions'!$C$12)*Calculations[[#This Row],[Total Kg]],0)</f>
        <v>0</v>
      </c>
      <c r="K1313">
        <f>IFERROR(VLOOKUP(Calculations[[#This Row],[Material (choose from dropdown]], MaterialData[#All],3, FALSE),0)</f>
        <v>0</v>
      </c>
      <c r="L1313" s="322">
        <f>IFERROR(VLOOKUP(Calculations[[#This Row],[A5type]],A5WastageRate[#All],2,FALSE)*Calculations[[#This Row],[A1-3]],0)</f>
        <v>0</v>
      </c>
      <c r="N1313">
        <f>IFERROR(ROUNDUP(50/VLOOKUP(Calculations[[#This Row],[Scope Element]],B4referenceServiceLife[[Tier 2 element]:[Default Service Life]],2, FALSE)-1,0),0)</f>
        <v>0</v>
      </c>
      <c r="O1313" s="322">
        <f>IFERROR((Calculations[[#This Row],[A1-3]]+Calculations[[#This Row],[A4]]+Calculations[[#This Row],[A5]]+Calculations[[#This Row],[C2 total]]+Calculations[[#This Row],[C3 total]]+Calculations[[#This Row],[C4 total]])*Calculations[[#This Row],[Replacements]],0)</f>
        <v>0</v>
      </c>
      <c r="S1313" t="str">
        <f>IFERROR(VLOOKUP(Calculations[[#This Row],[Material (choose from dropdown]],MaterialData[#All],4,FALSE),"")</f>
        <v/>
      </c>
      <c r="T1313" s="322" cm="1">
        <f t="array" ref="T1313">IFERROR(VLOOKUP(Calculations[[#This Row],[Waste 1]],WasteScenario[#All],2,FALSE)*'Stage assumptions'!$C$225*WasteTransportMethod[Emissions Factor
kgCO2e/kg.km]*Calculations[[#This Row],[Total Kg]],0)</f>
        <v>0</v>
      </c>
      <c r="U1313" s="322" cm="1">
        <f t="array" ref="U1313">IFERROR(VLOOKUP(Calculations[[#This Row],[Waste 1]],WasteScenario[#All],3,FALSE)*'Stage assumptions'!$C$224*WasteTransportMethod[Emissions Factor
kgCO2e/kg.km]*Calculations[[#This Row],[Total Kg]],0)</f>
        <v>0</v>
      </c>
      <c r="V1313" s="322" cm="1">
        <f t="array" ref="V1313">IFERROR(VLOOKUP(Calculations[[#This Row],[Waste 1]],WasteScenario[#All],4,FALSE)*'Stage assumptions'!$C$223*WasteTransportMethod[Emissions Factor
kgCO2e/kg.km]*Calculations[[#This Row],[Total Kg]],0)</f>
        <v>0</v>
      </c>
      <c r="W1313" s="322" cm="1">
        <f t="array" ref="W1313">IFERROR(VLOOKUP(Calculations[[#This Row],[Waste 1]],WasteScenario[#All],5,FALSE)*'Stage assumptions'!$C$226*WasteTransportMethod[Emissions Factor
kgCO2e/kg.km]*Calculations[[#This Row],[Total Kg]],0)</f>
        <v>0</v>
      </c>
      <c r="X1313" s="322">
        <f>SUM(Calculations[[#This Row],[C2 Recycle]:[C2 Reuse]])</f>
        <v>0</v>
      </c>
      <c r="Y1313" t="str">
        <f>IFERROR(VLOOKUP(Calculations[[#This Row],[Material (choose from dropdown]],MaterialData[#All],5,FALSE),"")</f>
        <v/>
      </c>
      <c r="Z1313" s="322">
        <f>IFERROR(((VLOOKUP(Calculations[[#This Row],[Waste type 2]],WasteDisposalEmissions[#All],2,FALSE))*Calculations[[#This Row],[Total Kg]])*VLOOKUP(Calculations[[#This Row],[Waste 1]],WasteScenario[#All],2,FALSE),0)</f>
        <v>0</v>
      </c>
      <c r="AA1313" s="322">
        <f>IFERROR((VLOOKUP(Calculations[[#This Row],[Waste type 2]],WasteDisposalEmissions[#All],3,FALSE))*Calculations[[#This Row],[Total Kg]]*VLOOKUP(Calculations[[#This Row],[Waste 1]],WasteScenario[#All],3,FALSE),0)</f>
        <v>0</v>
      </c>
      <c r="AB1313" s="322">
        <f>SUM(Calculations[[#This Row],[C3 recyc]:[C3 incin]])</f>
        <v>0</v>
      </c>
      <c r="AC1313" s="334">
        <f>IFERROR((VLOOKUP(Calculations[[#This Row],[Waste type 2]],WasteLandfillEmissions[#All],2,FALSE))*Calculations[[#This Row],[Total Kg]]*VLOOKUP(Calculations[[#This Row],[Waste 1]],WasteScenario[#All],4,FALSE),0)</f>
        <v>0</v>
      </c>
      <c r="AD1313" s="322">
        <f>IFERROR((VLOOKUP(Calculations[[#This Row],[Waste type 2]],WasteLandfillEmissions[#All],3,FALSE))*Calculations[[#This Row],[Total Kg]]*VLOOKUP(Calculations[[#This Row],[Waste 1]],WasteScenario[#All],4,FALSE),0)</f>
        <v>0</v>
      </c>
      <c r="AE1313" s="322">
        <f>SUM(Calculations[[#This Row],[C4 landfill]:[C4 re-use]])</f>
        <v>0</v>
      </c>
      <c r="AF1313" s="322">
        <f>IFERROR(VLOOKUP(Calculations[[#This Row],[Material (choose from dropdown]],MaterialData[#All],8,FALSE),0)</f>
        <v>0</v>
      </c>
      <c r="AG1313" s="322">
        <f>IFERROR(Calculations[[#This Row],[Total Kg]]*Calculations[[#This Row],[Seq factor]],0)</f>
        <v>0</v>
      </c>
      <c r="AI1313" s="322">
        <f>Calculations[[#This Row],[A1-3]]+Calculations[[#This Row],[A4]]+Calculations[[#This Row],[A5]]+Calculations[[#This Row],[B4]]+Calculations[[#This Row],[C2 total]]+Calculations[[#This Row],[C3 total]]+Calculations[[#This Row],[C4 total]]</f>
        <v>0</v>
      </c>
      <c r="AJ1313" s="2">
        <f>IFERROR(VLOOKUP(Calculations[[#This Row],[Material (choose from dropdown]],MaterialData[[#Headers],[#Data]],9,FALSE),0)</f>
        <v>0</v>
      </c>
      <c r="AK1313" s="4">
        <f>IFERROR(VLOOKUP(Calculations[[#This Row],[Material (choose from dropdown]],MaterialData[[#Headers],[#Data]],10,FALSE),0)</f>
        <v>0</v>
      </c>
      <c r="AL1313" s="322">
        <f>IFERROR(Calculations[[#This Row],[Data Quality Score]]*Calculations[[#This Row],[Total Kg]],0)</f>
        <v>0</v>
      </c>
    </row>
    <row r="1314" spans="1:38" x14ac:dyDescent="0.3">
      <c r="A1314" s="6">
        <f>IFERROR(MaterialsBoQ[[#This Row],[Scope Element]],0)</f>
        <v>0</v>
      </c>
      <c r="B1314" t="str">
        <f>IFERROR(MaterialsBoQ[[#This Row],[Material ]],"")</f>
        <v/>
      </c>
      <c r="C1314" t="str">
        <f>IFERROR(MaterialsBoQ[[#This Row],[Unit]],"")</f>
        <v/>
      </c>
      <c r="D1314" s="322">
        <f>IFERROR(MaterialsBoQ[[#This Row],[Number]],0)</f>
        <v>0</v>
      </c>
      <c r="E1314" s="322">
        <f>IFERROR(MaterialsBoQ[[#This Row],[Kg per unit]],0)</f>
        <v>0</v>
      </c>
      <c r="F1314" s="322">
        <f>IFERROR(Calculations[[#This Row],[Number]]*Calculations[[#This Row],[Conversion factor]],0)</f>
        <v>0</v>
      </c>
      <c r="G1314" s="322">
        <f>IFERROR(VLOOKUP(Calculations[[#This Row],[Material (choose from dropdown]],MaterialData[#All],7,FALSE),0)</f>
        <v>0</v>
      </c>
      <c r="H1314" s="322">
        <f>Calculations[[#This Row],[Total Kg]]*Calculations[[#This Row],[Carbon Factor]]</f>
        <v>0</v>
      </c>
      <c r="I1314" t="str">
        <f>IFERROR(VLOOKUP(Calculations[[#This Row],[Material (choose from dropdown]],MaterialData[#All],2,FALSE),"")</f>
        <v/>
      </c>
      <c r="J1314" s="322">
        <f>IFERROR(((VLOOKUP(Calculations[[#This Row],[TransportSource]],TransportDistance[],2,FALSE)*'Stage assumptions'!$C$11)+VLOOKUP(Calculations[[#This Row],[TransportSource]],TransportDistance[],3,FALSE)*'Stage assumptions'!$C$12)*Calculations[[#This Row],[Total Kg]],0)</f>
        <v>0</v>
      </c>
      <c r="K1314">
        <f>IFERROR(VLOOKUP(Calculations[[#This Row],[Material (choose from dropdown]], MaterialData[#All],3, FALSE),0)</f>
        <v>0</v>
      </c>
      <c r="L1314" s="322">
        <f>IFERROR(VLOOKUP(Calculations[[#This Row],[A5type]],A5WastageRate[#All],2,FALSE)*Calculations[[#This Row],[A1-3]],0)</f>
        <v>0</v>
      </c>
      <c r="N1314">
        <f>IFERROR(ROUNDUP(50/VLOOKUP(Calculations[[#This Row],[Scope Element]],B4referenceServiceLife[[Tier 2 element]:[Default Service Life]],2, FALSE)-1,0),0)</f>
        <v>0</v>
      </c>
      <c r="O1314" s="322">
        <f>IFERROR((Calculations[[#This Row],[A1-3]]+Calculations[[#This Row],[A4]]+Calculations[[#This Row],[A5]]+Calculations[[#This Row],[C2 total]]+Calculations[[#This Row],[C3 total]]+Calculations[[#This Row],[C4 total]])*Calculations[[#This Row],[Replacements]],0)</f>
        <v>0</v>
      </c>
      <c r="S1314" t="str">
        <f>IFERROR(VLOOKUP(Calculations[[#This Row],[Material (choose from dropdown]],MaterialData[#All],4,FALSE),"")</f>
        <v/>
      </c>
      <c r="T1314" s="322" cm="1">
        <f t="array" ref="T1314">IFERROR(VLOOKUP(Calculations[[#This Row],[Waste 1]],WasteScenario[#All],2,FALSE)*'Stage assumptions'!$C$225*WasteTransportMethod[Emissions Factor
kgCO2e/kg.km]*Calculations[[#This Row],[Total Kg]],0)</f>
        <v>0</v>
      </c>
      <c r="U1314" s="322" cm="1">
        <f t="array" ref="U1314">IFERROR(VLOOKUP(Calculations[[#This Row],[Waste 1]],WasteScenario[#All],3,FALSE)*'Stage assumptions'!$C$224*WasteTransportMethod[Emissions Factor
kgCO2e/kg.km]*Calculations[[#This Row],[Total Kg]],0)</f>
        <v>0</v>
      </c>
      <c r="V1314" s="322" cm="1">
        <f t="array" ref="V1314">IFERROR(VLOOKUP(Calculations[[#This Row],[Waste 1]],WasteScenario[#All],4,FALSE)*'Stage assumptions'!$C$223*WasteTransportMethod[Emissions Factor
kgCO2e/kg.km]*Calculations[[#This Row],[Total Kg]],0)</f>
        <v>0</v>
      </c>
      <c r="W1314" s="322" cm="1">
        <f t="array" ref="W1314">IFERROR(VLOOKUP(Calculations[[#This Row],[Waste 1]],WasteScenario[#All],5,FALSE)*'Stage assumptions'!$C$226*WasteTransportMethod[Emissions Factor
kgCO2e/kg.km]*Calculations[[#This Row],[Total Kg]],0)</f>
        <v>0</v>
      </c>
      <c r="X1314" s="322">
        <f>SUM(Calculations[[#This Row],[C2 Recycle]:[C2 Reuse]])</f>
        <v>0</v>
      </c>
      <c r="Y1314" t="str">
        <f>IFERROR(VLOOKUP(Calculations[[#This Row],[Material (choose from dropdown]],MaterialData[#All],5,FALSE),"")</f>
        <v/>
      </c>
      <c r="Z1314" s="322">
        <f>IFERROR(((VLOOKUP(Calculations[[#This Row],[Waste type 2]],WasteDisposalEmissions[#All],2,FALSE))*Calculations[[#This Row],[Total Kg]])*VLOOKUP(Calculations[[#This Row],[Waste 1]],WasteScenario[#All],2,FALSE),0)</f>
        <v>0</v>
      </c>
      <c r="AA1314" s="322">
        <f>IFERROR((VLOOKUP(Calculations[[#This Row],[Waste type 2]],WasteDisposalEmissions[#All],3,FALSE))*Calculations[[#This Row],[Total Kg]]*VLOOKUP(Calculations[[#This Row],[Waste 1]],WasteScenario[#All],3,FALSE),0)</f>
        <v>0</v>
      </c>
      <c r="AB1314" s="322">
        <f>SUM(Calculations[[#This Row],[C3 recyc]:[C3 incin]])</f>
        <v>0</v>
      </c>
      <c r="AC1314" s="334">
        <f>IFERROR((VLOOKUP(Calculations[[#This Row],[Waste type 2]],WasteLandfillEmissions[#All],2,FALSE))*Calculations[[#This Row],[Total Kg]]*VLOOKUP(Calculations[[#This Row],[Waste 1]],WasteScenario[#All],4,FALSE),0)</f>
        <v>0</v>
      </c>
      <c r="AD1314" s="322">
        <f>IFERROR((VLOOKUP(Calculations[[#This Row],[Waste type 2]],WasteLandfillEmissions[#All],3,FALSE))*Calculations[[#This Row],[Total Kg]]*VLOOKUP(Calculations[[#This Row],[Waste 1]],WasteScenario[#All],4,FALSE),0)</f>
        <v>0</v>
      </c>
      <c r="AE1314" s="322">
        <f>SUM(Calculations[[#This Row],[C4 landfill]:[C4 re-use]])</f>
        <v>0</v>
      </c>
      <c r="AF1314" s="322">
        <f>IFERROR(VLOOKUP(Calculations[[#This Row],[Material (choose from dropdown]],MaterialData[#All],8,FALSE),0)</f>
        <v>0</v>
      </c>
      <c r="AG1314" s="322">
        <f>IFERROR(Calculations[[#This Row],[Total Kg]]*Calculations[[#This Row],[Seq factor]],0)</f>
        <v>0</v>
      </c>
      <c r="AI1314" s="322">
        <f>Calculations[[#This Row],[A1-3]]+Calculations[[#This Row],[A4]]+Calculations[[#This Row],[A5]]+Calculations[[#This Row],[B4]]+Calculations[[#This Row],[C2 total]]+Calculations[[#This Row],[C3 total]]+Calculations[[#This Row],[C4 total]]</f>
        <v>0</v>
      </c>
      <c r="AJ1314" s="2">
        <f>IFERROR(VLOOKUP(Calculations[[#This Row],[Material (choose from dropdown]],MaterialData[[#Headers],[#Data]],9,FALSE),0)</f>
        <v>0</v>
      </c>
      <c r="AK1314" s="4">
        <f>IFERROR(VLOOKUP(Calculations[[#This Row],[Material (choose from dropdown]],MaterialData[[#Headers],[#Data]],10,FALSE),0)</f>
        <v>0</v>
      </c>
      <c r="AL1314" s="322">
        <f>IFERROR(Calculations[[#This Row],[Data Quality Score]]*Calculations[[#This Row],[Total Kg]],0)</f>
        <v>0</v>
      </c>
    </row>
    <row r="1315" spans="1:38" x14ac:dyDescent="0.3">
      <c r="A1315" s="6">
        <f>IFERROR(MaterialsBoQ[[#This Row],[Scope Element]],0)</f>
        <v>0</v>
      </c>
      <c r="B1315" t="str">
        <f>IFERROR(MaterialsBoQ[[#This Row],[Material ]],"")</f>
        <v/>
      </c>
      <c r="C1315" t="str">
        <f>IFERROR(MaterialsBoQ[[#This Row],[Unit]],"")</f>
        <v/>
      </c>
      <c r="D1315" s="322">
        <f>IFERROR(MaterialsBoQ[[#This Row],[Number]],0)</f>
        <v>0</v>
      </c>
      <c r="E1315" s="322">
        <f>IFERROR(MaterialsBoQ[[#This Row],[Kg per unit]],0)</f>
        <v>0</v>
      </c>
      <c r="F1315" s="322">
        <f>IFERROR(Calculations[[#This Row],[Number]]*Calculations[[#This Row],[Conversion factor]],0)</f>
        <v>0</v>
      </c>
      <c r="G1315" s="322">
        <f>IFERROR(VLOOKUP(Calculations[[#This Row],[Material (choose from dropdown]],MaterialData[#All],7,FALSE),0)</f>
        <v>0</v>
      </c>
      <c r="H1315" s="322">
        <f>Calculations[[#This Row],[Total Kg]]*Calculations[[#This Row],[Carbon Factor]]</f>
        <v>0</v>
      </c>
      <c r="I1315" t="str">
        <f>IFERROR(VLOOKUP(Calculations[[#This Row],[Material (choose from dropdown]],MaterialData[#All],2,FALSE),"")</f>
        <v/>
      </c>
      <c r="J1315" s="322">
        <f>IFERROR(((VLOOKUP(Calculations[[#This Row],[TransportSource]],TransportDistance[],2,FALSE)*'Stage assumptions'!$C$11)+VLOOKUP(Calculations[[#This Row],[TransportSource]],TransportDistance[],3,FALSE)*'Stage assumptions'!$C$12)*Calculations[[#This Row],[Total Kg]],0)</f>
        <v>0</v>
      </c>
      <c r="K1315">
        <f>IFERROR(VLOOKUP(Calculations[[#This Row],[Material (choose from dropdown]], MaterialData[#All],3, FALSE),0)</f>
        <v>0</v>
      </c>
      <c r="L1315" s="322">
        <f>IFERROR(VLOOKUP(Calculations[[#This Row],[A5type]],A5WastageRate[#All],2,FALSE)*Calculations[[#This Row],[A1-3]],0)</f>
        <v>0</v>
      </c>
      <c r="N1315">
        <f>IFERROR(ROUNDUP(50/VLOOKUP(Calculations[[#This Row],[Scope Element]],B4referenceServiceLife[[Tier 2 element]:[Default Service Life]],2, FALSE)-1,0),0)</f>
        <v>0</v>
      </c>
      <c r="O1315" s="322">
        <f>IFERROR((Calculations[[#This Row],[A1-3]]+Calculations[[#This Row],[A4]]+Calculations[[#This Row],[A5]]+Calculations[[#This Row],[C2 total]]+Calculations[[#This Row],[C3 total]]+Calculations[[#This Row],[C4 total]])*Calculations[[#This Row],[Replacements]],0)</f>
        <v>0</v>
      </c>
      <c r="S1315" t="str">
        <f>IFERROR(VLOOKUP(Calculations[[#This Row],[Material (choose from dropdown]],MaterialData[#All],4,FALSE),"")</f>
        <v/>
      </c>
      <c r="T1315" s="322" cm="1">
        <f t="array" ref="T1315">IFERROR(VLOOKUP(Calculations[[#This Row],[Waste 1]],WasteScenario[#All],2,FALSE)*'Stage assumptions'!$C$225*WasteTransportMethod[Emissions Factor
kgCO2e/kg.km]*Calculations[[#This Row],[Total Kg]],0)</f>
        <v>0</v>
      </c>
      <c r="U1315" s="322" cm="1">
        <f t="array" ref="U1315">IFERROR(VLOOKUP(Calculations[[#This Row],[Waste 1]],WasteScenario[#All],3,FALSE)*'Stage assumptions'!$C$224*WasteTransportMethod[Emissions Factor
kgCO2e/kg.km]*Calculations[[#This Row],[Total Kg]],0)</f>
        <v>0</v>
      </c>
      <c r="V1315" s="322" cm="1">
        <f t="array" ref="V1315">IFERROR(VLOOKUP(Calculations[[#This Row],[Waste 1]],WasteScenario[#All],4,FALSE)*'Stage assumptions'!$C$223*WasteTransportMethod[Emissions Factor
kgCO2e/kg.km]*Calculations[[#This Row],[Total Kg]],0)</f>
        <v>0</v>
      </c>
      <c r="W1315" s="322" cm="1">
        <f t="array" ref="W1315">IFERROR(VLOOKUP(Calculations[[#This Row],[Waste 1]],WasteScenario[#All],5,FALSE)*'Stage assumptions'!$C$226*WasteTransportMethod[Emissions Factor
kgCO2e/kg.km]*Calculations[[#This Row],[Total Kg]],0)</f>
        <v>0</v>
      </c>
      <c r="X1315" s="322">
        <f>SUM(Calculations[[#This Row],[C2 Recycle]:[C2 Reuse]])</f>
        <v>0</v>
      </c>
      <c r="Y1315" t="str">
        <f>IFERROR(VLOOKUP(Calculations[[#This Row],[Material (choose from dropdown]],MaterialData[#All],5,FALSE),"")</f>
        <v/>
      </c>
      <c r="Z1315" s="322">
        <f>IFERROR(((VLOOKUP(Calculations[[#This Row],[Waste type 2]],WasteDisposalEmissions[#All],2,FALSE))*Calculations[[#This Row],[Total Kg]])*VLOOKUP(Calculations[[#This Row],[Waste 1]],WasteScenario[#All],2,FALSE),0)</f>
        <v>0</v>
      </c>
      <c r="AA1315" s="322">
        <f>IFERROR((VLOOKUP(Calculations[[#This Row],[Waste type 2]],WasteDisposalEmissions[#All],3,FALSE))*Calculations[[#This Row],[Total Kg]]*VLOOKUP(Calculations[[#This Row],[Waste 1]],WasteScenario[#All],3,FALSE),0)</f>
        <v>0</v>
      </c>
      <c r="AB1315" s="322">
        <f>SUM(Calculations[[#This Row],[C3 recyc]:[C3 incin]])</f>
        <v>0</v>
      </c>
      <c r="AC1315" s="334">
        <f>IFERROR((VLOOKUP(Calculations[[#This Row],[Waste type 2]],WasteLandfillEmissions[#All],2,FALSE))*Calculations[[#This Row],[Total Kg]]*VLOOKUP(Calculations[[#This Row],[Waste 1]],WasteScenario[#All],4,FALSE),0)</f>
        <v>0</v>
      </c>
      <c r="AD1315" s="322">
        <f>IFERROR((VLOOKUP(Calculations[[#This Row],[Waste type 2]],WasteLandfillEmissions[#All],3,FALSE))*Calculations[[#This Row],[Total Kg]]*VLOOKUP(Calculations[[#This Row],[Waste 1]],WasteScenario[#All],4,FALSE),0)</f>
        <v>0</v>
      </c>
      <c r="AE1315" s="322">
        <f>SUM(Calculations[[#This Row],[C4 landfill]:[C4 re-use]])</f>
        <v>0</v>
      </c>
      <c r="AF1315" s="322">
        <f>IFERROR(VLOOKUP(Calculations[[#This Row],[Material (choose from dropdown]],MaterialData[#All],8,FALSE),0)</f>
        <v>0</v>
      </c>
      <c r="AG1315" s="322">
        <f>IFERROR(Calculations[[#This Row],[Total Kg]]*Calculations[[#This Row],[Seq factor]],0)</f>
        <v>0</v>
      </c>
      <c r="AI1315" s="322">
        <f>Calculations[[#This Row],[A1-3]]+Calculations[[#This Row],[A4]]+Calculations[[#This Row],[A5]]+Calculations[[#This Row],[B4]]+Calculations[[#This Row],[C2 total]]+Calculations[[#This Row],[C3 total]]+Calculations[[#This Row],[C4 total]]</f>
        <v>0</v>
      </c>
      <c r="AJ1315" s="2">
        <f>IFERROR(VLOOKUP(Calculations[[#This Row],[Material (choose from dropdown]],MaterialData[[#Headers],[#Data]],9,FALSE),0)</f>
        <v>0</v>
      </c>
      <c r="AK1315" s="4">
        <f>IFERROR(VLOOKUP(Calculations[[#This Row],[Material (choose from dropdown]],MaterialData[[#Headers],[#Data]],10,FALSE),0)</f>
        <v>0</v>
      </c>
      <c r="AL1315" s="322">
        <f>IFERROR(Calculations[[#This Row],[Data Quality Score]]*Calculations[[#This Row],[Total Kg]],0)</f>
        <v>0</v>
      </c>
    </row>
    <row r="1316" spans="1:38" x14ac:dyDescent="0.3">
      <c r="A1316" s="6">
        <f>IFERROR(MaterialsBoQ[[#This Row],[Scope Element]],0)</f>
        <v>0</v>
      </c>
      <c r="B1316" t="str">
        <f>IFERROR(MaterialsBoQ[[#This Row],[Material ]],"")</f>
        <v/>
      </c>
      <c r="C1316" t="str">
        <f>IFERROR(MaterialsBoQ[[#This Row],[Unit]],"")</f>
        <v/>
      </c>
      <c r="D1316" s="322">
        <f>IFERROR(MaterialsBoQ[[#This Row],[Number]],0)</f>
        <v>0</v>
      </c>
      <c r="E1316" s="322">
        <f>IFERROR(MaterialsBoQ[[#This Row],[Kg per unit]],0)</f>
        <v>0</v>
      </c>
      <c r="F1316" s="322">
        <f>IFERROR(Calculations[[#This Row],[Number]]*Calculations[[#This Row],[Conversion factor]],0)</f>
        <v>0</v>
      </c>
      <c r="G1316" s="322">
        <f>IFERROR(VLOOKUP(Calculations[[#This Row],[Material (choose from dropdown]],MaterialData[#All],7,FALSE),0)</f>
        <v>0</v>
      </c>
      <c r="H1316" s="322">
        <f>Calculations[[#This Row],[Total Kg]]*Calculations[[#This Row],[Carbon Factor]]</f>
        <v>0</v>
      </c>
      <c r="I1316" t="str">
        <f>IFERROR(VLOOKUP(Calculations[[#This Row],[Material (choose from dropdown]],MaterialData[#All],2,FALSE),"")</f>
        <v/>
      </c>
      <c r="J1316" s="322">
        <f>IFERROR(((VLOOKUP(Calculations[[#This Row],[TransportSource]],TransportDistance[],2,FALSE)*'Stage assumptions'!$C$11)+VLOOKUP(Calculations[[#This Row],[TransportSource]],TransportDistance[],3,FALSE)*'Stage assumptions'!$C$12)*Calculations[[#This Row],[Total Kg]],0)</f>
        <v>0</v>
      </c>
      <c r="K1316">
        <f>IFERROR(VLOOKUP(Calculations[[#This Row],[Material (choose from dropdown]], MaterialData[#All],3, FALSE),0)</f>
        <v>0</v>
      </c>
      <c r="L1316" s="322">
        <f>IFERROR(VLOOKUP(Calculations[[#This Row],[A5type]],A5WastageRate[#All],2,FALSE)*Calculations[[#This Row],[A1-3]],0)</f>
        <v>0</v>
      </c>
      <c r="N1316">
        <f>IFERROR(ROUNDUP(50/VLOOKUP(Calculations[[#This Row],[Scope Element]],B4referenceServiceLife[[Tier 2 element]:[Default Service Life]],2, FALSE)-1,0),0)</f>
        <v>0</v>
      </c>
      <c r="O1316" s="322">
        <f>IFERROR((Calculations[[#This Row],[A1-3]]+Calculations[[#This Row],[A4]]+Calculations[[#This Row],[A5]]+Calculations[[#This Row],[C2 total]]+Calculations[[#This Row],[C3 total]]+Calculations[[#This Row],[C4 total]])*Calculations[[#This Row],[Replacements]],0)</f>
        <v>0</v>
      </c>
      <c r="S1316" t="str">
        <f>IFERROR(VLOOKUP(Calculations[[#This Row],[Material (choose from dropdown]],MaterialData[#All],4,FALSE),"")</f>
        <v/>
      </c>
      <c r="T1316" s="322" cm="1">
        <f t="array" ref="T1316">IFERROR(VLOOKUP(Calculations[[#This Row],[Waste 1]],WasteScenario[#All],2,FALSE)*'Stage assumptions'!$C$225*WasteTransportMethod[Emissions Factor
kgCO2e/kg.km]*Calculations[[#This Row],[Total Kg]],0)</f>
        <v>0</v>
      </c>
      <c r="U1316" s="322" cm="1">
        <f t="array" ref="U1316">IFERROR(VLOOKUP(Calculations[[#This Row],[Waste 1]],WasteScenario[#All],3,FALSE)*'Stage assumptions'!$C$224*WasteTransportMethod[Emissions Factor
kgCO2e/kg.km]*Calculations[[#This Row],[Total Kg]],0)</f>
        <v>0</v>
      </c>
      <c r="V1316" s="322" cm="1">
        <f t="array" ref="V1316">IFERROR(VLOOKUP(Calculations[[#This Row],[Waste 1]],WasteScenario[#All],4,FALSE)*'Stage assumptions'!$C$223*WasteTransportMethod[Emissions Factor
kgCO2e/kg.km]*Calculations[[#This Row],[Total Kg]],0)</f>
        <v>0</v>
      </c>
      <c r="W1316" s="322" cm="1">
        <f t="array" ref="W1316">IFERROR(VLOOKUP(Calculations[[#This Row],[Waste 1]],WasteScenario[#All],5,FALSE)*'Stage assumptions'!$C$226*WasteTransportMethod[Emissions Factor
kgCO2e/kg.km]*Calculations[[#This Row],[Total Kg]],0)</f>
        <v>0</v>
      </c>
      <c r="X1316" s="322">
        <f>SUM(Calculations[[#This Row],[C2 Recycle]:[C2 Reuse]])</f>
        <v>0</v>
      </c>
      <c r="Y1316" t="str">
        <f>IFERROR(VLOOKUP(Calculations[[#This Row],[Material (choose from dropdown]],MaterialData[#All],5,FALSE),"")</f>
        <v/>
      </c>
      <c r="Z1316" s="322">
        <f>IFERROR(((VLOOKUP(Calculations[[#This Row],[Waste type 2]],WasteDisposalEmissions[#All],2,FALSE))*Calculations[[#This Row],[Total Kg]])*VLOOKUP(Calculations[[#This Row],[Waste 1]],WasteScenario[#All],2,FALSE),0)</f>
        <v>0</v>
      </c>
      <c r="AA1316" s="322">
        <f>IFERROR((VLOOKUP(Calculations[[#This Row],[Waste type 2]],WasteDisposalEmissions[#All],3,FALSE))*Calculations[[#This Row],[Total Kg]]*VLOOKUP(Calculations[[#This Row],[Waste 1]],WasteScenario[#All],3,FALSE),0)</f>
        <v>0</v>
      </c>
      <c r="AB1316" s="322">
        <f>SUM(Calculations[[#This Row],[C3 recyc]:[C3 incin]])</f>
        <v>0</v>
      </c>
      <c r="AC1316" s="334">
        <f>IFERROR((VLOOKUP(Calculations[[#This Row],[Waste type 2]],WasteLandfillEmissions[#All],2,FALSE))*Calculations[[#This Row],[Total Kg]]*VLOOKUP(Calculations[[#This Row],[Waste 1]],WasteScenario[#All],4,FALSE),0)</f>
        <v>0</v>
      </c>
      <c r="AD1316" s="322">
        <f>IFERROR((VLOOKUP(Calculations[[#This Row],[Waste type 2]],WasteLandfillEmissions[#All],3,FALSE))*Calculations[[#This Row],[Total Kg]]*VLOOKUP(Calculations[[#This Row],[Waste 1]],WasteScenario[#All],4,FALSE),0)</f>
        <v>0</v>
      </c>
      <c r="AE1316" s="322">
        <f>SUM(Calculations[[#This Row],[C4 landfill]:[C4 re-use]])</f>
        <v>0</v>
      </c>
      <c r="AF1316" s="322">
        <f>IFERROR(VLOOKUP(Calculations[[#This Row],[Material (choose from dropdown]],MaterialData[#All],8,FALSE),0)</f>
        <v>0</v>
      </c>
      <c r="AG1316" s="322">
        <f>IFERROR(Calculations[[#This Row],[Total Kg]]*Calculations[[#This Row],[Seq factor]],0)</f>
        <v>0</v>
      </c>
      <c r="AI1316" s="322">
        <f>Calculations[[#This Row],[A1-3]]+Calculations[[#This Row],[A4]]+Calculations[[#This Row],[A5]]+Calculations[[#This Row],[B4]]+Calculations[[#This Row],[C2 total]]+Calculations[[#This Row],[C3 total]]+Calculations[[#This Row],[C4 total]]</f>
        <v>0</v>
      </c>
      <c r="AJ1316" s="2">
        <f>IFERROR(VLOOKUP(Calculations[[#This Row],[Material (choose from dropdown]],MaterialData[[#Headers],[#Data]],9,FALSE),0)</f>
        <v>0</v>
      </c>
      <c r="AK1316" s="4">
        <f>IFERROR(VLOOKUP(Calculations[[#This Row],[Material (choose from dropdown]],MaterialData[[#Headers],[#Data]],10,FALSE),0)</f>
        <v>0</v>
      </c>
      <c r="AL1316" s="322">
        <f>IFERROR(Calculations[[#This Row],[Data Quality Score]]*Calculations[[#This Row],[Total Kg]],0)</f>
        <v>0</v>
      </c>
    </row>
    <row r="1317" spans="1:38" x14ac:dyDescent="0.3">
      <c r="A1317" s="6">
        <f>IFERROR(MaterialsBoQ[[#This Row],[Scope Element]],0)</f>
        <v>0</v>
      </c>
      <c r="B1317" t="str">
        <f>IFERROR(MaterialsBoQ[[#This Row],[Material ]],"")</f>
        <v/>
      </c>
      <c r="C1317" t="str">
        <f>IFERROR(MaterialsBoQ[[#This Row],[Unit]],"")</f>
        <v/>
      </c>
      <c r="D1317" s="322">
        <f>IFERROR(MaterialsBoQ[[#This Row],[Number]],0)</f>
        <v>0</v>
      </c>
      <c r="E1317" s="322">
        <f>IFERROR(MaterialsBoQ[[#This Row],[Kg per unit]],0)</f>
        <v>0</v>
      </c>
      <c r="F1317" s="322">
        <f>IFERROR(Calculations[[#This Row],[Number]]*Calculations[[#This Row],[Conversion factor]],0)</f>
        <v>0</v>
      </c>
      <c r="G1317" s="322">
        <f>IFERROR(VLOOKUP(Calculations[[#This Row],[Material (choose from dropdown]],MaterialData[#All],7,FALSE),0)</f>
        <v>0</v>
      </c>
      <c r="H1317" s="322">
        <f>Calculations[[#This Row],[Total Kg]]*Calculations[[#This Row],[Carbon Factor]]</f>
        <v>0</v>
      </c>
      <c r="I1317" t="str">
        <f>IFERROR(VLOOKUP(Calculations[[#This Row],[Material (choose from dropdown]],MaterialData[#All],2,FALSE),"")</f>
        <v/>
      </c>
      <c r="J1317" s="322">
        <f>IFERROR(((VLOOKUP(Calculations[[#This Row],[TransportSource]],TransportDistance[],2,FALSE)*'Stage assumptions'!$C$11)+VLOOKUP(Calculations[[#This Row],[TransportSource]],TransportDistance[],3,FALSE)*'Stage assumptions'!$C$12)*Calculations[[#This Row],[Total Kg]],0)</f>
        <v>0</v>
      </c>
      <c r="K1317">
        <f>IFERROR(VLOOKUP(Calculations[[#This Row],[Material (choose from dropdown]], MaterialData[#All],3, FALSE),0)</f>
        <v>0</v>
      </c>
      <c r="L1317" s="322">
        <f>IFERROR(VLOOKUP(Calculations[[#This Row],[A5type]],A5WastageRate[#All],2,FALSE)*Calculations[[#This Row],[A1-3]],0)</f>
        <v>0</v>
      </c>
      <c r="N1317">
        <f>IFERROR(ROUNDUP(50/VLOOKUP(Calculations[[#This Row],[Scope Element]],B4referenceServiceLife[[Tier 2 element]:[Default Service Life]],2, FALSE)-1,0),0)</f>
        <v>0</v>
      </c>
      <c r="O1317" s="322">
        <f>IFERROR((Calculations[[#This Row],[A1-3]]+Calculations[[#This Row],[A4]]+Calculations[[#This Row],[A5]]+Calculations[[#This Row],[C2 total]]+Calculations[[#This Row],[C3 total]]+Calculations[[#This Row],[C4 total]])*Calculations[[#This Row],[Replacements]],0)</f>
        <v>0</v>
      </c>
      <c r="S1317" t="str">
        <f>IFERROR(VLOOKUP(Calculations[[#This Row],[Material (choose from dropdown]],MaterialData[#All],4,FALSE),"")</f>
        <v/>
      </c>
      <c r="T1317" s="322" cm="1">
        <f t="array" ref="T1317">IFERROR(VLOOKUP(Calculations[[#This Row],[Waste 1]],WasteScenario[#All],2,FALSE)*'Stage assumptions'!$C$225*WasteTransportMethod[Emissions Factor
kgCO2e/kg.km]*Calculations[[#This Row],[Total Kg]],0)</f>
        <v>0</v>
      </c>
      <c r="U1317" s="322" cm="1">
        <f t="array" ref="U1317">IFERROR(VLOOKUP(Calculations[[#This Row],[Waste 1]],WasteScenario[#All],3,FALSE)*'Stage assumptions'!$C$224*WasteTransportMethod[Emissions Factor
kgCO2e/kg.km]*Calculations[[#This Row],[Total Kg]],0)</f>
        <v>0</v>
      </c>
      <c r="V1317" s="322" cm="1">
        <f t="array" ref="V1317">IFERROR(VLOOKUP(Calculations[[#This Row],[Waste 1]],WasteScenario[#All],4,FALSE)*'Stage assumptions'!$C$223*WasteTransportMethod[Emissions Factor
kgCO2e/kg.km]*Calculations[[#This Row],[Total Kg]],0)</f>
        <v>0</v>
      </c>
      <c r="W1317" s="322" cm="1">
        <f t="array" ref="W1317">IFERROR(VLOOKUP(Calculations[[#This Row],[Waste 1]],WasteScenario[#All],5,FALSE)*'Stage assumptions'!$C$226*WasteTransportMethod[Emissions Factor
kgCO2e/kg.km]*Calculations[[#This Row],[Total Kg]],0)</f>
        <v>0</v>
      </c>
      <c r="X1317" s="322">
        <f>SUM(Calculations[[#This Row],[C2 Recycle]:[C2 Reuse]])</f>
        <v>0</v>
      </c>
      <c r="Y1317" t="str">
        <f>IFERROR(VLOOKUP(Calculations[[#This Row],[Material (choose from dropdown]],MaterialData[#All],5,FALSE),"")</f>
        <v/>
      </c>
      <c r="Z1317" s="322">
        <f>IFERROR(((VLOOKUP(Calculations[[#This Row],[Waste type 2]],WasteDisposalEmissions[#All],2,FALSE))*Calculations[[#This Row],[Total Kg]])*VLOOKUP(Calculations[[#This Row],[Waste 1]],WasteScenario[#All],2,FALSE),0)</f>
        <v>0</v>
      </c>
      <c r="AA1317" s="322">
        <f>IFERROR((VLOOKUP(Calculations[[#This Row],[Waste type 2]],WasteDisposalEmissions[#All],3,FALSE))*Calculations[[#This Row],[Total Kg]]*VLOOKUP(Calculations[[#This Row],[Waste 1]],WasteScenario[#All],3,FALSE),0)</f>
        <v>0</v>
      </c>
      <c r="AB1317" s="322">
        <f>SUM(Calculations[[#This Row],[C3 recyc]:[C3 incin]])</f>
        <v>0</v>
      </c>
      <c r="AC1317" s="334">
        <f>IFERROR((VLOOKUP(Calculations[[#This Row],[Waste type 2]],WasteLandfillEmissions[#All],2,FALSE))*Calculations[[#This Row],[Total Kg]]*VLOOKUP(Calculations[[#This Row],[Waste 1]],WasteScenario[#All],4,FALSE),0)</f>
        <v>0</v>
      </c>
      <c r="AD1317" s="322">
        <f>IFERROR((VLOOKUP(Calculations[[#This Row],[Waste type 2]],WasteLandfillEmissions[#All],3,FALSE))*Calculations[[#This Row],[Total Kg]]*VLOOKUP(Calculations[[#This Row],[Waste 1]],WasteScenario[#All],4,FALSE),0)</f>
        <v>0</v>
      </c>
      <c r="AE1317" s="322">
        <f>SUM(Calculations[[#This Row],[C4 landfill]:[C4 re-use]])</f>
        <v>0</v>
      </c>
      <c r="AF1317" s="322">
        <f>IFERROR(VLOOKUP(Calculations[[#This Row],[Material (choose from dropdown]],MaterialData[#All],8,FALSE),0)</f>
        <v>0</v>
      </c>
      <c r="AG1317" s="322">
        <f>IFERROR(Calculations[[#This Row],[Total Kg]]*Calculations[[#This Row],[Seq factor]],0)</f>
        <v>0</v>
      </c>
      <c r="AI1317" s="322">
        <f>Calculations[[#This Row],[A1-3]]+Calculations[[#This Row],[A4]]+Calculations[[#This Row],[A5]]+Calculations[[#This Row],[B4]]+Calculations[[#This Row],[C2 total]]+Calculations[[#This Row],[C3 total]]+Calculations[[#This Row],[C4 total]]</f>
        <v>0</v>
      </c>
      <c r="AJ1317" s="2">
        <f>IFERROR(VLOOKUP(Calculations[[#This Row],[Material (choose from dropdown]],MaterialData[[#Headers],[#Data]],9,FALSE),0)</f>
        <v>0</v>
      </c>
      <c r="AK1317" s="4">
        <f>IFERROR(VLOOKUP(Calculations[[#This Row],[Material (choose from dropdown]],MaterialData[[#Headers],[#Data]],10,FALSE),0)</f>
        <v>0</v>
      </c>
      <c r="AL1317" s="322">
        <f>IFERROR(Calculations[[#This Row],[Data Quality Score]]*Calculations[[#This Row],[Total Kg]],0)</f>
        <v>0</v>
      </c>
    </row>
    <row r="1318" spans="1:38" x14ac:dyDescent="0.3">
      <c r="A1318" s="6">
        <f>IFERROR(MaterialsBoQ[[#This Row],[Scope Element]],0)</f>
        <v>0</v>
      </c>
      <c r="B1318" t="str">
        <f>IFERROR(MaterialsBoQ[[#This Row],[Material ]],"")</f>
        <v/>
      </c>
      <c r="C1318" t="str">
        <f>IFERROR(MaterialsBoQ[[#This Row],[Unit]],"")</f>
        <v/>
      </c>
      <c r="D1318" s="322">
        <f>IFERROR(MaterialsBoQ[[#This Row],[Number]],0)</f>
        <v>0</v>
      </c>
      <c r="E1318" s="322">
        <f>IFERROR(MaterialsBoQ[[#This Row],[Kg per unit]],0)</f>
        <v>0</v>
      </c>
      <c r="F1318" s="322">
        <f>IFERROR(Calculations[[#This Row],[Number]]*Calculations[[#This Row],[Conversion factor]],0)</f>
        <v>0</v>
      </c>
      <c r="G1318" s="322">
        <f>IFERROR(VLOOKUP(Calculations[[#This Row],[Material (choose from dropdown]],MaterialData[#All],7,FALSE),0)</f>
        <v>0</v>
      </c>
      <c r="H1318" s="322">
        <f>Calculations[[#This Row],[Total Kg]]*Calculations[[#This Row],[Carbon Factor]]</f>
        <v>0</v>
      </c>
      <c r="I1318" t="str">
        <f>IFERROR(VLOOKUP(Calculations[[#This Row],[Material (choose from dropdown]],MaterialData[#All],2,FALSE),"")</f>
        <v/>
      </c>
      <c r="J1318" s="322">
        <f>IFERROR(((VLOOKUP(Calculations[[#This Row],[TransportSource]],TransportDistance[],2,FALSE)*'Stage assumptions'!$C$11)+VLOOKUP(Calculations[[#This Row],[TransportSource]],TransportDistance[],3,FALSE)*'Stage assumptions'!$C$12)*Calculations[[#This Row],[Total Kg]],0)</f>
        <v>0</v>
      </c>
      <c r="K1318">
        <f>IFERROR(VLOOKUP(Calculations[[#This Row],[Material (choose from dropdown]], MaterialData[#All],3, FALSE),0)</f>
        <v>0</v>
      </c>
      <c r="L1318" s="322">
        <f>IFERROR(VLOOKUP(Calculations[[#This Row],[A5type]],A5WastageRate[#All],2,FALSE)*Calculations[[#This Row],[A1-3]],0)</f>
        <v>0</v>
      </c>
      <c r="N1318">
        <f>IFERROR(ROUNDUP(50/VLOOKUP(Calculations[[#This Row],[Scope Element]],B4referenceServiceLife[[Tier 2 element]:[Default Service Life]],2, FALSE)-1,0),0)</f>
        <v>0</v>
      </c>
      <c r="O1318" s="322">
        <f>IFERROR((Calculations[[#This Row],[A1-3]]+Calculations[[#This Row],[A4]]+Calculations[[#This Row],[A5]]+Calculations[[#This Row],[C2 total]]+Calculations[[#This Row],[C3 total]]+Calculations[[#This Row],[C4 total]])*Calculations[[#This Row],[Replacements]],0)</f>
        <v>0</v>
      </c>
      <c r="S1318" t="str">
        <f>IFERROR(VLOOKUP(Calculations[[#This Row],[Material (choose from dropdown]],MaterialData[#All],4,FALSE),"")</f>
        <v/>
      </c>
      <c r="T1318" s="322" cm="1">
        <f t="array" ref="T1318">IFERROR(VLOOKUP(Calculations[[#This Row],[Waste 1]],WasteScenario[#All],2,FALSE)*'Stage assumptions'!$C$225*WasteTransportMethod[Emissions Factor
kgCO2e/kg.km]*Calculations[[#This Row],[Total Kg]],0)</f>
        <v>0</v>
      </c>
      <c r="U1318" s="322" cm="1">
        <f t="array" ref="U1318">IFERROR(VLOOKUP(Calculations[[#This Row],[Waste 1]],WasteScenario[#All],3,FALSE)*'Stage assumptions'!$C$224*WasteTransportMethod[Emissions Factor
kgCO2e/kg.km]*Calculations[[#This Row],[Total Kg]],0)</f>
        <v>0</v>
      </c>
      <c r="V1318" s="322" cm="1">
        <f t="array" ref="V1318">IFERROR(VLOOKUP(Calculations[[#This Row],[Waste 1]],WasteScenario[#All],4,FALSE)*'Stage assumptions'!$C$223*WasteTransportMethod[Emissions Factor
kgCO2e/kg.km]*Calculations[[#This Row],[Total Kg]],0)</f>
        <v>0</v>
      </c>
      <c r="W1318" s="322" cm="1">
        <f t="array" ref="W1318">IFERROR(VLOOKUP(Calculations[[#This Row],[Waste 1]],WasteScenario[#All],5,FALSE)*'Stage assumptions'!$C$226*WasteTransportMethod[Emissions Factor
kgCO2e/kg.km]*Calculations[[#This Row],[Total Kg]],0)</f>
        <v>0</v>
      </c>
      <c r="X1318" s="322">
        <f>SUM(Calculations[[#This Row],[C2 Recycle]:[C2 Reuse]])</f>
        <v>0</v>
      </c>
      <c r="Y1318" t="str">
        <f>IFERROR(VLOOKUP(Calculations[[#This Row],[Material (choose from dropdown]],MaterialData[#All],5,FALSE),"")</f>
        <v/>
      </c>
      <c r="Z1318" s="322">
        <f>IFERROR(((VLOOKUP(Calculations[[#This Row],[Waste type 2]],WasteDisposalEmissions[#All],2,FALSE))*Calculations[[#This Row],[Total Kg]])*VLOOKUP(Calculations[[#This Row],[Waste 1]],WasteScenario[#All],2,FALSE),0)</f>
        <v>0</v>
      </c>
      <c r="AA1318" s="322">
        <f>IFERROR((VLOOKUP(Calculations[[#This Row],[Waste type 2]],WasteDisposalEmissions[#All],3,FALSE))*Calculations[[#This Row],[Total Kg]]*VLOOKUP(Calculations[[#This Row],[Waste 1]],WasteScenario[#All],3,FALSE),0)</f>
        <v>0</v>
      </c>
      <c r="AB1318" s="322">
        <f>SUM(Calculations[[#This Row],[C3 recyc]:[C3 incin]])</f>
        <v>0</v>
      </c>
      <c r="AC1318" s="334">
        <f>IFERROR((VLOOKUP(Calculations[[#This Row],[Waste type 2]],WasteLandfillEmissions[#All],2,FALSE))*Calculations[[#This Row],[Total Kg]]*VLOOKUP(Calculations[[#This Row],[Waste 1]],WasteScenario[#All],4,FALSE),0)</f>
        <v>0</v>
      </c>
      <c r="AD1318" s="322">
        <f>IFERROR((VLOOKUP(Calculations[[#This Row],[Waste type 2]],WasteLandfillEmissions[#All],3,FALSE))*Calculations[[#This Row],[Total Kg]]*VLOOKUP(Calculations[[#This Row],[Waste 1]],WasteScenario[#All],4,FALSE),0)</f>
        <v>0</v>
      </c>
      <c r="AE1318" s="322">
        <f>SUM(Calculations[[#This Row],[C4 landfill]:[C4 re-use]])</f>
        <v>0</v>
      </c>
      <c r="AF1318" s="322">
        <f>IFERROR(VLOOKUP(Calculations[[#This Row],[Material (choose from dropdown]],MaterialData[#All],8,FALSE),0)</f>
        <v>0</v>
      </c>
      <c r="AG1318" s="322">
        <f>IFERROR(Calculations[[#This Row],[Total Kg]]*Calculations[[#This Row],[Seq factor]],0)</f>
        <v>0</v>
      </c>
      <c r="AI1318" s="322">
        <f>Calculations[[#This Row],[A1-3]]+Calculations[[#This Row],[A4]]+Calculations[[#This Row],[A5]]+Calculations[[#This Row],[B4]]+Calculations[[#This Row],[C2 total]]+Calculations[[#This Row],[C3 total]]+Calculations[[#This Row],[C4 total]]</f>
        <v>0</v>
      </c>
      <c r="AJ1318" s="2">
        <f>IFERROR(VLOOKUP(Calculations[[#This Row],[Material (choose from dropdown]],MaterialData[[#Headers],[#Data]],9,FALSE),0)</f>
        <v>0</v>
      </c>
      <c r="AK1318" s="4">
        <f>IFERROR(VLOOKUP(Calculations[[#This Row],[Material (choose from dropdown]],MaterialData[[#Headers],[#Data]],10,FALSE),0)</f>
        <v>0</v>
      </c>
      <c r="AL1318" s="322">
        <f>IFERROR(Calculations[[#This Row],[Data Quality Score]]*Calculations[[#This Row],[Total Kg]],0)</f>
        <v>0</v>
      </c>
    </row>
    <row r="1319" spans="1:38" x14ac:dyDescent="0.3">
      <c r="A1319" s="6">
        <f>IFERROR(MaterialsBoQ[[#This Row],[Scope Element]],0)</f>
        <v>0</v>
      </c>
      <c r="B1319" t="str">
        <f>IFERROR(MaterialsBoQ[[#This Row],[Material ]],"")</f>
        <v/>
      </c>
      <c r="C1319" t="str">
        <f>IFERROR(MaterialsBoQ[[#This Row],[Unit]],"")</f>
        <v/>
      </c>
      <c r="D1319" s="322">
        <f>IFERROR(MaterialsBoQ[[#This Row],[Number]],0)</f>
        <v>0</v>
      </c>
      <c r="E1319" s="322">
        <f>IFERROR(MaterialsBoQ[[#This Row],[Kg per unit]],0)</f>
        <v>0</v>
      </c>
      <c r="F1319" s="322">
        <f>IFERROR(Calculations[[#This Row],[Number]]*Calculations[[#This Row],[Conversion factor]],0)</f>
        <v>0</v>
      </c>
      <c r="G1319" s="322">
        <f>IFERROR(VLOOKUP(Calculations[[#This Row],[Material (choose from dropdown]],MaterialData[#All],7,FALSE),0)</f>
        <v>0</v>
      </c>
      <c r="H1319" s="322">
        <f>Calculations[[#This Row],[Total Kg]]*Calculations[[#This Row],[Carbon Factor]]</f>
        <v>0</v>
      </c>
      <c r="I1319" t="str">
        <f>IFERROR(VLOOKUP(Calculations[[#This Row],[Material (choose from dropdown]],MaterialData[#All],2,FALSE),"")</f>
        <v/>
      </c>
      <c r="J1319" s="322">
        <f>IFERROR(((VLOOKUP(Calculations[[#This Row],[TransportSource]],TransportDistance[],2,FALSE)*'Stage assumptions'!$C$11)+VLOOKUP(Calculations[[#This Row],[TransportSource]],TransportDistance[],3,FALSE)*'Stage assumptions'!$C$12)*Calculations[[#This Row],[Total Kg]],0)</f>
        <v>0</v>
      </c>
      <c r="K1319">
        <f>IFERROR(VLOOKUP(Calculations[[#This Row],[Material (choose from dropdown]], MaterialData[#All],3, FALSE),0)</f>
        <v>0</v>
      </c>
      <c r="L1319" s="322">
        <f>IFERROR(VLOOKUP(Calculations[[#This Row],[A5type]],A5WastageRate[#All],2,FALSE)*Calculations[[#This Row],[A1-3]],0)</f>
        <v>0</v>
      </c>
      <c r="N1319">
        <f>IFERROR(ROUNDUP(50/VLOOKUP(Calculations[[#This Row],[Scope Element]],B4referenceServiceLife[[Tier 2 element]:[Default Service Life]],2, FALSE)-1,0),0)</f>
        <v>0</v>
      </c>
      <c r="O1319" s="322">
        <f>IFERROR((Calculations[[#This Row],[A1-3]]+Calculations[[#This Row],[A4]]+Calculations[[#This Row],[A5]]+Calculations[[#This Row],[C2 total]]+Calculations[[#This Row],[C3 total]]+Calculations[[#This Row],[C4 total]])*Calculations[[#This Row],[Replacements]],0)</f>
        <v>0</v>
      </c>
      <c r="S1319" t="str">
        <f>IFERROR(VLOOKUP(Calculations[[#This Row],[Material (choose from dropdown]],MaterialData[#All],4,FALSE),"")</f>
        <v/>
      </c>
      <c r="T1319" s="322" cm="1">
        <f t="array" ref="T1319">IFERROR(VLOOKUP(Calculations[[#This Row],[Waste 1]],WasteScenario[#All],2,FALSE)*'Stage assumptions'!$C$225*WasteTransportMethod[Emissions Factor
kgCO2e/kg.km]*Calculations[[#This Row],[Total Kg]],0)</f>
        <v>0</v>
      </c>
      <c r="U1319" s="322" cm="1">
        <f t="array" ref="U1319">IFERROR(VLOOKUP(Calculations[[#This Row],[Waste 1]],WasteScenario[#All],3,FALSE)*'Stage assumptions'!$C$224*WasteTransportMethod[Emissions Factor
kgCO2e/kg.km]*Calculations[[#This Row],[Total Kg]],0)</f>
        <v>0</v>
      </c>
      <c r="V1319" s="322" cm="1">
        <f t="array" ref="V1319">IFERROR(VLOOKUP(Calculations[[#This Row],[Waste 1]],WasteScenario[#All],4,FALSE)*'Stage assumptions'!$C$223*WasteTransportMethod[Emissions Factor
kgCO2e/kg.km]*Calculations[[#This Row],[Total Kg]],0)</f>
        <v>0</v>
      </c>
      <c r="W1319" s="322" cm="1">
        <f t="array" ref="W1319">IFERROR(VLOOKUP(Calculations[[#This Row],[Waste 1]],WasteScenario[#All],5,FALSE)*'Stage assumptions'!$C$226*WasteTransportMethod[Emissions Factor
kgCO2e/kg.km]*Calculations[[#This Row],[Total Kg]],0)</f>
        <v>0</v>
      </c>
      <c r="X1319" s="322">
        <f>SUM(Calculations[[#This Row],[C2 Recycle]:[C2 Reuse]])</f>
        <v>0</v>
      </c>
      <c r="Y1319" t="str">
        <f>IFERROR(VLOOKUP(Calculations[[#This Row],[Material (choose from dropdown]],MaterialData[#All],5,FALSE),"")</f>
        <v/>
      </c>
      <c r="Z1319" s="322">
        <f>IFERROR(((VLOOKUP(Calculations[[#This Row],[Waste type 2]],WasteDisposalEmissions[#All],2,FALSE))*Calculations[[#This Row],[Total Kg]])*VLOOKUP(Calculations[[#This Row],[Waste 1]],WasteScenario[#All],2,FALSE),0)</f>
        <v>0</v>
      </c>
      <c r="AA1319" s="322">
        <f>IFERROR((VLOOKUP(Calculations[[#This Row],[Waste type 2]],WasteDisposalEmissions[#All],3,FALSE))*Calculations[[#This Row],[Total Kg]]*VLOOKUP(Calculations[[#This Row],[Waste 1]],WasteScenario[#All],3,FALSE),0)</f>
        <v>0</v>
      </c>
      <c r="AB1319" s="322">
        <f>SUM(Calculations[[#This Row],[C3 recyc]:[C3 incin]])</f>
        <v>0</v>
      </c>
      <c r="AC1319" s="334">
        <f>IFERROR((VLOOKUP(Calculations[[#This Row],[Waste type 2]],WasteLandfillEmissions[#All],2,FALSE))*Calculations[[#This Row],[Total Kg]]*VLOOKUP(Calculations[[#This Row],[Waste 1]],WasteScenario[#All],4,FALSE),0)</f>
        <v>0</v>
      </c>
      <c r="AD1319" s="322">
        <f>IFERROR((VLOOKUP(Calculations[[#This Row],[Waste type 2]],WasteLandfillEmissions[#All],3,FALSE))*Calculations[[#This Row],[Total Kg]]*VLOOKUP(Calculations[[#This Row],[Waste 1]],WasteScenario[#All],4,FALSE),0)</f>
        <v>0</v>
      </c>
      <c r="AE1319" s="322">
        <f>SUM(Calculations[[#This Row],[C4 landfill]:[C4 re-use]])</f>
        <v>0</v>
      </c>
      <c r="AF1319" s="322">
        <f>IFERROR(VLOOKUP(Calculations[[#This Row],[Material (choose from dropdown]],MaterialData[#All],8,FALSE),0)</f>
        <v>0</v>
      </c>
      <c r="AG1319" s="322">
        <f>IFERROR(Calculations[[#This Row],[Total Kg]]*Calculations[[#This Row],[Seq factor]],0)</f>
        <v>0</v>
      </c>
      <c r="AI1319" s="322">
        <f>Calculations[[#This Row],[A1-3]]+Calculations[[#This Row],[A4]]+Calculations[[#This Row],[A5]]+Calculations[[#This Row],[B4]]+Calculations[[#This Row],[C2 total]]+Calculations[[#This Row],[C3 total]]+Calculations[[#This Row],[C4 total]]</f>
        <v>0</v>
      </c>
      <c r="AJ1319" s="2">
        <f>IFERROR(VLOOKUP(Calculations[[#This Row],[Material (choose from dropdown]],MaterialData[[#Headers],[#Data]],9,FALSE),0)</f>
        <v>0</v>
      </c>
      <c r="AK1319" s="4">
        <f>IFERROR(VLOOKUP(Calculations[[#This Row],[Material (choose from dropdown]],MaterialData[[#Headers],[#Data]],10,FALSE),0)</f>
        <v>0</v>
      </c>
      <c r="AL1319" s="322">
        <f>IFERROR(Calculations[[#This Row],[Data Quality Score]]*Calculations[[#This Row],[Total Kg]],0)</f>
        <v>0</v>
      </c>
    </row>
    <row r="1320" spans="1:38" x14ac:dyDescent="0.3">
      <c r="A1320" s="6">
        <f>IFERROR(MaterialsBoQ[[#This Row],[Scope Element]],0)</f>
        <v>0</v>
      </c>
      <c r="B1320" t="str">
        <f>IFERROR(MaterialsBoQ[[#This Row],[Material ]],"")</f>
        <v/>
      </c>
      <c r="C1320" t="str">
        <f>IFERROR(MaterialsBoQ[[#This Row],[Unit]],"")</f>
        <v/>
      </c>
      <c r="D1320" s="322">
        <f>IFERROR(MaterialsBoQ[[#This Row],[Number]],0)</f>
        <v>0</v>
      </c>
      <c r="E1320" s="322">
        <f>IFERROR(MaterialsBoQ[[#This Row],[Kg per unit]],0)</f>
        <v>0</v>
      </c>
      <c r="F1320" s="322">
        <f>IFERROR(Calculations[[#This Row],[Number]]*Calculations[[#This Row],[Conversion factor]],0)</f>
        <v>0</v>
      </c>
      <c r="G1320" s="322">
        <f>IFERROR(VLOOKUP(Calculations[[#This Row],[Material (choose from dropdown]],MaterialData[#All],7,FALSE),0)</f>
        <v>0</v>
      </c>
      <c r="H1320" s="322">
        <f>Calculations[[#This Row],[Total Kg]]*Calculations[[#This Row],[Carbon Factor]]</f>
        <v>0</v>
      </c>
      <c r="I1320" t="str">
        <f>IFERROR(VLOOKUP(Calculations[[#This Row],[Material (choose from dropdown]],MaterialData[#All],2,FALSE),"")</f>
        <v/>
      </c>
      <c r="J1320" s="322">
        <f>IFERROR(((VLOOKUP(Calculations[[#This Row],[TransportSource]],TransportDistance[],2,FALSE)*'Stage assumptions'!$C$11)+VLOOKUP(Calculations[[#This Row],[TransportSource]],TransportDistance[],3,FALSE)*'Stage assumptions'!$C$12)*Calculations[[#This Row],[Total Kg]],0)</f>
        <v>0</v>
      </c>
      <c r="K1320">
        <f>IFERROR(VLOOKUP(Calculations[[#This Row],[Material (choose from dropdown]], MaterialData[#All],3, FALSE),0)</f>
        <v>0</v>
      </c>
      <c r="L1320" s="322">
        <f>IFERROR(VLOOKUP(Calculations[[#This Row],[A5type]],A5WastageRate[#All],2,FALSE)*Calculations[[#This Row],[A1-3]],0)</f>
        <v>0</v>
      </c>
      <c r="N1320">
        <f>IFERROR(ROUNDUP(50/VLOOKUP(Calculations[[#This Row],[Scope Element]],B4referenceServiceLife[[Tier 2 element]:[Default Service Life]],2, FALSE)-1,0),0)</f>
        <v>0</v>
      </c>
      <c r="O1320" s="322">
        <f>IFERROR((Calculations[[#This Row],[A1-3]]+Calculations[[#This Row],[A4]]+Calculations[[#This Row],[A5]]+Calculations[[#This Row],[C2 total]]+Calculations[[#This Row],[C3 total]]+Calculations[[#This Row],[C4 total]])*Calculations[[#This Row],[Replacements]],0)</f>
        <v>0</v>
      </c>
      <c r="S1320" t="str">
        <f>IFERROR(VLOOKUP(Calculations[[#This Row],[Material (choose from dropdown]],MaterialData[#All],4,FALSE),"")</f>
        <v/>
      </c>
      <c r="T1320" s="322" cm="1">
        <f t="array" ref="T1320">IFERROR(VLOOKUP(Calculations[[#This Row],[Waste 1]],WasteScenario[#All],2,FALSE)*'Stage assumptions'!$C$225*WasteTransportMethod[Emissions Factor
kgCO2e/kg.km]*Calculations[[#This Row],[Total Kg]],0)</f>
        <v>0</v>
      </c>
      <c r="U1320" s="322" cm="1">
        <f t="array" ref="U1320">IFERROR(VLOOKUP(Calculations[[#This Row],[Waste 1]],WasteScenario[#All],3,FALSE)*'Stage assumptions'!$C$224*WasteTransportMethod[Emissions Factor
kgCO2e/kg.km]*Calculations[[#This Row],[Total Kg]],0)</f>
        <v>0</v>
      </c>
      <c r="V1320" s="322" cm="1">
        <f t="array" ref="V1320">IFERROR(VLOOKUP(Calculations[[#This Row],[Waste 1]],WasteScenario[#All],4,FALSE)*'Stage assumptions'!$C$223*WasteTransportMethod[Emissions Factor
kgCO2e/kg.km]*Calculations[[#This Row],[Total Kg]],0)</f>
        <v>0</v>
      </c>
      <c r="W1320" s="322" cm="1">
        <f t="array" ref="W1320">IFERROR(VLOOKUP(Calculations[[#This Row],[Waste 1]],WasteScenario[#All],5,FALSE)*'Stage assumptions'!$C$226*WasteTransportMethod[Emissions Factor
kgCO2e/kg.km]*Calculations[[#This Row],[Total Kg]],0)</f>
        <v>0</v>
      </c>
      <c r="X1320" s="322">
        <f>SUM(Calculations[[#This Row],[C2 Recycle]:[C2 Reuse]])</f>
        <v>0</v>
      </c>
      <c r="Y1320" t="str">
        <f>IFERROR(VLOOKUP(Calculations[[#This Row],[Material (choose from dropdown]],MaterialData[#All],5,FALSE),"")</f>
        <v/>
      </c>
      <c r="Z1320" s="322">
        <f>IFERROR(((VLOOKUP(Calculations[[#This Row],[Waste type 2]],WasteDisposalEmissions[#All],2,FALSE))*Calculations[[#This Row],[Total Kg]])*VLOOKUP(Calculations[[#This Row],[Waste 1]],WasteScenario[#All],2,FALSE),0)</f>
        <v>0</v>
      </c>
      <c r="AA1320" s="322">
        <f>IFERROR((VLOOKUP(Calculations[[#This Row],[Waste type 2]],WasteDisposalEmissions[#All],3,FALSE))*Calculations[[#This Row],[Total Kg]]*VLOOKUP(Calculations[[#This Row],[Waste 1]],WasteScenario[#All],3,FALSE),0)</f>
        <v>0</v>
      </c>
      <c r="AB1320" s="322">
        <f>SUM(Calculations[[#This Row],[C3 recyc]:[C3 incin]])</f>
        <v>0</v>
      </c>
      <c r="AC1320" s="334">
        <f>IFERROR((VLOOKUP(Calculations[[#This Row],[Waste type 2]],WasteLandfillEmissions[#All],2,FALSE))*Calculations[[#This Row],[Total Kg]]*VLOOKUP(Calculations[[#This Row],[Waste 1]],WasteScenario[#All],4,FALSE),0)</f>
        <v>0</v>
      </c>
      <c r="AD1320" s="322">
        <f>IFERROR((VLOOKUP(Calculations[[#This Row],[Waste type 2]],WasteLandfillEmissions[#All],3,FALSE))*Calculations[[#This Row],[Total Kg]]*VLOOKUP(Calculations[[#This Row],[Waste 1]],WasteScenario[#All],4,FALSE),0)</f>
        <v>0</v>
      </c>
      <c r="AE1320" s="322">
        <f>SUM(Calculations[[#This Row],[C4 landfill]:[C4 re-use]])</f>
        <v>0</v>
      </c>
      <c r="AF1320" s="322">
        <f>IFERROR(VLOOKUP(Calculations[[#This Row],[Material (choose from dropdown]],MaterialData[#All],8,FALSE),0)</f>
        <v>0</v>
      </c>
      <c r="AG1320" s="322">
        <f>IFERROR(Calculations[[#This Row],[Total Kg]]*Calculations[[#This Row],[Seq factor]],0)</f>
        <v>0</v>
      </c>
      <c r="AI1320" s="322">
        <f>Calculations[[#This Row],[A1-3]]+Calculations[[#This Row],[A4]]+Calculations[[#This Row],[A5]]+Calculations[[#This Row],[B4]]+Calculations[[#This Row],[C2 total]]+Calculations[[#This Row],[C3 total]]+Calculations[[#This Row],[C4 total]]</f>
        <v>0</v>
      </c>
      <c r="AJ1320" s="2">
        <f>IFERROR(VLOOKUP(Calculations[[#This Row],[Material (choose from dropdown]],MaterialData[[#Headers],[#Data]],9,FALSE),0)</f>
        <v>0</v>
      </c>
      <c r="AK1320" s="4">
        <f>IFERROR(VLOOKUP(Calculations[[#This Row],[Material (choose from dropdown]],MaterialData[[#Headers],[#Data]],10,FALSE),0)</f>
        <v>0</v>
      </c>
      <c r="AL1320" s="322">
        <f>IFERROR(Calculations[[#This Row],[Data Quality Score]]*Calculations[[#This Row],[Total Kg]],0)</f>
        <v>0</v>
      </c>
    </row>
    <row r="1321" spans="1:38" x14ac:dyDescent="0.3">
      <c r="A1321" s="6">
        <f>IFERROR(MaterialsBoQ[[#This Row],[Scope Element]],0)</f>
        <v>0</v>
      </c>
      <c r="B1321" t="str">
        <f>IFERROR(MaterialsBoQ[[#This Row],[Material ]],"")</f>
        <v/>
      </c>
      <c r="C1321" t="str">
        <f>IFERROR(MaterialsBoQ[[#This Row],[Unit]],"")</f>
        <v/>
      </c>
      <c r="D1321" s="322">
        <f>IFERROR(MaterialsBoQ[[#This Row],[Number]],0)</f>
        <v>0</v>
      </c>
      <c r="E1321" s="322">
        <f>IFERROR(MaterialsBoQ[[#This Row],[Kg per unit]],0)</f>
        <v>0</v>
      </c>
      <c r="F1321" s="322">
        <f>IFERROR(Calculations[[#This Row],[Number]]*Calculations[[#This Row],[Conversion factor]],0)</f>
        <v>0</v>
      </c>
      <c r="G1321" s="322">
        <f>IFERROR(VLOOKUP(Calculations[[#This Row],[Material (choose from dropdown]],MaterialData[#All],7,FALSE),0)</f>
        <v>0</v>
      </c>
      <c r="H1321" s="322">
        <f>Calculations[[#This Row],[Total Kg]]*Calculations[[#This Row],[Carbon Factor]]</f>
        <v>0</v>
      </c>
      <c r="I1321" t="str">
        <f>IFERROR(VLOOKUP(Calculations[[#This Row],[Material (choose from dropdown]],MaterialData[#All],2,FALSE),"")</f>
        <v/>
      </c>
      <c r="J1321" s="322">
        <f>IFERROR(((VLOOKUP(Calculations[[#This Row],[TransportSource]],TransportDistance[],2,FALSE)*'Stage assumptions'!$C$11)+VLOOKUP(Calculations[[#This Row],[TransportSource]],TransportDistance[],3,FALSE)*'Stage assumptions'!$C$12)*Calculations[[#This Row],[Total Kg]],0)</f>
        <v>0</v>
      </c>
      <c r="K1321">
        <f>IFERROR(VLOOKUP(Calculations[[#This Row],[Material (choose from dropdown]], MaterialData[#All],3, FALSE),0)</f>
        <v>0</v>
      </c>
      <c r="L1321" s="322">
        <f>IFERROR(VLOOKUP(Calculations[[#This Row],[A5type]],A5WastageRate[#All],2,FALSE)*Calculations[[#This Row],[A1-3]],0)</f>
        <v>0</v>
      </c>
      <c r="N1321">
        <f>IFERROR(ROUNDUP(50/VLOOKUP(Calculations[[#This Row],[Scope Element]],B4referenceServiceLife[[Tier 2 element]:[Default Service Life]],2, FALSE)-1,0),0)</f>
        <v>0</v>
      </c>
      <c r="O1321" s="322">
        <f>IFERROR((Calculations[[#This Row],[A1-3]]+Calculations[[#This Row],[A4]]+Calculations[[#This Row],[A5]]+Calculations[[#This Row],[C2 total]]+Calculations[[#This Row],[C3 total]]+Calculations[[#This Row],[C4 total]])*Calculations[[#This Row],[Replacements]],0)</f>
        <v>0</v>
      </c>
      <c r="S1321" t="str">
        <f>IFERROR(VLOOKUP(Calculations[[#This Row],[Material (choose from dropdown]],MaterialData[#All],4,FALSE),"")</f>
        <v/>
      </c>
      <c r="T1321" s="322" cm="1">
        <f t="array" ref="T1321">IFERROR(VLOOKUP(Calculations[[#This Row],[Waste 1]],WasteScenario[#All],2,FALSE)*'Stage assumptions'!$C$225*WasteTransportMethod[Emissions Factor
kgCO2e/kg.km]*Calculations[[#This Row],[Total Kg]],0)</f>
        <v>0</v>
      </c>
      <c r="U1321" s="322" cm="1">
        <f t="array" ref="U1321">IFERROR(VLOOKUP(Calculations[[#This Row],[Waste 1]],WasteScenario[#All],3,FALSE)*'Stage assumptions'!$C$224*WasteTransportMethod[Emissions Factor
kgCO2e/kg.km]*Calculations[[#This Row],[Total Kg]],0)</f>
        <v>0</v>
      </c>
      <c r="V1321" s="322" cm="1">
        <f t="array" ref="V1321">IFERROR(VLOOKUP(Calculations[[#This Row],[Waste 1]],WasteScenario[#All],4,FALSE)*'Stage assumptions'!$C$223*WasteTransportMethod[Emissions Factor
kgCO2e/kg.km]*Calculations[[#This Row],[Total Kg]],0)</f>
        <v>0</v>
      </c>
      <c r="W1321" s="322" cm="1">
        <f t="array" ref="W1321">IFERROR(VLOOKUP(Calculations[[#This Row],[Waste 1]],WasteScenario[#All],5,FALSE)*'Stage assumptions'!$C$226*WasteTransportMethod[Emissions Factor
kgCO2e/kg.km]*Calculations[[#This Row],[Total Kg]],0)</f>
        <v>0</v>
      </c>
      <c r="X1321" s="322">
        <f>SUM(Calculations[[#This Row],[C2 Recycle]:[C2 Reuse]])</f>
        <v>0</v>
      </c>
      <c r="Y1321" t="str">
        <f>IFERROR(VLOOKUP(Calculations[[#This Row],[Material (choose from dropdown]],MaterialData[#All],5,FALSE),"")</f>
        <v/>
      </c>
      <c r="Z1321" s="322">
        <f>IFERROR(((VLOOKUP(Calculations[[#This Row],[Waste type 2]],WasteDisposalEmissions[#All],2,FALSE))*Calculations[[#This Row],[Total Kg]])*VLOOKUP(Calculations[[#This Row],[Waste 1]],WasteScenario[#All],2,FALSE),0)</f>
        <v>0</v>
      </c>
      <c r="AA1321" s="322">
        <f>IFERROR((VLOOKUP(Calculations[[#This Row],[Waste type 2]],WasteDisposalEmissions[#All],3,FALSE))*Calculations[[#This Row],[Total Kg]]*VLOOKUP(Calculations[[#This Row],[Waste 1]],WasteScenario[#All],3,FALSE),0)</f>
        <v>0</v>
      </c>
      <c r="AB1321" s="322">
        <f>SUM(Calculations[[#This Row],[C3 recyc]:[C3 incin]])</f>
        <v>0</v>
      </c>
      <c r="AC1321" s="334">
        <f>IFERROR((VLOOKUP(Calculations[[#This Row],[Waste type 2]],WasteLandfillEmissions[#All],2,FALSE))*Calculations[[#This Row],[Total Kg]]*VLOOKUP(Calculations[[#This Row],[Waste 1]],WasteScenario[#All],4,FALSE),0)</f>
        <v>0</v>
      </c>
      <c r="AD1321" s="322">
        <f>IFERROR((VLOOKUP(Calculations[[#This Row],[Waste type 2]],WasteLandfillEmissions[#All],3,FALSE))*Calculations[[#This Row],[Total Kg]]*VLOOKUP(Calculations[[#This Row],[Waste 1]],WasteScenario[#All],4,FALSE),0)</f>
        <v>0</v>
      </c>
      <c r="AE1321" s="322">
        <f>SUM(Calculations[[#This Row],[C4 landfill]:[C4 re-use]])</f>
        <v>0</v>
      </c>
      <c r="AF1321" s="322">
        <f>IFERROR(VLOOKUP(Calculations[[#This Row],[Material (choose from dropdown]],MaterialData[#All],8,FALSE),0)</f>
        <v>0</v>
      </c>
      <c r="AG1321" s="322">
        <f>IFERROR(Calculations[[#This Row],[Total Kg]]*Calculations[[#This Row],[Seq factor]],0)</f>
        <v>0</v>
      </c>
      <c r="AI1321" s="322">
        <f>Calculations[[#This Row],[A1-3]]+Calculations[[#This Row],[A4]]+Calculations[[#This Row],[A5]]+Calculations[[#This Row],[B4]]+Calculations[[#This Row],[C2 total]]+Calculations[[#This Row],[C3 total]]+Calculations[[#This Row],[C4 total]]</f>
        <v>0</v>
      </c>
      <c r="AJ1321" s="2">
        <f>IFERROR(VLOOKUP(Calculations[[#This Row],[Material (choose from dropdown]],MaterialData[[#Headers],[#Data]],9,FALSE),0)</f>
        <v>0</v>
      </c>
      <c r="AK1321" s="4">
        <f>IFERROR(VLOOKUP(Calculations[[#This Row],[Material (choose from dropdown]],MaterialData[[#Headers],[#Data]],10,FALSE),0)</f>
        <v>0</v>
      </c>
      <c r="AL1321" s="322">
        <f>IFERROR(Calculations[[#This Row],[Data Quality Score]]*Calculations[[#This Row],[Total Kg]],0)</f>
        <v>0</v>
      </c>
    </row>
    <row r="1322" spans="1:38" x14ac:dyDescent="0.3">
      <c r="A1322" s="6">
        <f>IFERROR(MaterialsBoQ[[#This Row],[Scope Element]],0)</f>
        <v>0</v>
      </c>
      <c r="B1322" t="str">
        <f>IFERROR(MaterialsBoQ[[#This Row],[Material ]],"")</f>
        <v/>
      </c>
      <c r="C1322" t="str">
        <f>IFERROR(MaterialsBoQ[[#This Row],[Unit]],"")</f>
        <v/>
      </c>
      <c r="D1322" s="322">
        <f>IFERROR(MaterialsBoQ[[#This Row],[Number]],0)</f>
        <v>0</v>
      </c>
      <c r="E1322" s="322">
        <f>IFERROR(MaterialsBoQ[[#This Row],[Kg per unit]],0)</f>
        <v>0</v>
      </c>
      <c r="F1322" s="322">
        <f>IFERROR(Calculations[[#This Row],[Number]]*Calculations[[#This Row],[Conversion factor]],0)</f>
        <v>0</v>
      </c>
      <c r="G1322" s="322">
        <f>IFERROR(VLOOKUP(Calculations[[#This Row],[Material (choose from dropdown]],MaterialData[#All],7,FALSE),0)</f>
        <v>0</v>
      </c>
      <c r="H1322" s="322">
        <f>Calculations[[#This Row],[Total Kg]]*Calculations[[#This Row],[Carbon Factor]]</f>
        <v>0</v>
      </c>
      <c r="I1322" t="str">
        <f>IFERROR(VLOOKUP(Calculations[[#This Row],[Material (choose from dropdown]],MaterialData[#All],2,FALSE),"")</f>
        <v/>
      </c>
      <c r="J1322" s="322">
        <f>IFERROR(((VLOOKUP(Calculations[[#This Row],[TransportSource]],TransportDistance[],2,FALSE)*'Stage assumptions'!$C$11)+VLOOKUP(Calculations[[#This Row],[TransportSource]],TransportDistance[],3,FALSE)*'Stage assumptions'!$C$12)*Calculations[[#This Row],[Total Kg]],0)</f>
        <v>0</v>
      </c>
      <c r="K1322">
        <f>IFERROR(VLOOKUP(Calculations[[#This Row],[Material (choose from dropdown]], MaterialData[#All],3, FALSE),0)</f>
        <v>0</v>
      </c>
      <c r="L1322" s="322">
        <f>IFERROR(VLOOKUP(Calculations[[#This Row],[A5type]],A5WastageRate[#All],2,FALSE)*Calculations[[#This Row],[A1-3]],0)</f>
        <v>0</v>
      </c>
      <c r="N1322">
        <f>IFERROR(ROUNDUP(50/VLOOKUP(Calculations[[#This Row],[Scope Element]],B4referenceServiceLife[[Tier 2 element]:[Default Service Life]],2, FALSE)-1,0),0)</f>
        <v>0</v>
      </c>
      <c r="O1322" s="322">
        <f>IFERROR((Calculations[[#This Row],[A1-3]]+Calculations[[#This Row],[A4]]+Calculations[[#This Row],[A5]]+Calculations[[#This Row],[C2 total]]+Calculations[[#This Row],[C3 total]]+Calculations[[#This Row],[C4 total]])*Calculations[[#This Row],[Replacements]],0)</f>
        <v>0</v>
      </c>
      <c r="S1322" t="str">
        <f>IFERROR(VLOOKUP(Calculations[[#This Row],[Material (choose from dropdown]],MaterialData[#All],4,FALSE),"")</f>
        <v/>
      </c>
      <c r="T1322" s="322" cm="1">
        <f t="array" ref="T1322">IFERROR(VLOOKUP(Calculations[[#This Row],[Waste 1]],WasteScenario[#All],2,FALSE)*'Stage assumptions'!$C$225*WasteTransportMethod[Emissions Factor
kgCO2e/kg.km]*Calculations[[#This Row],[Total Kg]],0)</f>
        <v>0</v>
      </c>
      <c r="U1322" s="322" cm="1">
        <f t="array" ref="U1322">IFERROR(VLOOKUP(Calculations[[#This Row],[Waste 1]],WasteScenario[#All],3,FALSE)*'Stage assumptions'!$C$224*WasteTransportMethod[Emissions Factor
kgCO2e/kg.km]*Calculations[[#This Row],[Total Kg]],0)</f>
        <v>0</v>
      </c>
      <c r="V1322" s="322" cm="1">
        <f t="array" ref="V1322">IFERROR(VLOOKUP(Calculations[[#This Row],[Waste 1]],WasteScenario[#All],4,FALSE)*'Stage assumptions'!$C$223*WasteTransportMethod[Emissions Factor
kgCO2e/kg.km]*Calculations[[#This Row],[Total Kg]],0)</f>
        <v>0</v>
      </c>
      <c r="W1322" s="322" cm="1">
        <f t="array" ref="W1322">IFERROR(VLOOKUP(Calculations[[#This Row],[Waste 1]],WasteScenario[#All],5,FALSE)*'Stage assumptions'!$C$226*WasteTransportMethod[Emissions Factor
kgCO2e/kg.km]*Calculations[[#This Row],[Total Kg]],0)</f>
        <v>0</v>
      </c>
      <c r="X1322" s="322">
        <f>SUM(Calculations[[#This Row],[C2 Recycle]:[C2 Reuse]])</f>
        <v>0</v>
      </c>
      <c r="Y1322" t="str">
        <f>IFERROR(VLOOKUP(Calculations[[#This Row],[Material (choose from dropdown]],MaterialData[#All],5,FALSE),"")</f>
        <v/>
      </c>
      <c r="Z1322" s="322">
        <f>IFERROR(((VLOOKUP(Calculations[[#This Row],[Waste type 2]],WasteDisposalEmissions[#All],2,FALSE))*Calculations[[#This Row],[Total Kg]])*VLOOKUP(Calculations[[#This Row],[Waste 1]],WasteScenario[#All],2,FALSE),0)</f>
        <v>0</v>
      </c>
      <c r="AA1322" s="322">
        <f>IFERROR((VLOOKUP(Calculations[[#This Row],[Waste type 2]],WasteDisposalEmissions[#All],3,FALSE))*Calculations[[#This Row],[Total Kg]]*VLOOKUP(Calculations[[#This Row],[Waste 1]],WasteScenario[#All],3,FALSE),0)</f>
        <v>0</v>
      </c>
      <c r="AB1322" s="322">
        <f>SUM(Calculations[[#This Row],[C3 recyc]:[C3 incin]])</f>
        <v>0</v>
      </c>
      <c r="AC1322" s="334">
        <f>IFERROR((VLOOKUP(Calculations[[#This Row],[Waste type 2]],WasteLandfillEmissions[#All],2,FALSE))*Calculations[[#This Row],[Total Kg]]*VLOOKUP(Calculations[[#This Row],[Waste 1]],WasteScenario[#All],4,FALSE),0)</f>
        <v>0</v>
      </c>
      <c r="AD1322" s="322">
        <f>IFERROR((VLOOKUP(Calculations[[#This Row],[Waste type 2]],WasteLandfillEmissions[#All],3,FALSE))*Calculations[[#This Row],[Total Kg]]*VLOOKUP(Calculations[[#This Row],[Waste 1]],WasteScenario[#All],4,FALSE),0)</f>
        <v>0</v>
      </c>
      <c r="AE1322" s="322">
        <f>SUM(Calculations[[#This Row],[C4 landfill]:[C4 re-use]])</f>
        <v>0</v>
      </c>
      <c r="AF1322" s="322">
        <f>IFERROR(VLOOKUP(Calculations[[#This Row],[Material (choose from dropdown]],MaterialData[#All],8,FALSE),0)</f>
        <v>0</v>
      </c>
      <c r="AG1322" s="322">
        <f>IFERROR(Calculations[[#This Row],[Total Kg]]*Calculations[[#This Row],[Seq factor]],0)</f>
        <v>0</v>
      </c>
      <c r="AI1322" s="322">
        <f>Calculations[[#This Row],[A1-3]]+Calculations[[#This Row],[A4]]+Calculations[[#This Row],[A5]]+Calculations[[#This Row],[B4]]+Calculations[[#This Row],[C2 total]]+Calculations[[#This Row],[C3 total]]+Calculations[[#This Row],[C4 total]]</f>
        <v>0</v>
      </c>
      <c r="AJ1322" s="2">
        <f>IFERROR(VLOOKUP(Calculations[[#This Row],[Material (choose from dropdown]],MaterialData[[#Headers],[#Data]],9,FALSE),0)</f>
        <v>0</v>
      </c>
      <c r="AK1322" s="4">
        <f>IFERROR(VLOOKUP(Calculations[[#This Row],[Material (choose from dropdown]],MaterialData[[#Headers],[#Data]],10,FALSE),0)</f>
        <v>0</v>
      </c>
      <c r="AL1322" s="322">
        <f>IFERROR(Calculations[[#This Row],[Data Quality Score]]*Calculations[[#This Row],[Total Kg]],0)</f>
        <v>0</v>
      </c>
    </row>
    <row r="1323" spans="1:38" x14ac:dyDescent="0.3">
      <c r="A1323" s="6">
        <f>IFERROR(MaterialsBoQ[[#This Row],[Scope Element]],0)</f>
        <v>0</v>
      </c>
      <c r="B1323" t="str">
        <f>IFERROR(MaterialsBoQ[[#This Row],[Material ]],"")</f>
        <v/>
      </c>
      <c r="C1323" t="str">
        <f>IFERROR(MaterialsBoQ[[#This Row],[Unit]],"")</f>
        <v/>
      </c>
      <c r="D1323" s="322">
        <f>IFERROR(MaterialsBoQ[[#This Row],[Number]],0)</f>
        <v>0</v>
      </c>
      <c r="E1323" s="322">
        <f>IFERROR(MaterialsBoQ[[#This Row],[Kg per unit]],0)</f>
        <v>0</v>
      </c>
      <c r="F1323" s="322">
        <f>IFERROR(Calculations[[#This Row],[Number]]*Calculations[[#This Row],[Conversion factor]],0)</f>
        <v>0</v>
      </c>
      <c r="G1323" s="322">
        <f>IFERROR(VLOOKUP(Calculations[[#This Row],[Material (choose from dropdown]],MaterialData[#All],7,FALSE),0)</f>
        <v>0</v>
      </c>
      <c r="H1323" s="322">
        <f>Calculations[[#This Row],[Total Kg]]*Calculations[[#This Row],[Carbon Factor]]</f>
        <v>0</v>
      </c>
      <c r="I1323" t="str">
        <f>IFERROR(VLOOKUP(Calculations[[#This Row],[Material (choose from dropdown]],MaterialData[#All],2,FALSE),"")</f>
        <v/>
      </c>
      <c r="J1323" s="322">
        <f>IFERROR(((VLOOKUP(Calculations[[#This Row],[TransportSource]],TransportDistance[],2,FALSE)*'Stage assumptions'!$C$11)+VLOOKUP(Calculations[[#This Row],[TransportSource]],TransportDistance[],3,FALSE)*'Stage assumptions'!$C$12)*Calculations[[#This Row],[Total Kg]],0)</f>
        <v>0</v>
      </c>
      <c r="K1323">
        <f>IFERROR(VLOOKUP(Calculations[[#This Row],[Material (choose from dropdown]], MaterialData[#All],3, FALSE),0)</f>
        <v>0</v>
      </c>
      <c r="L1323" s="322">
        <f>IFERROR(VLOOKUP(Calculations[[#This Row],[A5type]],A5WastageRate[#All],2,FALSE)*Calculations[[#This Row],[A1-3]],0)</f>
        <v>0</v>
      </c>
      <c r="N1323">
        <f>IFERROR(ROUNDUP(50/VLOOKUP(Calculations[[#This Row],[Scope Element]],B4referenceServiceLife[[Tier 2 element]:[Default Service Life]],2, FALSE)-1,0),0)</f>
        <v>0</v>
      </c>
      <c r="O1323" s="322">
        <f>IFERROR((Calculations[[#This Row],[A1-3]]+Calculations[[#This Row],[A4]]+Calculations[[#This Row],[A5]]+Calculations[[#This Row],[C2 total]]+Calculations[[#This Row],[C3 total]]+Calculations[[#This Row],[C4 total]])*Calculations[[#This Row],[Replacements]],0)</f>
        <v>0</v>
      </c>
      <c r="S1323" t="str">
        <f>IFERROR(VLOOKUP(Calculations[[#This Row],[Material (choose from dropdown]],MaterialData[#All],4,FALSE),"")</f>
        <v/>
      </c>
      <c r="T1323" s="322" cm="1">
        <f t="array" ref="T1323">IFERROR(VLOOKUP(Calculations[[#This Row],[Waste 1]],WasteScenario[#All],2,FALSE)*'Stage assumptions'!$C$225*WasteTransportMethod[Emissions Factor
kgCO2e/kg.km]*Calculations[[#This Row],[Total Kg]],0)</f>
        <v>0</v>
      </c>
      <c r="U1323" s="322" cm="1">
        <f t="array" ref="U1323">IFERROR(VLOOKUP(Calculations[[#This Row],[Waste 1]],WasteScenario[#All],3,FALSE)*'Stage assumptions'!$C$224*WasteTransportMethod[Emissions Factor
kgCO2e/kg.km]*Calculations[[#This Row],[Total Kg]],0)</f>
        <v>0</v>
      </c>
      <c r="V1323" s="322" cm="1">
        <f t="array" ref="V1323">IFERROR(VLOOKUP(Calculations[[#This Row],[Waste 1]],WasteScenario[#All],4,FALSE)*'Stage assumptions'!$C$223*WasteTransportMethod[Emissions Factor
kgCO2e/kg.km]*Calculations[[#This Row],[Total Kg]],0)</f>
        <v>0</v>
      </c>
      <c r="W1323" s="322" cm="1">
        <f t="array" ref="W1323">IFERROR(VLOOKUP(Calculations[[#This Row],[Waste 1]],WasteScenario[#All],5,FALSE)*'Stage assumptions'!$C$226*WasteTransportMethod[Emissions Factor
kgCO2e/kg.km]*Calculations[[#This Row],[Total Kg]],0)</f>
        <v>0</v>
      </c>
      <c r="X1323" s="322">
        <f>SUM(Calculations[[#This Row],[C2 Recycle]:[C2 Reuse]])</f>
        <v>0</v>
      </c>
      <c r="Y1323" t="str">
        <f>IFERROR(VLOOKUP(Calculations[[#This Row],[Material (choose from dropdown]],MaterialData[#All],5,FALSE),"")</f>
        <v/>
      </c>
      <c r="Z1323" s="322">
        <f>IFERROR(((VLOOKUP(Calculations[[#This Row],[Waste type 2]],WasteDisposalEmissions[#All],2,FALSE))*Calculations[[#This Row],[Total Kg]])*VLOOKUP(Calculations[[#This Row],[Waste 1]],WasteScenario[#All],2,FALSE),0)</f>
        <v>0</v>
      </c>
      <c r="AA1323" s="322">
        <f>IFERROR((VLOOKUP(Calculations[[#This Row],[Waste type 2]],WasteDisposalEmissions[#All],3,FALSE))*Calculations[[#This Row],[Total Kg]]*VLOOKUP(Calculations[[#This Row],[Waste 1]],WasteScenario[#All],3,FALSE),0)</f>
        <v>0</v>
      </c>
      <c r="AB1323" s="322">
        <f>SUM(Calculations[[#This Row],[C3 recyc]:[C3 incin]])</f>
        <v>0</v>
      </c>
      <c r="AC1323" s="334">
        <f>IFERROR((VLOOKUP(Calculations[[#This Row],[Waste type 2]],WasteLandfillEmissions[#All],2,FALSE))*Calculations[[#This Row],[Total Kg]]*VLOOKUP(Calculations[[#This Row],[Waste 1]],WasteScenario[#All],4,FALSE),0)</f>
        <v>0</v>
      </c>
      <c r="AD1323" s="322">
        <f>IFERROR((VLOOKUP(Calculations[[#This Row],[Waste type 2]],WasteLandfillEmissions[#All],3,FALSE))*Calculations[[#This Row],[Total Kg]]*VLOOKUP(Calculations[[#This Row],[Waste 1]],WasteScenario[#All],4,FALSE),0)</f>
        <v>0</v>
      </c>
      <c r="AE1323" s="322">
        <f>SUM(Calculations[[#This Row],[C4 landfill]:[C4 re-use]])</f>
        <v>0</v>
      </c>
      <c r="AF1323" s="322">
        <f>IFERROR(VLOOKUP(Calculations[[#This Row],[Material (choose from dropdown]],MaterialData[#All],8,FALSE),0)</f>
        <v>0</v>
      </c>
      <c r="AG1323" s="322">
        <f>IFERROR(Calculations[[#This Row],[Total Kg]]*Calculations[[#This Row],[Seq factor]],0)</f>
        <v>0</v>
      </c>
      <c r="AI1323" s="322">
        <f>Calculations[[#This Row],[A1-3]]+Calculations[[#This Row],[A4]]+Calculations[[#This Row],[A5]]+Calculations[[#This Row],[B4]]+Calculations[[#This Row],[C2 total]]+Calculations[[#This Row],[C3 total]]+Calculations[[#This Row],[C4 total]]</f>
        <v>0</v>
      </c>
      <c r="AJ1323" s="2">
        <f>IFERROR(VLOOKUP(Calculations[[#This Row],[Material (choose from dropdown]],MaterialData[[#Headers],[#Data]],9,FALSE),0)</f>
        <v>0</v>
      </c>
      <c r="AK1323" s="4">
        <f>IFERROR(VLOOKUP(Calculations[[#This Row],[Material (choose from dropdown]],MaterialData[[#Headers],[#Data]],10,FALSE),0)</f>
        <v>0</v>
      </c>
      <c r="AL1323" s="322">
        <f>IFERROR(Calculations[[#This Row],[Data Quality Score]]*Calculations[[#This Row],[Total Kg]],0)</f>
        <v>0</v>
      </c>
    </row>
    <row r="1324" spans="1:38" x14ac:dyDescent="0.3">
      <c r="A1324" s="6">
        <f>IFERROR(MaterialsBoQ[[#This Row],[Scope Element]],0)</f>
        <v>0</v>
      </c>
      <c r="B1324" t="str">
        <f>IFERROR(MaterialsBoQ[[#This Row],[Material ]],"")</f>
        <v/>
      </c>
      <c r="C1324" t="str">
        <f>IFERROR(MaterialsBoQ[[#This Row],[Unit]],"")</f>
        <v/>
      </c>
      <c r="D1324" s="322">
        <f>IFERROR(MaterialsBoQ[[#This Row],[Number]],0)</f>
        <v>0</v>
      </c>
      <c r="E1324" s="322">
        <f>IFERROR(MaterialsBoQ[[#This Row],[Kg per unit]],0)</f>
        <v>0</v>
      </c>
      <c r="F1324" s="322">
        <f>IFERROR(Calculations[[#This Row],[Number]]*Calculations[[#This Row],[Conversion factor]],0)</f>
        <v>0</v>
      </c>
      <c r="G1324" s="322">
        <f>IFERROR(VLOOKUP(Calculations[[#This Row],[Material (choose from dropdown]],MaterialData[#All],7,FALSE),0)</f>
        <v>0</v>
      </c>
      <c r="H1324" s="322">
        <f>Calculations[[#This Row],[Total Kg]]*Calculations[[#This Row],[Carbon Factor]]</f>
        <v>0</v>
      </c>
      <c r="I1324" t="str">
        <f>IFERROR(VLOOKUP(Calculations[[#This Row],[Material (choose from dropdown]],MaterialData[#All],2,FALSE),"")</f>
        <v/>
      </c>
      <c r="J1324" s="322">
        <f>IFERROR(((VLOOKUP(Calculations[[#This Row],[TransportSource]],TransportDistance[],2,FALSE)*'Stage assumptions'!$C$11)+VLOOKUP(Calculations[[#This Row],[TransportSource]],TransportDistance[],3,FALSE)*'Stage assumptions'!$C$12)*Calculations[[#This Row],[Total Kg]],0)</f>
        <v>0</v>
      </c>
      <c r="K1324">
        <f>IFERROR(VLOOKUP(Calculations[[#This Row],[Material (choose from dropdown]], MaterialData[#All],3, FALSE),0)</f>
        <v>0</v>
      </c>
      <c r="L1324" s="322">
        <f>IFERROR(VLOOKUP(Calculations[[#This Row],[A5type]],A5WastageRate[#All],2,FALSE)*Calculations[[#This Row],[A1-3]],0)</f>
        <v>0</v>
      </c>
      <c r="N1324">
        <f>IFERROR(ROUNDUP(50/VLOOKUP(Calculations[[#This Row],[Scope Element]],B4referenceServiceLife[[Tier 2 element]:[Default Service Life]],2, FALSE)-1,0),0)</f>
        <v>0</v>
      </c>
      <c r="O1324" s="322">
        <f>IFERROR((Calculations[[#This Row],[A1-3]]+Calculations[[#This Row],[A4]]+Calculations[[#This Row],[A5]]+Calculations[[#This Row],[C2 total]]+Calculations[[#This Row],[C3 total]]+Calculations[[#This Row],[C4 total]])*Calculations[[#This Row],[Replacements]],0)</f>
        <v>0</v>
      </c>
      <c r="S1324" t="str">
        <f>IFERROR(VLOOKUP(Calculations[[#This Row],[Material (choose from dropdown]],MaterialData[#All],4,FALSE),"")</f>
        <v/>
      </c>
      <c r="T1324" s="322" cm="1">
        <f t="array" ref="T1324">IFERROR(VLOOKUP(Calculations[[#This Row],[Waste 1]],WasteScenario[#All],2,FALSE)*'Stage assumptions'!$C$225*WasteTransportMethod[Emissions Factor
kgCO2e/kg.km]*Calculations[[#This Row],[Total Kg]],0)</f>
        <v>0</v>
      </c>
      <c r="U1324" s="322" cm="1">
        <f t="array" ref="U1324">IFERROR(VLOOKUP(Calculations[[#This Row],[Waste 1]],WasteScenario[#All],3,FALSE)*'Stage assumptions'!$C$224*WasteTransportMethod[Emissions Factor
kgCO2e/kg.km]*Calculations[[#This Row],[Total Kg]],0)</f>
        <v>0</v>
      </c>
      <c r="V1324" s="322" cm="1">
        <f t="array" ref="V1324">IFERROR(VLOOKUP(Calculations[[#This Row],[Waste 1]],WasteScenario[#All],4,FALSE)*'Stage assumptions'!$C$223*WasteTransportMethod[Emissions Factor
kgCO2e/kg.km]*Calculations[[#This Row],[Total Kg]],0)</f>
        <v>0</v>
      </c>
      <c r="W1324" s="322" cm="1">
        <f t="array" ref="W1324">IFERROR(VLOOKUP(Calculations[[#This Row],[Waste 1]],WasteScenario[#All],5,FALSE)*'Stage assumptions'!$C$226*WasteTransportMethod[Emissions Factor
kgCO2e/kg.km]*Calculations[[#This Row],[Total Kg]],0)</f>
        <v>0</v>
      </c>
      <c r="X1324" s="322">
        <f>SUM(Calculations[[#This Row],[C2 Recycle]:[C2 Reuse]])</f>
        <v>0</v>
      </c>
      <c r="Y1324" t="str">
        <f>IFERROR(VLOOKUP(Calculations[[#This Row],[Material (choose from dropdown]],MaterialData[#All],5,FALSE),"")</f>
        <v/>
      </c>
      <c r="Z1324" s="322">
        <f>IFERROR(((VLOOKUP(Calculations[[#This Row],[Waste type 2]],WasteDisposalEmissions[#All],2,FALSE))*Calculations[[#This Row],[Total Kg]])*VLOOKUP(Calculations[[#This Row],[Waste 1]],WasteScenario[#All],2,FALSE),0)</f>
        <v>0</v>
      </c>
      <c r="AA1324" s="322">
        <f>IFERROR((VLOOKUP(Calculations[[#This Row],[Waste type 2]],WasteDisposalEmissions[#All],3,FALSE))*Calculations[[#This Row],[Total Kg]]*VLOOKUP(Calculations[[#This Row],[Waste 1]],WasteScenario[#All],3,FALSE),0)</f>
        <v>0</v>
      </c>
      <c r="AB1324" s="322">
        <f>SUM(Calculations[[#This Row],[C3 recyc]:[C3 incin]])</f>
        <v>0</v>
      </c>
      <c r="AC1324" s="334">
        <f>IFERROR((VLOOKUP(Calculations[[#This Row],[Waste type 2]],WasteLandfillEmissions[#All],2,FALSE))*Calculations[[#This Row],[Total Kg]]*VLOOKUP(Calculations[[#This Row],[Waste 1]],WasteScenario[#All],4,FALSE),0)</f>
        <v>0</v>
      </c>
      <c r="AD1324" s="322">
        <f>IFERROR((VLOOKUP(Calculations[[#This Row],[Waste type 2]],WasteLandfillEmissions[#All],3,FALSE))*Calculations[[#This Row],[Total Kg]]*VLOOKUP(Calculations[[#This Row],[Waste 1]],WasteScenario[#All],4,FALSE),0)</f>
        <v>0</v>
      </c>
      <c r="AE1324" s="322">
        <f>SUM(Calculations[[#This Row],[C4 landfill]:[C4 re-use]])</f>
        <v>0</v>
      </c>
      <c r="AF1324" s="322">
        <f>IFERROR(VLOOKUP(Calculations[[#This Row],[Material (choose from dropdown]],MaterialData[#All],8,FALSE),0)</f>
        <v>0</v>
      </c>
      <c r="AG1324" s="322">
        <f>IFERROR(Calculations[[#This Row],[Total Kg]]*Calculations[[#This Row],[Seq factor]],0)</f>
        <v>0</v>
      </c>
      <c r="AI1324" s="322">
        <f>Calculations[[#This Row],[A1-3]]+Calculations[[#This Row],[A4]]+Calculations[[#This Row],[A5]]+Calculations[[#This Row],[B4]]+Calculations[[#This Row],[C2 total]]+Calculations[[#This Row],[C3 total]]+Calculations[[#This Row],[C4 total]]</f>
        <v>0</v>
      </c>
      <c r="AJ1324" s="2">
        <f>IFERROR(VLOOKUP(Calculations[[#This Row],[Material (choose from dropdown]],MaterialData[[#Headers],[#Data]],9,FALSE),0)</f>
        <v>0</v>
      </c>
      <c r="AK1324" s="4">
        <f>IFERROR(VLOOKUP(Calculations[[#This Row],[Material (choose from dropdown]],MaterialData[[#Headers],[#Data]],10,FALSE),0)</f>
        <v>0</v>
      </c>
      <c r="AL1324" s="322">
        <f>IFERROR(Calculations[[#This Row],[Data Quality Score]]*Calculations[[#This Row],[Total Kg]],0)</f>
        <v>0</v>
      </c>
    </row>
    <row r="1325" spans="1:38" x14ac:dyDescent="0.3">
      <c r="A1325" s="6">
        <f>IFERROR(MaterialsBoQ[[#This Row],[Scope Element]],0)</f>
        <v>0</v>
      </c>
      <c r="B1325" t="str">
        <f>IFERROR(MaterialsBoQ[[#This Row],[Material ]],"")</f>
        <v/>
      </c>
      <c r="C1325" t="str">
        <f>IFERROR(MaterialsBoQ[[#This Row],[Unit]],"")</f>
        <v/>
      </c>
      <c r="D1325" s="322">
        <f>IFERROR(MaterialsBoQ[[#This Row],[Number]],0)</f>
        <v>0</v>
      </c>
      <c r="E1325" s="322">
        <f>IFERROR(MaterialsBoQ[[#This Row],[Kg per unit]],0)</f>
        <v>0</v>
      </c>
      <c r="F1325" s="322">
        <f>IFERROR(Calculations[[#This Row],[Number]]*Calculations[[#This Row],[Conversion factor]],0)</f>
        <v>0</v>
      </c>
      <c r="G1325" s="322">
        <f>IFERROR(VLOOKUP(Calculations[[#This Row],[Material (choose from dropdown]],MaterialData[#All],7,FALSE),0)</f>
        <v>0</v>
      </c>
      <c r="H1325" s="322">
        <f>Calculations[[#This Row],[Total Kg]]*Calculations[[#This Row],[Carbon Factor]]</f>
        <v>0</v>
      </c>
      <c r="I1325" t="str">
        <f>IFERROR(VLOOKUP(Calculations[[#This Row],[Material (choose from dropdown]],MaterialData[#All],2,FALSE),"")</f>
        <v/>
      </c>
      <c r="J1325" s="322">
        <f>IFERROR(((VLOOKUP(Calculations[[#This Row],[TransportSource]],TransportDistance[],2,FALSE)*'Stage assumptions'!$C$11)+VLOOKUP(Calculations[[#This Row],[TransportSource]],TransportDistance[],3,FALSE)*'Stage assumptions'!$C$12)*Calculations[[#This Row],[Total Kg]],0)</f>
        <v>0</v>
      </c>
      <c r="K1325">
        <f>IFERROR(VLOOKUP(Calculations[[#This Row],[Material (choose from dropdown]], MaterialData[#All],3, FALSE),0)</f>
        <v>0</v>
      </c>
      <c r="L1325" s="322">
        <f>IFERROR(VLOOKUP(Calculations[[#This Row],[A5type]],A5WastageRate[#All],2,FALSE)*Calculations[[#This Row],[A1-3]],0)</f>
        <v>0</v>
      </c>
      <c r="N1325">
        <f>IFERROR(ROUNDUP(50/VLOOKUP(Calculations[[#This Row],[Scope Element]],B4referenceServiceLife[[Tier 2 element]:[Default Service Life]],2, FALSE)-1,0),0)</f>
        <v>0</v>
      </c>
      <c r="O1325" s="322">
        <f>IFERROR((Calculations[[#This Row],[A1-3]]+Calculations[[#This Row],[A4]]+Calculations[[#This Row],[A5]]+Calculations[[#This Row],[C2 total]]+Calculations[[#This Row],[C3 total]]+Calculations[[#This Row],[C4 total]])*Calculations[[#This Row],[Replacements]],0)</f>
        <v>0</v>
      </c>
      <c r="S1325" t="str">
        <f>IFERROR(VLOOKUP(Calculations[[#This Row],[Material (choose from dropdown]],MaterialData[#All],4,FALSE),"")</f>
        <v/>
      </c>
      <c r="T1325" s="322" cm="1">
        <f t="array" ref="T1325">IFERROR(VLOOKUP(Calculations[[#This Row],[Waste 1]],WasteScenario[#All],2,FALSE)*'Stage assumptions'!$C$225*WasteTransportMethod[Emissions Factor
kgCO2e/kg.km]*Calculations[[#This Row],[Total Kg]],0)</f>
        <v>0</v>
      </c>
      <c r="U1325" s="322" cm="1">
        <f t="array" ref="U1325">IFERROR(VLOOKUP(Calculations[[#This Row],[Waste 1]],WasteScenario[#All],3,FALSE)*'Stage assumptions'!$C$224*WasteTransportMethod[Emissions Factor
kgCO2e/kg.km]*Calculations[[#This Row],[Total Kg]],0)</f>
        <v>0</v>
      </c>
      <c r="V1325" s="322" cm="1">
        <f t="array" ref="V1325">IFERROR(VLOOKUP(Calculations[[#This Row],[Waste 1]],WasteScenario[#All],4,FALSE)*'Stage assumptions'!$C$223*WasteTransportMethod[Emissions Factor
kgCO2e/kg.km]*Calculations[[#This Row],[Total Kg]],0)</f>
        <v>0</v>
      </c>
      <c r="W1325" s="322" cm="1">
        <f t="array" ref="W1325">IFERROR(VLOOKUP(Calculations[[#This Row],[Waste 1]],WasteScenario[#All],5,FALSE)*'Stage assumptions'!$C$226*WasteTransportMethod[Emissions Factor
kgCO2e/kg.km]*Calculations[[#This Row],[Total Kg]],0)</f>
        <v>0</v>
      </c>
      <c r="X1325" s="322">
        <f>SUM(Calculations[[#This Row],[C2 Recycle]:[C2 Reuse]])</f>
        <v>0</v>
      </c>
      <c r="Y1325" t="str">
        <f>IFERROR(VLOOKUP(Calculations[[#This Row],[Material (choose from dropdown]],MaterialData[#All],5,FALSE),"")</f>
        <v/>
      </c>
      <c r="Z1325" s="322">
        <f>IFERROR(((VLOOKUP(Calculations[[#This Row],[Waste type 2]],WasteDisposalEmissions[#All],2,FALSE))*Calculations[[#This Row],[Total Kg]])*VLOOKUP(Calculations[[#This Row],[Waste 1]],WasteScenario[#All],2,FALSE),0)</f>
        <v>0</v>
      </c>
      <c r="AA1325" s="322">
        <f>IFERROR((VLOOKUP(Calculations[[#This Row],[Waste type 2]],WasteDisposalEmissions[#All],3,FALSE))*Calculations[[#This Row],[Total Kg]]*VLOOKUP(Calculations[[#This Row],[Waste 1]],WasteScenario[#All],3,FALSE),0)</f>
        <v>0</v>
      </c>
      <c r="AB1325" s="322">
        <f>SUM(Calculations[[#This Row],[C3 recyc]:[C3 incin]])</f>
        <v>0</v>
      </c>
      <c r="AC1325" s="334">
        <f>IFERROR((VLOOKUP(Calculations[[#This Row],[Waste type 2]],WasteLandfillEmissions[#All],2,FALSE))*Calculations[[#This Row],[Total Kg]]*VLOOKUP(Calculations[[#This Row],[Waste 1]],WasteScenario[#All],4,FALSE),0)</f>
        <v>0</v>
      </c>
      <c r="AD1325" s="322">
        <f>IFERROR((VLOOKUP(Calculations[[#This Row],[Waste type 2]],WasteLandfillEmissions[#All],3,FALSE))*Calculations[[#This Row],[Total Kg]]*VLOOKUP(Calculations[[#This Row],[Waste 1]],WasteScenario[#All],4,FALSE),0)</f>
        <v>0</v>
      </c>
      <c r="AE1325" s="322">
        <f>SUM(Calculations[[#This Row],[C4 landfill]:[C4 re-use]])</f>
        <v>0</v>
      </c>
      <c r="AF1325" s="322">
        <f>IFERROR(VLOOKUP(Calculations[[#This Row],[Material (choose from dropdown]],MaterialData[#All],8,FALSE),0)</f>
        <v>0</v>
      </c>
      <c r="AG1325" s="322">
        <f>IFERROR(Calculations[[#This Row],[Total Kg]]*Calculations[[#This Row],[Seq factor]],0)</f>
        <v>0</v>
      </c>
      <c r="AI1325" s="322">
        <f>Calculations[[#This Row],[A1-3]]+Calculations[[#This Row],[A4]]+Calculations[[#This Row],[A5]]+Calculations[[#This Row],[B4]]+Calculations[[#This Row],[C2 total]]+Calculations[[#This Row],[C3 total]]+Calculations[[#This Row],[C4 total]]</f>
        <v>0</v>
      </c>
      <c r="AJ1325" s="2">
        <f>IFERROR(VLOOKUP(Calculations[[#This Row],[Material (choose from dropdown]],MaterialData[[#Headers],[#Data]],9,FALSE),0)</f>
        <v>0</v>
      </c>
      <c r="AK1325" s="4">
        <f>IFERROR(VLOOKUP(Calculations[[#This Row],[Material (choose from dropdown]],MaterialData[[#Headers],[#Data]],10,FALSE),0)</f>
        <v>0</v>
      </c>
      <c r="AL1325" s="322">
        <f>IFERROR(Calculations[[#This Row],[Data Quality Score]]*Calculations[[#This Row],[Total Kg]],0)</f>
        <v>0</v>
      </c>
    </row>
    <row r="1326" spans="1:38" x14ac:dyDescent="0.3">
      <c r="A1326" s="6">
        <f>IFERROR(MaterialsBoQ[[#This Row],[Scope Element]],0)</f>
        <v>0</v>
      </c>
      <c r="B1326" t="str">
        <f>IFERROR(MaterialsBoQ[[#This Row],[Material ]],"")</f>
        <v/>
      </c>
      <c r="C1326" t="str">
        <f>IFERROR(MaterialsBoQ[[#This Row],[Unit]],"")</f>
        <v/>
      </c>
      <c r="D1326" s="322">
        <f>IFERROR(MaterialsBoQ[[#This Row],[Number]],0)</f>
        <v>0</v>
      </c>
      <c r="E1326" s="322">
        <f>IFERROR(MaterialsBoQ[[#This Row],[Kg per unit]],0)</f>
        <v>0</v>
      </c>
      <c r="F1326" s="322">
        <f>IFERROR(Calculations[[#This Row],[Number]]*Calculations[[#This Row],[Conversion factor]],0)</f>
        <v>0</v>
      </c>
      <c r="G1326" s="322">
        <f>IFERROR(VLOOKUP(Calculations[[#This Row],[Material (choose from dropdown]],MaterialData[#All],7,FALSE),0)</f>
        <v>0</v>
      </c>
      <c r="H1326" s="322">
        <f>Calculations[[#This Row],[Total Kg]]*Calculations[[#This Row],[Carbon Factor]]</f>
        <v>0</v>
      </c>
      <c r="I1326" t="str">
        <f>IFERROR(VLOOKUP(Calculations[[#This Row],[Material (choose from dropdown]],MaterialData[#All],2,FALSE),"")</f>
        <v/>
      </c>
      <c r="J1326" s="322">
        <f>IFERROR(((VLOOKUP(Calculations[[#This Row],[TransportSource]],TransportDistance[],2,FALSE)*'Stage assumptions'!$C$11)+VLOOKUP(Calculations[[#This Row],[TransportSource]],TransportDistance[],3,FALSE)*'Stage assumptions'!$C$12)*Calculations[[#This Row],[Total Kg]],0)</f>
        <v>0</v>
      </c>
      <c r="K1326">
        <f>IFERROR(VLOOKUP(Calculations[[#This Row],[Material (choose from dropdown]], MaterialData[#All],3, FALSE),0)</f>
        <v>0</v>
      </c>
      <c r="L1326" s="322">
        <f>IFERROR(VLOOKUP(Calculations[[#This Row],[A5type]],A5WastageRate[#All],2,FALSE)*Calculations[[#This Row],[A1-3]],0)</f>
        <v>0</v>
      </c>
      <c r="N1326">
        <f>IFERROR(ROUNDUP(50/VLOOKUP(Calculations[[#This Row],[Scope Element]],B4referenceServiceLife[[Tier 2 element]:[Default Service Life]],2, FALSE)-1,0),0)</f>
        <v>0</v>
      </c>
      <c r="O1326" s="322">
        <f>IFERROR((Calculations[[#This Row],[A1-3]]+Calculations[[#This Row],[A4]]+Calculations[[#This Row],[A5]]+Calculations[[#This Row],[C2 total]]+Calculations[[#This Row],[C3 total]]+Calculations[[#This Row],[C4 total]])*Calculations[[#This Row],[Replacements]],0)</f>
        <v>0</v>
      </c>
      <c r="S1326" t="str">
        <f>IFERROR(VLOOKUP(Calculations[[#This Row],[Material (choose from dropdown]],MaterialData[#All],4,FALSE),"")</f>
        <v/>
      </c>
      <c r="T1326" s="322" cm="1">
        <f t="array" ref="T1326">IFERROR(VLOOKUP(Calculations[[#This Row],[Waste 1]],WasteScenario[#All],2,FALSE)*'Stage assumptions'!$C$225*WasteTransportMethod[Emissions Factor
kgCO2e/kg.km]*Calculations[[#This Row],[Total Kg]],0)</f>
        <v>0</v>
      </c>
      <c r="U1326" s="322" cm="1">
        <f t="array" ref="U1326">IFERROR(VLOOKUP(Calculations[[#This Row],[Waste 1]],WasteScenario[#All],3,FALSE)*'Stage assumptions'!$C$224*WasteTransportMethod[Emissions Factor
kgCO2e/kg.km]*Calculations[[#This Row],[Total Kg]],0)</f>
        <v>0</v>
      </c>
      <c r="V1326" s="322" cm="1">
        <f t="array" ref="V1326">IFERROR(VLOOKUP(Calculations[[#This Row],[Waste 1]],WasteScenario[#All],4,FALSE)*'Stage assumptions'!$C$223*WasteTransportMethod[Emissions Factor
kgCO2e/kg.km]*Calculations[[#This Row],[Total Kg]],0)</f>
        <v>0</v>
      </c>
      <c r="W1326" s="322" cm="1">
        <f t="array" ref="W1326">IFERROR(VLOOKUP(Calculations[[#This Row],[Waste 1]],WasteScenario[#All],5,FALSE)*'Stage assumptions'!$C$226*WasteTransportMethod[Emissions Factor
kgCO2e/kg.km]*Calculations[[#This Row],[Total Kg]],0)</f>
        <v>0</v>
      </c>
      <c r="X1326" s="322">
        <f>SUM(Calculations[[#This Row],[C2 Recycle]:[C2 Reuse]])</f>
        <v>0</v>
      </c>
      <c r="Y1326" t="str">
        <f>IFERROR(VLOOKUP(Calculations[[#This Row],[Material (choose from dropdown]],MaterialData[#All],5,FALSE),"")</f>
        <v/>
      </c>
      <c r="Z1326" s="322">
        <f>IFERROR(((VLOOKUP(Calculations[[#This Row],[Waste type 2]],WasteDisposalEmissions[#All],2,FALSE))*Calculations[[#This Row],[Total Kg]])*VLOOKUP(Calculations[[#This Row],[Waste 1]],WasteScenario[#All],2,FALSE),0)</f>
        <v>0</v>
      </c>
      <c r="AA1326" s="322">
        <f>IFERROR((VLOOKUP(Calculations[[#This Row],[Waste type 2]],WasteDisposalEmissions[#All],3,FALSE))*Calculations[[#This Row],[Total Kg]]*VLOOKUP(Calculations[[#This Row],[Waste 1]],WasteScenario[#All],3,FALSE),0)</f>
        <v>0</v>
      </c>
      <c r="AB1326" s="322">
        <f>SUM(Calculations[[#This Row],[C3 recyc]:[C3 incin]])</f>
        <v>0</v>
      </c>
      <c r="AC1326" s="334">
        <f>IFERROR((VLOOKUP(Calculations[[#This Row],[Waste type 2]],WasteLandfillEmissions[#All],2,FALSE))*Calculations[[#This Row],[Total Kg]]*VLOOKUP(Calculations[[#This Row],[Waste 1]],WasteScenario[#All],4,FALSE),0)</f>
        <v>0</v>
      </c>
      <c r="AD1326" s="322">
        <f>IFERROR((VLOOKUP(Calculations[[#This Row],[Waste type 2]],WasteLandfillEmissions[#All],3,FALSE))*Calculations[[#This Row],[Total Kg]]*VLOOKUP(Calculations[[#This Row],[Waste 1]],WasteScenario[#All],4,FALSE),0)</f>
        <v>0</v>
      </c>
      <c r="AE1326" s="322">
        <f>SUM(Calculations[[#This Row],[C4 landfill]:[C4 re-use]])</f>
        <v>0</v>
      </c>
      <c r="AF1326" s="322">
        <f>IFERROR(VLOOKUP(Calculations[[#This Row],[Material (choose from dropdown]],MaterialData[#All],8,FALSE),0)</f>
        <v>0</v>
      </c>
      <c r="AG1326" s="322">
        <f>IFERROR(Calculations[[#This Row],[Total Kg]]*Calculations[[#This Row],[Seq factor]],0)</f>
        <v>0</v>
      </c>
      <c r="AI1326" s="322">
        <f>Calculations[[#This Row],[A1-3]]+Calculations[[#This Row],[A4]]+Calculations[[#This Row],[A5]]+Calculations[[#This Row],[B4]]+Calculations[[#This Row],[C2 total]]+Calculations[[#This Row],[C3 total]]+Calculations[[#This Row],[C4 total]]</f>
        <v>0</v>
      </c>
      <c r="AJ1326" s="2">
        <f>IFERROR(VLOOKUP(Calculations[[#This Row],[Material (choose from dropdown]],MaterialData[[#Headers],[#Data]],9,FALSE),0)</f>
        <v>0</v>
      </c>
      <c r="AK1326" s="4">
        <f>IFERROR(VLOOKUP(Calculations[[#This Row],[Material (choose from dropdown]],MaterialData[[#Headers],[#Data]],10,FALSE),0)</f>
        <v>0</v>
      </c>
      <c r="AL1326" s="322">
        <f>IFERROR(Calculations[[#This Row],[Data Quality Score]]*Calculations[[#This Row],[Total Kg]],0)</f>
        <v>0</v>
      </c>
    </row>
    <row r="1327" spans="1:38" x14ac:dyDescent="0.3">
      <c r="A1327" s="6">
        <f>IFERROR(MaterialsBoQ[[#This Row],[Scope Element]],0)</f>
        <v>0</v>
      </c>
      <c r="B1327" t="str">
        <f>IFERROR(MaterialsBoQ[[#This Row],[Material ]],"")</f>
        <v/>
      </c>
      <c r="C1327" t="str">
        <f>IFERROR(MaterialsBoQ[[#This Row],[Unit]],"")</f>
        <v/>
      </c>
      <c r="D1327" s="322">
        <f>IFERROR(MaterialsBoQ[[#This Row],[Number]],0)</f>
        <v>0</v>
      </c>
      <c r="E1327" s="322">
        <f>IFERROR(MaterialsBoQ[[#This Row],[Kg per unit]],0)</f>
        <v>0</v>
      </c>
      <c r="F1327" s="322">
        <f>IFERROR(Calculations[[#This Row],[Number]]*Calculations[[#This Row],[Conversion factor]],0)</f>
        <v>0</v>
      </c>
      <c r="G1327" s="322">
        <f>IFERROR(VLOOKUP(Calculations[[#This Row],[Material (choose from dropdown]],MaterialData[#All],7,FALSE),0)</f>
        <v>0</v>
      </c>
      <c r="H1327" s="322">
        <f>Calculations[[#This Row],[Total Kg]]*Calculations[[#This Row],[Carbon Factor]]</f>
        <v>0</v>
      </c>
      <c r="I1327" t="str">
        <f>IFERROR(VLOOKUP(Calculations[[#This Row],[Material (choose from dropdown]],MaterialData[#All],2,FALSE),"")</f>
        <v/>
      </c>
      <c r="J1327" s="322">
        <f>IFERROR(((VLOOKUP(Calculations[[#This Row],[TransportSource]],TransportDistance[],2,FALSE)*'Stage assumptions'!$C$11)+VLOOKUP(Calculations[[#This Row],[TransportSource]],TransportDistance[],3,FALSE)*'Stage assumptions'!$C$12)*Calculations[[#This Row],[Total Kg]],0)</f>
        <v>0</v>
      </c>
      <c r="K1327">
        <f>IFERROR(VLOOKUP(Calculations[[#This Row],[Material (choose from dropdown]], MaterialData[#All],3, FALSE),0)</f>
        <v>0</v>
      </c>
      <c r="L1327" s="322">
        <f>IFERROR(VLOOKUP(Calculations[[#This Row],[A5type]],A5WastageRate[#All],2,FALSE)*Calculations[[#This Row],[A1-3]],0)</f>
        <v>0</v>
      </c>
      <c r="N1327">
        <f>IFERROR(ROUNDUP(50/VLOOKUP(Calculations[[#This Row],[Scope Element]],B4referenceServiceLife[[Tier 2 element]:[Default Service Life]],2, FALSE)-1,0),0)</f>
        <v>0</v>
      </c>
      <c r="O1327" s="322">
        <f>IFERROR((Calculations[[#This Row],[A1-3]]+Calculations[[#This Row],[A4]]+Calculations[[#This Row],[A5]]+Calculations[[#This Row],[C2 total]]+Calculations[[#This Row],[C3 total]]+Calculations[[#This Row],[C4 total]])*Calculations[[#This Row],[Replacements]],0)</f>
        <v>0</v>
      </c>
      <c r="S1327" t="str">
        <f>IFERROR(VLOOKUP(Calculations[[#This Row],[Material (choose from dropdown]],MaterialData[#All],4,FALSE),"")</f>
        <v/>
      </c>
      <c r="T1327" s="322" cm="1">
        <f t="array" ref="T1327">IFERROR(VLOOKUP(Calculations[[#This Row],[Waste 1]],WasteScenario[#All],2,FALSE)*'Stage assumptions'!$C$225*WasteTransportMethod[Emissions Factor
kgCO2e/kg.km]*Calculations[[#This Row],[Total Kg]],0)</f>
        <v>0</v>
      </c>
      <c r="U1327" s="322" cm="1">
        <f t="array" ref="U1327">IFERROR(VLOOKUP(Calculations[[#This Row],[Waste 1]],WasteScenario[#All],3,FALSE)*'Stage assumptions'!$C$224*WasteTransportMethod[Emissions Factor
kgCO2e/kg.km]*Calculations[[#This Row],[Total Kg]],0)</f>
        <v>0</v>
      </c>
      <c r="V1327" s="322" cm="1">
        <f t="array" ref="V1327">IFERROR(VLOOKUP(Calculations[[#This Row],[Waste 1]],WasteScenario[#All],4,FALSE)*'Stage assumptions'!$C$223*WasteTransportMethod[Emissions Factor
kgCO2e/kg.km]*Calculations[[#This Row],[Total Kg]],0)</f>
        <v>0</v>
      </c>
      <c r="W1327" s="322" cm="1">
        <f t="array" ref="W1327">IFERROR(VLOOKUP(Calculations[[#This Row],[Waste 1]],WasteScenario[#All],5,FALSE)*'Stage assumptions'!$C$226*WasteTransportMethod[Emissions Factor
kgCO2e/kg.km]*Calculations[[#This Row],[Total Kg]],0)</f>
        <v>0</v>
      </c>
      <c r="X1327" s="322">
        <f>SUM(Calculations[[#This Row],[C2 Recycle]:[C2 Reuse]])</f>
        <v>0</v>
      </c>
      <c r="Y1327" t="str">
        <f>IFERROR(VLOOKUP(Calculations[[#This Row],[Material (choose from dropdown]],MaterialData[#All],5,FALSE),"")</f>
        <v/>
      </c>
      <c r="Z1327" s="322">
        <f>IFERROR(((VLOOKUP(Calculations[[#This Row],[Waste type 2]],WasteDisposalEmissions[#All],2,FALSE))*Calculations[[#This Row],[Total Kg]])*VLOOKUP(Calculations[[#This Row],[Waste 1]],WasteScenario[#All],2,FALSE),0)</f>
        <v>0</v>
      </c>
      <c r="AA1327" s="322">
        <f>IFERROR((VLOOKUP(Calculations[[#This Row],[Waste type 2]],WasteDisposalEmissions[#All],3,FALSE))*Calculations[[#This Row],[Total Kg]]*VLOOKUP(Calculations[[#This Row],[Waste 1]],WasteScenario[#All],3,FALSE),0)</f>
        <v>0</v>
      </c>
      <c r="AB1327" s="322">
        <f>SUM(Calculations[[#This Row],[C3 recyc]:[C3 incin]])</f>
        <v>0</v>
      </c>
      <c r="AC1327" s="334">
        <f>IFERROR((VLOOKUP(Calculations[[#This Row],[Waste type 2]],WasteLandfillEmissions[#All],2,FALSE))*Calculations[[#This Row],[Total Kg]]*VLOOKUP(Calculations[[#This Row],[Waste 1]],WasteScenario[#All],4,FALSE),0)</f>
        <v>0</v>
      </c>
      <c r="AD1327" s="322">
        <f>IFERROR((VLOOKUP(Calculations[[#This Row],[Waste type 2]],WasteLandfillEmissions[#All],3,FALSE))*Calculations[[#This Row],[Total Kg]]*VLOOKUP(Calculations[[#This Row],[Waste 1]],WasteScenario[#All],4,FALSE),0)</f>
        <v>0</v>
      </c>
      <c r="AE1327" s="322">
        <f>SUM(Calculations[[#This Row],[C4 landfill]:[C4 re-use]])</f>
        <v>0</v>
      </c>
      <c r="AF1327" s="322">
        <f>IFERROR(VLOOKUP(Calculations[[#This Row],[Material (choose from dropdown]],MaterialData[#All],8,FALSE),0)</f>
        <v>0</v>
      </c>
      <c r="AG1327" s="322">
        <f>IFERROR(Calculations[[#This Row],[Total Kg]]*Calculations[[#This Row],[Seq factor]],0)</f>
        <v>0</v>
      </c>
      <c r="AI1327" s="322">
        <f>Calculations[[#This Row],[A1-3]]+Calculations[[#This Row],[A4]]+Calculations[[#This Row],[A5]]+Calculations[[#This Row],[B4]]+Calculations[[#This Row],[C2 total]]+Calculations[[#This Row],[C3 total]]+Calculations[[#This Row],[C4 total]]</f>
        <v>0</v>
      </c>
      <c r="AJ1327" s="2">
        <f>IFERROR(VLOOKUP(Calculations[[#This Row],[Material (choose from dropdown]],MaterialData[[#Headers],[#Data]],9,FALSE),0)</f>
        <v>0</v>
      </c>
      <c r="AK1327" s="4">
        <f>IFERROR(VLOOKUP(Calculations[[#This Row],[Material (choose from dropdown]],MaterialData[[#Headers],[#Data]],10,FALSE),0)</f>
        <v>0</v>
      </c>
      <c r="AL1327" s="322">
        <f>IFERROR(Calculations[[#This Row],[Data Quality Score]]*Calculations[[#This Row],[Total Kg]],0)</f>
        <v>0</v>
      </c>
    </row>
    <row r="1328" spans="1:38" x14ac:dyDescent="0.3">
      <c r="A1328" s="6">
        <f>IFERROR(MaterialsBoQ[[#This Row],[Scope Element]],0)</f>
        <v>0</v>
      </c>
      <c r="B1328" t="str">
        <f>IFERROR(MaterialsBoQ[[#This Row],[Material ]],"")</f>
        <v/>
      </c>
      <c r="C1328" t="str">
        <f>IFERROR(MaterialsBoQ[[#This Row],[Unit]],"")</f>
        <v/>
      </c>
      <c r="D1328" s="322">
        <f>IFERROR(MaterialsBoQ[[#This Row],[Number]],0)</f>
        <v>0</v>
      </c>
      <c r="E1328" s="322">
        <f>IFERROR(MaterialsBoQ[[#This Row],[Kg per unit]],0)</f>
        <v>0</v>
      </c>
      <c r="F1328" s="322">
        <f>IFERROR(Calculations[[#This Row],[Number]]*Calculations[[#This Row],[Conversion factor]],0)</f>
        <v>0</v>
      </c>
      <c r="G1328" s="322">
        <f>IFERROR(VLOOKUP(Calculations[[#This Row],[Material (choose from dropdown]],MaterialData[#All],7,FALSE),0)</f>
        <v>0</v>
      </c>
      <c r="H1328" s="322">
        <f>Calculations[[#This Row],[Total Kg]]*Calculations[[#This Row],[Carbon Factor]]</f>
        <v>0</v>
      </c>
      <c r="I1328" t="str">
        <f>IFERROR(VLOOKUP(Calculations[[#This Row],[Material (choose from dropdown]],MaterialData[#All],2,FALSE),"")</f>
        <v/>
      </c>
      <c r="J1328" s="322">
        <f>IFERROR(((VLOOKUP(Calculations[[#This Row],[TransportSource]],TransportDistance[],2,FALSE)*'Stage assumptions'!$C$11)+VLOOKUP(Calculations[[#This Row],[TransportSource]],TransportDistance[],3,FALSE)*'Stage assumptions'!$C$12)*Calculations[[#This Row],[Total Kg]],0)</f>
        <v>0</v>
      </c>
      <c r="K1328">
        <f>IFERROR(VLOOKUP(Calculations[[#This Row],[Material (choose from dropdown]], MaterialData[#All],3, FALSE),0)</f>
        <v>0</v>
      </c>
      <c r="L1328" s="322">
        <f>IFERROR(VLOOKUP(Calculations[[#This Row],[A5type]],A5WastageRate[#All],2,FALSE)*Calculations[[#This Row],[A1-3]],0)</f>
        <v>0</v>
      </c>
      <c r="N1328">
        <f>IFERROR(ROUNDUP(50/VLOOKUP(Calculations[[#This Row],[Scope Element]],B4referenceServiceLife[[Tier 2 element]:[Default Service Life]],2, FALSE)-1,0),0)</f>
        <v>0</v>
      </c>
      <c r="O1328" s="322">
        <f>IFERROR((Calculations[[#This Row],[A1-3]]+Calculations[[#This Row],[A4]]+Calculations[[#This Row],[A5]]+Calculations[[#This Row],[C2 total]]+Calculations[[#This Row],[C3 total]]+Calculations[[#This Row],[C4 total]])*Calculations[[#This Row],[Replacements]],0)</f>
        <v>0</v>
      </c>
      <c r="S1328" t="str">
        <f>IFERROR(VLOOKUP(Calculations[[#This Row],[Material (choose from dropdown]],MaterialData[#All],4,FALSE),"")</f>
        <v/>
      </c>
      <c r="T1328" s="322" cm="1">
        <f t="array" ref="T1328">IFERROR(VLOOKUP(Calculations[[#This Row],[Waste 1]],WasteScenario[#All],2,FALSE)*'Stage assumptions'!$C$225*WasteTransportMethod[Emissions Factor
kgCO2e/kg.km]*Calculations[[#This Row],[Total Kg]],0)</f>
        <v>0</v>
      </c>
      <c r="U1328" s="322" cm="1">
        <f t="array" ref="U1328">IFERROR(VLOOKUP(Calculations[[#This Row],[Waste 1]],WasteScenario[#All],3,FALSE)*'Stage assumptions'!$C$224*WasteTransportMethod[Emissions Factor
kgCO2e/kg.km]*Calculations[[#This Row],[Total Kg]],0)</f>
        <v>0</v>
      </c>
      <c r="V1328" s="322" cm="1">
        <f t="array" ref="V1328">IFERROR(VLOOKUP(Calculations[[#This Row],[Waste 1]],WasteScenario[#All],4,FALSE)*'Stage assumptions'!$C$223*WasteTransportMethod[Emissions Factor
kgCO2e/kg.km]*Calculations[[#This Row],[Total Kg]],0)</f>
        <v>0</v>
      </c>
      <c r="W1328" s="322" cm="1">
        <f t="array" ref="W1328">IFERROR(VLOOKUP(Calculations[[#This Row],[Waste 1]],WasteScenario[#All],5,FALSE)*'Stage assumptions'!$C$226*WasteTransportMethod[Emissions Factor
kgCO2e/kg.km]*Calculations[[#This Row],[Total Kg]],0)</f>
        <v>0</v>
      </c>
      <c r="X1328" s="322">
        <f>SUM(Calculations[[#This Row],[C2 Recycle]:[C2 Reuse]])</f>
        <v>0</v>
      </c>
      <c r="Y1328" t="str">
        <f>IFERROR(VLOOKUP(Calculations[[#This Row],[Material (choose from dropdown]],MaterialData[#All],5,FALSE),"")</f>
        <v/>
      </c>
      <c r="Z1328" s="322">
        <f>IFERROR(((VLOOKUP(Calculations[[#This Row],[Waste type 2]],WasteDisposalEmissions[#All],2,FALSE))*Calculations[[#This Row],[Total Kg]])*VLOOKUP(Calculations[[#This Row],[Waste 1]],WasteScenario[#All],2,FALSE),0)</f>
        <v>0</v>
      </c>
      <c r="AA1328" s="322">
        <f>IFERROR((VLOOKUP(Calculations[[#This Row],[Waste type 2]],WasteDisposalEmissions[#All],3,FALSE))*Calculations[[#This Row],[Total Kg]]*VLOOKUP(Calculations[[#This Row],[Waste 1]],WasteScenario[#All],3,FALSE),0)</f>
        <v>0</v>
      </c>
      <c r="AB1328" s="322">
        <f>SUM(Calculations[[#This Row],[C3 recyc]:[C3 incin]])</f>
        <v>0</v>
      </c>
      <c r="AC1328" s="334">
        <f>IFERROR((VLOOKUP(Calculations[[#This Row],[Waste type 2]],WasteLandfillEmissions[#All],2,FALSE))*Calculations[[#This Row],[Total Kg]]*VLOOKUP(Calculations[[#This Row],[Waste 1]],WasteScenario[#All],4,FALSE),0)</f>
        <v>0</v>
      </c>
      <c r="AD1328" s="322">
        <f>IFERROR((VLOOKUP(Calculations[[#This Row],[Waste type 2]],WasteLandfillEmissions[#All],3,FALSE))*Calculations[[#This Row],[Total Kg]]*VLOOKUP(Calculations[[#This Row],[Waste 1]],WasteScenario[#All],4,FALSE),0)</f>
        <v>0</v>
      </c>
      <c r="AE1328" s="322">
        <f>SUM(Calculations[[#This Row],[C4 landfill]:[C4 re-use]])</f>
        <v>0</v>
      </c>
      <c r="AF1328" s="322">
        <f>IFERROR(VLOOKUP(Calculations[[#This Row],[Material (choose from dropdown]],MaterialData[#All],8,FALSE),0)</f>
        <v>0</v>
      </c>
      <c r="AG1328" s="322">
        <f>IFERROR(Calculations[[#This Row],[Total Kg]]*Calculations[[#This Row],[Seq factor]],0)</f>
        <v>0</v>
      </c>
      <c r="AI1328" s="322">
        <f>Calculations[[#This Row],[A1-3]]+Calculations[[#This Row],[A4]]+Calculations[[#This Row],[A5]]+Calculations[[#This Row],[B4]]+Calculations[[#This Row],[C2 total]]+Calculations[[#This Row],[C3 total]]+Calculations[[#This Row],[C4 total]]</f>
        <v>0</v>
      </c>
      <c r="AJ1328" s="2">
        <f>IFERROR(VLOOKUP(Calculations[[#This Row],[Material (choose from dropdown]],MaterialData[[#Headers],[#Data]],9,FALSE),0)</f>
        <v>0</v>
      </c>
      <c r="AK1328" s="4">
        <f>IFERROR(VLOOKUP(Calculations[[#This Row],[Material (choose from dropdown]],MaterialData[[#Headers],[#Data]],10,FALSE),0)</f>
        <v>0</v>
      </c>
      <c r="AL1328" s="322">
        <f>IFERROR(Calculations[[#This Row],[Data Quality Score]]*Calculations[[#This Row],[Total Kg]],0)</f>
        <v>0</v>
      </c>
    </row>
    <row r="1329" spans="1:38" x14ac:dyDescent="0.3">
      <c r="A1329" s="6">
        <f>IFERROR(MaterialsBoQ[[#This Row],[Scope Element]],0)</f>
        <v>0</v>
      </c>
      <c r="B1329" t="str">
        <f>IFERROR(MaterialsBoQ[[#This Row],[Material ]],"")</f>
        <v/>
      </c>
      <c r="C1329" t="str">
        <f>IFERROR(MaterialsBoQ[[#This Row],[Unit]],"")</f>
        <v/>
      </c>
      <c r="D1329" s="322">
        <f>IFERROR(MaterialsBoQ[[#This Row],[Number]],0)</f>
        <v>0</v>
      </c>
      <c r="E1329" s="322">
        <f>IFERROR(MaterialsBoQ[[#This Row],[Kg per unit]],0)</f>
        <v>0</v>
      </c>
      <c r="F1329" s="322">
        <f>IFERROR(Calculations[[#This Row],[Number]]*Calculations[[#This Row],[Conversion factor]],0)</f>
        <v>0</v>
      </c>
      <c r="G1329" s="322">
        <f>IFERROR(VLOOKUP(Calculations[[#This Row],[Material (choose from dropdown]],MaterialData[#All],7,FALSE),0)</f>
        <v>0</v>
      </c>
      <c r="H1329" s="322">
        <f>Calculations[[#This Row],[Total Kg]]*Calculations[[#This Row],[Carbon Factor]]</f>
        <v>0</v>
      </c>
      <c r="I1329" t="str">
        <f>IFERROR(VLOOKUP(Calculations[[#This Row],[Material (choose from dropdown]],MaterialData[#All],2,FALSE),"")</f>
        <v/>
      </c>
      <c r="J1329" s="322">
        <f>IFERROR(((VLOOKUP(Calculations[[#This Row],[TransportSource]],TransportDistance[],2,FALSE)*'Stage assumptions'!$C$11)+VLOOKUP(Calculations[[#This Row],[TransportSource]],TransportDistance[],3,FALSE)*'Stage assumptions'!$C$12)*Calculations[[#This Row],[Total Kg]],0)</f>
        <v>0</v>
      </c>
      <c r="K1329">
        <f>IFERROR(VLOOKUP(Calculations[[#This Row],[Material (choose from dropdown]], MaterialData[#All],3, FALSE),0)</f>
        <v>0</v>
      </c>
      <c r="L1329" s="322">
        <f>IFERROR(VLOOKUP(Calculations[[#This Row],[A5type]],A5WastageRate[#All],2,FALSE)*Calculations[[#This Row],[A1-3]],0)</f>
        <v>0</v>
      </c>
      <c r="N1329">
        <f>IFERROR(ROUNDUP(50/VLOOKUP(Calculations[[#This Row],[Scope Element]],B4referenceServiceLife[[Tier 2 element]:[Default Service Life]],2, FALSE)-1,0),0)</f>
        <v>0</v>
      </c>
      <c r="O1329" s="322">
        <f>IFERROR((Calculations[[#This Row],[A1-3]]+Calculations[[#This Row],[A4]]+Calculations[[#This Row],[A5]]+Calculations[[#This Row],[C2 total]]+Calculations[[#This Row],[C3 total]]+Calculations[[#This Row],[C4 total]])*Calculations[[#This Row],[Replacements]],0)</f>
        <v>0</v>
      </c>
      <c r="S1329" t="str">
        <f>IFERROR(VLOOKUP(Calculations[[#This Row],[Material (choose from dropdown]],MaterialData[#All],4,FALSE),"")</f>
        <v/>
      </c>
      <c r="T1329" s="322" cm="1">
        <f t="array" ref="T1329">IFERROR(VLOOKUP(Calculations[[#This Row],[Waste 1]],WasteScenario[#All],2,FALSE)*'Stage assumptions'!$C$225*WasteTransportMethod[Emissions Factor
kgCO2e/kg.km]*Calculations[[#This Row],[Total Kg]],0)</f>
        <v>0</v>
      </c>
      <c r="U1329" s="322" cm="1">
        <f t="array" ref="U1329">IFERROR(VLOOKUP(Calculations[[#This Row],[Waste 1]],WasteScenario[#All],3,FALSE)*'Stage assumptions'!$C$224*WasteTransportMethod[Emissions Factor
kgCO2e/kg.km]*Calculations[[#This Row],[Total Kg]],0)</f>
        <v>0</v>
      </c>
      <c r="V1329" s="322" cm="1">
        <f t="array" ref="V1329">IFERROR(VLOOKUP(Calculations[[#This Row],[Waste 1]],WasteScenario[#All],4,FALSE)*'Stage assumptions'!$C$223*WasteTransportMethod[Emissions Factor
kgCO2e/kg.km]*Calculations[[#This Row],[Total Kg]],0)</f>
        <v>0</v>
      </c>
      <c r="W1329" s="322" cm="1">
        <f t="array" ref="W1329">IFERROR(VLOOKUP(Calculations[[#This Row],[Waste 1]],WasteScenario[#All],5,FALSE)*'Stage assumptions'!$C$226*WasteTransportMethod[Emissions Factor
kgCO2e/kg.km]*Calculations[[#This Row],[Total Kg]],0)</f>
        <v>0</v>
      </c>
      <c r="X1329" s="322">
        <f>SUM(Calculations[[#This Row],[C2 Recycle]:[C2 Reuse]])</f>
        <v>0</v>
      </c>
      <c r="Y1329" t="str">
        <f>IFERROR(VLOOKUP(Calculations[[#This Row],[Material (choose from dropdown]],MaterialData[#All],5,FALSE),"")</f>
        <v/>
      </c>
      <c r="Z1329" s="322">
        <f>IFERROR(((VLOOKUP(Calculations[[#This Row],[Waste type 2]],WasteDisposalEmissions[#All],2,FALSE))*Calculations[[#This Row],[Total Kg]])*VLOOKUP(Calculations[[#This Row],[Waste 1]],WasteScenario[#All],2,FALSE),0)</f>
        <v>0</v>
      </c>
      <c r="AA1329" s="322">
        <f>IFERROR((VLOOKUP(Calculations[[#This Row],[Waste type 2]],WasteDisposalEmissions[#All],3,FALSE))*Calculations[[#This Row],[Total Kg]]*VLOOKUP(Calculations[[#This Row],[Waste 1]],WasteScenario[#All],3,FALSE),0)</f>
        <v>0</v>
      </c>
      <c r="AB1329" s="322">
        <f>SUM(Calculations[[#This Row],[C3 recyc]:[C3 incin]])</f>
        <v>0</v>
      </c>
      <c r="AC1329" s="334">
        <f>IFERROR((VLOOKUP(Calculations[[#This Row],[Waste type 2]],WasteLandfillEmissions[#All],2,FALSE))*Calculations[[#This Row],[Total Kg]]*VLOOKUP(Calculations[[#This Row],[Waste 1]],WasteScenario[#All],4,FALSE),0)</f>
        <v>0</v>
      </c>
      <c r="AD1329" s="322">
        <f>IFERROR((VLOOKUP(Calculations[[#This Row],[Waste type 2]],WasteLandfillEmissions[#All],3,FALSE))*Calculations[[#This Row],[Total Kg]]*VLOOKUP(Calculations[[#This Row],[Waste 1]],WasteScenario[#All],4,FALSE),0)</f>
        <v>0</v>
      </c>
      <c r="AE1329" s="322">
        <f>SUM(Calculations[[#This Row],[C4 landfill]:[C4 re-use]])</f>
        <v>0</v>
      </c>
      <c r="AF1329" s="322">
        <f>IFERROR(VLOOKUP(Calculations[[#This Row],[Material (choose from dropdown]],MaterialData[#All],8,FALSE),0)</f>
        <v>0</v>
      </c>
      <c r="AG1329" s="322">
        <f>IFERROR(Calculations[[#This Row],[Total Kg]]*Calculations[[#This Row],[Seq factor]],0)</f>
        <v>0</v>
      </c>
      <c r="AI1329" s="322">
        <f>Calculations[[#This Row],[A1-3]]+Calculations[[#This Row],[A4]]+Calculations[[#This Row],[A5]]+Calculations[[#This Row],[B4]]+Calculations[[#This Row],[C2 total]]+Calculations[[#This Row],[C3 total]]+Calculations[[#This Row],[C4 total]]</f>
        <v>0</v>
      </c>
      <c r="AJ1329" s="2">
        <f>IFERROR(VLOOKUP(Calculations[[#This Row],[Material (choose from dropdown]],MaterialData[[#Headers],[#Data]],9,FALSE),0)</f>
        <v>0</v>
      </c>
      <c r="AK1329" s="4">
        <f>IFERROR(VLOOKUP(Calculations[[#This Row],[Material (choose from dropdown]],MaterialData[[#Headers],[#Data]],10,FALSE),0)</f>
        <v>0</v>
      </c>
      <c r="AL1329" s="322">
        <f>IFERROR(Calculations[[#This Row],[Data Quality Score]]*Calculations[[#This Row],[Total Kg]],0)</f>
        <v>0</v>
      </c>
    </row>
    <row r="1330" spans="1:38" x14ac:dyDescent="0.3">
      <c r="A1330" s="6">
        <f>IFERROR(MaterialsBoQ[[#This Row],[Scope Element]],0)</f>
        <v>0</v>
      </c>
      <c r="B1330" t="str">
        <f>IFERROR(MaterialsBoQ[[#This Row],[Material ]],"")</f>
        <v/>
      </c>
      <c r="C1330" t="str">
        <f>IFERROR(MaterialsBoQ[[#This Row],[Unit]],"")</f>
        <v/>
      </c>
      <c r="D1330" s="322">
        <f>IFERROR(MaterialsBoQ[[#This Row],[Number]],0)</f>
        <v>0</v>
      </c>
      <c r="E1330" s="322">
        <f>IFERROR(MaterialsBoQ[[#This Row],[Kg per unit]],0)</f>
        <v>0</v>
      </c>
      <c r="F1330" s="322">
        <f>IFERROR(Calculations[[#This Row],[Number]]*Calculations[[#This Row],[Conversion factor]],0)</f>
        <v>0</v>
      </c>
      <c r="G1330" s="322">
        <f>IFERROR(VLOOKUP(Calculations[[#This Row],[Material (choose from dropdown]],MaterialData[#All],7,FALSE),0)</f>
        <v>0</v>
      </c>
      <c r="H1330" s="322">
        <f>Calculations[[#This Row],[Total Kg]]*Calculations[[#This Row],[Carbon Factor]]</f>
        <v>0</v>
      </c>
      <c r="I1330" t="str">
        <f>IFERROR(VLOOKUP(Calculations[[#This Row],[Material (choose from dropdown]],MaterialData[#All],2,FALSE),"")</f>
        <v/>
      </c>
      <c r="J1330" s="322">
        <f>IFERROR(((VLOOKUP(Calculations[[#This Row],[TransportSource]],TransportDistance[],2,FALSE)*'Stage assumptions'!$C$11)+VLOOKUP(Calculations[[#This Row],[TransportSource]],TransportDistance[],3,FALSE)*'Stage assumptions'!$C$12)*Calculations[[#This Row],[Total Kg]],0)</f>
        <v>0</v>
      </c>
      <c r="K1330">
        <f>IFERROR(VLOOKUP(Calculations[[#This Row],[Material (choose from dropdown]], MaterialData[#All],3, FALSE),0)</f>
        <v>0</v>
      </c>
      <c r="L1330" s="322">
        <f>IFERROR(VLOOKUP(Calculations[[#This Row],[A5type]],A5WastageRate[#All],2,FALSE)*Calculations[[#This Row],[A1-3]],0)</f>
        <v>0</v>
      </c>
      <c r="N1330">
        <f>IFERROR(ROUNDUP(50/VLOOKUP(Calculations[[#This Row],[Scope Element]],B4referenceServiceLife[[Tier 2 element]:[Default Service Life]],2, FALSE)-1,0),0)</f>
        <v>0</v>
      </c>
      <c r="O1330" s="322">
        <f>IFERROR((Calculations[[#This Row],[A1-3]]+Calculations[[#This Row],[A4]]+Calculations[[#This Row],[A5]]+Calculations[[#This Row],[C2 total]]+Calculations[[#This Row],[C3 total]]+Calculations[[#This Row],[C4 total]])*Calculations[[#This Row],[Replacements]],0)</f>
        <v>0</v>
      </c>
      <c r="S1330" t="str">
        <f>IFERROR(VLOOKUP(Calculations[[#This Row],[Material (choose from dropdown]],MaterialData[#All],4,FALSE),"")</f>
        <v/>
      </c>
      <c r="T1330" s="322" cm="1">
        <f t="array" ref="T1330">IFERROR(VLOOKUP(Calculations[[#This Row],[Waste 1]],WasteScenario[#All],2,FALSE)*'Stage assumptions'!$C$225*WasteTransportMethod[Emissions Factor
kgCO2e/kg.km]*Calculations[[#This Row],[Total Kg]],0)</f>
        <v>0</v>
      </c>
      <c r="U1330" s="322" cm="1">
        <f t="array" ref="U1330">IFERROR(VLOOKUP(Calculations[[#This Row],[Waste 1]],WasteScenario[#All],3,FALSE)*'Stage assumptions'!$C$224*WasteTransportMethod[Emissions Factor
kgCO2e/kg.km]*Calculations[[#This Row],[Total Kg]],0)</f>
        <v>0</v>
      </c>
      <c r="V1330" s="322" cm="1">
        <f t="array" ref="V1330">IFERROR(VLOOKUP(Calculations[[#This Row],[Waste 1]],WasteScenario[#All],4,FALSE)*'Stage assumptions'!$C$223*WasteTransportMethod[Emissions Factor
kgCO2e/kg.km]*Calculations[[#This Row],[Total Kg]],0)</f>
        <v>0</v>
      </c>
      <c r="W1330" s="322" cm="1">
        <f t="array" ref="W1330">IFERROR(VLOOKUP(Calculations[[#This Row],[Waste 1]],WasteScenario[#All],5,FALSE)*'Stage assumptions'!$C$226*WasteTransportMethod[Emissions Factor
kgCO2e/kg.km]*Calculations[[#This Row],[Total Kg]],0)</f>
        <v>0</v>
      </c>
      <c r="X1330" s="322">
        <f>SUM(Calculations[[#This Row],[C2 Recycle]:[C2 Reuse]])</f>
        <v>0</v>
      </c>
      <c r="Y1330" t="str">
        <f>IFERROR(VLOOKUP(Calculations[[#This Row],[Material (choose from dropdown]],MaterialData[#All],5,FALSE),"")</f>
        <v/>
      </c>
      <c r="Z1330" s="322">
        <f>IFERROR(((VLOOKUP(Calculations[[#This Row],[Waste type 2]],WasteDisposalEmissions[#All],2,FALSE))*Calculations[[#This Row],[Total Kg]])*VLOOKUP(Calculations[[#This Row],[Waste 1]],WasteScenario[#All],2,FALSE),0)</f>
        <v>0</v>
      </c>
      <c r="AA1330" s="322">
        <f>IFERROR((VLOOKUP(Calculations[[#This Row],[Waste type 2]],WasteDisposalEmissions[#All],3,FALSE))*Calculations[[#This Row],[Total Kg]]*VLOOKUP(Calculations[[#This Row],[Waste 1]],WasteScenario[#All],3,FALSE),0)</f>
        <v>0</v>
      </c>
      <c r="AB1330" s="322">
        <f>SUM(Calculations[[#This Row],[C3 recyc]:[C3 incin]])</f>
        <v>0</v>
      </c>
      <c r="AC1330" s="334">
        <f>IFERROR((VLOOKUP(Calculations[[#This Row],[Waste type 2]],WasteLandfillEmissions[#All],2,FALSE))*Calculations[[#This Row],[Total Kg]]*VLOOKUP(Calculations[[#This Row],[Waste 1]],WasteScenario[#All],4,FALSE),0)</f>
        <v>0</v>
      </c>
      <c r="AD1330" s="322">
        <f>IFERROR((VLOOKUP(Calculations[[#This Row],[Waste type 2]],WasteLandfillEmissions[#All],3,FALSE))*Calculations[[#This Row],[Total Kg]]*VLOOKUP(Calculations[[#This Row],[Waste 1]],WasteScenario[#All],4,FALSE),0)</f>
        <v>0</v>
      </c>
      <c r="AE1330" s="322">
        <f>SUM(Calculations[[#This Row],[C4 landfill]:[C4 re-use]])</f>
        <v>0</v>
      </c>
      <c r="AF1330" s="322">
        <f>IFERROR(VLOOKUP(Calculations[[#This Row],[Material (choose from dropdown]],MaterialData[#All],8,FALSE),0)</f>
        <v>0</v>
      </c>
      <c r="AG1330" s="322">
        <f>IFERROR(Calculations[[#This Row],[Total Kg]]*Calculations[[#This Row],[Seq factor]],0)</f>
        <v>0</v>
      </c>
      <c r="AI1330" s="322">
        <f>Calculations[[#This Row],[A1-3]]+Calculations[[#This Row],[A4]]+Calculations[[#This Row],[A5]]+Calculations[[#This Row],[B4]]+Calculations[[#This Row],[C2 total]]+Calculations[[#This Row],[C3 total]]+Calculations[[#This Row],[C4 total]]</f>
        <v>0</v>
      </c>
      <c r="AJ1330" s="2">
        <f>IFERROR(VLOOKUP(Calculations[[#This Row],[Material (choose from dropdown]],MaterialData[[#Headers],[#Data]],9,FALSE),0)</f>
        <v>0</v>
      </c>
      <c r="AK1330" s="4">
        <f>IFERROR(VLOOKUP(Calculations[[#This Row],[Material (choose from dropdown]],MaterialData[[#Headers],[#Data]],10,FALSE),0)</f>
        <v>0</v>
      </c>
      <c r="AL1330" s="322">
        <f>IFERROR(Calculations[[#This Row],[Data Quality Score]]*Calculations[[#This Row],[Total Kg]],0)</f>
        <v>0</v>
      </c>
    </row>
    <row r="1331" spans="1:38" x14ac:dyDescent="0.3">
      <c r="A1331" s="6">
        <f>IFERROR(MaterialsBoQ[[#This Row],[Scope Element]],0)</f>
        <v>0</v>
      </c>
      <c r="B1331" t="str">
        <f>IFERROR(MaterialsBoQ[[#This Row],[Material ]],"")</f>
        <v/>
      </c>
      <c r="C1331" t="str">
        <f>IFERROR(MaterialsBoQ[[#This Row],[Unit]],"")</f>
        <v/>
      </c>
      <c r="D1331" s="322">
        <f>IFERROR(MaterialsBoQ[[#This Row],[Number]],0)</f>
        <v>0</v>
      </c>
      <c r="E1331" s="322">
        <f>IFERROR(MaterialsBoQ[[#This Row],[Kg per unit]],0)</f>
        <v>0</v>
      </c>
      <c r="F1331" s="322">
        <f>IFERROR(Calculations[[#This Row],[Number]]*Calculations[[#This Row],[Conversion factor]],0)</f>
        <v>0</v>
      </c>
      <c r="G1331" s="322">
        <f>IFERROR(VLOOKUP(Calculations[[#This Row],[Material (choose from dropdown]],MaterialData[#All],7,FALSE),0)</f>
        <v>0</v>
      </c>
      <c r="H1331" s="322">
        <f>Calculations[[#This Row],[Total Kg]]*Calculations[[#This Row],[Carbon Factor]]</f>
        <v>0</v>
      </c>
      <c r="I1331" t="str">
        <f>IFERROR(VLOOKUP(Calculations[[#This Row],[Material (choose from dropdown]],MaterialData[#All],2,FALSE),"")</f>
        <v/>
      </c>
      <c r="J1331" s="322">
        <f>IFERROR(((VLOOKUP(Calculations[[#This Row],[TransportSource]],TransportDistance[],2,FALSE)*'Stage assumptions'!$C$11)+VLOOKUP(Calculations[[#This Row],[TransportSource]],TransportDistance[],3,FALSE)*'Stage assumptions'!$C$12)*Calculations[[#This Row],[Total Kg]],0)</f>
        <v>0</v>
      </c>
      <c r="K1331">
        <f>IFERROR(VLOOKUP(Calculations[[#This Row],[Material (choose from dropdown]], MaterialData[#All],3, FALSE),0)</f>
        <v>0</v>
      </c>
      <c r="L1331" s="322">
        <f>IFERROR(VLOOKUP(Calculations[[#This Row],[A5type]],A5WastageRate[#All],2,FALSE)*Calculations[[#This Row],[A1-3]],0)</f>
        <v>0</v>
      </c>
      <c r="N1331">
        <f>IFERROR(ROUNDUP(50/VLOOKUP(Calculations[[#This Row],[Scope Element]],B4referenceServiceLife[[Tier 2 element]:[Default Service Life]],2, FALSE)-1,0),0)</f>
        <v>0</v>
      </c>
      <c r="O1331" s="322">
        <f>IFERROR((Calculations[[#This Row],[A1-3]]+Calculations[[#This Row],[A4]]+Calculations[[#This Row],[A5]]+Calculations[[#This Row],[C2 total]]+Calculations[[#This Row],[C3 total]]+Calculations[[#This Row],[C4 total]])*Calculations[[#This Row],[Replacements]],0)</f>
        <v>0</v>
      </c>
      <c r="S1331" t="str">
        <f>IFERROR(VLOOKUP(Calculations[[#This Row],[Material (choose from dropdown]],MaterialData[#All],4,FALSE),"")</f>
        <v/>
      </c>
      <c r="T1331" s="322" cm="1">
        <f t="array" ref="T1331">IFERROR(VLOOKUP(Calculations[[#This Row],[Waste 1]],WasteScenario[#All],2,FALSE)*'Stage assumptions'!$C$225*WasteTransportMethod[Emissions Factor
kgCO2e/kg.km]*Calculations[[#This Row],[Total Kg]],0)</f>
        <v>0</v>
      </c>
      <c r="U1331" s="322" cm="1">
        <f t="array" ref="U1331">IFERROR(VLOOKUP(Calculations[[#This Row],[Waste 1]],WasteScenario[#All],3,FALSE)*'Stage assumptions'!$C$224*WasteTransportMethod[Emissions Factor
kgCO2e/kg.km]*Calculations[[#This Row],[Total Kg]],0)</f>
        <v>0</v>
      </c>
      <c r="V1331" s="322" cm="1">
        <f t="array" ref="V1331">IFERROR(VLOOKUP(Calculations[[#This Row],[Waste 1]],WasteScenario[#All],4,FALSE)*'Stage assumptions'!$C$223*WasteTransportMethod[Emissions Factor
kgCO2e/kg.km]*Calculations[[#This Row],[Total Kg]],0)</f>
        <v>0</v>
      </c>
      <c r="W1331" s="322" cm="1">
        <f t="array" ref="W1331">IFERROR(VLOOKUP(Calculations[[#This Row],[Waste 1]],WasteScenario[#All],5,FALSE)*'Stage assumptions'!$C$226*WasteTransportMethod[Emissions Factor
kgCO2e/kg.km]*Calculations[[#This Row],[Total Kg]],0)</f>
        <v>0</v>
      </c>
      <c r="X1331" s="322">
        <f>SUM(Calculations[[#This Row],[C2 Recycle]:[C2 Reuse]])</f>
        <v>0</v>
      </c>
      <c r="Y1331" t="str">
        <f>IFERROR(VLOOKUP(Calculations[[#This Row],[Material (choose from dropdown]],MaterialData[#All],5,FALSE),"")</f>
        <v/>
      </c>
      <c r="Z1331" s="322">
        <f>IFERROR(((VLOOKUP(Calculations[[#This Row],[Waste type 2]],WasteDisposalEmissions[#All],2,FALSE))*Calculations[[#This Row],[Total Kg]])*VLOOKUP(Calculations[[#This Row],[Waste 1]],WasteScenario[#All],2,FALSE),0)</f>
        <v>0</v>
      </c>
      <c r="AA1331" s="322">
        <f>IFERROR((VLOOKUP(Calculations[[#This Row],[Waste type 2]],WasteDisposalEmissions[#All],3,FALSE))*Calculations[[#This Row],[Total Kg]]*VLOOKUP(Calculations[[#This Row],[Waste 1]],WasteScenario[#All],3,FALSE),0)</f>
        <v>0</v>
      </c>
      <c r="AB1331" s="322">
        <f>SUM(Calculations[[#This Row],[C3 recyc]:[C3 incin]])</f>
        <v>0</v>
      </c>
      <c r="AC1331" s="334">
        <f>IFERROR((VLOOKUP(Calculations[[#This Row],[Waste type 2]],WasteLandfillEmissions[#All],2,FALSE))*Calculations[[#This Row],[Total Kg]]*VLOOKUP(Calculations[[#This Row],[Waste 1]],WasteScenario[#All],4,FALSE),0)</f>
        <v>0</v>
      </c>
      <c r="AD1331" s="322">
        <f>IFERROR((VLOOKUP(Calculations[[#This Row],[Waste type 2]],WasteLandfillEmissions[#All],3,FALSE))*Calculations[[#This Row],[Total Kg]]*VLOOKUP(Calculations[[#This Row],[Waste 1]],WasteScenario[#All],4,FALSE),0)</f>
        <v>0</v>
      </c>
      <c r="AE1331" s="322">
        <f>SUM(Calculations[[#This Row],[C4 landfill]:[C4 re-use]])</f>
        <v>0</v>
      </c>
      <c r="AF1331" s="322">
        <f>IFERROR(VLOOKUP(Calculations[[#This Row],[Material (choose from dropdown]],MaterialData[#All],8,FALSE),0)</f>
        <v>0</v>
      </c>
      <c r="AG1331" s="322">
        <f>IFERROR(Calculations[[#This Row],[Total Kg]]*Calculations[[#This Row],[Seq factor]],0)</f>
        <v>0</v>
      </c>
      <c r="AI1331" s="322">
        <f>Calculations[[#This Row],[A1-3]]+Calculations[[#This Row],[A4]]+Calculations[[#This Row],[A5]]+Calculations[[#This Row],[B4]]+Calculations[[#This Row],[C2 total]]+Calculations[[#This Row],[C3 total]]+Calculations[[#This Row],[C4 total]]</f>
        <v>0</v>
      </c>
      <c r="AJ1331" s="2">
        <f>IFERROR(VLOOKUP(Calculations[[#This Row],[Material (choose from dropdown]],MaterialData[[#Headers],[#Data]],9,FALSE),0)</f>
        <v>0</v>
      </c>
      <c r="AK1331" s="4">
        <f>IFERROR(VLOOKUP(Calculations[[#This Row],[Material (choose from dropdown]],MaterialData[[#Headers],[#Data]],10,FALSE),0)</f>
        <v>0</v>
      </c>
      <c r="AL1331" s="322">
        <f>IFERROR(Calculations[[#This Row],[Data Quality Score]]*Calculations[[#This Row],[Total Kg]],0)</f>
        <v>0</v>
      </c>
    </row>
    <row r="1332" spans="1:38" x14ac:dyDescent="0.3">
      <c r="A1332" s="6">
        <f>IFERROR(MaterialsBoQ[[#This Row],[Scope Element]],0)</f>
        <v>0</v>
      </c>
      <c r="B1332" t="str">
        <f>IFERROR(MaterialsBoQ[[#This Row],[Material ]],"")</f>
        <v/>
      </c>
      <c r="C1332" t="str">
        <f>IFERROR(MaterialsBoQ[[#This Row],[Unit]],"")</f>
        <v/>
      </c>
      <c r="D1332" s="322">
        <f>IFERROR(MaterialsBoQ[[#This Row],[Number]],0)</f>
        <v>0</v>
      </c>
      <c r="E1332" s="322">
        <f>IFERROR(MaterialsBoQ[[#This Row],[Kg per unit]],0)</f>
        <v>0</v>
      </c>
      <c r="F1332" s="322">
        <f>IFERROR(Calculations[[#This Row],[Number]]*Calculations[[#This Row],[Conversion factor]],0)</f>
        <v>0</v>
      </c>
      <c r="G1332" s="322">
        <f>IFERROR(VLOOKUP(Calculations[[#This Row],[Material (choose from dropdown]],MaterialData[#All],7,FALSE),0)</f>
        <v>0</v>
      </c>
      <c r="H1332" s="322">
        <f>Calculations[[#This Row],[Total Kg]]*Calculations[[#This Row],[Carbon Factor]]</f>
        <v>0</v>
      </c>
      <c r="I1332" t="str">
        <f>IFERROR(VLOOKUP(Calculations[[#This Row],[Material (choose from dropdown]],MaterialData[#All],2,FALSE),"")</f>
        <v/>
      </c>
      <c r="J1332" s="322">
        <f>IFERROR(((VLOOKUP(Calculations[[#This Row],[TransportSource]],TransportDistance[],2,FALSE)*'Stage assumptions'!$C$11)+VLOOKUP(Calculations[[#This Row],[TransportSource]],TransportDistance[],3,FALSE)*'Stage assumptions'!$C$12)*Calculations[[#This Row],[Total Kg]],0)</f>
        <v>0</v>
      </c>
      <c r="K1332">
        <f>IFERROR(VLOOKUP(Calculations[[#This Row],[Material (choose from dropdown]], MaterialData[#All],3, FALSE),0)</f>
        <v>0</v>
      </c>
      <c r="L1332" s="322">
        <f>IFERROR(VLOOKUP(Calculations[[#This Row],[A5type]],A5WastageRate[#All],2,FALSE)*Calculations[[#This Row],[A1-3]],0)</f>
        <v>0</v>
      </c>
      <c r="N1332">
        <f>IFERROR(ROUNDUP(50/VLOOKUP(Calculations[[#This Row],[Scope Element]],B4referenceServiceLife[[Tier 2 element]:[Default Service Life]],2, FALSE)-1,0),0)</f>
        <v>0</v>
      </c>
      <c r="O1332" s="322">
        <f>IFERROR((Calculations[[#This Row],[A1-3]]+Calculations[[#This Row],[A4]]+Calculations[[#This Row],[A5]]+Calculations[[#This Row],[C2 total]]+Calculations[[#This Row],[C3 total]]+Calculations[[#This Row],[C4 total]])*Calculations[[#This Row],[Replacements]],0)</f>
        <v>0</v>
      </c>
      <c r="S1332" t="str">
        <f>IFERROR(VLOOKUP(Calculations[[#This Row],[Material (choose from dropdown]],MaterialData[#All],4,FALSE),"")</f>
        <v/>
      </c>
      <c r="T1332" s="322" cm="1">
        <f t="array" ref="T1332">IFERROR(VLOOKUP(Calculations[[#This Row],[Waste 1]],WasteScenario[#All],2,FALSE)*'Stage assumptions'!$C$225*WasteTransportMethod[Emissions Factor
kgCO2e/kg.km]*Calculations[[#This Row],[Total Kg]],0)</f>
        <v>0</v>
      </c>
      <c r="U1332" s="322" cm="1">
        <f t="array" ref="U1332">IFERROR(VLOOKUP(Calculations[[#This Row],[Waste 1]],WasteScenario[#All],3,FALSE)*'Stage assumptions'!$C$224*WasteTransportMethod[Emissions Factor
kgCO2e/kg.km]*Calculations[[#This Row],[Total Kg]],0)</f>
        <v>0</v>
      </c>
      <c r="V1332" s="322" cm="1">
        <f t="array" ref="V1332">IFERROR(VLOOKUP(Calculations[[#This Row],[Waste 1]],WasteScenario[#All],4,FALSE)*'Stage assumptions'!$C$223*WasteTransportMethod[Emissions Factor
kgCO2e/kg.km]*Calculations[[#This Row],[Total Kg]],0)</f>
        <v>0</v>
      </c>
      <c r="W1332" s="322" cm="1">
        <f t="array" ref="W1332">IFERROR(VLOOKUP(Calculations[[#This Row],[Waste 1]],WasteScenario[#All],5,FALSE)*'Stage assumptions'!$C$226*WasteTransportMethod[Emissions Factor
kgCO2e/kg.km]*Calculations[[#This Row],[Total Kg]],0)</f>
        <v>0</v>
      </c>
      <c r="X1332" s="322">
        <f>SUM(Calculations[[#This Row],[C2 Recycle]:[C2 Reuse]])</f>
        <v>0</v>
      </c>
      <c r="Y1332" t="str">
        <f>IFERROR(VLOOKUP(Calculations[[#This Row],[Material (choose from dropdown]],MaterialData[#All],5,FALSE),"")</f>
        <v/>
      </c>
      <c r="Z1332" s="322">
        <f>IFERROR(((VLOOKUP(Calculations[[#This Row],[Waste type 2]],WasteDisposalEmissions[#All],2,FALSE))*Calculations[[#This Row],[Total Kg]])*VLOOKUP(Calculations[[#This Row],[Waste 1]],WasteScenario[#All],2,FALSE),0)</f>
        <v>0</v>
      </c>
      <c r="AA1332" s="322">
        <f>IFERROR((VLOOKUP(Calculations[[#This Row],[Waste type 2]],WasteDisposalEmissions[#All],3,FALSE))*Calculations[[#This Row],[Total Kg]]*VLOOKUP(Calculations[[#This Row],[Waste 1]],WasteScenario[#All],3,FALSE),0)</f>
        <v>0</v>
      </c>
      <c r="AB1332" s="322">
        <f>SUM(Calculations[[#This Row],[C3 recyc]:[C3 incin]])</f>
        <v>0</v>
      </c>
      <c r="AC1332" s="334">
        <f>IFERROR((VLOOKUP(Calculations[[#This Row],[Waste type 2]],WasteLandfillEmissions[#All],2,FALSE))*Calculations[[#This Row],[Total Kg]]*VLOOKUP(Calculations[[#This Row],[Waste 1]],WasteScenario[#All],4,FALSE),0)</f>
        <v>0</v>
      </c>
      <c r="AD1332" s="322">
        <f>IFERROR((VLOOKUP(Calculations[[#This Row],[Waste type 2]],WasteLandfillEmissions[#All],3,FALSE))*Calculations[[#This Row],[Total Kg]]*VLOOKUP(Calculations[[#This Row],[Waste 1]],WasteScenario[#All],4,FALSE),0)</f>
        <v>0</v>
      </c>
      <c r="AE1332" s="322">
        <f>SUM(Calculations[[#This Row],[C4 landfill]:[C4 re-use]])</f>
        <v>0</v>
      </c>
      <c r="AF1332" s="322">
        <f>IFERROR(VLOOKUP(Calculations[[#This Row],[Material (choose from dropdown]],MaterialData[#All],8,FALSE),0)</f>
        <v>0</v>
      </c>
      <c r="AG1332" s="322">
        <f>IFERROR(Calculations[[#This Row],[Total Kg]]*Calculations[[#This Row],[Seq factor]],0)</f>
        <v>0</v>
      </c>
      <c r="AI1332" s="322">
        <f>Calculations[[#This Row],[A1-3]]+Calculations[[#This Row],[A4]]+Calculations[[#This Row],[A5]]+Calculations[[#This Row],[B4]]+Calculations[[#This Row],[C2 total]]+Calculations[[#This Row],[C3 total]]+Calculations[[#This Row],[C4 total]]</f>
        <v>0</v>
      </c>
      <c r="AJ1332" s="2">
        <f>IFERROR(VLOOKUP(Calculations[[#This Row],[Material (choose from dropdown]],MaterialData[[#Headers],[#Data]],9,FALSE),0)</f>
        <v>0</v>
      </c>
      <c r="AK1332" s="4">
        <f>IFERROR(VLOOKUP(Calculations[[#This Row],[Material (choose from dropdown]],MaterialData[[#Headers],[#Data]],10,FALSE),0)</f>
        <v>0</v>
      </c>
      <c r="AL1332" s="322">
        <f>IFERROR(Calculations[[#This Row],[Data Quality Score]]*Calculations[[#This Row],[Total Kg]],0)</f>
        <v>0</v>
      </c>
    </row>
    <row r="1333" spans="1:38" x14ac:dyDescent="0.3">
      <c r="A1333" s="6">
        <f>IFERROR(MaterialsBoQ[[#This Row],[Scope Element]],0)</f>
        <v>0</v>
      </c>
      <c r="B1333" t="str">
        <f>IFERROR(MaterialsBoQ[[#This Row],[Material ]],"")</f>
        <v/>
      </c>
      <c r="C1333" t="str">
        <f>IFERROR(MaterialsBoQ[[#This Row],[Unit]],"")</f>
        <v/>
      </c>
      <c r="D1333" s="322">
        <f>IFERROR(MaterialsBoQ[[#This Row],[Number]],0)</f>
        <v>0</v>
      </c>
      <c r="E1333" s="322">
        <f>IFERROR(MaterialsBoQ[[#This Row],[Kg per unit]],0)</f>
        <v>0</v>
      </c>
      <c r="F1333" s="322">
        <f>IFERROR(Calculations[[#This Row],[Number]]*Calculations[[#This Row],[Conversion factor]],0)</f>
        <v>0</v>
      </c>
      <c r="G1333" s="322">
        <f>IFERROR(VLOOKUP(Calculations[[#This Row],[Material (choose from dropdown]],MaterialData[#All],7,FALSE),0)</f>
        <v>0</v>
      </c>
      <c r="H1333" s="322">
        <f>Calculations[[#This Row],[Total Kg]]*Calculations[[#This Row],[Carbon Factor]]</f>
        <v>0</v>
      </c>
      <c r="I1333" t="str">
        <f>IFERROR(VLOOKUP(Calculations[[#This Row],[Material (choose from dropdown]],MaterialData[#All],2,FALSE),"")</f>
        <v/>
      </c>
      <c r="J1333" s="322">
        <f>IFERROR(((VLOOKUP(Calculations[[#This Row],[TransportSource]],TransportDistance[],2,FALSE)*'Stage assumptions'!$C$11)+VLOOKUP(Calculations[[#This Row],[TransportSource]],TransportDistance[],3,FALSE)*'Stage assumptions'!$C$12)*Calculations[[#This Row],[Total Kg]],0)</f>
        <v>0</v>
      </c>
      <c r="K1333">
        <f>IFERROR(VLOOKUP(Calculations[[#This Row],[Material (choose from dropdown]], MaterialData[#All],3, FALSE),0)</f>
        <v>0</v>
      </c>
      <c r="L1333" s="322">
        <f>IFERROR(VLOOKUP(Calculations[[#This Row],[A5type]],A5WastageRate[#All],2,FALSE)*Calculations[[#This Row],[A1-3]],0)</f>
        <v>0</v>
      </c>
      <c r="N1333">
        <f>IFERROR(ROUNDUP(50/VLOOKUP(Calculations[[#This Row],[Scope Element]],B4referenceServiceLife[[Tier 2 element]:[Default Service Life]],2, FALSE)-1,0),0)</f>
        <v>0</v>
      </c>
      <c r="O1333" s="322">
        <f>IFERROR((Calculations[[#This Row],[A1-3]]+Calculations[[#This Row],[A4]]+Calculations[[#This Row],[A5]]+Calculations[[#This Row],[C2 total]]+Calculations[[#This Row],[C3 total]]+Calculations[[#This Row],[C4 total]])*Calculations[[#This Row],[Replacements]],0)</f>
        <v>0</v>
      </c>
      <c r="S1333" t="str">
        <f>IFERROR(VLOOKUP(Calculations[[#This Row],[Material (choose from dropdown]],MaterialData[#All],4,FALSE),"")</f>
        <v/>
      </c>
      <c r="T1333" s="322" cm="1">
        <f t="array" ref="T1333">IFERROR(VLOOKUP(Calculations[[#This Row],[Waste 1]],WasteScenario[#All],2,FALSE)*'Stage assumptions'!$C$225*WasteTransportMethod[Emissions Factor
kgCO2e/kg.km]*Calculations[[#This Row],[Total Kg]],0)</f>
        <v>0</v>
      </c>
      <c r="U1333" s="322" cm="1">
        <f t="array" ref="U1333">IFERROR(VLOOKUP(Calculations[[#This Row],[Waste 1]],WasteScenario[#All],3,FALSE)*'Stage assumptions'!$C$224*WasteTransportMethod[Emissions Factor
kgCO2e/kg.km]*Calculations[[#This Row],[Total Kg]],0)</f>
        <v>0</v>
      </c>
      <c r="V1333" s="322" cm="1">
        <f t="array" ref="V1333">IFERROR(VLOOKUP(Calculations[[#This Row],[Waste 1]],WasteScenario[#All],4,FALSE)*'Stage assumptions'!$C$223*WasteTransportMethod[Emissions Factor
kgCO2e/kg.km]*Calculations[[#This Row],[Total Kg]],0)</f>
        <v>0</v>
      </c>
      <c r="W1333" s="322" cm="1">
        <f t="array" ref="W1333">IFERROR(VLOOKUP(Calculations[[#This Row],[Waste 1]],WasteScenario[#All],5,FALSE)*'Stage assumptions'!$C$226*WasteTransportMethod[Emissions Factor
kgCO2e/kg.km]*Calculations[[#This Row],[Total Kg]],0)</f>
        <v>0</v>
      </c>
      <c r="X1333" s="322">
        <f>SUM(Calculations[[#This Row],[C2 Recycle]:[C2 Reuse]])</f>
        <v>0</v>
      </c>
      <c r="Y1333" t="str">
        <f>IFERROR(VLOOKUP(Calculations[[#This Row],[Material (choose from dropdown]],MaterialData[#All],5,FALSE),"")</f>
        <v/>
      </c>
      <c r="Z1333" s="322">
        <f>IFERROR(((VLOOKUP(Calculations[[#This Row],[Waste type 2]],WasteDisposalEmissions[#All],2,FALSE))*Calculations[[#This Row],[Total Kg]])*VLOOKUP(Calculations[[#This Row],[Waste 1]],WasteScenario[#All],2,FALSE),0)</f>
        <v>0</v>
      </c>
      <c r="AA1333" s="322">
        <f>IFERROR((VLOOKUP(Calculations[[#This Row],[Waste type 2]],WasteDisposalEmissions[#All],3,FALSE))*Calculations[[#This Row],[Total Kg]]*VLOOKUP(Calculations[[#This Row],[Waste 1]],WasteScenario[#All],3,FALSE),0)</f>
        <v>0</v>
      </c>
      <c r="AB1333" s="322">
        <f>SUM(Calculations[[#This Row],[C3 recyc]:[C3 incin]])</f>
        <v>0</v>
      </c>
      <c r="AC1333" s="334">
        <f>IFERROR((VLOOKUP(Calculations[[#This Row],[Waste type 2]],WasteLandfillEmissions[#All],2,FALSE))*Calculations[[#This Row],[Total Kg]]*VLOOKUP(Calculations[[#This Row],[Waste 1]],WasteScenario[#All],4,FALSE),0)</f>
        <v>0</v>
      </c>
      <c r="AD1333" s="322">
        <f>IFERROR((VLOOKUP(Calculations[[#This Row],[Waste type 2]],WasteLandfillEmissions[#All],3,FALSE))*Calculations[[#This Row],[Total Kg]]*VLOOKUP(Calculations[[#This Row],[Waste 1]],WasteScenario[#All],4,FALSE),0)</f>
        <v>0</v>
      </c>
      <c r="AE1333" s="322">
        <f>SUM(Calculations[[#This Row],[C4 landfill]:[C4 re-use]])</f>
        <v>0</v>
      </c>
      <c r="AF1333" s="322">
        <f>IFERROR(VLOOKUP(Calculations[[#This Row],[Material (choose from dropdown]],MaterialData[#All],8,FALSE),0)</f>
        <v>0</v>
      </c>
      <c r="AG1333" s="322">
        <f>IFERROR(Calculations[[#This Row],[Total Kg]]*Calculations[[#This Row],[Seq factor]],0)</f>
        <v>0</v>
      </c>
      <c r="AI1333" s="322">
        <f>Calculations[[#This Row],[A1-3]]+Calculations[[#This Row],[A4]]+Calculations[[#This Row],[A5]]+Calculations[[#This Row],[B4]]+Calculations[[#This Row],[C2 total]]+Calculations[[#This Row],[C3 total]]+Calculations[[#This Row],[C4 total]]</f>
        <v>0</v>
      </c>
      <c r="AJ1333" s="2">
        <f>IFERROR(VLOOKUP(Calculations[[#This Row],[Material (choose from dropdown]],MaterialData[[#Headers],[#Data]],9,FALSE),0)</f>
        <v>0</v>
      </c>
      <c r="AK1333" s="4">
        <f>IFERROR(VLOOKUP(Calculations[[#This Row],[Material (choose from dropdown]],MaterialData[[#Headers],[#Data]],10,FALSE),0)</f>
        <v>0</v>
      </c>
      <c r="AL1333" s="322">
        <f>IFERROR(Calculations[[#This Row],[Data Quality Score]]*Calculations[[#This Row],[Total Kg]],0)</f>
        <v>0</v>
      </c>
    </row>
    <row r="1334" spans="1:38" x14ac:dyDescent="0.3">
      <c r="A1334" s="6">
        <f>IFERROR(MaterialsBoQ[[#This Row],[Scope Element]],0)</f>
        <v>0</v>
      </c>
      <c r="B1334" t="str">
        <f>IFERROR(MaterialsBoQ[[#This Row],[Material ]],"")</f>
        <v/>
      </c>
      <c r="C1334" t="str">
        <f>IFERROR(MaterialsBoQ[[#This Row],[Unit]],"")</f>
        <v/>
      </c>
      <c r="D1334" s="322">
        <f>IFERROR(MaterialsBoQ[[#This Row],[Number]],0)</f>
        <v>0</v>
      </c>
      <c r="E1334" s="322">
        <f>IFERROR(MaterialsBoQ[[#This Row],[Kg per unit]],0)</f>
        <v>0</v>
      </c>
      <c r="F1334" s="322">
        <f>IFERROR(Calculations[[#This Row],[Number]]*Calculations[[#This Row],[Conversion factor]],0)</f>
        <v>0</v>
      </c>
      <c r="G1334" s="322">
        <f>IFERROR(VLOOKUP(Calculations[[#This Row],[Material (choose from dropdown]],MaterialData[#All],7,FALSE),0)</f>
        <v>0</v>
      </c>
      <c r="H1334" s="322">
        <f>Calculations[[#This Row],[Total Kg]]*Calculations[[#This Row],[Carbon Factor]]</f>
        <v>0</v>
      </c>
      <c r="I1334" t="str">
        <f>IFERROR(VLOOKUP(Calculations[[#This Row],[Material (choose from dropdown]],MaterialData[#All],2,FALSE),"")</f>
        <v/>
      </c>
      <c r="J1334" s="322">
        <f>IFERROR(((VLOOKUP(Calculations[[#This Row],[TransportSource]],TransportDistance[],2,FALSE)*'Stage assumptions'!$C$11)+VLOOKUP(Calculations[[#This Row],[TransportSource]],TransportDistance[],3,FALSE)*'Stage assumptions'!$C$12)*Calculations[[#This Row],[Total Kg]],0)</f>
        <v>0</v>
      </c>
      <c r="K1334">
        <f>IFERROR(VLOOKUP(Calculations[[#This Row],[Material (choose from dropdown]], MaterialData[#All],3, FALSE),0)</f>
        <v>0</v>
      </c>
      <c r="L1334" s="322">
        <f>IFERROR(VLOOKUP(Calculations[[#This Row],[A5type]],A5WastageRate[#All],2,FALSE)*Calculations[[#This Row],[A1-3]],0)</f>
        <v>0</v>
      </c>
      <c r="N1334">
        <f>IFERROR(ROUNDUP(50/VLOOKUP(Calculations[[#This Row],[Scope Element]],B4referenceServiceLife[[Tier 2 element]:[Default Service Life]],2, FALSE)-1,0),0)</f>
        <v>0</v>
      </c>
      <c r="O1334" s="322">
        <f>IFERROR((Calculations[[#This Row],[A1-3]]+Calculations[[#This Row],[A4]]+Calculations[[#This Row],[A5]]+Calculations[[#This Row],[C2 total]]+Calculations[[#This Row],[C3 total]]+Calculations[[#This Row],[C4 total]])*Calculations[[#This Row],[Replacements]],0)</f>
        <v>0</v>
      </c>
      <c r="S1334" t="str">
        <f>IFERROR(VLOOKUP(Calculations[[#This Row],[Material (choose from dropdown]],MaterialData[#All],4,FALSE),"")</f>
        <v/>
      </c>
      <c r="T1334" s="322" cm="1">
        <f t="array" ref="T1334">IFERROR(VLOOKUP(Calculations[[#This Row],[Waste 1]],WasteScenario[#All],2,FALSE)*'Stage assumptions'!$C$225*WasteTransportMethod[Emissions Factor
kgCO2e/kg.km]*Calculations[[#This Row],[Total Kg]],0)</f>
        <v>0</v>
      </c>
      <c r="U1334" s="322" cm="1">
        <f t="array" ref="U1334">IFERROR(VLOOKUP(Calculations[[#This Row],[Waste 1]],WasteScenario[#All],3,FALSE)*'Stage assumptions'!$C$224*WasteTransportMethod[Emissions Factor
kgCO2e/kg.km]*Calculations[[#This Row],[Total Kg]],0)</f>
        <v>0</v>
      </c>
      <c r="V1334" s="322" cm="1">
        <f t="array" ref="V1334">IFERROR(VLOOKUP(Calculations[[#This Row],[Waste 1]],WasteScenario[#All],4,FALSE)*'Stage assumptions'!$C$223*WasteTransportMethod[Emissions Factor
kgCO2e/kg.km]*Calculations[[#This Row],[Total Kg]],0)</f>
        <v>0</v>
      </c>
      <c r="W1334" s="322" cm="1">
        <f t="array" ref="W1334">IFERROR(VLOOKUP(Calculations[[#This Row],[Waste 1]],WasteScenario[#All],5,FALSE)*'Stage assumptions'!$C$226*WasteTransportMethod[Emissions Factor
kgCO2e/kg.km]*Calculations[[#This Row],[Total Kg]],0)</f>
        <v>0</v>
      </c>
      <c r="X1334" s="322">
        <f>SUM(Calculations[[#This Row],[C2 Recycle]:[C2 Reuse]])</f>
        <v>0</v>
      </c>
      <c r="Y1334" t="str">
        <f>IFERROR(VLOOKUP(Calculations[[#This Row],[Material (choose from dropdown]],MaterialData[#All],5,FALSE),"")</f>
        <v/>
      </c>
      <c r="Z1334" s="322">
        <f>IFERROR(((VLOOKUP(Calculations[[#This Row],[Waste type 2]],WasteDisposalEmissions[#All],2,FALSE))*Calculations[[#This Row],[Total Kg]])*VLOOKUP(Calculations[[#This Row],[Waste 1]],WasteScenario[#All],2,FALSE),0)</f>
        <v>0</v>
      </c>
      <c r="AA1334" s="322">
        <f>IFERROR((VLOOKUP(Calculations[[#This Row],[Waste type 2]],WasteDisposalEmissions[#All],3,FALSE))*Calculations[[#This Row],[Total Kg]]*VLOOKUP(Calculations[[#This Row],[Waste 1]],WasteScenario[#All],3,FALSE),0)</f>
        <v>0</v>
      </c>
      <c r="AB1334" s="322">
        <f>SUM(Calculations[[#This Row],[C3 recyc]:[C3 incin]])</f>
        <v>0</v>
      </c>
      <c r="AC1334" s="334">
        <f>IFERROR((VLOOKUP(Calculations[[#This Row],[Waste type 2]],WasteLandfillEmissions[#All],2,FALSE))*Calculations[[#This Row],[Total Kg]]*VLOOKUP(Calculations[[#This Row],[Waste 1]],WasteScenario[#All],4,FALSE),0)</f>
        <v>0</v>
      </c>
      <c r="AD1334" s="322">
        <f>IFERROR((VLOOKUP(Calculations[[#This Row],[Waste type 2]],WasteLandfillEmissions[#All],3,FALSE))*Calculations[[#This Row],[Total Kg]]*VLOOKUP(Calculations[[#This Row],[Waste 1]],WasteScenario[#All],4,FALSE),0)</f>
        <v>0</v>
      </c>
      <c r="AE1334" s="322">
        <f>SUM(Calculations[[#This Row],[C4 landfill]:[C4 re-use]])</f>
        <v>0</v>
      </c>
      <c r="AF1334" s="322">
        <f>IFERROR(VLOOKUP(Calculations[[#This Row],[Material (choose from dropdown]],MaterialData[#All],8,FALSE),0)</f>
        <v>0</v>
      </c>
      <c r="AG1334" s="322">
        <f>IFERROR(Calculations[[#This Row],[Total Kg]]*Calculations[[#This Row],[Seq factor]],0)</f>
        <v>0</v>
      </c>
      <c r="AI1334" s="322">
        <f>Calculations[[#This Row],[A1-3]]+Calculations[[#This Row],[A4]]+Calculations[[#This Row],[A5]]+Calculations[[#This Row],[B4]]+Calculations[[#This Row],[C2 total]]+Calculations[[#This Row],[C3 total]]+Calculations[[#This Row],[C4 total]]</f>
        <v>0</v>
      </c>
      <c r="AJ1334" s="2">
        <f>IFERROR(VLOOKUP(Calculations[[#This Row],[Material (choose from dropdown]],MaterialData[[#Headers],[#Data]],9,FALSE),0)</f>
        <v>0</v>
      </c>
      <c r="AK1334" s="4">
        <f>IFERROR(VLOOKUP(Calculations[[#This Row],[Material (choose from dropdown]],MaterialData[[#Headers],[#Data]],10,FALSE),0)</f>
        <v>0</v>
      </c>
      <c r="AL1334" s="322">
        <f>IFERROR(Calculations[[#This Row],[Data Quality Score]]*Calculations[[#This Row],[Total Kg]],0)</f>
        <v>0</v>
      </c>
    </row>
    <row r="1335" spans="1:38" x14ac:dyDescent="0.3">
      <c r="A1335" s="6">
        <f>IFERROR(MaterialsBoQ[[#This Row],[Scope Element]],0)</f>
        <v>0</v>
      </c>
      <c r="B1335" t="str">
        <f>IFERROR(MaterialsBoQ[[#This Row],[Material ]],"")</f>
        <v/>
      </c>
      <c r="C1335" t="str">
        <f>IFERROR(MaterialsBoQ[[#This Row],[Unit]],"")</f>
        <v/>
      </c>
      <c r="D1335" s="322">
        <f>IFERROR(MaterialsBoQ[[#This Row],[Number]],0)</f>
        <v>0</v>
      </c>
      <c r="E1335" s="322">
        <f>IFERROR(MaterialsBoQ[[#This Row],[Kg per unit]],0)</f>
        <v>0</v>
      </c>
      <c r="F1335" s="322">
        <f>IFERROR(Calculations[[#This Row],[Number]]*Calculations[[#This Row],[Conversion factor]],0)</f>
        <v>0</v>
      </c>
      <c r="G1335" s="322">
        <f>IFERROR(VLOOKUP(Calculations[[#This Row],[Material (choose from dropdown]],MaterialData[#All],7,FALSE),0)</f>
        <v>0</v>
      </c>
      <c r="H1335" s="322">
        <f>Calculations[[#This Row],[Total Kg]]*Calculations[[#This Row],[Carbon Factor]]</f>
        <v>0</v>
      </c>
      <c r="I1335" t="str">
        <f>IFERROR(VLOOKUP(Calculations[[#This Row],[Material (choose from dropdown]],MaterialData[#All],2,FALSE),"")</f>
        <v/>
      </c>
      <c r="J1335" s="322">
        <f>IFERROR(((VLOOKUP(Calculations[[#This Row],[TransportSource]],TransportDistance[],2,FALSE)*'Stage assumptions'!$C$11)+VLOOKUP(Calculations[[#This Row],[TransportSource]],TransportDistance[],3,FALSE)*'Stage assumptions'!$C$12)*Calculations[[#This Row],[Total Kg]],0)</f>
        <v>0</v>
      </c>
      <c r="K1335">
        <f>IFERROR(VLOOKUP(Calculations[[#This Row],[Material (choose from dropdown]], MaterialData[#All],3, FALSE),0)</f>
        <v>0</v>
      </c>
      <c r="L1335" s="322">
        <f>IFERROR(VLOOKUP(Calculations[[#This Row],[A5type]],A5WastageRate[#All],2,FALSE)*Calculations[[#This Row],[A1-3]],0)</f>
        <v>0</v>
      </c>
      <c r="N1335">
        <f>IFERROR(ROUNDUP(50/VLOOKUP(Calculations[[#This Row],[Scope Element]],B4referenceServiceLife[[Tier 2 element]:[Default Service Life]],2, FALSE)-1,0),0)</f>
        <v>0</v>
      </c>
      <c r="O1335" s="322">
        <f>IFERROR((Calculations[[#This Row],[A1-3]]+Calculations[[#This Row],[A4]]+Calculations[[#This Row],[A5]]+Calculations[[#This Row],[C2 total]]+Calculations[[#This Row],[C3 total]]+Calculations[[#This Row],[C4 total]])*Calculations[[#This Row],[Replacements]],0)</f>
        <v>0</v>
      </c>
      <c r="S1335" t="str">
        <f>IFERROR(VLOOKUP(Calculations[[#This Row],[Material (choose from dropdown]],MaterialData[#All],4,FALSE),"")</f>
        <v/>
      </c>
      <c r="T1335" s="322" cm="1">
        <f t="array" ref="T1335">IFERROR(VLOOKUP(Calculations[[#This Row],[Waste 1]],WasteScenario[#All],2,FALSE)*'Stage assumptions'!$C$225*WasteTransportMethod[Emissions Factor
kgCO2e/kg.km]*Calculations[[#This Row],[Total Kg]],0)</f>
        <v>0</v>
      </c>
      <c r="U1335" s="322" cm="1">
        <f t="array" ref="U1335">IFERROR(VLOOKUP(Calculations[[#This Row],[Waste 1]],WasteScenario[#All],3,FALSE)*'Stage assumptions'!$C$224*WasteTransportMethod[Emissions Factor
kgCO2e/kg.km]*Calculations[[#This Row],[Total Kg]],0)</f>
        <v>0</v>
      </c>
      <c r="V1335" s="322" cm="1">
        <f t="array" ref="V1335">IFERROR(VLOOKUP(Calculations[[#This Row],[Waste 1]],WasteScenario[#All],4,FALSE)*'Stage assumptions'!$C$223*WasteTransportMethod[Emissions Factor
kgCO2e/kg.km]*Calculations[[#This Row],[Total Kg]],0)</f>
        <v>0</v>
      </c>
      <c r="W1335" s="322" cm="1">
        <f t="array" ref="W1335">IFERROR(VLOOKUP(Calculations[[#This Row],[Waste 1]],WasteScenario[#All],5,FALSE)*'Stage assumptions'!$C$226*WasteTransportMethod[Emissions Factor
kgCO2e/kg.km]*Calculations[[#This Row],[Total Kg]],0)</f>
        <v>0</v>
      </c>
      <c r="X1335" s="322">
        <f>SUM(Calculations[[#This Row],[C2 Recycle]:[C2 Reuse]])</f>
        <v>0</v>
      </c>
      <c r="Y1335" t="str">
        <f>IFERROR(VLOOKUP(Calculations[[#This Row],[Material (choose from dropdown]],MaterialData[#All],5,FALSE),"")</f>
        <v/>
      </c>
      <c r="Z1335" s="322">
        <f>IFERROR(((VLOOKUP(Calculations[[#This Row],[Waste type 2]],WasteDisposalEmissions[#All],2,FALSE))*Calculations[[#This Row],[Total Kg]])*VLOOKUP(Calculations[[#This Row],[Waste 1]],WasteScenario[#All],2,FALSE),0)</f>
        <v>0</v>
      </c>
      <c r="AA1335" s="322">
        <f>IFERROR((VLOOKUP(Calculations[[#This Row],[Waste type 2]],WasteDisposalEmissions[#All],3,FALSE))*Calculations[[#This Row],[Total Kg]]*VLOOKUP(Calculations[[#This Row],[Waste 1]],WasteScenario[#All],3,FALSE),0)</f>
        <v>0</v>
      </c>
      <c r="AB1335" s="322">
        <f>SUM(Calculations[[#This Row],[C3 recyc]:[C3 incin]])</f>
        <v>0</v>
      </c>
      <c r="AC1335" s="334">
        <f>IFERROR((VLOOKUP(Calculations[[#This Row],[Waste type 2]],WasteLandfillEmissions[#All],2,FALSE))*Calculations[[#This Row],[Total Kg]]*VLOOKUP(Calculations[[#This Row],[Waste 1]],WasteScenario[#All],4,FALSE),0)</f>
        <v>0</v>
      </c>
      <c r="AD1335" s="322">
        <f>IFERROR((VLOOKUP(Calculations[[#This Row],[Waste type 2]],WasteLandfillEmissions[#All],3,FALSE))*Calculations[[#This Row],[Total Kg]]*VLOOKUP(Calculations[[#This Row],[Waste 1]],WasteScenario[#All],4,FALSE),0)</f>
        <v>0</v>
      </c>
      <c r="AE1335" s="322">
        <f>SUM(Calculations[[#This Row],[C4 landfill]:[C4 re-use]])</f>
        <v>0</v>
      </c>
      <c r="AF1335" s="322">
        <f>IFERROR(VLOOKUP(Calculations[[#This Row],[Material (choose from dropdown]],MaterialData[#All],8,FALSE),0)</f>
        <v>0</v>
      </c>
      <c r="AG1335" s="322">
        <f>IFERROR(Calculations[[#This Row],[Total Kg]]*Calculations[[#This Row],[Seq factor]],0)</f>
        <v>0</v>
      </c>
      <c r="AI1335" s="322">
        <f>Calculations[[#This Row],[A1-3]]+Calculations[[#This Row],[A4]]+Calculations[[#This Row],[A5]]+Calculations[[#This Row],[B4]]+Calculations[[#This Row],[C2 total]]+Calculations[[#This Row],[C3 total]]+Calculations[[#This Row],[C4 total]]</f>
        <v>0</v>
      </c>
      <c r="AJ1335" s="2">
        <f>IFERROR(VLOOKUP(Calculations[[#This Row],[Material (choose from dropdown]],MaterialData[[#Headers],[#Data]],9,FALSE),0)</f>
        <v>0</v>
      </c>
      <c r="AK1335" s="4">
        <f>IFERROR(VLOOKUP(Calculations[[#This Row],[Material (choose from dropdown]],MaterialData[[#Headers],[#Data]],10,FALSE),0)</f>
        <v>0</v>
      </c>
      <c r="AL1335" s="322">
        <f>IFERROR(Calculations[[#This Row],[Data Quality Score]]*Calculations[[#This Row],[Total Kg]],0)</f>
        <v>0</v>
      </c>
    </row>
    <row r="1336" spans="1:38" x14ac:dyDescent="0.3">
      <c r="A1336" s="6">
        <f>IFERROR(MaterialsBoQ[[#This Row],[Scope Element]],0)</f>
        <v>0</v>
      </c>
      <c r="B1336" t="str">
        <f>IFERROR(MaterialsBoQ[[#This Row],[Material ]],"")</f>
        <v/>
      </c>
      <c r="C1336" t="str">
        <f>IFERROR(MaterialsBoQ[[#This Row],[Unit]],"")</f>
        <v/>
      </c>
      <c r="D1336" s="322">
        <f>IFERROR(MaterialsBoQ[[#This Row],[Number]],0)</f>
        <v>0</v>
      </c>
      <c r="E1336" s="322">
        <f>IFERROR(MaterialsBoQ[[#This Row],[Kg per unit]],0)</f>
        <v>0</v>
      </c>
      <c r="F1336" s="322">
        <f>IFERROR(Calculations[[#This Row],[Number]]*Calculations[[#This Row],[Conversion factor]],0)</f>
        <v>0</v>
      </c>
      <c r="G1336" s="322">
        <f>IFERROR(VLOOKUP(Calculations[[#This Row],[Material (choose from dropdown]],MaterialData[#All],7,FALSE),0)</f>
        <v>0</v>
      </c>
      <c r="H1336" s="322">
        <f>Calculations[[#This Row],[Total Kg]]*Calculations[[#This Row],[Carbon Factor]]</f>
        <v>0</v>
      </c>
      <c r="I1336" t="str">
        <f>IFERROR(VLOOKUP(Calculations[[#This Row],[Material (choose from dropdown]],MaterialData[#All],2,FALSE),"")</f>
        <v/>
      </c>
      <c r="J1336" s="322">
        <f>IFERROR(((VLOOKUP(Calculations[[#This Row],[TransportSource]],TransportDistance[],2,FALSE)*'Stage assumptions'!$C$11)+VLOOKUP(Calculations[[#This Row],[TransportSource]],TransportDistance[],3,FALSE)*'Stage assumptions'!$C$12)*Calculations[[#This Row],[Total Kg]],0)</f>
        <v>0</v>
      </c>
      <c r="K1336">
        <f>IFERROR(VLOOKUP(Calculations[[#This Row],[Material (choose from dropdown]], MaterialData[#All],3, FALSE),0)</f>
        <v>0</v>
      </c>
      <c r="L1336" s="322">
        <f>IFERROR(VLOOKUP(Calculations[[#This Row],[A5type]],A5WastageRate[#All],2,FALSE)*Calculations[[#This Row],[A1-3]],0)</f>
        <v>0</v>
      </c>
      <c r="N1336">
        <f>IFERROR(ROUNDUP(50/VLOOKUP(Calculations[[#This Row],[Scope Element]],B4referenceServiceLife[[Tier 2 element]:[Default Service Life]],2, FALSE)-1,0),0)</f>
        <v>0</v>
      </c>
      <c r="O1336" s="322">
        <f>IFERROR((Calculations[[#This Row],[A1-3]]+Calculations[[#This Row],[A4]]+Calculations[[#This Row],[A5]]+Calculations[[#This Row],[C2 total]]+Calculations[[#This Row],[C3 total]]+Calculations[[#This Row],[C4 total]])*Calculations[[#This Row],[Replacements]],0)</f>
        <v>0</v>
      </c>
      <c r="S1336" t="str">
        <f>IFERROR(VLOOKUP(Calculations[[#This Row],[Material (choose from dropdown]],MaterialData[#All],4,FALSE),"")</f>
        <v/>
      </c>
      <c r="T1336" s="322" cm="1">
        <f t="array" ref="T1336">IFERROR(VLOOKUP(Calculations[[#This Row],[Waste 1]],WasteScenario[#All],2,FALSE)*'Stage assumptions'!$C$225*WasteTransportMethod[Emissions Factor
kgCO2e/kg.km]*Calculations[[#This Row],[Total Kg]],0)</f>
        <v>0</v>
      </c>
      <c r="U1336" s="322" cm="1">
        <f t="array" ref="U1336">IFERROR(VLOOKUP(Calculations[[#This Row],[Waste 1]],WasteScenario[#All],3,FALSE)*'Stage assumptions'!$C$224*WasteTransportMethod[Emissions Factor
kgCO2e/kg.km]*Calculations[[#This Row],[Total Kg]],0)</f>
        <v>0</v>
      </c>
      <c r="V1336" s="322" cm="1">
        <f t="array" ref="V1336">IFERROR(VLOOKUP(Calculations[[#This Row],[Waste 1]],WasteScenario[#All],4,FALSE)*'Stage assumptions'!$C$223*WasteTransportMethod[Emissions Factor
kgCO2e/kg.km]*Calculations[[#This Row],[Total Kg]],0)</f>
        <v>0</v>
      </c>
      <c r="W1336" s="322" cm="1">
        <f t="array" ref="W1336">IFERROR(VLOOKUP(Calculations[[#This Row],[Waste 1]],WasteScenario[#All],5,FALSE)*'Stage assumptions'!$C$226*WasteTransportMethod[Emissions Factor
kgCO2e/kg.km]*Calculations[[#This Row],[Total Kg]],0)</f>
        <v>0</v>
      </c>
      <c r="X1336" s="322">
        <f>SUM(Calculations[[#This Row],[C2 Recycle]:[C2 Reuse]])</f>
        <v>0</v>
      </c>
      <c r="Y1336" t="str">
        <f>IFERROR(VLOOKUP(Calculations[[#This Row],[Material (choose from dropdown]],MaterialData[#All],5,FALSE),"")</f>
        <v/>
      </c>
      <c r="Z1336" s="322">
        <f>IFERROR(((VLOOKUP(Calculations[[#This Row],[Waste type 2]],WasteDisposalEmissions[#All],2,FALSE))*Calculations[[#This Row],[Total Kg]])*VLOOKUP(Calculations[[#This Row],[Waste 1]],WasteScenario[#All],2,FALSE),0)</f>
        <v>0</v>
      </c>
      <c r="AA1336" s="322">
        <f>IFERROR((VLOOKUP(Calculations[[#This Row],[Waste type 2]],WasteDisposalEmissions[#All],3,FALSE))*Calculations[[#This Row],[Total Kg]]*VLOOKUP(Calculations[[#This Row],[Waste 1]],WasteScenario[#All],3,FALSE),0)</f>
        <v>0</v>
      </c>
      <c r="AB1336" s="322">
        <f>SUM(Calculations[[#This Row],[C3 recyc]:[C3 incin]])</f>
        <v>0</v>
      </c>
      <c r="AC1336" s="334">
        <f>IFERROR((VLOOKUP(Calculations[[#This Row],[Waste type 2]],WasteLandfillEmissions[#All],2,FALSE))*Calculations[[#This Row],[Total Kg]]*VLOOKUP(Calculations[[#This Row],[Waste 1]],WasteScenario[#All],4,FALSE),0)</f>
        <v>0</v>
      </c>
      <c r="AD1336" s="322">
        <f>IFERROR((VLOOKUP(Calculations[[#This Row],[Waste type 2]],WasteLandfillEmissions[#All],3,FALSE))*Calculations[[#This Row],[Total Kg]]*VLOOKUP(Calculations[[#This Row],[Waste 1]],WasteScenario[#All],4,FALSE),0)</f>
        <v>0</v>
      </c>
      <c r="AE1336" s="322">
        <f>SUM(Calculations[[#This Row],[C4 landfill]:[C4 re-use]])</f>
        <v>0</v>
      </c>
      <c r="AF1336" s="322">
        <f>IFERROR(VLOOKUP(Calculations[[#This Row],[Material (choose from dropdown]],MaterialData[#All],8,FALSE),0)</f>
        <v>0</v>
      </c>
      <c r="AG1336" s="322">
        <f>IFERROR(Calculations[[#This Row],[Total Kg]]*Calculations[[#This Row],[Seq factor]],0)</f>
        <v>0</v>
      </c>
      <c r="AI1336" s="322">
        <f>Calculations[[#This Row],[A1-3]]+Calculations[[#This Row],[A4]]+Calculations[[#This Row],[A5]]+Calculations[[#This Row],[B4]]+Calculations[[#This Row],[C2 total]]+Calculations[[#This Row],[C3 total]]+Calculations[[#This Row],[C4 total]]</f>
        <v>0</v>
      </c>
      <c r="AJ1336" s="2">
        <f>IFERROR(VLOOKUP(Calculations[[#This Row],[Material (choose from dropdown]],MaterialData[[#Headers],[#Data]],9,FALSE),0)</f>
        <v>0</v>
      </c>
      <c r="AK1336" s="4">
        <f>IFERROR(VLOOKUP(Calculations[[#This Row],[Material (choose from dropdown]],MaterialData[[#Headers],[#Data]],10,FALSE),0)</f>
        <v>0</v>
      </c>
      <c r="AL1336" s="322">
        <f>IFERROR(Calculations[[#This Row],[Data Quality Score]]*Calculations[[#This Row],[Total Kg]],0)</f>
        <v>0</v>
      </c>
    </row>
    <row r="1337" spans="1:38" x14ac:dyDescent="0.3">
      <c r="A1337" s="6">
        <f>IFERROR(MaterialsBoQ[[#This Row],[Scope Element]],0)</f>
        <v>0</v>
      </c>
      <c r="B1337" t="str">
        <f>IFERROR(MaterialsBoQ[[#This Row],[Material ]],"")</f>
        <v/>
      </c>
      <c r="C1337" t="str">
        <f>IFERROR(MaterialsBoQ[[#This Row],[Unit]],"")</f>
        <v/>
      </c>
      <c r="D1337" s="322">
        <f>IFERROR(MaterialsBoQ[[#This Row],[Number]],0)</f>
        <v>0</v>
      </c>
      <c r="E1337" s="322">
        <f>IFERROR(MaterialsBoQ[[#This Row],[Kg per unit]],0)</f>
        <v>0</v>
      </c>
      <c r="F1337" s="322">
        <f>IFERROR(Calculations[[#This Row],[Number]]*Calculations[[#This Row],[Conversion factor]],0)</f>
        <v>0</v>
      </c>
      <c r="G1337" s="322">
        <f>IFERROR(VLOOKUP(Calculations[[#This Row],[Material (choose from dropdown]],MaterialData[#All],7,FALSE),0)</f>
        <v>0</v>
      </c>
      <c r="H1337" s="322">
        <f>Calculations[[#This Row],[Total Kg]]*Calculations[[#This Row],[Carbon Factor]]</f>
        <v>0</v>
      </c>
      <c r="I1337" t="str">
        <f>IFERROR(VLOOKUP(Calculations[[#This Row],[Material (choose from dropdown]],MaterialData[#All],2,FALSE),"")</f>
        <v/>
      </c>
      <c r="J1337" s="322">
        <f>IFERROR(((VLOOKUP(Calculations[[#This Row],[TransportSource]],TransportDistance[],2,FALSE)*'Stage assumptions'!$C$11)+VLOOKUP(Calculations[[#This Row],[TransportSource]],TransportDistance[],3,FALSE)*'Stage assumptions'!$C$12)*Calculations[[#This Row],[Total Kg]],0)</f>
        <v>0</v>
      </c>
      <c r="K1337">
        <f>IFERROR(VLOOKUP(Calculations[[#This Row],[Material (choose from dropdown]], MaterialData[#All],3, FALSE),0)</f>
        <v>0</v>
      </c>
      <c r="L1337" s="322">
        <f>IFERROR(VLOOKUP(Calculations[[#This Row],[A5type]],A5WastageRate[#All],2,FALSE)*Calculations[[#This Row],[A1-3]],0)</f>
        <v>0</v>
      </c>
      <c r="N1337">
        <f>IFERROR(ROUNDUP(50/VLOOKUP(Calculations[[#This Row],[Scope Element]],B4referenceServiceLife[[Tier 2 element]:[Default Service Life]],2, FALSE)-1,0),0)</f>
        <v>0</v>
      </c>
      <c r="O1337" s="322">
        <f>IFERROR((Calculations[[#This Row],[A1-3]]+Calculations[[#This Row],[A4]]+Calculations[[#This Row],[A5]]+Calculations[[#This Row],[C2 total]]+Calculations[[#This Row],[C3 total]]+Calculations[[#This Row],[C4 total]])*Calculations[[#This Row],[Replacements]],0)</f>
        <v>0</v>
      </c>
      <c r="S1337" t="str">
        <f>IFERROR(VLOOKUP(Calculations[[#This Row],[Material (choose from dropdown]],MaterialData[#All],4,FALSE),"")</f>
        <v/>
      </c>
      <c r="T1337" s="322" cm="1">
        <f t="array" ref="T1337">IFERROR(VLOOKUP(Calculations[[#This Row],[Waste 1]],WasteScenario[#All],2,FALSE)*'Stage assumptions'!$C$225*WasteTransportMethod[Emissions Factor
kgCO2e/kg.km]*Calculations[[#This Row],[Total Kg]],0)</f>
        <v>0</v>
      </c>
      <c r="U1337" s="322" cm="1">
        <f t="array" ref="U1337">IFERROR(VLOOKUP(Calculations[[#This Row],[Waste 1]],WasteScenario[#All],3,FALSE)*'Stage assumptions'!$C$224*WasteTransportMethod[Emissions Factor
kgCO2e/kg.km]*Calculations[[#This Row],[Total Kg]],0)</f>
        <v>0</v>
      </c>
      <c r="V1337" s="322" cm="1">
        <f t="array" ref="V1337">IFERROR(VLOOKUP(Calculations[[#This Row],[Waste 1]],WasteScenario[#All],4,FALSE)*'Stage assumptions'!$C$223*WasteTransportMethod[Emissions Factor
kgCO2e/kg.km]*Calculations[[#This Row],[Total Kg]],0)</f>
        <v>0</v>
      </c>
      <c r="W1337" s="322" cm="1">
        <f t="array" ref="W1337">IFERROR(VLOOKUP(Calculations[[#This Row],[Waste 1]],WasteScenario[#All],5,FALSE)*'Stage assumptions'!$C$226*WasteTransportMethod[Emissions Factor
kgCO2e/kg.km]*Calculations[[#This Row],[Total Kg]],0)</f>
        <v>0</v>
      </c>
      <c r="X1337" s="322">
        <f>SUM(Calculations[[#This Row],[C2 Recycle]:[C2 Reuse]])</f>
        <v>0</v>
      </c>
      <c r="Y1337" t="str">
        <f>IFERROR(VLOOKUP(Calculations[[#This Row],[Material (choose from dropdown]],MaterialData[#All],5,FALSE),"")</f>
        <v/>
      </c>
      <c r="Z1337" s="322">
        <f>IFERROR(((VLOOKUP(Calculations[[#This Row],[Waste type 2]],WasteDisposalEmissions[#All],2,FALSE))*Calculations[[#This Row],[Total Kg]])*VLOOKUP(Calculations[[#This Row],[Waste 1]],WasteScenario[#All],2,FALSE),0)</f>
        <v>0</v>
      </c>
      <c r="AA1337" s="322">
        <f>IFERROR((VLOOKUP(Calculations[[#This Row],[Waste type 2]],WasteDisposalEmissions[#All],3,FALSE))*Calculations[[#This Row],[Total Kg]]*VLOOKUP(Calculations[[#This Row],[Waste 1]],WasteScenario[#All],3,FALSE),0)</f>
        <v>0</v>
      </c>
      <c r="AB1337" s="322">
        <f>SUM(Calculations[[#This Row],[C3 recyc]:[C3 incin]])</f>
        <v>0</v>
      </c>
      <c r="AC1337" s="334">
        <f>IFERROR((VLOOKUP(Calculations[[#This Row],[Waste type 2]],WasteLandfillEmissions[#All],2,FALSE))*Calculations[[#This Row],[Total Kg]]*VLOOKUP(Calculations[[#This Row],[Waste 1]],WasteScenario[#All],4,FALSE),0)</f>
        <v>0</v>
      </c>
      <c r="AD1337" s="322">
        <f>IFERROR((VLOOKUP(Calculations[[#This Row],[Waste type 2]],WasteLandfillEmissions[#All],3,FALSE))*Calculations[[#This Row],[Total Kg]]*VLOOKUP(Calculations[[#This Row],[Waste 1]],WasteScenario[#All],4,FALSE),0)</f>
        <v>0</v>
      </c>
      <c r="AE1337" s="322">
        <f>SUM(Calculations[[#This Row],[C4 landfill]:[C4 re-use]])</f>
        <v>0</v>
      </c>
      <c r="AF1337" s="322">
        <f>IFERROR(VLOOKUP(Calculations[[#This Row],[Material (choose from dropdown]],MaterialData[#All],8,FALSE),0)</f>
        <v>0</v>
      </c>
      <c r="AG1337" s="322">
        <f>IFERROR(Calculations[[#This Row],[Total Kg]]*Calculations[[#This Row],[Seq factor]],0)</f>
        <v>0</v>
      </c>
      <c r="AI1337" s="322">
        <f>Calculations[[#This Row],[A1-3]]+Calculations[[#This Row],[A4]]+Calculations[[#This Row],[A5]]+Calculations[[#This Row],[B4]]+Calculations[[#This Row],[C2 total]]+Calculations[[#This Row],[C3 total]]+Calculations[[#This Row],[C4 total]]</f>
        <v>0</v>
      </c>
      <c r="AJ1337" s="2">
        <f>IFERROR(VLOOKUP(Calculations[[#This Row],[Material (choose from dropdown]],MaterialData[[#Headers],[#Data]],9,FALSE),0)</f>
        <v>0</v>
      </c>
      <c r="AK1337" s="4">
        <f>IFERROR(VLOOKUP(Calculations[[#This Row],[Material (choose from dropdown]],MaterialData[[#Headers],[#Data]],10,FALSE),0)</f>
        <v>0</v>
      </c>
      <c r="AL1337" s="322">
        <f>IFERROR(Calculations[[#This Row],[Data Quality Score]]*Calculations[[#This Row],[Total Kg]],0)</f>
        <v>0</v>
      </c>
    </row>
    <row r="1338" spans="1:38" x14ac:dyDescent="0.3">
      <c r="A1338" s="6">
        <f>IFERROR(MaterialsBoQ[[#This Row],[Scope Element]],0)</f>
        <v>0</v>
      </c>
      <c r="B1338" t="str">
        <f>IFERROR(MaterialsBoQ[[#This Row],[Material ]],"")</f>
        <v/>
      </c>
      <c r="C1338" t="str">
        <f>IFERROR(MaterialsBoQ[[#This Row],[Unit]],"")</f>
        <v/>
      </c>
      <c r="D1338" s="322">
        <f>IFERROR(MaterialsBoQ[[#This Row],[Number]],0)</f>
        <v>0</v>
      </c>
      <c r="E1338" s="322">
        <f>IFERROR(MaterialsBoQ[[#This Row],[Kg per unit]],0)</f>
        <v>0</v>
      </c>
      <c r="F1338" s="322">
        <f>IFERROR(Calculations[[#This Row],[Number]]*Calculations[[#This Row],[Conversion factor]],0)</f>
        <v>0</v>
      </c>
      <c r="G1338" s="322">
        <f>IFERROR(VLOOKUP(Calculations[[#This Row],[Material (choose from dropdown]],MaterialData[#All],7,FALSE),0)</f>
        <v>0</v>
      </c>
      <c r="H1338" s="322">
        <f>Calculations[[#This Row],[Total Kg]]*Calculations[[#This Row],[Carbon Factor]]</f>
        <v>0</v>
      </c>
      <c r="I1338" t="str">
        <f>IFERROR(VLOOKUP(Calculations[[#This Row],[Material (choose from dropdown]],MaterialData[#All],2,FALSE),"")</f>
        <v/>
      </c>
      <c r="J1338" s="322">
        <f>IFERROR(((VLOOKUP(Calculations[[#This Row],[TransportSource]],TransportDistance[],2,FALSE)*'Stage assumptions'!$C$11)+VLOOKUP(Calculations[[#This Row],[TransportSource]],TransportDistance[],3,FALSE)*'Stage assumptions'!$C$12)*Calculations[[#This Row],[Total Kg]],0)</f>
        <v>0</v>
      </c>
      <c r="K1338">
        <f>IFERROR(VLOOKUP(Calculations[[#This Row],[Material (choose from dropdown]], MaterialData[#All],3, FALSE),0)</f>
        <v>0</v>
      </c>
      <c r="L1338" s="322">
        <f>IFERROR(VLOOKUP(Calculations[[#This Row],[A5type]],A5WastageRate[#All],2,FALSE)*Calculations[[#This Row],[A1-3]],0)</f>
        <v>0</v>
      </c>
      <c r="N1338">
        <f>IFERROR(ROUNDUP(50/VLOOKUP(Calculations[[#This Row],[Scope Element]],B4referenceServiceLife[[Tier 2 element]:[Default Service Life]],2, FALSE)-1,0),0)</f>
        <v>0</v>
      </c>
      <c r="O1338" s="322">
        <f>IFERROR((Calculations[[#This Row],[A1-3]]+Calculations[[#This Row],[A4]]+Calculations[[#This Row],[A5]]+Calculations[[#This Row],[C2 total]]+Calculations[[#This Row],[C3 total]]+Calculations[[#This Row],[C4 total]])*Calculations[[#This Row],[Replacements]],0)</f>
        <v>0</v>
      </c>
      <c r="S1338" t="str">
        <f>IFERROR(VLOOKUP(Calculations[[#This Row],[Material (choose from dropdown]],MaterialData[#All],4,FALSE),"")</f>
        <v/>
      </c>
      <c r="T1338" s="322" cm="1">
        <f t="array" ref="T1338">IFERROR(VLOOKUP(Calculations[[#This Row],[Waste 1]],WasteScenario[#All],2,FALSE)*'Stage assumptions'!$C$225*WasteTransportMethod[Emissions Factor
kgCO2e/kg.km]*Calculations[[#This Row],[Total Kg]],0)</f>
        <v>0</v>
      </c>
      <c r="U1338" s="322" cm="1">
        <f t="array" ref="U1338">IFERROR(VLOOKUP(Calculations[[#This Row],[Waste 1]],WasteScenario[#All],3,FALSE)*'Stage assumptions'!$C$224*WasteTransportMethod[Emissions Factor
kgCO2e/kg.km]*Calculations[[#This Row],[Total Kg]],0)</f>
        <v>0</v>
      </c>
      <c r="V1338" s="322" cm="1">
        <f t="array" ref="V1338">IFERROR(VLOOKUP(Calculations[[#This Row],[Waste 1]],WasteScenario[#All],4,FALSE)*'Stage assumptions'!$C$223*WasteTransportMethod[Emissions Factor
kgCO2e/kg.km]*Calculations[[#This Row],[Total Kg]],0)</f>
        <v>0</v>
      </c>
      <c r="W1338" s="322" cm="1">
        <f t="array" ref="W1338">IFERROR(VLOOKUP(Calculations[[#This Row],[Waste 1]],WasteScenario[#All],5,FALSE)*'Stage assumptions'!$C$226*WasteTransportMethod[Emissions Factor
kgCO2e/kg.km]*Calculations[[#This Row],[Total Kg]],0)</f>
        <v>0</v>
      </c>
      <c r="X1338" s="322">
        <f>SUM(Calculations[[#This Row],[C2 Recycle]:[C2 Reuse]])</f>
        <v>0</v>
      </c>
      <c r="Y1338" t="str">
        <f>IFERROR(VLOOKUP(Calculations[[#This Row],[Material (choose from dropdown]],MaterialData[#All],5,FALSE),"")</f>
        <v/>
      </c>
      <c r="Z1338" s="322">
        <f>IFERROR(((VLOOKUP(Calculations[[#This Row],[Waste type 2]],WasteDisposalEmissions[#All],2,FALSE))*Calculations[[#This Row],[Total Kg]])*VLOOKUP(Calculations[[#This Row],[Waste 1]],WasteScenario[#All],2,FALSE),0)</f>
        <v>0</v>
      </c>
      <c r="AA1338" s="322">
        <f>IFERROR((VLOOKUP(Calculations[[#This Row],[Waste type 2]],WasteDisposalEmissions[#All],3,FALSE))*Calculations[[#This Row],[Total Kg]]*VLOOKUP(Calculations[[#This Row],[Waste 1]],WasteScenario[#All],3,FALSE),0)</f>
        <v>0</v>
      </c>
      <c r="AB1338" s="322">
        <f>SUM(Calculations[[#This Row],[C3 recyc]:[C3 incin]])</f>
        <v>0</v>
      </c>
      <c r="AC1338" s="334">
        <f>IFERROR((VLOOKUP(Calculations[[#This Row],[Waste type 2]],WasteLandfillEmissions[#All],2,FALSE))*Calculations[[#This Row],[Total Kg]]*VLOOKUP(Calculations[[#This Row],[Waste 1]],WasteScenario[#All],4,FALSE),0)</f>
        <v>0</v>
      </c>
      <c r="AD1338" s="322">
        <f>IFERROR((VLOOKUP(Calculations[[#This Row],[Waste type 2]],WasteLandfillEmissions[#All],3,FALSE))*Calculations[[#This Row],[Total Kg]]*VLOOKUP(Calculations[[#This Row],[Waste 1]],WasteScenario[#All],4,FALSE),0)</f>
        <v>0</v>
      </c>
      <c r="AE1338" s="322">
        <f>SUM(Calculations[[#This Row],[C4 landfill]:[C4 re-use]])</f>
        <v>0</v>
      </c>
      <c r="AF1338" s="322">
        <f>IFERROR(VLOOKUP(Calculations[[#This Row],[Material (choose from dropdown]],MaterialData[#All],8,FALSE),0)</f>
        <v>0</v>
      </c>
      <c r="AG1338" s="322">
        <f>IFERROR(Calculations[[#This Row],[Total Kg]]*Calculations[[#This Row],[Seq factor]],0)</f>
        <v>0</v>
      </c>
      <c r="AI1338" s="322">
        <f>Calculations[[#This Row],[A1-3]]+Calculations[[#This Row],[A4]]+Calculations[[#This Row],[A5]]+Calculations[[#This Row],[B4]]+Calculations[[#This Row],[C2 total]]+Calculations[[#This Row],[C3 total]]+Calculations[[#This Row],[C4 total]]</f>
        <v>0</v>
      </c>
      <c r="AJ1338" s="2">
        <f>IFERROR(VLOOKUP(Calculations[[#This Row],[Material (choose from dropdown]],MaterialData[[#Headers],[#Data]],9,FALSE),0)</f>
        <v>0</v>
      </c>
      <c r="AK1338" s="4">
        <f>IFERROR(VLOOKUP(Calculations[[#This Row],[Material (choose from dropdown]],MaterialData[[#Headers],[#Data]],10,FALSE),0)</f>
        <v>0</v>
      </c>
      <c r="AL1338" s="322">
        <f>IFERROR(Calculations[[#This Row],[Data Quality Score]]*Calculations[[#This Row],[Total Kg]],0)</f>
        <v>0</v>
      </c>
    </row>
    <row r="1339" spans="1:38" x14ac:dyDescent="0.3">
      <c r="A1339" s="6">
        <f>IFERROR(MaterialsBoQ[[#This Row],[Scope Element]],0)</f>
        <v>0</v>
      </c>
      <c r="B1339" t="str">
        <f>IFERROR(MaterialsBoQ[[#This Row],[Material ]],"")</f>
        <v/>
      </c>
      <c r="C1339" t="str">
        <f>IFERROR(MaterialsBoQ[[#This Row],[Unit]],"")</f>
        <v/>
      </c>
      <c r="D1339" s="322">
        <f>IFERROR(MaterialsBoQ[[#This Row],[Number]],0)</f>
        <v>0</v>
      </c>
      <c r="E1339" s="322">
        <f>IFERROR(MaterialsBoQ[[#This Row],[Kg per unit]],0)</f>
        <v>0</v>
      </c>
      <c r="F1339" s="322">
        <f>IFERROR(Calculations[[#This Row],[Number]]*Calculations[[#This Row],[Conversion factor]],0)</f>
        <v>0</v>
      </c>
      <c r="G1339" s="322">
        <f>IFERROR(VLOOKUP(Calculations[[#This Row],[Material (choose from dropdown]],MaterialData[#All],7,FALSE),0)</f>
        <v>0</v>
      </c>
      <c r="H1339" s="322">
        <f>Calculations[[#This Row],[Total Kg]]*Calculations[[#This Row],[Carbon Factor]]</f>
        <v>0</v>
      </c>
      <c r="I1339" t="str">
        <f>IFERROR(VLOOKUP(Calculations[[#This Row],[Material (choose from dropdown]],MaterialData[#All],2,FALSE),"")</f>
        <v/>
      </c>
      <c r="J1339" s="322">
        <f>IFERROR(((VLOOKUP(Calculations[[#This Row],[TransportSource]],TransportDistance[],2,FALSE)*'Stage assumptions'!$C$11)+VLOOKUP(Calculations[[#This Row],[TransportSource]],TransportDistance[],3,FALSE)*'Stage assumptions'!$C$12)*Calculations[[#This Row],[Total Kg]],0)</f>
        <v>0</v>
      </c>
      <c r="K1339">
        <f>IFERROR(VLOOKUP(Calculations[[#This Row],[Material (choose from dropdown]], MaterialData[#All],3, FALSE),0)</f>
        <v>0</v>
      </c>
      <c r="L1339" s="322">
        <f>IFERROR(VLOOKUP(Calculations[[#This Row],[A5type]],A5WastageRate[#All],2,FALSE)*Calculations[[#This Row],[A1-3]],0)</f>
        <v>0</v>
      </c>
      <c r="N1339">
        <f>IFERROR(ROUNDUP(50/VLOOKUP(Calculations[[#This Row],[Scope Element]],B4referenceServiceLife[[Tier 2 element]:[Default Service Life]],2, FALSE)-1,0),0)</f>
        <v>0</v>
      </c>
      <c r="O1339" s="322">
        <f>IFERROR((Calculations[[#This Row],[A1-3]]+Calculations[[#This Row],[A4]]+Calculations[[#This Row],[A5]]+Calculations[[#This Row],[C2 total]]+Calculations[[#This Row],[C3 total]]+Calculations[[#This Row],[C4 total]])*Calculations[[#This Row],[Replacements]],0)</f>
        <v>0</v>
      </c>
      <c r="S1339" t="str">
        <f>IFERROR(VLOOKUP(Calculations[[#This Row],[Material (choose from dropdown]],MaterialData[#All],4,FALSE),"")</f>
        <v/>
      </c>
      <c r="T1339" s="322" cm="1">
        <f t="array" ref="T1339">IFERROR(VLOOKUP(Calculations[[#This Row],[Waste 1]],WasteScenario[#All],2,FALSE)*'Stage assumptions'!$C$225*WasteTransportMethod[Emissions Factor
kgCO2e/kg.km]*Calculations[[#This Row],[Total Kg]],0)</f>
        <v>0</v>
      </c>
      <c r="U1339" s="322" cm="1">
        <f t="array" ref="U1339">IFERROR(VLOOKUP(Calculations[[#This Row],[Waste 1]],WasteScenario[#All],3,FALSE)*'Stage assumptions'!$C$224*WasteTransportMethod[Emissions Factor
kgCO2e/kg.km]*Calculations[[#This Row],[Total Kg]],0)</f>
        <v>0</v>
      </c>
      <c r="V1339" s="322" cm="1">
        <f t="array" ref="V1339">IFERROR(VLOOKUP(Calculations[[#This Row],[Waste 1]],WasteScenario[#All],4,FALSE)*'Stage assumptions'!$C$223*WasteTransportMethod[Emissions Factor
kgCO2e/kg.km]*Calculations[[#This Row],[Total Kg]],0)</f>
        <v>0</v>
      </c>
      <c r="W1339" s="322" cm="1">
        <f t="array" ref="W1339">IFERROR(VLOOKUP(Calculations[[#This Row],[Waste 1]],WasteScenario[#All],5,FALSE)*'Stage assumptions'!$C$226*WasteTransportMethod[Emissions Factor
kgCO2e/kg.km]*Calculations[[#This Row],[Total Kg]],0)</f>
        <v>0</v>
      </c>
      <c r="X1339" s="322">
        <f>SUM(Calculations[[#This Row],[C2 Recycle]:[C2 Reuse]])</f>
        <v>0</v>
      </c>
      <c r="Y1339" t="str">
        <f>IFERROR(VLOOKUP(Calculations[[#This Row],[Material (choose from dropdown]],MaterialData[#All],5,FALSE),"")</f>
        <v/>
      </c>
      <c r="Z1339" s="322">
        <f>IFERROR(((VLOOKUP(Calculations[[#This Row],[Waste type 2]],WasteDisposalEmissions[#All],2,FALSE))*Calculations[[#This Row],[Total Kg]])*VLOOKUP(Calculations[[#This Row],[Waste 1]],WasteScenario[#All],2,FALSE),0)</f>
        <v>0</v>
      </c>
      <c r="AA1339" s="322">
        <f>IFERROR((VLOOKUP(Calculations[[#This Row],[Waste type 2]],WasteDisposalEmissions[#All],3,FALSE))*Calculations[[#This Row],[Total Kg]]*VLOOKUP(Calculations[[#This Row],[Waste 1]],WasteScenario[#All],3,FALSE),0)</f>
        <v>0</v>
      </c>
      <c r="AB1339" s="322">
        <f>SUM(Calculations[[#This Row],[C3 recyc]:[C3 incin]])</f>
        <v>0</v>
      </c>
      <c r="AC1339" s="334">
        <f>IFERROR((VLOOKUP(Calculations[[#This Row],[Waste type 2]],WasteLandfillEmissions[#All],2,FALSE))*Calculations[[#This Row],[Total Kg]]*VLOOKUP(Calculations[[#This Row],[Waste 1]],WasteScenario[#All],4,FALSE),0)</f>
        <v>0</v>
      </c>
      <c r="AD1339" s="322">
        <f>IFERROR((VLOOKUP(Calculations[[#This Row],[Waste type 2]],WasteLandfillEmissions[#All],3,FALSE))*Calculations[[#This Row],[Total Kg]]*VLOOKUP(Calculations[[#This Row],[Waste 1]],WasteScenario[#All],4,FALSE),0)</f>
        <v>0</v>
      </c>
      <c r="AE1339" s="322">
        <f>SUM(Calculations[[#This Row],[C4 landfill]:[C4 re-use]])</f>
        <v>0</v>
      </c>
      <c r="AF1339" s="322">
        <f>IFERROR(VLOOKUP(Calculations[[#This Row],[Material (choose from dropdown]],MaterialData[#All],8,FALSE),0)</f>
        <v>0</v>
      </c>
      <c r="AG1339" s="322">
        <f>IFERROR(Calculations[[#This Row],[Total Kg]]*Calculations[[#This Row],[Seq factor]],0)</f>
        <v>0</v>
      </c>
      <c r="AI1339" s="322">
        <f>Calculations[[#This Row],[A1-3]]+Calculations[[#This Row],[A4]]+Calculations[[#This Row],[A5]]+Calculations[[#This Row],[B4]]+Calculations[[#This Row],[C2 total]]+Calculations[[#This Row],[C3 total]]+Calculations[[#This Row],[C4 total]]</f>
        <v>0</v>
      </c>
      <c r="AJ1339" s="2">
        <f>IFERROR(VLOOKUP(Calculations[[#This Row],[Material (choose from dropdown]],MaterialData[[#Headers],[#Data]],9,FALSE),0)</f>
        <v>0</v>
      </c>
      <c r="AK1339" s="4">
        <f>IFERROR(VLOOKUP(Calculations[[#This Row],[Material (choose from dropdown]],MaterialData[[#Headers],[#Data]],10,FALSE),0)</f>
        <v>0</v>
      </c>
      <c r="AL1339" s="322">
        <f>IFERROR(Calculations[[#This Row],[Data Quality Score]]*Calculations[[#This Row],[Total Kg]],0)</f>
        <v>0</v>
      </c>
    </row>
    <row r="1340" spans="1:38" x14ac:dyDescent="0.3">
      <c r="A1340" s="6">
        <f>IFERROR(MaterialsBoQ[[#This Row],[Scope Element]],0)</f>
        <v>0</v>
      </c>
      <c r="B1340" t="str">
        <f>IFERROR(MaterialsBoQ[[#This Row],[Material ]],"")</f>
        <v/>
      </c>
      <c r="C1340" t="str">
        <f>IFERROR(MaterialsBoQ[[#This Row],[Unit]],"")</f>
        <v/>
      </c>
      <c r="D1340" s="322">
        <f>IFERROR(MaterialsBoQ[[#This Row],[Number]],0)</f>
        <v>0</v>
      </c>
      <c r="E1340" s="322">
        <f>IFERROR(MaterialsBoQ[[#This Row],[Kg per unit]],0)</f>
        <v>0</v>
      </c>
      <c r="F1340" s="322">
        <f>IFERROR(Calculations[[#This Row],[Number]]*Calculations[[#This Row],[Conversion factor]],0)</f>
        <v>0</v>
      </c>
      <c r="G1340" s="322">
        <f>IFERROR(VLOOKUP(Calculations[[#This Row],[Material (choose from dropdown]],MaterialData[#All],7,FALSE),0)</f>
        <v>0</v>
      </c>
      <c r="H1340" s="322">
        <f>Calculations[[#This Row],[Total Kg]]*Calculations[[#This Row],[Carbon Factor]]</f>
        <v>0</v>
      </c>
      <c r="I1340" t="str">
        <f>IFERROR(VLOOKUP(Calculations[[#This Row],[Material (choose from dropdown]],MaterialData[#All],2,FALSE),"")</f>
        <v/>
      </c>
      <c r="J1340" s="322">
        <f>IFERROR(((VLOOKUP(Calculations[[#This Row],[TransportSource]],TransportDistance[],2,FALSE)*'Stage assumptions'!$C$11)+VLOOKUP(Calculations[[#This Row],[TransportSource]],TransportDistance[],3,FALSE)*'Stage assumptions'!$C$12)*Calculations[[#This Row],[Total Kg]],0)</f>
        <v>0</v>
      </c>
      <c r="K1340">
        <f>IFERROR(VLOOKUP(Calculations[[#This Row],[Material (choose from dropdown]], MaterialData[#All],3, FALSE),0)</f>
        <v>0</v>
      </c>
      <c r="L1340" s="322">
        <f>IFERROR(VLOOKUP(Calculations[[#This Row],[A5type]],A5WastageRate[#All],2,FALSE)*Calculations[[#This Row],[A1-3]],0)</f>
        <v>0</v>
      </c>
      <c r="N1340">
        <f>IFERROR(ROUNDUP(50/VLOOKUP(Calculations[[#This Row],[Scope Element]],B4referenceServiceLife[[Tier 2 element]:[Default Service Life]],2, FALSE)-1,0),0)</f>
        <v>0</v>
      </c>
      <c r="O1340" s="322">
        <f>IFERROR((Calculations[[#This Row],[A1-3]]+Calculations[[#This Row],[A4]]+Calculations[[#This Row],[A5]]+Calculations[[#This Row],[C2 total]]+Calculations[[#This Row],[C3 total]]+Calculations[[#This Row],[C4 total]])*Calculations[[#This Row],[Replacements]],0)</f>
        <v>0</v>
      </c>
      <c r="S1340" t="str">
        <f>IFERROR(VLOOKUP(Calculations[[#This Row],[Material (choose from dropdown]],MaterialData[#All],4,FALSE),"")</f>
        <v/>
      </c>
      <c r="T1340" s="322" cm="1">
        <f t="array" ref="T1340">IFERROR(VLOOKUP(Calculations[[#This Row],[Waste 1]],WasteScenario[#All],2,FALSE)*'Stage assumptions'!$C$225*WasteTransportMethod[Emissions Factor
kgCO2e/kg.km]*Calculations[[#This Row],[Total Kg]],0)</f>
        <v>0</v>
      </c>
      <c r="U1340" s="322" cm="1">
        <f t="array" ref="U1340">IFERROR(VLOOKUP(Calculations[[#This Row],[Waste 1]],WasteScenario[#All],3,FALSE)*'Stage assumptions'!$C$224*WasteTransportMethod[Emissions Factor
kgCO2e/kg.km]*Calculations[[#This Row],[Total Kg]],0)</f>
        <v>0</v>
      </c>
      <c r="V1340" s="322" cm="1">
        <f t="array" ref="V1340">IFERROR(VLOOKUP(Calculations[[#This Row],[Waste 1]],WasteScenario[#All],4,FALSE)*'Stage assumptions'!$C$223*WasteTransportMethod[Emissions Factor
kgCO2e/kg.km]*Calculations[[#This Row],[Total Kg]],0)</f>
        <v>0</v>
      </c>
      <c r="W1340" s="322" cm="1">
        <f t="array" ref="W1340">IFERROR(VLOOKUP(Calculations[[#This Row],[Waste 1]],WasteScenario[#All],5,FALSE)*'Stage assumptions'!$C$226*WasteTransportMethod[Emissions Factor
kgCO2e/kg.km]*Calculations[[#This Row],[Total Kg]],0)</f>
        <v>0</v>
      </c>
      <c r="X1340" s="322">
        <f>SUM(Calculations[[#This Row],[C2 Recycle]:[C2 Reuse]])</f>
        <v>0</v>
      </c>
      <c r="Y1340" t="str">
        <f>IFERROR(VLOOKUP(Calculations[[#This Row],[Material (choose from dropdown]],MaterialData[#All],5,FALSE),"")</f>
        <v/>
      </c>
      <c r="Z1340" s="322">
        <f>IFERROR(((VLOOKUP(Calculations[[#This Row],[Waste type 2]],WasteDisposalEmissions[#All],2,FALSE))*Calculations[[#This Row],[Total Kg]])*VLOOKUP(Calculations[[#This Row],[Waste 1]],WasteScenario[#All],2,FALSE),0)</f>
        <v>0</v>
      </c>
      <c r="AA1340" s="322">
        <f>IFERROR((VLOOKUP(Calculations[[#This Row],[Waste type 2]],WasteDisposalEmissions[#All],3,FALSE))*Calculations[[#This Row],[Total Kg]]*VLOOKUP(Calculations[[#This Row],[Waste 1]],WasteScenario[#All],3,FALSE),0)</f>
        <v>0</v>
      </c>
      <c r="AB1340" s="322">
        <f>SUM(Calculations[[#This Row],[C3 recyc]:[C3 incin]])</f>
        <v>0</v>
      </c>
      <c r="AC1340" s="334">
        <f>IFERROR((VLOOKUP(Calculations[[#This Row],[Waste type 2]],WasteLandfillEmissions[#All],2,FALSE))*Calculations[[#This Row],[Total Kg]]*VLOOKUP(Calculations[[#This Row],[Waste 1]],WasteScenario[#All],4,FALSE),0)</f>
        <v>0</v>
      </c>
      <c r="AD1340" s="322">
        <f>IFERROR((VLOOKUP(Calculations[[#This Row],[Waste type 2]],WasteLandfillEmissions[#All],3,FALSE))*Calculations[[#This Row],[Total Kg]]*VLOOKUP(Calculations[[#This Row],[Waste 1]],WasteScenario[#All],4,FALSE),0)</f>
        <v>0</v>
      </c>
      <c r="AE1340" s="322">
        <f>SUM(Calculations[[#This Row],[C4 landfill]:[C4 re-use]])</f>
        <v>0</v>
      </c>
      <c r="AF1340" s="322">
        <f>IFERROR(VLOOKUP(Calculations[[#This Row],[Material (choose from dropdown]],MaterialData[#All],8,FALSE),0)</f>
        <v>0</v>
      </c>
      <c r="AG1340" s="322">
        <f>IFERROR(Calculations[[#This Row],[Total Kg]]*Calculations[[#This Row],[Seq factor]],0)</f>
        <v>0</v>
      </c>
      <c r="AI1340" s="322">
        <f>Calculations[[#This Row],[A1-3]]+Calculations[[#This Row],[A4]]+Calculations[[#This Row],[A5]]+Calculations[[#This Row],[B4]]+Calculations[[#This Row],[C2 total]]+Calculations[[#This Row],[C3 total]]+Calculations[[#This Row],[C4 total]]</f>
        <v>0</v>
      </c>
      <c r="AJ1340" s="2">
        <f>IFERROR(VLOOKUP(Calculations[[#This Row],[Material (choose from dropdown]],MaterialData[[#Headers],[#Data]],9,FALSE),0)</f>
        <v>0</v>
      </c>
      <c r="AK1340" s="4">
        <f>IFERROR(VLOOKUP(Calculations[[#This Row],[Material (choose from dropdown]],MaterialData[[#Headers],[#Data]],10,FALSE),0)</f>
        <v>0</v>
      </c>
      <c r="AL1340" s="322">
        <f>IFERROR(Calculations[[#This Row],[Data Quality Score]]*Calculations[[#This Row],[Total Kg]],0)</f>
        <v>0</v>
      </c>
    </row>
    <row r="1341" spans="1:38" x14ac:dyDescent="0.3">
      <c r="A1341" s="6">
        <f>IFERROR(MaterialsBoQ[[#This Row],[Scope Element]],0)</f>
        <v>0</v>
      </c>
      <c r="B1341" t="str">
        <f>IFERROR(MaterialsBoQ[[#This Row],[Material ]],"")</f>
        <v/>
      </c>
      <c r="C1341" t="str">
        <f>IFERROR(MaterialsBoQ[[#This Row],[Unit]],"")</f>
        <v/>
      </c>
      <c r="D1341" s="322">
        <f>IFERROR(MaterialsBoQ[[#This Row],[Number]],0)</f>
        <v>0</v>
      </c>
      <c r="E1341" s="322">
        <f>IFERROR(MaterialsBoQ[[#This Row],[Kg per unit]],0)</f>
        <v>0</v>
      </c>
      <c r="F1341" s="322">
        <f>IFERROR(Calculations[[#This Row],[Number]]*Calculations[[#This Row],[Conversion factor]],0)</f>
        <v>0</v>
      </c>
      <c r="G1341" s="322">
        <f>IFERROR(VLOOKUP(Calculations[[#This Row],[Material (choose from dropdown]],MaterialData[#All],7,FALSE),0)</f>
        <v>0</v>
      </c>
      <c r="H1341" s="322">
        <f>Calculations[[#This Row],[Total Kg]]*Calculations[[#This Row],[Carbon Factor]]</f>
        <v>0</v>
      </c>
      <c r="I1341" t="str">
        <f>IFERROR(VLOOKUP(Calculations[[#This Row],[Material (choose from dropdown]],MaterialData[#All],2,FALSE),"")</f>
        <v/>
      </c>
      <c r="J1341" s="322">
        <f>IFERROR(((VLOOKUP(Calculations[[#This Row],[TransportSource]],TransportDistance[],2,FALSE)*'Stage assumptions'!$C$11)+VLOOKUP(Calculations[[#This Row],[TransportSource]],TransportDistance[],3,FALSE)*'Stage assumptions'!$C$12)*Calculations[[#This Row],[Total Kg]],0)</f>
        <v>0</v>
      </c>
      <c r="K1341">
        <f>IFERROR(VLOOKUP(Calculations[[#This Row],[Material (choose from dropdown]], MaterialData[#All],3, FALSE),0)</f>
        <v>0</v>
      </c>
      <c r="L1341" s="322">
        <f>IFERROR(VLOOKUP(Calculations[[#This Row],[A5type]],A5WastageRate[#All],2,FALSE)*Calculations[[#This Row],[A1-3]],0)</f>
        <v>0</v>
      </c>
      <c r="N1341">
        <f>IFERROR(ROUNDUP(50/VLOOKUP(Calculations[[#This Row],[Scope Element]],B4referenceServiceLife[[Tier 2 element]:[Default Service Life]],2, FALSE)-1,0),0)</f>
        <v>0</v>
      </c>
      <c r="O1341" s="322">
        <f>IFERROR((Calculations[[#This Row],[A1-3]]+Calculations[[#This Row],[A4]]+Calculations[[#This Row],[A5]]+Calculations[[#This Row],[C2 total]]+Calculations[[#This Row],[C3 total]]+Calculations[[#This Row],[C4 total]])*Calculations[[#This Row],[Replacements]],0)</f>
        <v>0</v>
      </c>
      <c r="S1341" t="str">
        <f>IFERROR(VLOOKUP(Calculations[[#This Row],[Material (choose from dropdown]],MaterialData[#All],4,FALSE),"")</f>
        <v/>
      </c>
      <c r="T1341" s="322" cm="1">
        <f t="array" ref="T1341">IFERROR(VLOOKUP(Calculations[[#This Row],[Waste 1]],WasteScenario[#All],2,FALSE)*'Stage assumptions'!$C$225*WasteTransportMethod[Emissions Factor
kgCO2e/kg.km]*Calculations[[#This Row],[Total Kg]],0)</f>
        <v>0</v>
      </c>
      <c r="U1341" s="322" cm="1">
        <f t="array" ref="U1341">IFERROR(VLOOKUP(Calculations[[#This Row],[Waste 1]],WasteScenario[#All],3,FALSE)*'Stage assumptions'!$C$224*WasteTransportMethod[Emissions Factor
kgCO2e/kg.km]*Calculations[[#This Row],[Total Kg]],0)</f>
        <v>0</v>
      </c>
      <c r="V1341" s="322" cm="1">
        <f t="array" ref="V1341">IFERROR(VLOOKUP(Calculations[[#This Row],[Waste 1]],WasteScenario[#All],4,FALSE)*'Stage assumptions'!$C$223*WasteTransportMethod[Emissions Factor
kgCO2e/kg.km]*Calculations[[#This Row],[Total Kg]],0)</f>
        <v>0</v>
      </c>
      <c r="W1341" s="322" cm="1">
        <f t="array" ref="W1341">IFERROR(VLOOKUP(Calculations[[#This Row],[Waste 1]],WasteScenario[#All],5,FALSE)*'Stage assumptions'!$C$226*WasteTransportMethod[Emissions Factor
kgCO2e/kg.km]*Calculations[[#This Row],[Total Kg]],0)</f>
        <v>0</v>
      </c>
      <c r="X1341" s="322">
        <f>SUM(Calculations[[#This Row],[C2 Recycle]:[C2 Reuse]])</f>
        <v>0</v>
      </c>
      <c r="Y1341" t="str">
        <f>IFERROR(VLOOKUP(Calculations[[#This Row],[Material (choose from dropdown]],MaterialData[#All],5,FALSE),"")</f>
        <v/>
      </c>
      <c r="Z1341" s="322">
        <f>IFERROR(((VLOOKUP(Calculations[[#This Row],[Waste type 2]],WasteDisposalEmissions[#All],2,FALSE))*Calculations[[#This Row],[Total Kg]])*VLOOKUP(Calculations[[#This Row],[Waste 1]],WasteScenario[#All],2,FALSE),0)</f>
        <v>0</v>
      </c>
      <c r="AA1341" s="322">
        <f>IFERROR((VLOOKUP(Calculations[[#This Row],[Waste type 2]],WasteDisposalEmissions[#All],3,FALSE))*Calculations[[#This Row],[Total Kg]]*VLOOKUP(Calculations[[#This Row],[Waste 1]],WasteScenario[#All],3,FALSE),0)</f>
        <v>0</v>
      </c>
      <c r="AB1341" s="322">
        <f>SUM(Calculations[[#This Row],[C3 recyc]:[C3 incin]])</f>
        <v>0</v>
      </c>
      <c r="AC1341" s="334">
        <f>IFERROR((VLOOKUP(Calculations[[#This Row],[Waste type 2]],WasteLandfillEmissions[#All],2,FALSE))*Calculations[[#This Row],[Total Kg]]*VLOOKUP(Calculations[[#This Row],[Waste 1]],WasteScenario[#All],4,FALSE),0)</f>
        <v>0</v>
      </c>
      <c r="AD1341" s="322">
        <f>IFERROR((VLOOKUP(Calculations[[#This Row],[Waste type 2]],WasteLandfillEmissions[#All],3,FALSE))*Calculations[[#This Row],[Total Kg]]*VLOOKUP(Calculations[[#This Row],[Waste 1]],WasteScenario[#All],4,FALSE),0)</f>
        <v>0</v>
      </c>
      <c r="AE1341" s="322">
        <f>SUM(Calculations[[#This Row],[C4 landfill]:[C4 re-use]])</f>
        <v>0</v>
      </c>
      <c r="AF1341" s="322">
        <f>IFERROR(VLOOKUP(Calculations[[#This Row],[Material (choose from dropdown]],MaterialData[#All],8,FALSE),0)</f>
        <v>0</v>
      </c>
      <c r="AG1341" s="322">
        <f>IFERROR(Calculations[[#This Row],[Total Kg]]*Calculations[[#This Row],[Seq factor]],0)</f>
        <v>0</v>
      </c>
      <c r="AI1341" s="322">
        <f>Calculations[[#This Row],[A1-3]]+Calculations[[#This Row],[A4]]+Calculations[[#This Row],[A5]]+Calculations[[#This Row],[B4]]+Calculations[[#This Row],[C2 total]]+Calculations[[#This Row],[C3 total]]+Calculations[[#This Row],[C4 total]]</f>
        <v>0</v>
      </c>
      <c r="AJ1341" s="2">
        <f>IFERROR(VLOOKUP(Calculations[[#This Row],[Material (choose from dropdown]],MaterialData[[#Headers],[#Data]],9,FALSE),0)</f>
        <v>0</v>
      </c>
      <c r="AK1341" s="4">
        <f>IFERROR(VLOOKUP(Calculations[[#This Row],[Material (choose from dropdown]],MaterialData[[#Headers],[#Data]],10,FALSE),0)</f>
        <v>0</v>
      </c>
      <c r="AL1341" s="322">
        <f>IFERROR(Calculations[[#This Row],[Data Quality Score]]*Calculations[[#This Row],[Total Kg]],0)</f>
        <v>0</v>
      </c>
    </row>
    <row r="1342" spans="1:38" x14ac:dyDescent="0.3">
      <c r="A1342" s="6">
        <f>IFERROR(MaterialsBoQ[[#This Row],[Scope Element]],0)</f>
        <v>0</v>
      </c>
      <c r="B1342" t="str">
        <f>IFERROR(MaterialsBoQ[[#This Row],[Material ]],"")</f>
        <v/>
      </c>
      <c r="C1342" t="str">
        <f>IFERROR(MaterialsBoQ[[#This Row],[Unit]],"")</f>
        <v/>
      </c>
      <c r="D1342" s="322">
        <f>IFERROR(MaterialsBoQ[[#This Row],[Number]],0)</f>
        <v>0</v>
      </c>
      <c r="E1342" s="322">
        <f>IFERROR(MaterialsBoQ[[#This Row],[Kg per unit]],0)</f>
        <v>0</v>
      </c>
      <c r="F1342" s="322">
        <f>IFERROR(Calculations[[#This Row],[Number]]*Calculations[[#This Row],[Conversion factor]],0)</f>
        <v>0</v>
      </c>
      <c r="G1342" s="322">
        <f>IFERROR(VLOOKUP(Calculations[[#This Row],[Material (choose from dropdown]],MaterialData[#All],7,FALSE),0)</f>
        <v>0</v>
      </c>
      <c r="H1342" s="322">
        <f>Calculations[[#This Row],[Total Kg]]*Calculations[[#This Row],[Carbon Factor]]</f>
        <v>0</v>
      </c>
      <c r="I1342" t="str">
        <f>IFERROR(VLOOKUP(Calculations[[#This Row],[Material (choose from dropdown]],MaterialData[#All],2,FALSE),"")</f>
        <v/>
      </c>
      <c r="J1342" s="322">
        <f>IFERROR(((VLOOKUP(Calculations[[#This Row],[TransportSource]],TransportDistance[],2,FALSE)*'Stage assumptions'!$C$11)+VLOOKUP(Calculations[[#This Row],[TransportSource]],TransportDistance[],3,FALSE)*'Stage assumptions'!$C$12)*Calculations[[#This Row],[Total Kg]],0)</f>
        <v>0</v>
      </c>
      <c r="K1342">
        <f>IFERROR(VLOOKUP(Calculations[[#This Row],[Material (choose from dropdown]], MaterialData[#All],3, FALSE),0)</f>
        <v>0</v>
      </c>
      <c r="L1342" s="322">
        <f>IFERROR(VLOOKUP(Calculations[[#This Row],[A5type]],A5WastageRate[#All],2,FALSE)*Calculations[[#This Row],[A1-3]],0)</f>
        <v>0</v>
      </c>
      <c r="N1342">
        <f>IFERROR(ROUNDUP(50/VLOOKUP(Calculations[[#This Row],[Scope Element]],B4referenceServiceLife[[Tier 2 element]:[Default Service Life]],2, FALSE)-1,0),0)</f>
        <v>0</v>
      </c>
      <c r="O1342" s="322">
        <f>IFERROR((Calculations[[#This Row],[A1-3]]+Calculations[[#This Row],[A4]]+Calculations[[#This Row],[A5]]+Calculations[[#This Row],[C2 total]]+Calculations[[#This Row],[C3 total]]+Calculations[[#This Row],[C4 total]])*Calculations[[#This Row],[Replacements]],0)</f>
        <v>0</v>
      </c>
      <c r="S1342" t="str">
        <f>IFERROR(VLOOKUP(Calculations[[#This Row],[Material (choose from dropdown]],MaterialData[#All],4,FALSE),"")</f>
        <v/>
      </c>
      <c r="T1342" s="322" cm="1">
        <f t="array" ref="T1342">IFERROR(VLOOKUP(Calculations[[#This Row],[Waste 1]],WasteScenario[#All],2,FALSE)*'Stage assumptions'!$C$225*WasteTransportMethod[Emissions Factor
kgCO2e/kg.km]*Calculations[[#This Row],[Total Kg]],0)</f>
        <v>0</v>
      </c>
      <c r="U1342" s="322" cm="1">
        <f t="array" ref="U1342">IFERROR(VLOOKUP(Calculations[[#This Row],[Waste 1]],WasteScenario[#All],3,FALSE)*'Stage assumptions'!$C$224*WasteTransportMethod[Emissions Factor
kgCO2e/kg.km]*Calculations[[#This Row],[Total Kg]],0)</f>
        <v>0</v>
      </c>
      <c r="V1342" s="322" cm="1">
        <f t="array" ref="V1342">IFERROR(VLOOKUP(Calculations[[#This Row],[Waste 1]],WasteScenario[#All],4,FALSE)*'Stage assumptions'!$C$223*WasteTransportMethod[Emissions Factor
kgCO2e/kg.km]*Calculations[[#This Row],[Total Kg]],0)</f>
        <v>0</v>
      </c>
      <c r="W1342" s="322" cm="1">
        <f t="array" ref="W1342">IFERROR(VLOOKUP(Calculations[[#This Row],[Waste 1]],WasteScenario[#All],5,FALSE)*'Stage assumptions'!$C$226*WasteTransportMethod[Emissions Factor
kgCO2e/kg.km]*Calculations[[#This Row],[Total Kg]],0)</f>
        <v>0</v>
      </c>
      <c r="X1342" s="322">
        <f>SUM(Calculations[[#This Row],[C2 Recycle]:[C2 Reuse]])</f>
        <v>0</v>
      </c>
      <c r="Y1342" t="str">
        <f>IFERROR(VLOOKUP(Calculations[[#This Row],[Material (choose from dropdown]],MaterialData[#All],5,FALSE),"")</f>
        <v/>
      </c>
      <c r="Z1342" s="322">
        <f>IFERROR(((VLOOKUP(Calculations[[#This Row],[Waste type 2]],WasteDisposalEmissions[#All],2,FALSE))*Calculations[[#This Row],[Total Kg]])*VLOOKUP(Calculations[[#This Row],[Waste 1]],WasteScenario[#All],2,FALSE),0)</f>
        <v>0</v>
      </c>
      <c r="AA1342" s="322">
        <f>IFERROR((VLOOKUP(Calculations[[#This Row],[Waste type 2]],WasteDisposalEmissions[#All],3,FALSE))*Calculations[[#This Row],[Total Kg]]*VLOOKUP(Calculations[[#This Row],[Waste 1]],WasteScenario[#All],3,FALSE),0)</f>
        <v>0</v>
      </c>
      <c r="AB1342" s="322">
        <f>SUM(Calculations[[#This Row],[C3 recyc]:[C3 incin]])</f>
        <v>0</v>
      </c>
      <c r="AC1342" s="334">
        <f>IFERROR((VLOOKUP(Calculations[[#This Row],[Waste type 2]],WasteLandfillEmissions[#All],2,FALSE))*Calculations[[#This Row],[Total Kg]]*VLOOKUP(Calculations[[#This Row],[Waste 1]],WasteScenario[#All],4,FALSE),0)</f>
        <v>0</v>
      </c>
      <c r="AD1342" s="322">
        <f>IFERROR((VLOOKUP(Calculations[[#This Row],[Waste type 2]],WasteLandfillEmissions[#All],3,FALSE))*Calculations[[#This Row],[Total Kg]]*VLOOKUP(Calculations[[#This Row],[Waste 1]],WasteScenario[#All],4,FALSE),0)</f>
        <v>0</v>
      </c>
      <c r="AE1342" s="322">
        <f>SUM(Calculations[[#This Row],[C4 landfill]:[C4 re-use]])</f>
        <v>0</v>
      </c>
      <c r="AF1342" s="322">
        <f>IFERROR(VLOOKUP(Calculations[[#This Row],[Material (choose from dropdown]],MaterialData[#All],8,FALSE),0)</f>
        <v>0</v>
      </c>
      <c r="AG1342" s="322">
        <f>IFERROR(Calculations[[#This Row],[Total Kg]]*Calculations[[#This Row],[Seq factor]],0)</f>
        <v>0</v>
      </c>
      <c r="AI1342" s="322">
        <f>Calculations[[#This Row],[A1-3]]+Calculations[[#This Row],[A4]]+Calculations[[#This Row],[A5]]+Calculations[[#This Row],[B4]]+Calculations[[#This Row],[C2 total]]+Calculations[[#This Row],[C3 total]]+Calculations[[#This Row],[C4 total]]</f>
        <v>0</v>
      </c>
      <c r="AJ1342" s="2">
        <f>IFERROR(VLOOKUP(Calculations[[#This Row],[Material (choose from dropdown]],MaterialData[[#Headers],[#Data]],9,FALSE),0)</f>
        <v>0</v>
      </c>
      <c r="AK1342" s="4">
        <f>IFERROR(VLOOKUP(Calculations[[#This Row],[Material (choose from dropdown]],MaterialData[[#Headers],[#Data]],10,FALSE),0)</f>
        <v>0</v>
      </c>
      <c r="AL1342" s="322">
        <f>IFERROR(Calculations[[#This Row],[Data Quality Score]]*Calculations[[#This Row],[Total Kg]],0)</f>
        <v>0</v>
      </c>
    </row>
    <row r="1343" spans="1:38" x14ac:dyDescent="0.3">
      <c r="A1343" s="6">
        <f>IFERROR(MaterialsBoQ[[#This Row],[Scope Element]],0)</f>
        <v>0</v>
      </c>
      <c r="B1343" t="str">
        <f>IFERROR(MaterialsBoQ[[#This Row],[Material ]],"")</f>
        <v/>
      </c>
      <c r="C1343" t="str">
        <f>IFERROR(MaterialsBoQ[[#This Row],[Unit]],"")</f>
        <v/>
      </c>
      <c r="D1343" s="322">
        <f>IFERROR(MaterialsBoQ[[#This Row],[Number]],0)</f>
        <v>0</v>
      </c>
      <c r="E1343" s="322">
        <f>IFERROR(MaterialsBoQ[[#This Row],[Kg per unit]],0)</f>
        <v>0</v>
      </c>
      <c r="F1343" s="322">
        <f>IFERROR(Calculations[[#This Row],[Number]]*Calculations[[#This Row],[Conversion factor]],0)</f>
        <v>0</v>
      </c>
      <c r="G1343" s="322">
        <f>IFERROR(VLOOKUP(Calculations[[#This Row],[Material (choose from dropdown]],MaterialData[#All],7,FALSE),0)</f>
        <v>0</v>
      </c>
      <c r="H1343" s="322">
        <f>Calculations[[#This Row],[Total Kg]]*Calculations[[#This Row],[Carbon Factor]]</f>
        <v>0</v>
      </c>
      <c r="I1343" t="str">
        <f>IFERROR(VLOOKUP(Calculations[[#This Row],[Material (choose from dropdown]],MaterialData[#All],2,FALSE),"")</f>
        <v/>
      </c>
      <c r="J1343" s="322">
        <f>IFERROR(((VLOOKUP(Calculations[[#This Row],[TransportSource]],TransportDistance[],2,FALSE)*'Stage assumptions'!$C$11)+VLOOKUP(Calculations[[#This Row],[TransportSource]],TransportDistance[],3,FALSE)*'Stage assumptions'!$C$12)*Calculations[[#This Row],[Total Kg]],0)</f>
        <v>0</v>
      </c>
      <c r="K1343">
        <f>IFERROR(VLOOKUP(Calculations[[#This Row],[Material (choose from dropdown]], MaterialData[#All],3, FALSE),0)</f>
        <v>0</v>
      </c>
      <c r="L1343" s="322">
        <f>IFERROR(VLOOKUP(Calculations[[#This Row],[A5type]],A5WastageRate[#All],2,FALSE)*Calculations[[#This Row],[A1-3]],0)</f>
        <v>0</v>
      </c>
      <c r="N1343">
        <f>IFERROR(ROUNDUP(50/VLOOKUP(Calculations[[#This Row],[Scope Element]],B4referenceServiceLife[[Tier 2 element]:[Default Service Life]],2, FALSE)-1,0),0)</f>
        <v>0</v>
      </c>
      <c r="O1343" s="322">
        <f>IFERROR((Calculations[[#This Row],[A1-3]]+Calculations[[#This Row],[A4]]+Calculations[[#This Row],[A5]]+Calculations[[#This Row],[C2 total]]+Calculations[[#This Row],[C3 total]]+Calculations[[#This Row],[C4 total]])*Calculations[[#This Row],[Replacements]],0)</f>
        <v>0</v>
      </c>
      <c r="S1343" t="str">
        <f>IFERROR(VLOOKUP(Calculations[[#This Row],[Material (choose from dropdown]],MaterialData[#All],4,FALSE),"")</f>
        <v/>
      </c>
      <c r="T1343" s="322" cm="1">
        <f t="array" ref="T1343">IFERROR(VLOOKUP(Calculations[[#This Row],[Waste 1]],WasteScenario[#All],2,FALSE)*'Stage assumptions'!$C$225*WasteTransportMethod[Emissions Factor
kgCO2e/kg.km]*Calculations[[#This Row],[Total Kg]],0)</f>
        <v>0</v>
      </c>
      <c r="U1343" s="322" cm="1">
        <f t="array" ref="U1343">IFERROR(VLOOKUP(Calculations[[#This Row],[Waste 1]],WasteScenario[#All],3,FALSE)*'Stage assumptions'!$C$224*WasteTransportMethod[Emissions Factor
kgCO2e/kg.km]*Calculations[[#This Row],[Total Kg]],0)</f>
        <v>0</v>
      </c>
      <c r="V1343" s="322" cm="1">
        <f t="array" ref="V1343">IFERROR(VLOOKUP(Calculations[[#This Row],[Waste 1]],WasteScenario[#All],4,FALSE)*'Stage assumptions'!$C$223*WasteTransportMethod[Emissions Factor
kgCO2e/kg.km]*Calculations[[#This Row],[Total Kg]],0)</f>
        <v>0</v>
      </c>
      <c r="W1343" s="322" cm="1">
        <f t="array" ref="W1343">IFERROR(VLOOKUP(Calculations[[#This Row],[Waste 1]],WasteScenario[#All],5,FALSE)*'Stage assumptions'!$C$226*WasteTransportMethod[Emissions Factor
kgCO2e/kg.km]*Calculations[[#This Row],[Total Kg]],0)</f>
        <v>0</v>
      </c>
      <c r="X1343" s="322">
        <f>SUM(Calculations[[#This Row],[C2 Recycle]:[C2 Reuse]])</f>
        <v>0</v>
      </c>
      <c r="Y1343" t="str">
        <f>IFERROR(VLOOKUP(Calculations[[#This Row],[Material (choose from dropdown]],MaterialData[#All],5,FALSE),"")</f>
        <v/>
      </c>
      <c r="Z1343" s="322">
        <f>IFERROR(((VLOOKUP(Calculations[[#This Row],[Waste type 2]],WasteDisposalEmissions[#All],2,FALSE))*Calculations[[#This Row],[Total Kg]])*VLOOKUP(Calculations[[#This Row],[Waste 1]],WasteScenario[#All],2,FALSE),0)</f>
        <v>0</v>
      </c>
      <c r="AA1343" s="322">
        <f>IFERROR((VLOOKUP(Calculations[[#This Row],[Waste type 2]],WasteDisposalEmissions[#All],3,FALSE))*Calculations[[#This Row],[Total Kg]]*VLOOKUP(Calculations[[#This Row],[Waste 1]],WasteScenario[#All],3,FALSE),0)</f>
        <v>0</v>
      </c>
      <c r="AB1343" s="322">
        <f>SUM(Calculations[[#This Row],[C3 recyc]:[C3 incin]])</f>
        <v>0</v>
      </c>
      <c r="AC1343" s="334">
        <f>IFERROR((VLOOKUP(Calculations[[#This Row],[Waste type 2]],WasteLandfillEmissions[#All],2,FALSE))*Calculations[[#This Row],[Total Kg]]*VLOOKUP(Calculations[[#This Row],[Waste 1]],WasteScenario[#All],4,FALSE),0)</f>
        <v>0</v>
      </c>
      <c r="AD1343" s="322">
        <f>IFERROR((VLOOKUP(Calculations[[#This Row],[Waste type 2]],WasteLandfillEmissions[#All],3,FALSE))*Calculations[[#This Row],[Total Kg]]*VLOOKUP(Calculations[[#This Row],[Waste 1]],WasteScenario[#All],4,FALSE),0)</f>
        <v>0</v>
      </c>
      <c r="AE1343" s="322">
        <f>SUM(Calculations[[#This Row],[C4 landfill]:[C4 re-use]])</f>
        <v>0</v>
      </c>
      <c r="AF1343" s="322">
        <f>IFERROR(VLOOKUP(Calculations[[#This Row],[Material (choose from dropdown]],MaterialData[#All],8,FALSE),0)</f>
        <v>0</v>
      </c>
      <c r="AG1343" s="322">
        <f>IFERROR(Calculations[[#This Row],[Total Kg]]*Calculations[[#This Row],[Seq factor]],0)</f>
        <v>0</v>
      </c>
      <c r="AI1343" s="322">
        <f>Calculations[[#This Row],[A1-3]]+Calculations[[#This Row],[A4]]+Calculations[[#This Row],[A5]]+Calculations[[#This Row],[B4]]+Calculations[[#This Row],[C2 total]]+Calculations[[#This Row],[C3 total]]+Calculations[[#This Row],[C4 total]]</f>
        <v>0</v>
      </c>
      <c r="AJ1343" s="2">
        <f>IFERROR(VLOOKUP(Calculations[[#This Row],[Material (choose from dropdown]],MaterialData[[#Headers],[#Data]],9,FALSE),0)</f>
        <v>0</v>
      </c>
      <c r="AK1343" s="4">
        <f>IFERROR(VLOOKUP(Calculations[[#This Row],[Material (choose from dropdown]],MaterialData[[#Headers],[#Data]],10,FALSE),0)</f>
        <v>0</v>
      </c>
      <c r="AL1343" s="322">
        <f>IFERROR(Calculations[[#This Row],[Data Quality Score]]*Calculations[[#This Row],[Total Kg]],0)</f>
        <v>0</v>
      </c>
    </row>
    <row r="1344" spans="1:38" x14ac:dyDescent="0.3">
      <c r="A1344" s="6">
        <f>IFERROR(MaterialsBoQ[[#This Row],[Scope Element]],0)</f>
        <v>0</v>
      </c>
      <c r="B1344" t="str">
        <f>IFERROR(MaterialsBoQ[[#This Row],[Material ]],"")</f>
        <v/>
      </c>
      <c r="C1344" t="str">
        <f>IFERROR(MaterialsBoQ[[#This Row],[Unit]],"")</f>
        <v/>
      </c>
      <c r="D1344" s="322">
        <f>IFERROR(MaterialsBoQ[[#This Row],[Number]],0)</f>
        <v>0</v>
      </c>
      <c r="E1344" s="322">
        <f>IFERROR(MaterialsBoQ[[#This Row],[Kg per unit]],0)</f>
        <v>0</v>
      </c>
      <c r="F1344" s="322">
        <f>IFERROR(Calculations[[#This Row],[Number]]*Calculations[[#This Row],[Conversion factor]],0)</f>
        <v>0</v>
      </c>
      <c r="G1344" s="322">
        <f>IFERROR(VLOOKUP(Calculations[[#This Row],[Material (choose from dropdown]],MaterialData[#All],7,FALSE),0)</f>
        <v>0</v>
      </c>
      <c r="H1344" s="322">
        <f>Calculations[[#This Row],[Total Kg]]*Calculations[[#This Row],[Carbon Factor]]</f>
        <v>0</v>
      </c>
      <c r="I1344" t="str">
        <f>IFERROR(VLOOKUP(Calculations[[#This Row],[Material (choose from dropdown]],MaterialData[#All],2,FALSE),"")</f>
        <v/>
      </c>
      <c r="J1344" s="322">
        <f>IFERROR(((VLOOKUP(Calculations[[#This Row],[TransportSource]],TransportDistance[],2,FALSE)*'Stage assumptions'!$C$11)+VLOOKUP(Calculations[[#This Row],[TransportSource]],TransportDistance[],3,FALSE)*'Stage assumptions'!$C$12)*Calculations[[#This Row],[Total Kg]],0)</f>
        <v>0</v>
      </c>
      <c r="K1344">
        <f>IFERROR(VLOOKUP(Calculations[[#This Row],[Material (choose from dropdown]], MaterialData[#All],3, FALSE),0)</f>
        <v>0</v>
      </c>
      <c r="L1344" s="322">
        <f>IFERROR(VLOOKUP(Calculations[[#This Row],[A5type]],A5WastageRate[#All],2,FALSE)*Calculations[[#This Row],[A1-3]],0)</f>
        <v>0</v>
      </c>
      <c r="N1344">
        <f>IFERROR(ROUNDUP(50/VLOOKUP(Calculations[[#This Row],[Scope Element]],B4referenceServiceLife[[Tier 2 element]:[Default Service Life]],2, FALSE)-1,0),0)</f>
        <v>0</v>
      </c>
      <c r="O1344" s="322">
        <f>IFERROR((Calculations[[#This Row],[A1-3]]+Calculations[[#This Row],[A4]]+Calculations[[#This Row],[A5]]+Calculations[[#This Row],[C2 total]]+Calculations[[#This Row],[C3 total]]+Calculations[[#This Row],[C4 total]])*Calculations[[#This Row],[Replacements]],0)</f>
        <v>0</v>
      </c>
      <c r="S1344" t="str">
        <f>IFERROR(VLOOKUP(Calculations[[#This Row],[Material (choose from dropdown]],MaterialData[#All],4,FALSE),"")</f>
        <v/>
      </c>
      <c r="T1344" s="322" cm="1">
        <f t="array" ref="T1344">IFERROR(VLOOKUP(Calculations[[#This Row],[Waste 1]],WasteScenario[#All],2,FALSE)*'Stage assumptions'!$C$225*WasteTransportMethod[Emissions Factor
kgCO2e/kg.km]*Calculations[[#This Row],[Total Kg]],0)</f>
        <v>0</v>
      </c>
      <c r="U1344" s="322" cm="1">
        <f t="array" ref="U1344">IFERROR(VLOOKUP(Calculations[[#This Row],[Waste 1]],WasteScenario[#All],3,FALSE)*'Stage assumptions'!$C$224*WasteTransportMethod[Emissions Factor
kgCO2e/kg.km]*Calculations[[#This Row],[Total Kg]],0)</f>
        <v>0</v>
      </c>
      <c r="V1344" s="322" cm="1">
        <f t="array" ref="V1344">IFERROR(VLOOKUP(Calculations[[#This Row],[Waste 1]],WasteScenario[#All],4,FALSE)*'Stage assumptions'!$C$223*WasteTransportMethod[Emissions Factor
kgCO2e/kg.km]*Calculations[[#This Row],[Total Kg]],0)</f>
        <v>0</v>
      </c>
      <c r="W1344" s="322" cm="1">
        <f t="array" ref="W1344">IFERROR(VLOOKUP(Calculations[[#This Row],[Waste 1]],WasteScenario[#All],5,FALSE)*'Stage assumptions'!$C$226*WasteTransportMethod[Emissions Factor
kgCO2e/kg.km]*Calculations[[#This Row],[Total Kg]],0)</f>
        <v>0</v>
      </c>
      <c r="X1344" s="322">
        <f>SUM(Calculations[[#This Row],[C2 Recycle]:[C2 Reuse]])</f>
        <v>0</v>
      </c>
      <c r="Y1344" t="str">
        <f>IFERROR(VLOOKUP(Calculations[[#This Row],[Material (choose from dropdown]],MaterialData[#All],5,FALSE),"")</f>
        <v/>
      </c>
      <c r="Z1344" s="322">
        <f>IFERROR(((VLOOKUP(Calculations[[#This Row],[Waste type 2]],WasteDisposalEmissions[#All],2,FALSE))*Calculations[[#This Row],[Total Kg]])*VLOOKUP(Calculations[[#This Row],[Waste 1]],WasteScenario[#All],2,FALSE),0)</f>
        <v>0</v>
      </c>
      <c r="AA1344" s="322">
        <f>IFERROR((VLOOKUP(Calculations[[#This Row],[Waste type 2]],WasteDisposalEmissions[#All],3,FALSE))*Calculations[[#This Row],[Total Kg]]*VLOOKUP(Calculations[[#This Row],[Waste 1]],WasteScenario[#All],3,FALSE),0)</f>
        <v>0</v>
      </c>
      <c r="AB1344" s="322">
        <f>SUM(Calculations[[#This Row],[C3 recyc]:[C3 incin]])</f>
        <v>0</v>
      </c>
      <c r="AC1344" s="334">
        <f>IFERROR((VLOOKUP(Calculations[[#This Row],[Waste type 2]],WasteLandfillEmissions[#All],2,FALSE))*Calculations[[#This Row],[Total Kg]]*VLOOKUP(Calculations[[#This Row],[Waste 1]],WasteScenario[#All],4,FALSE),0)</f>
        <v>0</v>
      </c>
      <c r="AD1344" s="322">
        <f>IFERROR((VLOOKUP(Calculations[[#This Row],[Waste type 2]],WasteLandfillEmissions[#All],3,FALSE))*Calculations[[#This Row],[Total Kg]]*VLOOKUP(Calculations[[#This Row],[Waste 1]],WasteScenario[#All],4,FALSE),0)</f>
        <v>0</v>
      </c>
      <c r="AE1344" s="322">
        <f>SUM(Calculations[[#This Row],[C4 landfill]:[C4 re-use]])</f>
        <v>0</v>
      </c>
      <c r="AF1344" s="322">
        <f>IFERROR(VLOOKUP(Calculations[[#This Row],[Material (choose from dropdown]],MaterialData[#All],8,FALSE),0)</f>
        <v>0</v>
      </c>
      <c r="AG1344" s="322">
        <f>IFERROR(Calculations[[#This Row],[Total Kg]]*Calculations[[#This Row],[Seq factor]],0)</f>
        <v>0</v>
      </c>
      <c r="AI1344" s="322">
        <f>Calculations[[#This Row],[A1-3]]+Calculations[[#This Row],[A4]]+Calculations[[#This Row],[A5]]+Calculations[[#This Row],[B4]]+Calculations[[#This Row],[C2 total]]+Calculations[[#This Row],[C3 total]]+Calculations[[#This Row],[C4 total]]</f>
        <v>0</v>
      </c>
      <c r="AJ1344" s="2">
        <f>IFERROR(VLOOKUP(Calculations[[#This Row],[Material (choose from dropdown]],MaterialData[[#Headers],[#Data]],9,FALSE),0)</f>
        <v>0</v>
      </c>
      <c r="AK1344" s="4">
        <f>IFERROR(VLOOKUP(Calculations[[#This Row],[Material (choose from dropdown]],MaterialData[[#Headers],[#Data]],10,FALSE),0)</f>
        <v>0</v>
      </c>
      <c r="AL1344" s="322">
        <f>IFERROR(Calculations[[#This Row],[Data Quality Score]]*Calculations[[#This Row],[Total Kg]],0)</f>
        <v>0</v>
      </c>
    </row>
    <row r="1345" spans="1:38" x14ac:dyDescent="0.3">
      <c r="A1345" s="6">
        <f>IFERROR(MaterialsBoQ[[#This Row],[Scope Element]],0)</f>
        <v>0</v>
      </c>
      <c r="B1345" t="str">
        <f>IFERROR(MaterialsBoQ[[#This Row],[Material ]],"")</f>
        <v/>
      </c>
      <c r="C1345" t="str">
        <f>IFERROR(MaterialsBoQ[[#This Row],[Unit]],"")</f>
        <v/>
      </c>
      <c r="D1345" s="322">
        <f>IFERROR(MaterialsBoQ[[#This Row],[Number]],0)</f>
        <v>0</v>
      </c>
      <c r="E1345" s="322">
        <f>IFERROR(MaterialsBoQ[[#This Row],[Kg per unit]],0)</f>
        <v>0</v>
      </c>
      <c r="F1345" s="322">
        <f>IFERROR(Calculations[[#This Row],[Number]]*Calculations[[#This Row],[Conversion factor]],0)</f>
        <v>0</v>
      </c>
      <c r="G1345" s="322">
        <f>IFERROR(VLOOKUP(Calculations[[#This Row],[Material (choose from dropdown]],MaterialData[#All],7,FALSE),0)</f>
        <v>0</v>
      </c>
      <c r="H1345" s="322">
        <f>Calculations[[#This Row],[Total Kg]]*Calculations[[#This Row],[Carbon Factor]]</f>
        <v>0</v>
      </c>
      <c r="I1345" t="str">
        <f>IFERROR(VLOOKUP(Calculations[[#This Row],[Material (choose from dropdown]],MaterialData[#All],2,FALSE),"")</f>
        <v/>
      </c>
      <c r="J1345" s="322">
        <f>IFERROR(((VLOOKUP(Calculations[[#This Row],[TransportSource]],TransportDistance[],2,FALSE)*'Stage assumptions'!$C$11)+VLOOKUP(Calculations[[#This Row],[TransportSource]],TransportDistance[],3,FALSE)*'Stage assumptions'!$C$12)*Calculations[[#This Row],[Total Kg]],0)</f>
        <v>0</v>
      </c>
      <c r="K1345">
        <f>IFERROR(VLOOKUP(Calculations[[#This Row],[Material (choose from dropdown]], MaterialData[#All],3, FALSE),0)</f>
        <v>0</v>
      </c>
      <c r="L1345" s="322">
        <f>IFERROR(VLOOKUP(Calculations[[#This Row],[A5type]],A5WastageRate[#All],2,FALSE)*Calculations[[#This Row],[A1-3]],0)</f>
        <v>0</v>
      </c>
      <c r="N1345">
        <f>IFERROR(ROUNDUP(50/VLOOKUP(Calculations[[#This Row],[Scope Element]],B4referenceServiceLife[[Tier 2 element]:[Default Service Life]],2, FALSE)-1,0),0)</f>
        <v>0</v>
      </c>
      <c r="O1345" s="322">
        <f>IFERROR((Calculations[[#This Row],[A1-3]]+Calculations[[#This Row],[A4]]+Calculations[[#This Row],[A5]]+Calculations[[#This Row],[C2 total]]+Calculations[[#This Row],[C3 total]]+Calculations[[#This Row],[C4 total]])*Calculations[[#This Row],[Replacements]],0)</f>
        <v>0</v>
      </c>
      <c r="S1345" t="str">
        <f>IFERROR(VLOOKUP(Calculations[[#This Row],[Material (choose from dropdown]],MaterialData[#All],4,FALSE),"")</f>
        <v/>
      </c>
      <c r="T1345" s="322" cm="1">
        <f t="array" ref="T1345">IFERROR(VLOOKUP(Calculations[[#This Row],[Waste 1]],WasteScenario[#All],2,FALSE)*'Stage assumptions'!$C$225*WasteTransportMethod[Emissions Factor
kgCO2e/kg.km]*Calculations[[#This Row],[Total Kg]],0)</f>
        <v>0</v>
      </c>
      <c r="U1345" s="322" cm="1">
        <f t="array" ref="U1345">IFERROR(VLOOKUP(Calculations[[#This Row],[Waste 1]],WasteScenario[#All],3,FALSE)*'Stage assumptions'!$C$224*WasteTransportMethod[Emissions Factor
kgCO2e/kg.km]*Calculations[[#This Row],[Total Kg]],0)</f>
        <v>0</v>
      </c>
      <c r="V1345" s="322" cm="1">
        <f t="array" ref="V1345">IFERROR(VLOOKUP(Calculations[[#This Row],[Waste 1]],WasteScenario[#All],4,FALSE)*'Stage assumptions'!$C$223*WasteTransportMethod[Emissions Factor
kgCO2e/kg.km]*Calculations[[#This Row],[Total Kg]],0)</f>
        <v>0</v>
      </c>
      <c r="W1345" s="322" cm="1">
        <f t="array" ref="W1345">IFERROR(VLOOKUP(Calculations[[#This Row],[Waste 1]],WasteScenario[#All],5,FALSE)*'Stage assumptions'!$C$226*WasteTransportMethod[Emissions Factor
kgCO2e/kg.km]*Calculations[[#This Row],[Total Kg]],0)</f>
        <v>0</v>
      </c>
      <c r="X1345" s="322">
        <f>SUM(Calculations[[#This Row],[C2 Recycle]:[C2 Reuse]])</f>
        <v>0</v>
      </c>
      <c r="Y1345" t="str">
        <f>IFERROR(VLOOKUP(Calculations[[#This Row],[Material (choose from dropdown]],MaterialData[#All],5,FALSE),"")</f>
        <v/>
      </c>
      <c r="Z1345" s="322">
        <f>IFERROR(((VLOOKUP(Calculations[[#This Row],[Waste type 2]],WasteDisposalEmissions[#All],2,FALSE))*Calculations[[#This Row],[Total Kg]])*VLOOKUP(Calculations[[#This Row],[Waste 1]],WasteScenario[#All],2,FALSE),0)</f>
        <v>0</v>
      </c>
      <c r="AA1345" s="322">
        <f>IFERROR((VLOOKUP(Calculations[[#This Row],[Waste type 2]],WasteDisposalEmissions[#All],3,FALSE))*Calculations[[#This Row],[Total Kg]]*VLOOKUP(Calculations[[#This Row],[Waste 1]],WasteScenario[#All],3,FALSE),0)</f>
        <v>0</v>
      </c>
      <c r="AB1345" s="322">
        <f>SUM(Calculations[[#This Row],[C3 recyc]:[C3 incin]])</f>
        <v>0</v>
      </c>
      <c r="AC1345" s="334">
        <f>IFERROR((VLOOKUP(Calculations[[#This Row],[Waste type 2]],WasteLandfillEmissions[#All],2,FALSE))*Calculations[[#This Row],[Total Kg]]*VLOOKUP(Calculations[[#This Row],[Waste 1]],WasteScenario[#All],4,FALSE),0)</f>
        <v>0</v>
      </c>
      <c r="AD1345" s="322">
        <f>IFERROR((VLOOKUP(Calculations[[#This Row],[Waste type 2]],WasteLandfillEmissions[#All],3,FALSE))*Calculations[[#This Row],[Total Kg]]*VLOOKUP(Calculations[[#This Row],[Waste 1]],WasteScenario[#All],4,FALSE),0)</f>
        <v>0</v>
      </c>
      <c r="AE1345" s="322">
        <f>SUM(Calculations[[#This Row],[C4 landfill]:[C4 re-use]])</f>
        <v>0</v>
      </c>
      <c r="AF1345" s="322">
        <f>IFERROR(VLOOKUP(Calculations[[#This Row],[Material (choose from dropdown]],MaterialData[#All],8,FALSE),0)</f>
        <v>0</v>
      </c>
      <c r="AG1345" s="322">
        <f>IFERROR(Calculations[[#This Row],[Total Kg]]*Calculations[[#This Row],[Seq factor]],0)</f>
        <v>0</v>
      </c>
      <c r="AI1345" s="322">
        <f>Calculations[[#This Row],[A1-3]]+Calculations[[#This Row],[A4]]+Calculations[[#This Row],[A5]]+Calculations[[#This Row],[B4]]+Calculations[[#This Row],[C2 total]]+Calculations[[#This Row],[C3 total]]+Calculations[[#This Row],[C4 total]]</f>
        <v>0</v>
      </c>
      <c r="AJ1345" s="2">
        <f>IFERROR(VLOOKUP(Calculations[[#This Row],[Material (choose from dropdown]],MaterialData[[#Headers],[#Data]],9,FALSE),0)</f>
        <v>0</v>
      </c>
      <c r="AK1345" s="4">
        <f>IFERROR(VLOOKUP(Calculations[[#This Row],[Material (choose from dropdown]],MaterialData[[#Headers],[#Data]],10,FALSE),0)</f>
        <v>0</v>
      </c>
      <c r="AL1345" s="322">
        <f>IFERROR(Calculations[[#This Row],[Data Quality Score]]*Calculations[[#This Row],[Total Kg]],0)</f>
        <v>0</v>
      </c>
    </row>
    <row r="1346" spans="1:38" x14ac:dyDescent="0.3">
      <c r="A1346" s="6">
        <f>IFERROR(MaterialsBoQ[[#This Row],[Scope Element]],0)</f>
        <v>0</v>
      </c>
      <c r="B1346" t="str">
        <f>IFERROR(MaterialsBoQ[[#This Row],[Material ]],"")</f>
        <v/>
      </c>
      <c r="C1346" t="str">
        <f>IFERROR(MaterialsBoQ[[#This Row],[Unit]],"")</f>
        <v/>
      </c>
      <c r="D1346" s="322">
        <f>IFERROR(MaterialsBoQ[[#This Row],[Number]],0)</f>
        <v>0</v>
      </c>
      <c r="E1346" s="322">
        <f>IFERROR(MaterialsBoQ[[#This Row],[Kg per unit]],0)</f>
        <v>0</v>
      </c>
      <c r="F1346" s="322">
        <f>IFERROR(Calculations[[#This Row],[Number]]*Calculations[[#This Row],[Conversion factor]],0)</f>
        <v>0</v>
      </c>
      <c r="G1346" s="322">
        <f>IFERROR(VLOOKUP(Calculations[[#This Row],[Material (choose from dropdown]],MaterialData[#All],7,FALSE),0)</f>
        <v>0</v>
      </c>
      <c r="H1346" s="322">
        <f>Calculations[[#This Row],[Total Kg]]*Calculations[[#This Row],[Carbon Factor]]</f>
        <v>0</v>
      </c>
      <c r="I1346" t="str">
        <f>IFERROR(VLOOKUP(Calculations[[#This Row],[Material (choose from dropdown]],MaterialData[#All],2,FALSE),"")</f>
        <v/>
      </c>
      <c r="J1346" s="322">
        <f>IFERROR(((VLOOKUP(Calculations[[#This Row],[TransportSource]],TransportDistance[],2,FALSE)*'Stage assumptions'!$C$11)+VLOOKUP(Calculations[[#This Row],[TransportSource]],TransportDistance[],3,FALSE)*'Stage assumptions'!$C$12)*Calculations[[#This Row],[Total Kg]],0)</f>
        <v>0</v>
      </c>
      <c r="K1346">
        <f>IFERROR(VLOOKUP(Calculations[[#This Row],[Material (choose from dropdown]], MaterialData[#All],3, FALSE),0)</f>
        <v>0</v>
      </c>
      <c r="L1346" s="322">
        <f>IFERROR(VLOOKUP(Calculations[[#This Row],[A5type]],A5WastageRate[#All],2,FALSE)*Calculations[[#This Row],[A1-3]],0)</f>
        <v>0</v>
      </c>
      <c r="N1346">
        <f>IFERROR(ROUNDUP(50/VLOOKUP(Calculations[[#This Row],[Scope Element]],B4referenceServiceLife[[Tier 2 element]:[Default Service Life]],2, FALSE)-1,0),0)</f>
        <v>0</v>
      </c>
      <c r="O1346" s="322">
        <f>IFERROR((Calculations[[#This Row],[A1-3]]+Calculations[[#This Row],[A4]]+Calculations[[#This Row],[A5]]+Calculations[[#This Row],[C2 total]]+Calculations[[#This Row],[C3 total]]+Calculations[[#This Row],[C4 total]])*Calculations[[#This Row],[Replacements]],0)</f>
        <v>0</v>
      </c>
      <c r="S1346" t="str">
        <f>IFERROR(VLOOKUP(Calculations[[#This Row],[Material (choose from dropdown]],MaterialData[#All],4,FALSE),"")</f>
        <v/>
      </c>
      <c r="T1346" s="322" cm="1">
        <f t="array" ref="T1346">IFERROR(VLOOKUP(Calculations[[#This Row],[Waste 1]],WasteScenario[#All],2,FALSE)*'Stage assumptions'!$C$225*WasteTransportMethod[Emissions Factor
kgCO2e/kg.km]*Calculations[[#This Row],[Total Kg]],0)</f>
        <v>0</v>
      </c>
      <c r="U1346" s="322" cm="1">
        <f t="array" ref="U1346">IFERROR(VLOOKUP(Calculations[[#This Row],[Waste 1]],WasteScenario[#All],3,FALSE)*'Stage assumptions'!$C$224*WasteTransportMethod[Emissions Factor
kgCO2e/kg.km]*Calculations[[#This Row],[Total Kg]],0)</f>
        <v>0</v>
      </c>
      <c r="V1346" s="322" cm="1">
        <f t="array" ref="V1346">IFERROR(VLOOKUP(Calculations[[#This Row],[Waste 1]],WasteScenario[#All],4,FALSE)*'Stage assumptions'!$C$223*WasteTransportMethod[Emissions Factor
kgCO2e/kg.km]*Calculations[[#This Row],[Total Kg]],0)</f>
        <v>0</v>
      </c>
      <c r="W1346" s="322" cm="1">
        <f t="array" ref="W1346">IFERROR(VLOOKUP(Calculations[[#This Row],[Waste 1]],WasteScenario[#All],5,FALSE)*'Stage assumptions'!$C$226*WasteTransportMethod[Emissions Factor
kgCO2e/kg.km]*Calculations[[#This Row],[Total Kg]],0)</f>
        <v>0</v>
      </c>
      <c r="X1346" s="322">
        <f>SUM(Calculations[[#This Row],[C2 Recycle]:[C2 Reuse]])</f>
        <v>0</v>
      </c>
      <c r="Y1346" t="str">
        <f>IFERROR(VLOOKUP(Calculations[[#This Row],[Material (choose from dropdown]],MaterialData[#All],5,FALSE),"")</f>
        <v/>
      </c>
      <c r="Z1346" s="322">
        <f>IFERROR(((VLOOKUP(Calculations[[#This Row],[Waste type 2]],WasteDisposalEmissions[#All],2,FALSE))*Calculations[[#This Row],[Total Kg]])*VLOOKUP(Calculations[[#This Row],[Waste 1]],WasteScenario[#All],2,FALSE),0)</f>
        <v>0</v>
      </c>
      <c r="AA1346" s="322">
        <f>IFERROR((VLOOKUP(Calculations[[#This Row],[Waste type 2]],WasteDisposalEmissions[#All],3,FALSE))*Calculations[[#This Row],[Total Kg]]*VLOOKUP(Calculations[[#This Row],[Waste 1]],WasteScenario[#All],3,FALSE),0)</f>
        <v>0</v>
      </c>
      <c r="AB1346" s="322">
        <f>SUM(Calculations[[#This Row],[C3 recyc]:[C3 incin]])</f>
        <v>0</v>
      </c>
      <c r="AC1346" s="334">
        <f>IFERROR((VLOOKUP(Calculations[[#This Row],[Waste type 2]],WasteLandfillEmissions[#All],2,FALSE))*Calculations[[#This Row],[Total Kg]]*VLOOKUP(Calculations[[#This Row],[Waste 1]],WasteScenario[#All],4,FALSE),0)</f>
        <v>0</v>
      </c>
      <c r="AD1346" s="322">
        <f>IFERROR((VLOOKUP(Calculations[[#This Row],[Waste type 2]],WasteLandfillEmissions[#All],3,FALSE))*Calculations[[#This Row],[Total Kg]]*VLOOKUP(Calculations[[#This Row],[Waste 1]],WasteScenario[#All],4,FALSE),0)</f>
        <v>0</v>
      </c>
      <c r="AE1346" s="322">
        <f>SUM(Calculations[[#This Row],[C4 landfill]:[C4 re-use]])</f>
        <v>0</v>
      </c>
      <c r="AF1346" s="322">
        <f>IFERROR(VLOOKUP(Calculations[[#This Row],[Material (choose from dropdown]],MaterialData[#All],8,FALSE),0)</f>
        <v>0</v>
      </c>
      <c r="AG1346" s="322">
        <f>IFERROR(Calculations[[#This Row],[Total Kg]]*Calculations[[#This Row],[Seq factor]],0)</f>
        <v>0</v>
      </c>
      <c r="AI1346" s="322">
        <f>Calculations[[#This Row],[A1-3]]+Calculations[[#This Row],[A4]]+Calculations[[#This Row],[A5]]+Calculations[[#This Row],[B4]]+Calculations[[#This Row],[C2 total]]+Calculations[[#This Row],[C3 total]]+Calculations[[#This Row],[C4 total]]</f>
        <v>0</v>
      </c>
      <c r="AJ1346" s="2">
        <f>IFERROR(VLOOKUP(Calculations[[#This Row],[Material (choose from dropdown]],MaterialData[[#Headers],[#Data]],9,FALSE),0)</f>
        <v>0</v>
      </c>
      <c r="AK1346" s="4">
        <f>IFERROR(VLOOKUP(Calculations[[#This Row],[Material (choose from dropdown]],MaterialData[[#Headers],[#Data]],10,FALSE),0)</f>
        <v>0</v>
      </c>
      <c r="AL1346" s="322">
        <f>IFERROR(Calculations[[#This Row],[Data Quality Score]]*Calculations[[#This Row],[Total Kg]],0)</f>
        <v>0</v>
      </c>
    </row>
    <row r="1347" spans="1:38" x14ac:dyDescent="0.3">
      <c r="A1347" s="6">
        <f>IFERROR(MaterialsBoQ[[#This Row],[Scope Element]],0)</f>
        <v>0</v>
      </c>
      <c r="B1347" t="str">
        <f>IFERROR(MaterialsBoQ[[#This Row],[Material ]],"")</f>
        <v/>
      </c>
      <c r="C1347" t="str">
        <f>IFERROR(MaterialsBoQ[[#This Row],[Unit]],"")</f>
        <v/>
      </c>
      <c r="D1347" s="322">
        <f>IFERROR(MaterialsBoQ[[#This Row],[Number]],0)</f>
        <v>0</v>
      </c>
      <c r="E1347" s="322">
        <f>IFERROR(MaterialsBoQ[[#This Row],[Kg per unit]],0)</f>
        <v>0</v>
      </c>
      <c r="F1347" s="322">
        <f>IFERROR(Calculations[[#This Row],[Number]]*Calculations[[#This Row],[Conversion factor]],0)</f>
        <v>0</v>
      </c>
      <c r="G1347" s="322">
        <f>IFERROR(VLOOKUP(Calculations[[#This Row],[Material (choose from dropdown]],MaterialData[#All],7,FALSE),0)</f>
        <v>0</v>
      </c>
      <c r="H1347" s="322">
        <f>Calculations[[#This Row],[Total Kg]]*Calculations[[#This Row],[Carbon Factor]]</f>
        <v>0</v>
      </c>
      <c r="I1347" t="str">
        <f>IFERROR(VLOOKUP(Calculations[[#This Row],[Material (choose from dropdown]],MaterialData[#All],2,FALSE),"")</f>
        <v/>
      </c>
      <c r="J1347" s="322">
        <f>IFERROR(((VLOOKUP(Calculations[[#This Row],[TransportSource]],TransportDistance[],2,FALSE)*'Stage assumptions'!$C$11)+VLOOKUP(Calculations[[#This Row],[TransportSource]],TransportDistance[],3,FALSE)*'Stage assumptions'!$C$12)*Calculations[[#This Row],[Total Kg]],0)</f>
        <v>0</v>
      </c>
      <c r="K1347">
        <f>IFERROR(VLOOKUP(Calculations[[#This Row],[Material (choose from dropdown]], MaterialData[#All],3, FALSE),0)</f>
        <v>0</v>
      </c>
      <c r="L1347" s="322">
        <f>IFERROR(VLOOKUP(Calculations[[#This Row],[A5type]],A5WastageRate[#All],2,FALSE)*Calculations[[#This Row],[A1-3]],0)</f>
        <v>0</v>
      </c>
      <c r="N1347">
        <f>IFERROR(ROUNDUP(50/VLOOKUP(Calculations[[#This Row],[Scope Element]],B4referenceServiceLife[[Tier 2 element]:[Default Service Life]],2, FALSE)-1,0),0)</f>
        <v>0</v>
      </c>
      <c r="O1347" s="322">
        <f>IFERROR((Calculations[[#This Row],[A1-3]]+Calculations[[#This Row],[A4]]+Calculations[[#This Row],[A5]]+Calculations[[#This Row],[C2 total]]+Calculations[[#This Row],[C3 total]]+Calculations[[#This Row],[C4 total]])*Calculations[[#This Row],[Replacements]],0)</f>
        <v>0</v>
      </c>
      <c r="S1347" t="str">
        <f>IFERROR(VLOOKUP(Calculations[[#This Row],[Material (choose from dropdown]],MaterialData[#All],4,FALSE),"")</f>
        <v/>
      </c>
      <c r="T1347" s="322" cm="1">
        <f t="array" ref="T1347">IFERROR(VLOOKUP(Calculations[[#This Row],[Waste 1]],WasteScenario[#All],2,FALSE)*'Stage assumptions'!$C$225*WasteTransportMethod[Emissions Factor
kgCO2e/kg.km]*Calculations[[#This Row],[Total Kg]],0)</f>
        <v>0</v>
      </c>
      <c r="U1347" s="322" cm="1">
        <f t="array" ref="U1347">IFERROR(VLOOKUP(Calculations[[#This Row],[Waste 1]],WasteScenario[#All],3,FALSE)*'Stage assumptions'!$C$224*WasteTransportMethod[Emissions Factor
kgCO2e/kg.km]*Calculations[[#This Row],[Total Kg]],0)</f>
        <v>0</v>
      </c>
      <c r="V1347" s="322" cm="1">
        <f t="array" ref="V1347">IFERROR(VLOOKUP(Calculations[[#This Row],[Waste 1]],WasteScenario[#All],4,FALSE)*'Stage assumptions'!$C$223*WasteTransportMethod[Emissions Factor
kgCO2e/kg.km]*Calculations[[#This Row],[Total Kg]],0)</f>
        <v>0</v>
      </c>
      <c r="W1347" s="322" cm="1">
        <f t="array" ref="W1347">IFERROR(VLOOKUP(Calculations[[#This Row],[Waste 1]],WasteScenario[#All],5,FALSE)*'Stage assumptions'!$C$226*WasteTransportMethod[Emissions Factor
kgCO2e/kg.km]*Calculations[[#This Row],[Total Kg]],0)</f>
        <v>0</v>
      </c>
      <c r="X1347" s="322">
        <f>SUM(Calculations[[#This Row],[C2 Recycle]:[C2 Reuse]])</f>
        <v>0</v>
      </c>
      <c r="Y1347" t="str">
        <f>IFERROR(VLOOKUP(Calculations[[#This Row],[Material (choose from dropdown]],MaterialData[#All],5,FALSE),"")</f>
        <v/>
      </c>
      <c r="Z1347" s="322">
        <f>IFERROR(((VLOOKUP(Calculations[[#This Row],[Waste type 2]],WasteDisposalEmissions[#All],2,FALSE))*Calculations[[#This Row],[Total Kg]])*VLOOKUP(Calculations[[#This Row],[Waste 1]],WasteScenario[#All],2,FALSE),0)</f>
        <v>0</v>
      </c>
      <c r="AA1347" s="322">
        <f>IFERROR((VLOOKUP(Calculations[[#This Row],[Waste type 2]],WasteDisposalEmissions[#All],3,FALSE))*Calculations[[#This Row],[Total Kg]]*VLOOKUP(Calculations[[#This Row],[Waste 1]],WasteScenario[#All],3,FALSE),0)</f>
        <v>0</v>
      </c>
      <c r="AB1347" s="322">
        <f>SUM(Calculations[[#This Row],[C3 recyc]:[C3 incin]])</f>
        <v>0</v>
      </c>
      <c r="AC1347" s="334">
        <f>IFERROR((VLOOKUP(Calculations[[#This Row],[Waste type 2]],WasteLandfillEmissions[#All],2,FALSE))*Calculations[[#This Row],[Total Kg]]*VLOOKUP(Calculations[[#This Row],[Waste 1]],WasteScenario[#All],4,FALSE),0)</f>
        <v>0</v>
      </c>
      <c r="AD1347" s="322">
        <f>IFERROR((VLOOKUP(Calculations[[#This Row],[Waste type 2]],WasteLandfillEmissions[#All],3,FALSE))*Calculations[[#This Row],[Total Kg]]*VLOOKUP(Calculations[[#This Row],[Waste 1]],WasteScenario[#All],4,FALSE),0)</f>
        <v>0</v>
      </c>
      <c r="AE1347" s="322">
        <f>SUM(Calculations[[#This Row],[C4 landfill]:[C4 re-use]])</f>
        <v>0</v>
      </c>
      <c r="AF1347" s="322">
        <f>IFERROR(VLOOKUP(Calculations[[#This Row],[Material (choose from dropdown]],MaterialData[#All],8,FALSE),0)</f>
        <v>0</v>
      </c>
      <c r="AG1347" s="322">
        <f>IFERROR(Calculations[[#This Row],[Total Kg]]*Calculations[[#This Row],[Seq factor]],0)</f>
        <v>0</v>
      </c>
      <c r="AI1347" s="322">
        <f>Calculations[[#This Row],[A1-3]]+Calculations[[#This Row],[A4]]+Calculations[[#This Row],[A5]]+Calculations[[#This Row],[B4]]+Calculations[[#This Row],[C2 total]]+Calculations[[#This Row],[C3 total]]+Calculations[[#This Row],[C4 total]]</f>
        <v>0</v>
      </c>
      <c r="AJ1347" s="2">
        <f>IFERROR(VLOOKUP(Calculations[[#This Row],[Material (choose from dropdown]],MaterialData[[#Headers],[#Data]],9,FALSE),0)</f>
        <v>0</v>
      </c>
      <c r="AK1347" s="4">
        <f>IFERROR(VLOOKUP(Calculations[[#This Row],[Material (choose from dropdown]],MaterialData[[#Headers],[#Data]],10,FALSE),0)</f>
        <v>0</v>
      </c>
      <c r="AL1347" s="322">
        <f>IFERROR(Calculations[[#This Row],[Data Quality Score]]*Calculations[[#This Row],[Total Kg]],0)</f>
        <v>0</v>
      </c>
    </row>
    <row r="1348" spans="1:38" x14ac:dyDescent="0.3">
      <c r="A1348" s="6">
        <f>IFERROR(MaterialsBoQ[[#This Row],[Scope Element]],0)</f>
        <v>0</v>
      </c>
      <c r="B1348" t="str">
        <f>IFERROR(MaterialsBoQ[[#This Row],[Material ]],"")</f>
        <v/>
      </c>
      <c r="C1348" t="str">
        <f>IFERROR(MaterialsBoQ[[#This Row],[Unit]],"")</f>
        <v/>
      </c>
      <c r="D1348" s="322">
        <f>IFERROR(MaterialsBoQ[[#This Row],[Number]],0)</f>
        <v>0</v>
      </c>
      <c r="E1348" s="322">
        <f>IFERROR(MaterialsBoQ[[#This Row],[Kg per unit]],0)</f>
        <v>0</v>
      </c>
      <c r="F1348" s="322">
        <f>IFERROR(Calculations[[#This Row],[Number]]*Calculations[[#This Row],[Conversion factor]],0)</f>
        <v>0</v>
      </c>
      <c r="G1348" s="322">
        <f>IFERROR(VLOOKUP(Calculations[[#This Row],[Material (choose from dropdown]],MaterialData[#All],7,FALSE),0)</f>
        <v>0</v>
      </c>
      <c r="H1348" s="322">
        <f>Calculations[[#This Row],[Total Kg]]*Calculations[[#This Row],[Carbon Factor]]</f>
        <v>0</v>
      </c>
      <c r="I1348" t="str">
        <f>IFERROR(VLOOKUP(Calculations[[#This Row],[Material (choose from dropdown]],MaterialData[#All],2,FALSE),"")</f>
        <v/>
      </c>
      <c r="J1348" s="322">
        <f>IFERROR(((VLOOKUP(Calculations[[#This Row],[TransportSource]],TransportDistance[],2,FALSE)*'Stage assumptions'!$C$11)+VLOOKUP(Calculations[[#This Row],[TransportSource]],TransportDistance[],3,FALSE)*'Stage assumptions'!$C$12)*Calculations[[#This Row],[Total Kg]],0)</f>
        <v>0</v>
      </c>
      <c r="K1348">
        <f>IFERROR(VLOOKUP(Calculations[[#This Row],[Material (choose from dropdown]], MaterialData[#All],3, FALSE),0)</f>
        <v>0</v>
      </c>
      <c r="L1348" s="322">
        <f>IFERROR(VLOOKUP(Calculations[[#This Row],[A5type]],A5WastageRate[#All],2,FALSE)*Calculations[[#This Row],[A1-3]],0)</f>
        <v>0</v>
      </c>
      <c r="N1348">
        <f>IFERROR(ROUNDUP(50/VLOOKUP(Calculations[[#This Row],[Scope Element]],B4referenceServiceLife[[Tier 2 element]:[Default Service Life]],2, FALSE)-1,0),0)</f>
        <v>0</v>
      </c>
      <c r="O1348" s="322">
        <f>IFERROR((Calculations[[#This Row],[A1-3]]+Calculations[[#This Row],[A4]]+Calculations[[#This Row],[A5]]+Calculations[[#This Row],[C2 total]]+Calculations[[#This Row],[C3 total]]+Calculations[[#This Row],[C4 total]])*Calculations[[#This Row],[Replacements]],0)</f>
        <v>0</v>
      </c>
      <c r="S1348" t="str">
        <f>IFERROR(VLOOKUP(Calculations[[#This Row],[Material (choose from dropdown]],MaterialData[#All],4,FALSE),"")</f>
        <v/>
      </c>
      <c r="T1348" s="322" cm="1">
        <f t="array" ref="T1348">IFERROR(VLOOKUP(Calculations[[#This Row],[Waste 1]],WasteScenario[#All],2,FALSE)*'Stage assumptions'!$C$225*WasteTransportMethod[Emissions Factor
kgCO2e/kg.km]*Calculations[[#This Row],[Total Kg]],0)</f>
        <v>0</v>
      </c>
      <c r="U1348" s="322" cm="1">
        <f t="array" ref="U1348">IFERROR(VLOOKUP(Calculations[[#This Row],[Waste 1]],WasteScenario[#All],3,FALSE)*'Stage assumptions'!$C$224*WasteTransportMethod[Emissions Factor
kgCO2e/kg.km]*Calculations[[#This Row],[Total Kg]],0)</f>
        <v>0</v>
      </c>
      <c r="V1348" s="322" cm="1">
        <f t="array" ref="V1348">IFERROR(VLOOKUP(Calculations[[#This Row],[Waste 1]],WasteScenario[#All],4,FALSE)*'Stage assumptions'!$C$223*WasteTransportMethod[Emissions Factor
kgCO2e/kg.km]*Calculations[[#This Row],[Total Kg]],0)</f>
        <v>0</v>
      </c>
      <c r="W1348" s="322" cm="1">
        <f t="array" ref="W1348">IFERROR(VLOOKUP(Calculations[[#This Row],[Waste 1]],WasteScenario[#All],5,FALSE)*'Stage assumptions'!$C$226*WasteTransportMethod[Emissions Factor
kgCO2e/kg.km]*Calculations[[#This Row],[Total Kg]],0)</f>
        <v>0</v>
      </c>
      <c r="X1348" s="322">
        <f>SUM(Calculations[[#This Row],[C2 Recycle]:[C2 Reuse]])</f>
        <v>0</v>
      </c>
      <c r="Y1348" t="str">
        <f>IFERROR(VLOOKUP(Calculations[[#This Row],[Material (choose from dropdown]],MaterialData[#All],5,FALSE),"")</f>
        <v/>
      </c>
      <c r="Z1348" s="322">
        <f>IFERROR(((VLOOKUP(Calculations[[#This Row],[Waste type 2]],WasteDisposalEmissions[#All],2,FALSE))*Calculations[[#This Row],[Total Kg]])*VLOOKUP(Calculations[[#This Row],[Waste 1]],WasteScenario[#All],2,FALSE),0)</f>
        <v>0</v>
      </c>
      <c r="AA1348" s="322">
        <f>IFERROR((VLOOKUP(Calculations[[#This Row],[Waste type 2]],WasteDisposalEmissions[#All],3,FALSE))*Calculations[[#This Row],[Total Kg]]*VLOOKUP(Calculations[[#This Row],[Waste 1]],WasteScenario[#All],3,FALSE),0)</f>
        <v>0</v>
      </c>
      <c r="AB1348" s="322">
        <f>SUM(Calculations[[#This Row],[C3 recyc]:[C3 incin]])</f>
        <v>0</v>
      </c>
      <c r="AC1348" s="334">
        <f>IFERROR((VLOOKUP(Calculations[[#This Row],[Waste type 2]],WasteLandfillEmissions[#All],2,FALSE))*Calculations[[#This Row],[Total Kg]]*VLOOKUP(Calculations[[#This Row],[Waste 1]],WasteScenario[#All],4,FALSE),0)</f>
        <v>0</v>
      </c>
      <c r="AD1348" s="322">
        <f>IFERROR((VLOOKUP(Calculations[[#This Row],[Waste type 2]],WasteLandfillEmissions[#All],3,FALSE))*Calculations[[#This Row],[Total Kg]]*VLOOKUP(Calculations[[#This Row],[Waste 1]],WasteScenario[#All],4,FALSE),0)</f>
        <v>0</v>
      </c>
      <c r="AE1348" s="322">
        <f>SUM(Calculations[[#This Row],[C4 landfill]:[C4 re-use]])</f>
        <v>0</v>
      </c>
      <c r="AF1348" s="322">
        <f>IFERROR(VLOOKUP(Calculations[[#This Row],[Material (choose from dropdown]],MaterialData[#All],8,FALSE),0)</f>
        <v>0</v>
      </c>
      <c r="AG1348" s="322">
        <f>IFERROR(Calculations[[#This Row],[Total Kg]]*Calculations[[#This Row],[Seq factor]],0)</f>
        <v>0</v>
      </c>
      <c r="AI1348" s="322">
        <f>Calculations[[#This Row],[A1-3]]+Calculations[[#This Row],[A4]]+Calculations[[#This Row],[A5]]+Calculations[[#This Row],[B4]]+Calculations[[#This Row],[C2 total]]+Calculations[[#This Row],[C3 total]]+Calculations[[#This Row],[C4 total]]</f>
        <v>0</v>
      </c>
      <c r="AJ1348" s="2">
        <f>IFERROR(VLOOKUP(Calculations[[#This Row],[Material (choose from dropdown]],MaterialData[[#Headers],[#Data]],9,FALSE),0)</f>
        <v>0</v>
      </c>
      <c r="AK1348" s="4">
        <f>IFERROR(VLOOKUP(Calculations[[#This Row],[Material (choose from dropdown]],MaterialData[[#Headers],[#Data]],10,FALSE),0)</f>
        <v>0</v>
      </c>
      <c r="AL1348" s="322">
        <f>IFERROR(Calculations[[#This Row],[Data Quality Score]]*Calculations[[#This Row],[Total Kg]],0)</f>
        <v>0</v>
      </c>
    </row>
    <row r="1349" spans="1:38" x14ac:dyDescent="0.3">
      <c r="A1349" s="6">
        <f>IFERROR(MaterialsBoQ[[#This Row],[Scope Element]],0)</f>
        <v>0</v>
      </c>
      <c r="B1349" t="str">
        <f>IFERROR(MaterialsBoQ[[#This Row],[Material ]],"")</f>
        <v/>
      </c>
      <c r="C1349" t="str">
        <f>IFERROR(MaterialsBoQ[[#This Row],[Unit]],"")</f>
        <v/>
      </c>
      <c r="D1349" s="322">
        <f>IFERROR(MaterialsBoQ[[#This Row],[Number]],0)</f>
        <v>0</v>
      </c>
      <c r="E1349" s="322">
        <f>IFERROR(MaterialsBoQ[[#This Row],[Kg per unit]],0)</f>
        <v>0</v>
      </c>
      <c r="F1349" s="322">
        <f>IFERROR(Calculations[[#This Row],[Number]]*Calculations[[#This Row],[Conversion factor]],0)</f>
        <v>0</v>
      </c>
      <c r="G1349" s="322">
        <f>IFERROR(VLOOKUP(Calculations[[#This Row],[Material (choose from dropdown]],MaterialData[#All],7,FALSE),0)</f>
        <v>0</v>
      </c>
      <c r="H1349" s="322">
        <f>Calculations[[#This Row],[Total Kg]]*Calculations[[#This Row],[Carbon Factor]]</f>
        <v>0</v>
      </c>
      <c r="I1349" t="str">
        <f>IFERROR(VLOOKUP(Calculations[[#This Row],[Material (choose from dropdown]],MaterialData[#All],2,FALSE),"")</f>
        <v/>
      </c>
      <c r="J1349" s="322">
        <f>IFERROR(((VLOOKUP(Calculations[[#This Row],[TransportSource]],TransportDistance[],2,FALSE)*'Stage assumptions'!$C$11)+VLOOKUP(Calculations[[#This Row],[TransportSource]],TransportDistance[],3,FALSE)*'Stage assumptions'!$C$12)*Calculations[[#This Row],[Total Kg]],0)</f>
        <v>0</v>
      </c>
      <c r="K1349">
        <f>IFERROR(VLOOKUP(Calculations[[#This Row],[Material (choose from dropdown]], MaterialData[#All],3, FALSE),0)</f>
        <v>0</v>
      </c>
      <c r="L1349" s="322">
        <f>IFERROR(VLOOKUP(Calculations[[#This Row],[A5type]],A5WastageRate[#All],2,FALSE)*Calculations[[#This Row],[A1-3]],0)</f>
        <v>0</v>
      </c>
      <c r="N1349">
        <f>IFERROR(ROUNDUP(50/VLOOKUP(Calculations[[#This Row],[Scope Element]],B4referenceServiceLife[[Tier 2 element]:[Default Service Life]],2, FALSE)-1,0),0)</f>
        <v>0</v>
      </c>
      <c r="O1349" s="322">
        <f>IFERROR((Calculations[[#This Row],[A1-3]]+Calculations[[#This Row],[A4]]+Calculations[[#This Row],[A5]]+Calculations[[#This Row],[C2 total]]+Calculations[[#This Row],[C3 total]]+Calculations[[#This Row],[C4 total]])*Calculations[[#This Row],[Replacements]],0)</f>
        <v>0</v>
      </c>
      <c r="S1349" t="str">
        <f>IFERROR(VLOOKUP(Calculations[[#This Row],[Material (choose from dropdown]],MaterialData[#All],4,FALSE),"")</f>
        <v/>
      </c>
      <c r="T1349" s="322" cm="1">
        <f t="array" ref="T1349">IFERROR(VLOOKUP(Calculations[[#This Row],[Waste 1]],WasteScenario[#All],2,FALSE)*'Stage assumptions'!$C$225*WasteTransportMethod[Emissions Factor
kgCO2e/kg.km]*Calculations[[#This Row],[Total Kg]],0)</f>
        <v>0</v>
      </c>
      <c r="U1349" s="322" cm="1">
        <f t="array" ref="U1349">IFERROR(VLOOKUP(Calculations[[#This Row],[Waste 1]],WasteScenario[#All],3,FALSE)*'Stage assumptions'!$C$224*WasteTransportMethod[Emissions Factor
kgCO2e/kg.km]*Calculations[[#This Row],[Total Kg]],0)</f>
        <v>0</v>
      </c>
      <c r="V1349" s="322" cm="1">
        <f t="array" ref="V1349">IFERROR(VLOOKUP(Calculations[[#This Row],[Waste 1]],WasteScenario[#All],4,FALSE)*'Stage assumptions'!$C$223*WasteTransportMethod[Emissions Factor
kgCO2e/kg.km]*Calculations[[#This Row],[Total Kg]],0)</f>
        <v>0</v>
      </c>
      <c r="W1349" s="322" cm="1">
        <f t="array" ref="W1349">IFERROR(VLOOKUP(Calculations[[#This Row],[Waste 1]],WasteScenario[#All],5,FALSE)*'Stage assumptions'!$C$226*WasteTransportMethod[Emissions Factor
kgCO2e/kg.km]*Calculations[[#This Row],[Total Kg]],0)</f>
        <v>0</v>
      </c>
      <c r="X1349" s="322">
        <f>SUM(Calculations[[#This Row],[C2 Recycle]:[C2 Reuse]])</f>
        <v>0</v>
      </c>
      <c r="Y1349" t="str">
        <f>IFERROR(VLOOKUP(Calculations[[#This Row],[Material (choose from dropdown]],MaterialData[#All],5,FALSE),"")</f>
        <v/>
      </c>
      <c r="Z1349" s="322">
        <f>IFERROR(((VLOOKUP(Calculations[[#This Row],[Waste type 2]],WasteDisposalEmissions[#All],2,FALSE))*Calculations[[#This Row],[Total Kg]])*VLOOKUP(Calculations[[#This Row],[Waste 1]],WasteScenario[#All],2,FALSE),0)</f>
        <v>0</v>
      </c>
      <c r="AA1349" s="322">
        <f>IFERROR((VLOOKUP(Calculations[[#This Row],[Waste type 2]],WasteDisposalEmissions[#All],3,FALSE))*Calculations[[#This Row],[Total Kg]]*VLOOKUP(Calculations[[#This Row],[Waste 1]],WasteScenario[#All],3,FALSE),0)</f>
        <v>0</v>
      </c>
      <c r="AB1349" s="322">
        <f>SUM(Calculations[[#This Row],[C3 recyc]:[C3 incin]])</f>
        <v>0</v>
      </c>
      <c r="AC1349" s="334">
        <f>IFERROR((VLOOKUP(Calculations[[#This Row],[Waste type 2]],WasteLandfillEmissions[#All],2,FALSE))*Calculations[[#This Row],[Total Kg]]*VLOOKUP(Calculations[[#This Row],[Waste 1]],WasteScenario[#All],4,FALSE),0)</f>
        <v>0</v>
      </c>
      <c r="AD1349" s="322">
        <f>IFERROR((VLOOKUP(Calculations[[#This Row],[Waste type 2]],WasteLandfillEmissions[#All],3,FALSE))*Calculations[[#This Row],[Total Kg]]*VLOOKUP(Calculations[[#This Row],[Waste 1]],WasteScenario[#All],4,FALSE),0)</f>
        <v>0</v>
      </c>
      <c r="AE1349" s="322">
        <f>SUM(Calculations[[#This Row],[C4 landfill]:[C4 re-use]])</f>
        <v>0</v>
      </c>
      <c r="AF1349" s="322">
        <f>IFERROR(VLOOKUP(Calculations[[#This Row],[Material (choose from dropdown]],MaterialData[#All],8,FALSE),0)</f>
        <v>0</v>
      </c>
      <c r="AG1349" s="322">
        <f>IFERROR(Calculations[[#This Row],[Total Kg]]*Calculations[[#This Row],[Seq factor]],0)</f>
        <v>0</v>
      </c>
      <c r="AI1349" s="322">
        <f>Calculations[[#This Row],[A1-3]]+Calculations[[#This Row],[A4]]+Calculations[[#This Row],[A5]]+Calculations[[#This Row],[B4]]+Calculations[[#This Row],[C2 total]]+Calculations[[#This Row],[C3 total]]+Calculations[[#This Row],[C4 total]]</f>
        <v>0</v>
      </c>
      <c r="AJ1349" s="2">
        <f>IFERROR(VLOOKUP(Calculations[[#This Row],[Material (choose from dropdown]],MaterialData[[#Headers],[#Data]],9,FALSE),0)</f>
        <v>0</v>
      </c>
      <c r="AK1349" s="4">
        <f>IFERROR(VLOOKUP(Calculations[[#This Row],[Material (choose from dropdown]],MaterialData[[#Headers],[#Data]],10,FALSE),0)</f>
        <v>0</v>
      </c>
      <c r="AL1349" s="322">
        <f>IFERROR(Calculations[[#This Row],[Data Quality Score]]*Calculations[[#This Row],[Total Kg]],0)</f>
        <v>0</v>
      </c>
    </row>
    <row r="1350" spans="1:38" x14ac:dyDescent="0.3">
      <c r="A1350" s="6">
        <f>IFERROR(MaterialsBoQ[[#This Row],[Scope Element]],0)</f>
        <v>0</v>
      </c>
      <c r="B1350" t="str">
        <f>IFERROR(MaterialsBoQ[[#This Row],[Material ]],"")</f>
        <v/>
      </c>
      <c r="C1350" t="str">
        <f>IFERROR(MaterialsBoQ[[#This Row],[Unit]],"")</f>
        <v/>
      </c>
      <c r="D1350" s="322">
        <f>IFERROR(MaterialsBoQ[[#This Row],[Number]],0)</f>
        <v>0</v>
      </c>
      <c r="E1350" s="322">
        <f>IFERROR(MaterialsBoQ[[#This Row],[Kg per unit]],0)</f>
        <v>0</v>
      </c>
      <c r="F1350" s="322">
        <f>IFERROR(Calculations[[#This Row],[Number]]*Calculations[[#This Row],[Conversion factor]],0)</f>
        <v>0</v>
      </c>
      <c r="G1350" s="322">
        <f>IFERROR(VLOOKUP(Calculations[[#This Row],[Material (choose from dropdown]],MaterialData[#All],7,FALSE),0)</f>
        <v>0</v>
      </c>
      <c r="H1350" s="322">
        <f>Calculations[[#This Row],[Total Kg]]*Calculations[[#This Row],[Carbon Factor]]</f>
        <v>0</v>
      </c>
      <c r="I1350" t="str">
        <f>IFERROR(VLOOKUP(Calculations[[#This Row],[Material (choose from dropdown]],MaterialData[#All],2,FALSE),"")</f>
        <v/>
      </c>
      <c r="J1350" s="322">
        <f>IFERROR(((VLOOKUP(Calculations[[#This Row],[TransportSource]],TransportDistance[],2,FALSE)*'Stage assumptions'!$C$11)+VLOOKUP(Calculations[[#This Row],[TransportSource]],TransportDistance[],3,FALSE)*'Stage assumptions'!$C$12)*Calculations[[#This Row],[Total Kg]],0)</f>
        <v>0</v>
      </c>
      <c r="K1350">
        <f>IFERROR(VLOOKUP(Calculations[[#This Row],[Material (choose from dropdown]], MaterialData[#All],3, FALSE),0)</f>
        <v>0</v>
      </c>
      <c r="L1350" s="322">
        <f>IFERROR(VLOOKUP(Calculations[[#This Row],[A5type]],A5WastageRate[#All],2,FALSE)*Calculations[[#This Row],[A1-3]],0)</f>
        <v>0</v>
      </c>
      <c r="N1350">
        <f>IFERROR(ROUNDUP(50/VLOOKUP(Calculations[[#This Row],[Scope Element]],B4referenceServiceLife[[Tier 2 element]:[Default Service Life]],2, FALSE)-1,0),0)</f>
        <v>0</v>
      </c>
      <c r="O1350" s="322">
        <f>IFERROR((Calculations[[#This Row],[A1-3]]+Calculations[[#This Row],[A4]]+Calculations[[#This Row],[A5]]+Calculations[[#This Row],[C2 total]]+Calculations[[#This Row],[C3 total]]+Calculations[[#This Row],[C4 total]])*Calculations[[#This Row],[Replacements]],0)</f>
        <v>0</v>
      </c>
      <c r="S1350" t="str">
        <f>IFERROR(VLOOKUP(Calculations[[#This Row],[Material (choose from dropdown]],MaterialData[#All],4,FALSE),"")</f>
        <v/>
      </c>
      <c r="T1350" s="322" cm="1">
        <f t="array" ref="T1350">IFERROR(VLOOKUP(Calculations[[#This Row],[Waste 1]],WasteScenario[#All],2,FALSE)*'Stage assumptions'!$C$225*WasteTransportMethod[Emissions Factor
kgCO2e/kg.km]*Calculations[[#This Row],[Total Kg]],0)</f>
        <v>0</v>
      </c>
      <c r="U1350" s="322" cm="1">
        <f t="array" ref="U1350">IFERROR(VLOOKUP(Calculations[[#This Row],[Waste 1]],WasteScenario[#All],3,FALSE)*'Stage assumptions'!$C$224*WasteTransportMethod[Emissions Factor
kgCO2e/kg.km]*Calculations[[#This Row],[Total Kg]],0)</f>
        <v>0</v>
      </c>
      <c r="V1350" s="322" cm="1">
        <f t="array" ref="V1350">IFERROR(VLOOKUP(Calculations[[#This Row],[Waste 1]],WasteScenario[#All],4,FALSE)*'Stage assumptions'!$C$223*WasteTransportMethod[Emissions Factor
kgCO2e/kg.km]*Calculations[[#This Row],[Total Kg]],0)</f>
        <v>0</v>
      </c>
      <c r="W1350" s="322" cm="1">
        <f t="array" ref="W1350">IFERROR(VLOOKUP(Calculations[[#This Row],[Waste 1]],WasteScenario[#All],5,FALSE)*'Stage assumptions'!$C$226*WasteTransportMethod[Emissions Factor
kgCO2e/kg.km]*Calculations[[#This Row],[Total Kg]],0)</f>
        <v>0</v>
      </c>
      <c r="X1350" s="322">
        <f>SUM(Calculations[[#This Row],[C2 Recycle]:[C2 Reuse]])</f>
        <v>0</v>
      </c>
      <c r="Y1350" t="str">
        <f>IFERROR(VLOOKUP(Calculations[[#This Row],[Material (choose from dropdown]],MaterialData[#All],5,FALSE),"")</f>
        <v/>
      </c>
      <c r="Z1350" s="322">
        <f>IFERROR(((VLOOKUP(Calculations[[#This Row],[Waste type 2]],WasteDisposalEmissions[#All],2,FALSE))*Calculations[[#This Row],[Total Kg]])*VLOOKUP(Calculations[[#This Row],[Waste 1]],WasteScenario[#All],2,FALSE),0)</f>
        <v>0</v>
      </c>
      <c r="AA1350" s="322">
        <f>IFERROR((VLOOKUP(Calculations[[#This Row],[Waste type 2]],WasteDisposalEmissions[#All],3,FALSE))*Calculations[[#This Row],[Total Kg]]*VLOOKUP(Calculations[[#This Row],[Waste 1]],WasteScenario[#All],3,FALSE),0)</f>
        <v>0</v>
      </c>
      <c r="AB1350" s="322">
        <f>SUM(Calculations[[#This Row],[C3 recyc]:[C3 incin]])</f>
        <v>0</v>
      </c>
      <c r="AC1350" s="334">
        <f>IFERROR((VLOOKUP(Calculations[[#This Row],[Waste type 2]],WasteLandfillEmissions[#All],2,FALSE))*Calculations[[#This Row],[Total Kg]]*VLOOKUP(Calculations[[#This Row],[Waste 1]],WasteScenario[#All],4,FALSE),0)</f>
        <v>0</v>
      </c>
      <c r="AD1350" s="322">
        <f>IFERROR((VLOOKUP(Calculations[[#This Row],[Waste type 2]],WasteLandfillEmissions[#All],3,FALSE))*Calculations[[#This Row],[Total Kg]]*VLOOKUP(Calculations[[#This Row],[Waste 1]],WasteScenario[#All],4,FALSE),0)</f>
        <v>0</v>
      </c>
      <c r="AE1350" s="322">
        <f>SUM(Calculations[[#This Row],[C4 landfill]:[C4 re-use]])</f>
        <v>0</v>
      </c>
      <c r="AF1350" s="322">
        <f>IFERROR(VLOOKUP(Calculations[[#This Row],[Material (choose from dropdown]],MaterialData[#All],8,FALSE),0)</f>
        <v>0</v>
      </c>
      <c r="AG1350" s="322">
        <f>IFERROR(Calculations[[#This Row],[Total Kg]]*Calculations[[#This Row],[Seq factor]],0)</f>
        <v>0</v>
      </c>
      <c r="AI1350" s="322">
        <f>Calculations[[#This Row],[A1-3]]+Calculations[[#This Row],[A4]]+Calculations[[#This Row],[A5]]+Calculations[[#This Row],[B4]]+Calculations[[#This Row],[C2 total]]+Calculations[[#This Row],[C3 total]]+Calculations[[#This Row],[C4 total]]</f>
        <v>0</v>
      </c>
      <c r="AJ1350" s="2">
        <f>IFERROR(VLOOKUP(Calculations[[#This Row],[Material (choose from dropdown]],MaterialData[[#Headers],[#Data]],9,FALSE),0)</f>
        <v>0</v>
      </c>
      <c r="AK1350" s="4">
        <f>IFERROR(VLOOKUP(Calculations[[#This Row],[Material (choose from dropdown]],MaterialData[[#Headers],[#Data]],10,FALSE),0)</f>
        <v>0</v>
      </c>
      <c r="AL1350" s="322">
        <f>IFERROR(Calculations[[#This Row],[Data Quality Score]]*Calculations[[#This Row],[Total Kg]],0)</f>
        <v>0</v>
      </c>
    </row>
    <row r="1351" spans="1:38" x14ac:dyDescent="0.3">
      <c r="A1351" s="6">
        <f>IFERROR(MaterialsBoQ[[#This Row],[Scope Element]],0)</f>
        <v>0</v>
      </c>
      <c r="B1351" t="str">
        <f>IFERROR(MaterialsBoQ[[#This Row],[Material ]],"")</f>
        <v/>
      </c>
      <c r="C1351" t="str">
        <f>IFERROR(MaterialsBoQ[[#This Row],[Unit]],"")</f>
        <v/>
      </c>
      <c r="D1351" s="322">
        <f>IFERROR(MaterialsBoQ[[#This Row],[Number]],0)</f>
        <v>0</v>
      </c>
      <c r="E1351" s="322">
        <f>IFERROR(MaterialsBoQ[[#This Row],[Kg per unit]],0)</f>
        <v>0</v>
      </c>
      <c r="F1351" s="322">
        <f>IFERROR(Calculations[[#This Row],[Number]]*Calculations[[#This Row],[Conversion factor]],0)</f>
        <v>0</v>
      </c>
      <c r="G1351" s="322">
        <f>IFERROR(VLOOKUP(Calculations[[#This Row],[Material (choose from dropdown]],MaterialData[#All],7,FALSE),0)</f>
        <v>0</v>
      </c>
      <c r="H1351" s="322">
        <f>Calculations[[#This Row],[Total Kg]]*Calculations[[#This Row],[Carbon Factor]]</f>
        <v>0</v>
      </c>
      <c r="I1351" t="str">
        <f>IFERROR(VLOOKUP(Calculations[[#This Row],[Material (choose from dropdown]],MaterialData[#All],2,FALSE),"")</f>
        <v/>
      </c>
      <c r="J1351" s="322">
        <f>IFERROR(((VLOOKUP(Calculations[[#This Row],[TransportSource]],TransportDistance[],2,FALSE)*'Stage assumptions'!$C$11)+VLOOKUP(Calculations[[#This Row],[TransportSource]],TransportDistance[],3,FALSE)*'Stage assumptions'!$C$12)*Calculations[[#This Row],[Total Kg]],0)</f>
        <v>0</v>
      </c>
      <c r="K1351">
        <f>IFERROR(VLOOKUP(Calculations[[#This Row],[Material (choose from dropdown]], MaterialData[#All],3, FALSE),0)</f>
        <v>0</v>
      </c>
      <c r="L1351" s="322">
        <f>IFERROR(VLOOKUP(Calculations[[#This Row],[A5type]],A5WastageRate[#All],2,FALSE)*Calculations[[#This Row],[A1-3]],0)</f>
        <v>0</v>
      </c>
      <c r="N1351">
        <f>IFERROR(ROUNDUP(50/VLOOKUP(Calculations[[#This Row],[Scope Element]],B4referenceServiceLife[[Tier 2 element]:[Default Service Life]],2, FALSE)-1,0),0)</f>
        <v>0</v>
      </c>
      <c r="O1351" s="322">
        <f>IFERROR((Calculations[[#This Row],[A1-3]]+Calculations[[#This Row],[A4]]+Calculations[[#This Row],[A5]]+Calculations[[#This Row],[C2 total]]+Calculations[[#This Row],[C3 total]]+Calculations[[#This Row],[C4 total]])*Calculations[[#This Row],[Replacements]],0)</f>
        <v>0</v>
      </c>
      <c r="S1351" t="str">
        <f>IFERROR(VLOOKUP(Calculations[[#This Row],[Material (choose from dropdown]],MaterialData[#All],4,FALSE),"")</f>
        <v/>
      </c>
      <c r="T1351" s="322" cm="1">
        <f t="array" ref="T1351">IFERROR(VLOOKUP(Calculations[[#This Row],[Waste 1]],WasteScenario[#All],2,FALSE)*'Stage assumptions'!$C$225*WasteTransportMethod[Emissions Factor
kgCO2e/kg.km]*Calculations[[#This Row],[Total Kg]],0)</f>
        <v>0</v>
      </c>
      <c r="U1351" s="322" cm="1">
        <f t="array" ref="U1351">IFERROR(VLOOKUP(Calculations[[#This Row],[Waste 1]],WasteScenario[#All],3,FALSE)*'Stage assumptions'!$C$224*WasteTransportMethod[Emissions Factor
kgCO2e/kg.km]*Calculations[[#This Row],[Total Kg]],0)</f>
        <v>0</v>
      </c>
      <c r="V1351" s="322" cm="1">
        <f t="array" ref="V1351">IFERROR(VLOOKUP(Calculations[[#This Row],[Waste 1]],WasteScenario[#All],4,FALSE)*'Stage assumptions'!$C$223*WasteTransportMethod[Emissions Factor
kgCO2e/kg.km]*Calculations[[#This Row],[Total Kg]],0)</f>
        <v>0</v>
      </c>
      <c r="W1351" s="322" cm="1">
        <f t="array" ref="W1351">IFERROR(VLOOKUP(Calculations[[#This Row],[Waste 1]],WasteScenario[#All],5,FALSE)*'Stage assumptions'!$C$226*WasteTransportMethod[Emissions Factor
kgCO2e/kg.km]*Calculations[[#This Row],[Total Kg]],0)</f>
        <v>0</v>
      </c>
      <c r="X1351" s="322">
        <f>SUM(Calculations[[#This Row],[C2 Recycle]:[C2 Reuse]])</f>
        <v>0</v>
      </c>
      <c r="Y1351" t="str">
        <f>IFERROR(VLOOKUP(Calculations[[#This Row],[Material (choose from dropdown]],MaterialData[#All],5,FALSE),"")</f>
        <v/>
      </c>
      <c r="Z1351" s="322">
        <f>IFERROR(((VLOOKUP(Calculations[[#This Row],[Waste type 2]],WasteDisposalEmissions[#All],2,FALSE))*Calculations[[#This Row],[Total Kg]])*VLOOKUP(Calculations[[#This Row],[Waste 1]],WasteScenario[#All],2,FALSE),0)</f>
        <v>0</v>
      </c>
      <c r="AA1351" s="322">
        <f>IFERROR((VLOOKUP(Calculations[[#This Row],[Waste type 2]],WasteDisposalEmissions[#All],3,FALSE))*Calculations[[#This Row],[Total Kg]]*VLOOKUP(Calculations[[#This Row],[Waste 1]],WasteScenario[#All],3,FALSE),0)</f>
        <v>0</v>
      </c>
      <c r="AB1351" s="322">
        <f>SUM(Calculations[[#This Row],[C3 recyc]:[C3 incin]])</f>
        <v>0</v>
      </c>
      <c r="AC1351" s="334">
        <f>IFERROR((VLOOKUP(Calculations[[#This Row],[Waste type 2]],WasteLandfillEmissions[#All],2,FALSE))*Calculations[[#This Row],[Total Kg]]*VLOOKUP(Calculations[[#This Row],[Waste 1]],WasteScenario[#All],4,FALSE),0)</f>
        <v>0</v>
      </c>
      <c r="AD1351" s="322">
        <f>IFERROR((VLOOKUP(Calculations[[#This Row],[Waste type 2]],WasteLandfillEmissions[#All],3,FALSE))*Calculations[[#This Row],[Total Kg]]*VLOOKUP(Calculations[[#This Row],[Waste 1]],WasteScenario[#All],4,FALSE),0)</f>
        <v>0</v>
      </c>
      <c r="AE1351" s="322">
        <f>SUM(Calculations[[#This Row],[C4 landfill]:[C4 re-use]])</f>
        <v>0</v>
      </c>
      <c r="AF1351" s="322">
        <f>IFERROR(VLOOKUP(Calculations[[#This Row],[Material (choose from dropdown]],MaterialData[#All],8,FALSE),0)</f>
        <v>0</v>
      </c>
      <c r="AG1351" s="322">
        <f>IFERROR(Calculations[[#This Row],[Total Kg]]*Calculations[[#This Row],[Seq factor]],0)</f>
        <v>0</v>
      </c>
      <c r="AI1351" s="322">
        <f>Calculations[[#This Row],[A1-3]]+Calculations[[#This Row],[A4]]+Calculations[[#This Row],[A5]]+Calculations[[#This Row],[B4]]+Calculations[[#This Row],[C2 total]]+Calculations[[#This Row],[C3 total]]+Calculations[[#This Row],[C4 total]]</f>
        <v>0</v>
      </c>
      <c r="AJ1351" s="2">
        <f>IFERROR(VLOOKUP(Calculations[[#This Row],[Material (choose from dropdown]],MaterialData[[#Headers],[#Data]],9,FALSE),0)</f>
        <v>0</v>
      </c>
      <c r="AK1351" s="4">
        <f>IFERROR(VLOOKUP(Calculations[[#This Row],[Material (choose from dropdown]],MaterialData[[#Headers],[#Data]],10,FALSE),0)</f>
        <v>0</v>
      </c>
      <c r="AL1351" s="322">
        <f>IFERROR(Calculations[[#This Row],[Data Quality Score]]*Calculations[[#This Row],[Total Kg]],0)</f>
        <v>0</v>
      </c>
    </row>
    <row r="1352" spans="1:38" x14ac:dyDescent="0.3">
      <c r="A1352" s="6">
        <f>IFERROR(MaterialsBoQ[[#This Row],[Scope Element]],0)</f>
        <v>0</v>
      </c>
      <c r="B1352" t="str">
        <f>IFERROR(MaterialsBoQ[[#This Row],[Material ]],"")</f>
        <v/>
      </c>
      <c r="C1352" t="str">
        <f>IFERROR(MaterialsBoQ[[#This Row],[Unit]],"")</f>
        <v/>
      </c>
      <c r="D1352" s="322">
        <f>IFERROR(MaterialsBoQ[[#This Row],[Number]],0)</f>
        <v>0</v>
      </c>
      <c r="E1352" s="322">
        <f>IFERROR(MaterialsBoQ[[#This Row],[Kg per unit]],0)</f>
        <v>0</v>
      </c>
      <c r="F1352" s="322">
        <f>IFERROR(Calculations[[#This Row],[Number]]*Calculations[[#This Row],[Conversion factor]],0)</f>
        <v>0</v>
      </c>
      <c r="G1352" s="322">
        <f>IFERROR(VLOOKUP(Calculations[[#This Row],[Material (choose from dropdown]],MaterialData[#All],7,FALSE),0)</f>
        <v>0</v>
      </c>
      <c r="H1352" s="322">
        <f>Calculations[[#This Row],[Total Kg]]*Calculations[[#This Row],[Carbon Factor]]</f>
        <v>0</v>
      </c>
      <c r="I1352" t="str">
        <f>IFERROR(VLOOKUP(Calculations[[#This Row],[Material (choose from dropdown]],MaterialData[#All],2,FALSE),"")</f>
        <v/>
      </c>
      <c r="J1352" s="322">
        <f>IFERROR(((VLOOKUP(Calculations[[#This Row],[TransportSource]],TransportDistance[],2,FALSE)*'Stage assumptions'!$C$11)+VLOOKUP(Calculations[[#This Row],[TransportSource]],TransportDistance[],3,FALSE)*'Stage assumptions'!$C$12)*Calculations[[#This Row],[Total Kg]],0)</f>
        <v>0</v>
      </c>
      <c r="K1352">
        <f>IFERROR(VLOOKUP(Calculations[[#This Row],[Material (choose from dropdown]], MaterialData[#All],3, FALSE),0)</f>
        <v>0</v>
      </c>
      <c r="L1352" s="322">
        <f>IFERROR(VLOOKUP(Calculations[[#This Row],[A5type]],A5WastageRate[#All],2,FALSE)*Calculations[[#This Row],[A1-3]],0)</f>
        <v>0</v>
      </c>
      <c r="N1352">
        <f>IFERROR(ROUNDUP(50/VLOOKUP(Calculations[[#This Row],[Scope Element]],B4referenceServiceLife[[Tier 2 element]:[Default Service Life]],2, FALSE)-1,0),0)</f>
        <v>0</v>
      </c>
      <c r="O1352" s="322">
        <f>IFERROR((Calculations[[#This Row],[A1-3]]+Calculations[[#This Row],[A4]]+Calculations[[#This Row],[A5]]+Calculations[[#This Row],[C2 total]]+Calculations[[#This Row],[C3 total]]+Calculations[[#This Row],[C4 total]])*Calculations[[#This Row],[Replacements]],0)</f>
        <v>0</v>
      </c>
      <c r="S1352" t="str">
        <f>IFERROR(VLOOKUP(Calculations[[#This Row],[Material (choose from dropdown]],MaterialData[#All],4,FALSE),"")</f>
        <v/>
      </c>
      <c r="T1352" s="322" cm="1">
        <f t="array" ref="T1352">IFERROR(VLOOKUP(Calculations[[#This Row],[Waste 1]],WasteScenario[#All],2,FALSE)*'Stage assumptions'!$C$225*WasteTransportMethod[Emissions Factor
kgCO2e/kg.km]*Calculations[[#This Row],[Total Kg]],0)</f>
        <v>0</v>
      </c>
      <c r="U1352" s="322" cm="1">
        <f t="array" ref="U1352">IFERROR(VLOOKUP(Calculations[[#This Row],[Waste 1]],WasteScenario[#All],3,FALSE)*'Stage assumptions'!$C$224*WasteTransportMethod[Emissions Factor
kgCO2e/kg.km]*Calculations[[#This Row],[Total Kg]],0)</f>
        <v>0</v>
      </c>
      <c r="V1352" s="322" cm="1">
        <f t="array" ref="V1352">IFERROR(VLOOKUP(Calculations[[#This Row],[Waste 1]],WasteScenario[#All],4,FALSE)*'Stage assumptions'!$C$223*WasteTransportMethod[Emissions Factor
kgCO2e/kg.km]*Calculations[[#This Row],[Total Kg]],0)</f>
        <v>0</v>
      </c>
      <c r="W1352" s="322" cm="1">
        <f t="array" ref="W1352">IFERROR(VLOOKUP(Calculations[[#This Row],[Waste 1]],WasteScenario[#All],5,FALSE)*'Stage assumptions'!$C$226*WasteTransportMethod[Emissions Factor
kgCO2e/kg.km]*Calculations[[#This Row],[Total Kg]],0)</f>
        <v>0</v>
      </c>
      <c r="X1352" s="322">
        <f>SUM(Calculations[[#This Row],[C2 Recycle]:[C2 Reuse]])</f>
        <v>0</v>
      </c>
      <c r="Y1352" t="str">
        <f>IFERROR(VLOOKUP(Calculations[[#This Row],[Material (choose from dropdown]],MaterialData[#All],5,FALSE),"")</f>
        <v/>
      </c>
      <c r="Z1352" s="322">
        <f>IFERROR(((VLOOKUP(Calculations[[#This Row],[Waste type 2]],WasteDisposalEmissions[#All],2,FALSE))*Calculations[[#This Row],[Total Kg]])*VLOOKUP(Calculations[[#This Row],[Waste 1]],WasteScenario[#All],2,FALSE),0)</f>
        <v>0</v>
      </c>
      <c r="AA1352" s="322">
        <f>IFERROR((VLOOKUP(Calculations[[#This Row],[Waste type 2]],WasteDisposalEmissions[#All],3,FALSE))*Calculations[[#This Row],[Total Kg]]*VLOOKUP(Calculations[[#This Row],[Waste 1]],WasteScenario[#All],3,FALSE),0)</f>
        <v>0</v>
      </c>
      <c r="AB1352" s="322">
        <f>SUM(Calculations[[#This Row],[C3 recyc]:[C3 incin]])</f>
        <v>0</v>
      </c>
      <c r="AC1352" s="334">
        <f>IFERROR((VLOOKUP(Calculations[[#This Row],[Waste type 2]],WasteLandfillEmissions[#All],2,FALSE))*Calculations[[#This Row],[Total Kg]]*VLOOKUP(Calculations[[#This Row],[Waste 1]],WasteScenario[#All],4,FALSE),0)</f>
        <v>0</v>
      </c>
      <c r="AD1352" s="322">
        <f>IFERROR((VLOOKUP(Calculations[[#This Row],[Waste type 2]],WasteLandfillEmissions[#All],3,FALSE))*Calculations[[#This Row],[Total Kg]]*VLOOKUP(Calculations[[#This Row],[Waste 1]],WasteScenario[#All],4,FALSE),0)</f>
        <v>0</v>
      </c>
      <c r="AE1352" s="322">
        <f>SUM(Calculations[[#This Row],[C4 landfill]:[C4 re-use]])</f>
        <v>0</v>
      </c>
      <c r="AF1352" s="322">
        <f>IFERROR(VLOOKUP(Calculations[[#This Row],[Material (choose from dropdown]],MaterialData[#All],8,FALSE),0)</f>
        <v>0</v>
      </c>
      <c r="AG1352" s="322">
        <f>IFERROR(Calculations[[#This Row],[Total Kg]]*Calculations[[#This Row],[Seq factor]],0)</f>
        <v>0</v>
      </c>
      <c r="AI1352" s="322">
        <f>Calculations[[#This Row],[A1-3]]+Calculations[[#This Row],[A4]]+Calculations[[#This Row],[A5]]+Calculations[[#This Row],[B4]]+Calculations[[#This Row],[C2 total]]+Calculations[[#This Row],[C3 total]]+Calculations[[#This Row],[C4 total]]</f>
        <v>0</v>
      </c>
      <c r="AJ1352" s="2">
        <f>IFERROR(VLOOKUP(Calculations[[#This Row],[Material (choose from dropdown]],MaterialData[[#Headers],[#Data]],9,FALSE),0)</f>
        <v>0</v>
      </c>
      <c r="AK1352" s="4">
        <f>IFERROR(VLOOKUP(Calculations[[#This Row],[Material (choose from dropdown]],MaterialData[[#Headers],[#Data]],10,FALSE),0)</f>
        <v>0</v>
      </c>
      <c r="AL1352" s="322">
        <f>IFERROR(Calculations[[#This Row],[Data Quality Score]]*Calculations[[#This Row],[Total Kg]],0)</f>
        <v>0</v>
      </c>
    </row>
    <row r="1353" spans="1:38" x14ac:dyDescent="0.3">
      <c r="A1353" s="6">
        <f>IFERROR(MaterialsBoQ[[#This Row],[Scope Element]],0)</f>
        <v>0</v>
      </c>
      <c r="B1353" t="str">
        <f>IFERROR(MaterialsBoQ[[#This Row],[Material ]],"")</f>
        <v/>
      </c>
      <c r="C1353" t="str">
        <f>IFERROR(MaterialsBoQ[[#This Row],[Unit]],"")</f>
        <v/>
      </c>
      <c r="D1353" s="322">
        <f>IFERROR(MaterialsBoQ[[#This Row],[Number]],0)</f>
        <v>0</v>
      </c>
      <c r="E1353" s="322">
        <f>IFERROR(MaterialsBoQ[[#This Row],[Kg per unit]],0)</f>
        <v>0</v>
      </c>
      <c r="F1353" s="322">
        <f>IFERROR(Calculations[[#This Row],[Number]]*Calculations[[#This Row],[Conversion factor]],0)</f>
        <v>0</v>
      </c>
      <c r="G1353" s="322">
        <f>IFERROR(VLOOKUP(Calculations[[#This Row],[Material (choose from dropdown]],MaterialData[#All],7,FALSE),0)</f>
        <v>0</v>
      </c>
      <c r="H1353" s="322">
        <f>Calculations[[#This Row],[Total Kg]]*Calculations[[#This Row],[Carbon Factor]]</f>
        <v>0</v>
      </c>
      <c r="I1353" t="str">
        <f>IFERROR(VLOOKUP(Calculations[[#This Row],[Material (choose from dropdown]],MaterialData[#All],2,FALSE),"")</f>
        <v/>
      </c>
      <c r="J1353" s="322">
        <f>IFERROR(((VLOOKUP(Calculations[[#This Row],[TransportSource]],TransportDistance[],2,FALSE)*'Stage assumptions'!$C$11)+VLOOKUP(Calculations[[#This Row],[TransportSource]],TransportDistance[],3,FALSE)*'Stage assumptions'!$C$12)*Calculations[[#This Row],[Total Kg]],0)</f>
        <v>0</v>
      </c>
      <c r="K1353">
        <f>IFERROR(VLOOKUP(Calculations[[#This Row],[Material (choose from dropdown]], MaterialData[#All],3, FALSE),0)</f>
        <v>0</v>
      </c>
      <c r="L1353" s="322">
        <f>IFERROR(VLOOKUP(Calculations[[#This Row],[A5type]],A5WastageRate[#All],2,FALSE)*Calculations[[#This Row],[A1-3]],0)</f>
        <v>0</v>
      </c>
      <c r="N1353">
        <f>IFERROR(ROUNDUP(50/VLOOKUP(Calculations[[#This Row],[Scope Element]],B4referenceServiceLife[[Tier 2 element]:[Default Service Life]],2, FALSE)-1,0),0)</f>
        <v>0</v>
      </c>
      <c r="O1353" s="322">
        <f>IFERROR((Calculations[[#This Row],[A1-3]]+Calculations[[#This Row],[A4]]+Calculations[[#This Row],[A5]]+Calculations[[#This Row],[C2 total]]+Calculations[[#This Row],[C3 total]]+Calculations[[#This Row],[C4 total]])*Calculations[[#This Row],[Replacements]],0)</f>
        <v>0</v>
      </c>
      <c r="S1353" t="str">
        <f>IFERROR(VLOOKUP(Calculations[[#This Row],[Material (choose from dropdown]],MaterialData[#All],4,FALSE),"")</f>
        <v/>
      </c>
      <c r="T1353" s="322" cm="1">
        <f t="array" ref="T1353">IFERROR(VLOOKUP(Calculations[[#This Row],[Waste 1]],WasteScenario[#All],2,FALSE)*'Stage assumptions'!$C$225*WasteTransportMethod[Emissions Factor
kgCO2e/kg.km]*Calculations[[#This Row],[Total Kg]],0)</f>
        <v>0</v>
      </c>
      <c r="U1353" s="322" cm="1">
        <f t="array" ref="U1353">IFERROR(VLOOKUP(Calculations[[#This Row],[Waste 1]],WasteScenario[#All],3,FALSE)*'Stage assumptions'!$C$224*WasteTransportMethod[Emissions Factor
kgCO2e/kg.km]*Calculations[[#This Row],[Total Kg]],0)</f>
        <v>0</v>
      </c>
      <c r="V1353" s="322" cm="1">
        <f t="array" ref="V1353">IFERROR(VLOOKUP(Calculations[[#This Row],[Waste 1]],WasteScenario[#All],4,FALSE)*'Stage assumptions'!$C$223*WasteTransportMethod[Emissions Factor
kgCO2e/kg.km]*Calculations[[#This Row],[Total Kg]],0)</f>
        <v>0</v>
      </c>
      <c r="W1353" s="322" cm="1">
        <f t="array" ref="W1353">IFERROR(VLOOKUP(Calculations[[#This Row],[Waste 1]],WasteScenario[#All],5,FALSE)*'Stage assumptions'!$C$226*WasteTransportMethod[Emissions Factor
kgCO2e/kg.km]*Calculations[[#This Row],[Total Kg]],0)</f>
        <v>0</v>
      </c>
      <c r="X1353" s="322">
        <f>SUM(Calculations[[#This Row],[C2 Recycle]:[C2 Reuse]])</f>
        <v>0</v>
      </c>
      <c r="Y1353" t="str">
        <f>IFERROR(VLOOKUP(Calculations[[#This Row],[Material (choose from dropdown]],MaterialData[#All],5,FALSE),"")</f>
        <v/>
      </c>
      <c r="Z1353" s="322">
        <f>IFERROR(((VLOOKUP(Calculations[[#This Row],[Waste type 2]],WasteDisposalEmissions[#All],2,FALSE))*Calculations[[#This Row],[Total Kg]])*VLOOKUP(Calculations[[#This Row],[Waste 1]],WasteScenario[#All],2,FALSE),0)</f>
        <v>0</v>
      </c>
      <c r="AA1353" s="322">
        <f>IFERROR((VLOOKUP(Calculations[[#This Row],[Waste type 2]],WasteDisposalEmissions[#All],3,FALSE))*Calculations[[#This Row],[Total Kg]]*VLOOKUP(Calculations[[#This Row],[Waste 1]],WasteScenario[#All],3,FALSE),0)</f>
        <v>0</v>
      </c>
      <c r="AB1353" s="322">
        <f>SUM(Calculations[[#This Row],[C3 recyc]:[C3 incin]])</f>
        <v>0</v>
      </c>
      <c r="AC1353" s="334">
        <f>IFERROR((VLOOKUP(Calculations[[#This Row],[Waste type 2]],WasteLandfillEmissions[#All],2,FALSE))*Calculations[[#This Row],[Total Kg]]*VLOOKUP(Calculations[[#This Row],[Waste 1]],WasteScenario[#All],4,FALSE),0)</f>
        <v>0</v>
      </c>
      <c r="AD1353" s="322">
        <f>IFERROR((VLOOKUP(Calculations[[#This Row],[Waste type 2]],WasteLandfillEmissions[#All],3,FALSE))*Calculations[[#This Row],[Total Kg]]*VLOOKUP(Calculations[[#This Row],[Waste 1]],WasteScenario[#All],4,FALSE),0)</f>
        <v>0</v>
      </c>
      <c r="AE1353" s="322">
        <f>SUM(Calculations[[#This Row],[C4 landfill]:[C4 re-use]])</f>
        <v>0</v>
      </c>
      <c r="AF1353" s="322">
        <f>IFERROR(VLOOKUP(Calculations[[#This Row],[Material (choose from dropdown]],MaterialData[#All],8,FALSE),0)</f>
        <v>0</v>
      </c>
      <c r="AG1353" s="322">
        <f>IFERROR(Calculations[[#This Row],[Total Kg]]*Calculations[[#This Row],[Seq factor]],0)</f>
        <v>0</v>
      </c>
      <c r="AI1353" s="322">
        <f>Calculations[[#This Row],[A1-3]]+Calculations[[#This Row],[A4]]+Calculations[[#This Row],[A5]]+Calculations[[#This Row],[B4]]+Calculations[[#This Row],[C2 total]]+Calculations[[#This Row],[C3 total]]+Calculations[[#This Row],[C4 total]]</f>
        <v>0</v>
      </c>
      <c r="AJ1353" s="2">
        <f>IFERROR(VLOOKUP(Calculations[[#This Row],[Material (choose from dropdown]],MaterialData[[#Headers],[#Data]],9,FALSE),0)</f>
        <v>0</v>
      </c>
      <c r="AK1353" s="4">
        <f>IFERROR(VLOOKUP(Calculations[[#This Row],[Material (choose from dropdown]],MaterialData[[#Headers],[#Data]],10,FALSE),0)</f>
        <v>0</v>
      </c>
      <c r="AL1353" s="322">
        <f>IFERROR(Calculations[[#This Row],[Data Quality Score]]*Calculations[[#This Row],[Total Kg]],0)</f>
        <v>0</v>
      </c>
    </row>
    <row r="1354" spans="1:38" x14ac:dyDescent="0.3">
      <c r="A1354" s="6">
        <f>IFERROR(MaterialsBoQ[[#This Row],[Scope Element]],0)</f>
        <v>0</v>
      </c>
      <c r="B1354" t="str">
        <f>IFERROR(MaterialsBoQ[[#This Row],[Material ]],"")</f>
        <v/>
      </c>
      <c r="C1354" t="str">
        <f>IFERROR(MaterialsBoQ[[#This Row],[Unit]],"")</f>
        <v/>
      </c>
      <c r="D1354" s="322">
        <f>IFERROR(MaterialsBoQ[[#This Row],[Number]],0)</f>
        <v>0</v>
      </c>
      <c r="E1354" s="322">
        <f>IFERROR(MaterialsBoQ[[#This Row],[Kg per unit]],0)</f>
        <v>0</v>
      </c>
      <c r="F1354" s="322">
        <f>IFERROR(Calculations[[#This Row],[Number]]*Calculations[[#This Row],[Conversion factor]],0)</f>
        <v>0</v>
      </c>
      <c r="G1354" s="322">
        <f>IFERROR(VLOOKUP(Calculations[[#This Row],[Material (choose from dropdown]],MaterialData[#All],7,FALSE),0)</f>
        <v>0</v>
      </c>
      <c r="H1354" s="322">
        <f>Calculations[[#This Row],[Total Kg]]*Calculations[[#This Row],[Carbon Factor]]</f>
        <v>0</v>
      </c>
      <c r="I1354" t="str">
        <f>IFERROR(VLOOKUP(Calculations[[#This Row],[Material (choose from dropdown]],MaterialData[#All],2,FALSE),"")</f>
        <v/>
      </c>
      <c r="J1354" s="322">
        <f>IFERROR(((VLOOKUP(Calculations[[#This Row],[TransportSource]],TransportDistance[],2,FALSE)*'Stage assumptions'!$C$11)+VLOOKUP(Calculations[[#This Row],[TransportSource]],TransportDistance[],3,FALSE)*'Stage assumptions'!$C$12)*Calculations[[#This Row],[Total Kg]],0)</f>
        <v>0</v>
      </c>
      <c r="K1354">
        <f>IFERROR(VLOOKUP(Calculations[[#This Row],[Material (choose from dropdown]], MaterialData[#All],3, FALSE),0)</f>
        <v>0</v>
      </c>
      <c r="L1354" s="322">
        <f>IFERROR(VLOOKUP(Calculations[[#This Row],[A5type]],A5WastageRate[#All],2,FALSE)*Calculations[[#This Row],[A1-3]],0)</f>
        <v>0</v>
      </c>
      <c r="N1354">
        <f>IFERROR(ROUNDUP(50/VLOOKUP(Calculations[[#This Row],[Scope Element]],B4referenceServiceLife[[Tier 2 element]:[Default Service Life]],2, FALSE)-1,0),0)</f>
        <v>0</v>
      </c>
      <c r="O1354" s="322">
        <f>IFERROR((Calculations[[#This Row],[A1-3]]+Calculations[[#This Row],[A4]]+Calculations[[#This Row],[A5]]+Calculations[[#This Row],[C2 total]]+Calculations[[#This Row],[C3 total]]+Calculations[[#This Row],[C4 total]])*Calculations[[#This Row],[Replacements]],0)</f>
        <v>0</v>
      </c>
      <c r="S1354" t="str">
        <f>IFERROR(VLOOKUP(Calculations[[#This Row],[Material (choose from dropdown]],MaterialData[#All],4,FALSE),"")</f>
        <v/>
      </c>
      <c r="T1354" s="322" cm="1">
        <f t="array" ref="T1354">IFERROR(VLOOKUP(Calculations[[#This Row],[Waste 1]],WasteScenario[#All],2,FALSE)*'Stage assumptions'!$C$225*WasteTransportMethod[Emissions Factor
kgCO2e/kg.km]*Calculations[[#This Row],[Total Kg]],0)</f>
        <v>0</v>
      </c>
      <c r="U1354" s="322" cm="1">
        <f t="array" ref="U1354">IFERROR(VLOOKUP(Calculations[[#This Row],[Waste 1]],WasteScenario[#All],3,FALSE)*'Stage assumptions'!$C$224*WasteTransportMethod[Emissions Factor
kgCO2e/kg.km]*Calculations[[#This Row],[Total Kg]],0)</f>
        <v>0</v>
      </c>
      <c r="V1354" s="322" cm="1">
        <f t="array" ref="V1354">IFERROR(VLOOKUP(Calculations[[#This Row],[Waste 1]],WasteScenario[#All],4,FALSE)*'Stage assumptions'!$C$223*WasteTransportMethod[Emissions Factor
kgCO2e/kg.km]*Calculations[[#This Row],[Total Kg]],0)</f>
        <v>0</v>
      </c>
      <c r="W1354" s="322" cm="1">
        <f t="array" ref="W1354">IFERROR(VLOOKUP(Calculations[[#This Row],[Waste 1]],WasteScenario[#All],5,FALSE)*'Stage assumptions'!$C$226*WasteTransportMethod[Emissions Factor
kgCO2e/kg.km]*Calculations[[#This Row],[Total Kg]],0)</f>
        <v>0</v>
      </c>
      <c r="X1354" s="322">
        <f>SUM(Calculations[[#This Row],[C2 Recycle]:[C2 Reuse]])</f>
        <v>0</v>
      </c>
      <c r="Y1354" t="str">
        <f>IFERROR(VLOOKUP(Calculations[[#This Row],[Material (choose from dropdown]],MaterialData[#All],5,FALSE),"")</f>
        <v/>
      </c>
      <c r="Z1354" s="322">
        <f>IFERROR(((VLOOKUP(Calculations[[#This Row],[Waste type 2]],WasteDisposalEmissions[#All],2,FALSE))*Calculations[[#This Row],[Total Kg]])*VLOOKUP(Calculations[[#This Row],[Waste 1]],WasteScenario[#All],2,FALSE),0)</f>
        <v>0</v>
      </c>
      <c r="AA1354" s="322">
        <f>IFERROR((VLOOKUP(Calculations[[#This Row],[Waste type 2]],WasteDisposalEmissions[#All],3,FALSE))*Calculations[[#This Row],[Total Kg]]*VLOOKUP(Calculations[[#This Row],[Waste 1]],WasteScenario[#All],3,FALSE),0)</f>
        <v>0</v>
      </c>
      <c r="AB1354" s="322">
        <f>SUM(Calculations[[#This Row],[C3 recyc]:[C3 incin]])</f>
        <v>0</v>
      </c>
      <c r="AC1354" s="334">
        <f>IFERROR((VLOOKUP(Calculations[[#This Row],[Waste type 2]],WasteLandfillEmissions[#All],2,FALSE))*Calculations[[#This Row],[Total Kg]]*VLOOKUP(Calculations[[#This Row],[Waste 1]],WasteScenario[#All],4,FALSE),0)</f>
        <v>0</v>
      </c>
      <c r="AD1354" s="322">
        <f>IFERROR((VLOOKUP(Calculations[[#This Row],[Waste type 2]],WasteLandfillEmissions[#All],3,FALSE))*Calculations[[#This Row],[Total Kg]]*VLOOKUP(Calculations[[#This Row],[Waste 1]],WasteScenario[#All],4,FALSE),0)</f>
        <v>0</v>
      </c>
      <c r="AE1354" s="322">
        <f>SUM(Calculations[[#This Row],[C4 landfill]:[C4 re-use]])</f>
        <v>0</v>
      </c>
      <c r="AF1354" s="322">
        <f>IFERROR(VLOOKUP(Calculations[[#This Row],[Material (choose from dropdown]],MaterialData[#All],8,FALSE),0)</f>
        <v>0</v>
      </c>
      <c r="AG1354" s="322">
        <f>IFERROR(Calculations[[#This Row],[Total Kg]]*Calculations[[#This Row],[Seq factor]],0)</f>
        <v>0</v>
      </c>
      <c r="AI1354" s="322">
        <f>Calculations[[#This Row],[A1-3]]+Calculations[[#This Row],[A4]]+Calculations[[#This Row],[A5]]+Calculations[[#This Row],[B4]]+Calculations[[#This Row],[C2 total]]+Calculations[[#This Row],[C3 total]]+Calculations[[#This Row],[C4 total]]</f>
        <v>0</v>
      </c>
      <c r="AJ1354" s="2">
        <f>IFERROR(VLOOKUP(Calculations[[#This Row],[Material (choose from dropdown]],MaterialData[[#Headers],[#Data]],9,FALSE),0)</f>
        <v>0</v>
      </c>
      <c r="AK1354" s="4">
        <f>IFERROR(VLOOKUP(Calculations[[#This Row],[Material (choose from dropdown]],MaterialData[[#Headers],[#Data]],10,FALSE),0)</f>
        <v>0</v>
      </c>
      <c r="AL1354" s="322">
        <f>IFERROR(Calculations[[#This Row],[Data Quality Score]]*Calculations[[#This Row],[Total Kg]],0)</f>
        <v>0</v>
      </c>
    </row>
    <row r="1355" spans="1:38" x14ac:dyDescent="0.3">
      <c r="A1355" s="6">
        <f>IFERROR(MaterialsBoQ[[#This Row],[Scope Element]],0)</f>
        <v>0</v>
      </c>
      <c r="B1355" t="str">
        <f>IFERROR(MaterialsBoQ[[#This Row],[Material ]],"")</f>
        <v/>
      </c>
      <c r="C1355" t="str">
        <f>IFERROR(MaterialsBoQ[[#This Row],[Unit]],"")</f>
        <v/>
      </c>
      <c r="D1355" s="322">
        <f>IFERROR(MaterialsBoQ[[#This Row],[Number]],0)</f>
        <v>0</v>
      </c>
      <c r="E1355" s="322">
        <f>IFERROR(MaterialsBoQ[[#This Row],[Kg per unit]],0)</f>
        <v>0</v>
      </c>
      <c r="F1355" s="322">
        <f>IFERROR(Calculations[[#This Row],[Number]]*Calculations[[#This Row],[Conversion factor]],0)</f>
        <v>0</v>
      </c>
      <c r="G1355" s="322">
        <f>IFERROR(VLOOKUP(Calculations[[#This Row],[Material (choose from dropdown]],MaterialData[#All],7,FALSE),0)</f>
        <v>0</v>
      </c>
      <c r="H1355" s="322">
        <f>Calculations[[#This Row],[Total Kg]]*Calculations[[#This Row],[Carbon Factor]]</f>
        <v>0</v>
      </c>
      <c r="I1355" t="str">
        <f>IFERROR(VLOOKUP(Calculations[[#This Row],[Material (choose from dropdown]],MaterialData[#All],2,FALSE),"")</f>
        <v/>
      </c>
      <c r="J1355" s="322">
        <f>IFERROR(((VLOOKUP(Calculations[[#This Row],[TransportSource]],TransportDistance[],2,FALSE)*'Stage assumptions'!$C$11)+VLOOKUP(Calculations[[#This Row],[TransportSource]],TransportDistance[],3,FALSE)*'Stage assumptions'!$C$12)*Calculations[[#This Row],[Total Kg]],0)</f>
        <v>0</v>
      </c>
      <c r="K1355">
        <f>IFERROR(VLOOKUP(Calculations[[#This Row],[Material (choose from dropdown]], MaterialData[#All],3, FALSE),0)</f>
        <v>0</v>
      </c>
      <c r="L1355" s="322">
        <f>IFERROR(VLOOKUP(Calculations[[#This Row],[A5type]],A5WastageRate[#All],2,FALSE)*Calculations[[#This Row],[A1-3]],0)</f>
        <v>0</v>
      </c>
      <c r="N1355">
        <f>IFERROR(ROUNDUP(50/VLOOKUP(Calculations[[#This Row],[Scope Element]],B4referenceServiceLife[[Tier 2 element]:[Default Service Life]],2, FALSE)-1,0),0)</f>
        <v>0</v>
      </c>
      <c r="O1355" s="322">
        <f>IFERROR((Calculations[[#This Row],[A1-3]]+Calculations[[#This Row],[A4]]+Calculations[[#This Row],[A5]]+Calculations[[#This Row],[C2 total]]+Calculations[[#This Row],[C3 total]]+Calculations[[#This Row],[C4 total]])*Calculations[[#This Row],[Replacements]],0)</f>
        <v>0</v>
      </c>
      <c r="S1355" t="str">
        <f>IFERROR(VLOOKUP(Calculations[[#This Row],[Material (choose from dropdown]],MaterialData[#All],4,FALSE),"")</f>
        <v/>
      </c>
      <c r="T1355" s="322" cm="1">
        <f t="array" ref="T1355">IFERROR(VLOOKUP(Calculations[[#This Row],[Waste 1]],WasteScenario[#All],2,FALSE)*'Stage assumptions'!$C$225*WasteTransportMethod[Emissions Factor
kgCO2e/kg.km]*Calculations[[#This Row],[Total Kg]],0)</f>
        <v>0</v>
      </c>
      <c r="U1355" s="322" cm="1">
        <f t="array" ref="U1355">IFERROR(VLOOKUP(Calculations[[#This Row],[Waste 1]],WasteScenario[#All],3,FALSE)*'Stage assumptions'!$C$224*WasteTransportMethod[Emissions Factor
kgCO2e/kg.km]*Calculations[[#This Row],[Total Kg]],0)</f>
        <v>0</v>
      </c>
      <c r="V1355" s="322" cm="1">
        <f t="array" ref="V1355">IFERROR(VLOOKUP(Calculations[[#This Row],[Waste 1]],WasteScenario[#All],4,FALSE)*'Stage assumptions'!$C$223*WasteTransportMethod[Emissions Factor
kgCO2e/kg.km]*Calculations[[#This Row],[Total Kg]],0)</f>
        <v>0</v>
      </c>
      <c r="W1355" s="322" cm="1">
        <f t="array" ref="W1355">IFERROR(VLOOKUP(Calculations[[#This Row],[Waste 1]],WasteScenario[#All],5,FALSE)*'Stage assumptions'!$C$226*WasteTransportMethod[Emissions Factor
kgCO2e/kg.km]*Calculations[[#This Row],[Total Kg]],0)</f>
        <v>0</v>
      </c>
      <c r="X1355" s="322">
        <f>SUM(Calculations[[#This Row],[C2 Recycle]:[C2 Reuse]])</f>
        <v>0</v>
      </c>
      <c r="Y1355" t="str">
        <f>IFERROR(VLOOKUP(Calculations[[#This Row],[Material (choose from dropdown]],MaterialData[#All],5,FALSE),"")</f>
        <v/>
      </c>
      <c r="Z1355" s="322">
        <f>IFERROR(((VLOOKUP(Calculations[[#This Row],[Waste type 2]],WasteDisposalEmissions[#All],2,FALSE))*Calculations[[#This Row],[Total Kg]])*VLOOKUP(Calculations[[#This Row],[Waste 1]],WasteScenario[#All],2,FALSE),0)</f>
        <v>0</v>
      </c>
      <c r="AA1355" s="322">
        <f>IFERROR((VLOOKUP(Calculations[[#This Row],[Waste type 2]],WasteDisposalEmissions[#All],3,FALSE))*Calculations[[#This Row],[Total Kg]]*VLOOKUP(Calculations[[#This Row],[Waste 1]],WasteScenario[#All],3,FALSE),0)</f>
        <v>0</v>
      </c>
      <c r="AB1355" s="322">
        <f>SUM(Calculations[[#This Row],[C3 recyc]:[C3 incin]])</f>
        <v>0</v>
      </c>
      <c r="AC1355" s="334">
        <f>IFERROR((VLOOKUP(Calculations[[#This Row],[Waste type 2]],WasteLandfillEmissions[#All],2,FALSE))*Calculations[[#This Row],[Total Kg]]*VLOOKUP(Calculations[[#This Row],[Waste 1]],WasteScenario[#All],4,FALSE),0)</f>
        <v>0</v>
      </c>
      <c r="AD1355" s="322">
        <f>IFERROR((VLOOKUP(Calculations[[#This Row],[Waste type 2]],WasteLandfillEmissions[#All],3,FALSE))*Calculations[[#This Row],[Total Kg]]*VLOOKUP(Calculations[[#This Row],[Waste 1]],WasteScenario[#All],4,FALSE),0)</f>
        <v>0</v>
      </c>
      <c r="AE1355" s="322">
        <f>SUM(Calculations[[#This Row],[C4 landfill]:[C4 re-use]])</f>
        <v>0</v>
      </c>
      <c r="AF1355" s="322">
        <f>IFERROR(VLOOKUP(Calculations[[#This Row],[Material (choose from dropdown]],MaterialData[#All],8,FALSE),0)</f>
        <v>0</v>
      </c>
      <c r="AG1355" s="322">
        <f>IFERROR(Calculations[[#This Row],[Total Kg]]*Calculations[[#This Row],[Seq factor]],0)</f>
        <v>0</v>
      </c>
      <c r="AI1355" s="322">
        <f>Calculations[[#This Row],[A1-3]]+Calculations[[#This Row],[A4]]+Calculations[[#This Row],[A5]]+Calculations[[#This Row],[B4]]+Calculations[[#This Row],[C2 total]]+Calculations[[#This Row],[C3 total]]+Calculations[[#This Row],[C4 total]]</f>
        <v>0</v>
      </c>
      <c r="AJ1355" s="2">
        <f>IFERROR(VLOOKUP(Calculations[[#This Row],[Material (choose from dropdown]],MaterialData[[#Headers],[#Data]],9,FALSE),0)</f>
        <v>0</v>
      </c>
      <c r="AK1355" s="4">
        <f>IFERROR(VLOOKUP(Calculations[[#This Row],[Material (choose from dropdown]],MaterialData[[#Headers],[#Data]],10,FALSE),0)</f>
        <v>0</v>
      </c>
      <c r="AL1355" s="322">
        <f>IFERROR(Calculations[[#This Row],[Data Quality Score]]*Calculations[[#This Row],[Total Kg]],0)</f>
        <v>0</v>
      </c>
    </row>
    <row r="1356" spans="1:38" x14ac:dyDescent="0.3">
      <c r="A1356" s="6">
        <f>IFERROR(MaterialsBoQ[[#This Row],[Scope Element]],0)</f>
        <v>0</v>
      </c>
      <c r="B1356" t="str">
        <f>IFERROR(MaterialsBoQ[[#This Row],[Material ]],"")</f>
        <v/>
      </c>
      <c r="C1356" t="str">
        <f>IFERROR(MaterialsBoQ[[#This Row],[Unit]],"")</f>
        <v/>
      </c>
      <c r="D1356" s="322">
        <f>IFERROR(MaterialsBoQ[[#This Row],[Number]],0)</f>
        <v>0</v>
      </c>
      <c r="E1356" s="322">
        <f>IFERROR(MaterialsBoQ[[#This Row],[Kg per unit]],0)</f>
        <v>0</v>
      </c>
      <c r="F1356" s="322">
        <f>IFERROR(Calculations[[#This Row],[Number]]*Calculations[[#This Row],[Conversion factor]],0)</f>
        <v>0</v>
      </c>
      <c r="G1356" s="322">
        <f>IFERROR(VLOOKUP(Calculations[[#This Row],[Material (choose from dropdown]],MaterialData[#All],7,FALSE),0)</f>
        <v>0</v>
      </c>
      <c r="H1356" s="322">
        <f>Calculations[[#This Row],[Total Kg]]*Calculations[[#This Row],[Carbon Factor]]</f>
        <v>0</v>
      </c>
      <c r="I1356" t="str">
        <f>IFERROR(VLOOKUP(Calculations[[#This Row],[Material (choose from dropdown]],MaterialData[#All],2,FALSE),"")</f>
        <v/>
      </c>
      <c r="J1356" s="322">
        <f>IFERROR(((VLOOKUP(Calculations[[#This Row],[TransportSource]],TransportDistance[],2,FALSE)*'Stage assumptions'!$C$11)+VLOOKUP(Calculations[[#This Row],[TransportSource]],TransportDistance[],3,FALSE)*'Stage assumptions'!$C$12)*Calculations[[#This Row],[Total Kg]],0)</f>
        <v>0</v>
      </c>
      <c r="K1356">
        <f>IFERROR(VLOOKUP(Calculations[[#This Row],[Material (choose from dropdown]], MaterialData[#All],3, FALSE),0)</f>
        <v>0</v>
      </c>
      <c r="L1356" s="322">
        <f>IFERROR(VLOOKUP(Calculations[[#This Row],[A5type]],A5WastageRate[#All],2,FALSE)*Calculations[[#This Row],[A1-3]],0)</f>
        <v>0</v>
      </c>
      <c r="N1356">
        <f>IFERROR(ROUNDUP(50/VLOOKUP(Calculations[[#This Row],[Scope Element]],B4referenceServiceLife[[Tier 2 element]:[Default Service Life]],2, FALSE)-1,0),0)</f>
        <v>0</v>
      </c>
      <c r="O1356" s="322">
        <f>IFERROR((Calculations[[#This Row],[A1-3]]+Calculations[[#This Row],[A4]]+Calculations[[#This Row],[A5]]+Calculations[[#This Row],[C2 total]]+Calculations[[#This Row],[C3 total]]+Calculations[[#This Row],[C4 total]])*Calculations[[#This Row],[Replacements]],0)</f>
        <v>0</v>
      </c>
      <c r="S1356" t="str">
        <f>IFERROR(VLOOKUP(Calculations[[#This Row],[Material (choose from dropdown]],MaterialData[#All],4,FALSE),"")</f>
        <v/>
      </c>
      <c r="T1356" s="322" cm="1">
        <f t="array" ref="T1356">IFERROR(VLOOKUP(Calculations[[#This Row],[Waste 1]],WasteScenario[#All],2,FALSE)*'Stage assumptions'!$C$225*WasteTransportMethod[Emissions Factor
kgCO2e/kg.km]*Calculations[[#This Row],[Total Kg]],0)</f>
        <v>0</v>
      </c>
      <c r="U1356" s="322" cm="1">
        <f t="array" ref="U1356">IFERROR(VLOOKUP(Calculations[[#This Row],[Waste 1]],WasteScenario[#All],3,FALSE)*'Stage assumptions'!$C$224*WasteTransportMethod[Emissions Factor
kgCO2e/kg.km]*Calculations[[#This Row],[Total Kg]],0)</f>
        <v>0</v>
      </c>
      <c r="V1356" s="322" cm="1">
        <f t="array" ref="V1356">IFERROR(VLOOKUP(Calculations[[#This Row],[Waste 1]],WasteScenario[#All],4,FALSE)*'Stage assumptions'!$C$223*WasteTransportMethod[Emissions Factor
kgCO2e/kg.km]*Calculations[[#This Row],[Total Kg]],0)</f>
        <v>0</v>
      </c>
      <c r="W1356" s="322" cm="1">
        <f t="array" ref="W1356">IFERROR(VLOOKUP(Calculations[[#This Row],[Waste 1]],WasteScenario[#All],5,FALSE)*'Stage assumptions'!$C$226*WasteTransportMethod[Emissions Factor
kgCO2e/kg.km]*Calculations[[#This Row],[Total Kg]],0)</f>
        <v>0</v>
      </c>
      <c r="X1356" s="322">
        <f>SUM(Calculations[[#This Row],[C2 Recycle]:[C2 Reuse]])</f>
        <v>0</v>
      </c>
      <c r="Y1356" t="str">
        <f>IFERROR(VLOOKUP(Calculations[[#This Row],[Material (choose from dropdown]],MaterialData[#All],5,FALSE),"")</f>
        <v/>
      </c>
      <c r="Z1356" s="322">
        <f>IFERROR(((VLOOKUP(Calculations[[#This Row],[Waste type 2]],WasteDisposalEmissions[#All],2,FALSE))*Calculations[[#This Row],[Total Kg]])*VLOOKUP(Calculations[[#This Row],[Waste 1]],WasteScenario[#All],2,FALSE),0)</f>
        <v>0</v>
      </c>
      <c r="AA1356" s="322">
        <f>IFERROR((VLOOKUP(Calculations[[#This Row],[Waste type 2]],WasteDisposalEmissions[#All],3,FALSE))*Calculations[[#This Row],[Total Kg]]*VLOOKUP(Calculations[[#This Row],[Waste 1]],WasteScenario[#All],3,FALSE),0)</f>
        <v>0</v>
      </c>
      <c r="AB1356" s="322">
        <f>SUM(Calculations[[#This Row],[C3 recyc]:[C3 incin]])</f>
        <v>0</v>
      </c>
      <c r="AC1356" s="334">
        <f>IFERROR((VLOOKUP(Calculations[[#This Row],[Waste type 2]],WasteLandfillEmissions[#All],2,FALSE))*Calculations[[#This Row],[Total Kg]]*VLOOKUP(Calculations[[#This Row],[Waste 1]],WasteScenario[#All],4,FALSE),0)</f>
        <v>0</v>
      </c>
      <c r="AD1356" s="322">
        <f>IFERROR((VLOOKUP(Calculations[[#This Row],[Waste type 2]],WasteLandfillEmissions[#All],3,FALSE))*Calculations[[#This Row],[Total Kg]]*VLOOKUP(Calculations[[#This Row],[Waste 1]],WasteScenario[#All],4,FALSE),0)</f>
        <v>0</v>
      </c>
      <c r="AE1356" s="322">
        <f>SUM(Calculations[[#This Row],[C4 landfill]:[C4 re-use]])</f>
        <v>0</v>
      </c>
      <c r="AF1356" s="322">
        <f>IFERROR(VLOOKUP(Calculations[[#This Row],[Material (choose from dropdown]],MaterialData[#All],8,FALSE),0)</f>
        <v>0</v>
      </c>
      <c r="AG1356" s="322">
        <f>IFERROR(Calculations[[#This Row],[Total Kg]]*Calculations[[#This Row],[Seq factor]],0)</f>
        <v>0</v>
      </c>
      <c r="AI1356" s="322">
        <f>Calculations[[#This Row],[A1-3]]+Calculations[[#This Row],[A4]]+Calculations[[#This Row],[A5]]+Calculations[[#This Row],[B4]]+Calculations[[#This Row],[C2 total]]+Calculations[[#This Row],[C3 total]]+Calculations[[#This Row],[C4 total]]</f>
        <v>0</v>
      </c>
      <c r="AJ1356" s="2">
        <f>IFERROR(VLOOKUP(Calculations[[#This Row],[Material (choose from dropdown]],MaterialData[[#Headers],[#Data]],9,FALSE),0)</f>
        <v>0</v>
      </c>
      <c r="AK1356" s="4">
        <f>IFERROR(VLOOKUP(Calculations[[#This Row],[Material (choose from dropdown]],MaterialData[[#Headers],[#Data]],10,FALSE),0)</f>
        <v>0</v>
      </c>
      <c r="AL1356" s="322">
        <f>IFERROR(Calculations[[#This Row],[Data Quality Score]]*Calculations[[#This Row],[Total Kg]],0)</f>
        <v>0</v>
      </c>
    </row>
    <row r="1357" spans="1:38" x14ac:dyDescent="0.3">
      <c r="A1357" s="6">
        <f>IFERROR(MaterialsBoQ[[#This Row],[Scope Element]],0)</f>
        <v>0</v>
      </c>
      <c r="B1357" t="str">
        <f>IFERROR(MaterialsBoQ[[#This Row],[Material ]],"")</f>
        <v/>
      </c>
      <c r="C1357" t="str">
        <f>IFERROR(MaterialsBoQ[[#This Row],[Unit]],"")</f>
        <v/>
      </c>
      <c r="D1357" s="322">
        <f>IFERROR(MaterialsBoQ[[#This Row],[Number]],0)</f>
        <v>0</v>
      </c>
      <c r="E1357" s="322">
        <f>IFERROR(MaterialsBoQ[[#This Row],[Kg per unit]],0)</f>
        <v>0</v>
      </c>
      <c r="F1357" s="322">
        <f>IFERROR(Calculations[[#This Row],[Number]]*Calculations[[#This Row],[Conversion factor]],0)</f>
        <v>0</v>
      </c>
      <c r="G1357" s="322">
        <f>IFERROR(VLOOKUP(Calculations[[#This Row],[Material (choose from dropdown]],MaterialData[#All],7,FALSE),0)</f>
        <v>0</v>
      </c>
      <c r="H1357" s="322">
        <f>Calculations[[#This Row],[Total Kg]]*Calculations[[#This Row],[Carbon Factor]]</f>
        <v>0</v>
      </c>
      <c r="I1357" t="str">
        <f>IFERROR(VLOOKUP(Calculations[[#This Row],[Material (choose from dropdown]],MaterialData[#All],2,FALSE),"")</f>
        <v/>
      </c>
      <c r="J1357" s="322">
        <f>IFERROR(((VLOOKUP(Calculations[[#This Row],[TransportSource]],TransportDistance[],2,FALSE)*'Stage assumptions'!$C$11)+VLOOKUP(Calculations[[#This Row],[TransportSource]],TransportDistance[],3,FALSE)*'Stage assumptions'!$C$12)*Calculations[[#This Row],[Total Kg]],0)</f>
        <v>0</v>
      </c>
      <c r="K1357">
        <f>IFERROR(VLOOKUP(Calculations[[#This Row],[Material (choose from dropdown]], MaterialData[#All],3, FALSE),0)</f>
        <v>0</v>
      </c>
      <c r="L1357" s="322">
        <f>IFERROR(VLOOKUP(Calculations[[#This Row],[A5type]],A5WastageRate[#All],2,FALSE)*Calculations[[#This Row],[A1-3]],0)</f>
        <v>0</v>
      </c>
      <c r="N1357">
        <f>IFERROR(ROUNDUP(50/VLOOKUP(Calculations[[#This Row],[Scope Element]],B4referenceServiceLife[[Tier 2 element]:[Default Service Life]],2, FALSE)-1,0),0)</f>
        <v>0</v>
      </c>
      <c r="O1357" s="322">
        <f>IFERROR((Calculations[[#This Row],[A1-3]]+Calculations[[#This Row],[A4]]+Calculations[[#This Row],[A5]]+Calculations[[#This Row],[C2 total]]+Calculations[[#This Row],[C3 total]]+Calculations[[#This Row],[C4 total]])*Calculations[[#This Row],[Replacements]],0)</f>
        <v>0</v>
      </c>
      <c r="S1357" t="str">
        <f>IFERROR(VLOOKUP(Calculations[[#This Row],[Material (choose from dropdown]],MaterialData[#All],4,FALSE),"")</f>
        <v/>
      </c>
      <c r="T1357" s="322" cm="1">
        <f t="array" ref="T1357">IFERROR(VLOOKUP(Calculations[[#This Row],[Waste 1]],WasteScenario[#All],2,FALSE)*'Stage assumptions'!$C$225*WasteTransportMethod[Emissions Factor
kgCO2e/kg.km]*Calculations[[#This Row],[Total Kg]],0)</f>
        <v>0</v>
      </c>
      <c r="U1357" s="322" cm="1">
        <f t="array" ref="U1357">IFERROR(VLOOKUP(Calculations[[#This Row],[Waste 1]],WasteScenario[#All],3,FALSE)*'Stage assumptions'!$C$224*WasteTransportMethod[Emissions Factor
kgCO2e/kg.km]*Calculations[[#This Row],[Total Kg]],0)</f>
        <v>0</v>
      </c>
      <c r="V1357" s="322" cm="1">
        <f t="array" ref="V1357">IFERROR(VLOOKUP(Calculations[[#This Row],[Waste 1]],WasteScenario[#All],4,FALSE)*'Stage assumptions'!$C$223*WasteTransportMethod[Emissions Factor
kgCO2e/kg.km]*Calculations[[#This Row],[Total Kg]],0)</f>
        <v>0</v>
      </c>
      <c r="W1357" s="322" cm="1">
        <f t="array" ref="W1357">IFERROR(VLOOKUP(Calculations[[#This Row],[Waste 1]],WasteScenario[#All],5,FALSE)*'Stage assumptions'!$C$226*WasteTransportMethod[Emissions Factor
kgCO2e/kg.km]*Calculations[[#This Row],[Total Kg]],0)</f>
        <v>0</v>
      </c>
      <c r="X1357" s="322">
        <f>SUM(Calculations[[#This Row],[C2 Recycle]:[C2 Reuse]])</f>
        <v>0</v>
      </c>
      <c r="Y1357" t="str">
        <f>IFERROR(VLOOKUP(Calculations[[#This Row],[Material (choose from dropdown]],MaterialData[#All],5,FALSE),"")</f>
        <v/>
      </c>
      <c r="Z1357" s="322">
        <f>IFERROR(((VLOOKUP(Calculations[[#This Row],[Waste type 2]],WasteDisposalEmissions[#All],2,FALSE))*Calculations[[#This Row],[Total Kg]])*VLOOKUP(Calculations[[#This Row],[Waste 1]],WasteScenario[#All],2,FALSE),0)</f>
        <v>0</v>
      </c>
      <c r="AA1357" s="322">
        <f>IFERROR((VLOOKUP(Calculations[[#This Row],[Waste type 2]],WasteDisposalEmissions[#All],3,FALSE))*Calculations[[#This Row],[Total Kg]]*VLOOKUP(Calculations[[#This Row],[Waste 1]],WasteScenario[#All],3,FALSE),0)</f>
        <v>0</v>
      </c>
      <c r="AB1357" s="322">
        <f>SUM(Calculations[[#This Row],[C3 recyc]:[C3 incin]])</f>
        <v>0</v>
      </c>
      <c r="AC1357" s="334">
        <f>IFERROR((VLOOKUP(Calculations[[#This Row],[Waste type 2]],WasteLandfillEmissions[#All],2,FALSE))*Calculations[[#This Row],[Total Kg]]*VLOOKUP(Calculations[[#This Row],[Waste 1]],WasteScenario[#All],4,FALSE),0)</f>
        <v>0</v>
      </c>
      <c r="AD1357" s="322">
        <f>IFERROR((VLOOKUP(Calculations[[#This Row],[Waste type 2]],WasteLandfillEmissions[#All],3,FALSE))*Calculations[[#This Row],[Total Kg]]*VLOOKUP(Calculations[[#This Row],[Waste 1]],WasteScenario[#All],4,FALSE),0)</f>
        <v>0</v>
      </c>
      <c r="AE1357" s="322">
        <f>SUM(Calculations[[#This Row],[C4 landfill]:[C4 re-use]])</f>
        <v>0</v>
      </c>
      <c r="AF1357" s="322">
        <f>IFERROR(VLOOKUP(Calculations[[#This Row],[Material (choose from dropdown]],MaterialData[#All],8,FALSE),0)</f>
        <v>0</v>
      </c>
      <c r="AG1357" s="322">
        <f>IFERROR(Calculations[[#This Row],[Total Kg]]*Calculations[[#This Row],[Seq factor]],0)</f>
        <v>0</v>
      </c>
      <c r="AI1357" s="322">
        <f>Calculations[[#This Row],[A1-3]]+Calculations[[#This Row],[A4]]+Calculations[[#This Row],[A5]]+Calculations[[#This Row],[B4]]+Calculations[[#This Row],[C2 total]]+Calculations[[#This Row],[C3 total]]+Calculations[[#This Row],[C4 total]]</f>
        <v>0</v>
      </c>
      <c r="AJ1357" s="2">
        <f>IFERROR(VLOOKUP(Calculations[[#This Row],[Material (choose from dropdown]],MaterialData[[#Headers],[#Data]],9,FALSE),0)</f>
        <v>0</v>
      </c>
      <c r="AK1357" s="4">
        <f>IFERROR(VLOOKUP(Calculations[[#This Row],[Material (choose from dropdown]],MaterialData[[#Headers],[#Data]],10,FALSE),0)</f>
        <v>0</v>
      </c>
      <c r="AL1357" s="322">
        <f>IFERROR(Calculations[[#This Row],[Data Quality Score]]*Calculations[[#This Row],[Total Kg]],0)</f>
        <v>0</v>
      </c>
    </row>
    <row r="1358" spans="1:38" x14ac:dyDescent="0.3">
      <c r="A1358" s="6">
        <f>IFERROR(MaterialsBoQ[[#This Row],[Scope Element]],0)</f>
        <v>0</v>
      </c>
      <c r="B1358" t="str">
        <f>IFERROR(MaterialsBoQ[[#This Row],[Material ]],"")</f>
        <v/>
      </c>
      <c r="C1358" t="str">
        <f>IFERROR(MaterialsBoQ[[#This Row],[Unit]],"")</f>
        <v/>
      </c>
      <c r="D1358" s="322">
        <f>IFERROR(MaterialsBoQ[[#This Row],[Number]],0)</f>
        <v>0</v>
      </c>
      <c r="E1358" s="322">
        <f>IFERROR(MaterialsBoQ[[#This Row],[Kg per unit]],0)</f>
        <v>0</v>
      </c>
      <c r="F1358" s="322">
        <f>IFERROR(Calculations[[#This Row],[Number]]*Calculations[[#This Row],[Conversion factor]],0)</f>
        <v>0</v>
      </c>
      <c r="G1358" s="322">
        <f>IFERROR(VLOOKUP(Calculations[[#This Row],[Material (choose from dropdown]],MaterialData[#All],7,FALSE),0)</f>
        <v>0</v>
      </c>
      <c r="H1358" s="322">
        <f>Calculations[[#This Row],[Total Kg]]*Calculations[[#This Row],[Carbon Factor]]</f>
        <v>0</v>
      </c>
      <c r="I1358" t="str">
        <f>IFERROR(VLOOKUP(Calculations[[#This Row],[Material (choose from dropdown]],MaterialData[#All],2,FALSE),"")</f>
        <v/>
      </c>
      <c r="J1358" s="322">
        <f>IFERROR(((VLOOKUP(Calculations[[#This Row],[TransportSource]],TransportDistance[],2,FALSE)*'Stage assumptions'!$C$11)+VLOOKUP(Calculations[[#This Row],[TransportSource]],TransportDistance[],3,FALSE)*'Stage assumptions'!$C$12)*Calculations[[#This Row],[Total Kg]],0)</f>
        <v>0</v>
      </c>
      <c r="K1358">
        <f>IFERROR(VLOOKUP(Calculations[[#This Row],[Material (choose from dropdown]], MaterialData[#All],3, FALSE),0)</f>
        <v>0</v>
      </c>
      <c r="L1358" s="322">
        <f>IFERROR(VLOOKUP(Calculations[[#This Row],[A5type]],A5WastageRate[#All],2,FALSE)*Calculations[[#This Row],[A1-3]],0)</f>
        <v>0</v>
      </c>
      <c r="N1358">
        <f>IFERROR(ROUNDUP(50/VLOOKUP(Calculations[[#This Row],[Scope Element]],B4referenceServiceLife[[Tier 2 element]:[Default Service Life]],2, FALSE)-1,0),0)</f>
        <v>0</v>
      </c>
      <c r="O1358" s="322">
        <f>IFERROR((Calculations[[#This Row],[A1-3]]+Calculations[[#This Row],[A4]]+Calculations[[#This Row],[A5]]+Calculations[[#This Row],[C2 total]]+Calculations[[#This Row],[C3 total]]+Calculations[[#This Row],[C4 total]])*Calculations[[#This Row],[Replacements]],0)</f>
        <v>0</v>
      </c>
      <c r="S1358" t="str">
        <f>IFERROR(VLOOKUP(Calculations[[#This Row],[Material (choose from dropdown]],MaterialData[#All],4,FALSE),"")</f>
        <v/>
      </c>
      <c r="T1358" s="322" cm="1">
        <f t="array" ref="T1358">IFERROR(VLOOKUP(Calculations[[#This Row],[Waste 1]],WasteScenario[#All],2,FALSE)*'Stage assumptions'!$C$225*WasteTransportMethod[Emissions Factor
kgCO2e/kg.km]*Calculations[[#This Row],[Total Kg]],0)</f>
        <v>0</v>
      </c>
      <c r="U1358" s="322" cm="1">
        <f t="array" ref="U1358">IFERROR(VLOOKUP(Calculations[[#This Row],[Waste 1]],WasteScenario[#All],3,FALSE)*'Stage assumptions'!$C$224*WasteTransportMethod[Emissions Factor
kgCO2e/kg.km]*Calculations[[#This Row],[Total Kg]],0)</f>
        <v>0</v>
      </c>
      <c r="V1358" s="322" cm="1">
        <f t="array" ref="V1358">IFERROR(VLOOKUP(Calculations[[#This Row],[Waste 1]],WasteScenario[#All],4,FALSE)*'Stage assumptions'!$C$223*WasteTransportMethod[Emissions Factor
kgCO2e/kg.km]*Calculations[[#This Row],[Total Kg]],0)</f>
        <v>0</v>
      </c>
      <c r="W1358" s="322" cm="1">
        <f t="array" ref="W1358">IFERROR(VLOOKUP(Calculations[[#This Row],[Waste 1]],WasteScenario[#All],5,FALSE)*'Stage assumptions'!$C$226*WasteTransportMethod[Emissions Factor
kgCO2e/kg.km]*Calculations[[#This Row],[Total Kg]],0)</f>
        <v>0</v>
      </c>
      <c r="X1358" s="322">
        <f>SUM(Calculations[[#This Row],[C2 Recycle]:[C2 Reuse]])</f>
        <v>0</v>
      </c>
      <c r="Y1358" t="str">
        <f>IFERROR(VLOOKUP(Calculations[[#This Row],[Material (choose from dropdown]],MaterialData[#All],5,FALSE),"")</f>
        <v/>
      </c>
      <c r="Z1358" s="322">
        <f>IFERROR(((VLOOKUP(Calculations[[#This Row],[Waste type 2]],WasteDisposalEmissions[#All],2,FALSE))*Calculations[[#This Row],[Total Kg]])*VLOOKUP(Calculations[[#This Row],[Waste 1]],WasteScenario[#All],2,FALSE),0)</f>
        <v>0</v>
      </c>
      <c r="AA1358" s="322">
        <f>IFERROR((VLOOKUP(Calculations[[#This Row],[Waste type 2]],WasteDisposalEmissions[#All],3,FALSE))*Calculations[[#This Row],[Total Kg]]*VLOOKUP(Calculations[[#This Row],[Waste 1]],WasteScenario[#All],3,FALSE),0)</f>
        <v>0</v>
      </c>
      <c r="AB1358" s="322">
        <f>SUM(Calculations[[#This Row],[C3 recyc]:[C3 incin]])</f>
        <v>0</v>
      </c>
      <c r="AC1358" s="334">
        <f>IFERROR((VLOOKUP(Calculations[[#This Row],[Waste type 2]],WasteLandfillEmissions[#All],2,FALSE))*Calculations[[#This Row],[Total Kg]]*VLOOKUP(Calculations[[#This Row],[Waste 1]],WasteScenario[#All],4,FALSE),0)</f>
        <v>0</v>
      </c>
      <c r="AD1358" s="322">
        <f>IFERROR((VLOOKUP(Calculations[[#This Row],[Waste type 2]],WasteLandfillEmissions[#All],3,FALSE))*Calculations[[#This Row],[Total Kg]]*VLOOKUP(Calculations[[#This Row],[Waste 1]],WasteScenario[#All],4,FALSE),0)</f>
        <v>0</v>
      </c>
      <c r="AE1358" s="322">
        <f>SUM(Calculations[[#This Row],[C4 landfill]:[C4 re-use]])</f>
        <v>0</v>
      </c>
      <c r="AF1358" s="322">
        <f>IFERROR(VLOOKUP(Calculations[[#This Row],[Material (choose from dropdown]],MaterialData[#All],8,FALSE),0)</f>
        <v>0</v>
      </c>
      <c r="AG1358" s="322">
        <f>IFERROR(Calculations[[#This Row],[Total Kg]]*Calculations[[#This Row],[Seq factor]],0)</f>
        <v>0</v>
      </c>
      <c r="AI1358" s="322">
        <f>Calculations[[#This Row],[A1-3]]+Calculations[[#This Row],[A4]]+Calculations[[#This Row],[A5]]+Calculations[[#This Row],[B4]]+Calculations[[#This Row],[C2 total]]+Calculations[[#This Row],[C3 total]]+Calculations[[#This Row],[C4 total]]</f>
        <v>0</v>
      </c>
      <c r="AJ1358" s="2">
        <f>IFERROR(VLOOKUP(Calculations[[#This Row],[Material (choose from dropdown]],MaterialData[[#Headers],[#Data]],9,FALSE),0)</f>
        <v>0</v>
      </c>
      <c r="AK1358" s="4">
        <f>IFERROR(VLOOKUP(Calculations[[#This Row],[Material (choose from dropdown]],MaterialData[[#Headers],[#Data]],10,FALSE),0)</f>
        <v>0</v>
      </c>
      <c r="AL1358" s="322">
        <f>IFERROR(Calculations[[#This Row],[Data Quality Score]]*Calculations[[#This Row],[Total Kg]],0)</f>
        <v>0</v>
      </c>
    </row>
    <row r="1359" spans="1:38" x14ac:dyDescent="0.3">
      <c r="A1359" s="6">
        <f>IFERROR(MaterialsBoQ[[#This Row],[Scope Element]],0)</f>
        <v>0</v>
      </c>
      <c r="B1359" t="str">
        <f>IFERROR(MaterialsBoQ[[#This Row],[Material ]],"")</f>
        <v/>
      </c>
      <c r="C1359" t="str">
        <f>IFERROR(MaterialsBoQ[[#This Row],[Unit]],"")</f>
        <v/>
      </c>
      <c r="D1359" s="322">
        <f>IFERROR(MaterialsBoQ[[#This Row],[Number]],0)</f>
        <v>0</v>
      </c>
      <c r="E1359" s="322">
        <f>IFERROR(MaterialsBoQ[[#This Row],[Kg per unit]],0)</f>
        <v>0</v>
      </c>
      <c r="F1359" s="322">
        <f>IFERROR(Calculations[[#This Row],[Number]]*Calculations[[#This Row],[Conversion factor]],0)</f>
        <v>0</v>
      </c>
      <c r="G1359" s="322">
        <f>IFERROR(VLOOKUP(Calculations[[#This Row],[Material (choose from dropdown]],MaterialData[#All],7,FALSE),0)</f>
        <v>0</v>
      </c>
      <c r="H1359" s="322">
        <f>Calculations[[#This Row],[Total Kg]]*Calculations[[#This Row],[Carbon Factor]]</f>
        <v>0</v>
      </c>
      <c r="I1359" t="str">
        <f>IFERROR(VLOOKUP(Calculations[[#This Row],[Material (choose from dropdown]],MaterialData[#All],2,FALSE),"")</f>
        <v/>
      </c>
      <c r="J1359" s="322">
        <f>IFERROR(((VLOOKUP(Calculations[[#This Row],[TransportSource]],TransportDistance[],2,FALSE)*'Stage assumptions'!$C$11)+VLOOKUP(Calculations[[#This Row],[TransportSource]],TransportDistance[],3,FALSE)*'Stage assumptions'!$C$12)*Calculations[[#This Row],[Total Kg]],0)</f>
        <v>0</v>
      </c>
      <c r="K1359">
        <f>IFERROR(VLOOKUP(Calculations[[#This Row],[Material (choose from dropdown]], MaterialData[#All],3, FALSE),0)</f>
        <v>0</v>
      </c>
      <c r="L1359" s="322">
        <f>IFERROR(VLOOKUP(Calculations[[#This Row],[A5type]],A5WastageRate[#All],2,FALSE)*Calculations[[#This Row],[A1-3]],0)</f>
        <v>0</v>
      </c>
      <c r="N1359">
        <f>IFERROR(ROUNDUP(50/VLOOKUP(Calculations[[#This Row],[Scope Element]],B4referenceServiceLife[[Tier 2 element]:[Default Service Life]],2, FALSE)-1,0),0)</f>
        <v>0</v>
      </c>
      <c r="O1359" s="322">
        <f>IFERROR((Calculations[[#This Row],[A1-3]]+Calculations[[#This Row],[A4]]+Calculations[[#This Row],[A5]]+Calculations[[#This Row],[C2 total]]+Calculations[[#This Row],[C3 total]]+Calculations[[#This Row],[C4 total]])*Calculations[[#This Row],[Replacements]],0)</f>
        <v>0</v>
      </c>
      <c r="S1359" t="str">
        <f>IFERROR(VLOOKUP(Calculations[[#This Row],[Material (choose from dropdown]],MaterialData[#All],4,FALSE),"")</f>
        <v/>
      </c>
      <c r="T1359" s="322" cm="1">
        <f t="array" ref="T1359">IFERROR(VLOOKUP(Calculations[[#This Row],[Waste 1]],WasteScenario[#All],2,FALSE)*'Stage assumptions'!$C$225*WasteTransportMethod[Emissions Factor
kgCO2e/kg.km]*Calculations[[#This Row],[Total Kg]],0)</f>
        <v>0</v>
      </c>
      <c r="U1359" s="322" cm="1">
        <f t="array" ref="U1359">IFERROR(VLOOKUP(Calculations[[#This Row],[Waste 1]],WasteScenario[#All],3,FALSE)*'Stage assumptions'!$C$224*WasteTransportMethod[Emissions Factor
kgCO2e/kg.km]*Calculations[[#This Row],[Total Kg]],0)</f>
        <v>0</v>
      </c>
      <c r="V1359" s="322" cm="1">
        <f t="array" ref="V1359">IFERROR(VLOOKUP(Calculations[[#This Row],[Waste 1]],WasteScenario[#All],4,FALSE)*'Stage assumptions'!$C$223*WasteTransportMethod[Emissions Factor
kgCO2e/kg.km]*Calculations[[#This Row],[Total Kg]],0)</f>
        <v>0</v>
      </c>
      <c r="W1359" s="322" cm="1">
        <f t="array" ref="W1359">IFERROR(VLOOKUP(Calculations[[#This Row],[Waste 1]],WasteScenario[#All],5,FALSE)*'Stage assumptions'!$C$226*WasteTransportMethod[Emissions Factor
kgCO2e/kg.km]*Calculations[[#This Row],[Total Kg]],0)</f>
        <v>0</v>
      </c>
      <c r="X1359" s="322">
        <f>SUM(Calculations[[#This Row],[C2 Recycle]:[C2 Reuse]])</f>
        <v>0</v>
      </c>
      <c r="Y1359" t="str">
        <f>IFERROR(VLOOKUP(Calculations[[#This Row],[Material (choose from dropdown]],MaterialData[#All],5,FALSE),"")</f>
        <v/>
      </c>
      <c r="Z1359" s="322">
        <f>IFERROR(((VLOOKUP(Calculations[[#This Row],[Waste type 2]],WasteDisposalEmissions[#All],2,FALSE))*Calculations[[#This Row],[Total Kg]])*VLOOKUP(Calculations[[#This Row],[Waste 1]],WasteScenario[#All],2,FALSE),0)</f>
        <v>0</v>
      </c>
      <c r="AA1359" s="322">
        <f>IFERROR((VLOOKUP(Calculations[[#This Row],[Waste type 2]],WasteDisposalEmissions[#All],3,FALSE))*Calculations[[#This Row],[Total Kg]]*VLOOKUP(Calculations[[#This Row],[Waste 1]],WasteScenario[#All],3,FALSE),0)</f>
        <v>0</v>
      </c>
      <c r="AB1359" s="322">
        <f>SUM(Calculations[[#This Row],[C3 recyc]:[C3 incin]])</f>
        <v>0</v>
      </c>
      <c r="AC1359" s="334">
        <f>IFERROR((VLOOKUP(Calculations[[#This Row],[Waste type 2]],WasteLandfillEmissions[#All],2,FALSE))*Calculations[[#This Row],[Total Kg]]*VLOOKUP(Calculations[[#This Row],[Waste 1]],WasteScenario[#All],4,FALSE),0)</f>
        <v>0</v>
      </c>
      <c r="AD1359" s="322">
        <f>IFERROR((VLOOKUP(Calculations[[#This Row],[Waste type 2]],WasteLandfillEmissions[#All],3,FALSE))*Calculations[[#This Row],[Total Kg]]*VLOOKUP(Calculations[[#This Row],[Waste 1]],WasteScenario[#All],4,FALSE),0)</f>
        <v>0</v>
      </c>
      <c r="AE1359" s="322">
        <f>SUM(Calculations[[#This Row],[C4 landfill]:[C4 re-use]])</f>
        <v>0</v>
      </c>
      <c r="AF1359" s="322">
        <f>IFERROR(VLOOKUP(Calculations[[#This Row],[Material (choose from dropdown]],MaterialData[#All],8,FALSE),0)</f>
        <v>0</v>
      </c>
      <c r="AG1359" s="322">
        <f>IFERROR(Calculations[[#This Row],[Total Kg]]*Calculations[[#This Row],[Seq factor]],0)</f>
        <v>0</v>
      </c>
      <c r="AI1359" s="322">
        <f>Calculations[[#This Row],[A1-3]]+Calculations[[#This Row],[A4]]+Calculations[[#This Row],[A5]]+Calculations[[#This Row],[B4]]+Calculations[[#This Row],[C2 total]]+Calculations[[#This Row],[C3 total]]+Calculations[[#This Row],[C4 total]]</f>
        <v>0</v>
      </c>
      <c r="AJ1359" s="2">
        <f>IFERROR(VLOOKUP(Calculations[[#This Row],[Material (choose from dropdown]],MaterialData[[#Headers],[#Data]],9,FALSE),0)</f>
        <v>0</v>
      </c>
      <c r="AK1359" s="4">
        <f>IFERROR(VLOOKUP(Calculations[[#This Row],[Material (choose from dropdown]],MaterialData[[#Headers],[#Data]],10,FALSE),0)</f>
        <v>0</v>
      </c>
      <c r="AL1359" s="322">
        <f>IFERROR(Calculations[[#This Row],[Data Quality Score]]*Calculations[[#This Row],[Total Kg]],0)</f>
        <v>0</v>
      </c>
    </row>
    <row r="1360" spans="1:38" x14ac:dyDescent="0.3">
      <c r="A1360" s="6">
        <f>IFERROR(MaterialsBoQ[[#This Row],[Scope Element]],0)</f>
        <v>0</v>
      </c>
      <c r="B1360" t="str">
        <f>IFERROR(MaterialsBoQ[[#This Row],[Material ]],"")</f>
        <v/>
      </c>
      <c r="C1360" t="str">
        <f>IFERROR(MaterialsBoQ[[#This Row],[Unit]],"")</f>
        <v/>
      </c>
      <c r="D1360" s="322">
        <f>IFERROR(MaterialsBoQ[[#This Row],[Number]],0)</f>
        <v>0</v>
      </c>
      <c r="E1360" s="322">
        <f>IFERROR(MaterialsBoQ[[#This Row],[Kg per unit]],0)</f>
        <v>0</v>
      </c>
      <c r="F1360" s="322">
        <f>IFERROR(Calculations[[#This Row],[Number]]*Calculations[[#This Row],[Conversion factor]],0)</f>
        <v>0</v>
      </c>
      <c r="G1360" s="322">
        <f>IFERROR(VLOOKUP(Calculations[[#This Row],[Material (choose from dropdown]],MaterialData[#All],7,FALSE),0)</f>
        <v>0</v>
      </c>
      <c r="H1360" s="322">
        <f>Calculations[[#This Row],[Total Kg]]*Calculations[[#This Row],[Carbon Factor]]</f>
        <v>0</v>
      </c>
      <c r="I1360" t="str">
        <f>IFERROR(VLOOKUP(Calculations[[#This Row],[Material (choose from dropdown]],MaterialData[#All],2,FALSE),"")</f>
        <v/>
      </c>
      <c r="J1360" s="322">
        <f>IFERROR(((VLOOKUP(Calculations[[#This Row],[TransportSource]],TransportDistance[],2,FALSE)*'Stage assumptions'!$C$11)+VLOOKUP(Calculations[[#This Row],[TransportSource]],TransportDistance[],3,FALSE)*'Stage assumptions'!$C$12)*Calculations[[#This Row],[Total Kg]],0)</f>
        <v>0</v>
      </c>
      <c r="K1360">
        <f>IFERROR(VLOOKUP(Calculations[[#This Row],[Material (choose from dropdown]], MaterialData[#All],3, FALSE),0)</f>
        <v>0</v>
      </c>
      <c r="L1360" s="322">
        <f>IFERROR(VLOOKUP(Calculations[[#This Row],[A5type]],A5WastageRate[#All],2,FALSE)*Calculations[[#This Row],[A1-3]],0)</f>
        <v>0</v>
      </c>
      <c r="N1360">
        <f>IFERROR(ROUNDUP(50/VLOOKUP(Calculations[[#This Row],[Scope Element]],B4referenceServiceLife[[Tier 2 element]:[Default Service Life]],2, FALSE)-1,0),0)</f>
        <v>0</v>
      </c>
      <c r="O1360" s="322">
        <f>IFERROR((Calculations[[#This Row],[A1-3]]+Calculations[[#This Row],[A4]]+Calculations[[#This Row],[A5]]+Calculations[[#This Row],[C2 total]]+Calculations[[#This Row],[C3 total]]+Calculations[[#This Row],[C4 total]])*Calculations[[#This Row],[Replacements]],0)</f>
        <v>0</v>
      </c>
      <c r="S1360" t="str">
        <f>IFERROR(VLOOKUP(Calculations[[#This Row],[Material (choose from dropdown]],MaterialData[#All],4,FALSE),"")</f>
        <v/>
      </c>
      <c r="T1360" s="322" cm="1">
        <f t="array" ref="T1360">IFERROR(VLOOKUP(Calculations[[#This Row],[Waste 1]],WasteScenario[#All],2,FALSE)*'Stage assumptions'!$C$225*WasteTransportMethod[Emissions Factor
kgCO2e/kg.km]*Calculations[[#This Row],[Total Kg]],0)</f>
        <v>0</v>
      </c>
      <c r="U1360" s="322" cm="1">
        <f t="array" ref="U1360">IFERROR(VLOOKUP(Calculations[[#This Row],[Waste 1]],WasteScenario[#All],3,FALSE)*'Stage assumptions'!$C$224*WasteTransportMethod[Emissions Factor
kgCO2e/kg.km]*Calculations[[#This Row],[Total Kg]],0)</f>
        <v>0</v>
      </c>
      <c r="V1360" s="322" cm="1">
        <f t="array" ref="V1360">IFERROR(VLOOKUP(Calculations[[#This Row],[Waste 1]],WasteScenario[#All],4,FALSE)*'Stage assumptions'!$C$223*WasteTransportMethod[Emissions Factor
kgCO2e/kg.km]*Calculations[[#This Row],[Total Kg]],0)</f>
        <v>0</v>
      </c>
      <c r="W1360" s="322" cm="1">
        <f t="array" ref="W1360">IFERROR(VLOOKUP(Calculations[[#This Row],[Waste 1]],WasteScenario[#All],5,FALSE)*'Stage assumptions'!$C$226*WasteTransportMethod[Emissions Factor
kgCO2e/kg.km]*Calculations[[#This Row],[Total Kg]],0)</f>
        <v>0</v>
      </c>
      <c r="X1360" s="322">
        <f>SUM(Calculations[[#This Row],[C2 Recycle]:[C2 Reuse]])</f>
        <v>0</v>
      </c>
      <c r="Y1360" t="str">
        <f>IFERROR(VLOOKUP(Calculations[[#This Row],[Material (choose from dropdown]],MaterialData[#All],5,FALSE),"")</f>
        <v/>
      </c>
      <c r="Z1360" s="322">
        <f>IFERROR(((VLOOKUP(Calculations[[#This Row],[Waste type 2]],WasteDisposalEmissions[#All],2,FALSE))*Calculations[[#This Row],[Total Kg]])*VLOOKUP(Calculations[[#This Row],[Waste 1]],WasteScenario[#All],2,FALSE),0)</f>
        <v>0</v>
      </c>
      <c r="AA1360" s="322">
        <f>IFERROR((VLOOKUP(Calculations[[#This Row],[Waste type 2]],WasteDisposalEmissions[#All],3,FALSE))*Calculations[[#This Row],[Total Kg]]*VLOOKUP(Calculations[[#This Row],[Waste 1]],WasteScenario[#All],3,FALSE),0)</f>
        <v>0</v>
      </c>
      <c r="AB1360" s="322">
        <f>SUM(Calculations[[#This Row],[C3 recyc]:[C3 incin]])</f>
        <v>0</v>
      </c>
      <c r="AC1360" s="334">
        <f>IFERROR((VLOOKUP(Calculations[[#This Row],[Waste type 2]],WasteLandfillEmissions[#All],2,FALSE))*Calculations[[#This Row],[Total Kg]]*VLOOKUP(Calculations[[#This Row],[Waste 1]],WasteScenario[#All],4,FALSE),0)</f>
        <v>0</v>
      </c>
      <c r="AD1360" s="322">
        <f>IFERROR((VLOOKUP(Calculations[[#This Row],[Waste type 2]],WasteLandfillEmissions[#All],3,FALSE))*Calculations[[#This Row],[Total Kg]]*VLOOKUP(Calculations[[#This Row],[Waste 1]],WasteScenario[#All],4,FALSE),0)</f>
        <v>0</v>
      </c>
      <c r="AE1360" s="322">
        <f>SUM(Calculations[[#This Row],[C4 landfill]:[C4 re-use]])</f>
        <v>0</v>
      </c>
      <c r="AF1360" s="322">
        <f>IFERROR(VLOOKUP(Calculations[[#This Row],[Material (choose from dropdown]],MaterialData[#All],8,FALSE),0)</f>
        <v>0</v>
      </c>
      <c r="AG1360" s="322">
        <f>IFERROR(Calculations[[#This Row],[Total Kg]]*Calculations[[#This Row],[Seq factor]],0)</f>
        <v>0</v>
      </c>
      <c r="AI1360" s="322">
        <f>Calculations[[#This Row],[A1-3]]+Calculations[[#This Row],[A4]]+Calculations[[#This Row],[A5]]+Calculations[[#This Row],[B4]]+Calculations[[#This Row],[C2 total]]+Calculations[[#This Row],[C3 total]]+Calculations[[#This Row],[C4 total]]</f>
        <v>0</v>
      </c>
      <c r="AJ1360" s="2">
        <f>IFERROR(VLOOKUP(Calculations[[#This Row],[Material (choose from dropdown]],MaterialData[[#Headers],[#Data]],9,FALSE),0)</f>
        <v>0</v>
      </c>
      <c r="AK1360" s="4">
        <f>IFERROR(VLOOKUP(Calculations[[#This Row],[Material (choose from dropdown]],MaterialData[[#Headers],[#Data]],10,FALSE),0)</f>
        <v>0</v>
      </c>
      <c r="AL1360" s="322">
        <f>IFERROR(Calculations[[#This Row],[Data Quality Score]]*Calculations[[#This Row],[Total Kg]],0)</f>
        <v>0</v>
      </c>
    </row>
    <row r="1361" spans="1:38" x14ac:dyDescent="0.3">
      <c r="A1361" s="6">
        <f>IFERROR(MaterialsBoQ[[#This Row],[Scope Element]],0)</f>
        <v>0</v>
      </c>
      <c r="B1361" t="str">
        <f>IFERROR(MaterialsBoQ[[#This Row],[Material ]],"")</f>
        <v/>
      </c>
      <c r="C1361" t="str">
        <f>IFERROR(MaterialsBoQ[[#This Row],[Unit]],"")</f>
        <v/>
      </c>
      <c r="D1361" s="322">
        <f>IFERROR(MaterialsBoQ[[#This Row],[Number]],0)</f>
        <v>0</v>
      </c>
      <c r="E1361" s="322">
        <f>IFERROR(MaterialsBoQ[[#This Row],[Kg per unit]],0)</f>
        <v>0</v>
      </c>
      <c r="F1361" s="322">
        <f>IFERROR(Calculations[[#This Row],[Number]]*Calculations[[#This Row],[Conversion factor]],0)</f>
        <v>0</v>
      </c>
      <c r="G1361" s="322">
        <f>IFERROR(VLOOKUP(Calculations[[#This Row],[Material (choose from dropdown]],MaterialData[#All],7,FALSE),0)</f>
        <v>0</v>
      </c>
      <c r="H1361" s="322">
        <f>Calculations[[#This Row],[Total Kg]]*Calculations[[#This Row],[Carbon Factor]]</f>
        <v>0</v>
      </c>
      <c r="I1361" t="str">
        <f>IFERROR(VLOOKUP(Calculations[[#This Row],[Material (choose from dropdown]],MaterialData[#All],2,FALSE),"")</f>
        <v/>
      </c>
      <c r="J1361" s="322">
        <f>IFERROR(((VLOOKUP(Calculations[[#This Row],[TransportSource]],TransportDistance[],2,FALSE)*'Stage assumptions'!$C$11)+VLOOKUP(Calculations[[#This Row],[TransportSource]],TransportDistance[],3,FALSE)*'Stage assumptions'!$C$12)*Calculations[[#This Row],[Total Kg]],0)</f>
        <v>0</v>
      </c>
      <c r="K1361">
        <f>IFERROR(VLOOKUP(Calculations[[#This Row],[Material (choose from dropdown]], MaterialData[#All],3, FALSE),0)</f>
        <v>0</v>
      </c>
      <c r="L1361" s="322">
        <f>IFERROR(VLOOKUP(Calculations[[#This Row],[A5type]],A5WastageRate[#All],2,FALSE)*Calculations[[#This Row],[A1-3]],0)</f>
        <v>0</v>
      </c>
      <c r="N1361">
        <f>IFERROR(ROUNDUP(50/VLOOKUP(Calculations[[#This Row],[Scope Element]],B4referenceServiceLife[[Tier 2 element]:[Default Service Life]],2, FALSE)-1,0),0)</f>
        <v>0</v>
      </c>
      <c r="O1361" s="322">
        <f>IFERROR((Calculations[[#This Row],[A1-3]]+Calculations[[#This Row],[A4]]+Calculations[[#This Row],[A5]]+Calculations[[#This Row],[C2 total]]+Calculations[[#This Row],[C3 total]]+Calculations[[#This Row],[C4 total]])*Calculations[[#This Row],[Replacements]],0)</f>
        <v>0</v>
      </c>
      <c r="S1361" t="str">
        <f>IFERROR(VLOOKUP(Calculations[[#This Row],[Material (choose from dropdown]],MaterialData[#All],4,FALSE),"")</f>
        <v/>
      </c>
      <c r="T1361" s="322" cm="1">
        <f t="array" ref="T1361">IFERROR(VLOOKUP(Calculations[[#This Row],[Waste 1]],WasteScenario[#All],2,FALSE)*'Stage assumptions'!$C$225*WasteTransportMethod[Emissions Factor
kgCO2e/kg.km]*Calculations[[#This Row],[Total Kg]],0)</f>
        <v>0</v>
      </c>
      <c r="U1361" s="322" cm="1">
        <f t="array" ref="U1361">IFERROR(VLOOKUP(Calculations[[#This Row],[Waste 1]],WasteScenario[#All],3,FALSE)*'Stage assumptions'!$C$224*WasteTransportMethod[Emissions Factor
kgCO2e/kg.km]*Calculations[[#This Row],[Total Kg]],0)</f>
        <v>0</v>
      </c>
      <c r="V1361" s="322" cm="1">
        <f t="array" ref="V1361">IFERROR(VLOOKUP(Calculations[[#This Row],[Waste 1]],WasteScenario[#All],4,FALSE)*'Stage assumptions'!$C$223*WasteTransportMethod[Emissions Factor
kgCO2e/kg.km]*Calculations[[#This Row],[Total Kg]],0)</f>
        <v>0</v>
      </c>
      <c r="W1361" s="322" cm="1">
        <f t="array" ref="W1361">IFERROR(VLOOKUP(Calculations[[#This Row],[Waste 1]],WasteScenario[#All],5,FALSE)*'Stage assumptions'!$C$226*WasteTransportMethod[Emissions Factor
kgCO2e/kg.km]*Calculations[[#This Row],[Total Kg]],0)</f>
        <v>0</v>
      </c>
      <c r="X1361" s="322">
        <f>SUM(Calculations[[#This Row],[C2 Recycle]:[C2 Reuse]])</f>
        <v>0</v>
      </c>
      <c r="Y1361" t="str">
        <f>IFERROR(VLOOKUP(Calculations[[#This Row],[Material (choose from dropdown]],MaterialData[#All],5,FALSE),"")</f>
        <v/>
      </c>
      <c r="Z1361" s="322">
        <f>IFERROR(((VLOOKUP(Calculations[[#This Row],[Waste type 2]],WasteDisposalEmissions[#All],2,FALSE))*Calculations[[#This Row],[Total Kg]])*VLOOKUP(Calculations[[#This Row],[Waste 1]],WasteScenario[#All],2,FALSE),0)</f>
        <v>0</v>
      </c>
      <c r="AA1361" s="322">
        <f>IFERROR((VLOOKUP(Calculations[[#This Row],[Waste type 2]],WasteDisposalEmissions[#All],3,FALSE))*Calculations[[#This Row],[Total Kg]]*VLOOKUP(Calculations[[#This Row],[Waste 1]],WasteScenario[#All],3,FALSE),0)</f>
        <v>0</v>
      </c>
      <c r="AB1361" s="322">
        <f>SUM(Calculations[[#This Row],[C3 recyc]:[C3 incin]])</f>
        <v>0</v>
      </c>
      <c r="AC1361" s="334">
        <f>IFERROR((VLOOKUP(Calculations[[#This Row],[Waste type 2]],WasteLandfillEmissions[#All],2,FALSE))*Calculations[[#This Row],[Total Kg]]*VLOOKUP(Calculations[[#This Row],[Waste 1]],WasteScenario[#All],4,FALSE),0)</f>
        <v>0</v>
      </c>
      <c r="AD1361" s="322">
        <f>IFERROR((VLOOKUP(Calculations[[#This Row],[Waste type 2]],WasteLandfillEmissions[#All],3,FALSE))*Calculations[[#This Row],[Total Kg]]*VLOOKUP(Calculations[[#This Row],[Waste 1]],WasteScenario[#All],4,FALSE),0)</f>
        <v>0</v>
      </c>
      <c r="AE1361" s="322">
        <f>SUM(Calculations[[#This Row],[C4 landfill]:[C4 re-use]])</f>
        <v>0</v>
      </c>
      <c r="AF1361" s="322">
        <f>IFERROR(VLOOKUP(Calculations[[#This Row],[Material (choose from dropdown]],MaterialData[#All],8,FALSE),0)</f>
        <v>0</v>
      </c>
      <c r="AG1361" s="322">
        <f>IFERROR(Calculations[[#This Row],[Total Kg]]*Calculations[[#This Row],[Seq factor]],0)</f>
        <v>0</v>
      </c>
      <c r="AI1361" s="322">
        <f>Calculations[[#This Row],[A1-3]]+Calculations[[#This Row],[A4]]+Calculations[[#This Row],[A5]]+Calculations[[#This Row],[B4]]+Calculations[[#This Row],[C2 total]]+Calculations[[#This Row],[C3 total]]+Calculations[[#This Row],[C4 total]]</f>
        <v>0</v>
      </c>
      <c r="AJ1361" s="2">
        <f>IFERROR(VLOOKUP(Calculations[[#This Row],[Material (choose from dropdown]],MaterialData[[#Headers],[#Data]],9,FALSE),0)</f>
        <v>0</v>
      </c>
      <c r="AK1361" s="4">
        <f>IFERROR(VLOOKUP(Calculations[[#This Row],[Material (choose from dropdown]],MaterialData[[#Headers],[#Data]],10,FALSE),0)</f>
        <v>0</v>
      </c>
      <c r="AL1361" s="322">
        <f>IFERROR(Calculations[[#This Row],[Data Quality Score]]*Calculations[[#This Row],[Total Kg]],0)</f>
        <v>0</v>
      </c>
    </row>
    <row r="1362" spans="1:38" x14ac:dyDescent="0.3">
      <c r="A1362" s="6">
        <f>IFERROR(MaterialsBoQ[[#This Row],[Scope Element]],0)</f>
        <v>0</v>
      </c>
      <c r="B1362" t="str">
        <f>IFERROR(MaterialsBoQ[[#This Row],[Material ]],"")</f>
        <v/>
      </c>
      <c r="C1362" t="str">
        <f>IFERROR(MaterialsBoQ[[#This Row],[Unit]],"")</f>
        <v/>
      </c>
      <c r="D1362" s="322">
        <f>IFERROR(MaterialsBoQ[[#This Row],[Number]],0)</f>
        <v>0</v>
      </c>
      <c r="E1362" s="322">
        <f>IFERROR(MaterialsBoQ[[#This Row],[Kg per unit]],0)</f>
        <v>0</v>
      </c>
      <c r="F1362" s="322">
        <f>IFERROR(Calculations[[#This Row],[Number]]*Calculations[[#This Row],[Conversion factor]],0)</f>
        <v>0</v>
      </c>
      <c r="G1362" s="322">
        <f>IFERROR(VLOOKUP(Calculations[[#This Row],[Material (choose from dropdown]],MaterialData[#All],7,FALSE),0)</f>
        <v>0</v>
      </c>
      <c r="H1362" s="322">
        <f>Calculations[[#This Row],[Total Kg]]*Calculations[[#This Row],[Carbon Factor]]</f>
        <v>0</v>
      </c>
      <c r="I1362" t="str">
        <f>IFERROR(VLOOKUP(Calculations[[#This Row],[Material (choose from dropdown]],MaterialData[#All],2,FALSE),"")</f>
        <v/>
      </c>
      <c r="J1362" s="322">
        <f>IFERROR(((VLOOKUP(Calculations[[#This Row],[TransportSource]],TransportDistance[],2,FALSE)*'Stage assumptions'!$C$11)+VLOOKUP(Calculations[[#This Row],[TransportSource]],TransportDistance[],3,FALSE)*'Stage assumptions'!$C$12)*Calculations[[#This Row],[Total Kg]],0)</f>
        <v>0</v>
      </c>
      <c r="K1362">
        <f>IFERROR(VLOOKUP(Calculations[[#This Row],[Material (choose from dropdown]], MaterialData[#All],3, FALSE),0)</f>
        <v>0</v>
      </c>
      <c r="L1362" s="322">
        <f>IFERROR(VLOOKUP(Calculations[[#This Row],[A5type]],A5WastageRate[#All],2,FALSE)*Calculations[[#This Row],[A1-3]],0)</f>
        <v>0</v>
      </c>
      <c r="N1362">
        <f>IFERROR(ROUNDUP(50/VLOOKUP(Calculations[[#This Row],[Scope Element]],B4referenceServiceLife[[Tier 2 element]:[Default Service Life]],2, FALSE)-1,0),0)</f>
        <v>0</v>
      </c>
      <c r="O1362" s="322">
        <f>IFERROR((Calculations[[#This Row],[A1-3]]+Calculations[[#This Row],[A4]]+Calculations[[#This Row],[A5]]+Calculations[[#This Row],[C2 total]]+Calculations[[#This Row],[C3 total]]+Calculations[[#This Row],[C4 total]])*Calculations[[#This Row],[Replacements]],0)</f>
        <v>0</v>
      </c>
      <c r="S1362" t="str">
        <f>IFERROR(VLOOKUP(Calculations[[#This Row],[Material (choose from dropdown]],MaterialData[#All],4,FALSE),"")</f>
        <v/>
      </c>
      <c r="T1362" s="322" cm="1">
        <f t="array" ref="T1362">IFERROR(VLOOKUP(Calculations[[#This Row],[Waste 1]],WasteScenario[#All],2,FALSE)*'Stage assumptions'!$C$225*WasteTransportMethod[Emissions Factor
kgCO2e/kg.km]*Calculations[[#This Row],[Total Kg]],0)</f>
        <v>0</v>
      </c>
      <c r="U1362" s="322" cm="1">
        <f t="array" ref="U1362">IFERROR(VLOOKUP(Calculations[[#This Row],[Waste 1]],WasteScenario[#All],3,FALSE)*'Stage assumptions'!$C$224*WasteTransportMethod[Emissions Factor
kgCO2e/kg.km]*Calculations[[#This Row],[Total Kg]],0)</f>
        <v>0</v>
      </c>
      <c r="V1362" s="322" cm="1">
        <f t="array" ref="V1362">IFERROR(VLOOKUP(Calculations[[#This Row],[Waste 1]],WasteScenario[#All],4,FALSE)*'Stage assumptions'!$C$223*WasteTransportMethod[Emissions Factor
kgCO2e/kg.km]*Calculations[[#This Row],[Total Kg]],0)</f>
        <v>0</v>
      </c>
      <c r="W1362" s="322" cm="1">
        <f t="array" ref="W1362">IFERROR(VLOOKUP(Calculations[[#This Row],[Waste 1]],WasteScenario[#All],5,FALSE)*'Stage assumptions'!$C$226*WasteTransportMethod[Emissions Factor
kgCO2e/kg.km]*Calculations[[#This Row],[Total Kg]],0)</f>
        <v>0</v>
      </c>
      <c r="X1362" s="322">
        <f>SUM(Calculations[[#This Row],[C2 Recycle]:[C2 Reuse]])</f>
        <v>0</v>
      </c>
      <c r="Y1362" t="str">
        <f>IFERROR(VLOOKUP(Calculations[[#This Row],[Material (choose from dropdown]],MaterialData[#All],5,FALSE),"")</f>
        <v/>
      </c>
      <c r="Z1362" s="322">
        <f>IFERROR(((VLOOKUP(Calculations[[#This Row],[Waste type 2]],WasteDisposalEmissions[#All],2,FALSE))*Calculations[[#This Row],[Total Kg]])*VLOOKUP(Calculations[[#This Row],[Waste 1]],WasteScenario[#All],2,FALSE),0)</f>
        <v>0</v>
      </c>
      <c r="AA1362" s="322">
        <f>IFERROR((VLOOKUP(Calculations[[#This Row],[Waste type 2]],WasteDisposalEmissions[#All],3,FALSE))*Calculations[[#This Row],[Total Kg]]*VLOOKUP(Calculations[[#This Row],[Waste 1]],WasteScenario[#All],3,FALSE),0)</f>
        <v>0</v>
      </c>
      <c r="AB1362" s="322">
        <f>SUM(Calculations[[#This Row],[C3 recyc]:[C3 incin]])</f>
        <v>0</v>
      </c>
      <c r="AC1362" s="334">
        <f>IFERROR((VLOOKUP(Calculations[[#This Row],[Waste type 2]],WasteLandfillEmissions[#All],2,FALSE))*Calculations[[#This Row],[Total Kg]]*VLOOKUP(Calculations[[#This Row],[Waste 1]],WasteScenario[#All],4,FALSE),0)</f>
        <v>0</v>
      </c>
      <c r="AD1362" s="322">
        <f>IFERROR((VLOOKUP(Calculations[[#This Row],[Waste type 2]],WasteLandfillEmissions[#All],3,FALSE))*Calculations[[#This Row],[Total Kg]]*VLOOKUP(Calculations[[#This Row],[Waste 1]],WasteScenario[#All],4,FALSE),0)</f>
        <v>0</v>
      </c>
      <c r="AE1362" s="322">
        <f>SUM(Calculations[[#This Row],[C4 landfill]:[C4 re-use]])</f>
        <v>0</v>
      </c>
      <c r="AF1362" s="322">
        <f>IFERROR(VLOOKUP(Calculations[[#This Row],[Material (choose from dropdown]],MaterialData[#All],8,FALSE),0)</f>
        <v>0</v>
      </c>
      <c r="AG1362" s="322">
        <f>IFERROR(Calculations[[#This Row],[Total Kg]]*Calculations[[#This Row],[Seq factor]],0)</f>
        <v>0</v>
      </c>
      <c r="AI1362" s="322">
        <f>Calculations[[#This Row],[A1-3]]+Calculations[[#This Row],[A4]]+Calculations[[#This Row],[A5]]+Calculations[[#This Row],[B4]]+Calculations[[#This Row],[C2 total]]+Calculations[[#This Row],[C3 total]]+Calculations[[#This Row],[C4 total]]</f>
        <v>0</v>
      </c>
      <c r="AJ1362" s="2">
        <f>IFERROR(VLOOKUP(Calculations[[#This Row],[Material (choose from dropdown]],MaterialData[[#Headers],[#Data]],9,FALSE),0)</f>
        <v>0</v>
      </c>
      <c r="AK1362" s="4">
        <f>IFERROR(VLOOKUP(Calculations[[#This Row],[Material (choose from dropdown]],MaterialData[[#Headers],[#Data]],10,FALSE),0)</f>
        <v>0</v>
      </c>
      <c r="AL1362" s="322">
        <f>IFERROR(Calculations[[#This Row],[Data Quality Score]]*Calculations[[#This Row],[Total Kg]],0)</f>
        <v>0</v>
      </c>
    </row>
    <row r="1363" spans="1:38" x14ac:dyDescent="0.3">
      <c r="A1363" s="6">
        <f>IFERROR(MaterialsBoQ[[#This Row],[Scope Element]],0)</f>
        <v>0</v>
      </c>
      <c r="B1363" t="str">
        <f>IFERROR(MaterialsBoQ[[#This Row],[Material ]],"")</f>
        <v/>
      </c>
      <c r="C1363" t="str">
        <f>IFERROR(MaterialsBoQ[[#This Row],[Unit]],"")</f>
        <v/>
      </c>
      <c r="D1363" s="322">
        <f>IFERROR(MaterialsBoQ[[#This Row],[Number]],0)</f>
        <v>0</v>
      </c>
      <c r="E1363" s="322">
        <f>IFERROR(MaterialsBoQ[[#This Row],[Kg per unit]],0)</f>
        <v>0</v>
      </c>
      <c r="F1363" s="322">
        <f>IFERROR(Calculations[[#This Row],[Number]]*Calculations[[#This Row],[Conversion factor]],0)</f>
        <v>0</v>
      </c>
      <c r="G1363" s="322">
        <f>IFERROR(VLOOKUP(Calculations[[#This Row],[Material (choose from dropdown]],MaterialData[#All],7,FALSE),0)</f>
        <v>0</v>
      </c>
      <c r="H1363" s="322">
        <f>Calculations[[#This Row],[Total Kg]]*Calculations[[#This Row],[Carbon Factor]]</f>
        <v>0</v>
      </c>
      <c r="I1363" t="str">
        <f>IFERROR(VLOOKUP(Calculations[[#This Row],[Material (choose from dropdown]],MaterialData[#All],2,FALSE),"")</f>
        <v/>
      </c>
      <c r="J1363" s="322">
        <f>IFERROR(((VLOOKUP(Calculations[[#This Row],[TransportSource]],TransportDistance[],2,FALSE)*'Stage assumptions'!$C$11)+VLOOKUP(Calculations[[#This Row],[TransportSource]],TransportDistance[],3,FALSE)*'Stage assumptions'!$C$12)*Calculations[[#This Row],[Total Kg]],0)</f>
        <v>0</v>
      </c>
      <c r="K1363">
        <f>IFERROR(VLOOKUP(Calculations[[#This Row],[Material (choose from dropdown]], MaterialData[#All],3, FALSE),0)</f>
        <v>0</v>
      </c>
      <c r="L1363" s="322">
        <f>IFERROR(VLOOKUP(Calculations[[#This Row],[A5type]],A5WastageRate[#All],2,FALSE)*Calculations[[#This Row],[A1-3]],0)</f>
        <v>0</v>
      </c>
      <c r="N1363">
        <f>IFERROR(ROUNDUP(50/VLOOKUP(Calculations[[#This Row],[Scope Element]],B4referenceServiceLife[[Tier 2 element]:[Default Service Life]],2, FALSE)-1,0),0)</f>
        <v>0</v>
      </c>
      <c r="O1363" s="322">
        <f>IFERROR((Calculations[[#This Row],[A1-3]]+Calculations[[#This Row],[A4]]+Calculations[[#This Row],[A5]]+Calculations[[#This Row],[C2 total]]+Calculations[[#This Row],[C3 total]]+Calculations[[#This Row],[C4 total]])*Calculations[[#This Row],[Replacements]],0)</f>
        <v>0</v>
      </c>
      <c r="S1363" t="str">
        <f>IFERROR(VLOOKUP(Calculations[[#This Row],[Material (choose from dropdown]],MaterialData[#All],4,FALSE),"")</f>
        <v/>
      </c>
      <c r="T1363" s="322" cm="1">
        <f t="array" ref="T1363">IFERROR(VLOOKUP(Calculations[[#This Row],[Waste 1]],WasteScenario[#All],2,FALSE)*'Stage assumptions'!$C$225*WasteTransportMethod[Emissions Factor
kgCO2e/kg.km]*Calculations[[#This Row],[Total Kg]],0)</f>
        <v>0</v>
      </c>
      <c r="U1363" s="322" cm="1">
        <f t="array" ref="U1363">IFERROR(VLOOKUP(Calculations[[#This Row],[Waste 1]],WasteScenario[#All],3,FALSE)*'Stage assumptions'!$C$224*WasteTransportMethod[Emissions Factor
kgCO2e/kg.km]*Calculations[[#This Row],[Total Kg]],0)</f>
        <v>0</v>
      </c>
      <c r="V1363" s="322" cm="1">
        <f t="array" ref="V1363">IFERROR(VLOOKUP(Calculations[[#This Row],[Waste 1]],WasteScenario[#All],4,FALSE)*'Stage assumptions'!$C$223*WasteTransportMethod[Emissions Factor
kgCO2e/kg.km]*Calculations[[#This Row],[Total Kg]],0)</f>
        <v>0</v>
      </c>
      <c r="W1363" s="322" cm="1">
        <f t="array" ref="W1363">IFERROR(VLOOKUP(Calculations[[#This Row],[Waste 1]],WasteScenario[#All],5,FALSE)*'Stage assumptions'!$C$226*WasteTransportMethod[Emissions Factor
kgCO2e/kg.km]*Calculations[[#This Row],[Total Kg]],0)</f>
        <v>0</v>
      </c>
      <c r="X1363" s="322">
        <f>SUM(Calculations[[#This Row],[C2 Recycle]:[C2 Reuse]])</f>
        <v>0</v>
      </c>
      <c r="Y1363" t="str">
        <f>IFERROR(VLOOKUP(Calculations[[#This Row],[Material (choose from dropdown]],MaterialData[#All],5,FALSE),"")</f>
        <v/>
      </c>
      <c r="Z1363" s="322">
        <f>IFERROR(((VLOOKUP(Calculations[[#This Row],[Waste type 2]],WasteDisposalEmissions[#All],2,FALSE))*Calculations[[#This Row],[Total Kg]])*VLOOKUP(Calculations[[#This Row],[Waste 1]],WasteScenario[#All],2,FALSE),0)</f>
        <v>0</v>
      </c>
      <c r="AA1363" s="322">
        <f>IFERROR((VLOOKUP(Calculations[[#This Row],[Waste type 2]],WasteDisposalEmissions[#All],3,FALSE))*Calculations[[#This Row],[Total Kg]]*VLOOKUP(Calculations[[#This Row],[Waste 1]],WasteScenario[#All],3,FALSE),0)</f>
        <v>0</v>
      </c>
      <c r="AB1363" s="322">
        <f>SUM(Calculations[[#This Row],[C3 recyc]:[C3 incin]])</f>
        <v>0</v>
      </c>
      <c r="AC1363" s="334">
        <f>IFERROR((VLOOKUP(Calculations[[#This Row],[Waste type 2]],WasteLandfillEmissions[#All],2,FALSE))*Calculations[[#This Row],[Total Kg]]*VLOOKUP(Calculations[[#This Row],[Waste 1]],WasteScenario[#All],4,FALSE),0)</f>
        <v>0</v>
      </c>
      <c r="AD1363" s="322">
        <f>IFERROR((VLOOKUP(Calculations[[#This Row],[Waste type 2]],WasteLandfillEmissions[#All],3,FALSE))*Calculations[[#This Row],[Total Kg]]*VLOOKUP(Calculations[[#This Row],[Waste 1]],WasteScenario[#All],4,FALSE),0)</f>
        <v>0</v>
      </c>
      <c r="AE1363" s="322">
        <f>SUM(Calculations[[#This Row],[C4 landfill]:[C4 re-use]])</f>
        <v>0</v>
      </c>
      <c r="AF1363" s="322">
        <f>IFERROR(VLOOKUP(Calculations[[#This Row],[Material (choose from dropdown]],MaterialData[#All],8,FALSE),0)</f>
        <v>0</v>
      </c>
      <c r="AG1363" s="322">
        <f>IFERROR(Calculations[[#This Row],[Total Kg]]*Calculations[[#This Row],[Seq factor]],0)</f>
        <v>0</v>
      </c>
      <c r="AI1363" s="322">
        <f>Calculations[[#This Row],[A1-3]]+Calculations[[#This Row],[A4]]+Calculations[[#This Row],[A5]]+Calculations[[#This Row],[B4]]+Calculations[[#This Row],[C2 total]]+Calculations[[#This Row],[C3 total]]+Calculations[[#This Row],[C4 total]]</f>
        <v>0</v>
      </c>
      <c r="AJ1363" s="2">
        <f>IFERROR(VLOOKUP(Calculations[[#This Row],[Material (choose from dropdown]],MaterialData[[#Headers],[#Data]],9,FALSE),0)</f>
        <v>0</v>
      </c>
      <c r="AK1363" s="4">
        <f>IFERROR(VLOOKUP(Calculations[[#This Row],[Material (choose from dropdown]],MaterialData[[#Headers],[#Data]],10,FALSE),0)</f>
        <v>0</v>
      </c>
      <c r="AL1363" s="322">
        <f>IFERROR(Calculations[[#This Row],[Data Quality Score]]*Calculations[[#This Row],[Total Kg]],0)</f>
        <v>0</v>
      </c>
    </row>
    <row r="1364" spans="1:38" x14ac:dyDescent="0.3">
      <c r="A1364" s="6">
        <f>IFERROR(MaterialsBoQ[[#This Row],[Scope Element]],0)</f>
        <v>0</v>
      </c>
      <c r="B1364" t="str">
        <f>IFERROR(MaterialsBoQ[[#This Row],[Material ]],"")</f>
        <v/>
      </c>
      <c r="C1364" t="str">
        <f>IFERROR(MaterialsBoQ[[#This Row],[Unit]],"")</f>
        <v/>
      </c>
      <c r="D1364" s="322">
        <f>IFERROR(MaterialsBoQ[[#This Row],[Number]],0)</f>
        <v>0</v>
      </c>
      <c r="E1364" s="322">
        <f>IFERROR(MaterialsBoQ[[#This Row],[Kg per unit]],0)</f>
        <v>0</v>
      </c>
      <c r="F1364" s="322">
        <f>IFERROR(Calculations[[#This Row],[Number]]*Calculations[[#This Row],[Conversion factor]],0)</f>
        <v>0</v>
      </c>
      <c r="G1364" s="322">
        <f>IFERROR(VLOOKUP(Calculations[[#This Row],[Material (choose from dropdown]],MaterialData[#All],7,FALSE),0)</f>
        <v>0</v>
      </c>
      <c r="H1364" s="322">
        <f>Calculations[[#This Row],[Total Kg]]*Calculations[[#This Row],[Carbon Factor]]</f>
        <v>0</v>
      </c>
      <c r="I1364" t="str">
        <f>IFERROR(VLOOKUP(Calculations[[#This Row],[Material (choose from dropdown]],MaterialData[#All],2,FALSE),"")</f>
        <v/>
      </c>
      <c r="J1364" s="322">
        <f>IFERROR(((VLOOKUP(Calculations[[#This Row],[TransportSource]],TransportDistance[],2,FALSE)*'Stage assumptions'!$C$11)+VLOOKUP(Calculations[[#This Row],[TransportSource]],TransportDistance[],3,FALSE)*'Stage assumptions'!$C$12)*Calculations[[#This Row],[Total Kg]],0)</f>
        <v>0</v>
      </c>
      <c r="K1364">
        <f>IFERROR(VLOOKUP(Calculations[[#This Row],[Material (choose from dropdown]], MaterialData[#All],3, FALSE),0)</f>
        <v>0</v>
      </c>
      <c r="L1364" s="322">
        <f>IFERROR(VLOOKUP(Calculations[[#This Row],[A5type]],A5WastageRate[#All],2,FALSE)*Calculations[[#This Row],[A1-3]],0)</f>
        <v>0</v>
      </c>
      <c r="N1364">
        <f>IFERROR(ROUNDUP(50/VLOOKUP(Calculations[[#This Row],[Scope Element]],B4referenceServiceLife[[Tier 2 element]:[Default Service Life]],2, FALSE)-1,0),0)</f>
        <v>0</v>
      </c>
      <c r="O1364" s="322">
        <f>IFERROR((Calculations[[#This Row],[A1-3]]+Calculations[[#This Row],[A4]]+Calculations[[#This Row],[A5]]+Calculations[[#This Row],[C2 total]]+Calculations[[#This Row],[C3 total]]+Calculations[[#This Row],[C4 total]])*Calculations[[#This Row],[Replacements]],0)</f>
        <v>0</v>
      </c>
      <c r="S1364" t="str">
        <f>IFERROR(VLOOKUP(Calculations[[#This Row],[Material (choose from dropdown]],MaterialData[#All],4,FALSE),"")</f>
        <v/>
      </c>
      <c r="T1364" s="322" cm="1">
        <f t="array" ref="T1364">IFERROR(VLOOKUP(Calculations[[#This Row],[Waste 1]],WasteScenario[#All],2,FALSE)*'Stage assumptions'!$C$225*WasteTransportMethod[Emissions Factor
kgCO2e/kg.km]*Calculations[[#This Row],[Total Kg]],0)</f>
        <v>0</v>
      </c>
      <c r="U1364" s="322" cm="1">
        <f t="array" ref="U1364">IFERROR(VLOOKUP(Calculations[[#This Row],[Waste 1]],WasteScenario[#All],3,FALSE)*'Stage assumptions'!$C$224*WasteTransportMethod[Emissions Factor
kgCO2e/kg.km]*Calculations[[#This Row],[Total Kg]],0)</f>
        <v>0</v>
      </c>
      <c r="V1364" s="322" cm="1">
        <f t="array" ref="V1364">IFERROR(VLOOKUP(Calculations[[#This Row],[Waste 1]],WasteScenario[#All],4,FALSE)*'Stage assumptions'!$C$223*WasteTransportMethod[Emissions Factor
kgCO2e/kg.km]*Calculations[[#This Row],[Total Kg]],0)</f>
        <v>0</v>
      </c>
      <c r="W1364" s="322" cm="1">
        <f t="array" ref="W1364">IFERROR(VLOOKUP(Calculations[[#This Row],[Waste 1]],WasteScenario[#All],5,FALSE)*'Stage assumptions'!$C$226*WasteTransportMethod[Emissions Factor
kgCO2e/kg.km]*Calculations[[#This Row],[Total Kg]],0)</f>
        <v>0</v>
      </c>
      <c r="X1364" s="322">
        <f>SUM(Calculations[[#This Row],[C2 Recycle]:[C2 Reuse]])</f>
        <v>0</v>
      </c>
      <c r="Y1364" t="str">
        <f>IFERROR(VLOOKUP(Calculations[[#This Row],[Material (choose from dropdown]],MaterialData[#All],5,FALSE),"")</f>
        <v/>
      </c>
      <c r="Z1364" s="322">
        <f>IFERROR(((VLOOKUP(Calculations[[#This Row],[Waste type 2]],WasteDisposalEmissions[#All],2,FALSE))*Calculations[[#This Row],[Total Kg]])*VLOOKUP(Calculations[[#This Row],[Waste 1]],WasteScenario[#All],2,FALSE),0)</f>
        <v>0</v>
      </c>
      <c r="AA1364" s="322">
        <f>IFERROR((VLOOKUP(Calculations[[#This Row],[Waste type 2]],WasteDisposalEmissions[#All],3,FALSE))*Calculations[[#This Row],[Total Kg]]*VLOOKUP(Calculations[[#This Row],[Waste 1]],WasteScenario[#All],3,FALSE),0)</f>
        <v>0</v>
      </c>
      <c r="AB1364" s="322">
        <f>SUM(Calculations[[#This Row],[C3 recyc]:[C3 incin]])</f>
        <v>0</v>
      </c>
      <c r="AC1364" s="334">
        <f>IFERROR((VLOOKUP(Calculations[[#This Row],[Waste type 2]],WasteLandfillEmissions[#All],2,FALSE))*Calculations[[#This Row],[Total Kg]]*VLOOKUP(Calculations[[#This Row],[Waste 1]],WasteScenario[#All],4,FALSE),0)</f>
        <v>0</v>
      </c>
      <c r="AD1364" s="322">
        <f>IFERROR((VLOOKUP(Calculations[[#This Row],[Waste type 2]],WasteLandfillEmissions[#All],3,FALSE))*Calculations[[#This Row],[Total Kg]]*VLOOKUP(Calculations[[#This Row],[Waste 1]],WasteScenario[#All],4,FALSE),0)</f>
        <v>0</v>
      </c>
      <c r="AE1364" s="322">
        <f>SUM(Calculations[[#This Row],[C4 landfill]:[C4 re-use]])</f>
        <v>0</v>
      </c>
      <c r="AF1364" s="322">
        <f>IFERROR(VLOOKUP(Calculations[[#This Row],[Material (choose from dropdown]],MaterialData[#All],8,FALSE),0)</f>
        <v>0</v>
      </c>
      <c r="AG1364" s="322">
        <f>IFERROR(Calculations[[#This Row],[Total Kg]]*Calculations[[#This Row],[Seq factor]],0)</f>
        <v>0</v>
      </c>
      <c r="AI1364" s="322">
        <f>Calculations[[#This Row],[A1-3]]+Calculations[[#This Row],[A4]]+Calculations[[#This Row],[A5]]+Calculations[[#This Row],[B4]]+Calculations[[#This Row],[C2 total]]+Calculations[[#This Row],[C3 total]]+Calculations[[#This Row],[C4 total]]</f>
        <v>0</v>
      </c>
      <c r="AJ1364" s="2">
        <f>IFERROR(VLOOKUP(Calculations[[#This Row],[Material (choose from dropdown]],MaterialData[[#Headers],[#Data]],9,FALSE),0)</f>
        <v>0</v>
      </c>
      <c r="AK1364" s="4">
        <f>IFERROR(VLOOKUP(Calculations[[#This Row],[Material (choose from dropdown]],MaterialData[[#Headers],[#Data]],10,FALSE),0)</f>
        <v>0</v>
      </c>
      <c r="AL1364" s="322">
        <f>IFERROR(Calculations[[#This Row],[Data Quality Score]]*Calculations[[#This Row],[Total Kg]],0)</f>
        <v>0</v>
      </c>
    </row>
    <row r="1365" spans="1:38" x14ac:dyDescent="0.3">
      <c r="A1365" s="6">
        <f>IFERROR(MaterialsBoQ[[#This Row],[Scope Element]],0)</f>
        <v>0</v>
      </c>
      <c r="B1365" t="str">
        <f>IFERROR(MaterialsBoQ[[#This Row],[Material ]],"")</f>
        <v/>
      </c>
      <c r="C1365" t="str">
        <f>IFERROR(MaterialsBoQ[[#This Row],[Unit]],"")</f>
        <v/>
      </c>
      <c r="D1365" s="322">
        <f>IFERROR(MaterialsBoQ[[#This Row],[Number]],0)</f>
        <v>0</v>
      </c>
      <c r="E1365" s="322">
        <f>IFERROR(MaterialsBoQ[[#This Row],[Kg per unit]],0)</f>
        <v>0</v>
      </c>
      <c r="F1365" s="322">
        <f>IFERROR(Calculations[[#This Row],[Number]]*Calculations[[#This Row],[Conversion factor]],0)</f>
        <v>0</v>
      </c>
      <c r="G1365" s="322">
        <f>IFERROR(VLOOKUP(Calculations[[#This Row],[Material (choose from dropdown]],MaterialData[#All],7,FALSE),0)</f>
        <v>0</v>
      </c>
      <c r="H1365" s="322">
        <f>Calculations[[#This Row],[Total Kg]]*Calculations[[#This Row],[Carbon Factor]]</f>
        <v>0</v>
      </c>
      <c r="I1365" t="str">
        <f>IFERROR(VLOOKUP(Calculations[[#This Row],[Material (choose from dropdown]],MaterialData[#All],2,FALSE),"")</f>
        <v/>
      </c>
      <c r="J1365" s="322">
        <f>IFERROR(((VLOOKUP(Calculations[[#This Row],[TransportSource]],TransportDistance[],2,FALSE)*'Stage assumptions'!$C$11)+VLOOKUP(Calculations[[#This Row],[TransportSource]],TransportDistance[],3,FALSE)*'Stage assumptions'!$C$12)*Calculations[[#This Row],[Total Kg]],0)</f>
        <v>0</v>
      </c>
      <c r="K1365">
        <f>IFERROR(VLOOKUP(Calculations[[#This Row],[Material (choose from dropdown]], MaterialData[#All],3, FALSE),0)</f>
        <v>0</v>
      </c>
      <c r="L1365" s="322">
        <f>IFERROR(VLOOKUP(Calculations[[#This Row],[A5type]],A5WastageRate[#All],2,FALSE)*Calculations[[#This Row],[A1-3]],0)</f>
        <v>0</v>
      </c>
      <c r="N1365">
        <f>IFERROR(ROUNDUP(50/VLOOKUP(Calculations[[#This Row],[Scope Element]],B4referenceServiceLife[[Tier 2 element]:[Default Service Life]],2, FALSE)-1,0),0)</f>
        <v>0</v>
      </c>
      <c r="O1365" s="322">
        <f>IFERROR((Calculations[[#This Row],[A1-3]]+Calculations[[#This Row],[A4]]+Calculations[[#This Row],[A5]]+Calculations[[#This Row],[C2 total]]+Calculations[[#This Row],[C3 total]]+Calculations[[#This Row],[C4 total]])*Calculations[[#This Row],[Replacements]],0)</f>
        <v>0</v>
      </c>
      <c r="S1365" t="str">
        <f>IFERROR(VLOOKUP(Calculations[[#This Row],[Material (choose from dropdown]],MaterialData[#All],4,FALSE),"")</f>
        <v/>
      </c>
      <c r="T1365" s="322" cm="1">
        <f t="array" ref="T1365">IFERROR(VLOOKUP(Calculations[[#This Row],[Waste 1]],WasteScenario[#All],2,FALSE)*'Stage assumptions'!$C$225*WasteTransportMethod[Emissions Factor
kgCO2e/kg.km]*Calculations[[#This Row],[Total Kg]],0)</f>
        <v>0</v>
      </c>
      <c r="U1365" s="322" cm="1">
        <f t="array" ref="U1365">IFERROR(VLOOKUP(Calculations[[#This Row],[Waste 1]],WasteScenario[#All],3,FALSE)*'Stage assumptions'!$C$224*WasteTransportMethod[Emissions Factor
kgCO2e/kg.km]*Calculations[[#This Row],[Total Kg]],0)</f>
        <v>0</v>
      </c>
      <c r="V1365" s="322" cm="1">
        <f t="array" ref="V1365">IFERROR(VLOOKUP(Calculations[[#This Row],[Waste 1]],WasteScenario[#All],4,FALSE)*'Stage assumptions'!$C$223*WasteTransportMethod[Emissions Factor
kgCO2e/kg.km]*Calculations[[#This Row],[Total Kg]],0)</f>
        <v>0</v>
      </c>
      <c r="W1365" s="322" cm="1">
        <f t="array" ref="W1365">IFERROR(VLOOKUP(Calculations[[#This Row],[Waste 1]],WasteScenario[#All],5,FALSE)*'Stage assumptions'!$C$226*WasteTransportMethod[Emissions Factor
kgCO2e/kg.km]*Calculations[[#This Row],[Total Kg]],0)</f>
        <v>0</v>
      </c>
      <c r="X1365" s="322">
        <f>SUM(Calculations[[#This Row],[C2 Recycle]:[C2 Reuse]])</f>
        <v>0</v>
      </c>
      <c r="Y1365" t="str">
        <f>IFERROR(VLOOKUP(Calculations[[#This Row],[Material (choose from dropdown]],MaterialData[#All],5,FALSE),"")</f>
        <v/>
      </c>
      <c r="Z1365" s="322">
        <f>IFERROR(((VLOOKUP(Calculations[[#This Row],[Waste type 2]],WasteDisposalEmissions[#All],2,FALSE))*Calculations[[#This Row],[Total Kg]])*VLOOKUP(Calculations[[#This Row],[Waste 1]],WasteScenario[#All],2,FALSE),0)</f>
        <v>0</v>
      </c>
      <c r="AA1365" s="322">
        <f>IFERROR((VLOOKUP(Calculations[[#This Row],[Waste type 2]],WasteDisposalEmissions[#All],3,FALSE))*Calculations[[#This Row],[Total Kg]]*VLOOKUP(Calculations[[#This Row],[Waste 1]],WasteScenario[#All],3,FALSE),0)</f>
        <v>0</v>
      </c>
      <c r="AB1365" s="322">
        <f>SUM(Calculations[[#This Row],[C3 recyc]:[C3 incin]])</f>
        <v>0</v>
      </c>
      <c r="AC1365" s="334">
        <f>IFERROR((VLOOKUP(Calculations[[#This Row],[Waste type 2]],WasteLandfillEmissions[#All],2,FALSE))*Calculations[[#This Row],[Total Kg]]*VLOOKUP(Calculations[[#This Row],[Waste 1]],WasteScenario[#All],4,FALSE),0)</f>
        <v>0</v>
      </c>
      <c r="AD1365" s="322">
        <f>IFERROR((VLOOKUP(Calculations[[#This Row],[Waste type 2]],WasteLandfillEmissions[#All],3,FALSE))*Calculations[[#This Row],[Total Kg]]*VLOOKUP(Calculations[[#This Row],[Waste 1]],WasteScenario[#All],4,FALSE),0)</f>
        <v>0</v>
      </c>
      <c r="AE1365" s="322">
        <f>SUM(Calculations[[#This Row],[C4 landfill]:[C4 re-use]])</f>
        <v>0</v>
      </c>
      <c r="AF1365" s="322">
        <f>IFERROR(VLOOKUP(Calculations[[#This Row],[Material (choose from dropdown]],MaterialData[#All],8,FALSE),0)</f>
        <v>0</v>
      </c>
      <c r="AG1365" s="322">
        <f>IFERROR(Calculations[[#This Row],[Total Kg]]*Calculations[[#This Row],[Seq factor]],0)</f>
        <v>0</v>
      </c>
      <c r="AI1365" s="322">
        <f>Calculations[[#This Row],[A1-3]]+Calculations[[#This Row],[A4]]+Calculations[[#This Row],[A5]]+Calculations[[#This Row],[B4]]+Calculations[[#This Row],[C2 total]]+Calculations[[#This Row],[C3 total]]+Calculations[[#This Row],[C4 total]]</f>
        <v>0</v>
      </c>
      <c r="AJ1365" s="2">
        <f>IFERROR(VLOOKUP(Calculations[[#This Row],[Material (choose from dropdown]],MaterialData[[#Headers],[#Data]],9,FALSE),0)</f>
        <v>0</v>
      </c>
      <c r="AK1365" s="4">
        <f>IFERROR(VLOOKUP(Calculations[[#This Row],[Material (choose from dropdown]],MaterialData[[#Headers],[#Data]],10,FALSE),0)</f>
        <v>0</v>
      </c>
      <c r="AL1365" s="322">
        <f>IFERROR(Calculations[[#This Row],[Data Quality Score]]*Calculations[[#This Row],[Total Kg]],0)</f>
        <v>0</v>
      </c>
    </row>
    <row r="1366" spans="1:38" x14ac:dyDescent="0.3">
      <c r="A1366" s="6">
        <f>IFERROR(MaterialsBoQ[[#This Row],[Scope Element]],0)</f>
        <v>0</v>
      </c>
      <c r="B1366" t="str">
        <f>IFERROR(MaterialsBoQ[[#This Row],[Material ]],"")</f>
        <v/>
      </c>
      <c r="C1366" t="str">
        <f>IFERROR(MaterialsBoQ[[#This Row],[Unit]],"")</f>
        <v/>
      </c>
      <c r="D1366" s="322">
        <f>IFERROR(MaterialsBoQ[[#This Row],[Number]],0)</f>
        <v>0</v>
      </c>
      <c r="E1366" s="322">
        <f>IFERROR(MaterialsBoQ[[#This Row],[Kg per unit]],0)</f>
        <v>0</v>
      </c>
      <c r="F1366" s="322">
        <f>IFERROR(Calculations[[#This Row],[Number]]*Calculations[[#This Row],[Conversion factor]],0)</f>
        <v>0</v>
      </c>
      <c r="G1366" s="322">
        <f>IFERROR(VLOOKUP(Calculations[[#This Row],[Material (choose from dropdown]],MaterialData[#All],7,FALSE),0)</f>
        <v>0</v>
      </c>
      <c r="H1366" s="322">
        <f>Calculations[[#This Row],[Total Kg]]*Calculations[[#This Row],[Carbon Factor]]</f>
        <v>0</v>
      </c>
      <c r="I1366" t="str">
        <f>IFERROR(VLOOKUP(Calculations[[#This Row],[Material (choose from dropdown]],MaterialData[#All],2,FALSE),"")</f>
        <v/>
      </c>
      <c r="J1366" s="322">
        <f>IFERROR(((VLOOKUP(Calculations[[#This Row],[TransportSource]],TransportDistance[],2,FALSE)*'Stage assumptions'!$C$11)+VLOOKUP(Calculations[[#This Row],[TransportSource]],TransportDistance[],3,FALSE)*'Stage assumptions'!$C$12)*Calculations[[#This Row],[Total Kg]],0)</f>
        <v>0</v>
      </c>
      <c r="K1366">
        <f>IFERROR(VLOOKUP(Calculations[[#This Row],[Material (choose from dropdown]], MaterialData[#All],3, FALSE),0)</f>
        <v>0</v>
      </c>
      <c r="L1366" s="322">
        <f>IFERROR(VLOOKUP(Calculations[[#This Row],[A5type]],A5WastageRate[#All],2,FALSE)*Calculations[[#This Row],[A1-3]],0)</f>
        <v>0</v>
      </c>
      <c r="N1366">
        <f>IFERROR(ROUNDUP(50/VLOOKUP(Calculations[[#This Row],[Scope Element]],B4referenceServiceLife[[Tier 2 element]:[Default Service Life]],2, FALSE)-1,0),0)</f>
        <v>0</v>
      </c>
      <c r="O1366" s="322">
        <f>IFERROR((Calculations[[#This Row],[A1-3]]+Calculations[[#This Row],[A4]]+Calculations[[#This Row],[A5]]+Calculations[[#This Row],[C2 total]]+Calculations[[#This Row],[C3 total]]+Calculations[[#This Row],[C4 total]])*Calculations[[#This Row],[Replacements]],0)</f>
        <v>0</v>
      </c>
      <c r="S1366" t="str">
        <f>IFERROR(VLOOKUP(Calculations[[#This Row],[Material (choose from dropdown]],MaterialData[#All],4,FALSE),"")</f>
        <v/>
      </c>
      <c r="T1366" s="322" cm="1">
        <f t="array" ref="T1366">IFERROR(VLOOKUP(Calculations[[#This Row],[Waste 1]],WasteScenario[#All],2,FALSE)*'Stage assumptions'!$C$225*WasteTransportMethod[Emissions Factor
kgCO2e/kg.km]*Calculations[[#This Row],[Total Kg]],0)</f>
        <v>0</v>
      </c>
      <c r="U1366" s="322" cm="1">
        <f t="array" ref="U1366">IFERROR(VLOOKUP(Calculations[[#This Row],[Waste 1]],WasteScenario[#All],3,FALSE)*'Stage assumptions'!$C$224*WasteTransportMethod[Emissions Factor
kgCO2e/kg.km]*Calculations[[#This Row],[Total Kg]],0)</f>
        <v>0</v>
      </c>
      <c r="V1366" s="322" cm="1">
        <f t="array" ref="V1366">IFERROR(VLOOKUP(Calculations[[#This Row],[Waste 1]],WasteScenario[#All],4,FALSE)*'Stage assumptions'!$C$223*WasteTransportMethod[Emissions Factor
kgCO2e/kg.km]*Calculations[[#This Row],[Total Kg]],0)</f>
        <v>0</v>
      </c>
      <c r="W1366" s="322" cm="1">
        <f t="array" ref="W1366">IFERROR(VLOOKUP(Calculations[[#This Row],[Waste 1]],WasteScenario[#All],5,FALSE)*'Stage assumptions'!$C$226*WasteTransportMethod[Emissions Factor
kgCO2e/kg.km]*Calculations[[#This Row],[Total Kg]],0)</f>
        <v>0</v>
      </c>
      <c r="X1366" s="322">
        <f>SUM(Calculations[[#This Row],[C2 Recycle]:[C2 Reuse]])</f>
        <v>0</v>
      </c>
      <c r="Y1366" t="str">
        <f>IFERROR(VLOOKUP(Calculations[[#This Row],[Material (choose from dropdown]],MaterialData[#All],5,FALSE),"")</f>
        <v/>
      </c>
      <c r="Z1366" s="322">
        <f>IFERROR(((VLOOKUP(Calculations[[#This Row],[Waste type 2]],WasteDisposalEmissions[#All],2,FALSE))*Calculations[[#This Row],[Total Kg]])*VLOOKUP(Calculations[[#This Row],[Waste 1]],WasteScenario[#All],2,FALSE),0)</f>
        <v>0</v>
      </c>
      <c r="AA1366" s="322">
        <f>IFERROR((VLOOKUP(Calculations[[#This Row],[Waste type 2]],WasteDisposalEmissions[#All],3,FALSE))*Calculations[[#This Row],[Total Kg]]*VLOOKUP(Calculations[[#This Row],[Waste 1]],WasteScenario[#All],3,FALSE),0)</f>
        <v>0</v>
      </c>
      <c r="AB1366" s="322">
        <f>SUM(Calculations[[#This Row],[C3 recyc]:[C3 incin]])</f>
        <v>0</v>
      </c>
      <c r="AC1366" s="334">
        <f>IFERROR((VLOOKUP(Calculations[[#This Row],[Waste type 2]],WasteLandfillEmissions[#All],2,FALSE))*Calculations[[#This Row],[Total Kg]]*VLOOKUP(Calculations[[#This Row],[Waste 1]],WasteScenario[#All],4,FALSE),0)</f>
        <v>0</v>
      </c>
      <c r="AD1366" s="322">
        <f>IFERROR((VLOOKUP(Calculations[[#This Row],[Waste type 2]],WasteLandfillEmissions[#All],3,FALSE))*Calculations[[#This Row],[Total Kg]]*VLOOKUP(Calculations[[#This Row],[Waste 1]],WasteScenario[#All],4,FALSE),0)</f>
        <v>0</v>
      </c>
      <c r="AE1366" s="322">
        <f>SUM(Calculations[[#This Row],[C4 landfill]:[C4 re-use]])</f>
        <v>0</v>
      </c>
      <c r="AF1366" s="322">
        <f>IFERROR(VLOOKUP(Calculations[[#This Row],[Material (choose from dropdown]],MaterialData[#All],8,FALSE),0)</f>
        <v>0</v>
      </c>
      <c r="AG1366" s="322">
        <f>IFERROR(Calculations[[#This Row],[Total Kg]]*Calculations[[#This Row],[Seq factor]],0)</f>
        <v>0</v>
      </c>
      <c r="AI1366" s="322">
        <f>Calculations[[#This Row],[A1-3]]+Calculations[[#This Row],[A4]]+Calculations[[#This Row],[A5]]+Calculations[[#This Row],[B4]]+Calculations[[#This Row],[C2 total]]+Calculations[[#This Row],[C3 total]]+Calculations[[#This Row],[C4 total]]</f>
        <v>0</v>
      </c>
      <c r="AJ1366" s="2">
        <f>IFERROR(VLOOKUP(Calculations[[#This Row],[Material (choose from dropdown]],MaterialData[[#Headers],[#Data]],9,FALSE),0)</f>
        <v>0</v>
      </c>
      <c r="AK1366" s="4">
        <f>IFERROR(VLOOKUP(Calculations[[#This Row],[Material (choose from dropdown]],MaterialData[[#Headers],[#Data]],10,FALSE),0)</f>
        <v>0</v>
      </c>
      <c r="AL1366" s="322">
        <f>IFERROR(Calculations[[#This Row],[Data Quality Score]]*Calculations[[#This Row],[Total Kg]],0)</f>
        <v>0</v>
      </c>
    </row>
    <row r="1367" spans="1:38" x14ac:dyDescent="0.3">
      <c r="A1367" s="6">
        <f>IFERROR(MaterialsBoQ[[#This Row],[Scope Element]],0)</f>
        <v>0</v>
      </c>
      <c r="B1367" t="str">
        <f>IFERROR(MaterialsBoQ[[#This Row],[Material ]],"")</f>
        <v/>
      </c>
      <c r="C1367" t="str">
        <f>IFERROR(MaterialsBoQ[[#This Row],[Unit]],"")</f>
        <v/>
      </c>
      <c r="D1367" s="322">
        <f>IFERROR(MaterialsBoQ[[#This Row],[Number]],0)</f>
        <v>0</v>
      </c>
      <c r="E1367" s="322">
        <f>IFERROR(MaterialsBoQ[[#This Row],[Kg per unit]],0)</f>
        <v>0</v>
      </c>
      <c r="F1367" s="322">
        <f>IFERROR(Calculations[[#This Row],[Number]]*Calculations[[#This Row],[Conversion factor]],0)</f>
        <v>0</v>
      </c>
      <c r="G1367" s="322">
        <f>IFERROR(VLOOKUP(Calculations[[#This Row],[Material (choose from dropdown]],MaterialData[#All],7,FALSE),0)</f>
        <v>0</v>
      </c>
      <c r="H1367" s="322">
        <f>Calculations[[#This Row],[Total Kg]]*Calculations[[#This Row],[Carbon Factor]]</f>
        <v>0</v>
      </c>
      <c r="I1367" t="str">
        <f>IFERROR(VLOOKUP(Calculations[[#This Row],[Material (choose from dropdown]],MaterialData[#All],2,FALSE),"")</f>
        <v/>
      </c>
      <c r="J1367" s="322">
        <f>IFERROR(((VLOOKUP(Calculations[[#This Row],[TransportSource]],TransportDistance[],2,FALSE)*'Stage assumptions'!$C$11)+VLOOKUP(Calculations[[#This Row],[TransportSource]],TransportDistance[],3,FALSE)*'Stage assumptions'!$C$12)*Calculations[[#This Row],[Total Kg]],0)</f>
        <v>0</v>
      </c>
      <c r="K1367">
        <f>IFERROR(VLOOKUP(Calculations[[#This Row],[Material (choose from dropdown]], MaterialData[#All],3, FALSE),0)</f>
        <v>0</v>
      </c>
      <c r="L1367" s="322">
        <f>IFERROR(VLOOKUP(Calculations[[#This Row],[A5type]],A5WastageRate[#All],2,FALSE)*Calculations[[#This Row],[A1-3]],0)</f>
        <v>0</v>
      </c>
      <c r="N1367">
        <f>IFERROR(ROUNDUP(50/VLOOKUP(Calculations[[#This Row],[Scope Element]],B4referenceServiceLife[[Tier 2 element]:[Default Service Life]],2, FALSE)-1,0),0)</f>
        <v>0</v>
      </c>
      <c r="O1367" s="322">
        <f>IFERROR((Calculations[[#This Row],[A1-3]]+Calculations[[#This Row],[A4]]+Calculations[[#This Row],[A5]]+Calculations[[#This Row],[C2 total]]+Calculations[[#This Row],[C3 total]]+Calculations[[#This Row],[C4 total]])*Calculations[[#This Row],[Replacements]],0)</f>
        <v>0</v>
      </c>
      <c r="S1367" t="str">
        <f>IFERROR(VLOOKUP(Calculations[[#This Row],[Material (choose from dropdown]],MaterialData[#All],4,FALSE),"")</f>
        <v/>
      </c>
      <c r="T1367" s="322" cm="1">
        <f t="array" ref="T1367">IFERROR(VLOOKUP(Calculations[[#This Row],[Waste 1]],WasteScenario[#All],2,FALSE)*'Stage assumptions'!$C$225*WasteTransportMethod[Emissions Factor
kgCO2e/kg.km]*Calculations[[#This Row],[Total Kg]],0)</f>
        <v>0</v>
      </c>
      <c r="U1367" s="322" cm="1">
        <f t="array" ref="U1367">IFERROR(VLOOKUP(Calculations[[#This Row],[Waste 1]],WasteScenario[#All],3,FALSE)*'Stage assumptions'!$C$224*WasteTransportMethod[Emissions Factor
kgCO2e/kg.km]*Calculations[[#This Row],[Total Kg]],0)</f>
        <v>0</v>
      </c>
      <c r="V1367" s="322" cm="1">
        <f t="array" ref="V1367">IFERROR(VLOOKUP(Calculations[[#This Row],[Waste 1]],WasteScenario[#All],4,FALSE)*'Stage assumptions'!$C$223*WasteTransportMethod[Emissions Factor
kgCO2e/kg.km]*Calculations[[#This Row],[Total Kg]],0)</f>
        <v>0</v>
      </c>
      <c r="W1367" s="322" cm="1">
        <f t="array" ref="W1367">IFERROR(VLOOKUP(Calculations[[#This Row],[Waste 1]],WasteScenario[#All],5,FALSE)*'Stage assumptions'!$C$226*WasteTransportMethod[Emissions Factor
kgCO2e/kg.km]*Calculations[[#This Row],[Total Kg]],0)</f>
        <v>0</v>
      </c>
      <c r="X1367" s="322">
        <f>SUM(Calculations[[#This Row],[C2 Recycle]:[C2 Reuse]])</f>
        <v>0</v>
      </c>
      <c r="Y1367" t="str">
        <f>IFERROR(VLOOKUP(Calculations[[#This Row],[Material (choose from dropdown]],MaterialData[#All],5,FALSE),"")</f>
        <v/>
      </c>
      <c r="Z1367" s="322">
        <f>IFERROR(((VLOOKUP(Calculations[[#This Row],[Waste type 2]],WasteDisposalEmissions[#All],2,FALSE))*Calculations[[#This Row],[Total Kg]])*VLOOKUP(Calculations[[#This Row],[Waste 1]],WasteScenario[#All],2,FALSE),0)</f>
        <v>0</v>
      </c>
      <c r="AA1367" s="322">
        <f>IFERROR((VLOOKUP(Calculations[[#This Row],[Waste type 2]],WasteDisposalEmissions[#All],3,FALSE))*Calculations[[#This Row],[Total Kg]]*VLOOKUP(Calculations[[#This Row],[Waste 1]],WasteScenario[#All],3,FALSE),0)</f>
        <v>0</v>
      </c>
      <c r="AB1367" s="322">
        <f>SUM(Calculations[[#This Row],[C3 recyc]:[C3 incin]])</f>
        <v>0</v>
      </c>
      <c r="AC1367" s="334">
        <f>IFERROR((VLOOKUP(Calculations[[#This Row],[Waste type 2]],WasteLandfillEmissions[#All],2,FALSE))*Calculations[[#This Row],[Total Kg]]*VLOOKUP(Calculations[[#This Row],[Waste 1]],WasteScenario[#All],4,FALSE),0)</f>
        <v>0</v>
      </c>
      <c r="AD1367" s="322">
        <f>IFERROR((VLOOKUP(Calculations[[#This Row],[Waste type 2]],WasteLandfillEmissions[#All],3,FALSE))*Calculations[[#This Row],[Total Kg]]*VLOOKUP(Calculations[[#This Row],[Waste 1]],WasteScenario[#All],4,FALSE),0)</f>
        <v>0</v>
      </c>
      <c r="AE1367" s="322">
        <f>SUM(Calculations[[#This Row],[C4 landfill]:[C4 re-use]])</f>
        <v>0</v>
      </c>
      <c r="AF1367" s="322">
        <f>IFERROR(VLOOKUP(Calculations[[#This Row],[Material (choose from dropdown]],MaterialData[#All],8,FALSE),0)</f>
        <v>0</v>
      </c>
      <c r="AG1367" s="322">
        <f>IFERROR(Calculations[[#This Row],[Total Kg]]*Calculations[[#This Row],[Seq factor]],0)</f>
        <v>0</v>
      </c>
      <c r="AI1367" s="322">
        <f>Calculations[[#This Row],[A1-3]]+Calculations[[#This Row],[A4]]+Calculations[[#This Row],[A5]]+Calculations[[#This Row],[B4]]+Calculations[[#This Row],[C2 total]]+Calculations[[#This Row],[C3 total]]+Calculations[[#This Row],[C4 total]]</f>
        <v>0</v>
      </c>
      <c r="AJ1367" s="2">
        <f>IFERROR(VLOOKUP(Calculations[[#This Row],[Material (choose from dropdown]],MaterialData[[#Headers],[#Data]],9,FALSE),0)</f>
        <v>0</v>
      </c>
      <c r="AK1367" s="4">
        <f>IFERROR(VLOOKUP(Calculations[[#This Row],[Material (choose from dropdown]],MaterialData[[#Headers],[#Data]],10,FALSE),0)</f>
        <v>0</v>
      </c>
      <c r="AL1367" s="322">
        <f>IFERROR(Calculations[[#This Row],[Data Quality Score]]*Calculations[[#This Row],[Total Kg]],0)</f>
        <v>0</v>
      </c>
    </row>
    <row r="1368" spans="1:38" x14ac:dyDescent="0.3">
      <c r="A1368" s="6">
        <f>IFERROR(MaterialsBoQ[[#This Row],[Scope Element]],0)</f>
        <v>0</v>
      </c>
      <c r="B1368" t="str">
        <f>IFERROR(MaterialsBoQ[[#This Row],[Material ]],"")</f>
        <v/>
      </c>
      <c r="C1368" t="str">
        <f>IFERROR(MaterialsBoQ[[#This Row],[Unit]],"")</f>
        <v/>
      </c>
      <c r="D1368" s="322">
        <f>IFERROR(MaterialsBoQ[[#This Row],[Number]],0)</f>
        <v>0</v>
      </c>
      <c r="E1368" s="322">
        <f>IFERROR(MaterialsBoQ[[#This Row],[Kg per unit]],0)</f>
        <v>0</v>
      </c>
      <c r="F1368" s="322">
        <f>IFERROR(Calculations[[#This Row],[Number]]*Calculations[[#This Row],[Conversion factor]],0)</f>
        <v>0</v>
      </c>
      <c r="G1368" s="322">
        <f>IFERROR(VLOOKUP(Calculations[[#This Row],[Material (choose from dropdown]],MaterialData[#All],7,FALSE),0)</f>
        <v>0</v>
      </c>
      <c r="H1368" s="322">
        <f>Calculations[[#This Row],[Total Kg]]*Calculations[[#This Row],[Carbon Factor]]</f>
        <v>0</v>
      </c>
      <c r="I1368" t="str">
        <f>IFERROR(VLOOKUP(Calculations[[#This Row],[Material (choose from dropdown]],MaterialData[#All],2,FALSE),"")</f>
        <v/>
      </c>
      <c r="J1368" s="322">
        <f>IFERROR(((VLOOKUP(Calculations[[#This Row],[TransportSource]],TransportDistance[],2,FALSE)*'Stage assumptions'!$C$11)+VLOOKUP(Calculations[[#This Row],[TransportSource]],TransportDistance[],3,FALSE)*'Stage assumptions'!$C$12)*Calculations[[#This Row],[Total Kg]],0)</f>
        <v>0</v>
      </c>
      <c r="K1368">
        <f>IFERROR(VLOOKUP(Calculations[[#This Row],[Material (choose from dropdown]], MaterialData[#All],3, FALSE),0)</f>
        <v>0</v>
      </c>
      <c r="L1368" s="322">
        <f>IFERROR(VLOOKUP(Calculations[[#This Row],[A5type]],A5WastageRate[#All],2,FALSE)*Calculations[[#This Row],[A1-3]],0)</f>
        <v>0</v>
      </c>
      <c r="N1368">
        <f>IFERROR(ROUNDUP(50/VLOOKUP(Calculations[[#This Row],[Scope Element]],B4referenceServiceLife[[Tier 2 element]:[Default Service Life]],2, FALSE)-1,0),0)</f>
        <v>0</v>
      </c>
      <c r="O1368" s="322">
        <f>IFERROR((Calculations[[#This Row],[A1-3]]+Calculations[[#This Row],[A4]]+Calculations[[#This Row],[A5]]+Calculations[[#This Row],[C2 total]]+Calculations[[#This Row],[C3 total]]+Calculations[[#This Row],[C4 total]])*Calculations[[#This Row],[Replacements]],0)</f>
        <v>0</v>
      </c>
      <c r="S1368" t="str">
        <f>IFERROR(VLOOKUP(Calculations[[#This Row],[Material (choose from dropdown]],MaterialData[#All],4,FALSE),"")</f>
        <v/>
      </c>
      <c r="T1368" s="322" cm="1">
        <f t="array" ref="T1368">IFERROR(VLOOKUP(Calculations[[#This Row],[Waste 1]],WasteScenario[#All],2,FALSE)*'Stage assumptions'!$C$225*WasteTransportMethod[Emissions Factor
kgCO2e/kg.km]*Calculations[[#This Row],[Total Kg]],0)</f>
        <v>0</v>
      </c>
      <c r="U1368" s="322" cm="1">
        <f t="array" ref="U1368">IFERROR(VLOOKUP(Calculations[[#This Row],[Waste 1]],WasteScenario[#All],3,FALSE)*'Stage assumptions'!$C$224*WasteTransportMethod[Emissions Factor
kgCO2e/kg.km]*Calculations[[#This Row],[Total Kg]],0)</f>
        <v>0</v>
      </c>
      <c r="V1368" s="322" cm="1">
        <f t="array" ref="V1368">IFERROR(VLOOKUP(Calculations[[#This Row],[Waste 1]],WasteScenario[#All],4,FALSE)*'Stage assumptions'!$C$223*WasteTransportMethod[Emissions Factor
kgCO2e/kg.km]*Calculations[[#This Row],[Total Kg]],0)</f>
        <v>0</v>
      </c>
      <c r="W1368" s="322" cm="1">
        <f t="array" ref="W1368">IFERROR(VLOOKUP(Calculations[[#This Row],[Waste 1]],WasteScenario[#All],5,FALSE)*'Stage assumptions'!$C$226*WasteTransportMethod[Emissions Factor
kgCO2e/kg.km]*Calculations[[#This Row],[Total Kg]],0)</f>
        <v>0</v>
      </c>
      <c r="X1368" s="322">
        <f>SUM(Calculations[[#This Row],[C2 Recycle]:[C2 Reuse]])</f>
        <v>0</v>
      </c>
      <c r="Y1368" t="str">
        <f>IFERROR(VLOOKUP(Calculations[[#This Row],[Material (choose from dropdown]],MaterialData[#All],5,FALSE),"")</f>
        <v/>
      </c>
      <c r="Z1368" s="322">
        <f>IFERROR(((VLOOKUP(Calculations[[#This Row],[Waste type 2]],WasteDisposalEmissions[#All],2,FALSE))*Calculations[[#This Row],[Total Kg]])*VLOOKUP(Calculations[[#This Row],[Waste 1]],WasteScenario[#All],2,FALSE),0)</f>
        <v>0</v>
      </c>
      <c r="AA1368" s="322">
        <f>IFERROR((VLOOKUP(Calculations[[#This Row],[Waste type 2]],WasteDisposalEmissions[#All],3,FALSE))*Calculations[[#This Row],[Total Kg]]*VLOOKUP(Calculations[[#This Row],[Waste 1]],WasteScenario[#All],3,FALSE),0)</f>
        <v>0</v>
      </c>
      <c r="AB1368" s="322">
        <f>SUM(Calculations[[#This Row],[C3 recyc]:[C3 incin]])</f>
        <v>0</v>
      </c>
      <c r="AC1368" s="334">
        <f>IFERROR((VLOOKUP(Calculations[[#This Row],[Waste type 2]],WasteLandfillEmissions[#All],2,FALSE))*Calculations[[#This Row],[Total Kg]]*VLOOKUP(Calculations[[#This Row],[Waste 1]],WasteScenario[#All],4,FALSE),0)</f>
        <v>0</v>
      </c>
      <c r="AD1368" s="322">
        <f>IFERROR((VLOOKUP(Calculations[[#This Row],[Waste type 2]],WasteLandfillEmissions[#All],3,FALSE))*Calculations[[#This Row],[Total Kg]]*VLOOKUP(Calculations[[#This Row],[Waste 1]],WasteScenario[#All],4,FALSE),0)</f>
        <v>0</v>
      </c>
      <c r="AE1368" s="322">
        <f>SUM(Calculations[[#This Row],[C4 landfill]:[C4 re-use]])</f>
        <v>0</v>
      </c>
      <c r="AF1368" s="322">
        <f>IFERROR(VLOOKUP(Calculations[[#This Row],[Material (choose from dropdown]],MaterialData[#All],8,FALSE),0)</f>
        <v>0</v>
      </c>
      <c r="AG1368" s="322">
        <f>IFERROR(Calculations[[#This Row],[Total Kg]]*Calculations[[#This Row],[Seq factor]],0)</f>
        <v>0</v>
      </c>
      <c r="AI1368" s="322">
        <f>Calculations[[#This Row],[A1-3]]+Calculations[[#This Row],[A4]]+Calculations[[#This Row],[A5]]+Calculations[[#This Row],[B4]]+Calculations[[#This Row],[C2 total]]+Calculations[[#This Row],[C3 total]]+Calculations[[#This Row],[C4 total]]</f>
        <v>0</v>
      </c>
      <c r="AJ1368" s="2">
        <f>IFERROR(VLOOKUP(Calculations[[#This Row],[Material (choose from dropdown]],MaterialData[[#Headers],[#Data]],9,FALSE),0)</f>
        <v>0</v>
      </c>
      <c r="AK1368" s="4">
        <f>IFERROR(VLOOKUP(Calculations[[#This Row],[Material (choose from dropdown]],MaterialData[[#Headers],[#Data]],10,FALSE),0)</f>
        <v>0</v>
      </c>
      <c r="AL1368" s="322">
        <f>IFERROR(Calculations[[#This Row],[Data Quality Score]]*Calculations[[#This Row],[Total Kg]],0)</f>
        <v>0</v>
      </c>
    </row>
    <row r="1369" spans="1:38" x14ac:dyDescent="0.3">
      <c r="A1369" s="6">
        <f>IFERROR(MaterialsBoQ[[#This Row],[Scope Element]],0)</f>
        <v>0</v>
      </c>
      <c r="B1369" t="str">
        <f>IFERROR(MaterialsBoQ[[#This Row],[Material ]],"")</f>
        <v/>
      </c>
      <c r="C1369" t="str">
        <f>IFERROR(MaterialsBoQ[[#This Row],[Unit]],"")</f>
        <v/>
      </c>
      <c r="D1369" s="322">
        <f>IFERROR(MaterialsBoQ[[#This Row],[Number]],0)</f>
        <v>0</v>
      </c>
      <c r="E1369" s="322">
        <f>IFERROR(MaterialsBoQ[[#This Row],[Kg per unit]],0)</f>
        <v>0</v>
      </c>
      <c r="F1369" s="322">
        <f>IFERROR(Calculations[[#This Row],[Number]]*Calculations[[#This Row],[Conversion factor]],0)</f>
        <v>0</v>
      </c>
      <c r="G1369" s="322">
        <f>IFERROR(VLOOKUP(Calculations[[#This Row],[Material (choose from dropdown]],MaterialData[#All],7,FALSE),0)</f>
        <v>0</v>
      </c>
      <c r="H1369" s="322">
        <f>Calculations[[#This Row],[Total Kg]]*Calculations[[#This Row],[Carbon Factor]]</f>
        <v>0</v>
      </c>
      <c r="I1369" t="str">
        <f>IFERROR(VLOOKUP(Calculations[[#This Row],[Material (choose from dropdown]],MaterialData[#All],2,FALSE),"")</f>
        <v/>
      </c>
      <c r="J1369" s="322">
        <f>IFERROR(((VLOOKUP(Calculations[[#This Row],[TransportSource]],TransportDistance[],2,FALSE)*'Stage assumptions'!$C$11)+VLOOKUP(Calculations[[#This Row],[TransportSource]],TransportDistance[],3,FALSE)*'Stage assumptions'!$C$12)*Calculations[[#This Row],[Total Kg]],0)</f>
        <v>0</v>
      </c>
      <c r="K1369">
        <f>IFERROR(VLOOKUP(Calculations[[#This Row],[Material (choose from dropdown]], MaterialData[#All],3, FALSE),0)</f>
        <v>0</v>
      </c>
      <c r="L1369" s="322">
        <f>IFERROR(VLOOKUP(Calculations[[#This Row],[A5type]],A5WastageRate[#All],2,FALSE)*Calculations[[#This Row],[A1-3]],0)</f>
        <v>0</v>
      </c>
      <c r="N1369">
        <f>IFERROR(ROUNDUP(50/VLOOKUP(Calculations[[#This Row],[Scope Element]],B4referenceServiceLife[[Tier 2 element]:[Default Service Life]],2, FALSE)-1,0),0)</f>
        <v>0</v>
      </c>
      <c r="O1369" s="322">
        <f>IFERROR((Calculations[[#This Row],[A1-3]]+Calculations[[#This Row],[A4]]+Calculations[[#This Row],[A5]]+Calculations[[#This Row],[C2 total]]+Calculations[[#This Row],[C3 total]]+Calculations[[#This Row],[C4 total]])*Calculations[[#This Row],[Replacements]],0)</f>
        <v>0</v>
      </c>
      <c r="S1369" t="str">
        <f>IFERROR(VLOOKUP(Calculations[[#This Row],[Material (choose from dropdown]],MaterialData[#All],4,FALSE),"")</f>
        <v/>
      </c>
      <c r="T1369" s="322" cm="1">
        <f t="array" ref="T1369">IFERROR(VLOOKUP(Calculations[[#This Row],[Waste 1]],WasteScenario[#All],2,FALSE)*'Stage assumptions'!$C$225*WasteTransportMethod[Emissions Factor
kgCO2e/kg.km]*Calculations[[#This Row],[Total Kg]],0)</f>
        <v>0</v>
      </c>
      <c r="U1369" s="322" cm="1">
        <f t="array" ref="U1369">IFERROR(VLOOKUP(Calculations[[#This Row],[Waste 1]],WasteScenario[#All],3,FALSE)*'Stage assumptions'!$C$224*WasteTransportMethod[Emissions Factor
kgCO2e/kg.km]*Calculations[[#This Row],[Total Kg]],0)</f>
        <v>0</v>
      </c>
      <c r="V1369" s="322" cm="1">
        <f t="array" ref="V1369">IFERROR(VLOOKUP(Calculations[[#This Row],[Waste 1]],WasteScenario[#All],4,FALSE)*'Stage assumptions'!$C$223*WasteTransportMethod[Emissions Factor
kgCO2e/kg.km]*Calculations[[#This Row],[Total Kg]],0)</f>
        <v>0</v>
      </c>
      <c r="W1369" s="322" cm="1">
        <f t="array" ref="W1369">IFERROR(VLOOKUP(Calculations[[#This Row],[Waste 1]],WasteScenario[#All],5,FALSE)*'Stage assumptions'!$C$226*WasteTransportMethod[Emissions Factor
kgCO2e/kg.km]*Calculations[[#This Row],[Total Kg]],0)</f>
        <v>0</v>
      </c>
      <c r="X1369" s="322">
        <f>SUM(Calculations[[#This Row],[C2 Recycle]:[C2 Reuse]])</f>
        <v>0</v>
      </c>
      <c r="Y1369" t="str">
        <f>IFERROR(VLOOKUP(Calculations[[#This Row],[Material (choose from dropdown]],MaterialData[#All],5,FALSE),"")</f>
        <v/>
      </c>
      <c r="Z1369" s="322">
        <f>IFERROR(((VLOOKUP(Calculations[[#This Row],[Waste type 2]],WasteDisposalEmissions[#All],2,FALSE))*Calculations[[#This Row],[Total Kg]])*VLOOKUP(Calculations[[#This Row],[Waste 1]],WasteScenario[#All],2,FALSE),0)</f>
        <v>0</v>
      </c>
      <c r="AA1369" s="322">
        <f>IFERROR((VLOOKUP(Calculations[[#This Row],[Waste type 2]],WasteDisposalEmissions[#All],3,FALSE))*Calculations[[#This Row],[Total Kg]]*VLOOKUP(Calculations[[#This Row],[Waste 1]],WasteScenario[#All],3,FALSE),0)</f>
        <v>0</v>
      </c>
      <c r="AB1369" s="322">
        <f>SUM(Calculations[[#This Row],[C3 recyc]:[C3 incin]])</f>
        <v>0</v>
      </c>
      <c r="AC1369" s="334">
        <f>IFERROR((VLOOKUP(Calculations[[#This Row],[Waste type 2]],WasteLandfillEmissions[#All],2,FALSE))*Calculations[[#This Row],[Total Kg]]*VLOOKUP(Calculations[[#This Row],[Waste 1]],WasteScenario[#All],4,FALSE),0)</f>
        <v>0</v>
      </c>
      <c r="AD1369" s="322">
        <f>IFERROR((VLOOKUP(Calculations[[#This Row],[Waste type 2]],WasteLandfillEmissions[#All],3,FALSE))*Calculations[[#This Row],[Total Kg]]*VLOOKUP(Calculations[[#This Row],[Waste 1]],WasteScenario[#All],4,FALSE),0)</f>
        <v>0</v>
      </c>
      <c r="AE1369" s="322">
        <f>SUM(Calculations[[#This Row],[C4 landfill]:[C4 re-use]])</f>
        <v>0</v>
      </c>
      <c r="AF1369" s="322">
        <f>IFERROR(VLOOKUP(Calculations[[#This Row],[Material (choose from dropdown]],MaterialData[#All],8,FALSE),0)</f>
        <v>0</v>
      </c>
      <c r="AG1369" s="322">
        <f>IFERROR(Calculations[[#This Row],[Total Kg]]*Calculations[[#This Row],[Seq factor]],0)</f>
        <v>0</v>
      </c>
      <c r="AI1369" s="322">
        <f>Calculations[[#This Row],[A1-3]]+Calculations[[#This Row],[A4]]+Calculations[[#This Row],[A5]]+Calculations[[#This Row],[B4]]+Calculations[[#This Row],[C2 total]]+Calculations[[#This Row],[C3 total]]+Calculations[[#This Row],[C4 total]]</f>
        <v>0</v>
      </c>
      <c r="AJ1369" s="2">
        <f>IFERROR(VLOOKUP(Calculations[[#This Row],[Material (choose from dropdown]],MaterialData[[#Headers],[#Data]],9,FALSE),0)</f>
        <v>0</v>
      </c>
      <c r="AK1369" s="4">
        <f>IFERROR(VLOOKUP(Calculations[[#This Row],[Material (choose from dropdown]],MaterialData[[#Headers],[#Data]],10,FALSE),0)</f>
        <v>0</v>
      </c>
      <c r="AL1369" s="322">
        <f>IFERROR(Calculations[[#This Row],[Data Quality Score]]*Calculations[[#This Row],[Total Kg]],0)</f>
        <v>0</v>
      </c>
    </row>
    <row r="1370" spans="1:38" x14ac:dyDescent="0.3">
      <c r="A1370" s="6">
        <f>IFERROR(MaterialsBoQ[[#This Row],[Scope Element]],0)</f>
        <v>0</v>
      </c>
      <c r="B1370" t="str">
        <f>IFERROR(MaterialsBoQ[[#This Row],[Material ]],"")</f>
        <v/>
      </c>
      <c r="C1370" t="str">
        <f>IFERROR(MaterialsBoQ[[#This Row],[Unit]],"")</f>
        <v/>
      </c>
      <c r="D1370" s="322">
        <f>IFERROR(MaterialsBoQ[[#This Row],[Number]],0)</f>
        <v>0</v>
      </c>
      <c r="E1370" s="322">
        <f>IFERROR(MaterialsBoQ[[#This Row],[Kg per unit]],0)</f>
        <v>0</v>
      </c>
      <c r="F1370" s="322">
        <f>IFERROR(Calculations[[#This Row],[Number]]*Calculations[[#This Row],[Conversion factor]],0)</f>
        <v>0</v>
      </c>
      <c r="G1370" s="322">
        <f>IFERROR(VLOOKUP(Calculations[[#This Row],[Material (choose from dropdown]],MaterialData[#All],7,FALSE),0)</f>
        <v>0</v>
      </c>
      <c r="H1370" s="322">
        <f>Calculations[[#This Row],[Total Kg]]*Calculations[[#This Row],[Carbon Factor]]</f>
        <v>0</v>
      </c>
      <c r="I1370" t="str">
        <f>IFERROR(VLOOKUP(Calculations[[#This Row],[Material (choose from dropdown]],MaterialData[#All],2,FALSE),"")</f>
        <v/>
      </c>
      <c r="J1370" s="322">
        <f>IFERROR(((VLOOKUP(Calculations[[#This Row],[TransportSource]],TransportDistance[],2,FALSE)*'Stage assumptions'!$C$11)+VLOOKUP(Calculations[[#This Row],[TransportSource]],TransportDistance[],3,FALSE)*'Stage assumptions'!$C$12)*Calculations[[#This Row],[Total Kg]],0)</f>
        <v>0</v>
      </c>
      <c r="K1370">
        <f>IFERROR(VLOOKUP(Calculations[[#This Row],[Material (choose from dropdown]], MaterialData[#All],3, FALSE),0)</f>
        <v>0</v>
      </c>
      <c r="L1370" s="322">
        <f>IFERROR(VLOOKUP(Calculations[[#This Row],[A5type]],A5WastageRate[#All],2,FALSE)*Calculations[[#This Row],[A1-3]],0)</f>
        <v>0</v>
      </c>
      <c r="N1370">
        <f>IFERROR(ROUNDUP(50/VLOOKUP(Calculations[[#This Row],[Scope Element]],B4referenceServiceLife[[Tier 2 element]:[Default Service Life]],2, FALSE)-1,0),0)</f>
        <v>0</v>
      </c>
      <c r="O1370" s="322">
        <f>IFERROR((Calculations[[#This Row],[A1-3]]+Calculations[[#This Row],[A4]]+Calculations[[#This Row],[A5]]+Calculations[[#This Row],[C2 total]]+Calculations[[#This Row],[C3 total]]+Calculations[[#This Row],[C4 total]])*Calculations[[#This Row],[Replacements]],0)</f>
        <v>0</v>
      </c>
      <c r="S1370" t="str">
        <f>IFERROR(VLOOKUP(Calculations[[#This Row],[Material (choose from dropdown]],MaterialData[#All],4,FALSE),"")</f>
        <v/>
      </c>
      <c r="T1370" s="322" cm="1">
        <f t="array" ref="T1370">IFERROR(VLOOKUP(Calculations[[#This Row],[Waste 1]],WasteScenario[#All],2,FALSE)*'Stage assumptions'!$C$225*WasteTransportMethod[Emissions Factor
kgCO2e/kg.km]*Calculations[[#This Row],[Total Kg]],0)</f>
        <v>0</v>
      </c>
      <c r="U1370" s="322" cm="1">
        <f t="array" ref="U1370">IFERROR(VLOOKUP(Calculations[[#This Row],[Waste 1]],WasteScenario[#All],3,FALSE)*'Stage assumptions'!$C$224*WasteTransportMethod[Emissions Factor
kgCO2e/kg.km]*Calculations[[#This Row],[Total Kg]],0)</f>
        <v>0</v>
      </c>
      <c r="V1370" s="322" cm="1">
        <f t="array" ref="V1370">IFERROR(VLOOKUP(Calculations[[#This Row],[Waste 1]],WasteScenario[#All],4,FALSE)*'Stage assumptions'!$C$223*WasteTransportMethod[Emissions Factor
kgCO2e/kg.km]*Calculations[[#This Row],[Total Kg]],0)</f>
        <v>0</v>
      </c>
      <c r="W1370" s="322" cm="1">
        <f t="array" ref="W1370">IFERROR(VLOOKUP(Calculations[[#This Row],[Waste 1]],WasteScenario[#All],5,FALSE)*'Stage assumptions'!$C$226*WasteTransportMethod[Emissions Factor
kgCO2e/kg.km]*Calculations[[#This Row],[Total Kg]],0)</f>
        <v>0</v>
      </c>
      <c r="X1370" s="322">
        <f>SUM(Calculations[[#This Row],[C2 Recycle]:[C2 Reuse]])</f>
        <v>0</v>
      </c>
      <c r="Y1370" t="str">
        <f>IFERROR(VLOOKUP(Calculations[[#This Row],[Material (choose from dropdown]],MaterialData[#All],5,FALSE),"")</f>
        <v/>
      </c>
      <c r="Z1370" s="322">
        <f>IFERROR(((VLOOKUP(Calculations[[#This Row],[Waste type 2]],WasteDisposalEmissions[#All],2,FALSE))*Calculations[[#This Row],[Total Kg]])*VLOOKUP(Calculations[[#This Row],[Waste 1]],WasteScenario[#All],2,FALSE),0)</f>
        <v>0</v>
      </c>
      <c r="AA1370" s="322">
        <f>IFERROR((VLOOKUP(Calculations[[#This Row],[Waste type 2]],WasteDisposalEmissions[#All],3,FALSE))*Calculations[[#This Row],[Total Kg]]*VLOOKUP(Calculations[[#This Row],[Waste 1]],WasteScenario[#All],3,FALSE),0)</f>
        <v>0</v>
      </c>
      <c r="AB1370" s="322">
        <f>SUM(Calculations[[#This Row],[C3 recyc]:[C3 incin]])</f>
        <v>0</v>
      </c>
      <c r="AC1370" s="334">
        <f>IFERROR((VLOOKUP(Calculations[[#This Row],[Waste type 2]],WasteLandfillEmissions[#All],2,FALSE))*Calculations[[#This Row],[Total Kg]]*VLOOKUP(Calculations[[#This Row],[Waste 1]],WasteScenario[#All],4,FALSE),0)</f>
        <v>0</v>
      </c>
      <c r="AD1370" s="322">
        <f>IFERROR((VLOOKUP(Calculations[[#This Row],[Waste type 2]],WasteLandfillEmissions[#All],3,FALSE))*Calculations[[#This Row],[Total Kg]]*VLOOKUP(Calculations[[#This Row],[Waste 1]],WasteScenario[#All],4,FALSE),0)</f>
        <v>0</v>
      </c>
      <c r="AE1370" s="322">
        <f>SUM(Calculations[[#This Row],[C4 landfill]:[C4 re-use]])</f>
        <v>0</v>
      </c>
      <c r="AF1370" s="322">
        <f>IFERROR(VLOOKUP(Calculations[[#This Row],[Material (choose from dropdown]],MaterialData[#All],8,FALSE),0)</f>
        <v>0</v>
      </c>
      <c r="AG1370" s="322">
        <f>IFERROR(Calculations[[#This Row],[Total Kg]]*Calculations[[#This Row],[Seq factor]],0)</f>
        <v>0</v>
      </c>
      <c r="AI1370" s="322">
        <f>Calculations[[#This Row],[A1-3]]+Calculations[[#This Row],[A4]]+Calculations[[#This Row],[A5]]+Calculations[[#This Row],[B4]]+Calculations[[#This Row],[C2 total]]+Calculations[[#This Row],[C3 total]]+Calculations[[#This Row],[C4 total]]</f>
        <v>0</v>
      </c>
      <c r="AJ1370" s="2">
        <f>IFERROR(VLOOKUP(Calculations[[#This Row],[Material (choose from dropdown]],MaterialData[[#Headers],[#Data]],9,FALSE),0)</f>
        <v>0</v>
      </c>
      <c r="AK1370" s="4">
        <f>IFERROR(VLOOKUP(Calculations[[#This Row],[Material (choose from dropdown]],MaterialData[[#Headers],[#Data]],10,FALSE),0)</f>
        <v>0</v>
      </c>
      <c r="AL1370" s="322">
        <f>IFERROR(Calculations[[#This Row],[Data Quality Score]]*Calculations[[#This Row],[Total Kg]],0)</f>
        <v>0</v>
      </c>
    </row>
    <row r="1371" spans="1:38" x14ac:dyDescent="0.3">
      <c r="A1371" s="6">
        <f>IFERROR(MaterialsBoQ[[#This Row],[Scope Element]],0)</f>
        <v>0</v>
      </c>
      <c r="B1371" t="str">
        <f>IFERROR(MaterialsBoQ[[#This Row],[Material ]],"")</f>
        <v/>
      </c>
      <c r="C1371" t="str">
        <f>IFERROR(MaterialsBoQ[[#This Row],[Unit]],"")</f>
        <v/>
      </c>
      <c r="D1371" s="322">
        <f>IFERROR(MaterialsBoQ[[#This Row],[Number]],0)</f>
        <v>0</v>
      </c>
      <c r="E1371" s="322">
        <f>IFERROR(MaterialsBoQ[[#This Row],[Kg per unit]],0)</f>
        <v>0</v>
      </c>
      <c r="F1371" s="322">
        <f>IFERROR(Calculations[[#This Row],[Number]]*Calculations[[#This Row],[Conversion factor]],0)</f>
        <v>0</v>
      </c>
      <c r="G1371" s="322">
        <f>IFERROR(VLOOKUP(Calculations[[#This Row],[Material (choose from dropdown]],MaterialData[#All],7,FALSE),0)</f>
        <v>0</v>
      </c>
      <c r="H1371" s="322">
        <f>Calculations[[#This Row],[Total Kg]]*Calculations[[#This Row],[Carbon Factor]]</f>
        <v>0</v>
      </c>
      <c r="I1371" t="str">
        <f>IFERROR(VLOOKUP(Calculations[[#This Row],[Material (choose from dropdown]],MaterialData[#All],2,FALSE),"")</f>
        <v/>
      </c>
      <c r="J1371" s="322">
        <f>IFERROR(((VLOOKUP(Calculations[[#This Row],[TransportSource]],TransportDistance[],2,FALSE)*'Stage assumptions'!$C$11)+VLOOKUP(Calculations[[#This Row],[TransportSource]],TransportDistance[],3,FALSE)*'Stage assumptions'!$C$12)*Calculations[[#This Row],[Total Kg]],0)</f>
        <v>0</v>
      </c>
      <c r="K1371">
        <f>IFERROR(VLOOKUP(Calculations[[#This Row],[Material (choose from dropdown]], MaterialData[#All],3, FALSE),0)</f>
        <v>0</v>
      </c>
      <c r="L1371" s="322">
        <f>IFERROR(VLOOKUP(Calculations[[#This Row],[A5type]],A5WastageRate[#All],2,FALSE)*Calculations[[#This Row],[A1-3]],0)</f>
        <v>0</v>
      </c>
      <c r="N1371">
        <f>IFERROR(ROUNDUP(50/VLOOKUP(Calculations[[#This Row],[Scope Element]],B4referenceServiceLife[[Tier 2 element]:[Default Service Life]],2, FALSE)-1,0),0)</f>
        <v>0</v>
      </c>
      <c r="O1371" s="322">
        <f>IFERROR((Calculations[[#This Row],[A1-3]]+Calculations[[#This Row],[A4]]+Calculations[[#This Row],[A5]]+Calculations[[#This Row],[C2 total]]+Calculations[[#This Row],[C3 total]]+Calculations[[#This Row],[C4 total]])*Calculations[[#This Row],[Replacements]],0)</f>
        <v>0</v>
      </c>
      <c r="S1371" t="str">
        <f>IFERROR(VLOOKUP(Calculations[[#This Row],[Material (choose from dropdown]],MaterialData[#All],4,FALSE),"")</f>
        <v/>
      </c>
      <c r="T1371" s="322" cm="1">
        <f t="array" ref="T1371">IFERROR(VLOOKUP(Calculations[[#This Row],[Waste 1]],WasteScenario[#All],2,FALSE)*'Stage assumptions'!$C$225*WasteTransportMethod[Emissions Factor
kgCO2e/kg.km]*Calculations[[#This Row],[Total Kg]],0)</f>
        <v>0</v>
      </c>
      <c r="U1371" s="322" cm="1">
        <f t="array" ref="U1371">IFERROR(VLOOKUP(Calculations[[#This Row],[Waste 1]],WasteScenario[#All],3,FALSE)*'Stage assumptions'!$C$224*WasteTransportMethod[Emissions Factor
kgCO2e/kg.km]*Calculations[[#This Row],[Total Kg]],0)</f>
        <v>0</v>
      </c>
      <c r="V1371" s="322" cm="1">
        <f t="array" ref="V1371">IFERROR(VLOOKUP(Calculations[[#This Row],[Waste 1]],WasteScenario[#All],4,FALSE)*'Stage assumptions'!$C$223*WasteTransportMethod[Emissions Factor
kgCO2e/kg.km]*Calculations[[#This Row],[Total Kg]],0)</f>
        <v>0</v>
      </c>
      <c r="W1371" s="322" cm="1">
        <f t="array" ref="W1371">IFERROR(VLOOKUP(Calculations[[#This Row],[Waste 1]],WasteScenario[#All],5,FALSE)*'Stage assumptions'!$C$226*WasteTransportMethod[Emissions Factor
kgCO2e/kg.km]*Calculations[[#This Row],[Total Kg]],0)</f>
        <v>0</v>
      </c>
      <c r="X1371" s="322">
        <f>SUM(Calculations[[#This Row],[C2 Recycle]:[C2 Reuse]])</f>
        <v>0</v>
      </c>
      <c r="Y1371" t="str">
        <f>IFERROR(VLOOKUP(Calculations[[#This Row],[Material (choose from dropdown]],MaterialData[#All],5,FALSE),"")</f>
        <v/>
      </c>
      <c r="Z1371" s="322">
        <f>IFERROR(((VLOOKUP(Calculations[[#This Row],[Waste type 2]],WasteDisposalEmissions[#All],2,FALSE))*Calculations[[#This Row],[Total Kg]])*VLOOKUP(Calculations[[#This Row],[Waste 1]],WasteScenario[#All],2,FALSE),0)</f>
        <v>0</v>
      </c>
      <c r="AA1371" s="322">
        <f>IFERROR((VLOOKUP(Calculations[[#This Row],[Waste type 2]],WasteDisposalEmissions[#All],3,FALSE))*Calculations[[#This Row],[Total Kg]]*VLOOKUP(Calculations[[#This Row],[Waste 1]],WasteScenario[#All],3,FALSE),0)</f>
        <v>0</v>
      </c>
      <c r="AB1371" s="322">
        <f>SUM(Calculations[[#This Row],[C3 recyc]:[C3 incin]])</f>
        <v>0</v>
      </c>
      <c r="AC1371" s="334">
        <f>IFERROR((VLOOKUP(Calculations[[#This Row],[Waste type 2]],WasteLandfillEmissions[#All],2,FALSE))*Calculations[[#This Row],[Total Kg]]*VLOOKUP(Calculations[[#This Row],[Waste 1]],WasteScenario[#All],4,FALSE),0)</f>
        <v>0</v>
      </c>
      <c r="AD1371" s="322">
        <f>IFERROR((VLOOKUP(Calculations[[#This Row],[Waste type 2]],WasteLandfillEmissions[#All],3,FALSE))*Calculations[[#This Row],[Total Kg]]*VLOOKUP(Calculations[[#This Row],[Waste 1]],WasteScenario[#All],4,FALSE),0)</f>
        <v>0</v>
      </c>
      <c r="AE1371" s="322">
        <f>SUM(Calculations[[#This Row],[C4 landfill]:[C4 re-use]])</f>
        <v>0</v>
      </c>
      <c r="AF1371" s="322">
        <f>IFERROR(VLOOKUP(Calculations[[#This Row],[Material (choose from dropdown]],MaterialData[#All],8,FALSE),0)</f>
        <v>0</v>
      </c>
      <c r="AG1371" s="322">
        <f>IFERROR(Calculations[[#This Row],[Total Kg]]*Calculations[[#This Row],[Seq factor]],0)</f>
        <v>0</v>
      </c>
      <c r="AI1371" s="322">
        <f>Calculations[[#This Row],[A1-3]]+Calculations[[#This Row],[A4]]+Calculations[[#This Row],[A5]]+Calculations[[#This Row],[B4]]+Calculations[[#This Row],[C2 total]]+Calculations[[#This Row],[C3 total]]+Calculations[[#This Row],[C4 total]]</f>
        <v>0</v>
      </c>
      <c r="AJ1371" s="2">
        <f>IFERROR(VLOOKUP(Calculations[[#This Row],[Material (choose from dropdown]],MaterialData[[#Headers],[#Data]],9,FALSE),0)</f>
        <v>0</v>
      </c>
      <c r="AK1371" s="4">
        <f>IFERROR(VLOOKUP(Calculations[[#This Row],[Material (choose from dropdown]],MaterialData[[#Headers],[#Data]],10,FALSE),0)</f>
        <v>0</v>
      </c>
      <c r="AL1371" s="322">
        <f>IFERROR(Calculations[[#This Row],[Data Quality Score]]*Calculations[[#This Row],[Total Kg]],0)</f>
        <v>0</v>
      </c>
    </row>
    <row r="1372" spans="1:38" x14ac:dyDescent="0.3">
      <c r="A1372" s="6">
        <f>IFERROR(MaterialsBoQ[[#This Row],[Scope Element]],0)</f>
        <v>0</v>
      </c>
      <c r="B1372" t="str">
        <f>IFERROR(MaterialsBoQ[[#This Row],[Material ]],"")</f>
        <v/>
      </c>
      <c r="C1372" t="str">
        <f>IFERROR(MaterialsBoQ[[#This Row],[Unit]],"")</f>
        <v/>
      </c>
      <c r="D1372" s="322">
        <f>IFERROR(MaterialsBoQ[[#This Row],[Number]],0)</f>
        <v>0</v>
      </c>
      <c r="E1372" s="322">
        <f>IFERROR(MaterialsBoQ[[#This Row],[Kg per unit]],0)</f>
        <v>0</v>
      </c>
      <c r="F1372" s="322">
        <f>IFERROR(Calculations[[#This Row],[Number]]*Calculations[[#This Row],[Conversion factor]],0)</f>
        <v>0</v>
      </c>
      <c r="G1372" s="322">
        <f>IFERROR(VLOOKUP(Calculations[[#This Row],[Material (choose from dropdown]],MaterialData[#All],7,FALSE),0)</f>
        <v>0</v>
      </c>
      <c r="H1372" s="322">
        <f>Calculations[[#This Row],[Total Kg]]*Calculations[[#This Row],[Carbon Factor]]</f>
        <v>0</v>
      </c>
      <c r="I1372" t="str">
        <f>IFERROR(VLOOKUP(Calculations[[#This Row],[Material (choose from dropdown]],MaterialData[#All],2,FALSE),"")</f>
        <v/>
      </c>
      <c r="J1372" s="322">
        <f>IFERROR(((VLOOKUP(Calculations[[#This Row],[TransportSource]],TransportDistance[],2,FALSE)*'Stage assumptions'!$C$11)+VLOOKUP(Calculations[[#This Row],[TransportSource]],TransportDistance[],3,FALSE)*'Stage assumptions'!$C$12)*Calculations[[#This Row],[Total Kg]],0)</f>
        <v>0</v>
      </c>
      <c r="K1372">
        <f>IFERROR(VLOOKUP(Calculations[[#This Row],[Material (choose from dropdown]], MaterialData[#All],3, FALSE),0)</f>
        <v>0</v>
      </c>
      <c r="L1372" s="322">
        <f>IFERROR(VLOOKUP(Calculations[[#This Row],[A5type]],A5WastageRate[#All],2,FALSE)*Calculations[[#This Row],[A1-3]],0)</f>
        <v>0</v>
      </c>
      <c r="N1372">
        <f>IFERROR(ROUNDUP(50/VLOOKUP(Calculations[[#This Row],[Scope Element]],B4referenceServiceLife[[Tier 2 element]:[Default Service Life]],2, FALSE)-1,0),0)</f>
        <v>0</v>
      </c>
      <c r="O1372" s="322">
        <f>IFERROR((Calculations[[#This Row],[A1-3]]+Calculations[[#This Row],[A4]]+Calculations[[#This Row],[A5]]+Calculations[[#This Row],[C2 total]]+Calculations[[#This Row],[C3 total]]+Calculations[[#This Row],[C4 total]])*Calculations[[#This Row],[Replacements]],0)</f>
        <v>0</v>
      </c>
      <c r="S1372" t="str">
        <f>IFERROR(VLOOKUP(Calculations[[#This Row],[Material (choose from dropdown]],MaterialData[#All],4,FALSE),"")</f>
        <v/>
      </c>
      <c r="T1372" s="322" cm="1">
        <f t="array" ref="T1372">IFERROR(VLOOKUP(Calculations[[#This Row],[Waste 1]],WasteScenario[#All],2,FALSE)*'Stage assumptions'!$C$225*WasteTransportMethod[Emissions Factor
kgCO2e/kg.km]*Calculations[[#This Row],[Total Kg]],0)</f>
        <v>0</v>
      </c>
      <c r="U1372" s="322" cm="1">
        <f t="array" ref="U1372">IFERROR(VLOOKUP(Calculations[[#This Row],[Waste 1]],WasteScenario[#All],3,FALSE)*'Stage assumptions'!$C$224*WasteTransportMethod[Emissions Factor
kgCO2e/kg.km]*Calculations[[#This Row],[Total Kg]],0)</f>
        <v>0</v>
      </c>
      <c r="V1372" s="322" cm="1">
        <f t="array" ref="V1372">IFERROR(VLOOKUP(Calculations[[#This Row],[Waste 1]],WasteScenario[#All],4,FALSE)*'Stage assumptions'!$C$223*WasteTransportMethod[Emissions Factor
kgCO2e/kg.km]*Calculations[[#This Row],[Total Kg]],0)</f>
        <v>0</v>
      </c>
      <c r="W1372" s="322" cm="1">
        <f t="array" ref="W1372">IFERROR(VLOOKUP(Calculations[[#This Row],[Waste 1]],WasteScenario[#All],5,FALSE)*'Stage assumptions'!$C$226*WasteTransportMethod[Emissions Factor
kgCO2e/kg.km]*Calculations[[#This Row],[Total Kg]],0)</f>
        <v>0</v>
      </c>
      <c r="X1372" s="322">
        <f>SUM(Calculations[[#This Row],[C2 Recycle]:[C2 Reuse]])</f>
        <v>0</v>
      </c>
      <c r="Y1372" t="str">
        <f>IFERROR(VLOOKUP(Calculations[[#This Row],[Material (choose from dropdown]],MaterialData[#All],5,FALSE),"")</f>
        <v/>
      </c>
      <c r="Z1372" s="322">
        <f>IFERROR(((VLOOKUP(Calculations[[#This Row],[Waste type 2]],WasteDisposalEmissions[#All],2,FALSE))*Calculations[[#This Row],[Total Kg]])*VLOOKUP(Calculations[[#This Row],[Waste 1]],WasteScenario[#All],2,FALSE),0)</f>
        <v>0</v>
      </c>
      <c r="AA1372" s="322">
        <f>IFERROR((VLOOKUP(Calculations[[#This Row],[Waste type 2]],WasteDisposalEmissions[#All],3,FALSE))*Calculations[[#This Row],[Total Kg]]*VLOOKUP(Calculations[[#This Row],[Waste 1]],WasteScenario[#All],3,FALSE),0)</f>
        <v>0</v>
      </c>
      <c r="AB1372" s="322">
        <f>SUM(Calculations[[#This Row],[C3 recyc]:[C3 incin]])</f>
        <v>0</v>
      </c>
      <c r="AC1372" s="334">
        <f>IFERROR((VLOOKUP(Calculations[[#This Row],[Waste type 2]],WasteLandfillEmissions[#All],2,FALSE))*Calculations[[#This Row],[Total Kg]]*VLOOKUP(Calculations[[#This Row],[Waste 1]],WasteScenario[#All],4,FALSE),0)</f>
        <v>0</v>
      </c>
      <c r="AD1372" s="322">
        <f>IFERROR((VLOOKUP(Calculations[[#This Row],[Waste type 2]],WasteLandfillEmissions[#All],3,FALSE))*Calculations[[#This Row],[Total Kg]]*VLOOKUP(Calculations[[#This Row],[Waste 1]],WasteScenario[#All],4,FALSE),0)</f>
        <v>0</v>
      </c>
      <c r="AE1372" s="322">
        <f>SUM(Calculations[[#This Row],[C4 landfill]:[C4 re-use]])</f>
        <v>0</v>
      </c>
      <c r="AF1372" s="322">
        <f>IFERROR(VLOOKUP(Calculations[[#This Row],[Material (choose from dropdown]],MaterialData[#All],8,FALSE),0)</f>
        <v>0</v>
      </c>
      <c r="AG1372" s="322">
        <f>IFERROR(Calculations[[#This Row],[Total Kg]]*Calculations[[#This Row],[Seq factor]],0)</f>
        <v>0</v>
      </c>
      <c r="AI1372" s="322">
        <f>Calculations[[#This Row],[A1-3]]+Calculations[[#This Row],[A4]]+Calculations[[#This Row],[A5]]+Calculations[[#This Row],[B4]]+Calculations[[#This Row],[C2 total]]+Calculations[[#This Row],[C3 total]]+Calculations[[#This Row],[C4 total]]</f>
        <v>0</v>
      </c>
      <c r="AJ1372" s="2">
        <f>IFERROR(VLOOKUP(Calculations[[#This Row],[Material (choose from dropdown]],MaterialData[[#Headers],[#Data]],9,FALSE),0)</f>
        <v>0</v>
      </c>
      <c r="AK1372" s="4">
        <f>IFERROR(VLOOKUP(Calculations[[#This Row],[Material (choose from dropdown]],MaterialData[[#Headers],[#Data]],10,FALSE),0)</f>
        <v>0</v>
      </c>
      <c r="AL1372" s="322">
        <f>IFERROR(Calculations[[#This Row],[Data Quality Score]]*Calculations[[#This Row],[Total Kg]],0)</f>
        <v>0</v>
      </c>
    </row>
    <row r="1373" spans="1:38" x14ac:dyDescent="0.3">
      <c r="A1373" s="6">
        <f>IFERROR(MaterialsBoQ[[#This Row],[Scope Element]],0)</f>
        <v>0</v>
      </c>
      <c r="B1373" t="str">
        <f>IFERROR(MaterialsBoQ[[#This Row],[Material ]],"")</f>
        <v/>
      </c>
      <c r="C1373" t="str">
        <f>IFERROR(MaterialsBoQ[[#This Row],[Unit]],"")</f>
        <v/>
      </c>
      <c r="D1373" s="322">
        <f>IFERROR(MaterialsBoQ[[#This Row],[Number]],0)</f>
        <v>0</v>
      </c>
      <c r="E1373" s="322">
        <f>IFERROR(MaterialsBoQ[[#This Row],[Kg per unit]],0)</f>
        <v>0</v>
      </c>
      <c r="F1373" s="322">
        <f>IFERROR(Calculations[[#This Row],[Number]]*Calculations[[#This Row],[Conversion factor]],0)</f>
        <v>0</v>
      </c>
      <c r="G1373" s="322">
        <f>IFERROR(VLOOKUP(Calculations[[#This Row],[Material (choose from dropdown]],MaterialData[#All],7,FALSE),0)</f>
        <v>0</v>
      </c>
      <c r="H1373" s="322">
        <f>Calculations[[#This Row],[Total Kg]]*Calculations[[#This Row],[Carbon Factor]]</f>
        <v>0</v>
      </c>
      <c r="I1373" t="str">
        <f>IFERROR(VLOOKUP(Calculations[[#This Row],[Material (choose from dropdown]],MaterialData[#All],2,FALSE),"")</f>
        <v/>
      </c>
      <c r="J1373" s="322">
        <f>IFERROR(((VLOOKUP(Calculations[[#This Row],[TransportSource]],TransportDistance[],2,FALSE)*'Stage assumptions'!$C$11)+VLOOKUP(Calculations[[#This Row],[TransportSource]],TransportDistance[],3,FALSE)*'Stage assumptions'!$C$12)*Calculations[[#This Row],[Total Kg]],0)</f>
        <v>0</v>
      </c>
      <c r="K1373">
        <f>IFERROR(VLOOKUP(Calculations[[#This Row],[Material (choose from dropdown]], MaterialData[#All],3, FALSE),0)</f>
        <v>0</v>
      </c>
      <c r="L1373" s="322">
        <f>IFERROR(VLOOKUP(Calculations[[#This Row],[A5type]],A5WastageRate[#All],2,FALSE)*Calculations[[#This Row],[A1-3]],0)</f>
        <v>0</v>
      </c>
      <c r="N1373">
        <f>IFERROR(ROUNDUP(50/VLOOKUP(Calculations[[#This Row],[Scope Element]],B4referenceServiceLife[[Tier 2 element]:[Default Service Life]],2, FALSE)-1,0),0)</f>
        <v>0</v>
      </c>
      <c r="O1373" s="322">
        <f>IFERROR((Calculations[[#This Row],[A1-3]]+Calculations[[#This Row],[A4]]+Calculations[[#This Row],[A5]]+Calculations[[#This Row],[C2 total]]+Calculations[[#This Row],[C3 total]]+Calculations[[#This Row],[C4 total]])*Calculations[[#This Row],[Replacements]],0)</f>
        <v>0</v>
      </c>
      <c r="S1373" t="str">
        <f>IFERROR(VLOOKUP(Calculations[[#This Row],[Material (choose from dropdown]],MaterialData[#All],4,FALSE),"")</f>
        <v/>
      </c>
      <c r="T1373" s="322" cm="1">
        <f t="array" ref="T1373">IFERROR(VLOOKUP(Calculations[[#This Row],[Waste 1]],WasteScenario[#All],2,FALSE)*'Stage assumptions'!$C$225*WasteTransportMethod[Emissions Factor
kgCO2e/kg.km]*Calculations[[#This Row],[Total Kg]],0)</f>
        <v>0</v>
      </c>
      <c r="U1373" s="322" cm="1">
        <f t="array" ref="U1373">IFERROR(VLOOKUP(Calculations[[#This Row],[Waste 1]],WasteScenario[#All],3,FALSE)*'Stage assumptions'!$C$224*WasteTransportMethod[Emissions Factor
kgCO2e/kg.km]*Calculations[[#This Row],[Total Kg]],0)</f>
        <v>0</v>
      </c>
      <c r="V1373" s="322" cm="1">
        <f t="array" ref="V1373">IFERROR(VLOOKUP(Calculations[[#This Row],[Waste 1]],WasteScenario[#All],4,FALSE)*'Stage assumptions'!$C$223*WasteTransportMethod[Emissions Factor
kgCO2e/kg.km]*Calculations[[#This Row],[Total Kg]],0)</f>
        <v>0</v>
      </c>
      <c r="W1373" s="322" cm="1">
        <f t="array" ref="W1373">IFERROR(VLOOKUP(Calculations[[#This Row],[Waste 1]],WasteScenario[#All],5,FALSE)*'Stage assumptions'!$C$226*WasteTransportMethod[Emissions Factor
kgCO2e/kg.km]*Calculations[[#This Row],[Total Kg]],0)</f>
        <v>0</v>
      </c>
      <c r="X1373" s="322">
        <f>SUM(Calculations[[#This Row],[C2 Recycle]:[C2 Reuse]])</f>
        <v>0</v>
      </c>
      <c r="Y1373" t="str">
        <f>IFERROR(VLOOKUP(Calculations[[#This Row],[Material (choose from dropdown]],MaterialData[#All],5,FALSE),"")</f>
        <v/>
      </c>
      <c r="Z1373" s="322">
        <f>IFERROR(((VLOOKUP(Calculations[[#This Row],[Waste type 2]],WasteDisposalEmissions[#All],2,FALSE))*Calculations[[#This Row],[Total Kg]])*VLOOKUP(Calculations[[#This Row],[Waste 1]],WasteScenario[#All],2,FALSE),0)</f>
        <v>0</v>
      </c>
      <c r="AA1373" s="322">
        <f>IFERROR((VLOOKUP(Calculations[[#This Row],[Waste type 2]],WasteDisposalEmissions[#All],3,FALSE))*Calculations[[#This Row],[Total Kg]]*VLOOKUP(Calculations[[#This Row],[Waste 1]],WasteScenario[#All],3,FALSE),0)</f>
        <v>0</v>
      </c>
      <c r="AB1373" s="322">
        <f>SUM(Calculations[[#This Row],[C3 recyc]:[C3 incin]])</f>
        <v>0</v>
      </c>
      <c r="AC1373" s="334">
        <f>IFERROR((VLOOKUP(Calculations[[#This Row],[Waste type 2]],WasteLandfillEmissions[#All],2,FALSE))*Calculations[[#This Row],[Total Kg]]*VLOOKUP(Calculations[[#This Row],[Waste 1]],WasteScenario[#All],4,FALSE),0)</f>
        <v>0</v>
      </c>
      <c r="AD1373" s="322">
        <f>IFERROR((VLOOKUP(Calculations[[#This Row],[Waste type 2]],WasteLandfillEmissions[#All],3,FALSE))*Calculations[[#This Row],[Total Kg]]*VLOOKUP(Calculations[[#This Row],[Waste 1]],WasteScenario[#All],4,FALSE),0)</f>
        <v>0</v>
      </c>
      <c r="AE1373" s="322">
        <f>SUM(Calculations[[#This Row],[C4 landfill]:[C4 re-use]])</f>
        <v>0</v>
      </c>
      <c r="AF1373" s="322">
        <f>IFERROR(VLOOKUP(Calculations[[#This Row],[Material (choose from dropdown]],MaterialData[#All],8,FALSE),0)</f>
        <v>0</v>
      </c>
      <c r="AG1373" s="322">
        <f>IFERROR(Calculations[[#This Row],[Total Kg]]*Calculations[[#This Row],[Seq factor]],0)</f>
        <v>0</v>
      </c>
      <c r="AI1373" s="322">
        <f>Calculations[[#This Row],[A1-3]]+Calculations[[#This Row],[A4]]+Calculations[[#This Row],[A5]]+Calculations[[#This Row],[B4]]+Calculations[[#This Row],[C2 total]]+Calculations[[#This Row],[C3 total]]+Calculations[[#This Row],[C4 total]]</f>
        <v>0</v>
      </c>
      <c r="AJ1373" s="2">
        <f>IFERROR(VLOOKUP(Calculations[[#This Row],[Material (choose from dropdown]],MaterialData[[#Headers],[#Data]],9,FALSE),0)</f>
        <v>0</v>
      </c>
      <c r="AK1373" s="4">
        <f>IFERROR(VLOOKUP(Calculations[[#This Row],[Material (choose from dropdown]],MaterialData[[#Headers],[#Data]],10,FALSE),0)</f>
        <v>0</v>
      </c>
      <c r="AL1373" s="322">
        <f>IFERROR(Calculations[[#This Row],[Data Quality Score]]*Calculations[[#This Row],[Total Kg]],0)</f>
        <v>0</v>
      </c>
    </row>
    <row r="1374" spans="1:38" x14ac:dyDescent="0.3">
      <c r="A1374" s="6">
        <f>IFERROR(MaterialsBoQ[[#This Row],[Scope Element]],0)</f>
        <v>0</v>
      </c>
      <c r="B1374" t="str">
        <f>IFERROR(MaterialsBoQ[[#This Row],[Material ]],"")</f>
        <v/>
      </c>
      <c r="C1374" t="str">
        <f>IFERROR(MaterialsBoQ[[#This Row],[Unit]],"")</f>
        <v/>
      </c>
      <c r="D1374" s="322">
        <f>IFERROR(MaterialsBoQ[[#This Row],[Number]],0)</f>
        <v>0</v>
      </c>
      <c r="E1374" s="322">
        <f>IFERROR(MaterialsBoQ[[#This Row],[Kg per unit]],0)</f>
        <v>0</v>
      </c>
      <c r="F1374" s="322">
        <f>IFERROR(Calculations[[#This Row],[Number]]*Calculations[[#This Row],[Conversion factor]],0)</f>
        <v>0</v>
      </c>
      <c r="G1374" s="322">
        <f>IFERROR(VLOOKUP(Calculations[[#This Row],[Material (choose from dropdown]],MaterialData[#All],7,FALSE),0)</f>
        <v>0</v>
      </c>
      <c r="H1374" s="322">
        <f>Calculations[[#This Row],[Total Kg]]*Calculations[[#This Row],[Carbon Factor]]</f>
        <v>0</v>
      </c>
      <c r="I1374" t="str">
        <f>IFERROR(VLOOKUP(Calculations[[#This Row],[Material (choose from dropdown]],MaterialData[#All],2,FALSE),"")</f>
        <v/>
      </c>
      <c r="J1374" s="322">
        <f>IFERROR(((VLOOKUP(Calculations[[#This Row],[TransportSource]],TransportDistance[],2,FALSE)*'Stage assumptions'!$C$11)+VLOOKUP(Calculations[[#This Row],[TransportSource]],TransportDistance[],3,FALSE)*'Stage assumptions'!$C$12)*Calculations[[#This Row],[Total Kg]],0)</f>
        <v>0</v>
      </c>
      <c r="K1374">
        <f>IFERROR(VLOOKUP(Calculations[[#This Row],[Material (choose from dropdown]], MaterialData[#All],3, FALSE),0)</f>
        <v>0</v>
      </c>
      <c r="L1374" s="322">
        <f>IFERROR(VLOOKUP(Calculations[[#This Row],[A5type]],A5WastageRate[#All],2,FALSE)*Calculations[[#This Row],[A1-3]],0)</f>
        <v>0</v>
      </c>
      <c r="N1374">
        <f>IFERROR(ROUNDUP(50/VLOOKUP(Calculations[[#This Row],[Scope Element]],B4referenceServiceLife[[Tier 2 element]:[Default Service Life]],2, FALSE)-1,0),0)</f>
        <v>0</v>
      </c>
      <c r="O1374" s="322">
        <f>IFERROR((Calculations[[#This Row],[A1-3]]+Calculations[[#This Row],[A4]]+Calculations[[#This Row],[A5]]+Calculations[[#This Row],[C2 total]]+Calculations[[#This Row],[C3 total]]+Calculations[[#This Row],[C4 total]])*Calculations[[#This Row],[Replacements]],0)</f>
        <v>0</v>
      </c>
      <c r="S1374" t="str">
        <f>IFERROR(VLOOKUP(Calculations[[#This Row],[Material (choose from dropdown]],MaterialData[#All],4,FALSE),"")</f>
        <v/>
      </c>
      <c r="T1374" s="322" cm="1">
        <f t="array" ref="T1374">IFERROR(VLOOKUP(Calculations[[#This Row],[Waste 1]],WasteScenario[#All],2,FALSE)*'Stage assumptions'!$C$225*WasteTransportMethod[Emissions Factor
kgCO2e/kg.km]*Calculations[[#This Row],[Total Kg]],0)</f>
        <v>0</v>
      </c>
      <c r="U1374" s="322" cm="1">
        <f t="array" ref="U1374">IFERROR(VLOOKUP(Calculations[[#This Row],[Waste 1]],WasteScenario[#All],3,FALSE)*'Stage assumptions'!$C$224*WasteTransportMethod[Emissions Factor
kgCO2e/kg.km]*Calculations[[#This Row],[Total Kg]],0)</f>
        <v>0</v>
      </c>
      <c r="V1374" s="322" cm="1">
        <f t="array" ref="V1374">IFERROR(VLOOKUP(Calculations[[#This Row],[Waste 1]],WasteScenario[#All],4,FALSE)*'Stage assumptions'!$C$223*WasteTransportMethod[Emissions Factor
kgCO2e/kg.km]*Calculations[[#This Row],[Total Kg]],0)</f>
        <v>0</v>
      </c>
      <c r="W1374" s="322" cm="1">
        <f t="array" ref="W1374">IFERROR(VLOOKUP(Calculations[[#This Row],[Waste 1]],WasteScenario[#All],5,FALSE)*'Stage assumptions'!$C$226*WasteTransportMethod[Emissions Factor
kgCO2e/kg.km]*Calculations[[#This Row],[Total Kg]],0)</f>
        <v>0</v>
      </c>
      <c r="X1374" s="322">
        <f>SUM(Calculations[[#This Row],[C2 Recycle]:[C2 Reuse]])</f>
        <v>0</v>
      </c>
      <c r="Y1374" t="str">
        <f>IFERROR(VLOOKUP(Calculations[[#This Row],[Material (choose from dropdown]],MaterialData[#All],5,FALSE),"")</f>
        <v/>
      </c>
      <c r="Z1374" s="322">
        <f>IFERROR(((VLOOKUP(Calculations[[#This Row],[Waste type 2]],WasteDisposalEmissions[#All],2,FALSE))*Calculations[[#This Row],[Total Kg]])*VLOOKUP(Calculations[[#This Row],[Waste 1]],WasteScenario[#All],2,FALSE),0)</f>
        <v>0</v>
      </c>
      <c r="AA1374" s="322">
        <f>IFERROR((VLOOKUP(Calculations[[#This Row],[Waste type 2]],WasteDisposalEmissions[#All],3,FALSE))*Calculations[[#This Row],[Total Kg]]*VLOOKUP(Calculations[[#This Row],[Waste 1]],WasteScenario[#All],3,FALSE),0)</f>
        <v>0</v>
      </c>
      <c r="AB1374" s="322">
        <f>SUM(Calculations[[#This Row],[C3 recyc]:[C3 incin]])</f>
        <v>0</v>
      </c>
      <c r="AC1374" s="334">
        <f>IFERROR((VLOOKUP(Calculations[[#This Row],[Waste type 2]],WasteLandfillEmissions[#All],2,FALSE))*Calculations[[#This Row],[Total Kg]]*VLOOKUP(Calculations[[#This Row],[Waste 1]],WasteScenario[#All],4,FALSE),0)</f>
        <v>0</v>
      </c>
      <c r="AD1374" s="322">
        <f>IFERROR((VLOOKUP(Calculations[[#This Row],[Waste type 2]],WasteLandfillEmissions[#All],3,FALSE))*Calculations[[#This Row],[Total Kg]]*VLOOKUP(Calculations[[#This Row],[Waste 1]],WasteScenario[#All],4,FALSE),0)</f>
        <v>0</v>
      </c>
      <c r="AE1374" s="322">
        <f>SUM(Calculations[[#This Row],[C4 landfill]:[C4 re-use]])</f>
        <v>0</v>
      </c>
      <c r="AF1374" s="322">
        <f>IFERROR(VLOOKUP(Calculations[[#This Row],[Material (choose from dropdown]],MaterialData[#All],8,FALSE),0)</f>
        <v>0</v>
      </c>
      <c r="AG1374" s="322">
        <f>IFERROR(Calculations[[#This Row],[Total Kg]]*Calculations[[#This Row],[Seq factor]],0)</f>
        <v>0</v>
      </c>
      <c r="AI1374" s="322">
        <f>Calculations[[#This Row],[A1-3]]+Calculations[[#This Row],[A4]]+Calculations[[#This Row],[A5]]+Calculations[[#This Row],[B4]]+Calculations[[#This Row],[C2 total]]+Calculations[[#This Row],[C3 total]]+Calculations[[#This Row],[C4 total]]</f>
        <v>0</v>
      </c>
      <c r="AJ1374" s="2">
        <f>IFERROR(VLOOKUP(Calculations[[#This Row],[Material (choose from dropdown]],MaterialData[[#Headers],[#Data]],9,FALSE),0)</f>
        <v>0</v>
      </c>
      <c r="AK1374" s="4">
        <f>IFERROR(VLOOKUP(Calculations[[#This Row],[Material (choose from dropdown]],MaterialData[[#Headers],[#Data]],10,FALSE),0)</f>
        <v>0</v>
      </c>
      <c r="AL1374" s="322">
        <f>IFERROR(Calculations[[#This Row],[Data Quality Score]]*Calculations[[#This Row],[Total Kg]],0)</f>
        <v>0</v>
      </c>
    </row>
    <row r="1375" spans="1:38" x14ac:dyDescent="0.3">
      <c r="A1375" s="6">
        <f>IFERROR(MaterialsBoQ[[#This Row],[Scope Element]],0)</f>
        <v>0</v>
      </c>
      <c r="B1375" t="str">
        <f>IFERROR(MaterialsBoQ[[#This Row],[Material ]],"")</f>
        <v/>
      </c>
      <c r="C1375" t="str">
        <f>IFERROR(MaterialsBoQ[[#This Row],[Unit]],"")</f>
        <v/>
      </c>
      <c r="D1375" s="322">
        <f>IFERROR(MaterialsBoQ[[#This Row],[Number]],0)</f>
        <v>0</v>
      </c>
      <c r="E1375" s="322">
        <f>IFERROR(MaterialsBoQ[[#This Row],[Kg per unit]],0)</f>
        <v>0</v>
      </c>
      <c r="F1375" s="322">
        <f>IFERROR(Calculations[[#This Row],[Number]]*Calculations[[#This Row],[Conversion factor]],0)</f>
        <v>0</v>
      </c>
      <c r="G1375" s="322">
        <f>IFERROR(VLOOKUP(Calculations[[#This Row],[Material (choose from dropdown]],MaterialData[#All],7,FALSE),0)</f>
        <v>0</v>
      </c>
      <c r="H1375" s="322">
        <f>Calculations[[#This Row],[Total Kg]]*Calculations[[#This Row],[Carbon Factor]]</f>
        <v>0</v>
      </c>
      <c r="I1375" t="str">
        <f>IFERROR(VLOOKUP(Calculations[[#This Row],[Material (choose from dropdown]],MaterialData[#All],2,FALSE),"")</f>
        <v/>
      </c>
      <c r="J1375" s="322">
        <f>IFERROR(((VLOOKUP(Calculations[[#This Row],[TransportSource]],TransportDistance[],2,FALSE)*'Stage assumptions'!$C$11)+VLOOKUP(Calculations[[#This Row],[TransportSource]],TransportDistance[],3,FALSE)*'Stage assumptions'!$C$12)*Calculations[[#This Row],[Total Kg]],0)</f>
        <v>0</v>
      </c>
      <c r="K1375">
        <f>IFERROR(VLOOKUP(Calculations[[#This Row],[Material (choose from dropdown]], MaterialData[#All],3, FALSE),0)</f>
        <v>0</v>
      </c>
      <c r="L1375" s="322">
        <f>IFERROR(VLOOKUP(Calculations[[#This Row],[A5type]],A5WastageRate[#All],2,FALSE)*Calculations[[#This Row],[A1-3]],0)</f>
        <v>0</v>
      </c>
      <c r="N1375">
        <f>IFERROR(ROUNDUP(50/VLOOKUP(Calculations[[#This Row],[Scope Element]],B4referenceServiceLife[[Tier 2 element]:[Default Service Life]],2, FALSE)-1,0),0)</f>
        <v>0</v>
      </c>
      <c r="O1375" s="322">
        <f>IFERROR((Calculations[[#This Row],[A1-3]]+Calculations[[#This Row],[A4]]+Calculations[[#This Row],[A5]]+Calculations[[#This Row],[C2 total]]+Calculations[[#This Row],[C3 total]]+Calculations[[#This Row],[C4 total]])*Calculations[[#This Row],[Replacements]],0)</f>
        <v>0</v>
      </c>
      <c r="S1375" t="str">
        <f>IFERROR(VLOOKUP(Calculations[[#This Row],[Material (choose from dropdown]],MaterialData[#All],4,FALSE),"")</f>
        <v/>
      </c>
      <c r="T1375" s="322" cm="1">
        <f t="array" ref="T1375">IFERROR(VLOOKUP(Calculations[[#This Row],[Waste 1]],WasteScenario[#All],2,FALSE)*'Stage assumptions'!$C$225*WasteTransportMethod[Emissions Factor
kgCO2e/kg.km]*Calculations[[#This Row],[Total Kg]],0)</f>
        <v>0</v>
      </c>
      <c r="U1375" s="322" cm="1">
        <f t="array" ref="U1375">IFERROR(VLOOKUP(Calculations[[#This Row],[Waste 1]],WasteScenario[#All],3,FALSE)*'Stage assumptions'!$C$224*WasteTransportMethod[Emissions Factor
kgCO2e/kg.km]*Calculations[[#This Row],[Total Kg]],0)</f>
        <v>0</v>
      </c>
      <c r="V1375" s="322" cm="1">
        <f t="array" ref="V1375">IFERROR(VLOOKUP(Calculations[[#This Row],[Waste 1]],WasteScenario[#All],4,FALSE)*'Stage assumptions'!$C$223*WasteTransportMethod[Emissions Factor
kgCO2e/kg.km]*Calculations[[#This Row],[Total Kg]],0)</f>
        <v>0</v>
      </c>
      <c r="W1375" s="322" cm="1">
        <f t="array" ref="W1375">IFERROR(VLOOKUP(Calculations[[#This Row],[Waste 1]],WasteScenario[#All],5,FALSE)*'Stage assumptions'!$C$226*WasteTransportMethod[Emissions Factor
kgCO2e/kg.km]*Calculations[[#This Row],[Total Kg]],0)</f>
        <v>0</v>
      </c>
      <c r="X1375" s="322">
        <f>SUM(Calculations[[#This Row],[C2 Recycle]:[C2 Reuse]])</f>
        <v>0</v>
      </c>
      <c r="Y1375" t="str">
        <f>IFERROR(VLOOKUP(Calculations[[#This Row],[Material (choose from dropdown]],MaterialData[#All],5,FALSE),"")</f>
        <v/>
      </c>
      <c r="Z1375" s="322">
        <f>IFERROR(((VLOOKUP(Calculations[[#This Row],[Waste type 2]],WasteDisposalEmissions[#All],2,FALSE))*Calculations[[#This Row],[Total Kg]])*VLOOKUP(Calculations[[#This Row],[Waste 1]],WasteScenario[#All],2,FALSE),0)</f>
        <v>0</v>
      </c>
      <c r="AA1375" s="322">
        <f>IFERROR((VLOOKUP(Calculations[[#This Row],[Waste type 2]],WasteDisposalEmissions[#All],3,FALSE))*Calculations[[#This Row],[Total Kg]]*VLOOKUP(Calculations[[#This Row],[Waste 1]],WasteScenario[#All],3,FALSE),0)</f>
        <v>0</v>
      </c>
      <c r="AB1375" s="322">
        <f>SUM(Calculations[[#This Row],[C3 recyc]:[C3 incin]])</f>
        <v>0</v>
      </c>
      <c r="AC1375" s="334">
        <f>IFERROR((VLOOKUP(Calculations[[#This Row],[Waste type 2]],WasteLandfillEmissions[#All],2,FALSE))*Calculations[[#This Row],[Total Kg]]*VLOOKUP(Calculations[[#This Row],[Waste 1]],WasteScenario[#All],4,FALSE),0)</f>
        <v>0</v>
      </c>
      <c r="AD1375" s="322">
        <f>IFERROR((VLOOKUP(Calculations[[#This Row],[Waste type 2]],WasteLandfillEmissions[#All],3,FALSE))*Calculations[[#This Row],[Total Kg]]*VLOOKUP(Calculations[[#This Row],[Waste 1]],WasteScenario[#All],4,FALSE),0)</f>
        <v>0</v>
      </c>
      <c r="AE1375" s="322">
        <f>SUM(Calculations[[#This Row],[C4 landfill]:[C4 re-use]])</f>
        <v>0</v>
      </c>
      <c r="AF1375" s="322">
        <f>IFERROR(VLOOKUP(Calculations[[#This Row],[Material (choose from dropdown]],MaterialData[#All],8,FALSE),0)</f>
        <v>0</v>
      </c>
      <c r="AG1375" s="322">
        <f>IFERROR(Calculations[[#This Row],[Total Kg]]*Calculations[[#This Row],[Seq factor]],0)</f>
        <v>0</v>
      </c>
      <c r="AI1375" s="322">
        <f>Calculations[[#This Row],[A1-3]]+Calculations[[#This Row],[A4]]+Calculations[[#This Row],[A5]]+Calculations[[#This Row],[B4]]+Calculations[[#This Row],[C2 total]]+Calculations[[#This Row],[C3 total]]+Calculations[[#This Row],[C4 total]]</f>
        <v>0</v>
      </c>
      <c r="AJ1375" s="2">
        <f>IFERROR(VLOOKUP(Calculations[[#This Row],[Material (choose from dropdown]],MaterialData[[#Headers],[#Data]],9,FALSE),0)</f>
        <v>0</v>
      </c>
      <c r="AK1375" s="4">
        <f>IFERROR(VLOOKUP(Calculations[[#This Row],[Material (choose from dropdown]],MaterialData[[#Headers],[#Data]],10,FALSE),0)</f>
        <v>0</v>
      </c>
      <c r="AL1375" s="322">
        <f>IFERROR(Calculations[[#This Row],[Data Quality Score]]*Calculations[[#This Row],[Total Kg]],0)</f>
        <v>0</v>
      </c>
    </row>
    <row r="1376" spans="1:38" x14ac:dyDescent="0.3">
      <c r="A1376" s="6">
        <f>IFERROR(MaterialsBoQ[[#This Row],[Scope Element]],0)</f>
        <v>0</v>
      </c>
      <c r="B1376" t="str">
        <f>IFERROR(MaterialsBoQ[[#This Row],[Material ]],"")</f>
        <v/>
      </c>
      <c r="C1376" t="str">
        <f>IFERROR(MaterialsBoQ[[#This Row],[Unit]],"")</f>
        <v/>
      </c>
      <c r="D1376" s="322">
        <f>IFERROR(MaterialsBoQ[[#This Row],[Number]],0)</f>
        <v>0</v>
      </c>
      <c r="E1376" s="322">
        <f>IFERROR(MaterialsBoQ[[#This Row],[Kg per unit]],0)</f>
        <v>0</v>
      </c>
      <c r="F1376" s="322">
        <f>IFERROR(Calculations[[#This Row],[Number]]*Calculations[[#This Row],[Conversion factor]],0)</f>
        <v>0</v>
      </c>
      <c r="G1376" s="322">
        <f>IFERROR(VLOOKUP(Calculations[[#This Row],[Material (choose from dropdown]],MaterialData[#All],7,FALSE),0)</f>
        <v>0</v>
      </c>
      <c r="H1376" s="322">
        <f>Calculations[[#This Row],[Total Kg]]*Calculations[[#This Row],[Carbon Factor]]</f>
        <v>0</v>
      </c>
      <c r="I1376" t="str">
        <f>IFERROR(VLOOKUP(Calculations[[#This Row],[Material (choose from dropdown]],MaterialData[#All],2,FALSE),"")</f>
        <v/>
      </c>
      <c r="J1376" s="322">
        <f>IFERROR(((VLOOKUP(Calculations[[#This Row],[TransportSource]],TransportDistance[],2,FALSE)*'Stage assumptions'!$C$11)+VLOOKUP(Calculations[[#This Row],[TransportSource]],TransportDistance[],3,FALSE)*'Stage assumptions'!$C$12)*Calculations[[#This Row],[Total Kg]],0)</f>
        <v>0</v>
      </c>
      <c r="K1376">
        <f>IFERROR(VLOOKUP(Calculations[[#This Row],[Material (choose from dropdown]], MaterialData[#All],3, FALSE),0)</f>
        <v>0</v>
      </c>
      <c r="L1376" s="322">
        <f>IFERROR(VLOOKUP(Calculations[[#This Row],[A5type]],A5WastageRate[#All],2,FALSE)*Calculations[[#This Row],[A1-3]],0)</f>
        <v>0</v>
      </c>
      <c r="N1376">
        <f>IFERROR(ROUNDUP(50/VLOOKUP(Calculations[[#This Row],[Scope Element]],B4referenceServiceLife[[Tier 2 element]:[Default Service Life]],2, FALSE)-1,0),0)</f>
        <v>0</v>
      </c>
      <c r="O1376" s="322">
        <f>IFERROR((Calculations[[#This Row],[A1-3]]+Calculations[[#This Row],[A4]]+Calculations[[#This Row],[A5]]+Calculations[[#This Row],[C2 total]]+Calculations[[#This Row],[C3 total]]+Calculations[[#This Row],[C4 total]])*Calculations[[#This Row],[Replacements]],0)</f>
        <v>0</v>
      </c>
      <c r="S1376" t="str">
        <f>IFERROR(VLOOKUP(Calculations[[#This Row],[Material (choose from dropdown]],MaterialData[#All],4,FALSE),"")</f>
        <v/>
      </c>
      <c r="T1376" s="322" cm="1">
        <f t="array" ref="T1376">IFERROR(VLOOKUP(Calculations[[#This Row],[Waste 1]],WasteScenario[#All],2,FALSE)*'Stage assumptions'!$C$225*WasteTransportMethod[Emissions Factor
kgCO2e/kg.km]*Calculations[[#This Row],[Total Kg]],0)</f>
        <v>0</v>
      </c>
      <c r="U1376" s="322" cm="1">
        <f t="array" ref="U1376">IFERROR(VLOOKUP(Calculations[[#This Row],[Waste 1]],WasteScenario[#All],3,FALSE)*'Stage assumptions'!$C$224*WasteTransportMethod[Emissions Factor
kgCO2e/kg.km]*Calculations[[#This Row],[Total Kg]],0)</f>
        <v>0</v>
      </c>
      <c r="V1376" s="322" cm="1">
        <f t="array" ref="V1376">IFERROR(VLOOKUP(Calculations[[#This Row],[Waste 1]],WasteScenario[#All],4,FALSE)*'Stage assumptions'!$C$223*WasteTransportMethod[Emissions Factor
kgCO2e/kg.km]*Calculations[[#This Row],[Total Kg]],0)</f>
        <v>0</v>
      </c>
      <c r="W1376" s="322" cm="1">
        <f t="array" ref="W1376">IFERROR(VLOOKUP(Calculations[[#This Row],[Waste 1]],WasteScenario[#All],5,FALSE)*'Stage assumptions'!$C$226*WasteTransportMethod[Emissions Factor
kgCO2e/kg.km]*Calculations[[#This Row],[Total Kg]],0)</f>
        <v>0</v>
      </c>
      <c r="X1376" s="322">
        <f>SUM(Calculations[[#This Row],[C2 Recycle]:[C2 Reuse]])</f>
        <v>0</v>
      </c>
      <c r="Y1376" t="str">
        <f>IFERROR(VLOOKUP(Calculations[[#This Row],[Material (choose from dropdown]],MaterialData[#All],5,FALSE),"")</f>
        <v/>
      </c>
      <c r="Z1376" s="322">
        <f>IFERROR(((VLOOKUP(Calculations[[#This Row],[Waste type 2]],WasteDisposalEmissions[#All],2,FALSE))*Calculations[[#This Row],[Total Kg]])*VLOOKUP(Calculations[[#This Row],[Waste 1]],WasteScenario[#All],2,FALSE),0)</f>
        <v>0</v>
      </c>
      <c r="AA1376" s="322">
        <f>IFERROR((VLOOKUP(Calculations[[#This Row],[Waste type 2]],WasteDisposalEmissions[#All],3,FALSE))*Calculations[[#This Row],[Total Kg]]*VLOOKUP(Calculations[[#This Row],[Waste 1]],WasteScenario[#All],3,FALSE),0)</f>
        <v>0</v>
      </c>
      <c r="AB1376" s="322">
        <f>SUM(Calculations[[#This Row],[C3 recyc]:[C3 incin]])</f>
        <v>0</v>
      </c>
      <c r="AC1376" s="334">
        <f>IFERROR((VLOOKUP(Calculations[[#This Row],[Waste type 2]],WasteLandfillEmissions[#All],2,FALSE))*Calculations[[#This Row],[Total Kg]]*VLOOKUP(Calculations[[#This Row],[Waste 1]],WasteScenario[#All],4,FALSE),0)</f>
        <v>0</v>
      </c>
      <c r="AD1376" s="322">
        <f>IFERROR((VLOOKUP(Calculations[[#This Row],[Waste type 2]],WasteLandfillEmissions[#All],3,FALSE))*Calculations[[#This Row],[Total Kg]]*VLOOKUP(Calculations[[#This Row],[Waste 1]],WasteScenario[#All],4,FALSE),0)</f>
        <v>0</v>
      </c>
      <c r="AE1376" s="322">
        <f>SUM(Calculations[[#This Row],[C4 landfill]:[C4 re-use]])</f>
        <v>0</v>
      </c>
      <c r="AF1376" s="322">
        <f>IFERROR(VLOOKUP(Calculations[[#This Row],[Material (choose from dropdown]],MaterialData[#All],8,FALSE),0)</f>
        <v>0</v>
      </c>
      <c r="AG1376" s="322">
        <f>IFERROR(Calculations[[#This Row],[Total Kg]]*Calculations[[#This Row],[Seq factor]],0)</f>
        <v>0</v>
      </c>
      <c r="AI1376" s="322">
        <f>Calculations[[#This Row],[A1-3]]+Calculations[[#This Row],[A4]]+Calculations[[#This Row],[A5]]+Calculations[[#This Row],[B4]]+Calculations[[#This Row],[C2 total]]+Calculations[[#This Row],[C3 total]]+Calculations[[#This Row],[C4 total]]</f>
        <v>0</v>
      </c>
      <c r="AJ1376" s="2">
        <f>IFERROR(VLOOKUP(Calculations[[#This Row],[Material (choose from dropdown]],MaterialData[[#Headers],[#Data]],9,FALSE),0)</f>
        <v>0</v>
      </c>
      <c r="AK1376" s="4">
        <f>IFERROR(VLOOKUP(Calculations[[#This Row],[Material (choose from dropdown]],MaterialData[[#Headers],[#Data]],10,FALSE),0)</f>
        <v>0</v>
      </c>
      <c r="AL1376" s="322">
        <f>IFERROR(Calculations[[#This Row],[Data Quality Score]]*Calculations[[#This Row],[Total Kg]],0)</f>
        <v>0</v>
      </c>
    </row>
    <row r="1377" spans="1:38" x14ac:dyDescent="0.3">
      <c r="A1377" s="6">
        <f>IFERROR(MaterialsBoQ[[#This Row],[Scope Element]],0)</f>
        <v>0</v>
      </c>
      <c r="B1377" t="str">
        <f>IFERROR(MaterialsBoQ[[#This Row],[Material ]],"")</f>
        <v/>
      </c>
      <c r="C1377" t="str">
        <f>IFERROR(MaterialsBoQ[[#This Row],[Unit]],"")</f>
        <v/>
      </c>
      <c r="D1377" s="322">
        <f>IFERROR(MaterialsBoQ[[#This Row],[Number]],0)</f>
        <v>0</v>
      </c>
      <c r="E1377" s="322">
        <f>IFERROR(MaterialsBoQ[[#This Row],[Kg per unit]],0)</f>
        <v>0</v>
      </c>
      <c r="F1377" s="322">
        <f>IFERROR(Calculations[[#This Row],[Number]]*Calculations[[#This Row],[Conversion factor]],0)</f>
        <v>0</v>
      </c>
      <c r="G1377" s="322">
        <f>IFERROR(VLOOKUP(Calculations[[#This Row],[Material (choose from dropdown]],MaterialData[#All],7,FALSE),0)</f>
        <v>0</v>
      </c>
      <c r="H1377" s="322">
        <f>Calculations[[#This Row],[Total Kg]]*Calculations[[#This Row],[Carbon Factor]]</f>
        <v>0</v>
      </c>
      <c r="I1377" t="str">
        <f>IFERROR(VLOOKUP(Calculations[[#This Row],[Material (choose from dropdown]],MaterialData[#All],2,FALSE),"")</f>
        <v/>
      </c>
      <c r="J1377" s="322">
        <f>IFERROR(((VLOOKUP(Calculations[[#This Row],[TransportSource]],TransportDistance[],2,FALSE)*'Stage assumptions'!$C$11)+VLOOKUP(Calculations[[#This Row],[TransportSource]],TransportDistance[],3,FALSE)*'Stage assumptions'!$C$12)*Calculations[[#This Row],[Total Kg]],0)</f>
        <v>0</v>
      </c>
      <c r="K1377">
        <f>IFERROR(VLOOKUP(Calculations[[#This Row],[Material (choose from dropdown]], MaterialData[#All],3, FALSE),0)</f>
        <v>0</v>
      </c>
      <c r="L1377" s="322">
        <f>IFERROR(VLOOKUP(Calculations[[#This Row],[A5type]],A5WastageRate[#All],2,FALSE)*Calculations[[#This Row],[A1-3]],0)</f>
        <v>0</v>
      </c>
      <c r="N1377">
        <f>IFERROR(ROUNDUP(50/VLOOKUP(Calculations[[#This Row],[Scope Element]],B4referenceServiceLife[[Tier 2 element]:[Default Service Life]],2, FALSE)-1,0),0)</f>
        <v>0</v>
      </c>
      <c r="O1377" s="322">
        <f>IFERROR((Calculations[[#This Row],[A1-3]]+Calculations[[#This Row],[A4]]+Calculations[[#This Row],[A5]]+Calculations[[#This Row],[C2 total]]+Calculations[[#This Row],[C3 total]]+Calculations[[#This Row],[C4 total]])*Calculations[[#This Row],[Replacements]],0)</f>
        <v>0</v>
      </c>
      <c r="S1377" t="str">
        <f>IFERROR(VLOOKUP(Calculations[[#This Row],[Material (choose from dropdown]],MaterialData[#All],4,FALSE),"")</f>
        <v/>
      </c>
      <c r="T1377" s="322" cm="1">
        <f t="array" ref="T1377">IFERROR(VLOOKUP(Calculations[[#This Row],[Waste 1]],WasteScenario[#All],2,FALSE)*'Stage assumptions'!$C$225*WasteTransportMethod[Emissions Factor
kgCO2e/kg.km]*Calculations[[#This Row],[Total Kg]],0)</f>
        <v>0</v>
      </c>
      <c r="U1377" s="322" cm="1">
        <f t="array" ref="U1377">IFERROR(VLOOKUP(Calculations[[#This Row],[Waste 1]],WasteScenario[#All],3,FALSE)*'Stage assumptions'!$C$224*WasteTransportMethod[Emissions Factor
kgCO2e/kg.km]*Calculations[[#This Row],[Total Kg]],0)</f>
        <v>0</v>
      </c>
      <c r="V1377" s="322" cm="1">
        <f t="array" ref="V1377">IFERROR(VLOOKUP(Calculations[[#This Row],[Waste 1]],WasteScenario[#All],4,FALSE)*'Stage assumptions'!$C$223*WasteTransportMethod[Emissions Factor
kgCO2e/kg.km]*Calculations[[#This Row],[Total Kg]],0)</f>
        <v>0</v>
      </c>
      <c r="W1377" s="322" cm="1">
        <f t="array" ref="W1377">IFERROR(VLOOKUP(Calculations[[#This Row],[Waste 1]],WasteScenario[#All],5,FALSE)*'Stage assumptions'!$C$226*WasteTransportMethod[Emissions Factor
kgCO2e/kg.km]*Calculations[[#This Row],[Total Kg]],0)</f>
        <v>0</v>
      </c>
      <c r="X1377" s="322">
        <f>SUM(Calculations[[#This Row],[C2 Recycle]:[C2 Reuse]])</f>
        <v>0</v>
      </c>
      <c r="Y1377" t="str">
        <f>IFERROR(VLOOKUP(Calculations[[#This Row],[Material (choose from dropdown]],MaterialData[#All],5,FALSE),"")</f>
        <v/>
      </c>
      <c r="Z1377" s="322">
        <f>IFERROR(((VLOOKUP(Calculations[[#This Row],[Waste type 2]],WasteDisposalEmissions[#All],2,FALSE))*Calculations[[#This Row],[Total Kg]])*VLOOKUP(Calculations[[#This Row],[Waste 1]],WasteScenario[#All],2,FALSE),0)</f>
        <v>0</v>
      </c>
      <c r="AA1377" s="322">
        <f>IFERROR((VLOOKUP(Calculations[[#This Row],[Waste type 2]],WasteDisposalEmissions[#All],3,FALSE))*Calculations[[#This Row],[Total Kg]]*VLOOKUP(Calculations[[#This Row],[Waste 1]],WasteScenario[#All],3,FALSE),0)</f>
        <v>0</v>
      </c>
      <c r="AB1377" s="322">
        <f>SUM(Calculations[[#This Row],[C3 recyc]:[C3 incin]])</f>
        <v>0</v>
      </c>
      <c r="AC1377" s="334">
        <f>IFERROR((VLOOKUP(Calculations[[#This Row],[Waste type 2]],WasteLandfillEmissions[#All],2,FALSE))*Calculations[[#This Row],[Total Kg]]*VLOOKUP(Calculations[[#This Row],[Waste 1]],WasteScenario[#All],4,FALSE),0)</f>
        <v>0</v>
      </c>
      <c r="AD1377" s="322">
        <f>IFERROR((VLOOKUP(Calculations[[#This Row],[Waste type 2]],WasteLandfillEmissions[#All],3,FALSE))*Calculations[[#This Row],[Total Kg]]*VLOOKUP(Calculations[[#This Row],[Waste 1]],WasteScenario[#All],4,FALSE),0)</f>
        <v>0</v>
      </c>
      <c r="AE1377" s="322">
        <f>SUM(Calculations[[#This Row],[C4 landfill]:[C4 re-use]])</f>
        <v>0</v>
      </c>
      <c r="AF1377" s="322">
        <f>IFERROR(VLOOKUP(Calculations[[#This Row],[Material (choose from dropdown]],MaterialData[#All],8,FALSE),0)</f>
        <v>0</v>
      </c>
      <c r="AG1377" s="322">
        <f>IFERROR(Calculations[[#This Row],[Total Kg]]*Calculations[[#This Row],[Seq factor]],0)</f>
        <v>0</v>
      </c>
      <c r="AI1377" s="322">
        <f>Calculations[[#This Row],[A1-3]]+Calculations[[#This Row],[A4]]+Calculations[[#This Row],[A5]]+Calculations[[#This Row],[B4]]+Calculations[[#This Row],[C2 total]]+Calculations[[#This Row],[C3 total]]+Calculations[[#This Row],[C4 total]]</f>
        <v>0</v>
      </c>
      <c r="AJ1377" s="2">
        <f>IFERROR(VLOOKUP(Calculations[[#This Row],[Material (choose from dropdown]],MaterialData[[#Headers],[#Data]],9,FALSE),0)</f>
        <v>0</v>
      </c>
      <c r="AK1377" s="4">
        <f>IFERROR(VLOOKUP(Calculations[[#This Row],[Material (choose from dropdown]],MaterialData[[#Headers],[#Data]],10,FALSE),0)</f>
        <v>0</v>
      </c>
      <c r="AL1377" s="322">
        <f>IFERROR(Calculations[[#This Row],[Data Quality Score]]*Calculations[[#This Row],[Total Kg]],0)</f>
        <v>0</v>
      </c>
    </row>
    <row r="1378" spans="1:38" x14ac:dyDescent="0.3">
      <c r="A1378" s="6">
        <f>IFERROR(MaterialsBoQ[[#This Row],[Scope Element]],0)</f>
        <v>0</v>
      </c>
      <c r="B1378" t="str">
        <f>IFERROR(MaterialsBoQ[[#This Row],[Material ]],"")</f>
        <v/>
      </c>
      <c r="C1378" t="str">
        <f>IFERROR(MaterialsBoQ[[#This Row],[Unit]],"")</f>
        <v/>
      </c>
      <c r="D1378" s="322">
        <f>IFERROR(MaterialsBoQ[[#This Row],[Number]],0)</f>
        <v>0</v>
      </c>
      <c r="E1378" s="322">
        <f>IFERROR(MaterialsBoQ[[#This Row],[Kg per unit]],0)</f>
        <v>0</v>
      </c>
      <c r="F1378" s="322">
        <f>IFERROR(Calculations[[#This Row],[Number]]*Calculations[[#This Row],[Conversion factor]],0)</f>
        <v>0</v>
      </c>
      <c r="G1378" s="322">
        <f>IFERROR(VLOOKUP(Calculations[[#This Row],[Material (choose from dropdown]],MaterialData[#All],7,FALSE),0)</f>
        <v>0</v>
      </c>
      <c r="H1378" s="322">
        <f>Calculations[[#This Row],[Total Kg]]*Calculations[[#This Row],[Carbon Factor]]</f>
        <v>0</v>
      </c>
      <c r="I1378" t="str">
        <f>IFERROR(VLOOKUP(Calculations[[#This Row],[Material (choose from dropdown]],MaterialData[#All],2,FALSE),"")</f>
        <v/>
      </c>
      <c r="J1378" s="322">
        <f>IFERROR(((VLOOKUP(Calculations[[#This Row],[TransportSource]],TransportDistance[],2,FALSE)*'Stage assumptions'!$C$11)+VLOOKUP(Calculations[[#This Row],[TransportSource]],TransportDistance[],3,FALSE)*'Stage assumptions'!$C$12)*Calculations[[#This Row],[Total Kg]],0)</f>
        <v>0</v>
      </c>
      <c r="K1378">
        <f>IFERROR(VLOOKUP(Calculations[[#This Row],[Material (choose from dropdown]], MaterialData[#All],3, FALSE),0)</f>
        <v>0</v>
      </c>
      <c r="L1378" s="322">
        <f>IFERROR(VLOOKUP(Calculations[[#This Row],[A5type]],A5WastageRate[#All],2,FALSE)*Calculations[[#This Row],[A1-3]],0)</f>
        <v>0</v>
      </c>
      <c r="N1378">
        <f>IFERROR(ROUNDUP(50/VLOOKUP(Calculations[[#This Row],[Scope Element]],B4referenceServiceLife[[Tier 2 element]:[Default Service Life]],2, FALSE)-1,0),0)</f>
        <v>0</v>
      </c>
      <c r="O1378" s="322">
        <f>IFERROR((Calculations[[#This Row],[A1-3]]+Calculations[[#This Row],[A4]]+Calculations[[#This Row],[A5]]+Calculations[[#This Row],[C2 total]]+Calculations[[#This Row],[C3 total]]+Calculations[[#This Row],[C4 total]])*Calculations[[#This Row],[Replacements]],0)</f>
        <v>0</v>
      </c>
      <c r="S1378" t="str">
        <f>IFERROR(VLOOKUP(Calculations[[#This Row],[Material (choose from dropdown]],MaterialData[#All],4,FALSE),"")</f>
        <v/>
      </c>
      <c r="T1378" s="322" cm="1">
        <f t="array" ref="T1378">IFERROR(VLOOKUP(Calculations[[#This Row],[Waste 1]],WasteScenario[#All],2,FALSE)*'Stage assumptions'!$C$225*WasteTransportMethod[Emissions Factor
kgCO2e/kg.km]*Calculations[[#This Row],[Total Kg]],0)</f>
        <v>0</v>
      </c>
      <c r="U1378" s="322" cm="1">
        <f t="array" ref="U1378">IFERROR(VLOOKUP(Calculations[[#This Row],[Waste 1]],WasteScenario[#All],3,FALSE)*'Stage assumptions'!$C$224*WasteTransportMethod[Emissions Factor
kgCO2e/kg.km]*Calculations[[#This Row],[Total Kg]],0)</f>
        <v>0</v>
      </c>
      <c r="V1378" s="322" cm="1">
        <f t="array" ref="V1378">IFERROR(VLOOKUP(Calculations[[#This Row],[Waste 1]],WasteScenario[#All],4,FALSE)*'Stage assumptions'!$C$223*WasteTransportMethod[Emissions Factor
kgCO2e/kg.km]*Calculations[[#This Row],[Total Kg]],0)</f>
        <v>0</v>
      </c>
      <c r="W1378" s="322" cm="1">
        <f t="array" ref="W1378">IFERROR(VLOOKUP(Calculations[[#This Row],[Waste 1]],WasteScenario[#All],5,FALSE)*'Stage assumptions'!$C$226*WasteTransportMethod[Emissions Factor
kgCO2e/kg.km]*Calculations[[#This Row],[Total Kg]],0)</f>
        <v>0</v>
      </c>
      <c r="X1378" s="322">
        <f>SUM(Calculations[[#This Row],[C2 Recycle]:[C2 Reuse]])</f>
        <v>0</v>
      </c>
      <c r="Y1378" t="str">
        <f>IFERROR(VLOOKUP(Calculations[[#This Row],[Material (choose from dropdown]],MaterialData[#All],5,FALSE),"")</f>
        <v/>
      </c>
      <c r="Z1378" s="322">
        <f>IFERROR(((VLOOKUP(Calculations[[#This Row],[Waste type 2]],WasteDisposalEmissions[#All],2,FALSE))*Calculations[[#This Row],[Total Kg]])*VLOOKUP(Calculations[[#This Row],[Waste 1]],WasteScenario[#All],2,FALSE),0)</f>
        <v>0</v>
      </c>
      <c r="AA1378" s="322">
        <f>IFERROR((VLOOKUP(Calculations[[#This Row],[Waste type 2]],WasteDisposalEmissions[#All],3,FALSE))*Calculations[[#This Row],[Total Kg]]*VLOOKUP(Calculations[[#This Row],[Waste 1]],WasteScenario[#All],3,FALSE),0)</f>
        <v>0</v>
      </c>
      <c r="AB1378" s="322">
        <f>SUM(Calculations[[#This Row],[C3 recyc]:[C3 incin]])</f>
        <v>0</v>
      </c>
      <c r="AC1378" s="334">
        <f>IFERROR((VLOOKUP(Calculations[[#This Row],[Waste type 2]],WasteLandfillEmissions[#All],2,FALSE))*Calculations[[#This Row],[Total Kg]]*VLOOKUP(Calculations[[#This Row],[Waste 1]],WasteScenario[#All],4,FALSE),0)</f>
        <v>0</v>
      </c>
      <c r="AD1378" s="322">
        <f>IFERROR((VLOOKUP(Calculations[[#This Row],[Waste type 2]],WasteLandfillEmissions[#All],3,FALSE))*Calculations[[#This Row],[Total Kg]]*VLOOKUP(Calculations[[#This Row],[Waste 1]],WasteScenario[#All],4,FALSE),0)</f>
        <v>0</v>
      </c>
      <c r="AE1378" s="322">
        <f>SUM(Calculations[[#This Row],[C4 landfill]:[C4 re-use]])</f>
        <v>0</v>
      </c>
      <c r="AF1378" s="322">
        <f>IFERROR(VLOOKUP(Calculations[[#This Row],[Material (choose from dropdown]],MaterialData[#All],8,FALSE),0)</f>
        <v>0</v>
      </c>
      <c r="AG1378" s="322">
        <f>IFERROR(Calculations[[#This Row],[Total Kg]]*Calculations[[#This Row],[Seq factor]],0)</f>
        <v>0</v>
      </c>
      <c r="AI1378" s="322">
        <f>Calculations[[#This Row],[A1-3]]+Calculations[[#This Row],[A4]]+Calculations[[#This Row],[A5]]+Calculations[[#This Row],[B4]]+Calculations[[#This Row],[C2 total]]+Calculations[[#This Row],[C3 total]]+Calculations[[#This Row],[C4 total]]</f>
        <v>0</v>
      </c>
      <c r="AJ1378" s="2">
        <f>IFERROR(VLOOKUP(Calculations[[#This Row],[Material (choose from dropdown]],MaterialData[[#Headers],[#Data]],9,FALSE),0)</f>
        <v>0</v>
      </c>
      <c r="AK1378" s="4">
        <f>IFERROR(VLOOKUP(Calculations[[#This Row],[Material (choose from dropdown]],MaterialData[[#Headers],[#Data]],10,FALSE),0)</f>
        <v>0</v>
      </c>
      <c r="AL1378" s="322">
        <f>IFERROR(Calculations[[#This Row],[Data Quality Score]]*Calculations[[#This Row],[Total Kg]],0)</f>
        <v>0</v>
      </c>
    </row>
    <row r="1379" spans="1:38" x14ac:dyDescent="0.3">
      <c r="A1379" s="6">
        <f>IFERROR(MaterialsBoQ[[#This Row],[Scope Element]],0)</f>
        <v>0</v>
      </c>
      <c r="B1379" t="str">
        <f>IFERROR(MaterialsBoQ[[#This Row],[Material ]],"")</f>
        <v/>
      </c>
      <c r="C1379" t="str">
        <f>IFERROR(MaterialsBoQ[[#This Row],[Unit]],"")</f>
        <v/>
      </c>
      <c r="D1379" s="322">
        <f>IFERROR(MaterialsBoQ[[#This Row],[Number]],0)</f>
        <v>0</v>
      </c>
      <c r="E1379" s="322">
        <f>IFERROR(MaterialsBoQ[[#This Row],[Kg per unit]],0)</f>
        <v>0</v>
      </c>
      <c r="F1379" s="322">
        <f>IFERROR(Calculations[[#This Row],[Number]]*Calculations[[#This Row],[Conversion factor]],0)</f>
        <v>0</v>
      </c>
      <c r="G1379" s="322">
        <f>IFERROR(VLOOKUP(Calculations[[#This Row],[Material (choose from dropdown]],MaterialData[#All],7,FALSE),0)</f>
        <v>0</v>
      </c>
      <c r="H1379" s="322">
        <f>Calculations[[#This Row],[Total Kg]]*Calculations[[#This Row],[Carbon Factor]]</f>
        <v>0</v>
      </c>
      <c r="I1379" t="str">
        <f>IFERROR(VLOOKUP(Calculations[[#This Row],[Material (choose from dropdown]],MaterialData[#All],2,FALSE),"")</f>
        <v/>
      </c>
      <c r="J1379" s="322">
        <f>IFERROR(((VLOOKUP(Calculations[[#This Row],[TransportSource]],TransportDistance[],2,FALSE)*'Stage assumptions'!$C$11)+VLOOKUP(Calculations[[#This Row],[TransportSource]],TransportDistance[],3,FALSE)*'Stage assumptions'!$C$12)*Calculations[[#This Row],[Total Kg]],0)</f>
        <v>0</v>
      </c>
      <c r="K1379">
        <f>IFERROR(VLOOKUP(Calculations[[#This Row],[Material (choose from dropdown]], MaterialData[#All],3, FALSE),0)</f>
        <v>0</v>
      </c>
      <c r="L1379" s="322">
        <f>IFERROR(VLOOKUP(Calculations[[#This Row],[A5type]],A5WastageRate[#All],2,FALSE)*Calculations[[#This Row],[A1-3]],0)</f>
        <v>0</v>
      </c>
      <c r="N1379">
        <f>IFERROR(ROUNDUP(50/VLOOKUP(Calculations[[#This Row],[Scope Element]],B4referenceServiceLife[[Tier 2 element]:[Default Service Life]],2, FALSE)-1,0),0)</f>
        <v>0</v>
      </c>
      <c r="O1379" s="322">
        <f>IFERROR((Calculations[[#This Row],[A1-3]]+Calculations[[#This Row],[A4]]+Calculations[[#This Row],[A5]]+Calculations[[#This Row],[C2 total]]+Calculations[[#This Row],[C3 total]]+Calculations[[#This Row],[C4 total]])*Calculations[[#This Row],[Replacements]],0)</f>
        <v>0</v>
      </c>
      <c r="S1379" t="str">
        <f>IFERROR(VLOOKUP(Calculations[[#This Row],[Material (choose from dropdown]],MaterialData[#All],4,FALSE),"")</f>
        <v/>
      </c>
      <c r="T1379" s="322" cm="1">
        <f t="array" ref="T1379">IFERROR(VLOOKUP(Calculations[[#This Row],[Waste 1]],WasteScenario[#All],2,FALSE)*'Stage assumptions'!$C$225*WasteTransportMethod[Emissions Factor
kgCO2e/kg.km]*Calculations[[#This Row],[Total Kg]],0)</f>
        <v>0</v>
      </c>
      <c r="U1379" s="322" cm="1">
        <f t="array" ref="U1379">IFERROR(VLOOKUP(Calculations[[#This Row],[Waste 1]],WasteScenario[#All],3,FALSE)*'Stage assumptions'!$C$224*WasteTransportMethod[Emissions Factor
kgCO2e/kg.km]*Calculations[[#This Row],[Total Kg]],0)</f>
        <v>0</v>
      </c>
      <c r="V1379" s="322" cm="1">
        <f t="array" ref="V1379">IFERROR(VLOOKUP(Calculations[[#This Row],[Waste 1]],WasteScenario[#All],4,FALSE)*'Stage assumptions'!$C$223*WasteTransportMethod[Emissions Factor
kgCO2e/kg.km]*Calculations[[#This Row],[Total Kg]],0)</f>
        <v>0</v>
      </c>
      <c r="W1379" s="322" cm="1">
        <f t="array" ref="W1379">IFERROR(VLOOKUP(Calculations[[#This Row],[Waste 1]],WasteScenario[#All],5,FALSE)*'Stage assumptions'!$C$226*WasteTransportMethod[Emissions Factor
kgCO2e/kg.km]*Calculations[[#This Row],[Total Kg]],0)</f>
        <v>0</v>
      </c>
      <c r="X1379" s="322">
        <f>SUM(Calculations[[#This Row],[C2 Recycle]:[C2 Reuse]])</f>
        <v>0</v>
      </c>
      <c r="Y1379" t="str">
        <f>IFERROR(VLOOKUP(Calculations[[#This Row],[Material (choose from dropdown]],MaterialData[#All],5,FALSE),"")</f>
        <v/>
      </c>
      <c r="Z1379" s="322">
        <f>IFERROR(((VLOOKUP(Calculations[[#This Row],[Waste type 2]],WasteDisposalEmissions[#All],2,FALSE))*Calculations[[#This Row],[Total Kg]])*VLOOKUP(Calculations[[#This Row],[Waste 1]],WasteScenario[#All],2,FALSE),0)</f>
        <v>0</v>
      </c>
      <c r="AA1379" s="322">
        <f>IFERROR((VLOOKUP(Calculations[[#This Row],[Waste type 2]],WasteDisposalEmissions[#All],3,FALSE))*Calculations[[#This Row],[Total Kg]]*VLOOKUP(Calculations[[#This Row],[Waste 1]],WasteScenario[#All],3,FALSE),0)</f>
        <v>0</v>
      </c>
      <c r="AB1379" s="322">
        <f>SUM(Calculations[[#This Row],[C3 recyc]:[C3 incin]])</f>
        <v>0</v>
      </c>
      <c r="AC1379" s="334">
        <f>IFERROR((VLOOKUP(Calculations[[#This Row],[Waste type 2]],WasteLandfillEmissions[#All],2,FALSE))*Calculations[[#This Row],[Total Kg]]*VLOOKUP(Calculations[[#This Row],[Waste 1]],WasteScenario[#All],4,FALSE),0)</f>
        <v>0</v>
      </c>
      <c r="AD1379" s="322">
        <f>IFERROR((VLOOKUP(Calculations[[#This Row],[Waste type 2]],WasteLandfillEmissions[#All],3,FALSE))*Calculations[[#This Row],[Total Kg]]*VLOOKUP(Calculations[[#This Row],[Waste 1]],WasteScenario[#All],4,FALSE),0)</f>
        <v>0</v>
      </c>
      <c r="AE1379" s="322">
        <f>SUM(Calculations[[#This Row],[C4 landfill]:[C4 re-use]])</f>
        <v>0</v>
      </c>
      <c r="AF1379" s="322">
        <f>IFERROR(VLOOKUP(Calculations[[#This Row],[Material (choose from dropdown]],MaterialData[#All],8,FALSE),0)</f>
        <v>0</v>
      </c>
      <c r="AG1379" s="322">
        <f>IFERROR(Calculations[[#This Row],[Total Kg]]*Calculations[[#This Row],[Seq factor]],0)</f>
        <v>0</v>
      </c>
      <c r="AI1379" s="322">
        <f>Calculations[[#This Row],[A1-3]]+Calculations[[#This Row],[A4]]+Calculations[[#This Row],[A5]]+Calculations[[#This Row],[B4]]+Calculations[[#This Row],[C2 total]]+Calculations[[#This Row],[C3 total]]+Calculations[[#This Row],[C4 total]]</f>
        <v>0</v>
      </c>
      <c r="AJ1379" s="2">
        <f>IFERROR(VLOOKUP(Calculations[[#This Row],[Material (choose from dropdown]],MaterialData[[#Headers],[#Data]],9,FALSE),0)</f>
        <v>0</v>
      </c>
      <c r="AK1379" s="4">
        <f>IFERROR(VLOOKUP(Calculations[[#This Row],[Material (choose from dropdown]],MaterialData[[#Headers],[#Data]],10,FALSE),0)</f>
        <v>0</v>
      </c>
      <c r="AL1379" s="322">
        <f>IFERROR(Calculations[[#This Row],[Data Quality Score]]*Calculations[[#This Row],[Total Kg]],0)</f>
        <v>0</v>
      </c>
    </row>
    <row r="1380" spans="1:38" x14ac:dyDescent="0.3">
      <c r="A1380" s="6">
        <f>IFERROR(MaterialsBoQ[[#This Row],[Scope Element]],0)</f>
        <v>0</v>
      </c>
      <c r="B1380" t="str">
        <f>IFERROR(MaterialsBoQ[[#This Row],[Material ]],"")</f>
        <v/>
      </c>
      <c r="C1380" t="str">
        <f>IFERROR(MaterialsBoQ[[#This Row],[Unit]],"")</f>
        <v/>
      </c>
      <c r="D1380" s="322">
        <f>IFERROR(MaterialsBoQ[[#This Row],[Number]],0)</f>
        <v>0</v>
      </c>
      <c r="E1380" s="322">
        <f>IFERROR(MaterialsBoQ[[#This Row],[Kg per unit]],0)</f>
        <v>0</v>
      </c>
      <c r="F1380" s="322">
        <f>IFERROR(Calculations[[#This Row],[Number]]*Calculations[[#This Row],[Conversion factor]],0)</f>
        <v>0</v>
      </c>
      <c r="G1380" s="322">
        <f>IFERROR(VLOOKUP(Calculations[[#This Row],[Material (choose from dropdown]],MaterialData[#All],7,FALSE),0)</f>
        <v>0</v>
      </c>
      <c r="H1380" s="322">
        <f>Calculations[[#This Row],[Total Kg]]*Calculations[[#This Row],[Carbon Factor]]</f>
        <v>0</v>
      </c>
      <c r="I1380" t="str">
        <f>IFERROR(VLOOKUP(Calculations[[#This Row],[Material (choose from dropdown]],MaterialData[#All],2,FALSE),"")</f>
        <v/>
      </c>
      <c r="J1380" s="322">
        <f>IFERROR(((VLOOKUP(Calculations[[#This Row],[TransportSource]],TransportDistance[],2,FALSE)*'Stage assumptions'!$C$11)+VLOOKUP(Calculations[[#This Row],[TransportSource]],TransportDistance[],3,FALSE)*'Stage assumptions'!$C$12)*Calculations[[#This Row],[Total Kg]],0)</f>
        <v>0</v>
      </c>
      <c r="K1380">
        <f>IFERROR(VLOOKUP(Calculations[[#This Row],[Material (choose from dropdown]], MaterialData[#All],3, FALSE),0)</f>
        <v>0</v>
      </c>
      <c r="L1380" s="322">
        <f>IFERROR(VLOOKUP(Calculations[[#This Row],[A5type]],A5WastageRate[#All],2,FALSE)*Calculations[[#This Row],[A1-3]],0)</f>
        <v>0</v>
      </c>
      <c r="N1380">
        <f>IFERROR(ROUNDUP(50/VLOOKUP(Calculations[[#This Row],[Scope Element]],B4referenceServiceLife[[Tier 2 element]:[Default Service Life]],2, FALSE)-1,0),0)</f>
        <v>0</v>
      </c>
      <c r="O1380" s="322">
        <f>IFERROR((Calculations[[#This Row],[A1-3]]+Calculations[[#This Row],[A4]]+Calculations[[#This Row],[A5]]+Calculations[[#This Row],[C2 total]]+Calculations[[#This Row],[C3 total]]+Calculations[[#This Row],[C4 total]])*Calculations[[#This Row],[Replacements]],0)</f>
        <v>0</v>
      </c>
      <c r="S1380" t="str">
        <f>IFERROR(VLOOKUP(Calculations[[#This Row],[Material (choose from dropdown]],MaterialData[#All],4,FALSE),"")</f>
        <v/>
      </c>
      <c r="T1380" s="322" cm="1">
        <f t="array" ref="T1380">IFERROR(VLOOKUP(Calculations[[#This Row],[Waste 1]],WasteScenario[#All],2,FALSE)*'Stage assumptions'!$C$225*WasteTransportMethod[Emissions Factor
kgCO2e/kg.km]*Calculations[[#This Row],[Total Kg]],0)</f>
        <v>0</v>
      </c>
      <c r="U1380" s="322" cm="1">
        <f t="array" ref="U1380">IFERROR(VLOOKUP(Calculations[[#This Row],[Waste 1]],WasteScenario[#All],3,FALSE)*'Stage assumptions'!$C$224*WasteTransportMethod[Emissions Factor
kgCO2e/kg.km]*Calculations[[#This Row],[Total Kg]],0)</f>
        <v>0</v>
      </c>
      <c r="V1380" s="322" cm="1">
        <f t="array" ref="V1380">IFERROR(VLOOKUP(Calculations[[#This Row],[Waste 1]],WasteScenario[#All],4,FALSE)*'Stage assumptions'!$C$223*WasteTransportMethod[Emissions Factor
kgCO2e/kg.km]*Calculations[[#This Row],[Total Kg]],0)</f>
        <v>0</v>
      </c>
      <c r="W1380" s="322" cm="1">
        <f t="array" ref="W1380">IFERROR(VLOOKUP(Calculations[[#This Row],[Waste 1]],WasteScenario[#All],5,FALSE)*'Stage assumptions'!$C$226*WasteTransportMethod[Emissions Factor
kgCO2e/kg.km]*Calculations[[#This Row],[Total Kg]],0)</f>
        <v>0</v>
      </c>
      <c r="X1380" s="322">
        <f>SUM(Calculations[[#This Row],[C2 Recycle]:[C2 Reuse]])</f>
        <v>0</v>
      </c>
      <c r="Y1380" t="str">
        <f>IFERROR(VLOOKUP(Calculations[[#This Row],[Material (choose from dropdown]],MaterialData[#All],5,FALSE),"")</f>
        <v/>
      </c>
      <c r="Z1380" s="322">
        <f>IFERROR(((VLOOKUP(Calculations[[#This Row],[Waste type 2]],WasteDisposalEmissions[#All],2,FALSE))*Calculations[[#This Row],[Total Kg]])*VLOOKUP(Calculations[[#This Row],[Waste 1]],WasteScenario[#All],2,FALSE),0)</f>
        <v>0</v>
      </c>
      <c r="AA1380" s="322">
        <f>IFERROR((VLOOKUP(Calculations[[#This Row],[Waste type 2]],WasteDisposalEmissions[#All],3,FALSE))*Calculations[[#This Row],[Total Kg]]*VLOOKUP(Calculations[[#This Row],[Waste 1]],WasteScenario[#All],3,FALSE),0)</f>
        <v>0</v>
      </c>
      <c r="AB1380" s="322">
        <f>SUM(Calculations[[#This Row],[C3 recyc]:[C3 incin]])</f>
        <v>0</v>
      </c>
      <c r="AC1380" s="334">
        <f>IFERROR((VLOOKUP(Calculations[[#This Row],[Waste type 2]],WasteLandfillEmissions[#All],2,FALSE))*Calculations[[#This Row],[Total Kg]]*VLOOKUP(Calculations[[#This Row],[Waste 1]],WasteScenario[#All],4,FALSE),0)</f>
        <v>0</v>
      </c>
      <c r="AD1380" s="322">
        <f>IFERROR((VLOOKUP(Calculations[[#This Row],[Waste type 2]],WasteLandfillEmissions[#All],3,FALSE))*Calculations[[#This Row],[Total Kg]]*VLOOKUP(Calculations[[#This Row],[Waste 1]],WasteScenario[#All],4,FALSE),0)</f>
        <v>0</v>
      </c>
      <c r="AE1380" s="322">
        <f>SUM(Calculations[[#This Row],[C4 landfill]:[C4 re-use]])</f>
        <v>0</v>
      </c>
      <c r="AF1380" s="322">
        <f>IFERROR(VLOOKUP(Calculations[[#This Row],[Material (choose from dropdown]],MaterialData[#All],8,FALSE),0)</f>
        <v>0</v>
      </c>
      <c r="AG1380" s="322">
        <f>IFERROR(Calculations[[#This Row],[Total Kg]]*Calculations[[#This Row],[Seq factor]],0)</f>
        <v>0</v>
      </c>
      <c r="AI1380" s="322">
        <f>Calculations[[#This Row],[A1-3]]+Calculations[[#This Row],[A4]]+Calculations[[#This Row],[A5]]+Calculations[[#This Row],[B4]]+Calculations[[#This Row],[C2 total]]+Calculations[[#This Row],[C3 total]]+Calculations[[#This Row],[C4 total]]</f>
        <v>0</v>
      </c>
      <c r="AJ1380" s="2">
        <f>IFERROR(VLOOKUP(Calculations[[#This Row],[Material (choose from dropdown]],MaterialData[[#Headers],[#Data]],9,FALSE),0)</f>
        <v>0</v>
      </c>
      <c r="AK1380" s="4">
        <f>IFERROR(VLOOKUP(Calculations[[#This Row],[Material (choose from dropdown]],MaterialData[[#Headers],[#Data]],10,FALSE),0)</f>
        <v>0</v>
      </c>
      <c r="AL1380" s="322">
        <f>IFERROR(Calculations[[#This Row],[Data Quality Score]]*Calculations[[#This Row],[Total Kg]],0)</f>
        <v>0</v>
      </c>
    </row>
    <row r="1381" spans="1:38" x14ac:dyDescent="0.3">
      <c r="A1381" s="6">
        <f>IFERROR(MaterialsBoQ[[#This Row],[Scope Element]],0)</f>
        <v>0</v>
      </c>
      <c r="B1381" t="str">
        <f>IFERROR(MaterialsBoQ[[#This Row],[Material ]],"")</f>
        <v/>
      </c>
      <c r="C1381" t="str">
        <f>IFERROR(MaterialsBoQ[[#This Row],[Unit]],"")</f>
        <v/>
      </c>
      <c r="D1381" s="322">
        <f>IFERROR(MaterialsBoQ[[#This Row],[Number]],0)</f>
        <v>0</v>
      </c>
      <c r="E1381" s="322">
        <f>IFERROR(MaterialsBoQ[[#This Row],[Kg per unit]],0)</f>
        <v>0</v>
      </c>
      <c r="F1381" s="322">
        <f>IFERROR(Calculations[[#This Row],[Number]]*Calculations[[#This Row],[Conversion factor]],0)</f>
        <v>0</v>
      </c>
      <c r="G1381" s="322">
        <f>IFERROR(VLOOKUP(Calculations[[#This Row],[Material (choose from dropdown]],MaterialData[#All],7,FALSE),0)</f>
        <v>0</v>
      </c>
      <c r="H1381" s="322">
        <f>Calculations[[#This Row],[Total Kg]]*Calculations[[#This Row],[Carbon Factor]]</f>
        <v>0</v>
      </c>
      <c r="I1381" t="str">
        <f>IFERROR(VLOOKUP(Calculations[[#This Row],[Material (choose from dropdown]],MaterialData[#All],2,FALSE),"")</f>
        <v/>
      </c>
      <c r="J1381" s="322">
        <f>IFERROR(((VLOOKUP(Calculations[[#This Row],[TransportSource]],TransportDistance[],2,FALSE)*'Stage assumptions'!$C$11)+VLOOKUP(Calculations[[#This Row],[TransportSource]],TransportDistance[],3,FALSE)*'Stage assumptions'!$C$12)*Calculations[[#This Row],[Total Kg]],0)</f>
        <v>0</v>
      </c>
      <c r="K1381">
        <f>IFERROR(VLOOKUP(Calculations[[#This Row],[Material (choose from dropdown]], MaterialData[#All],3, FALSE),0)</f>
        <v>0</v>
      </c>
      <c r="L1381" s="322">
        <f>IFERROR(VLOOKUP(Calculations[[#This Row],[A5type]],A5WastageRate[#All],2,FALSE)*Calculations[[#This Row],[A1-3]],0)</f>
        <v>0</v>
      </c>
      <c r="N1381">
        <f>IFERROR(ROUNDUP(50/VLOOKUP(Calculations[[#This Row],[Scope Element]],B4referenceServiceLife[[Tier 2 element]:[Default Service Life]],2, FALSE)-1,0),0)</f>
        <v>0</v>
      </c>
      <c r="O1381" s="322">
        <f>IFERROR((Calculations[[#This Row],[A1-3]]+Calculations[[#This Row],[A4]]+Calculations[[#This Row],[A5]]+Calculations[[#This Row],[C2 total]]+Calculations[[#This Row],[C3 total]]+Calculations[[#This Row],[C4 total]])*Calculations[[#This Row],[Replacements]],0)</f>
        <v>0</v>
      </c>
      <c r="S1381" t="str">
        <f>IFERROR(VLOOKUP(Calculations[[#This Row],[Material (choose from dropdown]],MaterialData[#All],4,FALSE),"")</f>
        <v/>
      </c>
      <c r="T1381" s="322" cm="1">
        <f t="array" ref="T1381">IFERROR(VLOOKUP(Calculations[[#This Row],[Waste 1]],WasteScenario[#All],2,FALSE)*'Stage assumptions'!$C$225*WasteTransportMethod[Emissions Factor
kgCO2e/kg.km]*Calculations[[#This Row],[Total Kg]],0)</f>
        <v>0</v>
      </c>
      <c r="U1381" s="322" cm="1">
        <f t="array" ref="U1381">IFERROR(VLOOKUP(Calculations[[#This Row],[Waste 1]],WasteScenario[#All],3,FALSE)*'Stage assumptions'!$C$224*WasteTransportMethod[Emissions Factor
kgCO2e/kg.km]*Calculations[[#This Row],[Total Kg]],0)</f>
        <v>0</v>
      </c>
      <c r="V1381" s="322" cm="1">
        <f t="array" ref="V1381">IFERROR(VLOOKUP(Calculations[[#This Row],[Waste 1]],WasteScenario[#All],4,FALSE)*'Stage assumptions'!$C$223*WasteTransportMethod[Emissions Factor
kgCO2e/kg.km]*Calculations[[#This Row],[Total Kg]],0)</f>
        <v>0</v>
      </c>
      <c r="W1381" s="322" cm="1">
        <f t="array" ref="W1381">IFERROR(VLOOKUP(Calculations[[#This Row],[Waste 1]],WasteScenario[#All],5,FALSE)*'Stage assumptions'!$C$226*WasteTransportMethod[Emissions Factor
kgCO2e/kg.km]*Calculations[[#This Row],[Total Kg]],0)</f>
        <v>0</v>
      </c>
      <c r="X1381" s="322">
        <f>SUM(Calculations[[#This Row],[C2 Recycle]:[C2 Reuse]])</f>
        <v>0</v>
      </c>
      <c r="Y1381" t="str">
        <f>IFERROR(VLOOKUP(Calculations[[#This Row],[Material (choose from dropdown]],MaterialData[#All],5,FALSE),"")</f>
        <v/>
      </c>
      <c r="Z1381" s="322">
        <f>IFERROR(((VLOOKUP(Calculations[[#This Row],[Waste type 2]],WasteDisposalEmissions[#All],2,FALSE))*Calculations[[#This Row],[Total Kg]])*VLOOKUP(Calculations[[#This Row],[Waste 1]],WasteScenario[#All],2,FALSE),0)</f>
        <v>0</v>
      </c>
      <c r="AA1381" s="322">
        <f>IFERROR((VLOOKUP(Calculations[[#This Row],[Waste type 2]],WasteDisposalEmissions[#All],3,FALSE))*Calculations[[#This Row],[Total Kg]]*VLOOKUP(Calculations[[#This Row],[Waste 1]],WasteScenario[#All],3,FALSE),0)</f>
        <v>0</v>
      </c>
      <c r="AB1381" s="322">
        <f>SUM(Calculations[[#This Row],[C3 recyc]:[C3 incin]])</f>
        <v>0</v>
      </c>
      <c r="AC1381" s="334">
        <f>IFERROR((VLOOKUP(Calculations[[#This Row],[Waste type 2]],WasteLandfillEmissions[#All],2,FALSE))*Calculations[[#This Row],[Total Kg]]*VLOOKUP(Calculations[[#This Row],[Waste 1]],WasteScenario[#All],4,FALSE),0)</f>
        <v>0</v>
      </c>
      <c r="AD1381" s="322">
        <f>IFERROR((VLOOKUP(Calculations[[#This Row],[Waste type 2]],WasteLandfillEmissions[#All],3,FALSE))*Calculations[[#This Row],[Total Kg]]*VLOOKUP(Calculations[[#This Row],[Waste 1]],WasteScenario[#All],4,FALSE),0)</f>
        <v>0</v>
      </c>
      <c r="AE1381" s="322">
        <f>SUM(Calculations[[#This Row],[C4 landfill]:[C4 re-use]])</f>
        <v>0</v>
      </c>
      <c r="AF1381" s="322">
        <f>IFERROR(VLOOKUP(Calculations[[#This Row],[Material (choose from dropdown]],MaterialData[#All],8,FALSE),0)</f>
        <v>0</v>
      </c>
      <c r="AG1381" s="322">
        <f>IFERROR(Calculations[[#This Row],[Total Kg]]*Calculations[[#This Row],[Seq factor]],0)</f>
        <v>0</v>
      </c>
      <c r="AI1381" s="322">
        <f>Calculations[[#This Row],[A1-3]]+Calculations[[#This Row],[A4]]+Calculations[[#This Row],[A5]]+Calculations[[#This Row],[B4]]+Calculations[[#This Row],[C2 total]]+Calculations[[#This Row],[C3 total]]+Calculations[[#This Row],[C4 total]]</f>
        <v>0</v>
      </c>
      <c r="AJ1381" s="2">
        <f>IFERROR(VLOOKUP(Calculations[[#This Row],[Material (choose from dropdown]],MaterialData[[#Headers],[#Data]],9,FALSE),0)</f>
        <v>0</v>
      </c>
      <c r="AK1381" s="4">
        <f>IFERROR(VLOOKUP(Calculations[[#This Row],[Material (choose from dropdown]],MaterialData[[#Headers],[#Data]],10,FALSE),0)</f>
        <v>0</v>
      </c>
      <c r="AL1381" s="322">
        <f>IFERROR(Calculations[[#This Row],[Data Quality Score]]*Calculations[[#This Row],[Total Kg]],0)</f>
        <v>0</v>
      </c>
    </row>
    <row r="1382" spans="1:38" x14ac:dyDescent="0.3">
      <c r="A1382" s="6">
        <f>IFERROR(MaterialsBoQ[[#This Row],[Scope Element]],0)</f>
        <v>0</v>
      </c>
      <c r="B1382" t="str">
        <f>IFERROR(MaterialsBoQ[[#This Row],[Material ]],"")</f>
        <v/>
      </c>
      <c r="C1382" t="str">
        <f>IFERROR(MaterialsBoQ[[#This Row],[Unit]],"")</f>
        <v/>
      </c>
      <c r="D1382" s="322">
        <f>IFERROR(MaterialsBoQ[[#This Row],[Number]],0)</f>
        <v>0</v>
      </c>
      <c r="E1382" s="322">
        <f>IFERROR(MaterialsBoQ[[#This Row],[Kg per unit]],0)</f>
        <v>0</v>
      </c>
      <c r="F1382" s="322">
        <f>IFERROR(Calculations[[#This Row],[Number]]*Calculations[[#This Row],[Conversion factor]],0)</f>
        <v>0</v>
      </c>
      <c r="G1382" s="322">
        <f>IFERROR(VLOOKUP(Calculations[[#This Row],[Material (choose from dropdown]],MaterialData[#All],7,FALSE),0)</f>
        <v>0</v>
      </c>
      <c r="H1382" s="322">
        <f>Calculations[[#This Row],[Total Kg]]*Calculations[[#This Row],[Carbon Factor]]</f>
        <v>0</v>
      </c>
      <c r="I1382" t="str">
        <f>IFERROR(VLOOKUP(Calculations[[#This Row],[Material (choose from dropdown]],MaterialData[#All],2,FALSE),"")</f>
        <v/>
      </c>
      <c r="J1382" s="322">
        <f>IFERROR(((VLOOKUP(Calculations[[#This Row],[TransportSource]],TransportDistance[],2,FALSE)*'Stage assumptions'!$C$11)+VLOOKUP(Calculations[[#This Row],[TransportSource]],TransportDistance[],3,FALSE)*'Stage assumptions'!$C$12)*Calculations[[#This Row],[Total Kg]],0)</f>
        <v>0</v>
      </c>
      <c r="K1382">
        <f>IFERROR(VLOOKUP(Calculations[[#This Row],[Material (choose from dropdown]], MaterialData[#All],3, FALSE),0)</f>
        <v>0</v>
      </c>
      <c r="L1382" s="322">
        <f>IFERROR(VLOOKUP(Calculations[[#This Row],[A5type]],A5WastageRate[#All],2,FALSE)*Calculations[[#This Row],[A1-3]],0)</f>
        <v>0</v>
      </c>
      <c r="N1382">
        <f>IFERROR(ROUNDUP(50/VLOOKUP(Calculations[[#This Row],[Scope Element]],B4referenceServiceLife[[Tier 2 element]:[Default Service Life]],2, FALSE)-1,0),0)</f>
        <v>0</v>
      </c>
      <c r="O1382" s="322">
        <f>IFERROR((Calculations[[#This Row],[A1-3]]+Calculations[[#This Row],[A4]]+Calculations[[#This Row],[A5]]+Calculations[[#This Row],[C2 total]]+Calculations[[#This Row],[C3 total]]+Calculations[[#This Row],[C4 total]])*Calculations[[#This Row],[Replacements]],0)</f>
        <v>0</v>
      </c>
      <c r="S1382" t="str">
        <f>IFERROR(VLOOKUP(Calculations[[#This Row],[Material (choose from dropdown]],MaterialData[#All],4,FALSE),"")</f>
        <v/>
      </c>
      <c r="T1382" s="322" cm="1">
        <f t="array" ref="T1382">IFERROR(VLOOKUP(Calculations[[#This Row],[Waste 1]],WasteScenario[#All],2,FALSE)*'Stage assumptions'!$C$225*WasteTransportMethod[Emissions Factor
kgCO2e/kg.km]*Calculations[[#This Row],[Total Kg]],0)</f>
        <v>0</v>
      </c>
      <c r="U1382" s="322" cm="1">
        <f t="array" ref="U1382">IFERROR(VLOOKUP(Calculations[[#This Row],[Waste 1]],WasteScenario[#All],3,FALSE)*'Stage assumptions'!$C$224*WasteTransportMethod[Emissions Factor
kgCO2e/kg.km]*Calculations[[#This Row],[Total Kg]],0)</f>
        <v>0</v>
      </c>
      <c r="V1382" s="322" cm="1">
        <f t="array" ref="V1382">IFERROR(VLOOKUP(Calculations[[#This Row],[Waste 1]],WasteScenario[#All],4,FALSE)*'Stage assumptions'!$C$223*WasteTransportMethod[Emissions Factor
kgCO2e/kg.km]*Calculations[[#This Row],[Total Kg]],0)</f>
        <v>0</v>
      </c>
      <c r="W1382" s="322" cm="1">
        <f t="array" ref="W1382">IFERROR(VLOOKUP(Calculations[[#This Row],[Waste 1]],WasteScenario[#All],5,FALSE)*'Stage assumptions'!$C$226*WasteTransportMethod[Emissions Factor
kgCO2e/kg.km]*Calculations[[#This Row],[Total Kg]],0)</f>
        <v>0</v>
      </c>
      <c r="X1382" s="322">
        <f>SUM(Calculations[[#This Row],[C2 Recycle]:[C2 Reuse]])</f>
        <v>0</v>
      </c>
      <c r="Y1382" t="str">
        <f>IFERROR(VLOOKUP(Calculations[[#This Row],[Material (choose from dropdown]],MaterialData[#All],5,FALSE),"")</f>
        <v/>
      </c>
      <c r="Z1382" s="322">
        <f>IFERROR(((VLOOKUP(Calculations[[#This Row],[Waste type 2]],WasteDisposalEmissions[#All],2,FALSE))*Calculations[[#This Row],[Total Kg]])*VLOOKUP(Calculations[[#This Row],[Waste 1]],WasteScenario[#All],2,FALSE),0)</f>
        <v>0</v>
      </c>
      <c r="AA1382" s="322">
        <f>IFERROR((VLOOKUP(Calculations[[#This Row],[Waste type 2]],WasteDisposalEmissions[#All],3,FALSE))*Calculations[[#This Row],[Total Kg]]*VLOOKUP(Calculations[[#This Row],[Waste 1]],WasteScenario[#All],3,FALSE),0)</f>
        <v>0</v>
      </c>
      <c r="AB1382" s="322">
        <f>SUM(Calculations[[#This Row],[C3 recyc]:[C3 incin]])</f>
        <v>0</v>
      </c>
      <c r="AC1382" s="334">
        <f>IFERROR((VLOOKUP(Calculations[[#This Row],[Waste type 2]],WasteLandfillEmissions[#All],2,FALSE))*Calculations[[#This Row],[Total Kg]]*VLOOKUP(Calculations[[#This Row],[Waste 1]],WasteScenario[#All],4,FALSE),0)</f>
        <v>0</v>
      </c>
      <c r="AD1382" s="322">
        <f>IFERROR((VLOOKUP(Calculations[[#This Row],[Waste type 2]],WasteLandfillEmissions[#All],3,FALSE))*Calculations[[#This Row],[Total Kg]]*VLOOKUP(Calculations[[#This Row],[Waste 1]],WasteScenario[#All],4,FALSE),0)</f>
        <v>0</v>
      </c>
      <c r="AE1382" s="322">
        <f>SUM(Calculations[[#This Row],[C4 landfill]:[C4 re-use]])</f>
        <v>0</v>
      </c>
      <c r="AF1382" s="322">
        <f>IFERROR(VLOOKUP(Calculations[[#This Row],[Material (choose from dropdown]],MaterialData[#All],8,FALSE),0)</f>
        <v>0</v>
      </c>
      <c r="AG1382" s="322">
        <f>IFERROR(Calculations[[#This Row],[Total Kg]]*Calculations[[#This Row],[Seq factor]],0)</f>
        <v>0</v>
      </c>
      <c r="AI1382" s="322">
        <f>Calculations[[#This Row],[A1-3]]+Calculations[[#This Row],[A4]]+Calculations[[#This Row],[A5]]+Calculations[[#This Row],[B4]]+Calculations[[#This Row],[C2 total]]+Calculations[[#This Row],[C3 total]]+Calculations[[#This Row],[C4 total]]</f>
        <v>0</v>
      </c>
      <c r="AJ1382" s="2">
        <f>IFERROR(VLOOKUP(Calculations[[#This Row],[Material (choose from dropdown]],MaterialData[[#Headers],[#Data]],9,FALSE),0)</f>
        <v>0</v>
      </c>
      <c r="AK1382" s="4">
        <f>IFERROR(VLOOKUP(Calculations[[#This Row],[Material (choose from dropdown]],MaterialData[[#Headers],[#Data]],10,FALSE),0)</f>
        <v>0</v>
      </c>
      <c r="AL1382" s="322">
        <f>IFERROR(Calculations[[#This Row],[Data Quality Score]]*Calculations[[#This Row],[Total Kg]],0)</f>
        <v>0</v>
      </c>
    </row>
    <row r="1383" spans="1:38" x14ac:dyDescent="0.3">
      <c r="A1383" s="6">
        <f>IFERROR(MaterialsBoQ[[#This Row],[Scope Element]],0)</f>
        <v>0</v>
      </c>
      <c r="B1383" t="str">
        <f>IFERROR(MaterialsBoQ[[#This Row],[Material ]],"")</f>
        <v/>
      </c>
      <c r="C1383" t="str">
        <f>IFERROR(MaterialsBoQ[[#This Row],[Unit]],"")</f>
        <v/>
      </c>
      <c r="D1383" s="322">
        <f>IFERROR(MaterialsBoQ[[#This Row],[Number]],0)</f>
        <v>0</v>
      </c>
      <c r="E1383" s="322">
        <f>IFERROR(MaterialsBoQ[[#This Row],[Kg per unit]],0)</f>
        <v>0</v>
      </c>
      <c r="F1383" s="322">
        <f>IFERROR(Calculations[[#This Row],[Number]]*Calculations[[#This Row],[Conversion factor]],0)</f>
        <v>0</v>
      </c>
      <c r="G1383" s="322">
        <f>IFERROR(VLOOKUP(Calculations[[#This Row],[Material (choose from dropdown]],MaterialData[#All],7,FALSE),0)</f>
        <v>0</v>
      </c>
      <c r="H1383" s="322">
        <f>Calculations[[#This Row],[Total Kg]]*Calculations[[#This Row],[Carbon Factor]]</f>
        <v>0</v>
      </c>
      <c r="I1383" t="str">
        <f>IFERROR(VLOOKUP(Calculations[[#This Row],[Material (choose from dropdown]],MaterialData[#All],2,FALSE),"")</f>
        <v/>
      </c>
      <c r="J1383" s="322">
        <f>IFERROR(((VLOOKUP(Calculations[[#This Row],[TransportSource]],TransportDistance[],2,FALSE)*'Stage assumptions'!$C$11)+VLOOKUP(Calculations[[#This Row],[TransportSource]],TransportDistance[],3,FALSE)*'Stage assumptions'!$C$12)*Calculations[[#This Row],[Total Kg]],0)</f>
        <v>0</v>
      </c>
      <c r="K1383">
        <f>IFERROR(VLOOKUP(Calculations[[#This Row],[Material (choose from dropdown]], MaterialData[#All],3, FALSE),0)</f>
        <v>0</v>
      </c>
      <c r="L1383" s="322">
        <f>IFERROR(VLOOKUP(Calculations[[#This Row],[A5type]],A5WastageRate[#All],2,FALSE)*Calculations[[#This Row],[A1-3]],0)</f>
        <v>0</v>
      </c>
      <c r="N1383">
        <f>IFERROR(ROUNDUP(50/VLOOKUP(Calculations[[#This Row],[Scope Element]],B4referenceServiceLife[[Tier 2 element]:[Default Service Life]],2, FALSE)-1,0),0)</f>
        <v>0</v>
      </c>
      <c r="O1383" s="322">
        <f>IFERROR((Calculations[[#This Row],[A1-3]]+Calculations[[#This Row],[A4]]+Calculations[[#This Row],[A5]]+Calculations[[#This Row],[C2 total]]+Calculations[[#This Row],[C3 total]]+Calculations[[#This Row],[C4 total]])*Calculations[[#This Row],[Replacements]],0)</f>
        <v>0</v>
      </c>
      <c r="S1383" t="str">
        <f>IFERROR(VLOOKUP(Calculations[[#This Row],[Material (choose from dropdown]],MaterialData[#All],4,FALSE),"")</f>
        <v/>
      </c>
      <c r="T1383" s="322" cm="1">
        <f t="array" ref="T1383">IFERROR(VLOOKUP(Calculations[[#This Row],[Waste 1]],WasteScenario[#All],2,FALSE)*'Stage assumptions'!$C$225*WasteTransportMethod[Emissions Factor
kgCO2e/kg.km]*Calculations[[#This Row],[Total Kg]],0)</f>
        <v>0</v>
      </c>
      <c r="U1383" s="322" cm="1">
        <f t="array" ref="U1383">IFERROR(VLOOKUP(Calculations[[#This Row],[Waste 1]],WasteScenario[#All],3,FALSE)*'Stage assumptions'!$C$224*WasteTransportMethod[Emissions Factor
kgCO2e/kg.km]*Calculations[[#This Row],[Total Kg]],0)</f>
        <v>0</v>
      </c>
      <c r="V1383" s="322" cm="1">
        <f t="array" ref="V1383">IFERROR(VLOOKUP(Calculations[[#This Row],[Waste 1]],WasteScenario[#All],4,FALSE)*'Stage assumptions'!$C$223*WasteTransportMethod[Emissions Factor
kgCO2e/kg.km]*Calculations[[#This Row],[Total Kg]],0)</f>
        <v>0</v>
      </c>
      <c r="W1383" s="322" cm="1">
        <f t="array" ref="W1383">IFERROR(VLOOKUP(Calculations[[#This Row],[Waste 1]],WasteScenario[#All],5,FALSE)*'Stage assumptions'!$C$226*WasteTransportMethod[Emissions Factor
kgCO2e/kg.km]*Calculations[[#This Row],[Total Kg]],0)</f>
        <v>0</v>
      </c>
      <c r="X1383" s="322">
        <f>SUM(Calculations[[#This Row],[C2 Recycle]:[C2 Reuse]])</f>
        <v>0</v>
      </c>
      <c r="Y1383" t="str">
        <f>IFERROR(VLOOKUP(Calculations[[#This Row],[Material (choose from dropdown]],MaterialData[#All],5,FALSE),"")</f>
        <v/>
      </c>
      <c r="Z1383" s="322">
        <f>IFERROR(((VLOOKUP(Calculations[[#This Row],[Waste type 2]],WasteDisposalEmissions[#All],2,FALSE))*Calculations[[#This Row],[Total Kg]])*VLOOKUP(Calculations[[#This Row],[Waste 1]],WasteScenario[#All],2,FALSE),0)</f>
        <v>0</v>
      </c>
      <c r="AA1383" s="322">
        <f>IFERROR((VLOOKUP(Calculations[[#This Row],[Waste type 2]],WasteDisposalEmissions[#All],3,FALSE))*Calculations[[#This Row],[Total Kg]]*VLOOKUP(Calculations[[#This Row],[Waste 1]],WasteScenario[#All],3,FALSE),0)</f>
        <v>0</v>
      </c>
      <c r="AB1383" s="322">
        <f>SUM(Calculations[[#This Row],[C3 recyc]:[C3 incin]])</f>
        <v>0</v>
      </c>
      <c r="AC1383" s="334">
        <f>IFERROR((VLOOKUP(Calculations[[#This Row],[Waste type 2]],WasteLandfillEmissions[#All],2,FALSE))*Calculations[[#This Row],[Total Kg]]*VLOOKUP(Calculations[[#This Row],[Waste 1]],WasteScenario[#All],4,FALSE),0)</f>
        <v>0</v>
      </c>
      <c r="AD1383" s="322">
        <f>IFERROR((VLOOKUP(Calculations[[#This Row],[Waste type 2]],WasteLandfillEmissions[#All],3,FALSE))*Calculations[[#This Row],[Total Kg]]*VLOOKUP(Calculations[[#This Row],[Waste 1]],WasteScenario[#All],4,FALSE),0)</f>
        <v>0</v>
      </c>
      <c r="AE1383" s="322">
        <f>SUM(Calculations[[#This Row],[C4 landfill]:[C4 re-use]])</f>
        <v>0</v>
      </c>
      <c r="AF1383" s="322">
        <f>IFERROR(VLOOKUP(Calculations[[#This Row],[Material (choose from dropdown]],MaterialData[#All],8,FALSE),0)</f>
        <v>0</v>
      </c>
      <c r="AG1383" s="322">
        <f>IFERROR(Calculations[[#This Row],[Total Kg]]*Calculations[[#This Row],[Seq factor]],0)</f>
        <v>0</v>
      </c>
      <c r="AI1383" s="322">
        <f>Calculations[[#This Row],[A1-3]]+Calculations[[#This Row],[A4]]+Calculations[[#This Row],[A5]]+Calculations[[#This Row],[B4]]+Calculations[[#This Row],[C2 total]]+Calculations[[#This Row],[C3 total]]+Calculations[[#This Row],[C4 total]]</f>
        <v>0</v>
      </c>
      <c r="AJ1383" s="2">
        <f>IFERROR(VLOOKUP(Calculations[[#This Row],[Material (choose from dropdown]],MaterialData[[#Headers],[#Data]],9,FALSE),0)</f>
        <v>0</v>
      </c>
      <c r="AK1383" s="4">
        <f>IFERROR(VLOOKUP(Calculations[[#This Row],[Material (choose from dropdown]],MaterialData[[#Headers],[#Data]],10,FALSE),0)</f>
        <v>0</v>
      </c>
      <c r="AL1383" s="322">
        <f>IFERROR(Calculations[[#This Row],[Data Quality Score]]*Calculations[[#This Row],[Total Kg]],0)</f>
        <v>0</v>
      </c>
    </row>
    <row r="1384" spans="1:38" x14ac:dyDescent="0.3">
      <c r="A1384" s="6">
        <f>IFERROR(MaterialsBoQ[[#This Row],[Scope Element]],0)</f>
        <v>0</v>
      </c>
      <c r="B1384" t="str">
        <f>IFERROR(MaterialsBoQ[[#This Row],[Material ]],"")</f>
        <v/>
      </c>
      <c r="C1384" t="str">
        <f>IFERROR(MaterialsBoQ[[#This Row],[Unit]],"")</f>
        <v/>
      </c>
      <c r="D1384" s="322">
        <f>IFERROR(MaterialsBoQ[[#This Row],[Number]],0)</f>
        <v>0</v>
      </c>
      <c r="E1384" s="322">
        <f>IFERROR(MaterialsBoQ[[#This Row],[Kg per unit]],0)</f>
        <v>0</v>
      </c>
      <c r="F1384" s="322">
        <f>IFERROR(Calculations[[#This Row],[Number]]*Calculations[[#This Row],[Conversion factor]],0)</f>
        <v>0</v>
      </c>
      <c r="G1384" s="322">
        <f>IFERROR(VLOOKUP(Calculations[[#This Row],[Material (choose from dropdown]],MaterialData[#All],7,FALSE),0)</f>
        <v>0</v>
      </c>
      <c r="H1384" s="322">
        <f>Calculations[[#This Row],[Total Kg]]*Calculations[[#This Row],[Carbon Factor]]</f>
        <v>0</v>
      </c>
      <c r="I1384" t="str">
        <f>IFERROR(VLOOKUP(Calculations[[#This Row],[Material (choose from dropdown]],MaterialData[#All],2,FALSE),"")</f>
        <v/>
      </c>
      <c r="J1384" s="322">
        <f>IFERROR(((VLOOKUP(Calculations[[#This Row],[TransportSource]],TransportDistance[],2,FALSE)*'Stage assumptions'!$C$11)+VLOOKUP(Calculations[[#This Row],[TransportSource]],TransportDistance[],3,FALSE)*'Stage assumptions'!$C$12)*Calculations[[#This Row],[Total Kg]],0)</f>
        <v>0</v>
      </c>
      <c r="K1384">
        <f>IFERROR(VLOOKUP(Calculations[[#This Row],[Material (choose from dropdown]], MaterialData[#All],3, FALSE),0)</f>
        <v>0</v>
      </c>
      <c r="L1384" s="322">
        <f>IFERROR(VLOOKUP(Calculations[[#This Row],[A5type]],A5WastageRate[#All],2,FALSE)*Calculations[[#This Row],[A1-3]],0)</f>
        <v>0</v>
      </c>
      <c r="N1384">
        <f>IFERROR(ROUNDUP(50/VLOOKUP(Calculations[[#This Row],[Scope Element]],B4referenceServiceLife[[Tier 2 element]:[Default Service Life]],2, FALSE)-1,0),0)</f>
        <v>0</v>
      </c>
      <c r="O1384" s="322">
        <f>IFERROR((Calculations[[#This Row],[A1-3]]+Calculations[[#This Row],[A4]]+Calculations[[#This Row],[A5]]+Calculations[[#This Row],[C2 total]]+Calculations[[#This Row],[C3 total]]+Calculations[[#This Row],[C4 total]])*Calculations[[#This Row],[Replacements]],0)</f>
        <v>0</v>
      </c>
      <c r="S1384" t="str">
        <f>IFERROR(VLOOKUP(Calculations[[#This Row],[Material (choose from dropdown]],MaterialData[#All],4,FALSE),"")</f>
        <v/>
      </c>
      <c r="T1384" s="322" cm="1">
        <f t="array" ref="T1384">IFERROR(VLOOKUP(Calculations[[#This Row],[Waste 1]],WasteScenario[#All],2,FALSE)*'Stage assumptions'!$C$225*WasteTransportMethod[Emissions Factor
kgCO2e/kg.km]*Calculations[[#This Row],[Total Kg]],0)</f>
        <v>0</v>
      </c>
      <c r="U1384" s="322" cm="1">
        <f t="array" ref="U1384">IFERROR(VLOOKUP(Calculations[[#This Row],[Waste 1]],WasteScenario[#All],3,FALSE)*'Stage assumptions'!$C$224*WasteTransportMethod[Emissions Factor
kgCO2e/kg.km]*Calculations[[#This Row],[Total Kg]],0)</f>
        <v>0</v>
      </c>
      <c r="V1384" s="322" cm="1">
        <f t="array" ref="V1384">IFERROR(VLOOKUP(Calculations[[#This Row],[Waste 1]],WasteScenario[#All],4,FALSE)*'Stage assumptions'!$C$223*WasteTransportMethod[Emissions Factor
kgCO2e/kg.km]*Calculations[[#This Row],[Total Kg]],0)</f>
        <v>0</v>
      </c>
      <c r="W1384" s="322" cm="1">
        <f t="array" ref="W1384">IFERROR(VLOOKUP(Calculations[[#This Row],[Waste 1]],WasteScenario[#All],5,FALSE)*'Stage assumptions'!$C$226*WasteTransportMethod[Emissions Factor
kgCO2e/kg.km]*Calculations[[#This Row],[Total Kg]],0)</f>
        <v>0</v>
      </c>
      <c r="X1384" s="322">
        <f>SUM(Calculations[[#This Row],[C2 Recycle]:[C2 Reuse]])</f>
        <v>0</v>
      </c>
      <c r="Y1384" t="str">
        <f>IFERROR(VLOOKUP(Calculations[[#This Row],[Material (choose from dropdown]],MaterialData[#All],5,FALSE),"")</f>
        <v/>
      </c>
      <c r="Z1384" s="322">
        <f>IFERROR(((VLOOKUP(Calculations[[#This Row],[Waste type 2]],WasteDisposalEmissions[#All],2,FALSE))*Calculations[[#This Row],[Total Kg]])*VLOOKUP(Calculations[[#This Row],[Waste 1]],WasteScenario[#All],2,FALSE),0)</f>
        <v>0</v>
      </c>
      <c r="AA1384" s="322">
        <f>IFERROR((VLOOKUP(Calculations[[#This Row],[Waste type 2]],WasteDisposalEmissions[#All],3,FALSE))*Calculations[[#This Row],[Total Kg]]*VLOOKUP(Calculations[[#This Row],[Waste 1]],WasteScenario[#All],3,FALSE),0)</f>
        <v>0</v>
      </c>
      <c r="AB1384" s="322">
        <f>SUM(Calculations[[#This Row],[C3 recyc]:[C3 incin]])</f>
        <v>0</v>
      </c>
      <c r="AC1384" s="334">
        <f>IFERROR((VLOOKUP(Calculations[[#This Row],[Waste type 2]],WasteLandfillEmissions[#All],2,FALSE))*Calculations[[#This Row],[Total Kg]]*VLOOKUP(Calculations[[#This Row],[Waste 1]],WasteScenario[#All],4,FALSE),0)</f>
        <v>0</v>
      </c>
      <c r="AD1384" s="322">
        <f>IFERROR((VLOOKUP(Calculations[[#This Row],[Waste type 2]],WasteLandfillEmissions[#All],3,FALSE))*Calculations[[#This Row],[Total Kg]]*VLOOKUP(Calculations[[#This Row],[Waste 1]],WasteScenario[#All],4,FALSE),0)</f>
        <v>0</v>
      </c>
      <c r="AE1384" s="322">
        <f>SUM(Calculations[[#This Row],[C4 landfill]:[C4 re-use]])</f>
        <v>0</v>
      </c>
      <c r="AF1384" s="322">
        <f>IFERROR(VLOOKUP(Calculations[[#This Row],[Material (choose from dropdown]],MaterialData[#All],8,FALSE),0)</f>
        <v>0</v>
      </c>
      <c r="AG1384" s="322">
        <f>IFERROR(Calculations[[#This Row],[Total Kg]]*Calculations[[#This Row],[Seq factor]],0)</f>
        <v>0</v>
      </c>
      <c r="AI1384" s="322">
        <f>Calculations[[#This Row],[A1-3]]+Calculations[[#This Row],[A4]]+Calculations[[#This Row],[A5]]+Calculations[[#This Row],[B4]]+Calculations[[#This Row],[C2 total]]+Calculations[[#This Row],[C3 total]]+Calculations[[#This Row],[C4 total]]</f>
        <v>0</v>
      </c>
      <c r="AJ1384" s="2">
        <f>IFERROR(VLOOKUP(Calculations[[#This Row],[Material (choose from dropdown]],MaterialData[[#Headers],[#Data]],9,FALSE),0)</f>
        <v>0</v>
      </c>
      <c r="AK1384" s="4">
        <f>IFERROR(VLOOKUP(Calculations[[#This Row],[Material (choose from dropdown]],MaterialData[[#Headers],[#Data]],10,FALSE),0)</f>
        <v>0</v>
      </c>
      <c r="AL1384" s="322">
        <f>IFERROR(Calculations[[#This Row],[Data Quality Score]]*Calculations[[#This Row],[Total Kg]],0)</f>
        <v>0</v>
      </c>
    </row>
    <row r="1385" spans="1:38" x14ac:dyDescent="0.3">
      <c r="A1385" s="6">
        <f>IFERROR(MaterialsBoQ[[#This Row],[Scope Element]],0)</f>
        <v>0</v>
      </c>
      <c r="B1385" t="str">
        <f>IFERROR(MaterialsBoQ[[#This Row],[Material ]],"")</f>
        <v/>
      </c>
      <c r="C1385" t="str">
        <f>IFERROR(MaterialsBoQ[[#This Row],[Unit]],"")</f>
        <v/>
      </c>
      <c r="D1385" s="322">
        <f>IFERROR(MaterialsBoQ[[#This Row],[Number]],0)</f>
        <v>0</v>
      </c>
      <c r="E1385" s="322">
        <f>IFERROR(MaterialsBoQ[[#This Row],[Kg per unit]],0)</f>
        <v>0</v>
      </c>
      <c r="F1385" s="322">
        <f>IFERROR(Calculations[[#This Row],[Number]]*Calculations[[#This Row],[Conversion factor]],0)</f>
        <v>0</v>
      </c>
      <c r="G1385" s="322">
        <f>IFERROR(VLOOKUP(Calculations[[#This Row],[Material (choose from dropdown]],MaterialData[#All],7,FALSE),0)</f>
        <v>0</v>
      </c>
      <c r="H1385" s="322">
        <f>Calculations[[#This Row],[Total Kg]]*Calculations[[#This Row],[Carbon Factor]]</f>
        <v>0</v>
      </c>
      <c r="I1385" t="str">
        <f>IFERROR(VLOOKUP(Calculations[[#This Row],[Material (choose from dropdown]],MaterialData[#All],2,FALSE),"")</f>
        <v/>
      </c>
      <c r="J1385" s="322">
        <f>IFERROR(((VLOOKUP(Calculations[[#This Row],[TransportSource]],TransportDistance[],2,FALSE)*'Stage assumptions'!$C$11)+VLOOKUP(Calculations[[#This Row],[TransportSource]],TransportDistance[],3,FALSE)*'Stage assumptions'!$C$12)*Calculations[[#This Row],[Total Kg]],0)</f>
        <v>0</v>
      </c>
      <c r="K1385">
        <f>IFERROR(VLOOKUP(Calculations[[#This Row],[Material (choose from dropdown]], MaterialData[#All],3, FALSE),0)</f>
        <v>0</v>
      </c>
      <c r="L1385" s="322">
        <f>IFERROR(VLOOKUP(Calculations[[#This Row],[A5type]],A5WastageRate[#All],2,FALSE)*Calculations[[#This Row],[A1-3]],0)</f>
        <v>0</v>
      </c>
      <c r="N1385">
        <f>IFERROR(ROUNDUP(50/VLOOKUP(Calculations[[#This Row],[Scope Element]],B4referenceServiceLife[[Tier 2 element]:[Default Service Life]],2, FALSE)-1,0),0)</f>
        <v>0</v>
      </c>
      <c r="O1385" s="322">
        <f>IFERROR((Calculations[[#This Row],[A1-3]]+Calculations[[#This Row],[A4]]+Calculations[[#This Row],[A5]]+Calculations[[#This Row],[C2 total]]+Calculations[[#This Row],[C3 total]]+Calculations[[#This Row],[C4 total]])*Calculations[[#This Row],[Replacements]],0)</f>
        <v>0</v>
      </c>
      <c r="S1385" t="str">
        <f>IFERROR(VLOOKUP(Calculations[[#This Row],[Material (choose from dropdown]],MaterialData[#All],4,FALSE),"")</f>
        <v/>
      </c>
      <c r="T1385" s="322" cm="1">
        <f t="array" ref="T1385">IFERROR(VLOOKUP(Calculations[[#This Row],[Waste 1]],WasteScenario[#All],2,FALSE)*'Stage assumptions'!$C$225*WasteTransportMethod[Emissions Factor
kgCO2e/kg.km]*Calculations[[#This Row],[Total Kg]],0)</f>
        <v>0</v>
      </c>
      <c r="U1385" s="322" cm="1">
        <f t="array" ref="U1385">IFERROR(VLOOKUP(Calculations[[#This Row],[Waste 1]],WasteScenario[#All],3,FALSE)*'Stage assumptions'!$C$224*WasteTransportMethod[Emissions Factor
kgCO2e/kg.km]*Calculations[[#This Row],[Total Kg]],0)</f>
        <v>0</v>
      </c>
      <c r="V1385" s="322" cm="1">
        <f t="array" ref="V1385">IFERROR(VLOOKUP(Calculations[[#This Row],[Waste 1]],WasteScenario[#All],4,FALSE)*'Stage assumptions'!$C$223*WasteTransportMethod[Emissions Factor
kgCO2e/kg.km]*Calculations[[#This Row],[Total Kg]],0)</f>
        <v>0</v>
      </c>
      <c r="W1385" s="322" cm="1">
        <f t="array" ref="W1385">IFERROR(VLOOKUP(Calculations[[#This Row],[Waste 1]],WasteScenario[#All],5,FALSE)*'Stage assumptions'!$C$226*WasteTransportMethod[Emissions Factor
kgCO2e/kg.km]*Calculations[[#This Row],[Total Kg]],0)</f>
        <v>0</v>
      </c>
      <c r="X1385" s="322">
        <f>SUM(Calculations[[#This Row],[C2 Recycle]:[C2 Reuse]])</f>
        <v>0</v>
      </c>
      <c r="Y1385" t="str">
        <f>IFERROR(VLOOKUP(Calculations[[#This Row],[Material (choose from dropdown]],MaterialData[#All],5,FALSE),"")</f>
        <v/>
      </c>
      <c r="Z1385" s="322">
        <f>IFERROR(((VLOOKUP(Calculations[[#This Row],[Waste type 2]],WasteDisposalEmissions[#All],2,FALSE))*Calculations[[#This Row],[Total Kg]])*VLOOKUP(Calculations[[#This Row],[Waste 1]],WasteScenario[#All],2,FALSE),0)</f>
        <v>0</v>
      </c>
      <c r="AA1385" s="322">
        <f>IFERROR((VLOOKUP(Calculations[[#This Row],[Waste type 2]],WasteDisposalEmissions[#All],3,FALSE))*Calculations[[#This Row],[Total Kg]]*VLOOKUP(Calculations[[#This Row],[Waste 1]],WasteScenario[#All],3,FALSE),0)</f>
        <v>0</v>
      </c>
      <c r="AB1385" s="322">
        <f>SUM(Calculations[[#This Row],[C3 recyc]:[C3 incin]])</f>
        <v>0</v>
      </c>
      <c r="AC1385" s="334">
        <f>IFERROR((VLOOKUP(Calculations[[#This Row],[Waste type 2]],WasteLandfillEmissions[#All],2,FALSE))*Calculations[[#This Row],[Total Kg]]*VLOOKUP(Calculations[[#This Row],[Waste 1]],WasteScenario[#All],4,FALSE),0)</f>
        <v>0</v>
      </c>
      <c r="AD1385" s="322">
        <f>IFERROR((VLOOKUP(Calculations[[#This Row],[Waste type 2]],WasteLandfillEmissions[#All],3,FALSE))*Calculations[[#This Row],[Total Kg]]*VLOOKUP(Calculations[[#This Row],[Waste 1]],WasteScenario[#All],4,FALSE),0)</f>
        <v>0</v>
      </c>
      <c r="AE1385" s="322">
        <f>SUM(Calculations[[#This Row],[C4 landfill]:[C4 re-use]])</f>
        <v>0</v>
      </c>
      <c r="AF1385" s="322">
        <f>IFERROR(VLOOKUP(Calculations[[#This Row],[Material (choose from dropdown]],MaterialData[#All],8,FALSE),0)</f>
        <v>0</v>
      </c>
      <c r="AG1385" s="322">
        <f>IFERROR(Calculations[[#This Row],[Total Kg]]*Calculations[[#This Row],[Seq factor]],0)</f>
        <v>0</v>
      </c>
      <c r="AI1385" s="322">
        <f>Calculations[[#This Row],[A1-3]]+Calculations[[#This Row],[A4]]+Calculations[[#This Row],[A5]]+Calculations[[#This Row],[B4]]+Calculations[[#This Row],[C2 total]]+Calculations[[#This Row],[C3 total]]+Calculations[[#This Row],[C4 total]]</f>
        <v>0</v>
      </c>
      <c r="AJ1385" s="2">
        <f>IFERROR(VLOOKUP(Calculations[[#This Row],[Material (choose from dropdown]],MaterialData[[#Headers],[#Data]],9,FALSE),0)</f>
        <v>0</v>
      </c>
      <c r="AK1385" s="4">
        <f>IFERROR(VLOOKUP(Calculations[[#This Row],[Material (choose from dropdown]],MaterialData[[#Headers],[#Data]],10,FALSE),0)</f>
        <v>0</v>
      </c>
      <c r="AL1385" s="322">
        <f>IFERROR(Calculations[[#This Row],[Data Quality Score]]*Calculations[[#This Row],[Total Kg]],0)</f>
        <v>0</v>
      </c>
    </row>
    <row r="1386" spans="1:38" x14ac:dyDescent="0.3">
      <c r="A1386" s="6">
        <f>IFERROR(MaterialsBoQ[[#This Row],[Scope Element]],0)</f>
        <v>0</v>
      </c>
      <c r="B1386" t="str">
        <f>IFERROR(MaterialsBoQ[[#This Row],[Material ]],"")</f>
        <v/>
      </c>
      <c r="C1386" t="str">
        <f>IFERROR(MaterialsBoQ[[#This Row],[Unit]],"")</f>
        <v/>
      </c>
      <c r="D1386" s="322">
        <f>IFERROR(MaterialsBoQ[[#This Row],[Number]],0)</f>
        <v>0</v>
      </c>
      <c r="E1386" s="322">
        <f>IFERROR(MaterialsBoQ[[#This Row],[Kg per unit]],0)</f>
        <v>0</v>
      </c>
      <c r="F1386" s="322">
        <f>IFERROR(Calculations[[#This Row],[Number]]*Calculations[[#This Row],[Conversion factor]],0)</f>
        <v>0</v>
      </c>
      <c r="G1386" s="322">
        <f>IFERROR(VLOOKUP(Calculations[[#This Row],[Material (choose from dropdown]],MaterialData[#All],7,FALSE),0)</f>
        <v>0</v>
      </c>
      <c r="H1386" s="322">
        <f>Calculations[[#This Row],[Total Kg]]*Calculations[[#This Row],[Carbon Factor]]</f>
        <v>0</v>
      </c>
      <c r="I1386" t="str">
        <f>IFERROR(VLOOKUP(Calculations[[#This Row],[Material (choose from dropdown]],MaterialData[#All],2,FALSE),"")</f>
        <v/>
      </c>
      <c r="J1386" s="322">
        <f>IFERROR(((VLOOKUP(Calculations[[#This Row],[TransportSource]],TransportDistance[],2,FALSE)*'Stage assumptions'!$C$11)+VLOOKUP(Calculations[[#This Row],[TransportSource]],TransportDistance[],3,FALSE)*'Stage assumptions'!$C$12)*Calculations[[#This Row],[Total Kg]],0)</f>
        <v>0</v>
      </c>
      <c r="K1386">
        <f>IFERROR(VLOOKUP(Calculations[[#This Row],[Material (choose from dropdown]], MaterialData[#All],3, FALSE),0)</f>
        <v>0</v>
      </c>
      <c r="L1386" s="322">
        <f>IFERROR(VLOOKUP(Calculations[[#This Row],[A5type]],A5WastageRate[#All],2,FALSE)*Calculations[[#This Row],[A1-3]],0)</f>
        <v>0</v>
      </c>
      <c r="N1386">
        <f>IFERROR(ROUNDUP(50/VLOOKUP(Calculations[[#This Row],[Scope Element]],B4referenceServiceLife[[Tier 2 element]:[Default Service Life]],2, FALSE)-1,0),0)</f>
        <v>0</v>
      </c>
      <c r="O1386" s="322">
        <f>IFERROR((Calculations[[#This Row],[A1-3]]+Calculations[[#This Row],[A4]]+Calculations[[#This Row],[A5]]+Calculations[[#This Row],[C2 total]]+Calculations[[#This Row],[C3 total]]+Calculations[[#This Row],[C4 total]])*Calculations[[#This Row],[Replacements]],0)</f>
        <v>0</v>
      </c>
      <c r="S1386" t="str">
        <f>IFERROR(VLOOKUP(Calculations[[#This Row],[Material (choose from dropdown]],MaterialData[#All],4,FALSE),"")</f>
        <v/>
      </c>
      <c r="T1386" s="322" cm="1">
        <f t="array" ref="T1386">IFERROR(VLOOKUP(Calculations[[#This Row],[Waste 1]],WasteScenario[#All],2,FALSE)*'Stage assumptions'!$C$225*WasteTransportMethod[Emissions Factor
kgCO2e/kg.km]*Calculations[[#This Row],[Total Kg]],0)</f>
        <v>0</v>
      </c>
      <c r="U1386" s="322" cm="1">
        <f t="array" ref="U1386">IFERROR(VLOOKUP(Calculations[[#This Row],[Waste 1]],WasteScenario[#All],3,FALSE)*'Stage assumptions'!$C$224*WasteTransportMethod[Emissions Factor
kgCO2e/kg.km]*Calculations[[#This Row],[Total Kg]],0)</f>
        <v>0</v>
      </c>
      <c r="V1386" s="322" cm="1">
        <f t="array" ref="V1386">IFERROR(VLOOKUP(Calculations[[#This Row],[Waste 1]],WasteScenario[#All],4,FALSE)*'Stage assumptions'!$C$223*WasteTransportMethod[Emissions Factor
kgCO2e/kg.km]*Calculations[[#This Row],[Total Kg]],0)</f>
        <v>0</v>
      </c>
      <c r="W1386" s="322" cm="1">
        <f t="array" ref="W1386">IFERROR(VLOOKUP(Calculations[[#This Row],[Waste 1]],WasteScenario[#All],5,FALSE)*'Stage assumptions'!$C$226*WasteTransportMethod[Emissions Factor
kgCO2e/kg.km]*Calculations[[#This Row],[Total Kg]],0)</f>
        <v>0</v>
      </c>
      <c r="X1386" s="322">
        <f>SUM(Calculations[[#This Row],[C2 Recycle]:[C2 Reuse]])</f>
        <v>0</v>
      </c>
      <c r="Y1386" t="str">
        <f>IFERROR(VLOOKUP(Calculations[[#This Row],[Material (choose from dropdown]],MaterialData[#All],5,FALSE),"")</f>
        <v/>
      </c>
      <c r="Z1386" s="322">
        <f>IFERROR(((VLOOKUP(Calculations[[#This Row],[Waste type 2]],WasteDisposalEmissions[#All],2,FALSE))*Calculations[[#This Row],[Total Kg]])*VLOOKUP(Calculations[[#This Row],[Waste 1]],WasteScenario[#All],2,FALSE),0)</f>
        <v>0</v>
      </c>
      <c r="AA1386" s="322">
        <f>IFERROR((VLOOKUP(Calculations[[#This Row],[Waste type 2]],WasteDisposalEmissions[#All],3,FALSE))*Calculations[[#This Row],[Total Kg]]*VLOOKUP(Calculations[[#This Row],[Waste 1]],WasteScenario[#All],3,FALSE),0)</f>
        <v>0</v>
      </c>
      <c r="AB1386" s="322">
        <f>SUM(Calculations[[#This Row],[C3 recyc]:[C3 incin]])</f>
        <v>0</v>
      </c>
      <c r="AC1386" s="334">
        <f>IFERROR((VLOOKUP(Calculations[[#This Row],[Waste type 2]],WasteLandfillEmissions[#All],2,FALSE))*Calculations[[#This Row],[Total Kg]]*VLOOKUP(Calculations[[#This Row],[Waste 1]],WasteScenario[#All],4,FALSE),0)</f>
        <v>0</v>
      </c>
      <c r="AD1386" s="322">
        <f>IFERROR((VLOOKUP(Calculations[[#This Row],[Waste type 2]],WasteLandfillEmissions[#All],3,FALSE))*Calculations[[#This Row],[Total Kg]]*VLOOKUP(Calculations[[#This Row],[Waste 1]],WasteScenario[#All],4,FALSE),0)</f>
        <v>0</v>
      </c>
      <c r="AE1386" s="322">
        <f>SUM(Calculations[[#This Row],[C4 landfill]:[C4 re-use]])</f>
        <v>0</v>
      </c>
      <c r="AF1386" s="322">
        <f>IFERROR(VLOOKUP(Calculations[[#This Row],[Material (choose from dropdown]],MaterialData[#All],8,FALSE),0)</f>
        <v>0</v>
      </c>
      <c r="AG1386" s="322">
        <f>IFERROR(Calculations[[#This Row],[Total Kg]]*Calculations[[#This Row],[Seq factor]],0)</f>
        <v>0</v>
      </c>
      <c r="AI1386" s="322">
        <f>Calculations[[#This Row],[A1-3]]+Calculations[[#This Row],[A4]]+Calculations[[#This Row],[A5]]+Calculations[[#This Row],[B4]]+Calculations[[#This Row],[C2 total]]+Calculations[[#This Row],[C3 total]]+Calculations[[#This Row],[C4 total]]</f>
        <v>0</v>
      </c>
      <c r="AJ1386" s="2">
        <f>IFERROR(VLOOKUP(Calculations[[#This Row],[Material (choose from dropdown]],MaterialData[[#Headers],[#Data]],9,FALSE),0)</f>
        <v>0</v>
      </c>
      <c r="AK1386" s="4">
        <f>IFERROR(VLOOKUP(Calculations[[#This Row],[Material (choose from dropdown]],MaterialData[[#Headers],[#Data]],10,FALSE),0)</f>
        <v>0</v>
      </c>
      <c r="AL1386" s="322">
        <f>IFERROR(Calculations[[#This Row],[Data Quality Score]]*Calculations[[#This Row],[Total Kg]],0)</f>
        <v>0</v>
      </c>
    </row>
    <row r="1387" spans="1:38" x14ac:dyDescent="0.3">
      <c r="A1387" s="6">
        <f>IFERROR(MaterialsBoQ[[#This Row],[Scope Element]],0)</f>
        <v>0</v>
      </c>
      <c r="B1387" t="str">
        <f>IFERROR(MaterialsBoQ[[#This Row],[Material ]],"")</f>
        <v/>
      </c>
      <c r="C1387" t="str">
        <f>IFERROR(MaterialsBoQ[[#This Row],[Unit]],"")</f>
        <v/>
      </c>
      <c r="D1387" s="322">
        <f>IFERROR(MaterialsBoQ[[#This Row],[Number]],0)</f>
        <v>0</v>
      </c>
      <c r="E1387" s="322">
        <f>IFERROR(MaterialsBoQ[[#This Row],[Kg per unit]],0)</f>
        <v>0</v>
      </c>
      <c r="F1387" s="322">
        <f>IFERROR(Calculations[[#This Row],[Number]]*Calculations[[#This Row],[Conversion factor]],0)</f>
        <v>0</v>
      </c>
      <c r="G1387" s="322">
        <f>IFERROR(VLOOKUP(Calculations[[#This Row],[Material (choose from dropdown]],MaterialData[#All],7,FALSE),0)</f>
        <v>0</v>
      </c>
      <c r="H1387" s="322">
        <f>Calculations[[#This Row],[Total Kg]]*Calculations[[#This Row],[Carbon Factor]]</f>
        <v>0</v>
      </c>
      <c r="I1387" t="str">
        <f>IFERROR(VLOOKUP(Calculations[[#This Row],[Material (choose from dropdown]],MaterialData[#All],2,FALSE),"")</f>
        <v/>
      </c>
      <c r="J1387" s="322">
        <f>IFERROR(((VLOOKUP(Calculations[[#This Row],[TransportSource]],TransportDistance[],2,FALSE)*'Stage assumptions'!$C$11)+VLOOKUP(Calculations[[#This Row],[TransportSource]],TransportDistance[],3,FALSE)*'Stage assumptions'!$C$12)*Calculations[[#This Row],[Total Kg]],0)</f>
        <v>0</v>
      </c>
      <c r="K1387">
        <f>IFERROR(VLOOKUP(Calculations[[#This Row],[Material (choose from dropdown]], MaterialData[#All],3, FALSE),0)</f>
        <v>0</v>
      </c>
      <c r="L1387" s="322">
        <f>IFERROR(VLOOKUP(Calculations[[#This Row],[A5type]],A5WastageRate[#All],2,FALSE)*Calculations[[#This Row],[A1-3]],0)</f>
        <v>0</v>
      </c>
      <c r="N1387">
        <f>IFERROR(ROUNDUP(50/VLOOKUP(Calculations[[#This Row],[Scope Element]],B4referenceServiceLife[[Tier 2 element]:[Default Service Life]],2, FALSE)-1,0),0)</f>
        <v>0</v>
      </c>
      <c r="O1387" s="322">
        <f>IFERROR((Calculations[[#This Row],[A1-3]]+Calculations[[#This Row],[A4]]+Calculations[[#This Row],[A5]]+Calculations[[#This Row],[C2 total]]+Calculations[[#This Row],[C3 total]]+Calculations[[#This Row],[C4 total]])*Calculations[[#This Row],[Replacements]],0)</f>
        <v>0</v>
      </c>
      <c r="S1387" t="str">
        <f>IFERROR(VLOOKUP(Calculations[[#This Row],[Material (choose from dropdown]],MaterialData[#All],4,FALSE),"")</f>
        <v/>
      </c>
      <c r="T1387" s="322" cm="1">
        <f t="array" ref="T1387">IFERROR(VLOOKUP(Calculations[[#This Row],[Waste 1]],WasteScenario[#All],2,FALSE)*'Stage assumptions'!$C$225*WasteTransportMethod[Emissions Factor
kgCO2e/kg.km]*Calculations[[#This Row],[Total Kg]],0)</f>
        <v>0</v>
      </c>
      <c r="U1387" s="322" cm="1">
        <f t="array" ref="U1387">IFERROR(VLOOKUP(Calculations[[#This Row],[Waste 1]],WasteScenario[#All],3,FALSE)*'Stage assumptions'!$C$224*WasteTransportMethod[Emissions Factor
kgCO2e/kg.km]*Calculations[[#This Row],[Total Kg]],0)</f>
        <v>0</v>
      </c>
      <c r="V1387" s="322" cm="1">
        <f t="array" ref="V1387">IFERROR(VLOOKUP(Calculations[[#This Row],[Waste 1]],WasteScenario[#All],4,FALSE)*'Stage assumptions'!$C$223*WasteTransportMethod[Emissions Factor
kgCO2e/kg.km]*Calculations[[#This Row],[Total Kg]],0)</f>
        <v>0</v>
      </c>
      <c r="W1387" s="322" cm="1">
        <f t="array" ref="W1387">IFERROR(VLOOKUP(Calculations[[#This Row],[Waste 1]],WasteScenario[#All],5,FALSE)*'Stage assumptions'!$C$226*WasteTransportMethod[Emissions Factor
kgCO2e/kg.km]*Calculations[[#This Row],[Total Kg]],0)</f>
        <v>0</v>
      </c>
      <c r="X1387" s="322">
        <f>SUM(Calculations[[#This Row],[C2 Recycle]:[C2 Reuse]])</f>
        <v>0</v>
      </c>
      <c r="Y1387" t="str">
        <f>IFERROR(VLOOKUP(Calculations[[#This Row],[Material (choose from dropdown]],MaterialData[#All],5,FALSE),"")</f>
        <v/>
      </c>
      <c r="Z1387" s="322">
        <f>IFERROR(((VLOOKUP(Calculations[[#This Row],[Waste type 2]],WasteDisposalEmissions[#All],2,FALSE))*Calculations[[#This Row],[Total Kg]])*VLOOKUP(Calculations[[#This Row],[Waste 1]],WasteScenario[#All],2,FALSE),0)</f>
        <v>0</v>
      </c>
      <c r="AA1387" s="322">
        <f>IFERROR((VLOOKUP(Calculations[[#This Row],[Waste type 2]],WasteDisposalEmissions[#All],3,FALSE))*Calculations[[#This Row],[Total Kg]]*VLOOKUP(Calculations[[#This Row],[Waste 1]],WasteScenario[#All],3,FALSE),0)</f>
        <v>0</v>
      </c>
      <c r="AB1387" s="322">
        <f>SUM(Calculations[[#This Row],[C3 recyc]:[C3 incin]])</f>
        <v>0</v>
      </c>
      <c r="AC1387" s="334">
        <f>IFERROR((VLOOKUP(Calculations[[#This Row],[Waste type 2]],WasteLandfillEmissions[#All],2,FALSE))*Calculations[[#This Row],[Total Kg]]*VLOOKUP(Calculations[[#This Row],[Waste 1]],WasteScenario[#All],4,FALSE),0)</f>
        <v>0</v>
      </c>
      <c r="AD1387" s="322">
        <f>IFERROR((VLOOKUP(Calculations[[#This Row],[Waste type 2]],WasteLandfillEmissions[#All],3,FALSE))*Calculations[[#This Row],[Total Kg]]*VLOOKUP(Calculations[[#This Row],[Waste 1]],WasteScenario[#All],4,FALSE),0)</f>
        <v>0</v>
      </c>
      <c r="AE1387" s="322">
        <f>SUM(Calculations[[#This Row],[C4 landfill]:[C4 re-use]])</f>
        <v>0</v>
      </c>
      <c r="AF1387" s="322">
        <f>IFERROR(VLOOKUP(Calculations[[#This Row],[Material (choose from dropdown]],MaterialData[#All],8,FALSE),0)</f>
        <v>0</v>
      </c>
      <c r="AG1387" s="322">
        <f>IFERROR(Calculations[[#This Row],[Total Kg]]*Calculations[[#This Row],[Seq factor]],0)</f>
        <v>0</v>
      </c>
      <c r="AI1387" s="322">
        <f>Calculations[[#This Row],[A1-3]]+Calculations[[#This Row],[A4]]+Calculations[[#This Row],[A5]]+Calculations[[#This Row],[B4]]+Calculations[[#This Row],[C2 total]]+Calculations[[#This Row],[C3 total]]+Calculations[[#This Row],[C4 total]]</f>
        <v>0</v>
      </c>
      <c r="AJ1387" s="2">
        <f>IFERROR(VLOOKUP(Calculations[[#This Row],[Material (choose from dropdown]],MaterialData[[#Headers],[#Data]],9,FALSE),0)</f>
        <v>0</v>
      </c>
      <c r="AK1387" s="4">
        <f>IFERROR(VLOOKUP(Calculations[[#This Row],[Material (choose from dropdown]],MaterialData[[#Headers],[#Data]],10,FALSE),0)</f>
        <v>0</v>
      </c>
      <c r="AL1387" s="322">
        <f>IFERROR(Calculations[[#This Row],[Data Quality Score]]*Calculations[[#This Row],[Total Kg]],0)</f>
        <v>0</v>
      </c>
    </row>
    <row r="1388" spans="1:38" x14ac:dyDescent="0.3">
      <c r="A1388" s="6">
        <f>IFERROR(MaterialsBoQ[[#This Row],[Scope Element]],0)</f>
        <v>0</v>
      </c>
      <c r="B1388" t="str">
        <f>IFERROR(MaterialsBoQ[[#This Row],[Material ]],"")</f>
        <v/>
      </c>
      <c r="C1388" t="str">
        <f>IFERROR(MaterialsBoQ[[#This Row],[Unit]],"")</f>
        <v/>
      </c>
      <c r="D1388" s="322">
        <f>IFERROR(MaterialsBoQ[[#This Row],[Number]],0)</f>
        <v>0</v>
      </c>
      <c r="E1388" s="322">
        <f>IFERROR(MaterialsBoQ[[#This Row],[Kg per unit]],0)</f>
        <v>0</v>
      </c>
      <c r="F1388" s="322">
        <f>IFERROR(Calculations[[#This Row],[Number]]*Calculations[[#This Row],[Conversion factor]],0)</f>
        <v>0</v>
      </c>
      <c r="G1388" s="322">
        <f>IFERROR(VLOOKUP(Calculations[[#This Row],[Material (choose from dropdown]],MaterialData[#All],7,FALSE),0)</f>
        <v>0</v>
      </c>
      <c r="H1388" s="322">
        <f>Calculations[[#This Row],[Total Kg]]*Calculations[[#This Row],[Carbon Factor]]</f>
        <v>0</v>
      </c>
      <c r="I1388" t="str">
        <f>IFERROR(VLOOKUP(Calculations[[#This Row],[Material (choose from dropdown]],MaterialData[#All],2,FALSE),"")</f>
        <v/>
      </c>
      <c r="J1388" s="322">
        <f>IFERROR(((VLOOKUP(Calculations[[#This Row],[TransportSource]],TransportDistance[],2,FALSE)*'Stage assumptions'!$C$11)+VLOOKUP(Calculations[[#This Row],[TransportSource]],TransportDistance[],3,FALSE)*'Stage assumptions'!$C$12)*Calculations[[#This Row],[Total Kg]],0)</f>
        <v>0</v>
      </c>
      <c r="K1388">
        <f>IFERROR(VLOOKUP(Calculations[[#This Row],[Material (choose from dropdown]], MaterialData[#All],3, FALSE),0)</f>
        <v>0</v>
      </c>
      <c r="L1388" s="322">
        <f>IFERROR(VLOOKUP(Calculations[[#This Row],[A5type]],A5WastageRate[#All],2,FALSE)*Calculations[[#This Row],[A1-3]],0)</f>
        <v>0</v>
      </c>
      <c r="N1388">
        <f>IFERROR(ROUNDUP(50/VLOOKUP(Calculations[[#This Row],[Scope Element]],B4referenceServiceLife[[Tier 2 element]:[Default Service Life]],2, FALSE)-1,0),0)</f>
        <v>0</v>
      </c>
      <c r="O1388" s="322">
        <f>IFERROR((Calculations[[#This Row],[A1-3]]+Calculations[[#This Row],[A4]]+Calculations[[#This Row],[A5]]+Calculations[[#This Row],[C2 total]]+Calculations[[#This Row],[C3 total]]+Calculations[[#This Row],[C4 total]])*Calculations[[#This Row],[Replacements]],0)</f>
        <v>0</v>
      </c>
      <c r="S1388" t="str">
        <f>IFERROR(VLOOKUP(Calculations[[#This Row],[Material (choose from dropdown]],MaterialData[#All],4,FALSE),"")</f>
        <v/>
      </c>
      <c r="T1388" s="322" cm="1">
        <f t="array" ref="T1388">IFERROR(VLOOKUP(Calculations[[#This Row],[Waste 1]],WasteScenario[#All],2,FALSE)*'Stage assumptions'!$C$225*WasteTransportMethod[Emissions Factor
kgCO2e/kg.km]*Calculations[[#This Row],[Total Kg]],0)</f>
        <v>0</v>
      </c>
      <c r="U1388" s="322" cm="1">
        <f t="array" ref="U1388">IFERROR(VLOOKUP(Calculations[[#This Row],[Waste 1]],WasteScenario[#All],3,FALSE)*'Stage assumptions'!$C$224*WasteTransportMethod[Emissions Factor
kgCO2e/kg.km]*Calculations[[#This Row],[Total Kg]],0)</f>
        <v>0</v>
      </c>
      <c r="V1388" s="322" cm="1">
        <f t="array" ref="V1388">IFERROR(VLOOKUP(Calculations[[#This Row],[Waste 1]],WasteScenario[#All],4,FALSE)*'Stage assumptions'!$C$223*WasteTransportMethod[Emissions Factor
kgCO2e/kg.km]*Calculations[[#This Row],[Total Kg]],0)</f>
        <v>0</v>
      </c>
      <c r="W1388" s="322" cm="1">
        <f t="array" ref="W1388">IFERROR(VLOOKUP(Calculations[[#This Row],[Waste 1]],WasteScenario[#All],5,FALSE)*'Stage assumptions'!$C$226*WasteTransportMethod[Emissions Factor
kgCO2e/kg.km]*Calculations[[#This Row],[Total Kg]],0)</f>
        <v>0</v>
      </c>
      <c r="X1388" s="322">
        <f>SUM(Calculations[[#This Row],[C2 Recycle]:[C2 Reuse]])</f>
        <v>0</v>
      </c>
      <c r="Y1388" t="str">
        <f>IFERROR(VLOOKUP(Calculations[[#This Row],[Material (choose from dropdown]],MaterialData[#All],5,FALSE),"")</f>
        <v/>
      </c>
      <c r="Z1388" s="322">
        <f>IFERROR(((VLOOKUP(Calculations[[#This Row],[Waste type 2]],WasteDisposalEmissions[#All],2,FALSE))*Calculations[[#This Row],[Total Kg]])*VLOOKUP(Calculations[[#This Row],[Waste 1]],WasteScenario[#All],2,FALSE),0)</f>
        <v>0</v>
      </c>
      <c r="AA1388" s="322">
        <f>IFERROR((VLOOKUP(Calculations[[#This Row],[Waste type 2]],WasteDisposalEmissions[#All],3,FALSE))*Calculations[[#This Row],[Total Kg]]*VLOOKUP(Calculations[[#This Row],[Waste 1]],WasteScenario[#All],3,FALSE),0)</f>
        <v>0</v>
      </c>
      <c r="AB1388" s="322">
        <f>SUM(Calculations[[#This Row],[C3 recyc]:[C3 incin]])</f>
        <v>0</v>
      </c>
      <c r="AC1388" s="334">
        <f>IFERROR((VLOOKUP(Calculations[[#This Row],[Waste type 2]],WasteLandfillEmissions[#All],2,FALSE))*Calculations[[#This Row],[Total Kg]]*VLOOKUP(Calculations[[#This Row],[Waste 1]],WasteScenario[#All],4,FALSE),0)</f>
        <v>0</v>
      </c>
      <c r="AD1388" s="322">
        <f>IFERROR((VLOOKUP(Calculations[[#This Row],[Waste type 2]],WasteLandfillEmissions[#All],3,FALSE))*Calculations[[#This Row],[Total Kg]]*VLOOKUP(Calculations[[#This Row],[Waste 1]],WasteScenario[#All],4,FALSE),0)</f>
        <v>0</v>
      </c>
      <c r="AE1388" s="322">
        <f>SUM(Calculations[[#This Row],[C4 landfill]:[C4 re-use]])</f>
        <v>0</v>
      </c>
      <c r="AF1388" s="322">
        <f>IFERROR(VLOOKUP(Calculations[[#This Row],[Material (choose from dropdown]],MaterialData[#All],8,FALSE),0)</f>
        <v>0</v>
      </c>
      <c r="AG1388" s="322">
        <f>IFERROR(Calculations[[#This Row],[Total Kg]]*Calculations[[#This Row],[Seq factor]],0)</f>
        <v>0</v>
      </c>
      <c r="AI1388" s="322">
        <f>Calculations[[#This Row],[A1-3]]+Calculations[[#This Row],[A4]]+Calculations[[#This Row],[A5]]+Calculations[[#This Row],[B4]]+Calculations[[#This Row],[C2 total]]+Calculations[[#This Row],[C3 total]]+Calculations[[#This Row],[C4 total]]</f>
        <v>0</v>
      </c>
      <c r="AJ1388" s="2">
        <f>IFERROR(VLOOKUP(Calculations[[#This Row],[Material (choose from dropdown]],MaterialData[[#Headers],[#Data]],9,FALSE),0)</f>
        <v>0</v>
      </c>
      <c r="AK1388" s="4">
        <f>IFERROR(VLOOKUP(Calculations[[#This Row],[Material (choose from dropdown]],MaterialData[[#Headers],[#Data]],10,FALSE),0)</f>
        <v>0</v>
      </c>
      <c r="AL1388" s="322">
        <f>IFERROR(Calculations[[#This Row],[Data Quality Score]]*Calculations[[#This Row],[Total Kg]],0)</f>
        <v>0</v>
      </c>
    </row>
    <row r="1389" spans="1:38" x14ac:dyDescent="0.3">
      <c r="A1389" s="6">
        <f>IFERROR(MaterialsBoQ[[#This Row],[Scope Element]],0)</f>
        <v>0</v>
      </c>
      <c r="B1389" t="str">
        <f>IFERROR(MaterialsBoQ[[#This Row],[Material ]],"")</f>
        <v/>
      </c>
      <c r="C1389" t="str">
        <f>IFERROR(MaterialsBoQ[[#This Row],[Unit]],"")</f>
        <v/>
      </c>
      <c r="D1389" s="322">
        <f>IFERROR(MaterialsBoQ[[#This Row],[Number]],0)</f>
        <v>0</v>
      </c>
      <c r="E1389" s="322">
        <f>IFERROR(MaterialsBoQ[[#This Row],[Kg per unit]],0)</f>
        <v>0</v>
      </c>
      <c r="F1389" s="322">
        <f>IFERROR(Calculations[[#This Row],[Number]]*Calculations[[#This Row],[Conversion factor]],0)</f>
        <v>0</v>
      </c>
      <c r="G1389" s="322">
        <f>IFERROR(VLOOKUP(Calculations[[#This Row],[Material (choose from dropdown]],MaterialData[#All],7,FALSE),0)</f>
        <v>0</v>
      </c>
      <c r="H1389" s="322">
        <f>Calculations[[#This Row],[Total Kg]]*Calculations[[#This Row],[Carbon Factor]]</f>
        <v>0</v>
      </c>
      <c r="I1389" t="str">
        <f>IFERROR(VLOOKUP(Calculations[[#This Row],[Material (choose from dropdown]],MaterialData[#All],2,FALSE),"")</f>
        <v/>
      </c>
      <c r="J1389" s="322">
        <f>IFERROR(((VLOOKUP(Calculations[[#This Row],[TransportSource]],TransportDistance[],2,FALSE)*'Stage assumptions'!$C$11)+VLOOKUP(Calculations[[#This Row],[TransportSource]],TransportDistance[],3,FALSE)*'Stage assumptions'!$C$12)*Calculations[[#This Row],[Total Kg]],0)</f>
        <v>0</v>
      </c>
      <c r="K1389">
        <f>IFERROR(VLOOKUP(Calculations[[#This Row],[Material (choose from dropdown]], MaterialData[#All],3, FALSE),0)</f>
        <v>0</v>
      </c>
      <c r="L1389" s="322">
        <f>IFERROR(VLOOKUP(Calculations[[#This Row],[A5type]],A5WastageRate[#All],2,FALSE)*Calculations[[#This Row],[A1-3]],0)</f>
        <v>0</v>
      </c>
      <c r="N1389">
        <f>IFERROR(ROUNDUP(50/VLOOKUP(Calculations[[#This Row],[Scope Element]],B4referenceServiceLife[[Tier 2 element]:[Default Service Life]],2, FALSE)-1,0),0)</f>
        <v>0</v>
      </c>
      <c r="O1389" s="322">
        <f>IFERROR((Calculations[[#This Row],[A1-3]]+Calculations[[#This Row],[A4]]+Calculations[[#This Row],[A5]]+Calculations[[#This Row],[C2 total]]+Calculations[[#This Row],[C3 total]]+Calculations[[#This Row],[C4 total]])*Calculations[[#This Row],[Replacements]],0)</f>
        <v>0</v>
      </c>
      <c r="S1389" t="str">
        <f>IFERROR(VLOOKUP(Calculations[[#This Row],[Material (choose from dropdown]],MaterialData[#All],4,FALSE),"")</f>
        <v/>
      </c>
      <c r="T1389" s="322" cm="1">
        <f t="array" ref="T1389">IFERROR(VLOOKUP(Calculations[[#This Row],[Waste 1]],WasteScenario[#All],2,FALSE)*'Stage assumptions'!$C$225*WasteTransportMethod[Emissions Factor
kgCO2e/kg.km]*Calculations[[#This Row],[Total Kg]],0)</f>
        <v>0</v>
      </c>
      <c r="U1389" s="322" cm="1">
        <f t="array" ref="U1389">IFERROR(VLOOKUP(Calculations[[#This Row],[Waste 1]],WasteScenario[#All],3,FALSE)*'Stage assumptions'!$C$224*WasteTransportMethod[Emissions Factor
kgCO2e/kg.km]*Calculations[[#This Row],[Total Kg]],0)</f>
        <v>0</v>
      </c>
      <c r="V1389" s="322" cm="1">
        <f t="array" ref="V1389">IFERROR(VLOOKUP(Calculations[[#This Row],[Waste 1]],WasteScenario[#All],4,FALSE)*'Stage assumptions'!$C$223*WasteTransportMethod[Emissions Factor
kgCO2e/kg.km]*Calculations[[#This Row],[Total Kg]],0)</f>
        <v>0</v>
      </c>
      <c r="W1389" s="322" cm="1">
        <f t="array" ref="W1389">IFERROR(VLOOKUP(Calculations[[#This Row],[Waste 1]],WasteScenario[#All],5,FALSE)*'Stage assumptions'!$C$226*WasteTransportMethod[Emissions Factor
kgCO2e/kg.km]*Calculations[[#This Row],[Total Kg]],0)</f>
        <v>0</v>
      </c>
      <c r="X1389" s="322">
        <f>SUM(Calculations[[#This Row],[C2 Recycle]:[C2 Reuse]])</f>
        <v>0</v>
      </c>
      <c r="Y1389" t="str">
        <f>IFERROR(VLOOKUP(Calculations[[#This Row],[Material (choose from dropdown]],MaterialData[#All],5,FALSE),"")</f>
        <v/>
      </c>
      <c r="Z1389" s="322">
        <f>IFERROR(((VLOOKUP(Calculations[[#This Row],[Waste type 2]],WasteDisposalEmissions[#All],2,FALSE))*Calculations[[#This Row],[Total Kg]])*VLOOKUP(Calculations[[#This Row],[Waste 1]],WasteScenario[#All],2,FALSE),0)</f>
        <v>0</v>
      </c>
      <c r="AA1389" s="322">
        <f>IFERROR((VLOOKUP(Calculations[[#This Row],[Waste type 2]],WasteDisposalEmissions[#All],3,FALSE))*Calculations[[#This Row],[Total Kg]]*VLOOKUP(Calculations[[#This Row],[Waste 1]],WasteScenario[#All],3,FALSE),0)</f>
        <v>0</v>
      </c>
      <c r="AB1389" s="322">
        <f>SUM(Calculations[[#This Row],[C3 recyc]:[C3 incin]])</f>
        <v>0</v>
      </c>
      <c r="AC1389" s="334">
        <f>IFERROR((VLOOKUP(Calculations[[#This Row],[Waste type 2]],WasteLandfillEmissions[#All],2,FALSE))*Calculations[[#This Row],[Total Kg]]*VLOOKUP(Calculations[[#This Row],[Waste 1]],WasteScenario[#All],4,FALSE),0)</f>
        <v>0</v>
      </c>
      <c r="AD1389" s="322">
        <f>IFERROR((VLOOKUP(Calculations[[#This Row],[Waste type 2]],WasteLandfillEmissions[#All],3,FALSE))*Calculations[[#This Row],[Total Kg]]*VLOOKUP(Calculations[[#This Row],[Waste 1]],WasteScenario[#All],4,FALSE),0)</f>
        <v>0</v>
      </c>
      <c r="AE1389" s="322">
        <f>SUM(Calculations[[#This Row],[C4 landfill]:[C4 re-use]])</f>
        <v>0</v>
      </c>
      <c r="AF1389" s="322">
        <f>IFERROR(VLOOKUP(Calculations[[#This Row],[Material (choose from dropdown]],MaterialData[#All],8,FALSE),0)</f>
        <v>0</v>
      </c>
      <c r="AG1389" s="322">
        <f>IFERROR(Calculations[[#This Row],[Total Kg]]*Calculations[[#This Row],[Seq factor]],0)</f>
        <v>0</v>
      </c>
      <c r="AI1389" s="322">
        <f>Calculations[[#This Row],[A1-3]]+Calculations[[#This Row],[A4]]+Calculations[[#This Row],[A5]]+Calculations[[#This Row],[B4]]+Calculations[[#This Row],[C2 total]]+Calculations[[#This Row],[C3 total]]+Calculations[[#This Row],[C4 total]]</f>
        <v>0</v>
      </c>
      <c r="AJ1389" s="2">
        <f>IFERROR(VLOOKUP(Calculations[[#This Row],[Material (choose from dropdown]],MaterialData[[#Headers],[#Data]],9,FALSE),0)</f>
        <v>0</v>
      </c>
      <c r="AK1389" s="4">
        <f>IFERROR(VLOOKUP(Calculations[[#This Row],[Material (choose from dropdown]],MaterialData[[#Headers],[#Data]],10,FALSE),0)</f>
        <v>0</v>
      </c>
      <c r="AL1389" s="322">
        <f>IFERROR(Calculations[[#This Row],[Data Quality Score]]*Calculations[[#This Row],[Total Kg]],0)</f>
        <v>0</v>
      </c>
    </row>
    <row r="1390" spans="1:38" x14ac:dyDescent="0.3">
      <c r="A1390" s="6">
        <f>IFERROR(MaterialsBoQ[[#This Row],[Scope Element]],0)</f>
        <v>0</v>
      </c>
      <c r="B1390" t="str">
        <f>IFERROR(MaterialsBoQ[[#This Row],[Material ]],"")</f>
        <v/>
      </c>
      <c r="C1390" t="str">
        <f>IFERROR(MaterialsBoQ[[#This Row],[Unit]],"")</f>
        <v/>
      </c>
      <c r="D1390" s="322">
        <f>IFERROR(MaterialsBoQ[[#This Row],[Number]],0)</f>
        <v>0</v>
      </c>
      <c r="E1390" s="322">
        <f>IFERROR(MaterialsBoQ[[#This Row],[Kg per unit]],0)</f>
        <v>0</v>
      </c>
      <c r="F1390" s="322">
        <f>IFERROR(Calculations[[#This Row],[Number]]*Calculations[[#This Row],[Conversion factor]],0)</f>
        <v>0</v>
      </c>
      <c r="G1390" s="322">
        <f>IFERROR(VLOOKUP(Calculations[[#This Row],[Material (choose from dropdown]],MaterialData[#All],7,FALSE),0)</f>
        <v>0</v>
      </c>
      <c r="H1390" s="322">
        <f>Calculations[[#This Row],[Total Kg]]*Calculations[[#This Row],[Carbon Factor]]</f>
        <v>0</v>
      </c>
      <c r="I1390" t="str">
        <f>IFERROR(VLOOKUP(Calculations[[#This Row],[Material (choose from dropdown]],MaterialData[#All],2,FALSE),"")</f>
        <v/>
      </c>
      <c r="J1390" s="322">
        <f>IFERROR(((VLOOKUP(Calculations[[#This Row],[TransportSource]],TransportDistance[],2,FALSE)*'Stage assumptions'!$C$11)+VLOOKUP(Calculations[[#This Row],[TransportSource]],TransportDistance[],3,FALSE)*'Stage assumptions'!$C$12)*Calculations[[#This Row],[Total Kg]],0)</f>
        <v>0</v>
      </c>
      <c r="K1390">
        <f>IFERROR(VLOOKUP(Calculations[[#This Row],[Material (choose from dropdown]], MaterialData[#All],3, FALSE),0)</f>
        <v>0</v>
      </c>
      <c r="L1390" s="322">
        <f>IFERROR(VLOOKUP(Calculations[[#This Row],[A5type]],A5WastageRate[#All],2,FALSE)*Calculations[[#This Row],[A1-3]],0)</f>
        <v>0</v>
      </c>
      <c r="N1390">
        <f>IFERROR(ROUNDUP(50/VLOOKUP(Calculations[[#This Row],[Scope Element]],B4referenceServiceLife[[Tier 2 element]:[Default Service Life]],2, FALSE)-1,0),0)</f>
        <v>0</v>
      </c>
      <c r="O1390" s="322">
        <f>IFERROR((Calculations[[#This Row],[A1-3]]+Calculations[[#This Row],[A4]]+Calculations[[#This Row],[A5]]+Calculations[[#This Row],[C2 total]]+Calculations[[#This Row],[C3 total]]+Calculations[[#This Row],[C4 total]])*Calculations[[#This Row],[Replacements]],0)</f>
        <v>0</v>
      </c>
      <c r="S1390" t="str">
        <f>IFERROR(VLOOKUP(Calculations[[#This Row],[Material (choose from dropdown]],MaterialData[#All],4,FALSE),"")</f>
        <v/>
      </c>
      <c r="T1390" s="322" cm="1">
        <f t="array" ref="T1390">IFERROR(VLOOKUP(Calculations[[#This Row],[Waste 1]],WasteScenario[#All],2,FALSE)*'Stage assumptions'!$C$225*WasteTransportMethod[Emissions Factor
kgCO2e/kg.km]*Calculations[[#This Row],[Total Kg]],0)</f>
        <v>0</v>
      </c>
      <c r="U1390" s="322" cm="1">
        <f t="array" ref="U1390">IFERROR(VLOOKUP(Calculations[[#This Row],[Waste 1]],WasteScenario[#All],3,FALSE)*'Stage assumptions'!$C$224*WasteTransportMethod[Emissions Factor
kgCO2e/kg.km]*Calculations[[#This Row],[Total Kg]],0)</f>
        <v>0</v>
      </c>
      <c r="V1390" s="322" cm="1">
        <f t="array" ref="V1390">IFERROR(VLOOKUP(Calculations[[#This Row],[Waste 1]],WasteScenario[#All],4,FALSE)*'Stage assumptions'!$C$223*WasteTransportMethod[Emissions Factor
kgCO2e/kg.km]*Calculations[[#This Row],[Total Kg]],0)</f>
        <v>0</v>
      </c>
      <c r="W1390" s="322" cm="1">
        <f t="array" ref="W1390">IFERROR(VLOOKUP(Calculations[[#This Row],[Waste 1]],WasteScenario[#All],5,FALSE)*'Stage assumptions'!$C$226*WasteTransportMethod[Emissions Factor
kgCO2e/kg.km]*Calculations[[#This Row],[Total Kg]],0)</f>
        <v>0</v>
      </c>
      <c r="X1390" s="322">
        <f>SUM(Calculations[[#This Row],[C2 Recycle]:[C2 Reuse]])</f>
        <v>0</v>
      </c>
      <c r="Y1390" t="str">
        <f>IFERROR(VLOOKUP(Calculations[[#This Row],[Material (choose from dropdown]],MaterialData[#All],5,FALSE),"")</f>
        <v/>
      </c>
      <c r="Z1390" s="322">
        <f>IFERROR(((VLOOKUP(Calculations[[#This Row],[Waste type 2]],WasteDisposalEmissions[#All],2,FALSE))*Calculations[[#This Row],[Total Kg]])*VLOOKUP(Calculations[[#This Row],[Waste 1]],WasteScenario[#All],2,FALSE),0)</f>
        <v>0</v>
      </c>
      <c r="AA1390" s="322">
        <f>IFERROR((VLOOKUP(Calculations[[#This Row],[Waste type 2]],WasteDisposalEmissions[#All],3,FALSE))*Calculations[[#This Row],[Total Kg]]*VLOOKUP(Calculations[[#This Row],[Waste 1]],WasteScenario[#All],3,FALSE),0)</f>
        <v>0</v>
      </c>
      <c r="AB1390" s="322">
        <f>SUM(Calculations[[#This Row],[C3 recyc]:[C3 incin]])</f>
        <v>0</v>
      </c>
      <c r="AC1390" s="334">
        <f>IFERROR((VLOOKUP(Calculations[[#This Row],[Waste type 2]],WasteLandfillEmissions[#All],2,FALSE))*Calculations[[#This Row],[Total Kg]]*VLOOKUP(Calculations[[#This Row],[Waste 1]],WasteScenario[#All],4,FALSE),0)</f>
        <v>0</v>
      </c>
      <c r="AD1390" s="322">
        <f>IFERROR((VLOOKUP(Calculations[[#This Row],[Waste type 2]],WasteLandfillEmissions[#All],3,FALSE))*Calculations[[#This Row],[Total Kg]]*VLOOKUP(Calculations[[#This Row],[Waste 1]],WasteScenario[#All],4,FALSE),0)</f>
        <v>0</v>
      </c>
      <c r="AE1390" s="322">
        <f>SUM(Calculations[[#This Row],[C4 landfill]:[C4 re-use]])</f>
        <v>0</v>
      </c>
      <c r="AF1390" s="322">
        <f>IFERROR(VLOOKUP(Calculations[[#This Row],[Material (choose from dropdown]],MaterialData[#All],8,FALSE),0)</f>
        <v>0</v>
      </c>
      <c r="AG1390" s="322">
        <f>IFERROR(Calculations[[#This Row],[Total Kg]]*Calculations[[#This Row],[Seq factor]],0)</f>
        <v>0</v>
      </c>
      <c r="AI1390" s="322">
        <f>Calculations[[#This Row],[A1-3]]+Calculations[[#This Row],[A4]]+Calculations[[#This Row],[A5]]+Calculations[[#This Row],[B4]]+Calculations[[#This Row],[C2 total]]+Calculations[[#This Row],[C3 total]]+Calculations[[#This Row],[C4 total]]</f>
        <v>0</v>
      </c>
      <c r="AJ1390" s="2">
        <f>IFERROR(VLOOKUP(Calculations[[#This Row],[Material (choose from dropdown]],MaterialData[[#Headers],[#Data]],9,FALSE),0)</f>
        <v>0</v>
      </c>
      <c r="AK1390" s="4">
        <f>IFERROR(VLOOKUP(Calculations[[#This Row],[Material (choose from dropdown]],MaterialData[[#Headers],[#Data]],10,FALSE),0)</f>
        <v>0</v>
      </c>
      <c r="AL1390" s="322">
        <f>IFERROR(Calculations[[#This Row],[Data Quality Score]]*Calculations[[#This Row],[Total Kg]],0)</f>
        <v>0</v>
      </c>
    </row>
    <row r="1391" spans="1:38" x14ac:dyDescent="0.3">
      <c r="A1391" s="6">
        <f>IFERROR(MaterialsBoQ[[#This Row],[Scope Element]],0)</f>
        <v>0</v>
      </c>
      <c r="B1391" t="str">
        <f>IFERROR(MaterialsBoQ[[#This Row],[Material ]],"")</f>
        <v/>
      </c>
      <c r="C1391" t="str">
        <f>IFERROR(MaterialsBoQ[[#This Row],[Unit]],"")</f>
        <v/>
      </c>
      <c r="D1391" s="322">
        <f>IFERROR(MaterialsBoQ[[#This Row],[Number]],0)</f>
        <v>0</v>
      </c>
      <c r="E1391" s="322">
        <f>IFERROR(MaterialsBoQ[[#This Row],[Kg per unit]],0)</f>
        <v>0</v>
      </c>
      <c r="F1391" s="322">
        <f>IFERROR(Calculations[[#This Row],[Number]]*Calculations[[#This Row],[Conversion factor]],0)</f>
        <v>0</v>
      </c>
      <c r="G1391" s="322">
        <f>IFERROR(VLOOKUP(Calculations[[#This Row],[Material (choose from dropdown]],MaterialData[#All],7,FALSE),0)</f>
        <v>0</v>
      </c>
      <c r="H1391" s="322">
        <f>Calculations[[#This Row],[Total Kg]]*Calculations[[#This Row],[Carbon Factor]]</f>
        <v>0</v>
      </c>
      <c r="I1391" t="str">
        <f>IFERROR(VLOOKUP(Calculations[[#This Row],[Material (choose from dropdown]],MaterialData[#All],2,FALSE),"")</f>
        <v/>
      </c>
      <c r="J1391" s="322">
        <f>IFERROR(((VLOOKUP(Calculations[[#This Row],[TransportSource]],TransportDistance[],2,FALSE)*'Stage assumptions'!$C$11)+VLOOKUP(Calculations[[#This Row],[TransportSource]],TransportDistance[],3,FALSE)*'Stage assumptions'!$C$12)*Calculations[[#This Row],[Total Kg]],0)</f>
        <v>0</v>
      </c>
      <c r="K1391">
        <f>IFERROR(VLOOKUP(Calculations[[#This Row],[Material (choose from dropdown]], MaterialData[#All],3, FALSE),0)</f>
        <v>0</v>
      </c>
      <c r="L1391" s="322">
        <f>IFERROR(VLOOKUP(Calculations[[#This Row],[A5type]],A5WastageRate[#All],2,FALSE)*Calculations[[#This Row],[A1-3]],0)</f>
        <v>0</v>
      </c>
      <c r="N1391">
        <f>IFERROR(ROUNDUP(50/VLOOKUP(Calculations[[#This Row],[Scope Element]],B4referenceServiceLife[[Tier 2 element]:[Default Service Life]],2, FALSE)-1,0),0)</f>
        <v>0</v>
      </c>
      <c r="O1391" s="322">
        <f>IFERROR((Calculations[[#This Row],[A1-3]]+Calculations[[#This Row],[A4]]+Calculations[[#This Row],[A5]]+Calculations[[#This Row],[C2 total]]+Calculations[[#This Row],[C3 total]]+Calculations[[#This Row],[C4 total]])*Calculations[[#This Row],[Replacements]],0)</f>
        <v>0</v>
      </c>
      <c r="S1391" t="str">
        <f>IFERROR(VLOOKUP(Calculations[[#This Row],[Material (choose from dropdown]],MaterialData[#All],4,FALSE),"")</f>
        <v/>
      </c>
      <c r="T1391" s="322" cm="1">
        <f t="array" ref="T1391">IFERROR(VLOOKUP(Calculations[[#This Row],[Waste 1]],WasteScenario[#All],2,FALSE)*'Stage assumptions'!$C$225*WasteTransportMethod[Emissions Factor
kgCO2e/kg.km]*Calculations[[#This Row],[Total Kg]],0)</f>
        <v>0</v>
      </c>
      <c r="U1391" s="322" cm="1">
        <f t="array" ref="U1391">IFERROR(VLOOKUP(Calculations[[#This Row],[Waste 1]],WasteScenario[#All],3,FALSE)*'Stage assumptions'!$C$224*WasteTransportMethod[Emissions Factor
kgCO2e/kg.km]*Calculations[[#This Row],[Total Kg]],0)</f>
        <v>0</v>
      </c>
      <c r="V1391" s="322" cm="1">
        <f t="array" ref="V1391">IFERROR(VLOOKUP(Calculations[[#This Row],[Waste 1]],WasteScenario[#All],4,FALSE)*'Stage assumptions'!$C$223*WasteTransportMethod[Emissions Factor
kgCO2e/kg.km]*Calculations[[#This Row],[Total Kg]],0)</f>
        <v>0</v>
      </c>
      <c r="W1391" s="322" cm="1">
        <f t="array" ref="W1391">IFERROR(VLOOKUP(Calculations[[#This Row],[Waste 1]],WasteScenario[#All],5,FALSE)*'Stage assumptions'!$C$226*WasteTransportMethod[Emissions Factor
kgCO2e/kg.km]*Calculations[[#This Row],[Total Kg]],0)</f>
        <v>0</v>
      </c>
      <c r="X1391" s="322">
        <f>SUM(Calculations[[#This Row],[C2 Recycle]:[C2 Reuse]])</f>
        <v>0</v>
      </c>
      <c r="Y1391" t="str">
        <f>IFERROR(VLOOKUP(Calculations[[#This Row],[Material (choose from dropdown]],MaterialData[#All],5,FALSE),"")</f>
        <v/>
      </c>
      <c r="Z1391" s="322">
        <f>IFERROR(((VLOOKUP(Calculations[[#This Row],[Waste type 2]],WasteDisposalEmissions[#All],2,FALSE))*Calculations[[#This Row],[Total Kg]])*VLOOKUP(Calculations[[#This Row],[Waste 1]],WasteScenario[#All],2,FALSE),0)</f>
        <v>0</v>
      </c>
      <c r="AA1391" s="322">
        <f>IFERROR((VLOOKUP(Calculations[[#This Row],[Waste type 2]],WasteDisposalEmissions[#All],3,FALSE))*Calculations[[#This Row],[Total Kg]]*VLOOKUP(Calculations[[#This Row],[Waste 1]],WasteScenario[#All],3,FALSE),0)</f>
        <v>0</v>
      </c>
      <c r="AB1391" s="322">
        <f>SUM(Calculations[[#This Row],[C3 recyc]:[C3 incin]])</f>
        <v>0</v>
      </c>
      <c r="AC1391" s="334">
        <f>IFERROR((VLOOKUP(Calculations[[#This Row],[Waste type 2]],WasteLandfillEmissions[#All],2,FALSE))*Calculations[[#This Row],[Total Kg]]*VLOOKUP(Calculations[[#This Row],[Waste 1]],WasteScenario[#All],4,FALSE),0)</f>
        <v>0</v>
      </c>
      <c r="AD1391" s="322">
        <f>IFERROR((VLOOKUP(Calculations[[#This Row],[Waste type 2]],WasteLandfillEmissions[#All],3,FALSE))*Calculations[[#This Row],[Total Kg]]*VLOOKUP(Calculations[[#This Row],[Waste 1]],WasteScenario[#All],4,FALSE),0)</f>
        <v>0</v>
      </c>
      <c r="AE1391" s="322">
        <f>SUM(Calculations[[#This Row],[C4 landfill]:[C4 re-use]])</f>
        <v>0</v>
      </c>
      <c r="AF1391" s="322">
        <f>IFERROR(VLOOKUP(Calculations[[#This Row],[Material (choose from dropdown]],MaterialData[#All],8,FALSE),0)</f>
        <v>0</v>
      </c>
      <c r="AG1391" s="322">
        <f>IFERROR(Calculations[[#This Row],[Total Kg]]*Calculations[[#This Row],[Seq factor]],0)</f>
        <v>0</v>
      </c>
      <c r="AI1391" s="322">
        <f>Calculations[[#This Row],[A1-3]]+Calculations[[#This Row],[A4]]+Calculations[[#This Row],[A5]]+Calculations[[#This Row],[B4]]+Calculations[[#This Row],[C2 total]]+Calculations[[#This Row],[C3 total]]+Calculations[[#This Row],[C4 total]]</f>
        <v>0</v>
      </c>
      <c r="AJ1391" s="2">
        <f>IFERROR(VLOOKUP(Calculations[[#This Row],[Material (choose from dropdown]],MaterialData[[#Headers],[#Data]],9,FALSE),0)</f>
        <v>0</v>
      </c>
      <c r="AK1391" s="4">
        <f>IFERROR(VLOOKUP(Calculations[[#This Row],[Material (choose from dropdown]],MaterialData[[#Headers],[#Data]],10,FALSE),0)</f>
        <v>0</v>
      </c>
      <c r="AL1391" s="322">
        <f>IFERROR(Calculations[[#This Row],[Data Quality Score]]*Calculations[[#This Row],[Total Kg]],0)</f>
        <v>0</v>
      </c>
    </row>
    <row r="1392" spans="1:38" x14ac:dyDescent="0.3">
      <c r="A1392" s="6">
        <f>IFERROR(MaterialsBoQ[[#This Row],[Scope Element]],0)</f>
        <v>0</v>
      </c>
      <c r="B1392" t="str">
        <f>IFERROR(MaterialsBoQ[[#This Row],[Material ]],"")</f>
        <v/>
      </c>
      <c r="C1392" t="str">
        <f>IFERROR(MaterialsBoQ[[#This Row],[Unit]],"")</f>
        <v/>
      </c>
      <c r="D1392" s="322">
        <f>IFERROR(MaterialsBoQ[[#This Row],[Number]],0)</f>
        <v>0</v>
      </c>
      <c r="E1392" s="322">
        <f>IFERROR(MaterialsBoQ[[#This Row],[Kg per unit]],0)</f>
        <v>0</v>
      </c>
      <c r="F1392" s="322">
        <f>IFERROR(Calculations[[#This Row],[Number]]*Calculations[[#This Row],[Conversion factor]],0)</f>
        <v>0</v>
      </c>
      <c r="G1392" s="322">
        <f>IFERROR(VLOOKUP(Calculations[[#This Row],[Material (choose from dropdown]],MaterialData[#All],7,FALSE),0)</f>
        <v>0</v>
      </c>
      <c r="H1392" s="322">
        <f>Calculations[[#This Row],[Total Kg]]*Calculations[[#This Row],[Carbon Factor]]</f>
        <v>0</v>
      </c>
      <c r="I1392" t="str">
        <f>IFERROR(VLOOKUP(Calculations[[#This Row],[Material (choose from dropdown]],MaterialData[#All],2,FALSE),"")</f>
        <v/>
      </c>
      <c r="J1392" s="322">
        <f>IFERROR(((VLOOKUP(Calculations[[#This Row],[TransportSource]],TransportDistance[],2,FALSE)*'Stage assumptions'!$C$11)+VLOOKUP(Calculations[[#This Row],[TransportSource]],TransportDistance[],3,FALSE)*'Stage assumptions'!$C$12)*Calculations[[#This Row],[Total Kg]],0)</f>
        <v>0</v>
      </c>
      <c r="K1392">
        <f>IFERROR(VLOOKUP(Calculations[[#This Row],[Material (choose from dropdown]], MaterialData[#All],3, FALSE),0)</f>
        <v>0</v>
      </c>
      <c r="L1392" s="322">
        <f>IFERROR(VLOOKUP(Calculations[[#This Row],[A5type]],A5WastageRate[#All],2,FALSE)*Calculations[[#This Row],[A1-3]],0)</f>
        <v>0</v>
      </c>
      <c r="N1392">
        <f>IFERROR(ROUNDUP(50/VLOOKUP(Calculations[[#This Row],[Scope Element]],B4referenceServiceLife[[Tier 2 element]:[Default Service Life]],2, FALSE)-1,0),0)</f>
        <v>0</v>
      </c>
      <c r="O1392" s="322">
        <f>IFERROR((Calculations[[#This Row],[A1-3]]+Calculations[[#This Row],[A4]]+Calculations[[#This Row],[A5]]+Calculations[[#This Row],[C2 total]]+Calculations[[#This Row],[C3 total]]+Calculations[[#This Row],[C4 total]])*Calculations[[#This Row],[Replacements]],0)</f>
        <v>0</v>
      </c>
      <c r="S1392" t="str">
        <f>IFERROR(VLOOKUP(Calculations[[#This Row],[Material (choose from dropdown]],MaterialData[#All],4,FALSE),"")</f>
        <v/>
      </c>
      <c r="T1392" s="322" cm="1">
        <f t="array" ref="T1392">IFERROR(VLOOKUP(Calculations[[#This Row],[Waste 1]],WasteScenario[#All],2,FALSE)*'Stage assumptions'!$C$225*WasteTransportMethod[Emissions Factor
kgCO2e/kg.km]*Calculations[[#This Row],[Total Kg]],0)</f>
        <v>0</v>
      </c>
      <c r="U1392" s="322" cm="1">
        <f t="array" ref="U1392">IFERROR(VLOOKUP(Calculations[[#This Row],[Waste 1]],WasteScenario[#All],3,FALSE)*'Stage assumptions'!$C$224*WasteTransportMethod[Emissions Factor
kgCO2e/kg.km]*Calculations[[#This Row],[Total Kg]],0)</f>
        <v>0</v>
      </c>
      <c r="V1392" s="322" cm="1">
        <f t="array" ref="V1392">IFERROR(VLOOKUP(Calculations[[#This Row],[Waste 1]],WasteScenario[#All],4,FALSE)*'Stage assumptions'!$C$223*WasteTransportMethod[Emissions Factor
kgCO2e/kg.km]*Calculations[[#This Row],[Total Kg]],0)</f>
        <v>0</v>
      </c>
      <c r="W1392" s="322" cm="1">
        <f t="array" ref="W1392">IFERROR(VLOOKUP(Calculations[[#This Row],[Waste 1]],WasteScenario[#All],5,FALSE)*'Stage assumptions'!$C$226*WasteTransportMethod[Emissions Factor
kgCO2e/kg.km]*Calculations[[#This Row],[Total Kg]],0)</f>
        <v>0</v>
      </c>
      <c r="X1392" s="322">
        <f>SUM(Calculations[[#This Row],[C2 Recycle]:[C2 Reuse]])</f>
        <v>0</v>
      </c>
      <c r="Y1392" t="str">
        <f>IFERROR(VLOOKUP(Calculations[[#This Row],[Material (choose from dropdown]],MaterialData[#All],5,FALSE),"")</f>
        <v/>
      </c>
      <c r="Z1392" s="322">
        <f>IFERROR(((VLOOKUP(Calculations[[#This Row],[Waste type 2]],WasteDisposalEmissions[#All],2,FALSE))*Calculations[[#This Row],[Total Kg]])*VLOOKUP(Calculations[[#This Row],[Waste 1]],WasteScenario[#All],2,FALSE),0)</f>
        <v>0</v>
      </c>
      <c r="AA1392" s="322">
        <f>IFERROR((VLOOKUP(Calculations[[#This Row],[Waste type 2]],WasteDisposalEmissions[#All],3,FALSE))*Calculations[[#This Row],[Total Kg]]*VLOOKUP(Calculations[[#This Row],[Waste 1]],WasteScenario[#All],3,FALSE),0)</f>
        <v>0</v>
      </c>
      <c r="AB1392" s="322">
        <f>SUM(Calculations[[#This Row],[C3 recyc]:[C3 incin]])</f>
        <v>0</v>
      </c>
      <c r="AC1392" s="334">
        <f>IFERROR((VLOOKUP(Calculations[[#This Row],[Waste type 2]],WasteLandfillEmissions[#All],2,FALSE))*Calculations[[#This Row],[Total Kg]]*VLOOKUP(Calculations[[#This Row],[Waste 1]],WasteScenario[#All],4,FALSE),0)</f>
        <v>0</v>
      </c>
      <c r="AD1392" s="322">
        <f>IFERROR((VLOOKUP(Calculations[[#This Row],[Waste type 2]],WasteLandfillEmissions[#All],3,FALSE))*Calculations[[#This Row],[Total Kg]]*VLOOKUP(Calculations[[#This Row],[Waste 1]],WasteScenario[#All],4,FALSE),0)</f>
        <v>0</v>
      </c>
      <c r="AE1392" s="322">
        <f>SUM(Calculations[[#This Row],[C4 landfill]:[C4 re-use]])</f>
        <v>0</v>
      </c>
      <c r="AF1392" s="322">
        <f>IFERROR(VLOOKUP(Calculations[[#This Row],[Material (choose from dropdown]],MaterialData[#All],8,FALSE),0)</f>
        <v>0</v>
      </c>
      <c r="AG1392" s="322">
        <f>IFERROR(Calculations[[#This Row],[Total Kg]]*Calculations[[#This Row],[Seq factor]],0)</f>
        <v>0</v>
      </c>
      <c r="AI1392" s="322">
        <f>Calculations[[#This Row],[A1-3]]+Calculations[[#This Row],[A4]]+Calculations[[#This Row],[A5]]+Calculations[[#This Row],[B4]]+Calculations[[#This Row],[C2 total]]+Calculations[[#This Row],[C3 total]]+Calculations[[#This Row],[C4 total]]</f>
        <v>0</v>
      </c>
      <c r="AJ1392" s="2">
        <f>IFERROR(VLOOKUP(Calculations[[#This Row],[Material (choose from dropdown]],MaterialData[[#Headers],[#Data]],9,FALSE),0)</f>
        <v>0</v>
      </c>
      <c r="AK1392" s="4">
        <f>IFERROR(VLOOKUP(Calculations[[#This Row],[Material (choose from dropdown]],MaterialData[[#Headers],[#Data]],10,FALSE),0)</f>
        <v>0</v>
      </c>
      <c r="AL1392" s="322">
        <f>IFERROR(Calculations[[#This Row],[Data Quality Score]]*Calculations[[#This Row],[Total Kg]],0)</f>
        <v>0</v>
      </c>
    </row>
    <row r="1393" spans="1:38" x14ac:dyDescent="0.3">
      <c r="A1393" s="6">
        <f>IFERROR(MaterialsBoQ[[#This Row],[Scope Element]],0)</f>
        <v>0</v>
      </c>
      <c r="B1393" t="str">
        <f>IFERROR(MaterialsBoQ[[#This Row],[Material ]],"")</f>
        <v/>
      </c>
      <c r="C1393" t="str">
        <f>IFERROR(MaterialsBoQ[[#This Row],[Unit]],"")</f>
        <v/>
      </c>
      <c r="D1393" s="322">
        <f>IFERROR(MaterialsBoQ[[#This Row],[Number]],0)</f>
        <v>0</v>
      </c>
      <c r="E1393" s="322">
        <f>IFERROR(MaterialsBoQ[[#This Row],[Kg per unit]],0)</f>
        <v>0</v>
      </c>
      <c r="F1393" s="322">
        <f>IFERROR(Calculations[[#This Row],[Number]]*Calculations[[#This Row],[Conversion factor]],0)</f>
        <v>0</v>
      </c>
      <c r="G1393" s="322">
        <f>IFERROR(VLOOKUP(Calculations[[#This Row],[Material (choose from dropdown]],MaterialData[#All],7,FALSE),0)</f>
        <v>0</v>
      </c>
      <c r="H1393" s="322">
        <f>Calculations[[#This Row],[Total Kg]]*Calculations[[#This Row],[Carbon Factor]]</f>
        <v>0</v>
      </c>
      <c r="I1393" t="str">
        <f>IFERROR(VLOOKUP(Calculations[[#This Row],[Material (choose from dropdown]],MaterialData[#All],2,FALSE),"")</f>
        <v/>
      </c>
      <c r="J1393" s="322">
        <f>IFERROR(((VLOOKUP(Calculations[[#This Row],[TransportSource]],TransportDistance[],2,FALSE)*'Stage assumptions'!$C$11)+VLOOKUP(Calculations[[#This Row],[TransportSource]],TransportDistance[],3,FALSE)*'Stage assumptions'!$C$12)*Calculations[[#This Row],[Total Kg]],0)</f>
        <v>0</v>
      </c>
      <c r="K1393">
        <f>IFERROR(VLOOKUP(Calculations[[#This Row],[Material (choose from dropdown]], MaterialData[#All],3, FALSE),0)</f>
        <v>0</v>
      </c>
      <c r="L1393" s="322">
        <f>IFERROR(VLOOKUP(Calculations[[#This Row],[A5type]],A5WastageRate[#All],2,FALSE)*Calculations[[#This Row],[A1-3]],0)</f>
        <v>0</v>
      </c>
      <c r="N1393">
        <f>IFERROR(ROUNDUP(50/VLOOKUP(Calculations[[#This Row],[Scope Element]],B4referenceServiceLife[[Tier 2 element]:[Default Service Life]],2, FALSE)-1,0),0)</f>
        <v>0</v>
      </c>
      <c r="O1393" s="322">
        <f>IFERROR((Calculations[[#This Row],[A1-3]]+Calculations[[#This Row],[A4]]+Calculations[[#This Row],[A5]]+Calculations[[#This Row],[C2 total]]+Calculations[[#This Row],[C3 total]]+Calculations[[#This Row],[C4 total]])*Calculations[[#This Row],[Replacements]],0)</f>
        <v>0</v>
      </c>
      <c r="S1393" t="str">
        <f>IFERROR(VLOOKUP(Calculations[[#This Row],[Material (choose from dropdown]],MaterialData[#All],4,FALSE),"")</f>
        <v/>
      </c>
      <c r="T1393" s="322" cm="1">
        <f t="array" ref="T1393">IFERROR(VLOOKUP(Calculations[[#This Row],[Waste 1]],WasteScenario[#All],2,FALSE)*'Stage assumptions'!$C$225*WasteTransportMethod[Emissions Factor
kgCO2e/kg.km]*Calculations[[#This Row],[Total Kg]],0)</f>
        <v>0</v>
      </c>
      <c r="U1393" s="322" cm="1">
        <f t="array" ref="U1393">IFERROR(VLOOKUP(Calculations[[#This Row],[Waste 1]],WasteScenario[#All],3,FALSE)*'Stage assumptions'!$C$224*WasteTransportMethod[Emissions Factor
kgCO2e/kg.km]*Calculations[[#This Row],[Total Kg]],0)</f>
        <v>0</v>
      </c>
      <c r="V1393" s="322" cm="1">
        <f t="array" ref="V1393">IFERROR(VLOOKUP(Calculations[[#This Row],[Waste 1]],WasteScenario[#All],4,FALSE)*'Stage assumptions'!$C$223*WasteTransportMethod[Emissions Factor
kgCO2e/kg.km]*Calculations[[#This Row],[Total Kg]],0)</f>
        <v>0</v>
      </c>
      <c r="W1393" s="322" cm="1">
        <f t="array" ref="W1393">IFERROR(VLOOKUP(Calculations[[#This Row],[Waste 1]],WasteScenario[#All],5,FALSE)*'Stage assumptions'!$C$226*WasteTransportMethod[Emissions Factor
kgCO2e/kg.km]*Calculations[[#This Row],[Total Kg]],0)</f>
        <v>0</v>
      </c>
      <c r="X1393" s="322">
        <f>SUM(Calculations[[#This Row],[C2 Recycle]:[C2 Reuse]])</f>
        <v>0</v>
      </c>
      <c r="Y1393" t="str">
        <f>IFERROR(VLOOKUP(Calculations[[#This Row],[Material (choose from dropdown]],MaterialData[#All],5,FALSE),"")</f>
        <v/>
      </c>
      <c r="Z1393" s="322">
        <f>IFERROR(((VLOOKUP(Calculations[[#This Row],[Waste type 2]],WasteDisposalEmissions[#All],2,FALSE))*Calculations[[#This Row],[Total Kg]])*VLOOKUP(Calculations[[#This Row],[Waste 1]],WasteScenario[#All],2,FALSE),0)</f>
        <v>0</v>
      </c>
      <c r="AA1393" s="322">
        <f>IFERROR((VLOOKUP(Calculations[[#This Row],[Waste type 2]],WasteDisposalEmissions[#All],3,FALSE))*Calculations[[#This Row],[Total Kg]]*VLOOKUP(Calculations[[#This Row],[Waste 1]],WasteScenario[#All],3,FALSE),0)</f>
        <v>0</v>
      </c>
      <c r="AB1393" s="322">
        <f>SUM(Calculations[[#This Row],[C3 recyc]:[C3 incin]])</f>
        <v>0</v>
      </c>
      <c r="AC1393" s="334">
        <f>IFERROR((VLOOKUP(Calculations[[#This Row],[Waste type 2]],WasteLandfillEmissions[#All],2,FALSE))*Calculations[[#This Row],[Total Kg]]*VLOOKUP(Calculations[[#This Row],[Waste 1]],WasteScenario[#All],4,FALSE),0)</f>
        <v>0</v>
      </c>
      <c r="AD1393" s="322">
        <f>IFERROR((VLOOKUP(Calculations[[#This Row],[Waste type 2]],WasteLandfillEmissions[#All],3,FALSE))*Calculations[[#This Row],[Total Kg]]*VLOOKUP(Calculations[[#This Row],[Waste 1]],WasteScenario[#All],4,FALSE),0)</f>
        <v>0</v>
      </c>
      <c r="AE1393" s="322">
        <f>SUM(Calculations[[#This Row],[C4 landfill]:[C4 re-use]])</f>
        <v>0</v>
      </c>
      <c r="AF1393" s="322">
        <f>IFERROR(VLOOKUP(Calculations[[#This Row],[Material (choose from dropdown]],MaterialData[#All],8,FALSE),0)</f>
        <v>0</v>
      </c>
      <c r="AG1393" s="322">
        <f>IFERROR(Calculations[[#This Row],[Total Kg]]*Calculations[[#This Row],[Seq factor]],0)</f>
        <v>0</v>
      </c>
      <c r="AI1393" s="322">
        <f>Calculations[[#This Row],[A1-3]]+Calculations[[#This Row],[A4]]+Calculations[[#This Row],[A5]]+Calculations[[#This Row],[B4]]+Calculations[[#This Row],[C2 total]]+Calculations[[#This Row],[C3 total]]+Calculations[[#This Row],[C4 total]]</f>
        <v>0</v>
      </c>
      <c r="AJ1393" s="2">
        <f>IFERROR(VLOOKUP(Calculations[[#This Row],[Material (choose from dropdown]],MaterialData[[#Headers],[#Data]],9,FALSE),0)</f>
        <v>0</v>
      </c>
      <c r="AK1393" s="4">
        <f>IFERROR(VLOOKUP(Calculations[[#This Row],[Material (choose from dropdown]],MaterialData[[#Headers],[#Data]],10,FALSE),0)</f>
        <v>0</v>
      </c>
      <c r="AL1393" s="322">
        <f>IFERROR(Calculations[[#This Row],[Data Quality Score]]*Calculations[[#This Row],[Total Kg]],0)</f>
        <v>0</v>
      </c>
    </row>
    <row r="1394" spans="1:38" x14ac:dyDescent="0.3">
      <c r="A1394" s="6">
        <f>IFERROR(MaterialsBoQ[[#This Row],[Scope Element]],0)</f>
        <v>0</v>
      </c>
      <c r="B1394" t="str">
        <f>IFERROR(MaterialsBoQ[[#This Row],[Material ]],"")</f>
        <v/>
      </c>
      <c r="C1394" t="str">
        <f>IFERROR(MaterialsBoQ[[#This Row],[Unit]],"")</f>
        <v/>
      </c>
      <c r="D1394" s="322">
        <f>IFERROR(MaterialsBoQ[[#This Row],[Number]],0)</f>
        <v>0</v>
      </c>
      <c r="E1394" s="322">
        <f>IFERROR(MaterialsBoQ[[#This Row],[Kg per unit]],0)</f>
        <v>0</v>
      </c>
      <c r="F1394" s="322">
        <f>IFERROR(Calculations[[#This Row],[Number]]*Calculations[[#This Row],[Conversion factor]],0)</f>
        <v>0</v>
      </c>
      <c r="G1394" s="322">
        <f>IFERROR(VLOOKUP(Calculations[[#This Row],[Material (choose from dropdown]],MaterialData[#All],7,FALSE),0)</f>
        <v>0</v>
      </c>
      <c r="H1394" s="322">
        <f>Calculations[[#This Row],[Total Kg]]*Calculations[[#This Row],[Carbon Factor]]</f>
        <v>0</v>
      </c>
      <c r="I1394" t="str">
        <f>IFERROR(VLOOKUP(Calculations[[#This Row],[Material (choose from dropdown]],MaterialData[#All],2,FALSE),"")</f>
        <v/>
      </c>
      <c r="J1394" s="322">
        <f>IFERROR(((VLOOKUP(Calculations[[#This Row],[TransportSource]],TransportDistance[],2,FALSE)*'Stage assumptions'!$C$11)+VLOOKUP(Calculations[[#This Row],[TransportSource]],TransportDistance[],3,FALSE)*'Stage assumptions'!$C$12)*Calculations[[#This Row],[Total Kg]],0)</f>
        <v>0</v>
      </c>
      <c r="K1394">
        <f>IFERROR(VLOOKUP(Calculations[[#This Row],[Material (choose from dropdown]], MaterialData[#All],3, FALSE),0)</f>
        <v>0</v>
      </c>
      <c r="L1394" s="322">
        <f>IFERROR(VLOOKUP(Calculations[[#This Row],[A5type]],A5WastageRate[#All],2,FALSE)*Calculations[[#This Row],[A1-3]],0)</f>
        <v>0</v>
      </c>
      <c r="N1394">
        <f>IFERROR(ROUNDUP(50/VLOOKUP(Calculations[[#This Row],[Scope Element]],B4referenceServiceLife[[Tier 2 element]:[Default Service Life]],2, FALSE)-1,0),0)</f>
        <v>0</v>
      </c>
      <c r="O1394" s="322">
        <f>IFERROR((Calculations[[#This Row],[A1-3]]+Calculations[[#This Row],[A4]]+Calculations[[#This Row],[A5]]+Calculations[[#This Row],[C2 total]]+Calculations[[#This Row],[C3 total]]+Calculations[[#This Row],[C4 total]])*Calculations[[#This Row],[Replacements]],0)</f>
        <v>0</v>
      </c>
      <c r="S1394" t="str">
        <f>IFERROR(VLOOKUP(Calculations[[#This Row],[Material (choose from dropdown]],MaterialData[#All],4,FALSE),"")</f>
        <v/>
      </c>
      <c r="T1394" s="322" cm="1">
        <f t="array" ref="T1394">IFERROR(VLOOKUP(Calculations[[#This Row],[Waste 1]],WasteScenario[#All],2,FALSE)*'Stage assumptions'!$C$225*WasteTransportMethod[Emissions Factor
kgCO2e/kg.km]*Calculations[[#This Row],[Total Kg]],0)</f>
        <v>0</v>
      </c>
      <c r="U1394" s="322" cm="1">
        <f t="array" ref="U1394">IFERROR(VLOOKUP(Calculations[[#This Row],[Waste 1]],WasteScenario[#All],3,FALSE)*'Stage assumptions'!$C$224*WasteTransportMethod[Emissions Factor
kgCO2e/kg.km]*Calculations[[#This Row],[Total Kg]],0)</f>
        <v>0</v>
      </c>
      <c r="V1394" s="322" cm="1">
        <f t="array" ref="V1394">IFERROR(VLOOKUP(Calculations[[#This Row],[Waste 1]],WasteScenario[#All],4,FALSE)*'Stage assumptions'!$C$223*WasteTransportMethod[Emissions Factor
kgCO2e/kg.km]*Calculations[[#This Row],[Total Kg]],0)</f>
        <v>0</v>
      </c>
      <c r="W1394" s="322" cm="1">
        <f t="array" ref="W1394">IFERROR(VLOOKUP(Calculations[[#This Row],[Waste 1]],WasteScenario[#All],5,FALSE)*'Stage assumptions'!$C$226*WasteTransportMethod[Emissions Factor
kgCO2e/kg.km]*Calculations[[#This Row],[Total Kg]],0)</f>
        <v>0</v>
      </c>
      <c r="X1394" s="322">
        <f>SUM(Calculations[[#This Row],[C2 Recycle]:[C2 Reuse]])</f>
        <v>0</v>
      </c>
      <c r="Y1394" t="str">
        <f>IFERROR(VLOOKUP(Calculations[[#This Row],[Material (choose from dropdown]],MaterialData[#All],5,FALSE),"")</f>
        <v/>
      </c>
      <c r="Z1394" s="322">
        <f>IFERROR(((VLOOKUP(Calculations[[#This Row],[Waste type 2]],WasteDisposalEmissions[#All],2,FALSE))*Calculations[[#This Row],[Total Kg]])*VLOOKUP(Calculations[[#This Row],[Waste 1]],WasteScenario[#All],2,FALSE),0)</f>
        <v>0</v>
      </c>
      <c r="AA1394" s="322">
        <f>IFERROR((VLOOKUP(Calculations[[#This Row],[Waste type 2]],WasteDisposalEmissions[#All],3,FALSE))*Calculations[[#This Row],[Total Kg]]*VLOOKUP(Calculations[[#This Row],[Waste 1]],WasteScenario[#All],3,FALSE),0)</f>
        <v>0</v>
      </c>
      <c r="AB1394" s="322">
        <f>SUM(Calculations[[#This Row],[C3 recyc]:[C3 incin]])</f>
        <v>0</v>
      </c>
      <c r="AC1394" s="334">
        <f>IFERROR((VLOOKUP(Calculations[[#This Row],[Waste type 2]],WasteLandfillEmissions[#All],2,FALSE))*Calculations[[#This Row],[Total Kg]]*VLOOKUP(Calculations[[#This Row],[Waste 1]],WasteScenario[#All],4,FALSE),0)</f>
        <v>0</v>
      </c>
      <c r="AD1394" s="322">
        <f>IFERROR((VLOOKUP(Calculations[[#This Row],[Waste type 2]],WasteLandfillEmissions[#All],3,FALSE))*Calculations[[#This Row],[Total Kg]]*VLOOKUP(Calculations[[#This Row],[Waste 1]],WasteScenario[#All],4,FALSE),0)</f>
        <v>0</v>
      </c>
      <c r="AE1394" s="322">
        <f>SUM(Calculations[[#This Row],[C4 landfill]:[C4 re-use]])</f>
        <v>0</v>
      </c>
      <c r="AF1394" s="322">
        <f>IFERROR(VLOOKUP(Calculations[[#This Row],[Material (choose from dropdown]],MaterialData[#All],8,FALSE),0)</f>
        <v>0</v>
      </c>
      <c r="AG1394" s="322">
        <f>IFERROR(Calculations[[#This Row],[Total Kg]]*Calculations[[#This Row],[Seq factor]],0)</f>
        <v>0</v>
      </c>
      <c r="AI1394" s="322">
        <f>Calculations[[#This Row],[A1-3]]+Calculations[[#This Row],[A4]]+Calculations[[#This Row],[A5]]+Calculations[[#This Row],[B4]]+Calculations[[#This Row],[C2 total]]+Calculations[[#This Row],[C3 total]]+Calculations[[#This Row],[C4 total]]</f>
        <v>0</v>
      </c>
      <c r="AJ1394" s="2">
        <f>IFERROR(VLOOKUP(Calculations[[#This Row],[Material (choose from dropdown]],MaterialData[[#Headers],[#Data]],9,FALSE),0)</f>
        <v>0</v>
      </c>
      <c r="AK1394" s="4">
        <f>IFERROR(VLOOKUP(Calculations[[#This Row],[Material (choose from dropdown]],MaterialData[[#Headers],[#Data]],10,FALSE),0)</f>
        <v>0</v>
      </c>
      <c r="AL1394" s="322">
        <f>IFERROR(Calculations[[#This Row],[Data Quality Score]]*Calculations[[#This Row],[Total Kg]],0)</f>
        <v>0</v>
      </c>
    </row>
    <row r="1395" spans="1:38" x14ac:dyDescent="0.3">
      <c r="A1395" s="6">
        <f>IFERROR(MaterialsBoQ[[#This Row],[Scope Element]],0)</f>
        <v>0</v>
      </c>
      <c r="B1395" t="str">
        <f>IFERROR(MaterialsBoQ[[#This Row],[Material ]],"")</f>
        <v/>
      </c>
      <c r="C1395" t="str">
        <f>IFERROR(MaterialsBoQ[[#This Row],[Unit]],"")</f>
        <v/>
      </c>
      <c r="D1395" s="322">
        <f>IFERROR(MaterialsBoQ[[#This Row],[Number]],0)</f>
        <v>0</v>
      </c>
      <c r="E1395" s="322">
        <f>IFERROR(MaterialsBoQ[[#This Row],[Kg per unit]],0)</f>
        <v>0</v>
      </c>
      <c r="F1395" s="322">
        <f>IFERROR(Calculations[[#This Row],[Number]]*Calculations[[#This Row],[Conversion factor]],0)</f>
        <v>0</v>
      </c>
      <c r="G1395" s="322">
        <f>IFERROR(VLOOKUP(Calculations[[#This Row],[Material (choose from dropdown]],MaterialData[#All],7,FALSE),0)</f>
        <v>0</v>
      </c>
      <c r="H1395" s="322">
        <f>Calculations[[#This Row],[Total Kg]]*Calculations[[#This Row],[Carbon Factor]]</f>
        <v>0</v>
      </c>
      <c r="I1395" t="str">
        <f>IFERROR(VLOOKUP(Calculations[[#This Row],[Material (choose from dropdown]],MaterialData[#All],2,FALSE),"")</f>
        <v/>
      </c>
      <c r="J1395" s="322">
        <f>IFERROR(((VLOOKUP(Calculations[[#This Row],[TransportSource]],TransportDistance[],2,FALSE)*'Stage assumptions'!$C$11)+VLOOKUP(Calculations[[#This Row],[TransportSource]],TransportDistance[],3,FALSE)*'Stage assumptions'!$C$12)*Calculations[[#This Row],[Total Kg]],0)</f>
        <v>0</v>
      </c>
      <c r="K1395">
        <f>IFERROR(VLOOKUP(Calculations[[#This Row],[Material (choose from dropdown]], MaterialData[#All],3, FALSE),0)</f>
        <v>0</v>
      </c>
      <c r="L1395" s="322">
        <f>IFERROR(VLOOKUP(Calculations[[#This Row],[A5type]],A5WastageRate[#All],2,FALSE)*Calculations[[#This Row],[A1-3]],0)</f>
        <v>0</v>
      </c>
      <c r="N1395">
        <f>IFERROR(ROUNDUP(50/VLOOKUP(Calculations[[#This Row],[Scope Element]],B4referenceServiceLife[[Tier 2 element]:[Default Service Life]],2, FALSE)-1,0),0)</f>
        <v>0</v>
      </c>
      <c r="O1395" s="322">
        <f>IFERROR((Calculations[[#This Row],[A1-3]]+Calculations[[#This Row],[A4]]+Calculations[[#This Row],[A5]]+Calculations[[#This Row],[C2 total]]+Calculations[[#This Row],[C3 total]]+Calculations[[#This Row],[C4 total]])*Calculations[[#This Row],[Replacements]],0)</f>
        <v>0</v>
      </c>
      <c r="S1395" t="str">
        <f>IFERROR(VLOOKUP(Calculations[[#This Row],[Material (choose from dropdown]],MaterialData[#All],4,FALSE),"")</f>
        <v/>
      </c>
      <c r="T1395" s="322" cm="1">
        <f t="array" ref="T1395">IFERROR(VLOOKUP(Calculations[[#This Row],[Waste 1]],WasteScenario[#All],2,FALSE)*'Stage assumptions'!$C$225*WasteTransportMethod[Emissions Factor
kgCO2e/kg.km]*Calculations[[#This Row],[Total Kg]],0)</f>
        <v>0</v>
      </c>
      <c r="U1395" s="322" cm="1">
        <f t="array" ref="U1395">IFERROR(VLOOKUP(Calculations[[#This Row],[Waste 1]],WasteScenario[#All],3,FALSE)*'Stage assumptions'!$C$224*WasteTransportMethod[Emissions Factor
kgCO2e/kg.km]*Calculations[[#This Row],[Total Kg]],0)</f>
        <v>0</v>
      </c>
      <c r="V1395" s="322" cm="1">
        <f t="array" ref="V1395">IFERROR(VLOOKUP(Calculations[[#This Row],[Waste 1]],WasteScenario[#All],4,FALSE)*'Stage assumptions'!$C$223*WasteTransportMethod[Emissions Factor
kgCO2e/kg.km]*Calculations[[#This Row],[Total Kg]],0)</f>
        <v>0</v>
      </c>
      <c r="W1395" s="322" cm="1">
        <f t="array" ref="W1395">IFERROR(VLOOKUP(Calculations[[#This Row],[Waste 1]],WasteScenario[#All],5,FALSE)*'Stage assumptions'!$C$226*WasteTransportMethod[Emissions Factor
kgCO2e/kg.km]*Calculations[[#This Row],[Total Kg]],0)</f>
        <v>0</v>
      </c>
      <c r="X1395" s="322">
        <f>SUM(Calculations[[#This Row],[C2 Recycle]:[C2 Reuse]])</f>
        <v>0</v>
      </c>
      <c r="Y1395" t="str">
        <f>IFERROR(VLOOKUP(Calculations[[#This Row],[Material (choose from dropdown]],MaterialData[#All],5,FALSE),"")</f>
        <v/>
      </c>
      <c r="Z1395" s="322">
        <f>IFERROR(((VLOOKUP(Calculations[[#This Row],[Waste type 2]],WasteDisposalEmissions[#All],2,FALSE))*Calculations[[#This Row],[Total Kg]])*VLOOKUP(Calculations[[#This Row],[Waste 1]],WasteScenario[#All],2,FALSE),0)</f>
        <v>0</v>
      </c>
      <c r="AA1395" s="322">
        <f>IFERROR((VLOOKUP(Calculations[[#This Row],[Waste type 2]],WasteDisposalEmissions[#All],3,FALSE))*Calculations[[#This Row],[Total Kg]]*VLOOKUP(Calculations[[#This Row],[Waste 1]],WasteScenario[#All],3,FALSE),0)</f>
        <v>0</v>
      </c>
      <c r="AB1395" s="322">
        <f>SUM(Calculations[[#This Row],[C3 recyc]:[C3 incin]])</f>
        <v>0</v>
      </c>
      <c r="AC1395" s="334">
        <f>IFERROR((VLOOKUP(Calculations[[#This Row],[Waste type 2]],WasteLandfillEmissions[#All],2,FALSE))*Calculations[[#This Row],[Total Kg]]*VLOOKUP(Calculations[[#This Row],[Waste 1]],WasteScenario[#All],4,FALSE),0)</f>
        <v>0</v>
      </c>
      <c r="AD1395" s="322">
        <f>IFERROR((VLOOKUP(Calculations[[#This Row],[Waste type 2]],WasteLandfillEmissions[#All],3,FALSE))*Calculations[[#This Row],[Total Kg]]*VLOOKUP(Calculations[[#This Row],[Waste 1]],WasteScenario[#All],4,FALSE),0)</f>
        <v>0</v>
      </c>
      <c r="AE1395" s="322">
        <f>SUM(Calculations[[#This Row],[C4 landfill]:[C4 re-use]])</f>
        <v>0</v>
      </c>
      <c r="AF1395" s="322">
        <f>IFERROR(VLOOKUP(Calculations[[#This Row],[Material (choose from dropdown]],MaterialData[#All],8,FALSE),0)</f>
        <v>0</v>
      </c>
      <c r="AG1395" s="322">
        <f>IFERROR(Calculations[[#This Row],[Total Kg]]*Calculations[[#This Row],[Seq factor]],0)</f>
        <v>0</v>
      </c>
      <c r="AI1395" s="322">
        <f>Calculations[[#This Row],[A1-3]]+Calculations[[#This Row],[A4]]+Calculations[[#This Row],[A5]]+Calculations[[#This Row],[B4]]+Calculations[[#This Row],[C2 total]]+Calculations[[#This Row],[C3 total]]+Calculations[[#This Row],[C4 total]]</f>
        <v>0</v>
      </c>
      <c r="AJ1395" s="2">
        <f>IFERROR(VLOOKUP(Calculations[[#This Row],[Material (choose from dropdown]],MaterialData[[#Headers],[#Data]],9,FALSE),0)</f>
        <v>0</v>
      </c>
      <c r="AK1395" s="4">
        <f>IFERROR(VLOOKUP(Calculations[[#This Row],[Material (choose from dropdown]],MaterialData[[#Headers],[#Data]],10,FALSE),0)</f>
        <v>0</v>
      </c>
      <c r="AL1395" s="322">
        <f>IFERROR(Calculations[[#This Row],[Data Quality Score]]*Calculations[[#This Row],[Total Kg]],0)</f>
        <v>0</v>
      </c>
    </row>
    <row r="1396" spans="1:38" x14ac:dyDescent="0.3">
      <c r="A1396" s="6">
        <f>IFERROR(MaterialsBoQ[[#This Row],[Scope Element]],0)</f>
        <v>0</v>
      </c>
      <c r="B1396" t="str">
        <f>IFERROR(MaterialsBoQ[[#This Row],[Material ]],"")</f>
        <v/>
      </c>
      <c r="C1396" t="str">
        <f>IFERROR(MaterialsBoQ[[#This Row],[Unit]],"")</f>
        <v/>
      </c>
      <c r="D1396" s="322">
        <f>IFERROR(MaterialsBoQ[[#This Row],[Number]],0)</f>
        <v>0</v>
      </c>
      <c r="E1396" s="322">
        <f>IFERROR(MaterialsBoQ[[#This Row],[Kg per unit]],0)</f>
        <v>0</v>
      </c>
      <c r="F1396" s="322">
        <f>IFERROR(Calculations[[#This Row],[Number]]*Calculations[[#This Row],[Conversion factor]],0)</f>
        <v>0</v>
      </c>
      <c r="G1396" s="322">
        <f>IFERROR(VLOOKUP(Calculations[[#This Row],[Material (choose from dropdown]],MaterialData[#All],7,FALSE),0)</f>
        <v>0</v>
      </c>
      <c r="H1396" s="322">
        <f>Calculations[[#This Row],[Total Kg]]*Calculations[[#This Row],[Carbon Factor]]</f>
        <v>0</v>
      </c>
      <c r="I1396" t="str">
        <f>IFERROR(VLOOKUP(Calculations[[#This Row],[Material (choose from dropdown]],MaterialData[#All],2,FALSE),"")</f>
        <v/>
      </c>
      <c r="J1396" s="322">
        <f>IFERROR(((VLOOKUP(Calculations[[#This Row],[TransportSource]],TransportDistance[],2,FALSE)*'Stage assumptions'!$C$11)+VLOOKUP(Calculations[[#This Row],[TransportSource]],TransportDistance[],3,FALSE)*'Stage assumptions'!$C$12)*Calculations[[#This Row],[Total Kg]],0)</f>
        <v>0</v>
      </c>
      <c r="K1396">
        <f>IFERROR(VLOOKUP(Calculations[[#This Row],[Material (choose from dropdown]], MaterialData[#All],3, FALSE),0)</f>
        <v>0</v>
      </c>
      <c r="L1396" s="322">
        <f>IFERROR(VLOOKUP(Calculations[[#This Row],[A5type]],A5WastageRate[#All],2,FALSE)*Calculations[[#This Row],[A1-3]],0)</f>
        <v>0</v>
      </c>
      <c r="N1396">
        <f>IFERROR(ROUNDUP(50/VLOOKUP(Calculations[[#This Row],[Scope Element]],B4referenceServiceLife[[Tier 2 element]:[Default Service Life]],2, FALSE)-1,0),0)</f>
        <v>0</v>
      </c>
      <c r="O1396" s="322">
        <f>IFERROR((Calculations[[#This Row],[A1-3]]+Calculations[[#This Row],[A4]]+Calculations[[#This Row],[A5]]+Calculations[[#This Row],[C2 total]]+Calculations[[#This Row],[C3 total]]+Calculations[[#This Row],[C4 total]])*Calculations[[#This Row],[Replacements]],0)</f>
        <v>0</v>
      </c>
      <c r="S1396" t="str">
        <f>IFERROR(VLOOKUP(Calculations[[#This Row],[Material (choose from dropdown]],MaterialData[#All],4,FALSE),"")</f>
        <v/>
      </c>
      <c r="T1396" s="322" cm="1">
        <f t="array" ref="T1396">IFERROR(VLOOKUP(Calculations[[#This Row],[Waste 1]],WasteScenario[#All],2,FALSE)*'Stage assumptions'!$C$225*WasteTransportMethod[Emissions Factor
kgCO2e/kg.km]*Calculations[[#This Row],[Total Kg]],0)</f>
        <v>0</v>
      </c>
      <c r="U1396" s="322" cm="1">
        <f t="array" ref="U1396">IFERROR(VLOOKUP(Calculations[[#This Row],[Waste 1]],WasteScenario[#All],3,FALSE)*'Stage assumptions'!$C$224*WasteTransportMethod[Emissions Factor
kgCO2e/kg.km]*Calculations[[#This Row],[Total Kg]],0)</f>
        <v>0</v>
      </c>
      <c r="V1396" s="322" cm="1">
        <f t="array" ref="V1396">IFERROR(VLOOKUP(Calculations[[#This Row],[Waste 1]],WasteScenario[#All],4,FALSE)*'Stage assumptions'!$C$223*WasteTransportMethod[Emissions Factor
kgCO2e/kg.km]*Calculations[[#This Row],[Total Kg]],0)</f>
        <v>0</v>
      </c>
      <c r="W1396" s="322" cm="1">
        <f t="array" ref="W1396">IFERROR(VLOOKUP(Calculations[[#This Row],[Waste 1]],WasteScenario[#All],5,FALSE)*'Stage assumptions'!$C$226*WasteTransportMethod[Emissions Factor
kgCO2e/kg.km]*Calculations[[#This Row],[Total Kg]],0)</f>
        <v>0</v>
      </c>
      <c r="X1396" s="322">
        <f>SUM(Calculations[[#This Row],[C2 Recycle]:[C2 Reuse]])</f>
        <v>0</v>
      </c>
      <c r="Y1396" t="str">
        <f>IFERROR(VLOOKUP(Calculations[[#This Row],[Material (choose from dropdown]],MaterialData[#All],5,FALSE),"")</f>
        <v/>
      </c>
      <c r="Z1396" s="322">
        <f>IFERROR(((VLOOKUP(Calculations[[#This Row],[Waste type 2]],WasteDisposalEmissions[#All],2,FALSE))*Calculations[[#This Row],[Total Kg]])*VLOOKUP(Calculations[[#This Row],[Waste 1]],WasteScenario[#All],2,FALSE),0)</f>
        <v>0</v>
      </c>
      <c r="AA1396" s="322">
        <f>IFERROR((VLOOKUP(Calculations[[#This Row],[Waste type 2]],WasteDisposalEmissions[#All],3,FALSE))*Calculations[[#This Row],[Total Kg]]*VLOOKUP(Calculations[[#This Row],[Waste 1]],WasteScenario[#All],3,FALSE),0)</f>
        <v>0</v>
      </c>
      <c r="AB1396" s="322">
        <f>SUM(Calculations[[#This Row],[C3 recyc]:[C3 incin]])</f>
        <v>0</v>
      </c>
      <c r="AC1396" s="334">
        <f>IFERROR((VLOOKUP(Calculations[[#This Row],[Waste type 2]],WasteLandfillEmissions[#All],2,FALSE))*Calculations[[#This Row],[Total Kg]]*VLOOKUP(Calculations[[#This Row],[Waste 1]],WasteScenario[#All],4,FALSE),0)</f>
        <v>0</v>
      </c>
      <c r="AD1396" s="322">
        <f>IFERROR((VLOOKUP(Calculations[[#This Row],[Waste type 2]],WasteLandfillEmissions[#All],3,FALSE))*Calculations[[#This Row],[Total Kg]]*VLOOKUP(Calculations[[#This Row],[Waste 1]],WasteScenario[#All],4,FALSE),0)</f>
        <v>0</v>
      </c>
      <c r="AE1396" s="322">
        <f>SUM(Calculations[[#This Row],[C4 landfill]:[C4 re-use]])</f>
        <v>0</v>
      </c>
      <c r="AF1396" s="322">
        <f>IFERROR(VLOOKUP(Calculations[[#This Row],[Material (choose from dropdown]],MaterialData[#All],8,FALSE),0)</f>
        <v>0</v>
      </c>
      <c r="AG1396" s="322">
        <f>IFERROR(Calculations[[#This Row],[Total Kg]]*Calculations[[#This Row],[Seq factor]],0)</f>
        <v>0</v>
      </c>
      <c r="AI1396" s="322">
        <f>Calculations[[#This Row],[A1-3]]+Calculations[[#This Row],[A4]]+Calculations[[#This Row],[A5]]+Calculations[[#This Row],[B4]]+Calculations[[#This Row],[C2 total]]+Calculations[[#This Row],[C3 total]]+Calculations[[#This Row],[C4 total]]</f>
        <v>0</v>
      </c>
      <c r="AJ1396" s="2">
        <f>IFERROR(VLOOKUP(Calculations[[#This Row],[Material (choose from dropdown]],MaterialData[[#Headers],[#Data]],9,FALSE),0)</f>
        <v>0</v>
      </c>
      <c r="AK1396" s="4">
        <f>IFERROR(VLOOKUP(Calculations[[#This Row],[Material (choose from dropdown]],MaterialData[[#Headers],[#Data]],10,FALSE),0)</f>
        <v>0</v>
      </c>
      <c r="AL1396" s="322">
        <f>IFERROR(Calculations[[#This Row],[Data Quality Score]]*Calculations[[#This Row],[Total Kg]],0)</f>
        <v>0</v>
      </c>
    </row>
    <row r="1397" spans="1:38" x14ac:dyDescent="0.3">
      <c r="A1397" s="6">
        <f>IFERROR(MaterialsBoQ[[#This Row],[Scope Element]],0)</f>
        <v>0</v>
      </c>
      <c r="B1397" t="str">
        <f>IFERROR(MaterialsBoQ[[#This Row],[Material ]],"")</f>
        <v/>
      </c>
      <c r="C1397" t="str">
        <f>IFERROR(MaterialsBoQ[[#This Row],[Unit]],"")</f>
        <v/>
      </c>
      <c r="D1397" s="322">
        <f>IFERROR(MaterialsBoQ[[#This Row],[Number]],0)</f>
        <v>0</v>
      </c>
      <c r="E1397" s="322">
        <f>IFERROR(MaterialsBoQ[[#This Row],[Kg per unit]],0)</f>
        <v>0</v>
      </c>
      <c r="F1397" s="322">
        <f>IFERROR(Calculations[[#This Row],[Number]]*Calculations[[#This Row],[Conversion factor]],0)</f>
        <v>0</v>
      </c>
      <c r="G1397" s="322">
        <f>IFERROR(VLOOKUP(Calculations[[#This Row],[Material (choose from dropdown]],MaterialData[#All],7,FALSE),0)</f>
        <v>0</v>
      </c>
      <c r="H1397" s="322">
        <f>Calculations[[#This Row],[Total Kg]]*Calculations[[#This Row],[Carbon Factor]]</f>
        <v>0</v>
      </c>
      <c r="I1397" t="str">
        <f>IFERROR(VLOOKUP(Calculations[[#This Row],[Material (choose from dropdown]],MaterialData[#All],2,FALSE),"")</f>
        <v/>
      </c>
      <c r="J1397" s="322">
        <f>IFERROR(((VLOOKUP(Calculations[[#This Row],[TransportSource]],TransportDistance[],2,FALSE)*'Stage assumptions'!$C$11)+VLOOKUP(Calculations[[#This Row],[TransportSource]],TransportDistance[],3,FALSE)*'Stage assumptions'!$C$12)*Calculations[[#This Row],[Total Kg]],0)</f>
        <v>0</v>
      </c>
      <c r="K1397">
        <f>IFERROR(VLOOKUP(Calculations[[#This Row],[Material (choose from dropdown]], MaterialData[#All],3, FALSE),0)</f>
        <v>0</v>
      </c>
      <c r="L1397" s="322">
        <f>IFERROR(VLOOKUP(Calculations[[#This Row],[A5type]],A5WastageRate[#All],2,FALSE)*Calculations[[#This Row],[A1-3]],0)</f>
        <v>0</v>
      </c>
      <c r="N1397">
        <f>IFERROR(ROUNDUP(50/VLOOKUP(Calculations[[#This Row],[Scope Element]],B4referenceServiceLife[[Tier 2 element]:[Default Service Life]],2, FALSE)-1,0),0)</f>
        <v>0</v>
      </c>
      <c r="O1397" s="322">
        <f>IFERROR((Calculations[[#This Row],[A1-3]]+Calculations[[#This Row],[A4]]+Calculations[[#This Row],[A5]]+Calculations[[#This Row],[C2 total]]+Calculations[[#This Row],[C3 total]]+Calculations[[#This Row],[C4 total]])*Calculations[[#This Row],[Replacements]],0)</f>
        <v>0</v>
      </c>
      <c r="S1397" t="str">
        <f>IFERROR(VLOOKUP(Calculations[[#This Row],[Material (choose from dropdown]],MaterialData[#All],4,FALSE),"")</f>
        <v/>
      </c>
      <c r="T1397" s="322" cm="1">
        <f t="array" ref="T1397">IFERROR(VLOOKUP(Calculations[[#This Row],[Waste 1]],WasteScenario[#All],2,FALSE)*'Stage assumptions'!$C$225*WasteTransportMethod[Emissions Factor
kgCO2e/kg.km]*Calculations[[#This Row],[Total Kg]],0)</f>
        <v>0</v>
      </c>
      <c r="U1397" s="322" cm="1">
        <f t="array" ref="U1397">IFERROR(VLOOKUP(Calculations[[#This Row],[Waste 1]],WasteScenario[#All],3,FALSE)*'Stage assumptions'!$C$224*WasteTransportMethod[Emissions Factor
kgCO2e/kg.km]*Calculations[[#This Row],[Total Kg]],0)</f>
        <v>0</v>
      </c>
      <c r="V1397" s="322" cm="1">
        <f t="array" ref="V1397">IFERROR(VLOOKUP(Calculations[[#This Row],[Waste 1]],WasteScenario[#All],4,FALSE)*'Stage assumptions'!$C$223*WasteTransportMethod[Emissions Factor
kgCO2e/kg.km]*Calculations[[#This Row],[Total Kg]],0)</f>
        <v>0</v>
      </c>
      <c r="W1397" s="322" cm="1">
        <f t="array" ref="W1397">IFERROR(VLOOKUP(Calculations[[#This Row],[Waste 1]],WasteScenario[#All],5,FALSE)*'Stage assumptions'!$C$226*WasteTransportMethod[Emissions Factor
kgCO2e/kg.km]*Calculations[[#This Row],[Total Kg]],0)</f>
        <v>0</v>
      </c>
      <c r="X1397" s="322">
        <f>SUM(Calculations[[#This Row],[C2 Recycle]:[C2 Reuse]])</f>
        <v>0</v>
      </c>
      <c r="Y1397" t="str">
        <f>IFERROR(VLOOKUP(Calculations[[#This Row],[Material (choose from dropdown]],MaterialData[#All],5,FALSE),"")</f>
        <v/>
      </c>
      <c r="Z1397" s="322">
        <f>IFERROR(((VLOOKUP(Calculations[[#This Row],[Waste type 2]],WasteDisposalEmissions[#All],2,FALSE))*Calculations[[#This Row],[Total Kg]])*VLOOKUP(Calculations[[#This Row],[Waste 1]],WasteScenario[#All],2,FALSE),0)</f>
        <v>0</v>
      </c>
      <c r="AA1397" s="322">
        <f>IFERROR((VLOOKUP(Calculations[[#This Row],[Waste type 2]],WasteDisposalEmissions[#All],3,FALSE))*Calculations[[#This Row],[Total Kg]]*VLOOKUP(Calculations[[#This Row],[Waste 1]],WasteScenario[#All],3,FALSE),0)</f>
        <v>0</v>
      </c>
      <c r="AB1397" s="322">
        <f>SUM(Calculations[[#This Row],[C3 recyc]:[C3 incin]])</f>
        <v>0</v>
      </c>
      <c r="AC1397" s="334">
        <f>IFERROR((VLOOKUP(Calculations[[#This Row],[Waste type 2]],WasteLandfillEmissions[#All],2,FALSE))*Calculations[[#This Row],[Total Kg]]*VLOOKUP(Calculations[[#This Row],[Waste 1]],WasteScenario[#All],4,FALSE),0)</f>
        <v>0</v>
      </c>
      <c r="AD1397" s="322">
        <f>IFERROR((VLOOKUP(Calculations[[#This Row],[Waste type 2]],WasteLandfillEmissions[#All],3,FALSE))*Calculations[[#This Row],[Total Kg]]*VLOOKUP(Calculations[[#This Row],[Waste 1]],WasteScenario[#All],4,FALSE),0)</f>
        <v>0</v>
      </c>
      <c r="AE1397" s="322">
        <f>SUM(Calculations[[#This Row],[C4 landfill]:[C4 re-use]])</f>
        <v>0</v>
      </c>
      <c r="AF1397" s="322">
        <f>IFERROR(VLOOKUP(Calculations[[#This Row],[Material (choose from dropdown]],MaterialData[#All],8,FALSE),0)</f>
        <v>0</v>
      </c>
      <c r="AG1397" s="322">
        <f>IFERROR(Calculations[[#This Row],[Total Kg]]*Calculations[[#This Row],[Seq factor]],0)</f>
        <v>0</v>
      </c>
      <c r="AI1397" s="322">
        <f>Calculations[[#This Row],[A1-3]]+Calculations[[#This Row],[A4]]+Calculations[[#This Row],[A5]]+Calculations[[#This Row],[B4]]+Calculations[[#This Row],[C2 total]]+Calculations[[#This Row],[C3 total]]+Calculations[[#This Row],[C4 total]]</f>
        <v>0</v>
      </c>
      <c r="AJ1397" s="2">
        <f>IFERROR(VLOOKUP(Calculations[[#This Row],[Material (choose from dropdown]],MaterialData[[#Headers],[#Data]],9,FALSE),0)</f>
        <v>0</v>
      </c>
      <c r="AK1397" s="4">
        <f>IFERROR(VLOOKUP(Calculations[[#This Row],[Material (choose from dropdown]],MaterialData[[#Headers],[#Data]],10,FALSE),0)</f>
        <v>0</v>
      </c>
      <c r="AL1397" s="322">
        <f>IFERROR(Calculations[[#This Row],[Data Quality Score]]*Calculations[[#This Row],[Total Kg]],0)</f>
        <v>0</v>
      </c>
    </row>
    <row r="1398" spans="1:38" x14ac:dyDescent="0.3">
      <c r="A1398" s="6">
        <f>IFERROR(MaterialsBoQ[[#This Row],[Scope Element]],0)</f>
        <v>0</v>
      </c>
      <c r="B1398" t="str">
        <f>IFERROR(MaterialsBoQ[[#This Row],[Material ]],"")</f>
        <v/>
      </c>
      <c r="C1398" t="str">
        <f>IFERROR(MaterialsBoQ[[#This Row],[Unit]],"")</f>
        <v/>
      </c>
      <c r="D1398" s="322">
        <f>IFERROR(MaterialsBoQ[[#This Row],[Number]],0)</f>
        <v>0</v>
      </c>
      <c r="E1398" s="322">
        <f>IFERROR(MaterialsBoQ[[#This Row],[Kg per unit]],0)</f>
        <v>0</v>
      </c>
      <c r="F1398" s="322">
        <f>IFERROR(Calculations[[#This Row],[Number]]*Calculations[[#This Row],[Conversion factor]],0)</f>
        <v>0</v>
      </c>
      <c r="G1398" s="322">
        <f>IFERROR(VLOOKUP(Calculations[[#This Row],[Material (choose from dropdown]],MaterialData[#All],7,FALSE),0)</f>
        <v>0</v>
      </c>
      <c r="H1398" s="322">
        <f>Calculations[[#This Row],[Total Kg]]*Calculations[[#This Row],[Carbon Factor]]</f>
        <v>0</v>
      </c>
      <c r="I1398" t="str">
        <f>IFERROR(VLOOKUP(Calculations[[#This Row],[Material (choose from dropdown]],MaterialData[#All],2,FALSE),"")</f>
        <v/>
      </c>
      <c r="J1398" s="322">
        <f>IFERROR(((VLOOKUP(Calculations[[#This Row],[TransportSource]],TransportDistance[],2,FALSE)*'Stage assumptions'!$C$11)+VLOOKUP(Calculations[[#This Row],[TransportSource]],TransportDistance[],3,FALSE)*'Stage assumptions'!$C$12)*Calculations[[#This Row],[Total Kg]],0)</f>
        <v>0</v>
      </c>
      <c r="K1398">
        <f>IFERROR(VLOOKUP(Calculations[[#This Row],[Material (choose from dropdown]], MaterialData[#All],3, FALSE),0)</f>
        <v>0</v>
      </c>
      <c r="L1398" s="322">
        <f>IFERROR(VLOOKUP(Calculations[[#This Row],[A5type]],A5WastageRate[#All],2,FALSE)*Calculations[[#This Row],[A1-3]],0)</f>
        <v>0</v>
      </c>
      <c r="N1398">
        <f>IFERROR(ROUNDUP(50/VLOOKUP(Calculations[[#This Row],[Scope Element]],B4referenceServiceLife[[Tier 2 element]:[Default Service Life]],2, FALSE)-1,0),0)</f>
        <v>0</v>
      </c>
      <c r="O1398" s="322">
        <f>IFERROR((Calculations[[#This Row],[A1-3]]+Calculations[[#This Row],[A4]]+Calculations[[#This Row],[A5]]+Calculations[[#This Row],[C2 total]]+Calculations[[#This Row],[C3 total]]+Calculations[[#This Row],[C4 total]])*Calculations[[#This Row],[Replacements]],0)</f>
        <v>0</v>
      </c>
      <c r="S1398" t="str">
        <f>IFERROR(VLOOKUP(Calculations[[#This Row],[Material (choose from dropdown]],MaterialData[#All],4,FALSE),"")</f>
        <v/>
      </c>
      <c r="T1398" s="322" cm="1">
        <f t="array" ref="T1398">IFERROR(VLOOKUP(Calculations[[#This Row],[Waste 1]],WasteScenario[#All],2,FALSE)*'Stage assumptions'!$C$225*WasteTransportMethod[Emissions Factor
kgCO2e/kg.km]*Calculations[[#This Row],[Total Kg]],0)</f>
        <v>0</v>
      </c>
      <c r="U1398" s="322" cm="1">
        <f t="array" ref="U1398">IFERROR(VLOOKUP(Calculations[[#This Row],[Waste 1]],WasteScenario[#All],3,FALSE)*'Stage assumptions'!$C$224*WasteTransportMethod[Emissions Factor
kgCO2e/kg.km]*Calculations[[#This Row],[Total Kg]],0)</f>
        <v>0</v>
      </c>
      <c r="V1398" s="322" cm="1">
        <f t="array" ref="V1398">IFERROR(VLOOKUP(Calculations[[#This Row],[Waste 1]],WasteScenario[#All],4,FALSE)*'Stage assumptions'!$C$223*WasteTransportMethod[Emissions Factor
kgCO2e/kg.km]*Calculations[[#This Row],[Total Kg]],0)</f>
        <v>0</v>
      </c>
      <c r="W1398" s="322" cm="1">
        <f t="array" ref="W1398">IFERROR(VLOOKUP(Calculations[[#This Row],[Waste 1]],WasteScenario[#All],5,FALSE)*'Stage assumptions'!$C$226*WasteTransportMethod[Emissions Factor
kgCO2e/kg.km]*Calculations[[#This Row],[Total Kg]],0)</f>
        <v>0</v>
      </c>
      <c r="X1398" s="322">
        <f>SUM(Calculations[[#This Row],[C2 Recycle]:[C2 Reuse]])</f>
        <v>0</v>
      </c>
      <c r="Y1398" t="str">
        <f>IFERROR(VLOOKUP(Calculations[[#This Row],[Material (choose from dropdown]],MaterialData[#All],5,FALSE),"")</f>
        <v/>
      </c>
      <c r="Z1398" s="322">
        <f>IFERROR(((VLOOKUP(Calculations[[#This Row],[Waste type 2]],WasteDisposalEmissions[#All],2,FALSE))*Calculations[[#This Row],[Total Kg]])*VLOOKUP(Calculations[[#This Row],[Waste 1]],WasteScenario[#All],2,FALSE),0)</f>
        <v>0</v>
      </c>
      <c r="AA1398" s="322">
        <f>IFERROR((VLOOKUP(Calculations[[#This Row],[Waste type 2]],WasteDisposalEmissions[#All],3,FALSE))*Calculations[[#This Row],[Total Kg]]*VLOOKUP(Calculations[[#This Row],[Waste 1]],WasteScenario[#All],3,FALSE),0)</f>
        <v>0</v>
      </c>
      <c r="AB1398" s="322">
        <f>SUM(Calculations[[#This Row],[C3 recyc]:[C3 incin]])</f>
        <v>0</v>
      </c>
      <c r="AC1398" s="334">
        <f>IFERROR((VLOOKUP(Calculations[[#This Row],[Waste type 2]],WasteLandfillEmissions[#All],2,FALSE))*Calculations[[#This Row],[Total Kg]]*VLOOKUP(Calculations[[#This Row],[Waste 1]],WasteScenario[#All],4,FALSE),0)</f>
        <v>0</v>
      </c>
      <c r="AD1398" s="322">
        <f>IFERROR((VLOOKUP(Calculations[[#This Row],[Waste type 2]],WasteLandfillEmissions[#All],3,FALSE))*Calculations[[#This Row],[Total Kg]]*VLOOKUP(Calculations[[#This Row],[Waste 1]],WasteScenario[#All],4,FALSE),0)</f>
        <v>0</v>
      </c>
      <c r="AE1398" s="322">
        <f>SUM(Calculations[[#This Row],[C4 landfill]:[C4 re-use]])</f>
        <v>0</v>
      </c>
      <c r="AF1398" s="322">
        <f>IFERROR(VLOOKUP(Calculations[[#This Row],[Material (choose from dropdown]],MaterialData[#All],8,FALSE),0)</f>
        <v>0</v>
      </c>
      <c r="AG1398" s="322">
        <f>IFERROR(Calculations[[#This Row],[Total Kg]]*Calculations[[#This Row],[Seq factor]],0)</f>
        <v>0</v>
      </c>
      <c r="AI1398" s="322">
        <f>Calculations[[#This Row],[A1-3]]+Calculations[[#This Row],[A4]]+Calculations[[#This Row],[A5]]+Calculations[[#This Row],[B4]]+Calculations[[#This Row],[C2 total]]+Calculations[[#This Row],[C3 total]]+Calculations[[#This Row],[C4 total]]</f>
        <v>0</v>
      </c>
      <c r="AJ1398" s="2">
        <f>IFERROR(VLOOKUP(Calculations[[#This Row],[Material (choose from dropdown]],MaterialData[[#Headers],[#Data]],9,FALSE),0)</f>
        <v>0</v>
      </c>
      <c r="AK1398" s="4">
        <f>IFERROR(VLOOKUP(Calculations[[#This Row],[Material (choose from dropdown]],MaterialData[[#Headers],[#Data]],10,FALSE),0)</f>
        <v>0</v>
      </c>
      <c r="AL1398" s="322">
        <f>IFERROR(Calculations[[#This Row],[Data Quality Score]]*Calculations[[#This Row],[Total Kg]],0)</f>
        <v>0</v>
      </c>
    </row>
    <row r="1399" spans="1:38" x14ac:dyDescent="0.3">
      <c r="A1399" s="6">
        <f>IFERROR(MaterialsBoQ[[#This Row],[Scope Element]],0)</f>
        <v>0</v>
      </c>
      <c r="B1399" t="str">
        <f>IFERROR(MaterialsBoQ[[#This Row],[Material ]],"")</f>
        <v/>
      </c>
      <c r="C1399" t="str">
        <f>IFERROR(MaterialsBoQ[[#This Row],[Unit]],"")</f>
        <v/>
      </c>
      <c r="D1399" s="322">
        <f>IFERROR(MaterialsBoQ[[#This Row],[Number]],0)</f>
        <v>0</v>
      </c>
      <c r="E1399" s="322">
        <f>IFERROR(MaterialsBoQ[[#This Row],[Kg per unit]],0)</f>
        <v>0</v>
      </c>
      <c r="F1399" s="322">
        <f>IFERROR(Calculations[[#This Row],[Number]]*Calculations[[#This Row],[Conversion factor]],0)</f>
        <v>0</v>
      </c>
      <c r="G1399" s="322">
        <f>IFERROR(VLOOKUP(Calculations[[#This Row],[Material (choose from dropdown]],MaterialData[#All],7,FALSE),0)</f>
        <v>0</v>
      </c>
      <c r="H1399" s="322">
        <f>Calculations[[#This Row],[Total Kg]]*Calculations[[#This Row],[Carbon Factor]]</f>
        <v>0</v>
      </c>
      <c r="I1399" t="str">
        <f>IFERROR(VLOOKUP(Calculations[[#This Row],[Material (choose from dropdown]],MaterialData[#All],2,FALSE),"")</f>
        <v/>
      </c>
      <c r="J1399" s="322">
        <f>IFERROR(((VLOOKUP(Calculations[[#This Row],[TransportSource]],TransportDistance[],2,FALSE)*'Stage assumptions'!$C$11)+VLOOKUP(Calculations[[#This Row],[TransportSource]],TransportDistance[],3,FALSE)*'Stage assumptions'!$C$12)*Calculations[[#This Row],[Total Kg]],0)</f>
        <v>0</v>
      </c>
      <c r="K1399">
        <f>IFERROR(VLOOKUP(Calculations[[#This Row],[Material (choose from dropdown]], MaterialData[#All],3, FALSE),0)</f>
        <v>0</v>
      </c>
      <c r="L1399" s="322">
        <f>IFERROR(VLOOKUP(Calculations[[#This Row],[A5type]],A5WastageRate[#All],2,FALSE)*Calculations[[#This Row],[A1-3]],0)</f>
        <v>0</v>
      </c>
      <c r="N1399">
        <f>IFERROR(ROUNDUP(50/VLOOKUP(Calculations[[#This Row],[Scope Element]],B4referenceServiceLife[[Tier 2 element]:[Default Service Life]],2, FALSE)-1,0),0)</f>
        <v>0</v>
      </c>
      <c r="O1399" s="322">
        <f>IFERROR((Calculations[[#This Row],[A1-3]]+Calculations[[#This Row],[A4]]+Calculations[[#This Row],[A5]]+Calculations[[#This Row],[C2 total]]+Calculations[[#This Row],[C3 total]]+Calculations[[#This Row],[C4 total]])*Calculations[[#This Row],[Replacements]],0)</f>
        <v>0</v>
      </c>
      <c r="S1399" t="str">
        <f>IFERROR(VLOOKUP(Calculations[[#This Row],[Material (choose from dropdown]],MaterialData[#All],4,FALSE),"")</f>
        <v/>
      </c>
      <c r="T1399" s="322" cm="1">
        <f t="array" ref="T1399">IFERROR(VLOOKUP(Calculations[[#This Row],[Waste 1]],WasteScenario[#All],2,FALSE)*'Stage assumptions'!$C$225*WasteTransportMethod[Emissions Factor
kgCO2e/kg.km]*Calculations[[#This Row],[Total Kg]],0)</f>
        <v>0</v>
      </c>
      <c r="U1399" s="322" cm="1">
        <f t="array" ref="U1399">IFERROR(VLOOKUP(Calculations[[#This Row],[Waste 1]],WasteScenario[#All],3,FALSE)*'Stage assumptions'!$C$224*WasteTransportMethod[Emissions Factor
kgCO2e/kg.km]*Calculations[[#This Row],[Total Kg]],0)</f>
        <v>0</v>
      </c>
      <c r="V1399" s="322" cm="1">
        <f t="array" ref="V1399">IFERROR(VLOOKUP(Calculations[[#This Row],[Waste 1]],WasteScenario[#All],4,FALSE)*'Stage assumptions'!$C$223*WasteTransportMethod[Emissions Factor
kgCO2e/kg.km]*Calculations[[#This Row],[Total Kg]],0)</f>
        <v>0</v>
      </c>
      <c r="W1399" s="322" cm="1">
        <f t="array" ref="W1399">IFERROR(VLOOKUP(Calculations[[#This Row],[Waste 1]],WasteScenario[#All],5,FALSE)*'Stage assumptions'!$C$226*WasteTransportMethod[Emissions Factor
kgCO2e/kg.km]*Calculations[[#This Row],[Total Kg]],0)</f>
        <v>0</v>
      </c>
      <c r="X1399" s="322">
        <f>SUM(Calculations[[#This Row],[C2 Recycle]:[C2 Reuse]])</f>
        <v>0</v>
      </c>
      <c r="Y1399" t="str">
        <f>IFERROR(VLOOKUP(Calculations[[#This Row],[Material (choose from dropdown]],MaterialData[#All],5,FALSE),"")</f>
        <v/>
      </c>
      <c r="Z1399" s="322">
        <f>IFERROR(((VLOOKUP(Calculations[[#This Row],[Waste type 2]],WasteDisposalEmissions[#All],2,FALSE))*Calculations[[#This Row],[Total Kg]])*VLOOKUP(Calculations[[#This Row],[Waste 1]],WasteScenario[#All],2,FALSE),0)</f>
        <v>0</v>
      </c>
      <c r="AA1399" s="322">
        <f>IFERROR((VLOOKUP(Calculations[[#This Row],[Waste type 2]],WasteDisposalEmissions[#All],3,FALSE))*Calculations[[#This Row],[Total Kg]]*VLOOKUP(Calculations[[#This Row],[Waste 1]],WasteScenario[#All],3,FALSE),0)</f>
        <v>0</v>
      </c>
      <c r="AB1399" s="322">
        <f>SUM(Calculations[[#This Row],[C3 recyc]:[C3 incin]])</f>
        <v>0</v>
      </c>
      <c r="AC1399" s="334">
        <f>IFERROR((VLOOKUP(Calculations[[#This Row],[Waste type 2]],WasteLandfillEmissions[#All],2,FALSE))*Calculations[[#This Row],[Total Kg]]*VLOOKUP(Calculations[[#This Row],[Waste 1]],WasteScenario[#All],4,FALSE),0)</f>
        <v>0</v>
      </c>
      <c r="AD1399" s="322">
        <f>IFERROR((VLOOKUP(Calculations[[#This Row],[Waste type 2]],WasteLandfillEmissions[#All],3,FALSE))*Calculations[[#This Row],[Total Kg]]*VLOOKUP(Calculations[[#This Row],[Waste 1]],WasteScenario[#All],4,FALSE),0)</f>
        <v>0</v>
      </c>
      <c r="AE1399" s="322">
        <f>SUM(Calculations[[#This Row],[C4 landfill]:[C4 re-use]])</f>
        <v>0</v>
      </c>
      <c r="AF1399" s="322">
        <f>IFERROR(VLOOKUP(Calculations[[#This Row],[Material (choose from dropdown]],MaterialData[#All],8,FALSE),0)</f>
        <v>0</v>
      </c>
      <c r="AG1399" s="322">
        <f>IFERROR(Calculations[[#This Row],[Total Kg]]*Calculations[[#This Row],[Seq factor]],0)</f>
        <v>0</v>
      </c>
      <c r="AI1399" s="322">
        <f>Calculations[[#This Row],[A1-3]]+Calculations[[#This Row],[A4]]+Calculations[[#This Row],[A5]]+Calculations[[#This Row],[B4]]+Calculations[[#This Row],[C2 total]]+Calculations[[#This Row],[C3 total]]+Calculations[[#This Row],[C4 total]]</f>
        <v>0</v>
      </c>
      <c r="AJ1399" s="2">
        <f>IFERROR(VLOOKUP(Calculations[[#This Row],[Material (choose from dropdown]],MaterialData[[#Headers],[#Data]],9,FALSE),0)</f>
        <v>0</v>
      </c>
      <c r="AK1399" s="4">
        <f>IFERROR(VLOOKUP(Calculations[[#This Row],[Material (choose from dropdown]],MaterialData[[#Headers],[#Data]],10,FALSE),0)</f>
        <v>0</v>
      </c>
      <c r="AL1399" s="322">
        <f>IFERROR(Calculations[[#This Row],[Data Quality Score]]*Calculations[[#This Row],[Total Kg]],0)</f>
        <v>0</v>
      </c>
    </row>
    <row r="1400" spans="1:38" x14ac:dyDescent="0.3">
      <c r="A1400" s="6">
        <f>IFERROR(MaterialsBoQ[[#This Row],[Scope Element]],0)</f>
        <v>0</v>
      </c>
      <c r="B1400" t="str">
        <f>IFERROR(MaterialsBoQ[[#This Row],[Material ]],"")</f>
        <v/>
      </c>
      <c r="C1400" t="str">
        <f>IFERROR(MaterialsBoQ[[#This Row],[Unit]],"")</f>
        <v/>
      </c>
      <c r="D1400" s="322">
        <f>IFERROR(MaterialsBoQ[[#This Row],[Number]],0)</f>
        <v>0</v>
      </c>
      <c r="E1400" s="322">
        <f>IFERROR(MaterialsBoQ[[#This Row],[Kg per unit]],0)</f>
        <v>0</v>
      </c>
      <c r="F1400" s="322">
        <f>IFERROR(Calculations[[#This Row],[Number]]*Calculations[[#This Row],[Conversion factor]],0)</f>
        <v>0</v>
      </c>
      <c r="G1400" s="322">
        <f>IFERROR(VLOOKUP(Calculations[[#This Row],[Material (choose from dropdown]],MaterialData[#All],7,FALSE),0)</f>
        <v>0</v>
      </c>
      <c r="H1400" s="322">
        <f>Calculations[[#This Row],[Total Kg]]*Calculations[[#This Row],[Carbon Factor]]</f>
        <v>0</v>
      </c>
      <c r="I1400" t="str">
        <f>IFERROR(VLOOKUP(Calculations[[#This Row],[Material (choose from dropdown]],MaterialData[#All],2,FALSE),"")</f>
        <v/>
      </c>
      <c r="J1400" s="322">
        <f>IFERROR(((VLOOKUP(Calculations[[#This Row],[TransportSource]],TransportDistance[],2,FALSE)*'Stage assumptions'!$C$11)+VLOOKUP(Calculations[[#This Row],[TransportSource]],TransportDistance[],3,FALSE)*'Stage assumptions'!$C$12)*Calculations[[#This Row],[Total Kg]],0)</f>
        <v>0</v>
      </c>
      <c r="K1400">
        <f>IFERROR(VLOOKUP(Calculations[[#This Row],[Material (choose from dropdown]], MaterialData[#All],3, FALSE),0)</f>
        <v>0</v>
      </c>
      <c r="L1400" s="322">
        <f>IFERROR(VLOOKUP(Calculations[[#This Row],[A5type]],A5WastageRate[#All],2,FALSE)*Calculations[[#This Row],[A1-3]],0)</f>
        <v>0</v>
      </c>
      <c r="N1400">
        <f>IFERROR(ROUNDUP(50/VLOOKUP(Calculations[[#This Row],[Scope Element]],B4referenceServiceLife[[Tier 2 element]:[Default Service Life]],2, FALSE)-1,0),0)</f>
        <v>0</v>
      </c>
      <c r="O1400" s="322">
        <f>IFERROR((Calculations[[#This Row],[A1-3]]+Calculations[[#This Row],[A4]]+Calculations[[#This Row],[A5]]+Calculations[[#This Row],[C2 total]]+Calculations[[#This Row],[C3 total]]+Calculations[[#This Row],[C4 total]])*Calculations[[#This Row],[Replacements]],0)</f>
        <v>0</v>
      </c>
      <c r="S1400" t="str">
        <f>IFERROR(VLOOKUP(Calculations[[#This Row],[Material (choose from dropdown]],MaterialData[#All],4,FALSE),"")</f>
        <v/>
      </c>
      <c r="T1400" s="322" cm="1">
        <f t="array" ref="T1400">IFERROR(VLOOKUP(Calculations[[#This Row],[Waste 1]],WasteScenario[#All],2,FALSE)*'Stage assumptions'!$C$225*WasteTransportMethod[Emissions Factor
kgCO2e/kg.km]*Calculations[[#This Row],[Total Kg]],0)</f>
        <v>0</v>
      </c>
      <c r="U1400" s="322" cm="1">
        <f t="array" ref="U1400">IFERROR(VLOOKUP(Calculations[[#This Row],[Waste 1]],WasteScenario[#All],3,FALSE)*'Stage assumptions'!$C$224*WasteTransportMethod[Emissions Factor
kgCO2e/kg.km]*Calculations[[#This Row],[Total Kg]],0)</f>
        <v>0</v>
      </c>
      <c r="V1400" s="322" cm="1">
        <f t="array" ref="V1400">IFERROR(VLOOKUP(Calculations[[#This Row],[Waste 1]],WasteScenario[#All],4,FALSE)*'Stage assumptions'!$C$223*WasteTransportMethod[Emissions Factor
kgCO2e/kg.km]*Calculations[[#This Row],[Total Kg]],0)</f>
        <v>0</v>
      </c>
      <c r="W1400" s="322" cm="1">
        <f t="array" ref="W1400">IFERROR(VLOOKUP(Calculations[[#This Row],[Waste 1]],WasteScenario[#All],5,FALSE)*'Stage assumptions'!$C$226*WasteTransportMethod[Emissions Factor
kgCO2e/kg.km]*Calculations[[#This Row],[Total Kg]],0)</f>
        <v>0</v>
      </c>
      <c r="X1400" s="322">
        <f>SUM(Calculations[[#This Row],[C2 Recycle]:[C2 Reuse]])</f>
        <v>0</v>
      </c>
      <c r="Y1400" t="str">
        <f>IFERROR(VLOOKUP(Calculations[[#This Row],[Material (choose from dropdown]],MaterialData[#All],5,FALSE),"")</f>
        <v/>
      </c>
      <c r="Z1400" s="322">
        <f>IFERROR(((VLOOKUP(Calculations[[#This Row],[Waste type 2]],WasteDisposalEmissions[#All],2,FALSE))*Calculations[[#This Row],[Total Kg]])*VLOOKUP(Calculations[[#This Row],[Waste 1]],WasteScenario[#All],2,FALSE),0)</f>
        <v>0</v>
      </c>
      <c r="AA1400" s="322">
        <f>IFERROR((VLOOKUP(Calculations[[#This Row],[Waste type 2]],WasteDisposalEmissions[#All],3,FALSE))*Calculations[[#This Row],[Total Kg]]*VLOOKUP(Calculations[[#This Row],[Waste 1]],WasteScenario[#All],3,FALSE),0)</f>
        <v>0</v>
      </c>
      <c r="AB1400" s="322">
        <f>SUM(Calculations[[#This Row],[C3 recyc]:[C3 incin]])</f>
        <v>0</v>
      </c>
      <c r="AC1400" s="334">
        <f>IFERROR((VLOOKUP(Calculations[[#This Row],[Waste type 2]],WasteLandfillEmissions[#All],2,FALSE))*Calculations[[#This Row],[Total Kg]]*VLOOKUP(Calculations[[#This Row],[Waste 1]],WasteScenario[#All],4,FALSE),0)</f>
        <v>0</v>
      </c>
      <c r="AD1400" s="322">
        <f>IFERROR((VLOOKUP(Calculations[[#This Row],[Waste type 2]],WasteLandfillEmissions[#All],3,FALSE))*Calculations[[#This Row],[Total Kg]]*VLOOKUP(Calculations[[#This Row],[Waste 1]],WasteScenario[#All],4,FALSE),0)</f>
        <v>0</v>
      </c>
      <c r="AE1400" s="322">
        <f>SUM(Calculations[[#This Row],[C4 landfill]:[C4 re-use]])</f>
        <v>0</v>
      </c>
      <c r="AF1400" s="322">
        <f>IFERROR(VLOOKUP(Calculations[[#This Row],[Material (choose from dropdown]],MaterialData[#All],8,FALSE),0)</f>
        <v>0</v>
      </c>
      <c r="AG1400" s="322">
        <f>IFERROR(Calculations[[#This Row],[Total Kg]]*Calculations[[#This Row],[Seq factor]],0)</f>
        <v>0</v>
      </c>
      <c r="AI1400" s="322">
        <f>Calculations[[#This Row],[A1-3]]+Calculations[[#This Row],[A4]]+Calculations[[#This Row],[A5]]+Calculations[[#This Row],[B4]]+Calculations[[#This Row],[C2 total]]+Calculations[[#This Row],[C3 total]]+Calculations[[#This Row],[C4 total]]</f>
        <v>0</v>
      </c>
      <c r="AJ1400" s="2">
        <f>IFERROR(VLOOKUP(Calculations[[#This Row],[Material (choose from dropdown]],MaterialData[[#Headers],[#Data]],9,FALSE),0)</f>
        <v>0</v>
      </c>
      <c r="AK1400" s="4">
        <f>IFERROR(VLOOKUP(Calculations[[#This Row],[Material (choose from dropdown]],MaterialData[[#Headers],[#Data]],10,FALSE),0)</f>
        <v>0</v>
      </c>
      <c r="AL1400" s="322">
        <f>IFERROR(Calculations[[#This Row],[Data Quality Score]]*Calculations[[#This Row],[Total Kg]],0)</f>
        <v>0</v>
      </c>
    </row>
    <row r="1401" spans="1:38" x14ac:dyDescent="0.3">
      <c r="A1401" s="6">
        <f>IFERROR(MaterialsBoQ[[#This Row],[Scope Element]],0)</f>
        <v>0</v>
      </c>
      <c r="B1401" t="str">
        <f>IFERROR(MaterialsBoQ[[#This Row],[Material ]],"")</f>
        <v/>
      </c>
      <c r="C1401" t="str">
        <f>IFERROR(MaterialsBoQ[[#This Row],[Unit]],"")</f>
        <v/>
      </c>
      <c r="D1401" s="322">
        <f>IFERROR(MaterialsBoQ[[#This Row],[Number]],0)</f>
        <v>0</v>
      </c>
      <c r="E1401" s="322">
        <f>IFERROR(MaterialsBoQ[[#This Row],[Kg per unit]],0)</f>
        <v>0</v>
      </c>
      <c r="F1401" s="322">
        <f>IFERROR(Calculations[[#This Row],[Number]]*Calculations[[#This Row],[Conversion factor]],0)</f>
        <v>0</v>
      </c>
      <c r="G1401" s="322">
        <f>IFERROR(VLOOKUP(Calculations[[#This Row],[Material (choose from dropdown]],MaterialData[#All],7,FALSE),0)</f>
        <v>0</v>
      </c>
      <c r="H1401" s="322">
        <f>Calculations[[#This Row],[Total Kg]]*Calculations[[#This Row],[Carbon Factor]]</f>
        <v>0</v>
      </c>
      <c r="I1401" t="str">
        <f>IFERROR(VLOOKUP(Calculations[[#This Row],[Material (choose from dropdown]],MaterialData[#All],2,FALSE),"")</f>
        <v/>
      </c>
      <c r="J1401" s="322">
        <f>IFERROR(((VLOOKUP(Calculations[[#This Row],[TransportSource]],TransportDistance[],2,FALSE)*'Stage assumptions'!$C$11)+VLOOKUP(Calculations[[#This Row],[TransportSource]],TransportDistance[],3,FALSE)*'Stage assumptions'!$C$12)*Calculations[[#This Row],[Total Kg]],0)</f>
        <v>0</v>
      </c>
      <c r="K1401">
        <f>IFERROR(VLOOKUP(Calculations[[#This Row],[Material (choose from dropdown]], MaterialData[#All],3, FALSE),0)</f>
        <v>0</v>
      </c>
      <c r="L1401" s="322">
        <f>IFERROR(VLOOKUP(Calculations[[#This Row],[A5type]],A5WastageRate[#All],2,FALSE)*Calculations[[#This Row],[A1-3]],0)</f>
        <v>0</v>
      </c>
      <c r="N1401">
        <f>IFERROR(ROUNDUP(50/VLOOKUP(Calculations[[#This Row],[Scope Element]],B4referenceServiceLife[[Tier 2 element]:[Default Service Life]],2, FALSE)-1,0),0)</f>
        <v>0</v>
      </c>
      <c r="O1401" s="322">
        <f>IFERROR((Calculations[[#This Row],[A1-3]]+Calculations[[#This Row],[A4]]+Calculations[[#This Row],[A5]]+Calculations[[#This Row],[C2 total]]+Calculations[[#This Row],[C3 total]]+Calculations[[#This Row],[C4 total]])*Calculations[[#This Row],[Replacements]],0)</f>
        <v>0</v>
      </c>
      <c r="S1401" t="str">
        <f>IFERROR(VLOOKUP(Calculations[[#This Row],[Material (choose from dropdown]],MaterialData[#All],4,FALSE),"")</f>
        <v/>
      </c>
      <c r="T1401" s="322" cm="1">
        <f t="array" ref="T1401">IFERROR(VLOOKUP(Calculations[[#This Row],[Waste 1]],WasteScenario[#All],2,FALSE)*'Stage assumptions'!$C$225*WasteTransportMethod[Emissions Factor
kgCO2e/kg.km]*Calculations[[#This Row],[Total Kg]],0)</f>
        <v>0</v>
      </c>
      <c r="U1401" s="322" cm="1">
        <f t="array" ref="U1401">IFERROR(VLOOKUP(Calculations[[#This Row],[Waste 1]],WasteScenario[#All],3,FALSE)*'Stage assumptions'!$C$224*WasteTransportMethod[Emissions Factor
kgCO2e/kg.km]*Calculations[[#This Row],[Total Kg]],0)</f>
        <v>0</v>
      </c>
      <c r="V1401" s="322" cm="1">
        <f t="array" ref="V1401">IFERROR(VLOOKUP(Calculations[[#This Row],[Waste 1]],WasteScenario[#All],4,FALSE)*'Stage assumptions'!$C$223*WasteTransportMethod[Emissions Factor
kgCO2e/kg.km]*Calculations[[#This Row],[Total Kg]],0)</f>
        <v>0</v>
      </c>
      <c r="W1401" s="322" cm="1">
        <f t="array" ref="W1401">IFERROR(VLOOKUP(Calculations[[#This Row],[Waste 1]],WasteScenario[#All],5,FALSE)*'Stage assumptions'!$C$226*WasteTransportMethod[Emissions Factor
kgCO2e/kg.km]*Calculations[[#This Row],[Total Kg]],0)</f>
        <v>0</v>
      </c>
      <c r="X1401" s="322">
        <f>SUM(Calculations[[#This Row],[C2 Recycle]:[C2 Reuse]])</f>
        <v>0</v>
      </c>
      <c r="Y1401" t="str">
        <f>IFERROR(VLOOKUP(Calculations[[#This Row],[Material (choose from dropdown]],MaterialData[#All],5,FALSE),"")</f>
        <v/>
      </c>
      <c r="Z1401" s="322">
        <f>IFERROR(((VLOOKUP(Calculations[[#This Row],[Waste type 2]],WasteDisposalEmissions[#All],2,FALSE))*Calculations[[#This Row],[Total Kg]])*VLOOKUP(Calculations[[#This Row],[Waste 1]],WasteScenario[#All],2,FALSE),0)</f>
        <v>0</v>
      </c>
      <c r="AA1401" s="322">
        <f>IFERROR((VLOOKUP(Calculations[[#This Row],[Waste type 2]],WasteDisposalEmissions[#All],3,FALSE))*Calculations[[#This Row],[Total Kg]]*VLOOKUP(Calculations[[#This Row],[Waste 1]],WasteScenario[#All],3,FALSE),0)</f>
        <v>0</v>
      </c>
      <c r="AB1401" s="322">
        <f>SUM(Calculations[[#This Row],[C3 recyc]:[C3 incin]])</f>
        <v>0</v>
      </c>
      <c r="AC1401" s="334">
        <f>IFERROR((VLOOKUP(Calculations[[#This Row],[Waste type 2]],WasteLandfillEmissions[#All],2,FALSE))*Calculations[[#This Row],[Total Kg]]*VLOOKUP(Calculations[[#This Row],[Waste 1]],WasteScenario[#All],4,FALSE),0)</f>
        <v>0</v>
      </c>
      <c r="AD1401" s="322">
        <f>IFERROR((VLOOKUP(Calculations[[#This Row],[Waste type 2]],WasteLandfillEmissions[#All],3,FALSE))*Calculations[[#This Row],[Total Kg]]*VLOOKUP(Calculations[[#This Row],[Waste 1]],WasteScenario[#All],4,FALSE),0)</f>
        <v>0</v>
      </c>
      <c r="AE1401" s="322">
        <f>SUM(Calculations[[#This Row],[C4 landfill]:[C4 re-use]])</f>
        <v>0</v>
      </c>
      <c r="AF1401" s="322">
        <f>IFERROR(VLOOKUP(Calculations[[#This Row],[Material (choose from dropdown]],MaterialData[#All],8,FALSE),0)</f>
        <v>0</v>
      </c>
      <c r="AG1401" s="322">
        <f>IFERROR(Calculations[[#This Row],[Total Kg]]*Calculations[[#This Row],[Seq factor]],0)</f>
        <v>0</v>
      </c>
      <c r="AI1401" s="322">
        <f>Calculations[[#This Row],[A1-3]]+Calculations[[#This Row],[A4]]+Calculations[[#This Row],[A5]]+Calculations[[#This Row],[B4]]+Calculations[[#This Row],[C2 total]]+Calculations[[#This Row],[C3 total]]+Calculations[[#This Row],[C4 total]]</f>
        <v>0</v>
      </c>
      <c r="AJ1401" s="2">
        <f>IFERROR(VLOOKUP(Calculations[[#This Row],[Material (choose from dropdown]],MaterialData[[#Headers],[#Data]],9,FALSE),0)</f>
        <v>0</v>
      </c>
      <c r="AK1401" s="4">
        <f>IFERROR(VLOOKUP(Calculations[[#This Row],[Material (choose from dropdown]],MaterialData[[#Headers],[#Data]],10,FALSE),0)</f>
        <v>0</v>
      </c>
      <c r="AL1401" s="322">
        <f>IFERROR(Calculations[[#This Row],[Data Quality Score]]*Calculations[[#This Row],[Total Kg]],0)</f>
        <v>0</v>
      </c>
    </row>
    <row r="1402" spans="1:38" x14ac:dyDescent="0.3">
      <c r="A1402" s="6">
        <f>IFERROR(MaterialsBoQ[[#This Row],[Scope Element]],0)</f>
        <v>0</v>
      </c>
      <c r="B1402" t="str">
        <f>IFERROR(MaterialsBoQ[[#This Row],[Material ]],"")</f>
        <v/>
      </c>
      <c r="C1402" t="str">
        <f>IFERROR(MaterialsBoQ[[#This Row],[Unit]],"")</f>
        <v/>
      </c>
      <c r="D1402" s="322">
        <f>IFERROR(MaterialsBoQ[[#This Row],[Number]],0)</f>
        <v>0</v>
      </c>
      <c r="E1402" s="322">
        <f>IFERROR(MaterialsBoQ[[#This Row],[Kg per unit]],0)</f>
        <v>0</v>
      </c>
      <c r="F1402" s="322">
        <f>IFERROR(Calculations[[#This Row],[Number]]*Calculations[[#This Row],[Conversion factor]],0)</f>
        <v>0</v>
      </c>
      <c r="G1402" s="322">
        <f>IFERROR(VLOOKUP(Calculations[[#This Row],[Material (choose from dropdown]],MaterialData[#All],7,FALSE),0)</f>
        <v>0</v>
      </c>
      <c r="H1402" s="322">
        <f>Calculations[[#This Row],[Total Kg]]*Calculations[[#This Row],[Carbon Factor]]</f>
        <v>0</v>
      </c>
      <c r="I1402" t="str">
        <f>IFERROR(VLOOKUP(Calculations[[#This Row],[Material (choose from dropdown]],MaterialData[#All],2,FALSE),"")</f>
        <v/>
      </c>
      <c r="J1402" s="322">
        <f>IFERROR(((VLOOKUP(Calculations[[#This Row],[TransportSource]],TransportDistance[],2,FALSE)*'Stage assumptions'!$C$11)+VLOOKUP(Calculations[[#This Row],[TransportSource]],TransportDistance[],3,FALSE)*'Stage assumptions'!$C$12)*Calculations[[#This Row],[Total Kg]],0)</f>
        <v>0</v>
      </c>
      <c r="K1402">
        <f>IFERROR(VLOOKUP(Calculations[[#This Row],[Material (choose from dropdown]], MaterialData[#All],3, FALSE),0)</f>
        <v>0</v>
      </c>
      <c r="L1402" s="322">
        <f>IFERROR(VLOOKUP(Calculations[[#This Row],[A5type]],A5WastageRate[#All],2,FALSE)*Calculations[[#This Row],[A1-3]],0)</f>
        <v>0</v>
      </c>
      <c r="N1402">
        <f>IFERROR(ROUNDUP(50/VLOOKUP(Calculations[[#This Row],[Scope Element]],B4referenceServiceLife[[Tier 2 element]:[Default Service Life]],2, FALSE)-1,0),0)</f>
        <v>0</v>
      </c>
      <c r="O1402" s="322">
        <f>IFERROR((Calculations[[#This Row],[A1-3]]+Calculations[[#This Row],[A4]]+Calculations[[#This Row],[A5]]+Calculations[[#This Row],[C2 total]]+Calculations[[#This Row],[C3 total]]+Calculations[[#This Row],[C4 total]])*Calculations[[#This Row],[Replacements]],0)</f>
        <v>0</v>
      </c>
      <c r="S1402" t="str">
        <f>IFERROR(VLOOKUP(Calculations[[#This Row],[Material (choose from dropdown]],MaterialData[#All],4,FALSE),"")</f>
        <v/>
      </c>
      <c r="T1402" s="322" cm="1">
        <f t="array" ref="T1402">IFERROR(VLOOKUP(Calculations[[#This Row],[Waste 1]],WasteScenario[#All],2,FALSE)*'Stage assumptions'!$C$225*WasteTransportMethod[Emissions Factor
kgCO2e/kg.km]*Calculations[[#This Row],[Total Kg]],0)</f>
        <v>0</v>
      </c>
      <c r="U1402" s="322" cm="1">
        <f t="array" ref="U1402">IFERROR(VLOOKUP(Calculations[[#This Row],[Waste 1]],WasteScenario[#All],3,FALSE)*'Stage assumptions'!$C$224*WasteTransportMethod[Emissions Factor
kgCO2e/kg.km]*Calculations[[#This Row],[Total Kg]],0)</f>
        <v>0</v>
      </c>
      <c r="V1402" s="322" cm="1">
        <f t="array" ref="V1402">IFERROR(VLOOKUP(Calculations[[#This Row],[Waste 1]],WasteScenario[#All],4,FALSE)*'Stage assumptions'!$C$223*WasteTransportMethod[Emissions Factor
kgCO2e/kg.km]*Calculations[[#This Row],[Total Kg]],0)</f>
        <v>0</v>
      </c>
      <c r="W1402" s="322" cm="1">
        <f t="array" ref="W1402">IFERROR(VLOOKUP(Calculations[[#This Row],[Waste 1]],WasteScenario[#All],5,FALSE)*'Stage assumptions'!$C$226*WasteTransportMethod[Emissions Factor
kgCO2e/kg.km]*Calculations[[#This Row],[Total Kg]],0)</f>
        <v>0</v>
      </c>
      <c r="X1402" s="322">
        <f>SUM(Calculations[[#This Row],[C2 Recycle]:[C2 Reuse]])</f>
        <v>0</v>
      </c>
      <c r="Y1402" t="str">
        <f>IFERROR(VLOOKUP(Calculations[[#This Row],[Material (choose from dropdown]],MaterialData[#All],5,FALSE),"")</f>
        <v/>
      </c>
      <c r="Z1402" s="322">
        <f>IFERROR(((VLOOKUP(Calculations[[#This Row],[Waste type 2]],WasteDisposalEmissions[#All],2,FALSE))*Calculations[[#This Row],[Total Kg]])*VLOOKUP(Calculations[[#This Row],[Waste 1]],WasteScenario[#All],2,FALSE),0)</f>
        <v>0</v>
      </c>
      <c r="AA1402" s="322">
        <f>IFERROR((VLOOKUP(Calculations[[#This Row],[Waste type 2]],WasteDisposalEmissions[#All],3,FALSE))*Calculations[[#This Row],[Total Kg]]*VLOOKUP(Calculations[[#This Row],[Waste 1]],WasteScenario[#All],3,FALSE),0)</f>
        <v>0</v>
      </c>
      <c r="AB1402" s="322">
        <f>SUM(Calculations[[#This Row],[C3 recyc]:[C3 incin]])</f>
        <v>0</v>
      </c>
      <c r="AC1402" s="334">
        <f>IFERROR((VLOOKUP(Calculations[[#This Row],[Waste type 2]],WasteLandfillEmissions[#All],2,FALSE))*Calculations[[#This Row],[Total Kg]]*VLOOKUP(Calculations[[#This Row],[Waste 1]],WasteScenario[#All],4,FALSE),0)</f>
        <v>0</v>
      </c>
      <c r="AD1402" s="322">
        <f>IFERROR((VLOOKUP(Calculations[[#This Row],[Waste type 2]],WasteLandfillEmissions[#All],3,FALSE))*Calculations[[#This Row],[Total Kg]]*VLOOKUP(Calculations[[#This Row],[Waste 1]],WasteScenario[#All],4,FALSE),0)</f>
        <v>0</v>
      </c>
      <c r="AE1402" s="322">
        <f>SUM(Calculations[[#This Row],[C4 landfill]:[C4 re-use]])</f>
        <v>0</v>
      </c>
      <c r="AF1402" s="322">
        <f>IFERROR(VLOOKUP(Calculations[[#This Row],[Material (choose from dropdown]],MaterialData[#All],8,FALSE),0)</f>
        <v>0</v>
      </c>
      <c r="AG1402" s="322">
        <f>IFERROR(Calculations[[#This Row],[Total Kg]]*Calculations[[#This Row],[Seq factor]],0)</f>
        <v>0</v>
      </c>
      <c r="AI1402" s="322">
        <f>Calculations[[#This Row],[A1-3]]+Calculations[[#This Row],[A4]]+Calculations[[#This Row],[A5]]+Calculations[[#This Row],[B4]]+Calculations[[#This Row],[C2 total]]+Calculations[[#This Row],[C3 total]]+Calculations[[#This Row],[C4 total]]</f>
        <v>0</v>
      </c>
      <c r="AJ1402" s="2">
        <f>IFERROR(VLOOKUP(Calculations[[#This Row],[Material (choose from dropdown]],MaterialData[[#Headers],[#Data]],9,FALSE),0)</f>
        <v>0</v>
      </c>
      <c r="AK1402" s="4">
        <f>IFERROR(VLOOKUP(Calculations[[#This Row],[Material (choose from dropdown]],MaterialData[[#Headers],[#Data]],10,FALSE),0)</f>
        <v>0</v>
      </c>
      <c r="AL1402" s="322">
        <f>IFERROR(Calculations[[#This Row],[Data Quality Score]]*Calculations[[#This Row],[Total Kg]],0)</f>
        <v>0</v>
      </c>
    </row>
    <row r="1403" spans="1:38" x14ac:dyDescent="0.3">
      <c r="A1403" s="6">
        <f>IFERROR(MaterialsBoQ[[#This Row],[Scope Element]],0)</f>
        <v>0</v>
      </c>
      <c r="B1403" t="str">
        <f>IFERROR(MaterialsBoQ[[#This Row],[Material ]],"")</f>
        <v/>
      </c>
      <c r="C1403" t="str">
        <f>IFERROR(MaterialsBoQ[[#This Row],[Unit]],"")</f>
        <v/>
      </c>
      <c r="D1403" s="322">
        <f>IFERROR(MaterialsBoQ[[#This Row],[Number]],0)</f>
        <v>0</v>
      </c>
      <c r="E1403" s="322">
        <f>IFERROR(MaterialsBoQ[[#This Row],[Kg per unit]],0)</f>
        <v>0</v>
      </c>
      <c r="F1403" s="322">
        <f>IFERROR(Calculations[[#This Row],[Number]]*Calculations[[#This Row],[Conversion factor]],0)</f>
        <v>0</v>
      </c>
      <c r="G1403" s="322">
        <f>IFERROR(VLOOKUP(Calculations[[#This Row],[Material (choose from dropdown]],MaterialData[#All],7,FALSE),0)</f>
        <v>0</v>
      </c>
      <c r="H1403" s="322">
        <f>Calculations[[#This Row],[Total Kg]]*Calculations[[#This Row],[Carbon Factor]]</f>
        <v>0</v>
      </c>
      <c r="I1403" t="str">
        <f>IFERROR(VLOOKUP(Calculations[[#This Row],[Material (choose from dropdown]],MaterialData[#All],2,FALSE),"")</f>
        <v/>
      </c>
      <c r="J1403" s="322">
        <f>IFERROR(((VLOOKUP(Calculations[[#This Row],[TransportSource]],TransportDistance[],2,FALSE)*'Stage assumptions'!$C$11)+VLOOKUP(Calculations[[#This Row],[TransportSource]],TransportDistance[],3,FALSE)*'Stage assumptions'!$C$12)*Calculations[[#This Row],[Total Kg]],0)</f>
        <v>0</v>
      </c>
      <c r="K1403">
        <f>IFERROR(VLOOKUP(Calculations[[#This Row],[Material (choose from dropdown]], MaterialData[#All],3, FALSE),0)</f>
        <v>0</v>
      </c>
      <c r="L1403" s="322">
        <f>IFERROR(VLOOKUP(Calculations[[#This Row],[A5type]],A5WastageRate[#All],2,FALSE)*Calculations[[#This Row],[A1-3]],0)</f>
        <v>0</v>
      </c>
      <c r="N1403">
        <f>IFERROR(ROUNDUP(50/VLOOKUP(Calculations[[#This Row],[Scope Element]],B4referenceServiceLife[[Tier 2 element]:[Default Service Life]],2, FALSE)-1,0),0)</f>
        <v>0</v>
      </c>
      <c r="O1403" s="322">
        <f>IFERROR((Calculations[[#This Row],[A1-3]]+Calculations[[#This Row],[A4]]+Calculations[[#This Row],[A5]]+Calculations[[#This Row],[C2 total]]+Calculations[[#This Row],[C3 total]]+Calculations[[#This Row],[C4 total]])*Calculations[[#This Row],[Replacements]],0)</f>
        <v>0</v>
      </c>
      <c r="S1403" t="str">
        <f>IFERROR(VLOOKUP(Calculations[[#This Row],[Material (choose from dropdown]],MaterialData[#All],4,FALSE),"")</f>
        <v/>
      </c>
      <c r="T1403" s="322" cm="1">
        <f t="array" ref="T1403">IFERROR(VLOOKUP(Calculations[[#This Row],[Waste 1]],WasteScenario[#All],2,FALSE)*'Stage assumptions'!$C$225*WasteTransportMethod[Emissions Factor
kgCO2e/kg.km]*Calculations[[#This Row],[Total Kg]],0)</f>
        <v>0</v>
      </c>
      <c r="U1403" s="322" cm="1">
        <f t="array" ref="U1403">IFERROR(VLOOKUP(Calculations[[#This Row],[Waste 1]],WasteScenario[#All],3,FALSE)*'Stage assumptions'!$C$224*WasteTransportMethod[Emissions Factor
kgCO2e/kg.km]*Calculations[[#This Row],[Total Kg]],0)</f>
        <v>0</v>
      </c>
      <c r="V1403" s="322" cm="1">
        <f t="array" ref="V1403">IFERROR(VLOOKUP(Calculations[[#This Row],[Waste 1]],WasteScenario[#All],4,FALSE)*'Stage assumptions'!$C$223*WasteTransportMethod[Emissions Factor
kgCO2e/kg.km]*Calculations[[#This Row],[Total Kg]],0)</f>
        <v>0</v>
      </c>
      <c r="W1403" s="322" cm="1">
        <f t="array" ref="W1403">IFERROR(VLOOKUP(Calculations[[#This Row],[Waste 1]],WasteScenario[#All],5,FALSE)*'Stage assumptions'!$C$226*WasteTransportMethod[Emissions Factor
kgCO2e/kg.km]*Calculations[[#This Row],[Total Kg]],0)</f>
        <v>0</v>
      </c>
      <c r="X1403" s="322">
        <f>SUM(Calculations[[#This Row],[C2 Recycle]:[C2 Reuse]])</f>
        <v>0</v>
      </c>
      <c r="Y1403" t="str">
        <f>IFERROR(VLOOKUP(Calculations[[#This Row],[Material (choose from dropdown]],MaterialData[#All],5,FALSE),"")</f>
        <v/>
      </c>
      <c r="Z1403" s="322">
        <f>IFERROR(((VLOOKUP(Calculations[[#This Row],[Waste type 2]],WasteDisposalEmissions[#All],2,FALSE))*Calculations[[#This Row],[Total Kg]])*VLOOKUP(Calculations[[#This Row],[Waste 1]],WasteScenario[#All],2,FALSE),0)</f>
        <v>0</v>
      </c>
      <c r="AA1403" s="322">
        <f>IFERROR((VLOOKUP(Calculations[[#This Row],[Waste type 2]],WasteDisposalEmissions[#All],3,FALSE))*Calculations[[#This Row],[Total Kg]]*VLOOKUP(Calculations[[#This Row],[Waste 1]],WasteScenario[#All],3,FALSE),0)</f>
        <v>0</v>
      </c>
      <c r="AB1403" s="322">
        <f>SUM(Calculations[[#This Row],[C3 recyc]:[C3 incin]])</f>
        <v>0</v>
      </c>
      <c r="AC1403" s="334">
        <f>IFERROR((VLOOKUP(Calculations[[#This Row],[Waste type 2]],WasteLandfillEmissions[#All],2,FALSE))*Calculations[[#This Row],[Total Kg]]*VLOOKUP(Calculations[[#This Row],[Waste 1]],WasteScenario[#All],4,FALSE),0)</f>
        <v>0</v>
      </c>
      <c r="AD1403" s="322">
        <f>IFERROR((VLOOKUP(Calculations[[#This Row],[Waste type 2]],WasteLandfillEmissions[#All],3,FALSE))*Calculations[[#This Row],[Total Kg]]*VLOOKUP(Calculations[[#This Row],[Waste 1]],WasteScenario[#All],4,FALSE),0)</f>
        <v>0</v>
      </c>
      <c r="AE1403" s="322">
        <f>SUM(Calculations[[#This Row],[C4 landfill]:[C4 re-use]])</f>
        <v>0</v>
      </c>
      <c r="AF1403" s="322">
        <f>IFERROR(VLOOKUP(Calculations[[#This Row],[Material (choose from dropdown]],MaterialData[#All],8,FALSE),0)</f>
        <v>0</v>
      </c>
      <c r="AG1403" s="322">
        <f>IFERROR(Calculations[[#This Row],[Total Kg]]*Calculations[[#This Row],[Seq factor]],0)</f>
        <v>0</v>
      </c>
      <c r="AI1403" s="322">
        <f>Calculations[[#This Row],[A1-3]]+Calculations[[#This Row],[A4]]+Calculations[[#This Row],[A5]]+Calculations[[#This Row],[B4]]+Calculations[[#This Row],[C2 total]]+Calculations[[#This Row],[C3 total]]+Calculations[[#This Row],[C4 total]]</f>
        <v>0</v>
      </c>
      <c r="AJ1403" s="2">
        <f>IFERROR(VLOOKUP(Calculations[[#This Row],[Material (choose from dropdown]],MaterialData[[#Headers],[#Data]],9,FALSE),0)</f>
        <v>0</v>
      </c>
      <c r="AK1403" s="4">
        <f>IFERROR(VLOOKUP(Calculations[[#This Row],[Material (choose from dropdown]],MaterialData[[#Headers],[#Data]],10,FALSE),0)</f>
        <v>0</v>
      </c>
      <c r="AL1403" s="322">
        <f>IFERROR(Calculations[[#This Row],[Data Quality Score]]*Calculations[[#This Row],[Total Kg]],0)</f>
        <v>0</v>
      </c>
    </row>
    <row r="1404" spans="1:38" x14ac:dyDescent="0.3">
      <c r="A1404" s="6">
        <f>IFERROR(MaterialsBoQ[[#This Row],[Scope Element]],0)</f>
        <v>0</v>
      </c>
      <c r="B1404" t="str">
        <f>IFERROR(MaterialsBoQ[[#This Row],[Material ]],"")</f>
        <v/>
      </c>
      <c r="C1404" t="str">
        <f>IFERROR(MaterialsBoQ[[#This Row],[Unit]],"")</f>
        <v/>
      </c>
      <c r="D1404" s="322">
        <f>IFERROR(MaterialsBoQ[[#This Row],[Number]],0)</f>
        <v>0</v>
      </c>
      <c r="E1404" s="322">
        <f>IFERROR(MaterialsBoQ[[#This Row],[Kg per unit]],0)</f>
        <v>0</v>
      </c>
      <c r="F1404" s="322">
        <f>IFERROR(Calculations[[#This Row],[Number]]*Calculations[[#This Row],[Conversion factor]],0)</f>
        <v>0</v>
      </c>
      <c r="G1404" s="322">
        <f>IFERROR(VLOOKUP(Calculations[[#This Row],[Material (choose from dropdown]],MaterialData[#All],7,FALSE),0)</f>
        <v>0</v>
      </c>
      <c r="H1404" s="322">
        <f>Calculations[[#This Row],[Total Kg]]*Calculations[[#This Row],[Carbon Factor]]</f>
        <v>0</v>
      </c>
      <c r="I1404" t="str">
        <f>IFERROR(VLOOKUP(Calculations[[#This Row],[Material (choose from dropdown]],MaterialData[#All],2,FALSE),"")</f>
        <v/>
      </c>
      <c r="J1404" s="322">
        <f>IFERROR(((VLOOKUP(Calculations[[#This Row],[TransportSource]],TransportDistance[],2,FALSE)*'Stage assumptions'!$C$11)+VLOOKUP(Calculations[[#This Row],[TransportSource]],TransportDistance[],3,FALSE)*'Stage assumptions'!$C$12)*Calculations[[#This Row],[Total Kg]],0)</f>
        <v>0</v>
      </c>
      <c r="K1404">
        <f>IFERROR(VLOOKUP(Calculations[[#This Row],[Material (choose from dropdown]], MaterialData[#All],3, FALSE),0)</f>
        <v>0</v>
      </c>
      <c r="L1404" s="322">
        <f>IFERROR(VLOOKUP(Calculations[[#This Row],[A5type]],A5WastageRate[#All],2,FALSE)*Calculations[[#This Row],[A1-3]],0)</f>
        <v>0</v>
      </c>
      <c r="N1404">
        <f>IFERROR(ROUNDUP(50/VLOOKUP(Calculations[[#This Row],[Scope Element]],B4referenceServiceLife[[Tier 2 element]:[Default Service Life]],2, FALSE)-1,0),0)</f>
        <v>0</v>
      </c>
      <c r="O1404" s="322">
        <f>IFERROR((Calculations[[#This Row],[A1-3]]+Calculations[[#This Row],[A4]]+Calculations[[#This Row],[A5]]+Calculations[[#This Row],[C2 total]]+Calculations[[#This Row],[C3 total]]+Calculations[[#This Row],[C4 total]])*Calculations[[#This Row],[Replacements]],0)</f>
        <v>0</v>
      </c>
      <c r="S1404" t="str">
        <f>IFERROR(VLOOKUP(Calculations[[#This Row],[Material (choose from dropdown]],MaterialData[#All],4,FALSE),"")</f>
        <v/>
      </c>
      <c r="T1404" s="322" cm="1">
        <f t="array" ref="T1404">IFERROR(VLOOKUP(Calculations[[#This Row],[Waste 1]],WasteScenario[#All],2,FALSE)*'Stage assumptions'!$C$225*WasteTransportMethod[Emissions Factor
kgCO2e/kg.km]*Calculations[[#This Row],[Total Kg]],0)</f>
        <v>0</v>
      </c>
      <c r="U1404" s="322" cm="1">
        <f t="array" ref="U1404">IFERROR(VLOOKUP(Calculations[[#This Row],[Waste 1]],WasteScenario[#All],3,FALSE)*'Stage assumptions'!$C$224*WasteTransportMethod[Emissions Factor
kgCO2e/kg.km]*Calculations[[#This Row],[Total Kg]],0)</f>
        <v>0</v>
      </c>
      <c r="V1404" s="322" cm="1">
        <f t="array" ref="V1404">IFERROR(VLOOKUP(Calculations[[#This Row],[Waste 1]],WasteScenario[#All],4,FALSE)*'Stage assumptions'!$C$223*WasteTransportMethod[Emissions Factor
kgCO2e/kg.km]*Calculations[[#This Row],[Total Kg]],0)</f>
        <v>0</v>
      </c>
      <c r="W1404" s="322" cm="1">
        <f t="array" ref="W1404">IFERROR(VLOOKUP(Calculations[[#This Row],[Waste 1]],WasteScenario[#All],5,FALSE)*'Stage assumptions'!$C$226*WasteTransportMethod[Emissions Factor
kgCO2e/kg.km]*Calculations[[#This Row],[Total Kg]],0)</f>
        <v>0</v>
      </c>
      <c r="X1404" s="322">
        <f>SUM(Calculations[[#This Row],[C2 Recycle]:[C2 Reuse]])</f>
        <v>0</v>
      </c>
      <c r="Y1404" t="str">
        <f>IFERROR(VLOOKUP(Calculations[[#This Row],[Material (choose from dropdown]],MaterialData[#All],5,FALSE),"")</f>
        <v/>
      </c>
      <c r="Z1404" s="322">
        <f>IFERROR(((VLOOKUP(Calculations[[#This Row],[Waste type 2]],WasteDisposalEmissions[#All],2,FALSE))*Calculations[[#This Row],[Total Kg]])*VLOOKUP(Calculations[[#This Row],[Waste 1]],WasteScenario[#All],2,FALSE),0)</f>
        <v>0</v>
      </c>
      <c r="AA1404" s="322">
        <f>IFERROR((VLOOKUP(Calculations[[#This Row],[Waste type 2]],WasteDisposalEmissions[#All],3,FALSE))*Calculations[[#This Row],[Total Kg]]*VLOOKUP(Calculations[[#This Row],[Waste 1]],WasteScenario[#All],3,FALSE),0)</f>
        <v>0</v>
      </c>
      <c r="AB1404" s="322">
        <f>SUM(Calculations[[#This Row],[C3 recyc]:[C3 incin]])</f>
        <v>0</v>
      </c>
      <c r="AC1404" s="334">
        <f>IFERROR((VLOOKUP(Calculations[[#This Row],[Waste type 2]],WasteLandfillEmissions[#All],2,FALSE))*Calculations[[#This Row],[Total Kg]]*VLOOKUP(Calculations[[#This Row],[Waste 1]],WasteScenario[#All],4,FALSE),0)</f>
        <v>0</v>
      </c>
      <c r="AD1404" s="322">
        <f>IFERROR((VLOOKUP(Calculations[[#This Row],[Waste type 2]],WasteLandfillEmissions[#All],3,FALSE))*Calculations[[#This Row],[Total Kg]]*VLOOKUP(Calculations[[#This Row],[Waste 1]],WasteScenario[#All],4,FALSE),0)</f>
        <v>0</v>
      </c>
      <c r="AE1404" s="322">
        <f>SUM(Calculations[[#This Row],[C4 landfill]:[C4 re-use]])</f>
        <v>0</v>
      </c>
      <c r="AF1404" s="322">
        <f>IFERROR(VLOOKUP(Calculations[[#This Row],[Material (choose from dropdown]],MaterialData[#All],8,FALSE),0)</f>
        <v>0</v>
      </c>
      <c r="AG1404" s="322">
        <f>IFERROR(Calculations[[#This Row],[Total Kg]]*Calculations[[#This Row],[Seq factor]],0)</f>
        <v>0</v>
      </c>
      <c r="AI1404" s="322">
        <f>Calculations[[#This Row],[A1-3]]+Calculations[[#This Row],[A4]]+Calculations[[#This Row],[A5]]+Calculations[[#This Row],[B4]]+Calculations[[#This Row],[C2 total]]+Calculations[[#This Row],[C3 total]]+Calculations[[#This Row],[C4 total]]</f>
        <v>0</v>
      </c>
      <c r="AJ1404" s="2">
        <f>IFERROR(VLOOKUP(Calculations[[#This Row],[Material (choose from dropdown]],MaterialData[[#Headers],[#Data]],9,FALSE),0)</f>
        <v>0</v>
      </c>
      <c r="AK1404" s="4">
        <f>IFERROR(VLOOKUP(Calculations[[#This Row],[Material (choose from dropdown]],MaterialData[[#Headers],[#Data]],10,FALSE),0)</f>
        <v>0</v>
      </c>
      <c r="AL1404" s="322">
        <f>IFERROR(Calculations[[#This Row],[Data Quality Score]]*Calculations[[#This Row],[Total Kg]],0)</f>
        <v>0</v>
      </c>
    </row>
    <row r="1405" spans="1:38" x14ac:dyDescent="0.3">
      <c r="A1405" s="6">
        <f>IFERROR(MaterialsBoQ[[#This Row],[Scope Element]],0)</f>
        <v>0</v>
      </c>
      <c r="B1405" t="str">
        <f>IFERROR(MaterialsBoQ[[#This Row],[Material ]],"")</f>
        <v/>
      </c>
      <c r="C1405" t="str">
        <f>IFERROR(MaterialsBoQ[[#This Row],[Unit]],"")</f>
        <v/>
      </c>
      <c r="D1405" s="322">
        <f>IFERROR(MaterialsBoQ[[#This Row],[Number]],0)</f>
        <v>0</v>
      </c>
      <c r="E1405" s="322">
        <f>IFERROR(MaterialsBoQ[[#This Row],[Kg per unit]],0)</f>
        <v>0</v>
      </c>
      <c r="F1405" s="322">
        <f>IFERROR(Calculations[[#This Row],[Number]]*Calculations[[#This Row],[Conversion factor]],0)</f>
        <v>0</v>
      </c>
      <c r="G1405" s="322">
        <f>IFERROR(VLOOKUP(Calculations[[#This Row],[Material (choose from dropdown]],MaterialData[#All],7,FALSE),0)</f>
        <v>0</v>
      </c>
      <c r="H1405" s="322">
        <f>Calculations[[#This Row],[Total Kg]]*Calculations[[#This Row],[Carbon Factor]]</f>
        <v>0</v>
      </c>
      <c r="I1405" t="str">
        <f>IFERROR(VLOOKUP(Calculations[[#This Row],[Material (choose from dropdown]],MaterialData[#All],2,FALSE),"")</f>
        <v/>
      </c>
      <c r="J1405" s="322">
        <f>IFERROR(((VLOOKUP(Calculations[[#This Row],[TransportSource]],TransportDistance[],2,FALSE)*'Stage assumptions'!$C$11)+VLOOKUP(Calculations[[#This Row],[TransportSource]],TransportDistance[],3,FALSE)*'Stage assumptions'!$C$12)*Calculations[[#This Row],[Total Kg]],0)</f>
        <v>0</v>
      </c>
      <c r="K1405">
        <f>IFERROR(VLOOKUP(Calculations[[#This Row],[Material (choose from dropdown]], MaterialData[#All],3, FALSE),0)</f>
        <v>0</v>
      </c>
      <c r="L1405" s="322">
        <f>IFERROR(VLOOKUP(Calculations[[#This Row],[A5type]],A5WastageRate[#All],2,FALSE)*Calculations[[#This Row],[A1-3]],0)</f>
        <v>0</v>
      </c>
      <c r="N1405">
        <f>IFERROR(ROUNDUP(50/VLOOKUP(Calculations[[#This Row],[Scope Element]],B4referenceServiceLife[[Tier 2 element]:[Default Service Life]],2, FALSE)-1,0),0)</f>
        <v>0</v>
      </c>
      <c r="O1405" s="322">
        <f>IFERROR((Calculations[[#This Row],[A1-3]]+Calculations[[#This Row],[A4]]+Calculations[[#This Row],[A5]]+Calculations[[#This Row],[C2 total]]+Calculations[[#This Row],[C3 total]]+Calculations[[#This Row],[C4 total]])*Calculations[[#This Row],[Replacements]],0)</f>
        <v>0</v>
      </c>
      <c r="S1405" t="str">
        <f>IFERROR(VLOOKUP(Calculations[[#This Row],[Material (choose from dropdown]],MaterialData[#All],4,FALSE),"")</f>
        <v/>
      </c>
      <c r="T1405" s="322" cm="1">
        <f t="array" ref="T1405">IFERROR(VLOOKUP(Calculations[[#This Row],[Waste 1]],WasteScenario[#All],2,FALSE)*'Stage assumptions'!$C$225*WasteTransportMethod[Emissions Factor
kgCO2e/kg.km]*Calculations[[#This Row],[Total Kg]],0)</f>
        <v>0</v>
      </c>
      <c r="U1405" s="322" cm="1">
        <f t="array" ref="U1405">IFERROR(VLOOKUP(Calculations[[#This Row],[Waste 1]],WasteScenario[#All],3,FALSE)*'Stage assumptions'!$C$224*WasteTransportMethod[Emissions Factor
kgCO2e/kg.km]*Calculations[[#This Row],[Total Kg]],0)</f>
        <v>0</v>
      </c>
      <c r="V1405" s="322" cm="1">
        <f t="array" ref="V1405">IFERROR(VLOOKUP(Calculations[[#This Row],[Waste 1]],WasteScenario[#All],4,FALSE)*'Stage assumptions'!$C$223*WasteTransportMethod[Emissions Factor
kgCO2e/kg.km]*Calculations[[#This Row],[Total Kg]],0)</f>
        <v>0</v>
      </c>
      <c r="W1405" s="322" cm="1">
        <f t="array" ref="W1405">IFERROR(VLOOKUP(Calculations[[#This Row],[Waste 1]],WasteScenario[#All],5,FALSE)*'Stage assumptions'!$C$226*WasteTransportMethod[Emissions Factor
kgCO2e/kg.km]*Calculations[[#This Row],[Total Kg]],0)</f>
        <v>0</v>
      </c>
      <c r="X1405" s="322">
        <f>SUM(Calculations[[#This Row],[C2 Recycle]:[C2 Reuse]])</f>
        <v>0</v>
      </c>
      <c r="Y1405" t="str">
        <f>IFERROR(VLOOKUP(Calculations[[#This Row],[Material (choose from dropdown]],MaterialData[#All],5,FALSE),"")</f>
        <v/>
      </c>
      <c r="Z1405" s="322">
        <f>IFERROR(((VLOOKUP(Calculations[[#This Row],[Waste type 2]],WasteDisposalEmissions[#All],2,FALSE))*Calculations[[#This Row],[Total Kg]])*VLOOKUP(Calculations[[#This Row],[Waste 1]],WasteScenario[#All],2,FALSE),0)</f>
        <v>0</v>
      </c>
      <c r="AA1405" s="322">
        <f>IFERROR((VLOOKUP(Calculations[[#This Row],[Waste type 2]],WasteDisposalEmissions[#All],3,FALSE))*Calculations[[#This Row],[Total Kg]]*VLOOKUP(Calculations[[#This Row],[Waste 1]],WasteScenario[#All],3,FALSE),0)</f>
        <v>0</v>
      </c>
      <c r="AB1405" s="322">
        <f>SUM(Calculations[[#This Row],[C3 recyc]:[C3 incin]])</f>
        <v>0</v>
      </c>
      <c r="AC1405" s="334">
        <f>IFERROR((VLOOKUP(Calculations[[#This Row],[Waste type 2]],WasteLandfillEmissions[#All],2,FALSE))*Calculations[[#This Row],[Total Kg]]*VLOOKUP(Calculations[[#This Row],[Waste 1]],WasteScenario[#All],4,FALSE),0)</f>
        <v>0</v>
      </c>
      <c r="AD1405" s="322">
        <f>IFERROR((VLOOKUP(Calculations[[#This Row],[Waste type 2]],WasteLandfillEmissions[#All],3,FALSE))*Calculations[[#This Row],[Total Kg]]*VLOOKUP(Calculations[[#This Row],[Waste 1]],WasteScenario[#All],4,FALSE),0)</f>
        <v>0</v>
      </c>
      <c r="AE1405" s="322">
        <f>SUM(Calculations[[#This Row],[C4 landfill]:[C4 re-use]])</f>
        <v>0</v>
      </c>
      <c r="AF1405" s="322">
        <f>IFERROR(VLOOKUP(Calculations[[#This Row],[Material (choose from dropdown]],MaterialData[#All],8,FALSE),0)</f>
        <v>0</v>
      </c>
      <c r="AG1405" s="322">
        <f>IFERROR(Calculations[[#This Row],[Total Kg]]*Calculations[[#This Row],[Seq factor]],0)</f>
        <v>0</v>
      </c>
      <c r="AI1405" s="322">
        <f>Calculations[[#This Row],[A1-3]]+Calculations[[#This Row],[A4]]+Calculations[[#This Row],[A5]]+Calculations[[#This Row],[B4]]+Calculations[[#This Row],[C2 total]]+Calculations[[#This Row],[C3 total]]+Calculations[[#This Row],[C4 total]]</f>
        <v>0</v>
      </c>
      <c r="AJ1405" s="2">
        <f>IFERROR(VLOOKUP(Calculations[[#This Row],[Material (choose from dropdown]],MaterialData[[#Headers],[#Data]],9,FALSE),0)</f>
        <v>0</v>
      </c>
      <c r="AK1405" s="4">
        <f>IFERROR(VLOOKUP(Calculations[[#This Row],[Material (choose from dropdown]],MaterialData[[#Headers],[#Data]],10,FALSE),0)</f>
        <v>0</v>
      </c>
      <c r="AL1405" s="322">
        <f>IFERROR(Calculations[[#This Row],[Data Quality Score]]*Calculations[[#This Row],[Total Kg]],0)</f>
        <v>0</v>
      </c>
    </row>
    <row r="1406" spans="1:38" x14ac:dyDescent="0.3">
      <c r="A1406" s="6">
        <f>IFERROR(MaterialsBoQ[[#This Row],[Scope Element]],0)</f>
        <v>0</v>
      </c>
      <c r="B1406" t="str">
        <f>IFERROR(MaterialsBoQ[[#This Row],[Material ]],"")</f>
        <v/>
      </c>
      <c r="C1406" t="str">
        <f>IFERROR(MaterialsBoQ[[#This Row],[Unit]],"")</f>
        <v/>
      </c>
      <c r="D1406" s="322">
        <f>IFERROR(MaterialsBoQ[[#This Row],[Number]],0)</f>
        <v>0</v>
      </c>
      <c r="E1406" s="322">
        <f>IFERROR(MaterialsBoQ[[#This Row],[Kg per unit]],0)</f>
        <v>0</v>
      </c>
      <c r="F1406" s="322">
        <f>IFERROR(Calculations[[#This Row],[Number]]*Calculations[[#This Row],[Conversion factor]],0)</f>
        <v>0</v>
      </c>
      <c r="G1406" s="322">
        <f>IFERROR(VLOOKUP(Calculations[[#This Row],[Material (choose from dropdown]],MaterialData[#All],7,FALSE),0)</f>
        <v>0</v>
      </c>
      <c r="H1406" s="322">
        <f>Calculations[[#This Row],[Total Kg]]*Calculations[[#This Row],[Carbon Factor]]</f>
        <v>0</v>
      </c>
      <c r="I1406" t="str">
        <f>IFERROR(VLOOKUP(Calculations[[#This Row],[Material (choose from dropdown]],MaterialData[#All],2,FALSE),"")</f>
        <v/>
      </c>
      <c r="J1406" s="322">
        <f>IFERROR(((VLOOKUP(Calculations[[#This Row],[TransportSource]],TransportDistance[],2,FALSE)*'Stage assumptions'!$C$11)+VLOOKUP(Calculations[[#This Row],[TransportSource]],TransportDistance[],3,FALSE)*'Stage assumptions'!$C$12)*Calculations[[#This Row],[Total Kg]],0)</f>
        <v>0</v>
      </c>
      <c r="K1406">
        <f>IFERROR(VLOOKUP(Calculations[[#This Row],[Material (choose from dropdown]], MaterialData[#All],3, FALSE),0)</f>
        <v>0</v>
      </c>
      <c r="L1406" s="322">
        <f>IFERROR(VLOOKUP(Calculations[[#This Row],[A5type]],A5WastageRate[#All],2,FALSE)*Calculations[[#This Row],[A1-3]],0)</f>
        <v>0</v>
      </c>
      <c r="N1406">
        <f>IFERROR(ROUNDUP(50/VLOOKUP(Calculations[[#This Row],[Scope Element]],B4referenceServiceLife[[Tier 2 element]:[Default Service Life]],2, FALSE)-1,0),0)</f>
        <v>0</v>
      </c>
      <c r="O1406" s="322">
        <f>IFERROR((Calculations[[#This Row],[A1-3]]+Calculations[[#This Row],[A4]]+Calculations[[#This Row],[A5]]+Calculations[[#This Row],[C2 total]]+Calculations[[#This Row],[C3 total]]+Calculations[[#This Row],[C4 total]])*Calculations[[#This Row],[Replacements]],0)</f>
        <v>0</v>
      </c>
      <c r="S1406" t="str">
        <f>IFERROR(VLOOKUP(Calculations[[#This Row],[Material (choose from dropdown]],MaterialData[#All],4,FALSE),"")</f>
        <v/>
      </c>
      <c r="T1406" s="322" cm="1">
        <f t="array" ref="T1406">IFERROR(VLOOKUP(Calculations[[#This Row],[Waste 1]],WasteScenario[#All],2,FALSE)*'Stage assumptions'!$C$225*WasteTransportMethod[Emissions Factor
kgCO2e/kg.km]*Calculations[[#This Row],[Total Kg]],0)</f>
        <v>0</v>
      </c>
      <c r="U1406" s="322" cm="1">
        <f t="array" ref="U1406">IFERROR(VLOOKUP(Calculations[[#This Row],[Waste 1]],WasteScenario[#All],3,FALSE)*'Stage assumptions'!$C$224*WasteTransportMethod[Emissions Factor
kgCO2e/kg.km]*Calculations[[#This Row],[Total Kg]],0)</f>
        <v>0</v>
      </c>
      <c r="V1406" s="322" cm="1">
        <f t="array" ref="V1406">IFERROR(VLOOKUP(Calculations[[#This Row],[Waste 1]],WasteScenario[#All],4,FALSE)*'Stage assumptions'!$C$223*WasteTransportMethod[Emissions Factor
kgCO2e/kg.km]*Calculations[[#This Row],[Total Kg]],0)</f>
        <v>0</v>
      </c>
      <c r="W1406" s="322" cm="1">
        <f t="array" ref="W1406">IFERROR(VLOOKUP(Calculations[[#This Row],[Waste 1]],WasteScenario[#All],5,FALSE)*'Stage assumptions'!$C$226*WasteTransportMethod[Emissions Factor
kgCO2e/kg.km]*Calculations[[#This Row],[Total Kg]],0)</f>
        <v>0</v>
      </c>
      <c r="X1406" s="322">
        <f>SUM(Calculations[[#This Row],[C2 Recycle]:[C2 Reuse]])</f>
        <v>0</v>
      </c>
      <c r="Y1406" t="str">
        <f>IFERROR(VLOOKUP(Calculations[[#This Row],[Material (choose from dropdown]],MaterialData[#All],5,FALSE),"")</f>
        <v/>
      </c>
      <c r="Z1406" s="322">
        <f>IFERROR(((VLOOKUP(Calculations[[#This Row],[Waste type 2]],WasteDisposalEmissions[#All],2,FALSE))*Calculations[[#This Row],[Total Kg]])*VLOOKUP(Calculations[[#This Row],[Waste 1]],WasteScenario[#All],2,FALSE),0)</f>
        <v>0</v>
      </c>
      <c r="AA1406" s="322">
        <f>IFERROR((VLOOKUP(Calculations[[#This Row],[Waste type 2]],WasteDisposalEmissions[#All],3,FALSE))*Calculations[[#This Row],[Total Kg]]*VLOOKUP(Calculations[[#This Row],[Waste 1]],WasteScenario[#All],3,FALSE),0)</f>
        <v>0</v>
      </c>
      <c r="AB1406" s="322">
        <f>SUM(Calculations[[#This Row],[C3 recyc]:[C3 incin]])</f>
        <v>0</v>
      </c>
      <c r="AC1406" s="334">
        <f>IFERROR((VLOOKUP(Calculations[[#This Row],[Waste type 2]],WasteLandfillEmissions[#All],2,FALSE))*Calculations[[#This Row],[Total Kg]]*VLOOKUP(Calculations[[#This Row],[Waste 1]],WasteScenario[#All],4,FALSE),0)</f>
        <v>0</v>
      </c>
      <c r="AD1406" s="322">
        <f>IFERROR((VLOOKUP(Calculations[[#This Row],[Waste type 2]],WasteLandfillEmissions[#All],3,FALSE))*Calculations[[#This Row],[Total Kg]]*VLOOKUP(Calculations[[#This Row],[Waste 1]],WasteScenario[#All],4,FALSE),0)</f>
        <v>0</v>
      </c>
      <c r="AE1406" s="322">
        <f>SUM(Calculations[[#This Row],[C4 landfill]:[C4 re-use]])</f>
        <v>0</v>
      </c>
      <c r="AF1406" s="322">
        <f>IFERROR(VLOOKUP(Calculations[[#This Row],[Material (choose from dropdown]],MaterialData[#All],8,FALSE),0)</f>
        <v>0</v>
      </c>
      <c r="AG1406" s="322">
        <f>IFERROR(Calculations[[#This Row],[Total Kg]]*Calculations[[#This Row],[Seq factor]],0)</f>
        <v>0</v>
      </c>
      <c r="AI1406" s="322">
        <f>Calculations[[#This Row],[A1-3]]+Calculations[[#This Row],[A4]]+Calculations[[#This Row],[A5]]+Calculations[[#This Row],[B4]]+Calculations[[#This Row],[C2 total]]+Calculations[[#This Row],[C3 total]]+Calculations[[#This Row],[C4 total]]</f>
        <v>0</v>
      </c>
      <c r="AJ1406" s="2">
        <f>IFERROR(VLOOKUP(Calculations[[#This Row],[Material (choose from dropdown]],MaterialData[[#Headers],[#Data]],9,FALSE),0)</f>
        <v>0</v>
      </c>
      <c r="AK1406" s="4">
        <f>IFERROR(VLOOKUP(Calculations[[#This Row],[Material (choose from dropdown]],MaterialData[[#Headers],[#Data]],10,FALSE),0)</f>
        <v>0</v>
      </c>
      <c r="AL1406" s="322">
        <f>IFERROR(Calculations[[#This Row],[Data Quality Score]]*Calculations[[#This Row],[Total Kg]],0)</f>
        <v>0</v>
      </c>
    </row>
    <row r="1407" spans="1:38" x14ac:dyDescent="0.3">
      <c r="A1407" s="6">
        <f>IFERROR(MaterialsBoQ[[#This Row],[Scope Element]],0)</f>
        <v>0</v>
      </c>
      <c r="B1407" t="str">
        <f>IFERROR(MaterialsBoQ[[#This Row],[Material ]],"")</f>
        <v/>
      </c>
      <c r="C1407" t="str">
        <f>IFERROR(MaterialsBoQ[[#This Row],[Unit]],"")</f>
        <v/>
      </c>
      <c r="D1407" s="322">
        <f>IFERROR(MaterialsBoQ[[#This Row],[Number]],0)</f>
        <v>0</v>
      </c>
      <c r="E1407" s="322">
        <f>IFERROR(MaterialsBoQ[[#This Row],[Kg per unit]],0)</f>
        <v>0</v>
      </c>
      <c r="F1407" s="322">
        <f>IFERROR(Calculations[[#This Row],[Number]]*Calculations[[#This Row],[Conversion factor]],0)</f>
        <v>0</v>
      </c>
      <c r="G1407" s="322">
        <f>IFERROR(VLOOKUP(Calculations[[#This Row],[Material (choose from dropdown]],MaterialData[#All],7,FALSE),0)</f>
        <v>0</v>
      </c>
      <c r="H1407" s="322">
        <f>Calculations[[#This Row],[Total Kg]]*Calculations[[#This Row],[Carbon Factor]]</f>
        <v>0</v>
      </c>
      <c r="I1407" t="str">
        <f>IFERROR(VLOOKUP(Calculations[[#This Row],[Material (choose from dropdown]],MaterialData[#All],2,FALSE),"")</f>
        <v/>
      </c>
      <c r="J1407" s="322">
        <f>IFERROR(((VLOOKUP(Calculations[[#This Row],[TransportSource]],TransportDistance[],2,FALSE)*'Stage assumptions'!$C$11)+VLOOKUP(Calculations[[#This Row],[TransportSource]],TransportDistance[],3,FALSE)*'Stage assumptions'!$C$12)*Calculations[[#This Row],[Total Kg]],0)</f>
        <v>0</v>
      </c>
      <c r="K1407">
        <f>IFERROR(VLOOKUP(Calculations[[#This Row],[Material (choose from dropdown]], MaterialData[#All],3, FALSE),0)</f>
        <v>0</v>
      </c>
      <c r="L1407" s="322">
        <f>IFERROR(VLOOKUP(Calculations[[#This Row],[A5type]],A5WastageRate[#All],2,FALSE)*Calculations[[#This Row],[A1-3]],0)</f>
        <v>0</v>
      </c>
      <c r="N1407">
        <f>IFERROR(ROUNDUP(50/VLOOKUP(Calculations[[#This Row],[Scope Element]],B4referenceServiceLife[[Tier 2 element]:[Default Service Life]],2, FALSE)-1,0),0)</f>
        <v>0</v>
      </c>
      <c r="O1407" s="322">
        <f>IFERROR((Calculations[[#This Row],[A1-3]]+Calculations[[#This Row],[A4]]+Calculations[[#This Row],[A5]]+Calculations[[#This Row],[C2 total]]+Calculations[[#This Row],[C3 total]]+Calculations[[#This Row],[C4 total]])*Calculations[[#This Row],[Replacements]],0)</f>
        <v>0</v>
      </c>
      <c r="S1407" t="str">
        <f>IFERROR(VLOOKUP(Calculations[[#This Row],[Material (choose from dropdown]],MaterialData[#All],4,FALSE),"")</f>
        <v/>
      </c>
      <c r="T1407" s="322" cm="1">
        <f t="array" ref="T1407">IFERROR(VLOOKUP(Calculations[[#This Row],[Waste 1]],WasteScenario[#All],2,FALSE)*'Stage assumptions'!$C$225*WasteTransportMethod[Emissions Factor
kgCO2e/kg.km]*Calculations[[#This Row],[Total Kg]],0)</f>
        <v>0</v>
      </c>
      <c r="U1407" s="322" cm="1">
        <f t="array" ref="U1407">IFERROR(VLOOKUP(Calculations[[#This Row],[Waste 1]],WasteScenario[#All],3,FALSE)*'Stage assumptions'!$C$224*WasteTransportMethod[Emissions Factor
kgCO2e/kg.km]*Calculations[[#This Row],[Total Kg]],0)</f>
        <v>0</v>
      </c>
      <c r="V1407" s="322" cm="1">
        <f t="array" ref="V1407">IFERROR(VLOOKUP(Calculations[[#This Row],[Waste 1]],WasteScenario[#All],4,FALSE)*'Stage assumptions'!$C$223*WasteTransportMethod[Emissions Factor
kgCO2e/kg.km]*Calculations[[#This Row],[Total Kg]],0)</f>
        <v>0</v>
      </c>
      <c r="W1407" s="322" cm="1">
        <f t="array" ref="W1407">IFERROR(VLOOKUP(Calculations[[#This Row],[Waste 1]],WasteScenario[#All],5,FALSE)*'Stage assumptions'!$C$226*WasteTransportMethod[Emissions Factor
kgCO2e/kg.km]*Calculations[[#This Row],[Total Kg]],0)</f>
        <v>0</v>
      </c>
      <c r="X1407" s="322">
        <f>SUM(Calculations[[#This Row],[C2 Recycle]:[C2 Reuse]])</f>
        <v>0</v>
      </c>
      <c r="Y1407" t="str">
        <f>IFERROR(VLOOKUP(Calculations[[#This Row],[Material (choose from dropdown]],MaterialData[#All],5,FALSE),"")</f>
        <v/>
      </c>
      <c r="Z1407" s="322">
        <f>IFERROR(((VLOOKUP(Calculations[[#This Row],[Waste type 2]],WasteDisposalEmissions[#All],2,FALSE))*Calculations[[#This Row],[Total Kg]])*VLOOKUP(Calculations[[#This Row],[Waste 1]],WasteScenario[#All],2,FALSE),0)</f>
        <v>0</v>
      </c>
      <c r="AA1407" s="322">
        <f>IFERROR((VLOOKUP(Calculations[[#This Row],[Waste type 2]],WasteDisposalEmissions[#All],3,FALSE))*Calculations[[#This Row],[Total Kg]]*VLOOKUP(Calculations[[#This Row],[Waste 1]],WasteScenario[#All],3,FALSE),0)</f>
        <v>0</v>
      </c>
      <c r="AB1407" s="322">
        <f>SUM(Calculations[[#This Row],[C3 recyc]:[C3 incin]])</f>
        <v>0</v>
      </c>
      <c r="AC1407" s="334">
        <f>IFERROR((VLOOKUP(Calculations[[#This Row],[Waste type 2]],WasteLandfillEmissions[#All],2,FALSE))*Calculations[[#This Row],[Total Kg]]*VLOOKUP(Calculations[[#This Row],[Waste 1]],WasteScenario[#All],4,FALSE),0)</f>
        <v>0</v>
      </c>
      <c r="AD1407" s="322">
        <f>IFERROR((VLOOKUP(Calculations[[#This Row],[Waste type 2]],WasteLandfillEmissions[#All],3,FALSE))*Calculations[[#This Row],[Total Kg]]*VLOOKUP(Calculations[[#This Row],[Waste 1]],WasteScenario[#All],4,FALSE),0)</f>
        <v>0</v>
      </c>
      <c r="AE1407" s="322">
        <f>SUM(Calculations[[#This Row],[C4 landfill]:[C4 re-use]])</f>
        <v>0</v>
      </c>
      <c r="AF1407" s="322">
        <f>IFERROR(VLOOKUP(Calculations[[#This Row],[Material (choose from dropdown]],MaterialData[#All],8,FALSE),0)</f>
        <v>0</v>
      </c>
      <c r="AG1407" s="322">
        <f>IFERROR(Calculations[[#This Row],[Total Kg]]*Calculations[[#This Row],[Seq factor]],0)</f>
        <v>0</v>
      </c>
      <c r="AI1407" s="322">
        <f>Calculations[[#This Row],[A1-3]]+Calculations[[#This Row],[A4]]+Calculations[[#This Row],[A5]]+Calculations[[#This Row],[B4]]+Calculations[[#This Row],[C2 total]]+Calculations[[#This Row],[C3 total]]+Calculations[[#This Row],[C4 total]]</f>
        <v>0</v>
      </c>
      <c r="AJ1407" s="2">
        <f>IFERROR(VLOOKUP(Calculations[[#This Row],[Material (choose from dropdown]],MaterialData[[#Headers],[#Data]],9,FALSE),0)</f>
        <v>0</v>
      </c>
      <c r="AK1407" s="4">
        <f>IFERROR(VLOOKUP(Calculations[[#This Row],[Material (choose from dropdown]],MaterialData[[#Headers],[#Data]],10,FALSE),0)</f>
        <v>0</v>
      </c>
      <c r="AL1407" s="322">
        <f>IFERROR(Calculations[[#This Row],[Data Quality Score]]*Calculations[[#This Row],[Total Kg]],0)</f>
        <v>0</v>
      </c>
    </row>
    <row r="1408" spans="1:38" x14ac:dyDescent="0.3">
      <c r="A1408" s="6">
        <f>IFERROR(MaterialsBoQ[[#This Row],[Scope Element]],0)</f>
        <v>0</v>
      </c>
      <c r="B1408" t="str">
        <f>IFERROR(MaterialsBoQ[[#This Row],[Material ]],"")</f>
        <v/>
      </c>
      <c r="C1408" t="str">
        <f>IFERROR(MaterialsBoQ[[#This Row],[Unit]],"")</f>
        <v/>
      </c>
      <c r="D1408" s="322">
        <f>IFERROR(MaterialsBoQ[[#This Row],[Number]],0)</f>
        <v>0</v>
      </c>
      <c r="E1408" s="322">
        <f>IFERROR(MaterialsBoQ[[#This Row],[Kg per unit]],0)</f>
        <v>0</v>
      </c>
      <c r="F1408" s="322">
        <f>IFERROR(Calculations[[#This Row],[Number]]*Calculations[[#This Row],[Conversion factor]],0)</f>
        <v>0</v>
      </c>
      <c r="G1408" s="322">
        <f>IFERROR(VLOOKUP(Calculations[[#This Row],[Material (choose from dropdown]],MaterialData[#All],7,FALSE),0)</f>
        <v>0</v>
      </c>
      <c r="H1408" s="322">
        <f>Calculations[[#This Row],[Total Kg]]*Calculations[[#This Row],[Carbon Factor]]</f>
        <v>0</v>
      </c>
      <c r="I1408" t="str">
        <f>IFERROR(VLOOKUP(Calculations[[#This Row],[Material (choose from dropdown]],MaterialData[#All],2,FALSE),"")</f>
        <v/>
      </c>
      <c r="J1408" s="322">
        <f>IFERROR(((VLOOKUP(Calculations[[#This Row],[TransportSource]],TransportDistance[],2,FALSE)*'Stage assumptions'!$C$11)+VLOOKUP(Calculations[[#This Row],[TransportSource]],TransportDistance[],3,FALSE)*'Stage assumptions'!$C$12)*Calculations[[#This Row],[Total Kg]],0)</f>
        <v>0</v>
      </c>
      <c r="K1408">
        <f>IFERROR(VLOOKUP(Calculations[[#This Row],[Material (choose from dropdown]], MaterialData[#All],3, FALSE),0)</f>
        <v>0</v>
      </c>
      <c r="L1408" s="322">
        <f>IFERROR(VLOOKUP(Calculations[[#This Row],[A5type]],A5WastageRate[#All],2,FALSE)*Calculations[[#This Row],[A1-3]],0)</f>
        <v>0</v>
      </c>
      <c r="N1408">
        <f>IFERROR(ROUNDUP(50/VLOOKUP(Calculations[[#This Row],[Scope Element]],B4referenceServiceLife[[Tier 2 element]:[Default Service Life]],2, FALSE)-1,0),0)</f>
        <v>0</v>
      </c>
      <c r="O1408" s="322">
        <f>IFERROR((Calculations[[#This Row],[A1-3]]+Calculations[[#This Row],[A4]]+Calculations[[#This Row],[A5]]+Calculations[[#This Row],[C2 total]]+Calculations[[#This Row],[C3 total]]+Calculations[[#This Row],[C4 total]])*Calculations[[#This Row],[Replacements]],0)</f>
        <v>0</v>
      </c>
      <c r="S1408" t="str">
        <f>IFERROR(VLOOKUP(Calculations[[#This Row],[Material (choose from dropdown]],MaterialData[#All],4,FALSE),"")</f>
        <v/>
      </c>
      <c r="T1408" s="322" cm="1">
        <f t="array" ref="T1408">IFERROR(VLOOKUP(Calculations[[#This Row],[Waste 1]],WasteScenario[#All],2,FALSE)*'Stage assumptions'!$C$225*WasteTransportMethod[Emissions Factor
kgCO2e/kg.km]*Calculations[[#This Row],[Total Kg]],0)</f>
        <v>0</v>
      </c>
      <c r="U1408" s="322" cm="1">
        <f t="array" ref="U1408">IFERROR(VLOOKUP(Calculations[[#This Row],[Waste 1]],WasteScenario[#All],3,FALSE)*'Stage assumptions'!$C$224*WasteTransportMethod[Emissions Factor
kgCO2e/kg.km]*Calculations[[#This Row],[Total Kg]],0)</f>
        <v>0</v>
      </c>
      <c r="V1408" s="322" cm="1">
        <f t="array" ref="V1408">IFERROR(VLOOKUP(Calculations[[#This Row],[Waste 1]],WasteScenario[#All],4,FALSE)*'Stage assumptions'!$C$223*WasteTransportMethod[Emissions Factor
kgCO2e/kg.km]*Calculations[[#This Row],[Total Kg]],0)</f>
        <v>0</v>
      </c>
      <c r="W1408" s="322" cm="1">
        <f t="array" ref="W1408">IFERROR(VLOOKUP(Calculations[[#This Row],[Waste 1]],WasteScenario[#All],5,FALSE)*'Stage assumptions'!$C$226*WasteTransportMethod[Emissions Factor
kgCO2e/kg.km]*Calculations[[#This Row],[Total Kg]],0)</f>
        <v>0</v>
      </c>
      <c r="X1408" s="322">
        <f>SUM(Calculations[[#This Row],[C2 Recycle]:[C2 Reuse]])</f>
        <v>0</v>
      </c>
      <c r="Y1408" t="str">
        <f>IFERROR(VLOOKUP(Calculations[[#This Row],[Material (choose from dropdown]],MaterialData[#All],5,FALSE),"")</f>
        <v/>
      </c>
      <c r="Z1408" s="322">
        <f>IFERROR(((VLOOKUP(Calculations[[#This Row],[Waste type 2]],WasteDisposalEmissions[#All],2,FALSE))*Calculations[[#This Row],[Total Kg]])*VLOOKUP(Calculations[[#This Row],[Waste 1]],WasteScenario[#All],2,FALSE),0)</f>
        <v>0</v>
      </c>
      <c r="AA1408" s="322">
        <f>IFERROR((VLOOKUP(Calculations[[#This Row],[Waste type 2]],WasteDisposalEmissions[#All],3,FALSE))*Calculations[[#This Row],[Total Kg]]*VLOOKUP(Calculations[[#This Row],[Waste 1]],WasteScenario[#All],3,FALSE),0)</f>
        <v>0</v>
      </c>
      <c r="AB1408" s="322">
        <f>SUM(Calculations[[#This Row],[C3 recyc]:[C3 incin]])</f>
        <v>0</v>
      </c>
      <c r="AC1408" s="334">
        <f>IFERROR((VLOOKUP(Calculations[[#This Row],[Waste type 2]],WasteLandfillEmissions[#All],2,FALSE))*Calculations[[#This Row],[Total Kg]]*VLOOKUP(Calculations[[#This Row],[Waste 1]],WasteScenario[#All],4,FALSE),0)</f>
        <v>0</v>
      </c>
      <c r="AD1408" s="322">
        <f>IFERROR((VLOOKUP(Calculations[[#This Row],[Waste type 2]],WasteLandfillEmissions[#All],3,FALSE))*Calculations[[#This Row],[Total Kg]]*VLOOKUP(Calculations[[#This Row],[Waste 1]],WasteScenario[#All],4,FALSE),0)</f>
        <v>0</v>
      </c>
      <c r="AE1408" s="322">
        <f>SUM(Calculations[[#This Row],[C4 landfill]:[C4 re-use]])</f>
        <v>0</v>
      </c>
      <c r="AF1408" s="322">
        <f>IFERROR(VLOOKUP(Calculations[[#This Row],[Material (choose from dropdown]],MaterialData[#All],8,FALSE),0)</f>
        <v>0</v>
      </c>
      <c r="AG1408" s="322">
        <f>IFERROR(Calculations[[#This Row],[Total Kg]]*Calculations[[#This Row],[Seq factor]],0)</f>
        <v>0</v>
      </c>
      <c r="AI1408" s="322">
        <f>Calculations[[#This Row],[A1-3]]+Calculations[[#This Row],[A4]]+Calculations[[#This Row],[A5]]+Calculations[[#This Row],[B4]]+Calculations[[#This Row],[C2 total]]+Calculations[[#This Row],[C3 total]]+Calculations[[#This Row],[C4 total]]</f>
        <v>0</v>
      </c>
      <c r="AJ1408" s="2">
        <f>IFERROR(VLOOKUP(Calculations[[#This Row],[Material (choose from dropdown]],MaterialData[[#Headers],[#Data]],9,FALSE),0)</f>
        <v>0</v>
      </c>
      <c r="AK1408" s="4">
        <f>IFERROR(VLOOKUP(Calculations[[#This Row],[Material (choose from dropdown]],MaterialData[[#Headers],[#Data]],10,FALSE),0)</f>
        <v>0</v>
      </c>
      <c r="AL1408" s="322">
        <f>IFERROR(Calculations[[#This Row],[Data Quality Score]]*Calculations[[#This Row],[Total Kg]],0)</f>
        <v>0</v>
      </c>
    </row>
    <row r="1409" spans="1:38" x14ac:dyDescent="0.3">
      <c r="A1409" s="6">
        <f>IFERROR(MaterialsBoQ[[#This Row],[Scope Element]],0)</f>
        <v>0</v>
      </c>
      <c r="B1409" t="str">
        <f>IFERROR(MaterialsBoQ[[#This Row],[Material ]],"")</f>
        <v/>
      </c>
      <c r="C1409" t="str">
        <f>IFERROR(MaterialsBoQ[[#This Row],[Unit]],"")</f>
        <v/>
      </c>
      <c r="D1409" s="322">
        <f>IFERROR(MaterialsBoQ[[#This Row],[Number]],0)</f>
        <v>0</v>
      </c>
      <c r="E1409" s="322">
        <f>IFERROR(MaterialsBoQ[[#This Row],[Kg per unit]],0)</f>
        <v>0</v>
      </c>
      <c r="F1409" s="322">
        <f>IFERROR(Calculations[[#This Row],[Number]]*Calculations[[#This Row],[Conversion factor]],0)</f>
        <v>0</v>
      </c>
      <c r="G1409" s="322">
        <f>IFERROR(VLOOKUP(Calculations[[#This Row],[Material (choose from dropdown]],MaterialData[#All],7,FALSE),0)</f>
        <v>0</v>
      </c>
      <c r="H1409" s="322">
        <f>Calculations[[#This Row],[Total Kg]]*Calculations[[#This Row],[Carbon Factor]]</f>
        <v>0</v>
      </c>
      <c r="I1409" t="str">
        <f>IFERROR(VLOOKUP(Calculations[[#This Row],[Material (choose from dropdown]],MaterialData[#All],2,FALSE),"")</f>
        <v/>
      </c>
      <c r="J1409" s="322">
        <f>IFERROR(((VLOOKUP(Calculations[[#This Row],[TransportSource]],TransportDistance[],2,FALSE)*'Stage assumptions'!$C$11)+VLOOKUP(Calculations[[#This Row],[TransportSource]],TransportDistance[],3,FALSE)*'Stage assumptions'!$C$12)*Calculations[[#This Row],[Total Kg]],0)</f>
        <v>0</v>
      </c>
      <c r="K1409">
        <f>IFERROR(VLOOKUP(Calculations[[#This Row],[Material (choose from dropdown]], MaterialData[#All],3, FALSE),0)</f>
        <v>0</v>
      </c>
      <c r="L1409" s="322">
        <f>IFERROR(VLOOKUP(Calculations[[#This Row],[A5type]],A5WastageRate[#All],2,FALSE)*Calculations[[#This Row],[A1-3]],0)</f>
        <v>0</v>
      </c>
      <c r="N1409">
        <f>IFERROR(ROUNDUP(50/VLOOKUP(Calculations[[#This Row],[Scope Element]],B4referenceServiceLife[[Tier 2 element]:[Default Service Life]],2, FALSE)-1,0),0)</f>
        <v>0</v>
      </c>
      <c r="O1409" s="322">
        <f>IFERROR((Calculations[[#This Row],[A1-3]]+Calculations[[#This Row],[A4]]+Calculations[[#This Row],[A5]]+Calculations[[#This Row],[C2 total]]+Calculations[[#This Row],[C3 total]]+Calculations[[#This Row],[C4 total]])*Calculations[[#This Row],[Replacements]],0)</f>
        <v>0</v>
      </c>
      <c r="S1409" t="str">
        <f>IFERROR(VLOOKUP(Calculations[[#This Row],[Material (choose from dropdown]],MaterialData[#All],4,FALSE),"")</f>
        <v/>
      </c>
      <c r="T1409" s="322" cm="1">
        <f t="array" ref="T1409">IFERROR(VLOOKUP(Calculations[[#This Row],[Waste 1]],WasteScenario[#All],2,FALSE)*'Stage assumptions'!$C$225*WasteTransportMethod[Emissions Factor
kgCO2e/kg.km]*Calculations[[#This Row],[Total Kg]],0)</f>
        <v>0</v>
      </c>
      <c r="U1409" s="322" cm="1">
        <f t="array" ref="U1409">IFERROR(VLOOKUP(Calculations[[#This Row],[Waste 1]],WasteScenario[#All],3,FALSE)*'Stage assumptions'!$C$224*WasteTransportMethod[Emissions Factor
kgCO2e/kg.km]*Calculations[[#This Row],[Total Kg]],0)</f>
        <v>0</v>
      </c>
      <c r="V1409" s="322" cm="1">
        <f t="array" ref="V1409">IFERROR(VLOOKUP(Calculations[[#This Row],[Waste 1]],WasteScenario[#All],4,FALSE)*'Stage assumptions'!$C$223*WasteTransportMethod[Emissions Factor
kgCO2e/kg.km]*Calculations[[#This Row],[Total Kg]],0)</f>
        <v>0</v>
      </c>
      <c r="W1409" s="322" cm="1">
        <f t="array" ref="W1409">IFERROR(VLOOKUP(Calculations[[#This Row],[Waste 1]],WasteScenario[#All],5,FALSE)*'Stage assumptions'!$C$226*WasteTransportMethod[Emissions Factor
kgCO2e/kg.km]*Calculations[[#This Row],[Total Kg]],0)</f>
        <v>0</v>
      </c>
      <c r="X1409" s="322">
        <f>SUM(Calculations[[#This Row],[C2 Recycle]:[C2 Reuse]])</f>
        <v>0</v>
      </c>
      <c r="Y1409" t="str">
        <f>IFERROR(VLOOKUP(Calculations[[#This Row],[Material (choose from dropdown]],MaterialData[#All],5,FALSE),"")</f>
        <v/>
      </c>
      <c r="Z1409" s="322">
        <f>IFERROR(((VLOOKUP(Calculations[[#This Row],[Waste type 2]],WasteDisposalEmissions[#All],2,FALSE))*Calculations[[#This Row],[Total Kg]])*VLOOKUP(Calculations[[#This Row],[Waste 1]],WasteScenario[#All],2,FALSE),0)</f>
        <v>0</v>
      </c>
      <c r="AA1409" s="322">
        <f>IFERROR((VLOOKUP(Calculations[[#This Row],[Waste type 2]],WasteDisposalEmissions[#All],3,FALSE))*Calculations[[#This Row],[Total Kg]]*VLOOKUP(Calculations[[#This Row],[Waste 1]],WasteScenario[#All],3,FALSE),0)</f>
        <v>0</v>
      </c>
      <c r="AB1409" s="322">
        <f>SUM(Calculations[[#This Row],[C3 recyc]:[C3 incin]])</f>
        <v>0</v>
      </c>
      <c r="AC1409" s="334">
        <f>IFERROR((VLOOKUP(Calculations[[#This Row],[Waste type 2]],WasteLandfillEmissions[#All],2,FALSE))*Calculations[[#This Row],[Total Kg]]*VLOOKUP(Calculations[[#This Row],[Waste 1]],WasteScenario[#All],4,FALSE),0)</f>
        <v>0</v>
      </c>
      <c r="AD1409" s="322">
        <f>IFERROR((VLOOKUP(Calculations[[#This Row],[Waste type 2]],WasteLandfillEmissions[#All],3,FALSE))*Calculations[[#This Row],[Total Kg]]*VLOOKUP(Calculations[[#This Row],[Waste 1]],WasteScenario[#All],4,FALSE),0)</f>
        <v>0</v>
      </c>
      <c r="AE1409" s="322">
        <f>SUM(Calculations[[#This Row],[C4 landfill]:[C4 re-use]])</f>
        <v>0</v>
      </c>
      <c r="AF1409" s="322">
        <f>IFERROR(VLOOKUP(Calculations[[#This Row],[Material (choose from dropdown]],MaterialData[#All],8,FALSE),0)</f>
        <v>0</v>
      </c>
      <c r="AG1409" s="322">
        <f>IFERROR(Calculations[[#This Row],[Total Kg]]*Calculations[[#This Row],[Seq factor]],0)</f>
        <v>0</v>
      </c>
      <c r="AI1409" s="322">
        <f>Calculations[[#This Row],[A1-3]]+Calculations[[#This Row],[A4]]+Calculations[[#This Row],[A5]]+Calculations[[#This Row],[B4]]+Calculations[[#This Row],[C2 total]]+Calculations[[#This Row],[C3 total]]+Calculations[[#This Row],[C4 total]]</f>
        <v>0</v>
      </c>
      <c r="AJ1409" s="2">
        <f>IFERROR(VLOOKUP(Calculations[[#This Row],[Material (choose from dropdown]],MaterialData[[#Headers],[#Data]],9,FALSE),0)</f>
        <v>0</v>
      </c>
      <c r="AK1409" s="4">
        <f>IFERROR(VLOOKUP(Calculations[[#This Row],[Material (choose from dropdown]],MaterialData[[#Headers],[#Data]],10,FALSE),0)</f>
        <v>0</v>
      </c>
      <c r="AL1409" s="322">
        <f>IFERROR(Calculations[[#This Row],[Data Quality Score]]*Calculations[[#This Row],[Total Kg]],0)</f>
        <v>0</v>
      </c>
    </row>
    <row r="1410" spans="1:38" x14ac:dyDescent="0.3">
      <c r="A1410" s="6">
        <f>IFERROR(MaterialsBoQ[[#This Row],[Scope Element]],0)</f>
        <v>0</v>
      </c>
      <c r="B1410" t="str">
        <f>IFERROR(MaterialsBoQ[[#This Row],[Material ]],"")</f>
        <v/>
      </c>
      <c r="C1410" t="str">
        <f>IFERROR(MaterialsBoQ[[#This Row],[Unit]],"")</f>
        <v/>
      </c>
      <c r="D1410" s="322">
        <f>IFERROR(MaterialsBoQ[[#This Row],[Number]],0)</f>
        <v>0</v>
      </c>
      <c r="E1410" s="322">
        <f>IFERROR(MaterialsBoQ[[#This Row],[Kg per unit]],0)</f>
        <v>0</v>
      </c>
      <c r="F1410" s="322">
        <f>IFERROR(Calculations[[#This Row],[Number]]*Calculations[[#This Row],[Conversion factor]],0)</f>
        <v>0</v>
      </c>
      <c r="G1410" s="322">
        <f>IFERROR(VLOOKUP(Calculations[[#This Row],[Material (choose from dropdown]],MaterialData[#All],7,FALSE),0)</f>
        <v>0</v>
      </c>
      <c r="H1410" s="322">
        <f>Calculations[[#This Row],[Total Kg]]*Calculations[[#This Row],[Carbon Factor]]</f>
        <v>0</v>
      </c>
      <c r="I1410" t="str">
        <f>IFERROR(VLOOKUP(Calculations[[#This Row],[Material (choose from dropdown]],MaterialData[#All],2,FALSE),"")</f>
        <v/>
      </c>
      <c r="J1410" s="322">
        <f>IFERROR(((VLOOKUP(Calculations[[#This Row],[TransportSource]],TransportDistance[],2,FALSE)*'Stage assumptions'!$C$11)+VLOOKUP(Calculations[[#This Row],[TransportSource]],TransportDistance[],3,FALSE)*'Stage assumptions'!$C$12)*Calculations[[#This Row],[Total Kg]],0)</f>
        <v>0</v>
      </c>
      <c r="K1410">
        <f>IFERROR(VLOOKUP(Calculations[[#This Row],[Material (choose from dropdown]], MaterialData[#All],3, FALSE),0)</f>
        <v>0</v>
      </c>
      <c r="L1410" s="322">
        <f>IFERROR(VLOOKUP(Calculations[[#This Row],[A5type]],A5WastageRate[#All],2,FALSE)*Calculations[[#This Row],[A1-3]],0)</f>
        <v>0</v>
      </c>
      <c r="N1410">
        <f>IFERROR(ROUNDUP(50/VLOOKUP(Calculations[[#This Row],[Scope Element]],B4referenceServiceLife[[Tier 2 element]:[Default Service Life]],2, FALSE)-1,0),0)</f>
        <v>0</v>
      </c>
      <c r="O1410" s="322">
        <f>IFERROR((Calculations[[#This Row],[A1-3]]+Calculations[[#This Row],[A4]]+Calculations[[#This Row],[A5]]+Calculations[[#This Row],[C2 total]]+Calculations[[#This Row],[C3 total]]+Calculations[[#This Row],[C4 total]])*Calculations[[#This Row],[Replacements]],0)</f>
        <v>0</v>
      </c>
      <c r="S1410" t="str">
        <f>IFERROR(VLOOKUP(Calculations[[#This Row],[Material (choose from dropdown]],MaterialData[#All],4,FALSE),"")</f>
        <v/>
      </c>
      <c r="T1410" s="322" cm="1">
        <f t="array" ref="T1410">IFERROR(VLOOKUP(Calculations[[#This Row],[Waste 1]],WasteScenario[#All],2,FALSE)*'Stage assumptions'!$C$225*WasteTransportMethod[Emissions Factor
kgCO2e/kg.km]*Calculations[[#This Row],[Total Kg]],0)</f>
        <v>0</v>
      </c>
      <c r="U1410" s="322" cm="1">
        <f t="array" ref="U1410">IFERROR(VLOOKUP(Calculations[[#This Row],[Waste 1]],WasteScenario[#All],3,FALSE)*'Stage assumptions'!$C$224*WasteTransportMethod[Emissions Factor
kgCO2e/kg.km]*Calculations[[#This Row],[Total Kg]],0)</f>
        <v>0</v>
      </c>
      <c r="V1410" s="322" cm="1">
        <f t="array" ref="V1410">IFERROR(VLOOKUP(Calculations[[#This Row],[Waste 1]],WasteScenario[#All],4,FALSE)*'Stage assumptions'!$C$223*WasteTransportMethod[Emissions Factor
kgCO2e/kg.km]*Calculations[[#This Row],[Total Kg]],0)</f>
        <v>0</v>
      </c>
      <c r="W1410" s="322" cm="1">
        <f t="array" ref="W1410">IFERROR(VLOOKUP(Calculations[[#This Row],[Waste 1]],WasteScenario[#All],5,FALSE)*'Stage assumptions'!$C$226*WasteTransportMethod[Emissions Factor
kgCO2e/kg.km]*Calculations[[#This Row],[Total Kg]],0)</f>
        <v>0</v>
      </c>
      <c r="X1410" s="322">
        <f>SUM(Calculations[[#This Row],[C2 Recycle]:[C2 Reuse]])</f>
        <v>0</v>
      </c>
      <c r="Y1410" t="str">
        <f>IFERROR(VLOOKUP(Calculations[[#This Row],[Material (choose from dropdown]],MaterialData[#All],5,FALSE),"")</f>
        <v/>
      </c>
      <c r="Z1410" s="322">
        <f>IFERROR(((VLOOKUP(Calculations[[#This Row],[Waste type 2]],WasteDisposalEmissions[#All],2,FALSE))*Calculations[[#This Row],[Total Kg]])*VLOOKUP(Calculations[[#This Row],[Waste 1]],WasteScenario[#All],2,FALSE),0)</f>
        <v>0</v>
      </c>
      <c r="AA1410" s="322">
        <f>IFERROR((VLOOKUP(Calculations[[#This Row],[Waste type 2]],WasteDisposalEmissions[#All],3,FALSE))*Calculations[[#This Row],[Total Kg]]*VLOOKUP(Calculations[[#This Row],[Waste 1]],WasteScenario[#All],3,FALSE),0)</f>
        <v>0</v>
      </c>
      <c r="AB1410" s="322">
        <f>SUM(Calculations[[#This Row],[C3 recyc]:[C3 incin]])</f>
        <v>0</v>
      </c>
      <c r="AC1410" s="334">
        <f>IFERROR((VLOOKUP(Calculations[[#This Row],[Waste type 2]],WasteLandfillEmissions[#All],2,FALSE))*Calculations[[#This Row],[Total Kg]]*VLOOKUP(Calculations[[#This Row],[Waste 1]],WasteScenario[#All],4,FALSE),0)</f>
        <v>0</v>
      </c>
      <c r="AD1410" s="322">
        <f>IFERROR((VLOOKUP(Calculations[[#This Row],[Waste type 2]],WasteLandfillEmissions[#All],3,FALSE))*Calculations[[#This Row],[Total Kg]]*VLOOKUP(Calculations[[#This Row],[Waste 1]],WasteScenario[#All],4,FALSE),0)</f>
        <v>0</v>
      </c>
      <c r="AE1410" s="322">
        <f>SUM(Calculations[[#This Row],[C4 landfill]:[C4 re-use]])</f>
        <v>0</v>
      </c>
      <c r="AF1410" s="322">
        <f>IFERROR(VLOOKUP(Calculations[[#This Row],[Material (choose from dropdown]],MaterialData[#All],8,FALSE),0)</f>
        <v>0</v>
      </c>
      <c r="AG1410" s="322">
        <f>IFERROR(Calculations[[#This Row],[Total Kg]]*Calculations[[#This Row],[Seq factor]],0)</f>
        <v>0</v>
      </c>
      <c r="AI1410" s="322">
        <f>Calculations[[#This Row],[A1-3]]+Calculations[[#This Row],[A4]]+Calculations[[#This Row],[A5]]+Calculations[[#This Row],[B4]]+Calculations[[#This Row],[C2 total]]+Calculations[[#This Row],[C3 total]]+Calculations[[#This Row],[C4 total]]</f>
        <v>0</v>
      </c>
      <c r="AJ1410" s="2">
        <f>IFERROR(VLOOKUP(Calculations[[#This Row],[Material (choose from dropdown]],MaterialData[[#Headers],[#Data]],9,FALSE),0)</f>
        <v>0</v>
      </c>
      <c r="AK1410" s="4">
        <f>IFERROR(VLOOKUP(Calculations[[#This Row],[Material (choose from dropdown]],MaterialData[[#Headers],[#Data]],10,FALSE),0)</f>
        <v>0</v>
      </c>
      <c r="AL1410" s="322">
        <f>IFERROR(Calculations[[#This Row],[Data Quality Score]]*Calculations[[#This Row],[Total Kg]],0)</f>
        <v>0</v>
      </c>
    </row>
    <row r="1411" spans="1:38" x14ac:dyDescent="0.3">
      <c r="A1411" s="6">
        <f>IFERROR(MaterialsBoQ[[#This Row],[Scope Element]],0)</f>
        <v>0</v>
      </c>
      <c r="B1411" t="str">
        <f>IFERROR(MaterialsBoQ[[#This Row],[Material ]],"")</f>
        <v/>
      </c>
      <c r="C1411" t="str">
        <f>IFERROR(MaterialsBoQ[[#This Row],[Unit]],"")</f>
        <v/>
      </c>
      <c r="D1411" s="322">
        <f>IFERROR(MaterialsBoQ[[#This Row],[Number]],0)</f>
        <v>0</v>
      </c>
      <c r="E1411" s="322">
        <f>IFERROR(MaterialsBoQ[[#This Row],[Kg per unit]],0)</f>
        <v>0</v>
      </c>
      <c r="F1411" s="322">
        <f>IFERROR(Calculations[[#This Row],[Number]]*Calculations[[#This Row],[Conversion factor]],0)</f>
        <v>0</v>
      </c>
      <c r="G1411" s="322">
        <f>IFERROR(VLOOKUP(Calculations[[#This Row],[Material (choose from dropdown]],MaterialData[#All],7,FALSE),0)</f>
        <v>0</v>
      </c>
      <c r="H1411" s="322">
        <f>Calculations[[#This Row],[Total Kg]]*Calculations[[#This Row],[Carbon Factor]]</f>
        <v>0</v>
      </c>
      <c r="I1411" t="str">
        <f>IFERROR(VLOOKUP(Calculations[[#This Row],[Material (choose from dropdown]],MaterialData[#All],2,FALSE),"")</f>
        <v/>
      </c>
      <c r="J1411" s="322">
        <f>IFERROR(((VLOOKUP(Calculations[[#This Row],[TransportSource]],TransportDistance[],2,FALSE)*'Stage assumptions'!$C$11)+VLOOKUP(Calculations[[#This Row],[TransportSource]],TransportDistance[],3,FALSE)*'Stage assumptions'!$C$12)*Calculations[[#This Row],[Total Kg]],0)</f>
        <v>0</v>
      </c>
      <c r="K1411">
        <f>IFERROR(VLOOKUP(Calculations[[#This Row],[Material (choose from dropdown]], MaterialData[#All],3, FALSE),0)</f>
        <v>0</v>
      </c>
      <c r="L1411" s="322">
        <f>IFERROR(VLOOKUP(Calculations[[#This Row],[A5type]],A5WastageRate[#All],2,FALSE)*Calculations[[#This Row],[A1-3]],0)</f>
        <v>0</v>
      </c>
      <c r="N1411">
        <f>IFERROR(ROUNDUP(50/VLOOKUP(Calculations[[#This Row],[Scope Element]],B4referenceServiceLife[[Tier 2 element]:[Default Service Life]],2, FALSE)-1,0),0)</f>
        <v>0</v>
      </c>
      <c r="O1411" s="322">
        <f>IFERROR((Calculations[[#This Row],[A1-3]]+Calculations[[#This Row],[A4]]+Calculations[[#This Row],[A5]]+Calculations[[#This Row],[C2 total]]+Calculations[[#This Row],[C3 total]]+Calculations[[#This Row],[C4 total]])*Calculations[[#This Row],[Replacements]],0)</f>
        <v>0</v>
      </c>
      <c r="S1411" t="str">
        <f>IFERROR(VLOOKUP(Calculations[[#This Row],[Material (choose from dropdown]],MaterialData[#All],4,FALSE),"")</f>
        <v/>
      </c>
      <c r="T1411" s="322" cm="1">
        <f t="array" ref="T1411">IFERROR(VLOOKUP(Calculations[[#This Row],[Waste 1]],WasteScenario[#All],2,FALSE)*'Stage assumptions'!$C$225*WasteTransportMethod[Emissions Factor
kgCO2e/kg.km]*Calculations[[#This Row],[Total Kg]],0)</f>
        <v>0</v>
      </c>
      <c r="U1411" s="322" cm="1">
        <f t="array" ref="U1411">IFERROR(VLOOKUP(Calculations[[#This Row],[Waste 1]],WasteScenario[#All],3,FALSE)*'Stage assumptions'!$C$224*WasteTransportMethod[Emissions Factor
kgCO2e/kg.km]*Calculations[[#This Row],[Total Kg]],0)</f>
        <v>0</v>
      </c>
      <c r="V1411" s="322" cm="1">
        <f t="array" ref="V1411">IFERROR(VLOOKUP(Calculations[[#This Row],[Waste 1]],WasteScenario[#All],4,FALSE)*'Stage assumptions'!$C$223*WasteTransportMethod[Emissions Factor
kgCO2e/kg.km]*Calculations[[#This Row],[Total Kg]],0)</f>
        <v>0</v>
      </c>
      <c r="W1411" s="322" cm="1">
        <f t="array" ref="W1411">IFERROR(VLOOKUP(Calculations[[#This Row],[Waste 1]],WasteScenario[#All],5,FALSE)*'Stage assumptions'!$C$226*WasteTransportMethod[Emissions Factor
kgCO2e/kg.km]*Calculations[[#This Row],[Total Kg]],0)</f>
        <v>0</v>
      </c>
      <c r="X1411" s="322">
        <f>SUM(Calculations[[#This Row],[C2 Recycle]:[C2 Reuse]])</f>
        <v>0</v>
      </c>
      <c r="Y1411" t="str">
        <f>IFERROR(VLOOKUP(Calculations[[#This Row],[Material (choose from dropdown]],MaterialData[#All],5,FALSE),"")</f>
        <v/>
      </c>
      <c r="Z1411" s="322">
        <f>IFERROR(((VLOOKUP(Calculations[[#This Row],[Waste type 2]],WasteDisposalEmissions[#All],2,FALSE))*Calculations[[#This Row],[Total Kg]])*VLOOKUP(Calculations[[#This Row],[Waste 1]],WasteScenario[#All],2,FALSE),0)</f>
        <v>0</v>
      </c>
      <c r="AA1411" s="322">
        <f>IFERROR((VLOOKUP(Calculations[[#This Row],[Waste type 2]],WasteDisposalEmissions[#All],3,FALSE))*Calculations[[#This Row],[Total Kg]]*VLOOKUP(Calculations[[#This Row],[Waste 1]],WasteScenario[#All],3,FALSE),0)</f>
        <v>0</v>
      </c>
      <c r="AB1411" s="322">
        <f>SUM(Calculations[[#This Row],[C3 recyc]:[C3 incin]])</f>
        <v>0</v>
      </c>
      <c r="AC1411" s="334">
        <f>IFERROR((VLOOKUP(Calculations[[#This Row],[Waste type 2]],WasteLandfillEmissions[#All],2,FALSE))*Calculations[[#This Row],[Total Kg]]*VLOOKUP(Calculations[[#This Row],[Waste 1]],WasteScenario[#All],4,FALSE),0)</f>
        <v>0</v>
      </c>
      <c r="AD1411" s="322">
        <f>IFERROR((VLOOKUP(Calculations[[#This Row],[Waste type 2]],WasteLandfillEmissions[#All],3,FALSE))*Calculations[[#This Row],[Total Kg]]*VLOOKUP(Calculations[[#This Row],[Waste 1]],WasteScenario[#All],4,FALSE),0)</f>
        <v>0</v>
      </c>
      <c r="AE1411" s="322">
        <f>SUM(Calculations[[#This Row],[C4 landfill]:[C4 re-use]])</f>
        <v>0</v>
      </c>
      <c r="AF1411" s="322">
        <f>IFERROR(VLOOKUP(Calculations[[#This Row],[Material (choose from dropdown]],MaterialData[#All],8,FALSE),0)</f>
        <v>0</v>
      </c>
      <c r="AG1411" s="322">
        <f>IFERROR(Calculations[[#This Row],[Total Kg]]*Calculations[[#This Row],[Seq factor]],0)</f>
        <v>0</v>
      </c>
      <c r="AI1411" s="322">
        <f>Calculations[[#This Row],[A1-3]]+Calculations[[#This Row],[A4]]+Calculations[[#This Row],[A5]]+Calculations[[#This Row],[B4]]+Calculations[[#This Row],[C2 total]]+Calculations[[#This Row],[C3 total]]+Calculations[[#This Row],[C4 total]]</f>
        <v>0</v>
      </c>
      <c r="AJ1411" s="2">
        <f>IFERROR(VLOOKUP(Calculations[[#This Row],[Material (choose from dropdown]],MaterialData[[#Headers],[#Data]],9,FALSE),0)</f>
        <v>0</v>
      </c>
      <c r="AK1411" s="4">
        <f>IFERROR(VLOOKUP(Calculations[[#This Row],[Material (choose from dropdown]],MaterialData[[#Headers],[#Data]],10,FALSE),0)</f>
        <v>0</v>
      </c>
      <c r="AL1411" s="322">
        <f>IFERROR(Calculations[[#This Row],[Data Quality Score]]*Calculations[[#This Row],[Total Kg]],0)</f>
        <v>0</v>
      </c>
    </row>
    <row r="1412" spans="1:38" x14ac:dyDescent="0.3">
      <c r="A1412" s="6">
        <f>IFERROR(MaterialsBoQ[[#This Row],[Scope Element]],0)</f>
        <v>0</v>
      </c>
      <c r="B1412" t="str">
        <f>IFERROR(MaterialsBoQ[[#This Row],[Material ]],"")</f>
        <v/>
      </c>
      <c r="C1412" t="str">
        <f>IFERROR(MaterialsBoQ[[#This Row],[Unit]],"")</f>
        <v/>
      </c>
      <c r="D1412" s="322">
        <f>IFERROR(MaterialsBoQ[[#This Row],[Number]],0)</f>
        <v>0</v>
      </c>
      <c r="E1412" s="322">
        <f>IFERROR(MaterialsBoQ[[#This Row],[Kg per unit]],0)</f>
        <v>0</v>
      </c>
      <c r="F1412" s="322">
        <f>IFERROR(Calculations[[#This Row],[Number]]*Calculations[[#This Row],[Conversion factor]],0)</f>
        <v>0</v>
      </c>
      <c r="G1412" s="322">
        <f>IFERROR(VLOOKUP(Calculations[[#This Row],[Material (choose from dropdown]],MaterialData[#All],7,FALSE),0)</f>
        <v>0</v>
      </c>
      <c r="H1412" s="322">
        <f>Calculations[[#This Row],[Total Kg]]*Calculations[[#This Row],[Carbon Factor]]</f>
        <v>0</v>
      </c>
      <c r="I1412" t="str">
        <f>IFERROR(VLOOKUP(Calculations[[#This Row],[Material (choose from dropdown]],MaterialData[#All],2,FALSE),"")</f>
        <v/>
      </c>
      <c r="J1412" s="322">
        <f>IFERROR(((VLOOKUP(Calculations[[#This Row],[TransportSource]],TransportDistance[],2,FALSE)*'Stage assumptions'!$C$11)+VLOOKUP(Calculations[[#This Row],[TransportSource]],TransportDistance[],3,FALSE)*'Stage assumptions'!$C$12)*Calculations[[#This Row],[Total Kg]],0)</f>
        <v>0</v>
      </c>
      <c r="K1412">
        <f>IFERROR(VLOOKUP(Calculations[[#This Row],[Material (choose from dropdown]], MaterialData[#All],3, FALSE),0)</f>
        <v>0</v>
      </c>
      <c r="L1412" s="322">
        <f>IFERROR(VLOOKUP(Calculations[[#This Row],[A5type]],A5WastageRate[#All],2,FALSE)*Calculations[[#This Row],[A1-3]],0)</f>
        <v>0</v>
      </c>
      <c r="N1412">
        <f>IFERROR(ROUNDUP(50/VLOOKUP(Calculations[[#This Row],[Scope Element]],B4referenceServiceLife[[Tier 2 element]:[Default Service Life]],2, FALSE)-1,0),0)</f>
        <v>0</v>
      </c>
      <c r="O1412" s="322">
        <f>IFERROR((Calculations[[#This Row],[A1-3]]+Calculations[[#This Row],[A4]]+Calculations[[#This Row],[A5]]+Calculations[[#This Row],[C2 total]]+Calculations[[#This Row],[C3 total]]+Calculations[[#This Row],[C4 total]])*Calculations[[#This Row],[Replacements]],0)</f>
        <v>0</v>
      </c>
      <c r="S1412" t="str">
        <f>IFERROR(VLOOKUP(Calculations[[#This Row],[Material (choose from dropdown]],MaterialData[#All],4,FALSE),"")</f>
        <v/>
      </c>
      <c r="T1412" s="322" cm="1">
        <f t="array" ref="T1412">IFERROR(VLOOKUP(Calculations[[#This Row],[Waste 1]],WasteScenario[#All],2,FALSE)*'Stage assumptions'!$C$225*WasteTransportMethod[Emissions Factor
kgCO2e/kg.km]*Calculations[[#This Row],[Total Kg]],0)</f>
        <v>0</v>
      </c>
      <c r="U1412" s="322" cm="1">
        <f t="array" ref="U1412">IFERROR(VLOOKUP(Calculations[[#This Row],[Waste 1]],WasteScenario[#All],3,FALSE)*'Stage assumptions'!$C$224*WasteTransportMethod[Emissions Factor
kgCO2e/kg.km]*Calculations[[#This Row],[Total Kg]],0)</f>
        <v>0</v>
      </c>
      <c r="V1412" s="322" cm="1">
        <f t="array" ref="V1412">IFERROR(VLOOKUP(Calculations[[#This Row],[Waste 1]],WasteScenario[#All],4,FALSE)*'Stage assumptions'!$C$223*WasteTransportMethod[Emissions Factor
kgCO2e/kg.km]*Calculations[[#This Row],[Total Kg]],0)</f>
        <v>0</v>
      </c>
      <c r="W1412" s="322" cm="1">
        <f t="array" ref="W1412">IFERROR(VLOOKUP(Calculations[[#This Row],[Waste 1]],WasteScenario[#All],5,FALSE)*'Stage assumptions'!$C$226*WasteTransportMethod[Emissions Factor
kgCO2e/kg.km]*Calculations[[#This Row],[Total Kg]],0)</f>
        <v>0</v>
      </c>
      <c r="X1412" s="322">
        <f>SUM(Calculations[[#This Row],[C2 Recycle]:[C2 Reuse]])</f>
        <v>0</v>
      </c>
      <c r="Y1412" t="str">
        <f>IFERROR(VLOOKUP(Calculations[[#This Row],[Material (choose from dropdown]],MaterialData[#All],5,FALSE),"")</f>
        <v/>
      </c>
      <c r="Z1412" s="322">
        <f>IFERROR(((VLOOKUP(Calculations[[#This Row],[Waste type 2]],WasteDisposalEmissions[#All],2,FALSE))*Calculations[[#This Row],[Total Kg]])*VLOOKUP(Calculations[[#This Row],[Waste 1]],WasteScenario[#All],2,FALSE),0)</f>
        <v>0</v>
      </c>
      <c r="AA1412" s="322">
        <f>IFERROR((VLOOKUP(Calculations[[#This Row],[Waste type 2]],WasteDisposalEmissions[#All],3,FALSE))*Calculations[[#This Row],[Total Kg]]*VLOOKUP(Calculations[[#This Row],[Waste 1]],WasteScenario[#All],3,FALSE),0)</f>
        <v>0</v>
      </c>
      <c r="AB1412" s="322">
        <f>SUM(Calculations[[#This Row],[C3 recyc]:[C3 incin]])</f>
        <v>0</v>
      </c>
      <c r="AC1412" s="334">
        <f>IFERROR((VLOOKUP(Calculations[[#This Row],[Waste type 2]],WasteLandfillEmissions[#All],2,FALSE))*Calculations[[#This Row],[Total Kg]]*VLOOKUP(Calculations[[#This Row],[Waste 1]],WasteScenario[#All],4,FALSE),0)</f>
        <v>0</v>
      </c>
      <c r="AD1412" s="322">
        <f>IFERROR((VLOOKUP(Calculations[[#This Row],[Waste type 2]],WasteLandfillEmissions[#All],3,FALSE))*Calculations[[#This Row],[Total Kg]]*VLOOKUP(Calculations[[#This Row],[Waste 1]],WasteScenario[#All],4,FALSE),0)</f>
        <v>0</v>
      </c>
      <c r="AE1412" s="322">
        <f>SUM(Calculations[[#This Row],[C4 landfill]:[C4 re-use]])</f>
        <v>0</v>
      </c>
      <c r="AF1412" s="322">
        <f>IFERROR(VLOOKUP(Calculations[[#This Row],[Material (choose from dropdown]],MaterialData[#All],8,FALSE),0)</f>
        <v>0</v>
      </c>
      <c r="AG1412" s="322">
        <f>IFERROR(Calculations[[#This Row],[Total Kg]]*Calculations[[#This Row],[Seq factor]],0)</f>
        <v>0</v>
      </c>
      <c r="AI1412" s="322">
        <f>Calculations[[#This Row],[A1-3]]+Calculations[[#This Row],[A4]]+Calculations[[#This Row],[A5]]+Calculations[[#This Row],[B4]]+Calculations[[#This Row],[C2 total]]+Calculations[[#This Row],[C3 total]]+Calculations[[#This Row],[C4 total]]</f>
        <v>0</v>
      </c>
      <c r="AJ1412" s="2">
        <f>IFERROR(VLOOKUP(Calculations[[#This Row],[Material (choose from dropdown]],MaterialData[[#Headers],[#Data]],9,FALSE),0)</f>
        <v>0</v>
      </c>
      <c r="AK1412" s="4">
        <f>IFERROR(VLOOKUP(Calculations[[#This Row],[Material (choose from dropdown]],MaterialData[[#Headers],[#Data]],10,FALSE),0)</f>
        <v>0</v>
      </c>
      <c r="AL1412" s="322">
        <f>IFERROR(Calculations[[#This Row],[Data Quality Score]]*Calculations[[#This Row],[Total Kg]],0)</f>
        <v>0</v>
      </c>
    </row>
    <row r="1413" spans="1:38" x14ac:dyDescent="0.3">
      <c r="A1413" s="6">
        <f>IFERROR(MaterialsBoQ[[#This Row],[Scope Element]],0)</f>
        <v>0</v>
      </c>
      <c r="B1413" t="str">
        <f>IFERROR(MaterialsBoQ[[#This Row],[Material ]],"")</f>
        <v/>
      </c>
      <c r="C1413" t="str">
        <f>IFERROR(MaterialsBoQ[[#This Row],[Unit]],"")</f>
        <v/>
      </c>
      <c r="D1413" s="322">
        <f>IFERROR(MaterialsBoQ[[#This Row],[Number]],0)</f>
        <v>0</v>
      </c>
      <c r="E1413" s="322">
        <f>IFERROR(MaterialsBoQ[[#This Row],[Kg per unit]],0)</f>
        <v>0</v>
      </c>
      <c r="F1413" s="322">
        <f>IFERROR(Calculations[[#This Row],[Number]]*Calculations[[#This Row],[Conversion factor]],0)</f>
        <v>0</v>
      </c>
      <c r="G1413" s="322">
        <f>IFERROR(VLOOKUP(Calculations[[#This Row],[Material (choose from dropdown]],MaterialData[#All],7,FALSE),0)</f>
        <v>0</v>
      </c>
      <c r="H1413" s="322">
        <f>Calculations[[#This Row],[Total Kg]]*Calculations[[#This Row],[Carbon Factor]]</f>
        <v>0</v>
      </c>
      <c r="I1413" t="str">
        <f>IFERROR(VLOOKUP(Calculations[[#This Row],[Material (choose from dropdown]],MaterialData[#All],2,FALSE),"")</f>
        <v/>
      </c>
      <c r="J1413" s="322">
        <f>IFERROR(((VLOOKUP(Calculations[[#This Row],[TransportSource]],TransportDistance[],2,FALSE)*'Stage assumptions'!$C$11)+VLOOKUP(Calculations[[#This Row],[TransportSource]],TransportDistance[],3,FALSE)*'Stage assumptions'!$C$12)*Calculations[[#This Row],[Total Kg]],0)</f>
        <v>0</v>
      </c>
      <c r="K1413">
        <f>IFERROR(VLOOKUP(Calculations[[#This Row],[Material (choose from dropdown]], MaterialData[#All],3, FALSE),0)</f>
        <v>0</v>
      </c>
      <c r="L1413" s="322">
        <f>IFERROR(VLOOKUP(Calculations[[#This Row],[A5type]],A5WastageRate[#All],2,FALSE)*Calculations[[#This Row],[A1-3]],0)</f>
        <v>0</v>
      </c>
      <c r="N1413">
        <f>IFERROR(ROUNDUP(50/VLOOKUP(Calculations[[#This Row],[Scope Element]],B4referenceServiceLife[[Tier 2 element]:[Default Service Life]],2, FALSE)-1,0),0)</f>
        <v>0</v>
      </c>
      <c r="O1413" s="322">
        <f>IFERROR((Calculations[[#This Row],[A1-3]]+Calculations[[#This Row],[A4]]+Calculations[[#This Row],[A5]]+Calculations[[#This Row],[C2 total]]+Calculations[[#This Row],[C3 total]]+Calculations[[#This Row],[C4 total]])*Calculations[[#This Row],[Replacements]],0)</f>
        <v>0</v>
      </c>
      <c r="S1413" t="str">
        <f>IFERROR(VLOOKUP(Calculations[[#This Row],[Material (choose from dropdown]],MaterialData[#All],4,FALSE),"")</f>
        <v/>
      </c>
      <c r="T1413" s="322" cm="1">
        <f t="array" ref="T1413">IFERROR(VLOOKUP(Calculations[[#This Row],[Waste 1]],WasteScenario[#All],2,FALSE)*'Stage assumptions'!$C$225*WasteTransportMethod[Emissions Factor
kgCO2e/kg.km]*Calculations[[#This Row],[Total Kg]],0)</f>
        <v>0</v>
      </c>
      <c r="U1413" s="322" cm="1">
        <f t="array" ref="U1413">IFERROR(VLOOKUP(Calculations[[#This Row],[Waste 1]],WasteScenario[#All],3,FALSE)*'Stage assumptions'!$C$224*WasteTransportMethod[Emissions Factor
kgCO2e/kg.km]*Calculations[[#This Row],[Total Kg]],0)</f>
        <v>0</v>
      </c>
      <c r="V1413" s="322" cm="1">
        <f t="array" ref="V1413">IFERROR(VLOOKUP(Calculations[[#This Row],[Waste 1]],WasteScenario[#All],4,FALSE)*'Stage assumptions'!$C$223*WasteTransportMethod[Emissions Factor
kgCO2e/kg.km]*Calculations[[#This Row],[Total Kg]],0)</f>
        <v>0</v>
      </c>
      <c r="W1413" s="322" cm="1">
        <f t="array" ref="W1413">IFERROR(VLOOKUP(Calculations[[#This Row],[Waste 1]],WasteScenario[#All],5,FALSE)*'Stage assumptions'!$C$226*WasteTransportMethod[Emissions Factor
kgCO2e/kg.km]*Calculations[[#This Row],[Total Kg]],0)</f>
        <v>0</v>
      </c>
      <c r="X1413" s="322">
        <f>SUM(Calculations[[#This Row],[C2 Recycle]:[C2 Reuse]])</f>
        <v>0</v>
      </c>
      <c r="Y1413" t="str">
        <f>IFERROR(VLOOKUP(Calculations[[#This Row],[Material (choose from dropdown]],MaterialData[#All],5,FALSE),"")</f>
        <v/>
      </c>
      <c r="Z1413" s="322">
        <f>IFERROR(((VLOOKUP(Calculations[[#This Row],[Waste type 2]],WasteDisposalEmissions[#All],2,FALSE))*Calculations[[#This Row],[Total Kg]])*VLOOKUP(Calculations[[#This Row],[Waste 1]],WasteScenario[#All],2,FALSE),0)</f>
        <v>0</v>
      </c>
      <c r="AA1413" s="322">
        <f>IFERROR((VLOOKUP(Calculations[[#This Row],[Waste type 2]],WasteDisposalEmissions[#All],3,FALSE))*Calculations[[#This Row],[Total Kg]]*VLOOKUP(Calculations[[#This Row],[Waste 1]],WasteScenario[#All],3,FALSE),0)</f>
        <v>0</v>
      </c>
      <c r="AB1413" s="322">
        <f>SUM(Calculations[[#This Row],[C3 recyc]:[C3 incin]])</f>
        <v>0</v>
      </c>
      <c r="AC1413" s="334">
        <f>IFERROR((VLOOKUP(Calculations[[#This Row],[Waste type 2]],WasteLandfillEmissions[#All],2,FALSE))*Calculations[[#This Row],[Total Kg]]*VLOOKUP(Calculations[[#This Row],[Waste 1]],WasteScenario[#All],4,FALSE),0)</f>
        <v>0</v>
      </c>
      <c r="AD1413" s="322">
        <f>IFERROR((VLOOKUP(Calculations[[#This Row],[Waste type 2]],WasteLandfillEmissions[#All],3,FALSE))*Calculations[[#This Row],[Total Kg]]*VLOOKUP(Calculations[[#This Row],[Waste 1]],WasteScenario[#All],4,FALSE),0)</f>
        <v>0</v>
      </c>
      <c r="AE1413" s="322">
        <f>SUM(Calculations[[#This Row],[C4 landfill]:[C4 re-use]])</f>
        <v>0</v>
      </c>
      <c r="AF1413" s="322">
        <f>IFERROR(VLOOKUP(Calculations[[#This Row],[Material (choose from dropdown]],MaterialData[#All],8,FALSE),0)</f>
        <v>0</v>
      </c>
      <c r="AG1413" s="322">
        <f>IFERROR(Calculations[[#This Row],[Total Kg]]*Calculations[[#This Row],[Seq factor]],0)</f>
        <v>0</v>
      </c>
      <c r="AI1413" s="322">
        <f>Calculations[[#This Row],[A1-3]]+Calculations[[#This Row],[A4]]+Calculations[[#This Row],[A5]]+Calculations[[#This Row],[B4]]+Calculations[[#This Row],[C2 total]]+Calculations[[#This Row],[C3 total]]+Calculations[[#This Row],[C4 total]]</f>
        <v>0</v>
      </c>
      <c r="AJ1413" s="2">
        <f>IFERROR(VLOOKUP(Calculations[[#This Row],[Material (choose from dropdown]],MaterialData[[#Headers],[#Data]],9,FALSE),0)</f>
        <v>0</v>
      </c>
      <c r="AK1413" s="4">
        <f>IFERROR(VLOOKUP(Calculations[[#This Row],[Material (choose from dropdown]],MaterialData[[#Headers],[#Data]],10,FALSE),0)</f>
        <v>0</v>
      </c>
      <c r="AL1413" s="322">
        <f>IFERROR(Calculations[[#This Row],[Data Quality Score]]*Calculations[[#This Row],[Total Kg]],0)</f>
        <v>0</v>
      </c>
    </row>
    <row r="1414" spans="1:38" x14ac:dyDescent="0.3">
      <c r="A1414" s="6">
        <f>IFERROR(MaterialsBoQ[[#This Row],[Scope Element]],0)</f>
        <v>0</v>
      </c>
      <c r="B1414" t="str">
        <f>IFERROR(MaterialsBoQ[[#This Row],[Material ]],"")</f>
        <v/>
      </c>
      <c r="C1414" t="str">
        <f>IFERROR(MaterialsBoQ[[#This Row],[Unit]],"")</f>
        <v/>
      </c>
      <c r="D1414" s="322">
        <f>IFERROR(MaterialsBoQ[[#This Row],[Number]],0)</f>
        <v>0</v>
      </c>
      <c r="E1414" s="322">
        <f>IFERROR(MaterialsBoQ[[#This Row],[Kg per unit]],0)</f>
        <v>0</v>
      </c>
      <c r="F1414" s="322">
        <f>IFERROR(Calculations[[#This Row],[Number]]*Calculations[[#This Row],[Conversion factor]],0)</f>
        <v>0</v>
      </c>
      <c r="G1414" s="322">
        <f>IFERROR(VLOOKUP(Calculations[[#This Row],[Material (choose from dropdown]],MaterialData[#All],7,FALSE),0)</f>
        <v>0</v>
      </c>
      <c r="H1414" s="322">
        <f>Calculations[[#This Row],[Total Kg]]*Calculations[[#This Row],[Carbon Factor]]</f>
        <v>0</v>
      </c>
      <c r="I1414" t="str">
        <f>IFERROR(VLOOKUP(Calculations[[#This Row],[Material (choose from dropdown]],MaterialData[#All],2,FALSE),"")</f>
        <v/>
      </c>
      <c r="J1414" s="322">
        <f>IFERROR(((VLOOKUP(Calculations[[#This Row],[TransportSource]],TransportDistance[],2,FALSE)*'Stage assumptions'!$C$11)+VLOOKUP(Calculations[[#This Row],[TransportSource]],TransportDistance[],3,FALSE)*'Stage assumptions'!$C$12)*Calculations[[#This Row],[Total Kg]],0)</f>
        <v>0</v>
      </c>
      <c r="K1414">
        <f>IFERROR(VLOOKUP(Calculations[[#This Row],[Material (choose from dropdown]], MaterialData[#All],3, FALSE),0)</f>
        <v>0</v>
      </c>
      <c r="L1414" s="322">
        <f>IFERROR(VLOOKUP(Calculations[[#This Row],[A5type]],A5WastageRate[#All],2,FALSE)*Calculations[[#This Row],[A1-3]],0)</f>
        <v>0</v>
      </c>
      <c r="N1414">
        <f>IFERROR(ROUNDUP(50/VLOOKUP(Calculations[[#This Row],[Scope Element]],B4referenceServiceLife[[Tier 2 element]:[Default Service Life]],2, FALSE)-1,0),0)</f>
        <v>0</v>
      </c>
      <c r="O1414" s="322">
        <f>IFERROR((Calculations[[#This Row],[A1-3]]+Calculations[[#This Row],[A4]]+Calculations[[#This Row],[A5]]+Calculations[[#This Row],[C2 total]]+Calculations[[#This Row],[C3 total]]+Calculations[[#This Row],[C4 total]])*Calculations[[#This Row],[Replacements]],0)</f>
        <v>0</v>
      </c>
      <c r="S1414" t="str">
        <f>IFERROR(VLOOKUP(Calculations[[#This Row],[Material (choose from dropdown]],MaterialData[#All],4,FALSE),"")</f>
        <v/>
      </c>
      <c r="T1414" s="322" cm="1">
        <f t="array" ref="T1414">IFERROR(VLOOKUP(Calculations[[#This Row],[Waste 1]],WasteScenario[#All],2,FALSE)*'Stage assumptions'!$C$225*WasteTransportMethod[Emissions Factor
kgCO2e/kg.km]*Calculations[[#This Row],[Total Kg]],0)</f>
        <v>0</v>
      </c>
      <c r="U1414" s="322" cm="1">
        <f t="array" ref="U1414">IFERROR(VLOOKUP(Calculations[[#This Row],[Waste 1]],WasteScenario[#All],3,FALSE)*'Stage assumptions'!$C$224*WasteTransportMethod[Emissions Factor
kgCO2e/kg.km]*Calculations[[#This Row],[Total Kg]],0)</f>
        <v>0</v>
      </c>
      <c r="V1414" s="322" cm="1">
        <f t="array" ref="V1414">IFERROR(VLOOKUP(Calculations[[#This Row],[Waste 1]],WasteScenario[#All],4,FALSE)*'Stage assumptions'!$C$223*WasteTransportMethod[Emissions Factor
kgCO2e/kg.km]*Calculations[[#This Row],[Total Kg]],0)</f>
        <v>0</v>
      </c>
      <c r="W1414" s="322" cm="1">
        <f t="array" ref="W1414">IFERROR(VLOOKUP(Calculations[[#This Row],[Waste 1]],WasteScenario[#All],5,FALSE)*'Stage assumptions'!$C$226*WasteTransportMethod[Emissions Factor
kgCO2e/kg.km]*Calculations[[#This Row],[Total Kg]],0)</f>
        <v>0</v>
      </c>
      <c r="X1414" s="322">
        <f>SUM(Calculations[[#This Row],[C2 Recycle]:[C2 Reuse]])</f>
        <v>0</v>
      </c>
      <c r="Y1414" t="str">
        <f>IFERROR(VLOOKUP(Calculations[[#This Row],[Material (choose from dropdown]],MaterialData[#All],5,FALSE),"")</f>
        <v/>
      </c>
      <c r="Z1414" s="322">
        <f>IFERROR(((VLOOKUP(Calculations[[#This Row],[Waste type 2]],WasteDisposalEmissions[#All],2,FALSE))*Calculations[[#This Row],[Total Kg]])*VLOOKUP(Calculations[[#This Row],[Waste 1]],WasteScenario[#All],2,FALSE),0)</f>
        <v>0</v>
      </c>
      <c r="AA1414" s="322">
        <f>IFERROR((VLOOKUP(Calculations[[#This Row],[Waste type 2]],WasteDisposalEmissions[#All],3,FALSE))*Calculations[[#This Row],[Total Kg]]*VLOOKUP(Calculations[[#This Row],[Waste 1]],WasteScenario[#All],3,FALSE),0)</f>
        <v>0</v>
      </c>
      <c r="AB1414" s="322">
        <f>SUM(Calculations[[#This Row],[C3 recyc]:[C3 incin]])</f>
        <v>0</v>
      </c>
      <c r="AC1414" s="334">
        <f>IFERROR((VLOOKUP(Calculations[[#This Row],[Waste type 2]],WasteLandfillEmissions[#All],2,FALSE))*Calculations[[#This Row],[Total Kg]]*VLOOKUP(Calculations[[#This Row],[Waste 1]],WasteScenario[#All],4,FALSE),0)</f>
        <v>0</v>
      </c>
      <c r="AD1414" s="322">
        <f>IFERROR((VLOOKUP(Calculations[[#This Row],[Waste type 2]],WasteLandfillEmissions[#All],3,FALSE))*Calculations[[#This Row],[Total Kg]]*VLOOKUP(Calculations[[#This Row],[Waste 1]],WasteScenario[#All],4,FALSE),0)</f>
        <v>0</v>
      </c>
      <c r="AE1414" s="322">
        <f>SUM(Calculations[[#This Row],[C4 landfill]:[C4 re-use]])</f>
        <v>0</v>
      </c>
      <c r="AF1414" s="322">
        <f>IFERROR(VLOOKUP(Calculations[[#This Row],[Material (choose from dropdown]],MaterialData[#All],8,FALSE),0)</f>
        <v>0</v>
      </c>
      <c r="AG1414" s="322">
        <f>IFERROR(Calculations[[#This Row],[Total Kg]]*Calculations[[#This Row],[Seq factor]],0)</f>
        <v>0</v>
      </c>
      <c r="AI1414" s="322">
        <f>Calculations[[#This Row],[A1-3]]+Calculations[[#This Row],[A4]]+Calculations[[#This Row],[A5]]+Calculations[[#This Row],[B4]]+Calculations[[#This Row],[C2 total]]+Calculations[[#This Row],[C3 total]]+Calculations[[#This Row],[C4 total]]</f>
        <v>0</v>
      </c>
      <c r="AJ1414" s="2">
        <f>IFERROR(VLOOKUP(Calculations[[#This Row],[Material (choose from dropdown]],MaterialData[[#Headers],[#Data]],9,FALSE),0)</f>
        <v>0</v>
      </c>
      <c r="AK1414" s="4">
        <f>IFERROR(VLOOKUP(Calculations[[#This Row],[Material (choose from dropdown]],MaterialData[[#Headers],[#Data]],10,FALSE),0)</f>
        <v>0</v>
      </c>
      <c r="AL1414" s="322">
        <f>IFERROR(Calculations[[#This Row],[Data Quality Score]]*Calculations[[#This Row],[Total Kg]],0)</f>
        <v>0</v>
      </c>
    </row>
    <row r="1415" spans="1:38" x14ac:dyDescent="0.3">
      <c r="A1415" s="6">
        <f>IFERROR(MaterialsBoQ[[#This Row],[Scope Element]],0)</f>
        <v>0</v>
      </c>
      <c r="B1415" t="str">
        <f>IFERROR(MaterialsBoQ[[#This Row],[Material ]],"")</f>
        <v/>
      </c>
      <c r="C1415" t="str">
        <f>IFERROR(MaterialsBoQ[[#This Row],[Unit]],"")</f>
        <v/>
      </c>
      <c r="D1415" s="322">
        <f>IFERROR(MaterialsBoQ[[#This Row],[Number]],0)</f>
        <v>0</v>
      </c>
      <c r="E1415" s="322">
        <f>IFERROR(MaterialsBoQ[[#This Row],[Kg per unit]],0)</f>
        <v>0</v>
      </c>
      <c r="F1415" s="322">
        <f>IFERROR(Calculations[[#This Row],[Number]]*Calculations[[#This Row],[Conversion factor]],0)</f>
        <v>0</v>
      </c>
      <c r="G1415" s="322">
        <f>IFERROR(VLOOKUP(Calculations[[#This Row],[Material (choose from dropdown]],MaterialData[#All],7,FALSE),0)</f>
        <v>0</v>
      </c>
      <c r="H1415" s="322">
        <f>Calculations[[#This Row],[Total Kg]]*Calculations[[#This Row],[Carbon Factor]]</f>
        <v>0</v>
      </c>
      <c r="I1415" t="str">
        <f>IFERROR(VLOOKUP(Calculations[[#This Row],[Material (choose from dropdown]],MaterialData[#All],2,FALSE),"")</f>
        <v/>
      </c>
      <c r="J1415" s="322">
        <f>IFERROR(((VLOOKUP(Calculations[[#This Row],[TransportSource]],TransportDistance[],2,FALSE)*'Stage assumptions'!$C$11)+VLOOKUP(Calculations[[#This Row],[TransportSource]],TransportDistance[],3,FALSE)*'Stage assumptions'!$C$12)*Calculations[[#This Row],[Total Kg]],0)</f>
        <v>0</v>
      </c>
      <c r="K1415">
        <f>IFERROR(VLOOKUP(Calculations[[#This Row],[Material (choose from dropdown]], MaterialData[#All],3, FALSE),0)</f>
        <v>0</v>
      </c>
      <c r="L1415" s="322">
        <f>IFERROR(VLOOKUP(Calculations[[#This Row],[A5type]],A5WastageRate[#All],2,FALSE)*Calculations[[#This Row],[A1-3]],0)</f>
        <v>0</v>
      </c>
      <c r="N1415">
        <f>IFERROR(ROUNDUP(50/VLOOKUP(Calculations[[#This Row],[Scope Element]],B4referenceServiceLife[[Tier 2 element]:[Default Service Life]],2, FALSE)-1,0),0)</f>
        <v>0</v>
      </c>
      <c r="O1415" s="322">
        <f>IFERROR((Calculations[[#This Row],[A1-3]]+Calculations[[#This Row],[A4]]+Calculations[[#This Row],[A5]]+Calculations[[#This Row],[C2 total]]+Calculations[[#This Row],[C3 total]]+Calculations[[#This Row],[C4 total]])*Calculations[[#This Row],[Replacements]],0)</f>
        <v>0</v>
      </c>
      <c r="S1415" t="str">
        <f>IFERROR(VLOOKUP(Calculations[[#This Row],[Material (choose from dropdown]],MaterialData[#All],4,FALSE),"")</f>
        <v/>
      </c>
      <c r="T1415" s="322" cm="1">
        <f t="array" ref="T1415">IFERROR(VLOOKUP(Calculations[[#This Row],[Waste 1]],WasteScenario[#All],2,FALSE)*'Stage assumptions'!$C$225*WasteTransportMethod[Emissions Factor
kgCO2e/kg.km]*Calculations[[#This Row],[Total Kg]],0)</f>
        <v>0</v>
      </c>
      <c r="U1415" s="322" cm="1">
        <f t="array" ref="U1415">IFERROR(VLOOKUP(Calculations[[#This Row],[Waste 1]],WasteScenario[#All],3,FALSE)*'Stage assumptions'!$C$224*WasteTransportMethod[Emissions Factor
kgCO2e/kg.km]*Calculations[[#This Row],[Total Kg]],0)</f>
        <v>0</v>
      </c>
      <c r="V1415" s="322" cm="1">
        <f t="array" ref="V1415">IFERROR(VLOOKUP(Calculations[[#This Row],[Waste 1]],WasteScenario[#All],4,FALSE)*'Stage assumptions'!$C$223*WasteTransportMethod[Emissions Factor
kgCO2e/kg.km]*Calculations[[#This Row],[Total Kg]],0)</f>
        <v>0</v>
      </c>
      <c r="W1415" s="322" cm="1">
        <f t="array" ref="W1415">IFERROR(VLOOKUP(Calculations[[#This Row],[Waste 1]],WasteScenario[#All],5,FALSE)*'Stage assumptions'!$C$226*WasteTransportMethod[Emissions Factor
kgCO2e/kg.km]*Calculations[[#This Row],[Total Kg]],0)</f>
        <v>0</v>
      </c>
      <c r="X1415" s="322">
        <f>SUM(Calculations[[#This Row],[C2 Recycle]:[C2 Reuse]])</f>
        <v>0</v>
      </c>
      <c r="Y1415" t="str">
        <f>IFERROR(VLOOKUP(Calculations[[#This Row],[Material (choose from dropdown]],MaterialData[#All],5,FALSE),"")</f>
        <v/>
      </c>
      <c r="Z1415" s="322">
        <f>IFERROR(((VLOOKUP(Calculations[[#This Row],[Waste type 2]],WasteDisposalEmissions[#All],2,FALSE))*Calculations[[#This Row],[Total Kg]])*VLOOKUP(Calculations[[#This Row],[Waste 1]],WasteScenario[#All],2,FALSE),0)</f>
        <v>0</v>
      </c>
      <c r="AA1415" s="322">
        <f>IFERROR((VLOOKUP(Calculations[[#This Row],[Waste type 2]],WasteDisposalEmissions[#All],3,FALSE))*Calculations[[#This Row],[Total Kg]]*VLOOKUP(Calculations[[#This Row],[Waste 1]],WasteScenario[#All],3,FALSE),0)</f>
        <v>0</v>
      </c>
      <c r="AB1415" s="322">
        <f>SUM(Calculations[[#This Row],[C3 recyc]:[C3 incin]])</f>
        <v>0</v>
      </c>
      <c r="AC1415" s="334">
        <f>IFERROR((VLOOKUP(Calculations[[#This Row],[Waste type 2]],WasteLandfillEmissions[#All],2,FALSE))*Calculations[[#This Row],[Total Kg]]*VLOOKUP(Calculations[[#This Row],[Waste 1]],WasteScenario[#All],4,FALSE),0)</f>
        <v>0</v>
      </c>
      <c r="AD1415" s="322">
        <f>IFERROR((VLOOKUP(Calculations[[#This Row],[Waste type 2]],WasteLandfillEmissions[#All],3,FALSE))*Calculations[[#This Row],[Total Kg]]*VLOOKUP(Calculations[[#This Row],[Waste 1]],WasteScenario[#All],4,FALSE),0)</f>
        <v>0</v>
      </c>
      <c r="AE1415" s="322">
        <f>SUM(Calculations[[#This Row],[C4 landfill]:[C4 re-use]])</f>
        <v>0</v>
      </c>
      <c r="AF1415" s="322">
        <f>IFERROR(VLOOKUP(Calculations[[#This Row],[Material (choose from dropdown]],MaterialData[#All],8,FALSE),0)</f>
        <v>0</v>
      </c>
      <c r="AG1415" s="322">
        <f>IFERROR(Calculations[[#This Row],[Total Kg]]*Calculations[[#This Row],[Seq factor]],0)</f>
        <v>0</v>
      </c>
      <c r="AI1415" s="322">
        <f>Calculations[[#This Row],[A1-3]]+Calculations[[#This Row],[A4]]+Calculations[[#This Row],[A5]]+Calculations[[#This Row],[B4]]+Calculations[[#This Row],[C2 total]]+Calculations[[#This Row],[C3 total]]+Calculations[[#This Row],[C4 total]]</f>
        <v>0</v>
      </c>
      <c r="AJ1415" s="2">
        <f>IFERROR(VLOOKUP(Calculations[[#This Row],[Material (choose from dropdown]],MaterialData[[#Headers],[#Data]],9,FALSE),0)</f>
        <v>0</v>
      </c>
      <c r="AK1415" s="4">
        <f>IFERROR(VLOOKUP(Calculations[[#This Row],[Material (choose from dropdown]],MaterialData[[#Headers],[#Data]],10,FALSE),0)</f>
        <v>0</v>
      </c>
      <c r="AL1415" s="322">
        <f>IFERROR(Calculations[[#This Row],[Data Quality Score]]*Calculations[[#This Row],[Total Kg]],0)</f>
        <v>0</v>
      </c>
    </row>
    <row r="1416" spans="1:38" x14ac:dyDescent="0.3">
      <c r="A1416" s="6">
        <f>IFERROR(MaterialsBoQ[[#This Row],[Scope Element]],0)</f>
        <v>0</v>
      </c>
      <c r="B1416" t="str">
        <f>IFERROR(MaterialsBoQ[[#This Row],[Material ]],"")</f>
        <v/>
      </c>
      <c r="C1416" t="str">
        <f>IFERROR(MaterialsBoQ[[#This Row],[Unit]],"")</f>
        <v/>
      </c>
      <c r="D1416" s="322">
        <f>IFERROR(MaterialsBoQ[[#This Row],[Number]],0)</f>
        <v>0</v>
      </c>
      <c r="E1416" s="322">
        <f>IFERROR(MaterialsBoQ[[#This Row],[Kg per unit]],0)</f>
        <v>0</v>
      </c>
      <c r="F1416" s="322">
        <f>IFERROR(Calculations[[#This Row],[Number]]*Calculations[[#This Row],[Conversion factor]],0)</f>
        <v>0</v>
      </c>
      <c r="G1416" s="322">
        <f>IFERROR(VLOOKUP(Calculations[[#This Row],[Material (choose from dropdown]],MaterialData[#All],7,FALSE),0)</f>
        <v>0</v>
      </c>
      <c r="H1416" s="322">
        <f>Calculations[[#This Row],[Total Kg]]*Calculations[[#This Row],[Carbon Factor]]</f>
        <v>0</v>
      </c>
      <c r="I1416" t="str">
        <f>IFERROR(VLOOKUP(Calculations[[#This Row],[Material (choose from dropdown]],MaterialData[#All],2,FALSE),"")</f>
        <v/>
      </c>
      <c r="J1416" s="322">
        <f>IFERROR(((VLOOKUP(Calculations[[#This Row],[TransportSource]],TransportDistance[],2,FALSE)*'Stage assumptions'!$C$11)+VLOOKUP(Calculations[[#This Row],[TransportSource]],TransportDistance[],3,FALSE)*'Stage assumptions'!$C$12)*Calculations[[#This Row],[Total Kg]],0)</f>
        <v>0</v>
      </c>
      <c r="K1416">
        <f>IFERROR(VLOOKUP(Calculations[[#This Row],[Material (choose from dropdown]], MaterialData[#All],3, FALSE),0)</f>
        <v>0</v>
      </c>
      <c r="L1416" s="322">
        <f>IFERROR(VLOOKUP(Calculations[[#This Row],[A5type]],A5WastageRate[#All],2,FALSE)*Calculations[[#This Row],[A1-3]],0)</f>
        <v>0</v>
      </c>
      <c r="N1416">
        <f>IFERROR(ROUNDUP(50/VLOOKUP(Calculations[[#This Row],[Scope Element]],B4referenceServiceLife[[Tier 2 element]:[Default Service Life]],2, FALSE)-1,0),0)</f>
        <v>0</v>
      </c>
      <c r="O1416" s="322">
        <f>IFERROR((Calculations[[#This Row],[A1-3]]+Calculations[[#This Row],[A4]]+Calculations[[#This Row],[A5]]+Calculations[[#This Row],[C2 total]]+Calculations[[#This Row],[C3 total]]+Calculations[[#This Row],[C4 total]])*Calculations[[#This Row],[Replacements]],0)</f>
        <v>0</v>
      </c>
      <c r="S1416" t="str">
        <f>IFERROR(VLOOKUP(Calculations[[#This Row],[Material (choose from dropdown]],MaterialData[#All],4,FALSE),"")</f>
        <v/>
      </c>
      <c r="T1416" s="322" cm="1">
        <f t="array" ref="T1416">IFERROR(VLOOKUP(Calculations[[#This Row],[Waste 1]],WasteScenario[#All],2,FALSE)*'Stage assumptions'!$C$225*WasteTransportMethod[Emissions Factor
kgCO2e/kg.km]*Calculations[[#This Row],[Total Kg]],0)</f>
        <v>0</v>
      </c>
      <c r="U1416" s="322" cm="1">
        <f t="array" ref="U1416">IFERROR(VLOOKUP(Calculations[[#This Row],[Waste 1]],WasteScenario[#All],3,FALSE)*'Stage assumptions'!$C$224*WasteTransportMethod[Emissions Factor
kgCO2e/kg.km]*Calculations[[#This Row],[Total Kg]],0)</f>
        <v>0</v>
      </c>
      <c r="V1416" s="322" cm="1">
        <f t="array" ref="V1416">IFERROR(VLOOKUP(Calculations[[#This Row],[Waste 1]],WasteScenario[#All],4,FALSE)*'Stage assumptions'!$C$223*WasteTransportMethod[Emissions Factor
kgCO2e/kg.km]*Calculations[[#This Row],[Total Kg]],0)</f>
        <v>0</v>
      </c>
      <c r="W1416" s="322" cm="1">
        <f t="array" ref="W1416">IFERROR(VLOOKUP(Calculations[[#This Row],[Waste 1]],WasteScenario[#All],5,FALSE)*'Stage assumptions'!$C$226*WasteTransportMethod[Emissions Factor
kgCO2e/kg.km]*Calculations[[#This Row],[Total Kg]],0)</f>
        <v>0</v>
      </c>
      <c r="X1416" s="322">
        <f>SUM(Calculations[[#This Row],[C2 Recycle]:[C2 Reuse]])</f>
        <v>0</v>
      </c>
      <c r="Y1416" t="str">
        <f>IFERROR(VLOOKUP(Calculations[[#This Row],[Material (choose from dropdown]],MaterialData[#All],5,FALSE),"")</f>
        <v/>
      </c>
      <c r="Z1416" s="322">
        <f>IFERROR(((VLOOKUP(Calculations[[#This Row],[Waste type 2]],WasteDisposalEmissions[#All],2,FALSE))*Calculations[[#This Row],[Total Kg]])*VLOOKUP(Calculations[[#This Row],[Waste 1]],WasteScenario[#All],2,FALSE),0)</f>
        <v>0</v>
      </c>
      <c r="AA1416" s="322">
        <f>IFERROR((VLOOKUP(Calculations[[#This Row],[Waste type 2]],WasteDisposalEmissions[#All],3,FALSE))*Calculations[[#This Row],[Total Kg]]*VLOOKUP(Calculations[[#This Row],[Waste 1]],WasteScenario[#All],3,FALSE),0)</f>
        <v>0</v>
      </c>
      <c r="AB1416" s="322">
        <f>SUM(Calculations[[#This Row],[C3 recyc]:[C3 incin]])</f>
        <v>0</v>
      </c>
      <c r="AC1416" s="334">
        <f>IFERROR((VLOOKUP(Calculations[[#This Row],[Waste type 2]],WasteLandfillEmissions[#All],2,FALSE))*Calculations[[#This Row],[Total Kg]]*VLOOKUP(Calculations[[#This Row],[Waste 1]],WasteScenario[#All],4,FALSE),0)</f>
        <v>0</v>
      </c>
      <c r="AD1416" s="322">
        <f>IFERROR((VLOOKUP(Calculations[[#This Row],[Waste type 2]],WasteLandfillEmissions[#All],3,FALSE))*Calculations[[#This Row],[Total Kg]]*VLOOKUP(Calculations[[#This Row],[Waste 1]],WasteScenario[#All],4,FALSE),0)</f>
        <v>0</v>
      </c>
      <c r="AE1416" s="322">
        <f>SUM(Calculations[[#This Row],[C4 landfill]:[C4 re-use]])</f>
        <v>0</v>
      </c>
      <c r="AF1416" s="322">
        <f>IFERROR(VLOOKUP(Calculations[[#This Row],[Material (choose from dropdown]],MaterialData[#All],8,FALSE),0)</f>
        <v>0</v>
      </c>
      <c r="AG1416" s="322">
        <f>IFERROR(Calculations[[#This Row],[Total Kg]]*Calculations[[#This Row],[Seq factor]],0)</f>
        <v>0</v>
      </c>
      <c r="AI1416" s="322">
        <f>Calculations[[#This Row],[A1-3]]+Calculations[[#This Row],[A4]]+Calculations[[#This Row],[A5]]+Calculations[[#This Row],[B4]]+Calculations[[#This Row],[C2 total]]+Calculations[[#This Row],[C3 total]]+Calculations[[#This Row],[C4 total]]</f>
        <v>0</v>
      </c>
      <c r="AJ1416" s="2">
        <f>IFERROR(VLOOKUP(Calculations[[#This Row],[Material (choose from dropdown]],MaterialData[[#Headers],[#Data]],9,FALSE),0)</f>
        <v>0</v>
      </c>
      <c r="AK1416" s="4">
        <f>IFERROR(VLOOKUP(Calculations[[#This Row],[Material (choose from dropdown]],MaterialData[[#Headers],[#Data]],10,FALSE),0)</f>
        <v>0</v>
      </c>
      <c r="AL1416" s="322">
        <f>IFERROR(Calculations[[#This Row],[Data Quality Score]]*Calculations[[#This Row],[Total Kg]],0)</f>
        <v>0</v>
      </c>
    </row>
    <row r="1417" spans="1:38" x14ac:dyDescent="0.3">
      <c r="A1417" s="6">
        <f>IFERROR(MaterialsBoQ[[#This Row],[Scope Element]],0)</f>
        <v>0</v>
      </c>
      <c r="B1417" t="str">
        <f>IFERROR(MaterialsBoQ[[#This Row],[Material ]],"")</f>
        <v/>
      </c>
      <c r="C1417" t="str">
        <f>IFERROR(MaterialsBoQ[[#This Row],[Unit]],"")</f>
        <v/>
      </c>
      <c r="D1417" s="322">
        <f>IFERROR(MaterialsBoQ[[#This Row],[Number]],0)</f>
        <v>0</v>
      </c>
      <c r="E1417" s="322">
        <f>IFERROR(MaterialsBoQ[[#This Row],[Kg per unit]],0)</f>
        <v>0</v>
      </c>
      <c r="F1417" s="322">
        <f>IFERROR(Calculations[[#This Row],[Number]]*Calculations[[#This Row],[Conversion factor]],0)</f>
        <v>0</v>
      </c>
      <c r="G1417" s="322">
        <f>IFERROR(VLOOKUP(Calculations[[#This Row],[Material (choose from dropdown]],MaterialData[#All],7,FALSE),0)</f>
        <v>0</v>
      </c>
      <c r="H1417" s="322">
        <f>Calculations[[#This Row],[Total Kg]]*Calculations[[#This Row],[Carbon Factor]]</f>
        <v>0</v>
      </c>
      <c r="I1417" t="str">
        <f>IFERROR(VLOOKUP(Calculations[[#This Row],[Material (choose from dropdown]],MaterialData[#All],2,FALSE),"")</f>
        <v/>
      </c>
      <c r="J1417" s="322">
        <f>IFERROR(((VLOOKUP(Calculations[[#This Row],[TransportSource]],TransportDistance[],2,FALSE)*'Stage assumptions'!$C$11)+VLOOKUP(Calculations[[#This Row],[TransportSource]],TransportDistance[],3,FALSE)*'Stage assumptions'!$C$12)*Calculations[[#This Row],[Total Kg]],0)</f>
        <v>0</v>
      </c>
      <c r="K1417">
        <f>IFERROR(VLOOKUP(Calculations[[#This Row],[Material (choose from dropdown]], MaterialData[#All],3, FALSE),0)</f>
        <v>0</v>
      </c>
      <c r="L1417" s="322">
        <f>IFERROR(VLOOKUP(Calculations[[#This Row],[A5type]],A5WastageRate[#All],2,FALSE)*Calculations[[#This Row],[A1-3]],0)</f>
        <v>0</v>
      </c>
      <c r="N1417">
        <f>IFERROR(ROUNDUP(50/VLOOKUP(Calculations[[#This Row],[Scope Element]],B4referenceServiceLife[[Tier 2 element]:[Default Service Life]],2, FALSE)-1,0),0)</f>
        <v>0</v>
      </c>
      <c r="O1417" s="322">
        <f>IFERROR((Calculations[[#This Row],[A1-3]]+Calculations[[#This Row],[A4]]+Calculations[[#This Row],[A5]]+Calculations[[#This Row],[C2 total]]+Calculations[[#This Row],[C3 total]]+Calculations[[#This Row],[C4 total]])*Calculations[[#This Row],[Replacements]],0)</f>
        <v>0</v>
      </c>
      <c r="S1417" t="str">
        <f>IFERROR(VLOOKUP(Calculations[[#This Row],[Material (choose from dropdown]],MaterialData[#All],4,FALSE),"")</f>
        <v/>
      </c>
      <c r="T1417" s="322" cm="1">
        <f t="array" ref="T1417">IFERROR(VLOOKUP(Calculations[[#This Row],[Waste 1]],WasteScenario[#All],2,FALSE)*'Stage assumptions'!$C$225*WasteTransportMethod[Emissions Factor
kgCO2e/kg.km]*Calculations[[#This Row],[Total Kg]],0)</f>
        <v>0</v>
      </c>
      <c r="U1417" s="322" cm="1">
        <f t="array" ref="U1417">IFERROR(VLOOKUP(Calculations[[#This Row],[Waste 1]],WasteScenario[#All],3,FALSE)*'Stage assumptions'!$C$224*WasteTransportMethod[Emissions Factor
kgCO2e/kg.km]*Calculations[[#This Row],[Total Kg]],0)</f>
        <v>0</v>
      </c>
      <c r="V1417" s="322" cm="1">
        <f t="array" ref="V1417">IFERROR(VLOOKUP(Calculations[[#This Row],[Waste 1]],WasteScenario[#All],4,FALSE)*'Stage assumptions'!$C$223*WasteTransportMethod[Emissions Factor
kgCO2e/kg.km]*Calculations[[#This Row],[Total Kg]],0)</f>
        <v>0</v>
      </c>
      <c r="W1417" s="322" cm="1">
        <f t="array" ref="W1417">IFERROR(VLOOKUP(Calculations[[#This Row],[Waste 1]],WasteScenario[#All],5,FALSE)*'Stage assumptions'!$C$226*WasteTransportMethod[Emissions Factor
kgCO2e/kg.km]*Calculations[[#This Row],[Total Kg]],0)</f>
        <v>0</v>
      </c>
      <c r="X1417" s="322">
        <f>SUM(Calculations[[#This Row],[C2 Recycle]:[C2 Reuse]])</f>
        <v>0</v>
      </c>
      <c r="Y1417" t="str">
        <f>IFERROR(VLOOKUP(Calculations[[#This Row],[Material (choose from dropdown]],MaterialData[#All],5,FALSE),"")</f>
        <v/>
      </c>
      <c r="Z1417" s="322">
        <f>IFERROR(((VLOOKUP(Calculations[[#This Row],[Waste type 2]],WasteDisposalEmissions[#All],2,FALSE))*Calculations[[#This Row],[Total Kg]])*VLOOKUP(Calculations[[#This Row],[Waste 1]],WasteScenario[#All],2,FALSE),0)</f>
        <v>0</v>
      </c>
      <c r="AA1417" s="322">
        <f>IFERROR((VLOOKUP(Calculations[[#This Row],[Waste type 2]],WasteDisposalEmissions[#All],3,FALSE))*Calculations[[#This Row],[Total Kg]]*VLOOKUP(Calculations[[#This Row],[Waste 1]],WasteScenario[#All],3,FALSE),0)</f>
        <v>0</v>
      </c>
      <c r="AB1417" s="322">
        <f>SUM(Calculations[[#This Row],[C3 recyc]:[C3 incin]])</f>
        <v>0</v>
      </c>
      <c r="AC1417" s="334">
        <f>IFERROR((VLOOKUP(Calculations[[#This Row],[Waste type 2]],WasteLandfillEmissions[#All],2,FALSE))*Calculations[[#This Row],[Total Kg]]*VLOOKUP(Calculations[[#This Row],[Waste 1]],WasteScenario[#All],4,FALSE),0)</f>
        <v>0</v>
      </c>
      <c r="AD1417" s="322">
        <f>IFERROR((VLOOKUP(Calculations[[#This Row],[Waste type 2]],WasteLandfillEmissions[#All],3,FALSE))*Calculations[[#This Row],[Total Kg]]*VLOOKUP(Calculations[[#This Row],[Waste 1]],WasteScenario[#All],4,FALSE),0)</f>
        <v>0</v>
      </c>
      <c r="AE1417" s="322">
        <f>SUM(Calculations[[#This Row],[C4 landfill]:[C4 re-use]])</f>
        <v>0</v>
      </c>
      <c r="AF1417" s="322">
        <f>IFERROR(VLOOKUP(Calculations[[#This Row],[Material (choose from dropdown]],MaterialData[#All],8,FALSE),0)</f>
        <v>0</v>
      </c>
      <c r="AG1417" s="322">
        <f>IFERROR(Calculations[[#This Row],[Total Kg]]*Calculations[[#This Row],[Seq factor]],0)</f>
        <v>0</v>
      </c>
      <c r="AI1417" s="322">
        <f>Calculations[[#This Row],[A1-3]]+Calculations[[#This Row],[A4]]+Calculations[[#This Row],[A5]]+Calculations[[#This Row],[B4]]+Calculations[[#This Row],[C2 total]]+Calculations[[#This Row],[C3 total]]+Calculations[[#This Row],[C4 total]]</f>
        <v>0</v>
      </c>
      <c r="AJ1417" s="2">
        <f>IFERROR(VLOOKUP(Calculations[[#This Row],[Material (choose from dropdown]],MaterialData[[#Headers],[#Data]],9,FALSE),0)</f>
        <v>0</v>
      </c>
      <c r="AK1417" s="4">
        <f>IFERROR(VLOOKUP(Calculations[[#This Row],[Material (choose from dropdown]],MaterialData[[#Headers],[#Data]],10,FALSE),0)</f>
        <v>0</v>
      </c>
      <c r="AL1417" s="322">
        <f>IFERROR(Calculations[[#This Row],[Data Quality Score]]*Calculations[[#This Row],[Total Kg]],0)</f>
        <v>0</v>
      </c>
    </row>
    <row r="1418" spans="1:38" x14ac:dyDescent="0.3">
      <c r="A1418" s="6">
        <f>IFERROR(MaterialsBoQ[[#This Row],[Scope Element]],0)</f>
        <v>0</v>
      </c>
      <c r="B1418" t="str">
        <f>IFERROR(MaterialsBoQ[[#This Row],[Material ]],"")</f>
        <v/>
      </c>
      <c r="C1418" t="str">
        <f>IFERROR(MaterialsBoQ[[#This Row],[Unit]],"")</f>
        <v/>
      </c>
      <c r="D1418" s="322">
        <f>IFERROR(MaterialsBoQ[[#This Row],[Number]],0)</f>
        <v>0</v>
      </c>
      <c r="E1418" s="322">
        <f>IFERROR(MaterialsBoQ[[#This Row],[Kg per unit]],0)</f>
        <v>0</v>
      </c>
      <c r="F1418" s="322">
        <f>IFERROR(Calculations[[#This Row],[Number]]*Calculations[[#This Row],[Conversion factor]],0)</f>
        <v>0</v>
      </c>
      <c r="G1418" s="322">
        <f>IFERROR(VLOOKUP(Calculations[[#This Row],[Material (choose from dropdown]],MaterialData[#All],7,FALSE),0)</f>
        <v>0</v>
      </c>
      <c r="H1418" s="322">
        <f>Calculations[[#This Row],[Total Kg]]*Calculations[[#This Row],[Carbon Factor]]</f>
        <v>0</v>
      </c>
      <c r="I1418" t="str">
        <f>IFERROR(VLOOKUP(Calculations[[#This Row],[Material (choose from dropdown]],MaterialData[#All],2,FALSE),"")</f>
        <v/>
      </c>
      <c r="J1418" s="322">
        <f>IFERROR(((VLOOKUP(Calculations[[#This Row],[TransportSource]],TransportDistance[],2,FALSE)*'Stage assumptions'!$C$11)+VLOOKUP(Calculations[[#This Row],[TransportSource]],TransportDistance[],3,FALSE)*'Stage assumptions'!$C$12)*Calculations[[#This Row],[Total Kg]],0)</f>
        <v>0</v>
      </c>
      <c r="K1418">
        <f>IFERROR(VLOOKUP(Calculations[[#This Row],[Material (choose from dropdown]], MaterialData[#All],3, FALSE),0)</f>
        <v>0</v>
      </c>
      <c r="L1418" s="322">
        <f>IFERROR(VLOOKUP(Calculations[[#This Row],[A5type]],A5WastageRate[#All],2,FALSE)*Calculations[[#This Row],[A1-3]],0)</f>
        <v>0</v>
      </c>
      <c r="N1418">
        <f>IFERROR(ROUNDUP(50/VLOOKUP(Calculations[[#This Row],[Scope Element]],B4referenceServiceLife[[Tier 2 element]:[Default Service Life]],2, FALSE)-1,0),0)</f>
        <v>0</v>
      </c>
      <c r="O1418" s="322">
        <f>IFERROR((Calculations[[#This Row],[A1-3]]+Calculations[[#This Row],[A4]]+Calculations[[#This Row],[A5]]+Calculations[[#This Row],[C2 total]]+Calculations[[#This Row],[C3 total]]+Calculations[[#This Row],[C4 total]])*Calculations[[#This Row],[Replacements]],0)</f>
        <v>0</v>
      </c>
      <c r="S1418" t="str">
        <f>IFERROR(VLOOKUP(Calculations[[#This Row],[Material (choose from dropdown]],MaterialData[#All],4,FALSE),"")</f>
        <v/>
      </c>
      <c r="T1418" s="322" cm="1">
        <f t="array" ref="T1418">IFERROR(VLOOKUP(Calculations[[#This Row],[Waste 1]],WasteScenario[#All],2,FALSE)*'Stage assumptions'!$C$225*WasteTransportMethod[Emissions Factor
kgCO2e/kg.km]*Calculations[[#This Row],[Total Kg]],0)</f>
        <v>0</v>
      </c>
      <c r="U1418" s="322" cm="1">
        <f t="array" ref="U1418">IFERROR(VLOOKUP(Calculations[[#This Row],[Waste 1]],WasteScenario[#All],3,FALSE)*'Stage assumptions'!$C$224*WasteTransportMethod[Emissions Factor
kgCO2e/kg.km]*Calculations[[#This Row],[Total Kg]],0)</f>
        <v>0</v>
      </c>
      <c r="V1418" s="322" cm="1">
        <f t="array" ref="V1418">IFERROR(VLOOKUP(Calculations[[#This Row],[Waste 1]],WasteScenario[#All],4,FALSE)*'Stage assumptions'!$C$223*WasteTransportMethod[Emissions Factor
kgCO2e/kg.km]*Calculations[[#This Row],[Total Kg]],0)</f>
        <v>0</v>
      </c>
      <c r="W1418" s="322" cm="1">
        <f t="array" ref="W1418">IFERROR(VLOOKUP(Calculations[[#This Row],[Waste 1]],WasteScenario[#All],5,FALSE)*'Stage assumptions'!$C$226*WasteTransportMethod[Emissions Factor
kgCO2e/kg.km]*Calculations[[#This Row],[Total Kg]],0)</f>
        <v>0</v>
      </c>
      <c r="X1418" s="322">
        <f>SUM(Calculations[[#This Row],[C2 Recycle]:[C2 Reuse]])</f>
        <v>0</v>
      </c>
      <c r="Y1418" t="str">
        <f>IFERROR(VLOOKUP(Calculations[[#This Row],[Material (choose from dropdown]],MaterialData[#All],5,FALSE),"")</f>
        <v/>
      </c>
      <c r="Z1418" s="322">
        <f>IFERROR(((VLOOKUP(Calculations[[#This Row],[Waste type 2]],WasteDisposalEmissions[#All],2,FALSE))*Calculations[[#This Row],[Total Kg]])*VLOOKUP(Calculations[[#This Row],[Waste 1]],WasteScenario[#All],2,FALSE),0)</f>
        <v>0</v>
      </c>
      <c r="AA1418" s="322">
        <f>IFERROR((VLOOKUP(Calculations[[#This Row],[Waste type 2]],WasteDisposalEmissions[#All],3,FALSE))*Calculations[[#This Row],[Total Kg]]*VLOOKUP(Calculations[[#This Row],[Waste 1]],WasteScenario[#All],3,FALSE),0)</f>
        <v>0</v>
      </c>
      <c r="AB1418" s="322">
        <f>SUM(Calculations[[#This Row],[C3 recyc]:[C3 incin]])</f>
        <v>0</v>
      </c>
      <c r="AC1418" s="334">
        <f>IFERROR((VLOOKUP(Calculations[[#This Row],[Waste type 2]],WasteLandfillEmissions[#All],2,FALSE))*Calculations[[#This Row],[Total Kg]]*VLOOKUP(Calculations[[#This Row],[Waste 1]],WasteScenario[#All],4,FALSE),0)</f>
        <v>0</v>
      </c>
      <c r="AD1418" s="322">
        <f>IFERROR((VLOOKUP(Calculations[[#This Row],[Waste type 2]],WasteLandfillEmissions[#All],3,FALSE))*Calculations[[#This Row],[Total Kg]]*VLOOKUP(Calculations[[#This Row],[Waste 1]],WasteScenario[#All],4,FALSE),0)</f>
        <v>0</v>
      </c>
      <c r="AE1418" s="322">
        <f>SUM(Calculations[[#This Row],[C4 landfill]:[C4 re-use]])</f>
        <v>0</v>
      </c>
      <c r="AF1418" s="322">
        <f>IFERROR(VLOOKUP(Calculations[[#This Row],[Material (choose from dropdown]],MaterialData[#All],8,FALSE),0)</f>
        <v>0</v>
      </c>
      <c r="AG1418" s="322">
        <f>IFERROR(Calculations[[#This Row],[Total Kg]]*Calculations[[#This Row],[Seq factor]],0)</f>
        <v>0</v>
      </c>
      <c r="AI1418" s="322">
        <f>Calculations[[#This Row],[A1-3]]+Calculations[[#This Row],[A4]]+Calculations[[#This Row],[A5]]+Calculations[[#This Row],[B4]]+Calculations[[#This Row],[C2 total]]+Calculations[[#This Row],[C3 total]]+Calculations[[#This Row],[C4 total]]</f>
        <v>0</v>
      </c>
      <c r="AJ1418" s="2">
        <f>IFERROR(VLOOKUP(Calculations[[#This Row],[Material (choose from dropdown]],MaterialData[[#Headers],[#Data]],9,FALSE),0)</f>
        <v>0</v>
      </c>
      <c r="AK1418" s="4">
        <f>IFERROR(VLOOKUP(Calculations[[#This Row],[Material (choose from dropdown]],MaterialData[[#Headers],[#Data]],10,FALSE),0)</f>
        <v>0</v>
      </c>
      <c r="AL1418" s="322">
        <f>IFERROR(Calculations[[#This Row],[Data Quality Score]]*Calculations[[#This Row],[Total Kg]],0)</f>
        <v>0</v>
      </c>
    </row>
    <row r="1419" spans="1:38" x14ac:dyDescent="0.3">
      <c r="A1419" s="6">
        <f>IFERROR(MaterialsBoQ[[#This Row],[Scope Element]],0)</f>
        <v>0</v>
      </c>
      <c r="B1419" t="str">
        <f>IFERROR(MaterialsBoQ[[#This Row],[Material ]],"")</f>
        <v/>
      </c>
      <c r="C1419" t="str">
        <f>IFERROR(MaterialsBoQ[[#This Row],[Unit]],"")</f>
        <v/>
      </c>
      <c r="D1419" s="322">
        <f>IFERROR(MaterialsBoQ[[#This Row],[Number]],0)</f>
        <v>0</v>
      </c>
      <c r="E1419" s="322">
        <f>IFERROR(MaterialsBoQ[[#This Row],[Kg per unit]],0)</f>
        <v>0</v>
      </c>
      <c r="F1419" s="322">
        <f>IFERROR(Calculations[[#This Row],[Number]]*Calculations[[#This Row],[Conversion factor]],0)</f>
        <v>0</v>
      </c>
      <c r="G1419" s="322">
        <f>IFERROR(VLOOKUP(Calculations[[#This Row],[Material (choose from dropdown]],MaterialData[#All],7,FALSE),0)</f>
        <v>0</v>
      </c>
      <c r="H1419" s="322">
        <f>Calculations[[#This Row],[Total Kg]]*Calculations[[#This Row],[Carbon Factor]]</f>
        <v>0</v>
      </c>
      <c r="I1419" t="str">
        <f>IFERROR(VLOOKUP(Calculations[[#This Row],[Material (choose from dropdown]],MaterialData[#All],2,FALSE),"")</f>
        <v/>
      </c>
      <c r="J1419" s="322">
        <f>IFERROR(((VLOOKUP(Calculations[[#This Row],[TransportSource]],TransportDistance[],2,FALSE)*'Stage assumptions'!$C$11)+VLOOKUP(Calculations[[#This Row],[TransportSource]],TransportDistance[],3,FALSE)*'Stage assumptions'!$C$12)*Calculations[[#This Row],[Total Kg]],0)</f>
        <v>0</v>
      </c>
      <c r="K1419">
        <f>IFERROR(VLOOKUP(Calculations[[#This Row],[Material (choose from dropdown]], MaterialData[#All],3, FALSE),0)</f>
        <v>0</v>
      </c>
      <c r="L1419" s="322">
        <f>IFERROR(VLOOKUP(Calculations[[#This Row],[A5type]],A5WastageRate[#All],2,FALSE)*Calculations[[#This Row],[A1-3]],0)</f>
        <v>0</v>
      </c>
      <c r="N1419">
        <f>IFERROR(ROUNDUP(50/VLOOKUP(Calculations[[#This Row],[Scope Element]],B4referenceServiceLife[[Tier 2 element]:[Default Service Life]],2, FALSE)-1,0),0)</f>
        <v>0</v>
      </c>
      <c r="O1419" s="322">
        <f>IFERROR((Calculations[[#This Row],[A1-3]]+Calculations[[#This Row],[A4]]+Calculations[[#This Row],[A5]]+Calculations[[#This Row],[C2 total]]+Calculations[[#This Row],[C3 total]]+Calculations[[#This Row],[C4 total]])*Calculations[[#This Row],[Replacements]],0)</f>
        <v>0</v>
      </c>
      <c r="S1419" t="str">
        <f>IFERROR(VLOOKUP(Calculations[[#This Row],[Material (choose from dropdown]],MaterialData[#All],4,FALSE),"")</f>
        <v/>
      </c>
      <c r="T1419" s="322" cm="1">
        <f t="array" ref="T1419">IFERROR(VLOOKUP(Calculations[[#This Row],[Waste 1]],WasteScenario[#All],2,FALSE)*'Stage assumptions'!$C$225*WasteTransportMethod[Emissions Factor
kgCO2e/kg.km]*Calculations[[#This Row],[Total Kg]],0)</f>
        <v>0</v>
      </c>
      <c r="U1419" s="322" cm="1">
        <f t="array" ref="U1419">IFERROR(VLOOKUP(Calculations[[#This Row],[Waste 1]],WasteScenario[#All],3,FALSE)*'Stage assumptions'!$C$224*WasteTransportMethod[Emissions Factor
kgCO2e/kg.km]*Calculations[[#This Row],[Total Kg]],0)</f>
        <v>0</v>
      </c>
      <c r="V1419" s="322" cm="1">
        <f t="array" ref="V1419">IFERROR(VLOOKUP(Calculations[[#This Row],[Waste 1]],WasteScenario[#All],4,FALSE)*'Stage assumptions'!$C$223*WasteTransportMethod[Emissions Factor
kgCO2e/kg.km]*Calculations[[#This Row],[Total Kg]],0)</f>
        <v>0</v>
      </c>
      <c r="W1419" s="322" cm="1">
        <f t="array" ref="W1419">IFERROR(VLOOKUP(Calculations[[#This Row],[Waste 1]],WasteScenario[#All],5,FALSE)*'Stage assumptions'!$C$226*WasteTransportMethod[Emissions Factor
kgCO2e/kg.km]*Calculations[[#This Row],[Total Kg]],0)</f>
        <v>0</v>
      </c>
      <c r="X1419" s="322">
        <f>SUM(Calculations[[#This Row],[C2 Recycle]:[C2 Reuse]])</f>
        <v>0</v>
      </c>
      <c r="Y1419" t="str">
        <f>IFERROR(VLOOKUP(Calculations[[#This Row],[Material (choose from dropdown]],MaterialData[#All],5,FALSE),"")</f>
        <v/>
      </c>
      <c r="Z1419" s="322">
        <f>IFERROR(((VLOOKUP(Calculations[[#This Row],[Waste type 2]],WasteDisposalEmissions[#All],2,FALSE))*Calculations[[#This Row],[Total Kg]])*VLOOKUP(Calculations[[#This Row],[Waste 1]],WasteScenario[#All],2,FALSE),0)</f>
        <v>0</v>
      </c>
      <c r="AA1419" s="322">
        <f>IFERROR((VLOOKUP(Calculations[[#This Row],[Waste type 2]],WasteDisposalEmissions[#All],3,FALSE))*Calculations[[#This Row],[Total Kg]]*VLOOKUP(Calculations[[#This Row],[Waste 1]],WasteScenario[#All],3,FALSE),0)</f>
        <v>0</v>
      </c>
      <c r="AB1419" s="322">
        <f>SUM(Calculations[[#This Row],[C3 recyc]:[C3 incin]])</f>
        <v>0</v>
      </c>
      <c r="AC1419" s="334">
        <f>IFERROR((VLOOKUP(Calculations[[#This Row],[Waste type 2]],WasteLandfillEmissions[#All],2,FALSE))*Calculations[[#This Row],[Total Kg]]*VLOOKUP(Calculations[[#This Row],[Waste 1]],WasteScenario[#All],4,FALSE),0)</f>
        <v>0</v>
      </c>
      <c r="AD1419" s="322">
        <f>IFERROR((VLOOKUP(Calculations[[#This Row],[Waste type 2]],WasteLandfillEmissions[#All],3,FALSE))*Calculations[[#This Row],[Total Kg]]*VLOOKUP(Calculations[[#This Row],[Waste 1]],WasteScenario[#All],4,FALSE),0)</f>
        <v>0</v>
      </c>
      <c r="AE1419" s="322">
        <f>SUM(Calculations[[#This Row],[C4 landfill]:[C4 re-use]])</f>
        <v>0</v>
      </c>
      <c r="AF1419" s="322">
        <f>IFERROR(VLOOKUP(Calculations[[#This Row],[Material (choose from dropdown]],MaterialData[#All],8,FALSE),0)</f>
        <v>0</v>
      </c>
      <c r="AG1419" s="322">
        <f>IFERROR(Calculations[[#This Row],[Total Kg]]*Calculations[[#This Row],[Seq factor]],0)</f>
        <v>0</v>
      </c>
      <c r="AI1419" s="322">
        <f>Calculations[[#This Row],[A1-3]]+Calculations[[#This Row],[A4]]+Calculations[[#This Row],[A5]]+Calculations[[#This Row],[B4]]+Calculations[[#This Row],[C2 total]]+Calculations[[#This Row],[C3 total]]+Calculations[[#This Row],[C4 total]]</f>
        <v>0</v>
      </c>
      <c r="AJ1419" s="2">
        <f>IFERROR(VLOOKUP(Calculations[[#This Row],[Material (choose from dropdown]],MaterialData[[#Headers],[#Data]],9,FALSE),0)</f>
        <v>0</v>
      </c>
      <c r="AK1419" s="4">
        <f>IFERROR(VLOOKUP(Calculations[[#This Row],[Material (choose from dropdown]],MaterialData[[#Headers],[#Data]],10,FALSE),0)</f>
        <v>0</v>
      </c>
      <c r="AL1419" s="322">
        <f>IFERROR(Calculations[[#This Row],[Data Quality Score]]*Calculations[[#This Row],[Total Kg]],0)</f>
        <v>0</v>
      </c>
    </row>
    <row r="1420" spans="1:38" x14ac:dyDescent="0.3">
      <c r="A1420" s="6">
        <f>IFERROR(MaterialsBoQ[[#This Row],[Scope Element]],0)</f>
        <v>0</v>
      </c>
      <c r="B1420" t="str">
        <f>IFERROR(MaterialsBoQ[[#This Row],[Material ]],"")</f>
        <v/>
      </c>
      <c r="C1420" t="str">
        <f>IFERROR(MaterialsBoQ[[#This Row],[Unit]],"")</f>
        <v/>
      </c>
      <c r="D1420" s="322">
        <f>IFERROR(MaterialsBoQ[[#This Row],[Number]],0)</f>
        <v>0</v>
      </c>
      <c r="E1420" s="322">
        <f>IFERROR(MaterialsBoQ[[#This Row],[Kg per unit]],0)</f>
        <v>0</v>
      </c>
      <c r="F1420" s="322">
        <f>IFERROR(Calculations[[#This Row],[Number]]*Calculations[[#This Row],[Conversion factor]],0)</f>
        <v>0</v>
      </c>
      <c r="G1420" s="322">
        <f>IFERROR(VLOOKUP(Calculations[[#This Row],[Material (choose from dropdown]],MaterialData[#All],7,FALSE),0)</f>
        <v>0</v>
      </c>
      <c r="H1420" s="322">
        <f>Calculations[[#This Row],[Total Kg]]*Calculations[[#This Row],[Carbon Factor]]</f>
        <v>0</v>
      </c>
      <c r="I1420" t="str">
        <f>IFERROR(VLOOKUP(Calculations[[#This Row],[Material (choose from dropdown]],MaterialData[#All],2,FALSE),"")</f>
        <v/>
      </c>
      <c r="J1420" s="322">
        <f>IFERROR(((VLOOKUP(Calculations[[#This Row],[TransportSource]],TransportDistance[],2,FALSE)*'Stage assumptions'!$C$11)+VLOOKUP(Calculations[[#This Row],[TransportSource]],TransportDistance[],3,FALSE)*'Stage assumptions'!$C$12)*Calculations[[#This Row],[Total Kg]],0)</f>
        <v>0</v>
      </c>
      <c r="K1420">
        <f>IFERROR(VLOOKUP(Calculations[[#This Row],[Material (choose from dropdown]], MaterialData[#All],3, FALSE),0)</f>
        <v>0</v>
      </c>
      <c r="L1420" s="322">
        <f>IFERROR(VLOOKUP(Calculations[[#This Row],[A5type]],A5WastageRate[#All],2,FALSE)*Calculations[[#This Row],[A1-3]],0)</f>
        <v>0</v>
      </c>
      <c r="N1420">
        <f>IFERROR(ROUNDUP(50/VLOOKUP(Calculations[[#This Row],[Scope Element]],B4referenceServiceLife[[Tier 2 element]:[Default Service Life]],2, FALSE)-1,0),0)</f>
        <v>0</v>
      </c>
      <c r="O1420" s="322">
        <f>IFERROR((Calculations[[#This Row],[A1-3]]+Calculations[[#This Row],[A4]]+Calculations[[#This Row],[A5]]+Calculations[[#This Row],[C2 total]]+Calculations[[#This Row],[C3 total]]+Calculations[[#This Row],[C4 total]])*Calculations[[#This Row],[Replacements]],0)</f>
        <v>0</v>
      </c>
      <c r="S1420" t="str">
        <f>IFERROR(VLOOKUP(Calculations[[#This Row],[Material (choose from dropdown]],MaterialData[#All],4,FALSE),"")</f>
        <v/>
      </c>
      <c r="T1420" s="322" cm="1">
        <f t="array" ref="T1420">IFERROR(VLOOKUP(Calculations[[#This Row],[Waste 1]],WasteScenario[#All],2,FALSE)*'Stage assumptions'!$C$225*WasteTransportMethod[Emissions Factor
kgCO2e/kg.km]*Calculations[[#This Row],[Total Kg]],0)</f>
        <v>0</v>
      </c>
      <c r="U1420" s="322" cm="1">
        <f t="array" ref="U1420">IFERROR(VLOOKUP(Calculations[[#This Row],[Waste 1]],WasteScenario[#All],3,FALSE)*'Stage assumptions'!$C$224*WasteTransportMethod[Emissions Factor
kgCO2e/kg.km]*Calculations[[#This Row],[Total Kg]],0)</f>
        <v>0</v>
      </c>
      <c r="V1420" s="322" cm="1">
        <f t="array" ref="V1420">IFERROR(VLOOKUP(Calculations[[#This Row],[Waste 1]],WasteScenario[#All],4,FALSE)*'Stage assumptions'!$C$223*WasteTransportMethod[Emissions Factor
kgCO2e/kg.km]*Calculations[[#This Row],[Total Kg]],0)</f>
        <v>0</v>
      </c>
      <c r="W1420" s="322" cm="1">
        <f t="array" ref="W1420">IFERROR(VLOOKUP(Calculations[[#This Row],[Waste 1]],WasteScenario[#All],5,FALSE)*'Stage assumptions'!$C$226*WasteTransportMethod[Emissions Factor
kgCO2e/kg.km]*Calculations[[#This Row],[Total Kg]],0)</f>
        <v>0</v>
      </c>
      <c r="X1420" s="322">
        <f>SUM(Calculations[[#This Row],[C2 Recycle]:[C2 Reuse]])</f>
        <v>0</v>
      </c>
      <c r="Y1420" t="str">
        <f>IFERROR(VLOOKUP(Calculations[[#This Row],[Material (choose from dropdown]],MaterialData[#All],5,FALSE),"")</f>
        <v/>
      </c>
      <c r="Z1420" s="322">
        <f>IFERROR(((VLOOKUP(Calculations[[#This Row],[Waste type 2]],WasteDisposalEmissions[#All],2,FALSE))*Calculations[[#This Row],[Total Kg]])*VLOOKUP(Calculations[[#This Row],[Waste 1]],WasteScenario[#All],2,FALSE),0)</f>
        <v>0</v>
      </c>
      <c r="AA1420" s="322">
        <f>IFERROR((VLOOKUP(Calculations[[#This Row],[Waste type 2]],WasteDisposalEmissions[#All],3,FALSE))*Calculations[[#This Row],[Total Kg]]*VLOOKUP(Calculations[[#This Row],[Waste 1]],WasteScenario[#All],3,FALSE),0)</f>
        <v>0</v>
      </c>
      <c r="AB1420" s="322">
        <f>SUM(Calculations[[#This Row],[C3 recyc]:[C3 incin]])</f>
        <v>0</v>
      </c>
      <c r="AC1420" s="334">
        <f>IFERROR((VLOOKUP(Calculations[[#This Row],[Waste type 2]],WasteLandfillEmissions[#All],2,FALSE))*Calculations[[#This Row],[Total Kg]]*VLOOKUP(Calculations[[#This Row],[Waste 1]],WasteScenario[#All],4,FALSE),0)</f>
        <v>0</v>
      </c>
      <c r="AD1420" s="322">
        <f>IFERROR((VLOOKUP(Calculations[[#This Row],[Waste type 2]],WasteLandfillEmissions[#All],3,FALSE))*Calculations[[#This Row],[Total Kg]]*VLOOKUP(Calculations[[#This Row],[Waste 1]],WasteScenario[#All],4,FALSE),0)</f>
        <v>0</v>
      </c>
      <c r="AE1420" s="322">
        <f>SUM(Calculations[[#This Row],[C4 landfill]:[C4 re-use]])</f>
        <v>0</v>
      </c>
      <c r="AF1420" s="322">
        <f>IFERROR(VLOOKUP(Calculations[[#This Row],[Material (choose from dropdown]],MaterialData[#All],8,FALSE),0)</f>
        <v>0</v>
      </c>
      <c r="AG1420" s="322">
        <f>IFERROR(Calculations[[#This Row],[Total Kg]]*Calculations[[#This Row],[Seq factor]],0)</f>
        <v>0</v>
      </c>
      <c r="AI1420" s="322">
        <f>Calculations[[#This Row],[A1-3]]+Calculations[[#This Row],[A4]]+Calculations[[#This Row],[A5]]+Calculations[[#This Row],[B4]]+Calculations[[#This Row],[C2 total]]+Calculations[[#This Row],[C3 total]]+Calculations[[#This Row],[C4 total]]</f>
        <v>0</v>
      </c>
      <c r="AJ1420" s="2">
        <f>IFERROR(VLOOKUP(Calculations[[#This Row],[Material (choose from dropdown]],MaterialData[[#Headers],[#Data]],9,FALSE),0)</f>
        <v>0</v>
      </c>
      <c r="AK1420" s="4">
        <f>IFERROR(VLOOKUP(Calculations[[#This Row],[Material (choose from dropdown]],MaterialData[[#Headers],[#Data]],10,FALSE),0)</f>
        <v>0</v>
      </c>
      <c r="AL1420" s="322">
        <f>IFERROR(Calculations[[#This Row],[Data Quality Score]]*Calculations[[#This Row],[Total Kg]],0)</f>
        <v>0</v>
      </c>
    </row>
    <row r="1421" spans="1:38" x14ac:dyDescent="0.3">
      <c r="A1421" s="6">
        <f>IFERROR(MaterialsBoQ[[#This Row],[Scope Element]],0)</f>
        <v>0</v>
      </c>
      <c r="B1421" t="str">
        <f>IFERROR(MaterialsBoQ[[#This Row],[Material ]],"")</f>
        <v/>
      </c>
      <c r="C1421" t="str">
        <f>IFERROR(MaterialsBoQ[[#This Row],[Unit]],"")</f>
        <v/>
      </c>
      <c r="D1421" s="322">
        <f>IFERROR(MaterialsBoQ[[#This Row],[Number]],0)</f>
        <v>0</v>
      </c>
      <c r="E1421" s="322">
        <f>IFERROR(MaterialsBoQ[[#This Row],[Kg per unit]],0)</f>
        <v>0</v>
      </c>
      <c r="F1421" s="322">
        <f>IFERROR(Calculations[[#This Row],[Number]]*Calculations[[#This Row],[Conversion factor]],0)</f>
        <v>0</v>
      </c>
      <c r="G1421" s="322">
        <f>IFERROR(VLOOKUP(Calculations[[#This Row],[Material (choose from dropdown]],MaterialData[#All],7,FALSE),0)</f>
        <v>0</v>
      </c>
      <c r="H1421" s="322">
        <f>Calculations[[#This Row],[Total Kg]]*Calculations[[#This Row],[Carbon Factor]]</f>
        <v>0</v>
      </c>
      <c r="I1421" t="str">
        <f>IFERROR(VLOOKUP(Calculations[[#This Row],[Material (choose from dropdown]],MaterialData[#All],2,FALSE),"")</f>
        <v/>
      </c>
      <c r="J1421" s="322">
        <f>IFERROR(((VLOOKUP(Calculations[[#This Row],[TransportSource]],TransportDistance[],2,FALSE)*'Stage assumptions'!$C$11)+VLOOKUP(Calculations[[#This Row],[TransportSource]],TransportDistance[],3,FALSE)*'Stage assumptions'!$C$12)*Calculations[[#This Row],[Total Kg]],0)</f>
        <v>0</v>
      </c>
      <c r="K1421">
        <f>IFERROR(VLOOKUP(Calculations[[#This Row],[Material (choose from dropdown]], MaterialData[#All],3, FALSE),0)</f>
        <v>0</v>
      </c>
      <c r="L1421" s="322">
        <f>IFERROR(VLOOKUP(Calculations[[#This Row],[A5type]],A5WastageRate[#All],2,FALSE)*Calculations[[#This Row],[A1-3]],0)</f>
        <v>0</v>
      </c>
      <c r="N1421">
        <f>IFERROR(ROUNDUP(50/VLOOKUP(Calculations[[#This Row],[Scope Element]],B4referenceServiceLife[[Tier 2 element]:[Default Service Life]],2, FALSE)-1,0),0)</f>
        <v>0</v>
      </c>
      <c r="O1421" s="322">
        <f>IFERROR((Calculations[[#This Row],[A1-3]]+Calculations[[#This Row],[A4]]+Calculations[[#This Row],[A5]]+Calculations[[#This Row],[C2 total]]+Calculations[[#This Row],[C3 total]]+Calculations[[#This Row],[C4 total]])*Calculations[[#This Row],[Replacements]],0)</f>
        <v>0</v>
      </c>
      <c r="S1421" t="str">
        <f>IFERROR(VLOOKUP(Calculations[[#This Row],[Material (choose from dropdown]],MaterialData[#All],4,FALSE),"")</f>
        <v/>
      </c>
      <c r="T1421" s="322" cm="1">
        <f t="array" ref="T1421">IFERROR(VLOOKUP(Calculations[[#This Row],[Waste 1]],WasteScenario[#All],2,FALSE)*'Stage assumptions'!$C$225*WasteTransportMethod[Emissions Factor
kgCO2e/kg.km]*Calculations[[#This Row],[Total Kg]],0)</f>
        <v>0</v>
      </c>
      <c r="U1421" s="322" cm="1">
        <f t="array" ref="U1421">IFERROR(VLOOKUP(Calculations[[#This Row],[Waste 1]],WasteScenario[#All],3,FALSE)*'Stage assumptions'!$C$224*WasteTransportMethod[Emissions Factor
kgCO2e/kg.km]*Calculations[[#This Row],[Total Kg]],0)</f>
        <v>0</v>
      </c>
      <c r="V1421" s="322" cm="1">
        <f t="array" ref="V1421">IFERROR(VLOOKUP(Calculations[[#This Row],[Waste 1]],WasteScenario[#All],4,FALSE)*'Stage assumptions'!$C$223*WasteTransportMethod[Emissions Factor
kgCO2e/kg.km]*Calculations[[#This Row],[Total Kg]],0)</f>
        <v>0</v>
      </c>
      <c r="W1421" s="322" cm="1">
        <f t="array" ref="W1421">IFERROR(VLOOKUP(Calculations[[#This Row],[Waste 1]],WasteScenario[#All],5,FALSE)*'Stage assumptions'!$C$226*WasteTransportMethod[Emissions Factor
kgCO2e/kg.km]*Calculations[[#This Row],[Total Kg]],0)</f>
        <v>0</v>
      </c>
      <c r="X1421" s="322">
        <f>SUM(Calculations[[#This Row],[C2 Recycle]:[C2 Reuse]])</f>
        <v>0</v>
      </c>
      <c r="Y1421" t="str">
        <f>IFERROR(VLOOKUP(Calculations[[#This Row],[Material (choose from dropdown]],MaterialData[#All],5,FALSE),"")</f>
        <v/>
      </c>
      <c r="Z1421" s="322">
        <f>IFERROR(((VLOOKUP(Calculations[[#This Row],[Waste type 2]],WasteDisposalEmissions[#All],2,FALSE))*Calculations[[#This Row],[Total Kg]])*VLOOKUP(Calculations[[#This Row],[Waste 1]],WasteScenario[#All],2,FALSE),0)</f>
        <v>0</v>
      </c>
      <c r="AA1421" s="322">
        <f>IFERROR((VLOOKUP(Calculations[[#This Row],[Waste type 2]],WasteDisposalEmissions[#All],3,FALSE))*Calculations[[#This Row],[Total Kg]]*VLOOKUP(Calculations[[#This Row],[Waste 1]],WasteScenario[#All],3,FALSE),0)</f>
        <v>0</v>
      </c>
      <c r="AB1421" s="322">
        <f>SUM(Calculations[[#This Row],[C3 recyc]:[C3 incin]])</f>
        <v>0</v>
      </c>
      <c r="AC1421" s="334">
        <f>IFERROR((VLOOKUP(Calculations[[#This Row],[Waste type 2]],WasteLandfillEmissions[#All],2,FALSE))*Calculations[[#This Row],[Total Kg]]*VLOOKUP(Calculations[[#This Row],[Waste 1]],WasteScenario[#All],4,FALSE),0)</f>
        <v>0</v>
      </c>
      <c r="AD1421" s="322">
        <f>IFERROR((VLOOKUP(Calculations[[#This Row],[Waste type 2]],WasteLandfillEmissions[#All],3,FALSE))*Calculations[[#This Row],[Total Kg]]*VLOOKUP(Calculations[[#This Row],[Waste 1]],WasteScenario[#All],4,FALSE),0)</f>
        <v>0</v>
      </c>
      <c r="AE1421" s="322">
        <f>SUM(Calculations[[#This Row],[C4 landfill]:[C4 re-use]])</f>
        <v>0</v>
      </c>
      <c r="AF1421" s="322">
        <f>IFERROR(VLOOKUP(Calculations[[#This Row],[Material (choose from dropdown]],MaterialData[#All],8,FALSE),0)</f>
        <v>0</v>
      </c>
      <c r="AG1421" s="322">
        <f>IFERROR(Calculations[[#This Row],[Total Kg]]*Calculations[[#This Row],[Seq factor]],0)</f>
        <v>0</v>
      </c>
      <c r="AI1421" s="322">
        <f>Calculations[[#This Row],[A1-3]]+Calculations[[#This Row],[A4]]+Calculations[[#This Row],[A5]]+Calculations[[#This Row],[B4]]+Calculations[[#This Row],[C2 total]]+Calculations[[#This Row],[C3 total]]+Calculations[[#This Row],[C4 total]]</f>
        <v>0</v>
      </c>
      <c r="AJ1421" s="2">
        <f>IFERROR(VLOOKUP(Calculations[[#This Row],[Material (choose from dropdown]],MaterialData[[#Headers],[#Data]],9,FALSE),0)</f>
        <v>0</v>
      </c>
      <c r="AK1421" s="4">
        <f>IFERROR(VLOOKUP(Calculations[[#This Row],[Material (choose from dropdown]],MaterialData[[#Headers],[#Data]],10,FALSE),0)</f>
        <v>0</v>
      </c>
      <c r="AL1421" s="322">
        <f>IFERROR(Calculations[[#This Row],[Data Quality Score]]*Calculations[[#This Row],[Total Kg]],0)</f>
        <v>0</v>
      </c>
    </row>
    <row r="1422" spans="1:38" x14ac:dyDescent="0.3">
      <c r="A1422" s="6">
        <f>IFERROR(MaterialsBoQ[[#This Row],[Scope Element]],0)</f>
        <v>0</v>
      </c>
      <c r="B1422" t="str">
        <f>IFERROR(MaterialsBoQ[[#This Row],[Material ]],"")</f>
        <v/>
      </c>
      <c r="C1422" t="str">
        <f>IFERROR(MaterialsBoQ[[#This Row],[Unit]],"")</f>
        <v/>
      </c>
      <c r="D1422" s="322">
        <f>IFERROR(MaterialsBoQ[[#This Row],[Number]],0)</f>
        <v>0</v>
      </c>
      <c r="E1422" s="322">
        <f>IFERROR(MaterialsBoQ[[#This Row],[Kg per unit]],0)</f>
        <v>0</v>
      </c>
      <c r="F1422" s="322">
        <f>IFERROR(Calculations[[#This Row],[Number]]*Calculations[[#This Row],[Conversion factor]],0)</f>
        <v>0</v>
      </c>
      <c r="G1422" s="322">
        <f>IFERROR(VLOOKUP(Calculations[[#This Row],[Material (choose from dropdown]],MaterialData[#All],7,FALSE),0)</f>
        <v>0</v>
      </c>
      <c r="H1422" s="322">
        <f>Calculations[[#This Row],[Total Kg]]*Calculations[[#This Row],[Carbon Factor]]</f>
        <v>0</v>
      </c>
      <c r="I1422" t="str">
        <f>IFERROR(VLOOKUP(Calculations[[#This Row],[Material (choose from dropdown]],MaterialData[#All],2,FALSE),"")</f>
        <v/>
      </c>
      <c r="J1422" s="322">
        <f>IFERROR(((VLOOKUP(Calculations[[#This Row],[TransportSource]],TransportDistance[],2,FALSE)*'Stage assumptions'!$C$11)+VLOOKUP(Calculations[[#This Row],[TransportSource]],TransportDistance[],3,FALSE)*'Stage assumptions'!$C$12)*Calculations[[#This Row],[Total Kg]],0)</f>
        <v>0</v>
      </c>
      <c r="K1422">
        <f>IFERROR(VLOOKUP(Calculations[[#This Row],[Material (choose from dropdown]], MaterialData[#All],3, FALSE),0)</f>
        <v>0</v>
      </c>
      <c r="L1422" s="322">
        <f>IFERROR(VLOOKUP(Calculations[[#This Row],[A5type]],A5WastageRate[#All],2,FALSE)*Calculations[[#This Row],[A1-3]],0)</f>
        <v>0</v>
      </c>
      <c r="N1422">
        <f>IFERROR(ROUNDUP(50/VLOOKUP(Calculations[[#This Row],[Scope Element]],B4referenceServiceLife[[Tier 2 element]:[Default Service Life]],2, FALSE)-1,0),0)</f>
        <v>0</v>
      </c>
      <c r="O1422" s="322">
        <f>IFERROR((Calculations[[#This Row],[A1-3]]+Calculations[[#This Row],[A4]]+Calculations[[#This Row],[A5]]+Calculations[[#This Row],[C2 total]]+Calculations[[#This Row],[C3 total]]+Calculations[[#This Row],[C4 total]])*Calculations[[#This Row],[Replacements]],0)</f>
        <v>0</v>
      </c>
      <c r="S1422" t="str">
        <f>IFERROR(VLOOKUP(Calculations[[#This Row],[Material (choose from dropdown]],MaterialData[#All],4,FALSE),"")</f>
        <v/>
      </c>
      <c r="T1422" s="322" cm="1">
        <f t="array" ref="T1422">IFERROR(VLOOKUP(Calculations[[#This Row],[Waste 1]],WasteScenario[#All],2,FALSE)*'Stage assumptions'!$C$225*WasteTransportMethod[Emissions Factor
kgCO2e/kg.km]*Calculations[[#This Row],[Total Kg]],0)</f>
        <v>0</v>
      </c>
      <c r="U1422" s="322" cm="1">
        <f t="array" ref="U1422">IFERROR(VLOOKUP(Calculations[[#This Row],[Waste 1]],WasteScenario[#All],3,FALSE)*'Stage assumptions'!$C$224*WasteTransportMethod[Emissions Factor
kgCO2e/kg.km]*Calculations[[#This Row],[Total Kg]],0)</f>
        <v>0</v>
      </c>
      <c r="V1422" s="322" cm="1">
        <f t="array" ref="V1422">IFERROR(VLOOKUP(Calculations[[#This Row],[Waste 1]],WasteScenario[#All],4,FALSE)*'Stage assumptions'!$C$223*WasteTransportMethod[Emissions Factor
kgCO2e/kg.km]*Calculations[[#This Row],[Total Kg]],0)</f>
        <v>0</v>
      </c>
      <c r="W1422" s="322" cm="1">
        <f t="array" ref="W1422">IFERROR(VLOOKUP(Calculations[[#This Row],[Waste 1]],WasteScenario[#All],5,FALSE)*'Stage assumptions'!$C$226*WasteTransportMethod[Emissions Factor
kgCO2e/kg.km]*Calculations[[#This Row],[Total Kg]],0)</f>
        <v>0</v>
      </c>
      <c r="X1422" s="322">
        <f>SUM(Calculations[[#This Row],[C2 Recycle]:[C2 Reuse]])</f>
        <v>0</v>
      </c>
      <c r="Y1422" t="str">
        <f>IFERROR(VLOOKUP(Calculations[[#This Row],[Material (choose from dropdown]],MaterialData[#All],5,FALSE),"")</f>
        <v/>
      </c>
      <c r="Z1422" s="322">
        <f>IFERROR(((VLOOKUP(Calculations[[#This Row],[Waste type 2]],WasteDisposalEmissions[#All],2,FALSE))*Calculations[[#This Row],[Total Kg]])*VLOOKUP(Calculations[[#This Row],[Waste 1]],WasteScenario[#All],2,FALSE),0)</f>
        <v>0</v>
      </c>
      <c r="AA1422" s="322">
        <f>IFERROR((VLOOKUP(Calculations[[#This Row],[Waste type 2]],WasteDisposalEmissions[#All],3,FALSE))*Calculations[[#This Row],[Total Kg]]*VLOOKUP(Calculations[[#This Row],[Waste 1]],WasteScenario[#All],3,FALSE),0)</f>
        <v>0</v>
      </c>
      <c r="AB1422" s="322">
        <f>SUM(Calculations[[#This Row],[C3 recyc]:[C3 incin]])</f>
        <v>0</v>
      </c>
      <c r="AC1422" s="334">
        <f>IFERROR((VLOOKUP(Calculations[[#This Row],[Waste type 2]],WasteLandfillEmissions[#All],2,FALSE))*Calculations[[#This Row],[Total Kg]]*VLOOKUP(Calculations[[#This Row],[Waste 1]],WasteScenario[#All],4,FALSE),0)</f>
        <v>0</v>
      </c>
      <c r="AD1422" s="322">
        <f>IFERROR((VLOOKUP(Calculations[[#This Row],[Waste type 2]],WasteLandfillEmissions[#All],3,FALSE))*Calculations[[#This Row],[Total Kg]]*VLOOKUP(Calculations[[#This Row],[Waste 1]],WasteScenario[#All],4,FALSE),0)</f>
        <v>0</v>
      </c>
      <c r="AE1422" s="322">
        <f>SUM(Calculations[[#This Row],[C4 landfill]:[C4 re-use]])</f>
        <v>0</v>
      </c>
      <c r="AF1422" s="322">
        <f>IFERROR(VLOOKUP(Calculations[[#This Row],[Material (choose from dropdown]],MaterialData[#All],8,FALSE),0)</f>
        <v>0</v>
      </c>
      <c r="AG1422" s="322">
        <f>IFERROR(Calculations[[#This Row],[Total Kg]]*Calculations[[#This Row],[Seq factor]],0)</f>
        <v>0</v>
      </c>
      <c r="AI1422" s="322">
        <f>Calculations[[#This Row],[A1-3]]+Calculations[[#This Row],[A4]]+Calculations[[#This Row],[A5]]+Calculations[[#This Row],[B4]]+Calculations[[#This Row],[C2 total]]+Calculations[[#This Row],[C3 total]]+Calculations[[#This Row],[C4 total]]</f>
        <v>0</v>
      </c>
      <c r="AJ1422" s="2">
        <f>IFERROR(VLOOKUP(Calculations[[#This Row],[Material (choose from dropdown]],MaterialData[[#Headers],[#Data]],9,FALSE),0)</f>
        <v>0</v>
      </c>
      <c r="AK1422" s="4">
        <f>IFERROR(VLOOKUP(Calculations[[#This Row],[Material (choose from dropdown]],MaterialData[[#Headers],[#Data]],10,FALSE),0)</f>
        <v>0</v>
      </c>
      <c r="AL1422" s="322">
        <f>IFERROR(Calculations[[#This Row],[Data Quality Score]]*Calculations[[#This Row],[Total Kg]],0)</f>
        <v>0</v>
      </c>
    </row>
    <row r="1423" spans="1:38" x14ac:dyDescent="0.3">
      <c r="A1423" s="6">
        <f>IFERROR(MaterialsBoQ[[#This Row],[Scope Element]],0)</f>
        <v>0</v>
      </c>
      <c r="B1423" t="str">
        <f>IFERROR(MaterialsBoQ[[#This Row],[Material ]],"")</f>
        <v/>
      </c>
      <c r="C1423" t="str">
        <f>IFERROR(MaterialsBoQ[[#This Row],[Unit]],"")</f>
        <v/>
      </c>
      <c r="D1423" s="322">
        <f>IFERROR(MaterialsBoQ[[#This Row],[Number]],0)</f>
        <v>0</v>
      </c>
      <c r="E1423" s="322">
        <f>IFERROR(MaterialsBoQ[[#This Row],[Kg per unit]],0)</f>
        <v>0</v>
      </c>
      <c r="F1423" s="322">
        <f>IFERROR(Calculations[[#This Row],[Number]]*Calculations[[#This Row],[Conversion factor]],0)</f>
        <v>0</v>
      </c>
      <c r="G1423" s="322">
        <f>IFERROR(VLOOKUP(Calculations[[#This Row],[Material (choose from dropdown]],MaterialData[#All],7,FALSE),0)</f>
        <v>0</v>
      </c>
      <c r="H1423" s="322">
        <f>Calculations[[#This Row],[Total Kg]]*Calculations[[#This Row],[Carbon Factor]]</f>
        <v>0</v>
      </c>
      <c r="I1423" t="str">
        <f>IFERROR(VLOOKUP(Calculations[[#This Row],[Material (choose from dropdown]],MaterialData[#All],2,FALSE),"")</f>
        <v/>
      </c>
      <c r="J1423" s="322">
        <f>IFERROR(((VLOOKUP(Calculations[[#This Row],[TransportSource]],TransportDistance[],2,FALSE)*'Stage assumptions'!$C$11)+VLOOKUP(Calculations[[#This Row],[TransportSource]],TransportDistance[],3,FALSE)*'Stage assumptions'!$C$12)*Calculations[[#This Row],[Total Kg]],0)</f>
        <v>0</v>
      </c>
      <c r="K1423">
        <f>IFERROR(VLOOKUP(Calculations[[#This Row],[Material (choose from dropdown]], MaterialData[#All],3, FALSE),0)</f>
        <v>0</v>
      </c>
      <c r="L1423" s="322">
        <f>IFERROR(VLOOKUP(Calculations[[#This Row],[A5type]],A5WastageRate[#All],2,FALSE)*Calculations[[#This Row],[A1-3]],0)</f>
        <v>0</v>
      </c>
      <c r="N1423">
        <f>IFERROR(ROUNDUP(50/VLOOKUP(Calculations[[#This Row],[Scope Element]],B4referenceServiceLife[[Tier 2 element]:[Default Service Life]],2, FALSE)-1,0),0)</f>
        <v>0</v>
      </c>
      <c r="O1423" s="322">
        <f>IFERROR((Calculations[[#This Row],[A1-3]]+Calculations[[#This Row],[A4]]+Calculations[[#This Row],[A5]]+Calculations[[#This Row],[C2 total]]+Calculations[[#This Row],[C3 total]]+Calculations[[#This Row],[C4 total]])*Calculations[[#This Row],[Replacements]],0)</f>
        <v>0</v>
      </c>
      <c r="S1423" t="str">
        <f>IFERROR(VLOOKUP(Calculations[[#This Row],[Material (choose from dropdown]],MaterialData[#All],4,FALSE),"")</f>
        <v/>
      </c>
      <c r="T1423" s="322" cm="1">
        <f t="array" ref="T1423">IFERROR(VLOOKUP(Calculations[[#This Row],[Waste 1]],WasteScenario[#All],2,FALSE)*'Stage assumptions'!$C$225*WasteTransportMethod[Emissions Factor
kgCO2e/kg.km]*Calculations[[#This Row],[Total Kg]],0)</f>
        <v>0</v>
      </c>
      <c r="U1423" s="322" cm="1">
        <f t="array" ref="U1423">IFERROR(VLOOKUP(Calculations[[#This Row],[Waste 1]],WasteScenario[#All],3,FALSE)*'Stage assumptions'!$C$224*WasteTransportMethod[Emissions Factor
kgCO2e/kg.km]*Calculations[[#This Row],[Total Kg]],0)</f>
        <v>0</v>
      </c>
      <c r="V1423" s="322" cm="1">
        <f t="array" ref="V1423">IFERROR(VLOOKUP(Calculations[[#This Row],[Waste 1]],WasteScenario[#All],4,FALSE)*'Stage assumptions'!$C$223*WasteTransportMethod[Emissions Factor
kgCO2e/kg.km]*Calculations[[#This Row],[Total Kg]],0)</f>
        <v>0</v>
      </c>
      <c r="W1423" s="322" cm="1">
        <f t="array" ref="W1423">IFERROR(VLOOKUP(Calculations[[#This Row],[Waste 1]],WasteScenario[#All],5,FALSE)*'Stage assumptions'!$C$226*WasteTransportMethod[Emissions Factor
kgCO2e/kg.km]*Calculations[[#This Row],[Total Kg]],0)</f>
        <v>0</v>
      </c>
      <c r="X1423" s="322">
        <f>SUM(Calculations[[#This Row],[C2 Recycle]:[C2 Reuse]])</f>
        <v>0</v>
      </c>
      <c r="Y1423" t="str">
        <f>IFERROR(VLOOKUP(Calculations[[#This Row],[Material (choose from dropdown]],MaterialData[#All],5,FALSE),"")</f>
        <v/>
      </c>
      <c r="Z1423" s="322">
        <f>IFERROR(((VLOOKUP(Calculations[[#This Row],[Waste type 2]],WasteDisposalEmissions[#All],2,FALSE))*Calculations[[#This Row],[Total Kg]])*VLOOKUP(Calculations[[#This Row],[Waste 1]],WasteScenario[#All],2,FALSE),0)</f>
        <v>0</v>
      </c>
      <c r="AA1423" s="322">
        <f>IFERROR((VLOOKUP(Calculations[[#This Row],[Waste type 2]],WasteDisposalEmissions[#All],3,FALSE))*Calculations[[#This Row],[Total Kg]]*VLOOKUP(Calculations[[#This Row],[Waste 1]],WasteScenario[#All],3,FALSE),0)</f>
        <v>0</v>
      </c>
      <c r="AB1423" s="322">
        <f>SUM(Calculations[[#This Row],[C3 recyc]:[C3 incin]])</f>
        <v>0</v>
      </c>
      <c r="AC1423" s="334">
        <f>IFERROR((VLOOKUP(Calculations[[#This Row],[Waste type 2]],WasteLandfillEmissions[#All],2,FALSE))*Calculations[[#This Row],[Total Kg]]*VLOOKUP(Calculations[[#This Row],[Waste 1]],WasteScenario[#All],4,FALSE),0)</f>
        <v>0</v>
      </c>
      <c r="AD1423" s="322">
        <f>IFERROR((VLOOKUP(Calculations[[#This Row],[Waste type 2]],WasteLandfillEmissions[#All],3,FALSE))*Calculations[[#This Row],[Total Kg]]*VLOOKUP(Calculations[[#This Row],[Waste 1]],WasteScenario[#All],4,FALSE),0)</f>
        <v>0</v>
      </c>
      <c r="AE1423" s="322">
        <f>SUM(Calculations[[#This Row],[C4 landfill]:[C4 re-use]])</f>
        <v>0</v>
      </c>
      <c r="AF1423" s="322">
        <f>IFERROR(VLOOKUP(Calculations[[#This Row],[Material (choose from dropdown]],MaterialData[#All],8,FALSE),0)</f>
        <v>0</v>
      </c>
      <c r="AG1423" s="322">
        <f>IFERROR(Calculations[[#This Row],[Total Kg]]*Calculations[[#This Row],[Seq factor]],0)</f>
        <v>0</v>
      </c>
      <c r="AI1423" s="322">
        <f>Calculations[[#This Row],[A1-3]]+Calculations[[#This Row],[A4]]+Calculations[[#This Row],[A5]]+Calculations[[#This Row],[B4]]+Calculations[[#This Row],[C2 total]]+Calculations[[#This Row],[C3 total]]+Calculations[[#This Row],[C4 total]]</f>
        <v>0</v>
      </c>
      <c r="AJ1423" s="2">
        <f>IFERROR(VLOOKUP(Calculations[[#This Row],[Material (choose from dropdown]],MaterialData[[#Headers],[#Data]],9,FALSE),0)</f>
        <v>0</v>
      </c>
      <c r="AK1423" s="4">
        <f>IFERROR(VLOOKUP(Calculations[[#This Row],[Material (choose from dropdown]],MaterialData[[#Headers],[#Data]],10,FALSE),0)</f>
        <v>0</v>
      </c>
      <c r="AL1423" s="322">
        <f>IFERROR(Calculations[[#This Row],[Data Quality Score]]*Calculations[[#This Row],[Total Kg]],0)</f>
        <v>0</v>
      </c>
    </row>
    <row r="1424" spans="1:38" x14ac:dyDescent="0.3">
      <c r="A1424" s="6">
        <f>IFERROR(MaterialsBoQ[[#This Row],[Scope Element]],0)</f>
        <v>0</v>
      </c>
      <c r="B1424" t="str">
        <f>IFERROR(MaterialsBoQ[[#This Row],[Material ]],"")</f>
        <v/>
      </c>
      <c r="C1424" t="str">
        <f>IFERROR(MaterialsBoQ[[#This Row],[Unit]],"")</f>
        <v/>
      </c>
      <c r="D1424" s="322">
        <f>IFERROR(MaterialsBoQ[[#This Row],[Number]],0)</f>
        <v>0</v>
      </c>
      <c r="E1424" s="322">
        <f>IFERROR(MaterialsBoQ[[#This Row],[Kg per unit]],0)</f>
        <v>0</v>
      </c>
      <c r="F1424" s="322">
        <f>IFERROR(Calculations[[#This Row],[Number]]*Calculations[[#This Row],[Conversion factor]],0)</f>
        <v>0</v>
      </c>
      <c r="G1424" s="322">
        <f>IFERROR(VLOOKUP(Calculations[[#This Row],[Material (choose from dropdown]],MaterialData[#All],7,FALSE),0)</f>
        <v>0</v>
      </c>
      <c r="H1424" s="322">
        <f>Calculations[[#This Row],[Total Kg]]*Calculations[[#This Row],[Carbon Factor]]</f>
        <v>0</v>
      </c>
      <c r="I1424" t="str">
        <f>IFERROR(VLOOKUP(Calculations[[#This Row],[Material (choose from dropdown]],MaterialData[#All],2,FALSE),"")</f>
        <v/>
      </c>
      <c r="J1424" s="322">
        <f>IFERROR(((VLOOKUP(Calculations[[#This Row],[TransportSource]],TransportDistance[],2,FALSE)*'Stage assumptions'!$C$11)+VLOOKUP(Calculations[[#This Row],[TransportSource]],TransportDistance[],3,FALSE)*'Stage assumptions'!$C$12)*Calculations[[#This Row],[Total Kg]],0)</f>
        <v>0</v>
      </c>
      <c r="K1424">
        <f>IFERROR(VLOOKUP(Calculations[[#This Row],[Material (choose from dropdown]], MaterialData[#All],3, FALSE),0)</f>
        <v>0</v>
      </c>
      <c r="L1424" s="322">
        <f>IFERROR(VLOOKUP(Calculations[[#This Row],[A5type]],A5WastageRate[#All],2,FALSE)*Calculations[[#This Row],[A1-3]],0)</f>
        <v>0</v>
      </c>
      <c r="N1424">
        <f>IFERROR(ROUNDUP(50/VLOOKUP(Calculations[[#This Row],[Scope Element]],B4referenceServiceLife[[Tier 2 element]:[Default Service Life]],2, FALSE)-1,0),0)</f>
        <v>0</v>
      </c>
      <c r="O1424" s="322">
        <f>IFERROR((Calculations[[#This Row],[A1-3]]+Calculations[[#This Row],[A4]]+Calculations[[#This Row],[A5]]+Calculations[[#This Row],[C2 total]]+Calculations[[#This Row],[C3 total]]+Calculations[[#This Row],[C4 total]])*Calculations[[#This Row],[Replacements]],0)</f>
        <v>0</v>
      </c>
      <c r="S1424" t="str">
        <f>IFERROR(VLOOKUP(Calculations[[#This Row],[Material (choose from dropdown]],MaterialData[#All],4,FALSE),"")</f>
        <v/>
      </c>
      <c r="T1424" s="322" cm="1">
        <f t="array" ref="T1424">IFERROR(VLOOKUP(Calculations[[#This Row],[Waste 1]],WasteScenario[#All],2,FALSE)*'Stage assumptions'!$C$225*WasteTransportMethod[Emissions Factor
kgCO2e/kg.km]*Calculations[[#This Row],[Total Kg]],0)</f>
        <v>0</v>
      </c>
      <c r="U1424" s="322" cm="1">
        <f t="array" ref="U1424">IFERROR(VLOOKUP(Calculations[[#This Row],[Waste 1]],WasteScenario[#All],3,FALSE)*'Stage assumptions'!$C$224*WasteTransportMethod[Emissions Factor
kgCO2e/kg.km]*Calculations[[#This Row],[Total Kg]],0)</f>
        <v>0</v>
      </c>
      <c r="V1424" s="322" cm="1">
        <f t="array" ref="V1424">IFERROR(VLOOKUP(Calculations[[#This Row],[Waste 1]],WasteScenario[#All],4,FALSE)*'Stage assumptions'!$C$223*WasteTransportMethod[Emissions Factor
kgCO2e/kg.km]*Calculations[[#This Row],[Total Kg]],0)</f>
        <v>0</v>
      </c>
      <c r="W1424" s="322" cm="1">
        <f t="array" ref="W1424">IFERROR(VLOOKUP(Calculations[[#This Row],[Waste 1]],WasteScenario[#All],5,FALSE)*'Stage assumptions'!$C$226*WasteTransportMethod[Emissions Factor
kgCO2e/kg.km]*Calculations[[#This Row],[Total Kg]],0)</f>
        <v>0</v>
      </c>
      <c r="X1424" s="322">
        <f>SUM(Calculations[[#This Row],[C2 Recycle]:[C2 Reuse]])</f>
        <v>0</v>
      </c>
      <c r="Y1424" t="str">
        <f>IFERROR(VLOOKUP(Calculations[[#This Row],[Material (choose from dropdown]],MaterialData[#All],5,FALSE),"")</f>
        <v/>
      </c>
      <c r="Z1424" s="322">
        <f>IFERROR(((VLOOKUP(Calculations[[#This Row],[Waste type 2]],WasteDisposalEmissions[#All],2,FALSE))*Calculations[[#This Row],[Total Kg]])*VLOOKUP(Calculations[[#This Row],[Waste 1]],WasteScenario[#All],2,FALSE),0)</f>
        <v>0</v>
      </c>
      <c r="AA1424" s="322">
        <f>IFERROR((VLOOKUP(Calculations[[#This Row],[Waste type 2]],WasteDisposalEmissions[#All],3,FALSE))*Calculations[[#This Row],[Total Kg]]*VLOOKUP(Calculations[[#This Row],[Waste 1]],WasteScenario[#All],3,FALSE),0)</f>
        <v>0</v>
      </c>
      <c r="AB1424" s="322">
        <f>SUM(Calculations[[#This Row],[C3 recyc]:[C3 incin]])</f>
        <v>0</v>
      </c>
      <c r="AC1424" s="334">
        <f>IFERROR((VLOOKUP(Calculations[[#This Row],[Waste type 2]],WasteLandfillEmissions[#All],2,FALSE))*Calculations[[#This Row],[Total Kg]]*VLOOKUP(Calculations[[#This Row],[Waste 1]],WasteScenario[#All],4,FALSE),0)</f>
        <v>0</v>
      </c>
      <c r="AD1424" s="322">
        <f>IFERROR((VLOOKUP(Calculations[[#This Row],[Waste type 2]],WasteLandfillEmissions[#All],3,FALSE))*Calculations[[#This Row],[Total Kg]]*VLOOKUP(Calculations[[#This Row],[Waste 1]],WasteScenario[#All],4,FALSE),0)</f>
        <v>0</v>
      </c>
      <c r="AE1424" s="322">
        <f>SUM(Calculations[[#This Row],[C4 landfill]:[C4 re-use]])</f>
        <v>0</v>
      </c>
      <c r="AF1424" s="322">
        <f>IFERROR(VLOOKUP(Calculations[[#This Row],[Material (choose from dropdown]],MaterialData[#All],8,FALSE),0)</f>
        <v>0</v>
      </c>
      <c r="AG1424" s="322">
        <f>IFERROR(Calculations[[#This Row],[Total Kg]]*Calculations[[#This Row],[Seq factor]],0)</f>
        <v>0</v>
      </c>
      <c r="AI1424" s="322">
        <f>Calculations[[#This Row],[A1-3]]+Calculations[[#This Row],[A4]]+Calculations[[#This Row],[A5]]+Calculations[[#This Row],[B4]]+Calculations[[#This Row],[C2 total]]+Calculations[[#This Row],[C3 total]]+Calculations[[#This Row],[C4 total]]</f>
        <v>0</v>
      </c>
      <c r="AJ1424" s="2">
        <f>IFERROR(VLOOKUP(Calculations[[#This Row],[Material (choose from dropdown]],MaterialData[[#Headers],[#Data]],9,FALSE),0)</f>
        <v>0</v>
      </c>
      <c r="AK1424" s="4">
        <f>IFERROR(VLOOKUP(Calculations[[#This Row],[Material (choose from dropdown]],MaterialData[[#Headers],[#Data]],10,FALSE),0)</f>
        <v>0</v>
      </c>
      <c r="AL1424" s="322">
        <f>IFERROR(Calculations[[#This Row],[Data Quality Score]]*Calculations[[#This Row],[Total Kg]],0)</f>
        <v>0</v>
      </c>
    </row>
    <row r="1425" spans="1:38" x14ac:dyDescent="0.3">
      <c r="A1425" s="6">
        <f>IFERROR(MaterialsBoQ[[#This Row],[Scope Element]],0)</f>
        <v>0</v>
      </c>
      <c r="B1425" t="str">
        <f>IFERROR(MaterialsBoQ[[#This Row],[Material ]],"")</f>
        <v/>
      </c>
      <c r="C1425" t="str">
        <f>IFERROR(MaterialsBoQ[[#This Row],[Unit]],"")</f>
        <v/>
      </c>
      <c r="D1425" s="322">
        <f>IFERROR(MaterialsBoQ[[#This Row],[Number]],0)</f>
        <v>0</v>
      </c>
      <c r="E1425" s="322">
        <f>IFERROR(MaterialsBoQ[[#This Row],[Kg per unit]],0)</f>
        <v>0</v>
      </c>
      <c r="F1425" s="322">
        <f>IFERROR(Calculations[[#This Row],[Number]]*Calculations[[#This Row],[Conversion factor]],0)</f>
        <v>0</v>
      </c>
      <c r="G1425" s="322">
        <f>IFERROR(VLOOKUP(Calculations[[#This Row],[Material (choose from dropdown]],MaterialData[#All],7,FALSE),0)</f>
        <v>0</v>
      </c>
      <c r="H1425" s="322">
        <f>Calculations[[#This Row],[Total Kg]]*Calculations[[#This Row],[Carbon Factor]]</f>
        <v>0</v>
      </c>
      <c r="I1425" t="str">
        <f>IFERROR(VLOOKUP(Calculations[[#This Row],[Material (choose from dropdown]],MaterialData[#All],2,FALSE),"")</f>
        <v/>
      </c>
      <c r="J1425" s="322">
        <f>IFERROR(((VLOOKUP(Calculations[[#This Row],[TransportSource]],TransportDistance[],2,FALSE)*'Stage assumptions'!$C$11)+VLOOKUP(Calculations[[#This Row],[TransportSource]],TransportDistance[],3,FALSE)*'Stage assumptions'!$C$12)*Calculations[[#This Row],[Total Kg]],0)</f>
        <v>0</v>
      </c>
      <c r="K1425">
        <f>IFERROR(VLOOKUP(Calculations[[#This Row],[Material (choose from dropdown]], MaterialData[#All],3, FALSE),0)</f>
        <v>0</v>
      </c>
      <c r="L1425" s="322">
        <f>IFERROR(VLOOKUP(Calculations[[#This Row],[A5type]],A5WastageRate[#All],2,FALSE)*Calculations[[#This Row],[A1-3]],0)</f>
        <v>0</v>
      </c>
      <c r="N1425">
        <f>IFERROR(ROUNDUP(50/VLOOKUP(Calculations[[#This Row],[Scope Element]],B4referenceServiceLife[[Tier 2 element]:[Default Service Life]],2, FALSE)-1,0),0)</f>
        <v>0</v>
      </c>
      <c r="O1425" s="322">
        <f>IFERROR((Calculations[[#This Row],[A1-3]]+Calculations[[#This Row],[A4]]+Calculations[[#This Row],[A5]]+Calculations[[#This Row],[C2 total]]+Calculations[[#This Row],[C3 total]]+Calculations[[#This Row],[C4 total]])*Calculations[[#This Row],[Replacements]],0)</f>
        <v>0</v>
      </c>
      <c r="S1425" t="str">
        <f>IFERROR(VLOOKUP(Calculations[[#This Row],[Material (choose from dropdown]],MaterialData[#All],4,FALSE),"")</f>
        <v/>
      </c>
      <c r="T1425" s="322" cm="1">
        <f t="array" ref="T1425">IFERROR(VLOOKUP(Calculations[[#This Row],[Waste 1]],WasteScenario[#All],2,FALSE)*'Stage assumptions'!$C$225*WasteTransportMethod[Emissions Factor
kgCO2e/kg.km]*Calculations[[#This Row],[Total Kg]],0)</f>
        <v>0</v>
      </c>
      <c r="U1425" s="322" cm="1">
        <f t="array" ref="U1425">IFERROR(VLOOKUP(Calculations[[#This Row],[Waste 1]],WasteScenario[#All],3,FALSE)*'Stage assumptions'!$C$224*WasteTransportMethod[Emissions Factor
kgCO2e/kg.km]*Calculations[[#This Row],[Total Kg]],0)</f>
        <v>0</v>
      </c>
      <c r="V1425" s="322" cm="1">
        <f t="array" ref="V1425">IFERROR(VLOOKUP(Calculations[[#This Row],[Waste 1]],WasteScenario[#All],4,FALSE)*'Stage assumptions'!$C$223*WasteTransportMethod[Emissions Factor
kgCO2e/kg.km]*Calculations[[#This Row],[Total Kg]],0)</f>
        <v>0</v>
      </c>
      <c r="W1425" s="322" cm="1">
        <f t="array" ref="W1425">IFERROR(VLOOKUP(Calculations[[#This Row],[Waste 1]],WasteScenario[#All],5,FALSE)*'Stage assumptions'!$C$226*WasteTransportMethod[Emissions Factor
kgCO2e/kg.km]*Calculations[[#This Row],[Total Kg]],0)</f>
        <v>0</v>
      </c>
      <c r="X1425" s="322">
        <f>SUM(Calculations[[#This Row],[C2 Recycle]:[C2 Reuse]])</f>
        <v>0</v>
      </c>
      <c r="Y1425" t="str">
        <f>IFERROR(VLOOKUP(Calculations[[#This Row],[Material (choose from dropdown]],MaterialData[#All],5,FALSE),"")</f>
        <v/>
      </c>
      <c r="Z1425" s="322">
        <f>IFERROR(((VLOOKUP(Calculations[[#This Row],[Waste type 2]],WasteDisposalEmissions[#All],2,FALSE))*Calculations[[#This Row],[Total Kg]])*VLOOKUP(Calculations[[#This Row],[Waste 1]],WasteScenario[#All],2,FALSE),0)</f>
        <v>0</v>
      </c>
      <c r="AA1425" s="322">
        <f>IFERROR((VLOOKUP(Calculations[[#This Row],[Waste type 2]],WasteDisposalEmissions[#All],3,FALSE))*Calculations[[#This Row],[Total Kg]]*VLOOKUP(Calculations[[#This Row],[Waste 1]],WasteScenario[#All],3,FALSE),0)</f>
        <v>0</v>
      </c>
      <c r="AB1425" s="322">
        <f>SUM(Calculations[[#This Row],[C3 recyc]:[C3 incin]])</f>
        <v>0</v>
      </c>
      <c r="AC1425" s="334">
        <f>IFERROR((VLOOKUP(Calculations[[#This Row],[Waste type 2]],WasteLandfillEmissions[#All],2,FALSE))*Calculations[[#This Row],[Total Kg]]*VLOOKUP(Calculations[[#This Row],[Waste 1]],WasteScenario[#All],4,FALSE),0)</f>
        <v>0</v>
      </c>
      <c r="AD1425" s="322">
        <f>IFERROR((VLOOKUP(Calculations[[#This Row],[Waste type 2]],WasteLandfillEmissions[#All],3,FALSE))*Calculations[[#This Row],[Total Kg]]*VLOOKUP(Calculations[[#This Row],[Waste 1]],WasteScenario[#All],4,FALSE),0)</f>
        <v>0</v>
      </c>
      <c r="AE1425" s="322">
        <f>SUM(Calculations[[#This Row],[C4 landfill]:[C4 re-use]])</f>
        <v>0</v>
      </c>
      <c r="AF1425" s="322">
        <f>IFERROR(VLOOKUP(Calculations[[#This Row],[Material (choose from dropdown]],MaterialData[#All],8,FALSE),0)</f>
        <v>0</v>
      </c>
      <c r="AG1425" s="322">
        <f>IFERROR(Calculations[[#This Row],[Total Kg]]*Calculations[[#This Row],[Seq factor]],0)</f>
        <v>0</v>
      </c>
      <c r="AI1425" s="322">
        <f>Calculations[[#This Row],[A1-3]]+Calculations[[#This Row],[A4]]+Calculations[[#This Row],[A5]]+Calculations[[#This Row],[B4]]+Calculations[[#This Row],[C2 total]]+Calculations[[#This Row],[C3 total]]+Calculations[[#This Row],[C4 total]]</f>
        <v>0</v>
      </c>
      <c r="AJ1425" s="2">
        <f>IFERROR(VLOOKUP(Calculations[[#This Row],[Material (choose from dropdown]],MaterialData[[#Headers],[#Data]],9,FALSE),0)</f>
        <v>0</v>
      </c>
      <c r="AK1425" s="4">
        <f>IFERROR(VLOOKUP(Calculations[[#This Row],[Material (choose from dropdown]],MaterialData[[#Headers],[#Data]],10,FALSE),0)</f>
        <v>0</v>
      </c>
      <c r="AL1425" s="322">
        <f>IFERROR(Calculations[[#This Row],[Data Quality Score]]*Calculations[[#This Row],[Total Kg]],0)</f>
        <v>0</v>
      </c>
    </row>
    <row r="1426" spans="1:38" x14ac:dyDescent="0.3">
      <c r="A1426" s="6">
        <f>IFERROR(MaterialsBoQ[[#This Row],[Scope Element]],0)</f>
        <v>0</v>
      </c>
      <c r="B1426" t="str">
        <f>IFERROR(MaterialsBoQ[[#This Row],[Material ]],"")</f>
        <v/>
      </c>
      <c r="C1426" t="str">
        <f>IFERROR(MaterialsBoQ[[#This Row],[Unit]],"")</f>
        <v/>
      </c>
      <c r="D1426" s="322">
        <f>IFERROR(MaterialsBoQ[[#This Row],[Number]],0)</f>
        <v>0</v>
      </c>
      <c r="E1426" s="322">
        <f>IFERROR(MaterialsBoQ[[#This Row],[Kg per unit]],0)</f>
        <v>0</v>
      </c>
      <c r="F1426" s="322">
        <f>IFERROR(Calculations[[#This Row],[Number]]*Calculations[[#This Row],[Conversion factor]],0)</f>
        <v>0</v>
      </c>
      <c r="G1426" s="322">
        <f>IFERROR(VLOOKUP(Calculations[[#This Row],[Material (choose from dropdown]],MaterialData[#All],7,FALSE),0)</f>
        <v>0</v>
      </c>
      <c r="H1426" s="322">
        <f>Calculations[[#This Row],[Total Kg]]*Calculations[[#This Row],[Carbon Factor]]</f>
        <v>0</v>
      </c>
      <c r="I1426" t="str">
        <f>IFERROR(VLOOKUP(Calculations[[#This Row],[Material (choose from dropdown]],MaterialData[#All],2,FALSE),"")</f>
        <v/>
      </c>
      <c r="J1426" s="322">
        <f>IFERROR(((VLOOKUP(Calculations[[#This Row],[TransportSource]],TransportDistance[],2,FALSE)*'Stage assumptions'!$C$11)+VLOOKUP(Calculations[[#This Row],[TransportSource]],TransportDistance[],3,FALSE)*'Stage assumptions'!$C$12)*Calculations[[#This Row],[Total Kg]],0)</f>
        <v>0</v>
      </c>
      <c r="K1426">
        <f>IFERROR(VLOOKUP(Calculations[[#This Row],[Material (choose from dropdown]], MaterialData[#All],3, FALSE),0)</f>
        <v>0</v>
      </c>
      <c r="L1426" s="322">
        <f>IFERROR(VLOOKUP(Calculations[[#This Row],[A5type]],A5WastageRate[#All],2,FALSE)*Calculations[[#This Row],[A1-3]],0)</f>
        <v>0</v>
      </c>
      <c r="N1426">
        <f>IFERROR(ROUNDUP(50/VLOOKUP(Calculations[[#This Row],[Scope Element]],B4referenceServiceLife[[Tier 2 element]:[Default Service Life]],2, FALSE)-1,0),0)</f>
        <v>0</v>
      </c>
      <c r="O1426" s="322">
        <f>IFERROR((Calculations[[#This Row],[A1-3]]+Calculations[[#This Row],[A4]]+Calculations[[#This Row],[A5]]+Calculations[[#This Row],[C2 total]]+Calculations[[#This Row],[C3 total]]+Calculations[[#This Row],[C4 total]])*Calculations[[#This Row],[Replacements]],0)</f>
        <v>0</v>
      </c>
      <c r="S1426" t="str">
        <f>IFERROR(VLOOKUP(Calculations[[#This Row],[Material (choose from dropdown]],MaterialData[#All],4,FALSE),"")</f>
        <v/>
      </c>
      <c r="T1426" s="322" cm="1">
        <f t="array" ref="T1426">IFERROR(VLOOKUP(Calculations[[#This Row],[Waste 1]],WasteScenario[#All],2,FALSE)*'Stage assumptions'!$C$225*WasteTransportMethod[Emissions Factor
kgCO2e/kg.km]*Calculations[[#This Row],[Total Kg]],0)</f>
        <v>0</v>
      </c>
      <c r="U1426" s="322" cm="1">
        <f t="array" ref="U1426">IFERROR(VLOOKUP(Calculations[[#This Row],[Waste 1]],WasteScenario[#All],3,FALSE)*'Stage assumptions'!$C$224*WasteTransportMethod[Emissions Factor
kgCO2e/kg.km]*Calculations[[#This Row],[Total Kg]],0)</f>
        <v>0</v>
      </c>
      <c r="V1426" s="322" cm="1">
        <f t="array" ref="V1426">IFERROR(VLOOKUP(Calculations[[#This Row],[Waste 1]],WasteScenario[#All],4,FALSE)*'Stage assumptions'!$C$223*WasteTransportMethod[Emissions Factor
kgCO2e/kg.km]*Calculations[[#This Row],[Total Kg]],0)</f>
        <v>0</v>
      </c>
      <c r="W1426" s="322" cm="1">
        <f t="array" ref="W1426">IFERROR(VLOOKUP(Calculations[[#This Row],[Waste 1]],WasteScenario[#All],5,FALSE)*'Stage assumptions'!$C$226*WasteTransportMethod[Emissions Factor
kgCO2e/kg.km]*Calculations[[#This Row],[Total Kg]],0)</f>
        <v>0</v>
      </c>
      <c r="X1426" s="322">
        <f>SUM(Calculations[[#This Row],[C2 Recycle]:[C2 Reuse]])</f>
        <v>0</v>
      </c>
      <c r="Y1426" t="str">
        <f>IFERROR(VLOOKUP(Calculations[[#This Row],[Material (choose from dropdown]],MaterialData[#All],5,FALSE),"")</f>
        <v/>
      </c>
      <c r="Z1426" s="322">
        <f>IFERROR(((VLOOKUP(Calculations[[#This Row],[Waste type 2]],WasteDisposalEmissions[#All],2,FALSE))*Calculations[[#This Row],[Total Kg]])*VLOOKUP(Calculations[[#This Row],[Waste 1]],WasteScenario[#All],2,FALSE),0)</f>
        <v>0</v>
      </c>
      <c r="AA1426" s="322">
        <f>IFERROR((VLOOKUP(Calculations[[#This Row],[Waste type 2]],WasteDisposalEmissions[#All],3,FALSE))*Calculations[[#This Row],[Total Kg]]*VLOOKUP(Calculations[[#This Row],[Waste 1]],WasteScenario[#All],3,FALSE),0)</f>
        <v>0</v>
      </c>
      <c r="AB1426" s="322">
        <f>SUM(Calculations[[#This Row],[C3 recyc]:[C3 incin]])</f>
        <v>0</v>
      </c>
      <c r="AC1426" s="334">
        <f>IFERROR((VLOOKUP(Calculations[[#This Row],[Waste type 2]],WasteLandfillEmissions[#All],2,FALSE))*Calculations[[#This Row],[Total Kg]]*VLOOKUP(Calculations[[#This Row],[Waste 1]],WasteScenario[#All],4,FALSE),0)</f>
        <v>0</v>
      </c>
      <c r="AD1426" s="322">
        <f>IFERROR((VLOOKUP(Calculations[[#This Row],[Waste type 2]],WasteLandfillEmissions[#All],3,FALSE))*Calculations[[#This Row],[Total Kg]]*VLOOKUP(Calculations[[#This Row],[Waste 1]],WasteScenario[#All],4,FALSE),0)</f>
        <v>0</v>
      </c>
      <c r="AE1426" s="322">
        <f>SUM(Calculations[[#This Row],[C4 landfill]:[C4 re-use]])</f>
        <v>0</v>
      </c>
      <c r="AF1426" s="322">
        <f>IFERROR(VLOOKUP(Calculations[[#This Row],[Material (choose from dropdown]],MaterialData[#All],8,FALSE),0)</f>
        <v>0</v>
      </c>
      <c r="AG1426" s="322">
        <f>IFERROR(Calculations[[#This Row],[Total Kg]]*Calculations[[#This Row],[Seq factor]],0)</f>
        <v>0</v>
      </c>
      <c r="AI1426" s="322">
        <f>Calculations[[#This Row],[A1-3]]+Calculations[[#This Row],[A4]]+Calculations[[#This Row],[A5]]+Calculations[[#This Row],[B4]]+Calculations[[#This Row],[C2 total]]+Calculations[[#This Row],[C3 total]]+Calculations[[#This Row],[C4 total]]</f>
        <v>0</v>
      </c>
      <c r="AJ1426" s="2">
        <f>IFERROR(VLOOKUP(Calculations[[#This Row],[Material (choose from dropdown]],MaterialData[[#Headers],[#Data]],9,FALSE),0)</f>
        <v>0</v>
      </c>
      <c r="AK1426" s="4">
        <f>IFERROR(VLOOKUP(Calculations[[#This Row],[Material (choose from dropdown]],MaterialData[[#Headers],[#Data]],10,FALSE),0)</f>
        <v>0</v>
      </c>
      <c r="AL1426" s="322">
        <f>IFERROR(Calculations[[#This Row],[Data Quality Score]]*Calculations[[#This Row],[Total Kg]],0)</f>
        <v>0</v>
      </c>
    </row>
    <row r="1427" spans="1:38" x14ac:dyDescent="0.3">
      <c r="A1427" s="6">
        <f>IFERROR(MaterialsBoQ[[#This Row],[Scope Element]],0)</f>
        <v>0</v>
      </c>
      <c r="B1427" t="str">
        <f>IFERROR(MaterialsBoQ[[#This Row],[Material ]],"")</f>
        <v/>
      </c>
      <c r="C1427" t="str">
        <f>IFERROR(MaterialsBoQ[[#This Row],[Unit]],"")</f>
        <v/>
      </c>
      <c r="D1427" s="322">
        <f>IFERROR(MaterialsBoQ[[#This Row],[Number]],0)</f>
        <v>0</v>
      </c>
      <c r="E1427" s="322">
        <f>IFERROR(MaterialsBoQ[[#This Row],[Kg per unit]],0)</f>
        <v>0</v>
      </c>
      <c r="F1427" s="322">
        <f>IFERROR(Calculations[[#This Row],[Number]]*Calculations[[#This Row],[Conversion factor]],0)</f>
        <v>0</v>
      </c>
      <c r="G1427" s="322">
        <f>IFERROR(VLOOKUP(Calculations[[#This Row],[Material (choose from dropdown]],MaterialData[#All],7,FALSE),0)</f>
        <v>0</v>
      </c>
      <c r="H1427" s="322">
        <f>Calculations[[#This Row],[Total Kg]]*Calculations[[#This Row],[Carbon Factor]]</f>
        <v>0</v>
      </c>
      <c r="I1427" t="str">
        <f>IFERROR(VLOOKUP(Calculations[[#This Row],[Material (choose from dropdown]],MaterialData[#All],2,FALSE),"")</f>
        <v/>
      </c>
      <c r="J1427" s="322">
        <f>IFERROR(((VLOOKUP(Calculations[[#This Row],[TransportSource]],TransportDistance[],2,FALSE)*'Stage assumptions'!$C$11)+VLOOKUP(Calculations[[#This Row],[TransportSource]],TransportDistance[],3,FALSE)*'Stage assumptions'!$C$12)*Calculations[[#This Row],[Total Kg]],0)</f>
        <v>0</v>
      </c>
      <c r="K1427">
        <f>IFERROR(VLOOKUP(Calculations[[#This Row],[Material (choose from dropdown]], MaterialData[#All],3, FALSE),0)</f>
        <v>0</v>
      </c>
      <c r="L1427" s="322">
        <f>IFERROR(VLOOKUP(Calculations[[#This Row],[A5type]],A5WastageRate[#All],2,FALSE)*Calculations[[#This Row],[A1-3]],0)</f>
        <v>0</v>
      </c>
      <c r="N1427">
        <f>IFERROR(ROUNDUP(50/VLOOKUP(Calculations[[#This Row],[Scope Element]],B4referenceServiceLife[[Tier 2 element]:[Default Service Life]],2, FALSE)-1,0),0)</f>
        <v>0</v>
      </c>
      <c r="O1427" s="322">
        <f>IFERROR((Calculations[[#This Row],[A1-3]]+Calculations[[#This Row],[A4]]+Calculations[[#This Row],[A5]]+Calculations[[#This Row],[C2 total]]+Calculations[[#This Row],[C3 total]]+Calculations[[#This Row],[C4 total]])*Calculations[[#This Row],[Replacements]],0)</f>
        <v>0</v>
      </c>
      <c r="S1427" t="str">
        <f>IFERROR(VLOOKUP(Calculations[[#This Row],[Material (choose from dropdown]],MaterialData[#All],4,FALSE),"")</f>
        <v/>
      </c>
      <c r="T1427" s="322" cm="1">
        <f t="array" ref="T1427">IFERROR(VLOOKUP(Calculations[[#This Row],[Waste 1]],WasteScenario[#All],2,FALSE)*'Stage assumptions'!$C$225*WasteTransportMethod[Emissions Factor
kgCO2e/kg.km]*Calculations[[#This Row],[Total Kg]],0)</f>
        <v>0</v>
      </c>
      <c r="U1427" s="322" cm="1">
        <f t="array" ref="U1427">IFERROR(VLOOKUP(Calculations[[#This Row],[Waste 1]],WasteScenario[#All],3,FALSE)*'Stage assumptions'!$C$224*WasteTransportMethod[Emissions Factor
kgCO2e/kg.km]*Calculations[[#This Row],[Total Kg]],0)</f>
        <v>0</v>
      </c>
      <c r="V1427" s="322" cm="1">
        <f t="array" ref="V1427">IFERROR(VLOOKUP(Calculations[[#This Row],[Waste 1]],WasteScenario[#All],4,FALSE)*'Stage assumptions'!$C$223*WasteTransportMethod[Emissions Factor
kgCO2e/kg.km]*Calculations[[#This Row],[Total Kg]],0)</f>
        <v>0</v>
      </c>
      <c r="W1427" s="322" cm="1">
        <f t="array" ref="W1427">IFERROR(VLOOKUP(Calculations[[#This Row],[Waste 1]],WasteScenario[#All],5,FALSE)*'Stage assumptions'!$C$226*WasteTransportMethod[Emissions Factor
kgCO2e/kg.km]*Calculations[[#This Row],[Total Kg]],0)</f>
        <v>0</v>
      </c>
      <c r="X1427" s="322">
        <f>SUM(Calculations[[#This Row],[C2 Recycle]:[C2 Reuse]])</f>
        <v>0</v>
      </c>
      <c r="Y1427" t="str">
        <f>IFERROR(VLOOKUP(Calculations[[#This Row],[Material (choose from dropdown]],MaterialData[#All],5,FALSE),"")</f>
        <v/>
      </c>
      <c r="Z1427" s="322">
        <f>IFERROR(((VLOOKUP(Calculations[[#This Row],[Waste type 2]],WasteDisposalEmissions[#All],2,FALSE))*Calculations[[#This Row],[Total Kg]])*VLOOKUP(Calculations[[#This Row],[Waste 1]],WasteScenario[#All],2,FALSE),0)</f>
        <v>0</v>
      </c>
      <c r="AA1427" s="322">
        <f>IFERROR((VLOOKUP(Calculations[[#This Row],[Waste type 2]],WasteDisposalEmissions[#All],3,FALSE))*Calculations[[#This Row],[Total Kg]]*VLOOKUP(Calculations[[#This Row],[Waste 1]],WasteScenario[#All],3,FALSE),0)</f>
        <v>0</v>
      </c>
      <c r="AB1427" s="322">
        <f>SUM(Calculations[[#This Row],[C3 recyc]:[C3 incin]])</f>
        <v>0</v>
      </c>
      <c r="AC1427" s="334">
        <f>IFERROR((VLOOKUP(Calculations[[#This Row],[Waste type 2]],WasteLandfillEmissions[#All],2,FALSE))*Calculations[[#This Row],[Total Kg]]*VLOOKUP(Calculations[[#This Row],[Waste 1]],WasteScenario[#All],4,FALSE),0)</f>
        <v>0</v>
      </c>
      <c r="AD1427" s="322">
        <f>IFERROR((VLOOKUP(Calculations[[#This Row],[Waste type 2]],WasteLandfillEmissions[#All],3,FALSE))*Calculations[[#This Row],[Total Kg]]*VLOOKUP(Calculations[[#This Row],[Waste 1]],WasteScenario[#All],4,FALSE),0)</f>
        <v>0</v>
      </c>
      <c r="AE1427" s="322">
        <f>SUM(Calculations[[#This Row],[C4 landfill]:[C4 re-use]])</f>
        <v>0</v>
      </c>
      <c r="AF1427" s="322">
        <f>IFERROR(VLOOKUP(Calculations[[#This Row],[Material (choose from dropdown]],MaterialData[#All],8,FALSE),0)</f>
        <v>0</v>
      </c>
      <c r="AG1427" s="322">
        <f>IFERROR(Calculations[[#This Row],[Total Kg]]*Calculations[[#This Row],[Seq factor]],0)</f>
        <v>0</v>
      </c>
      <c r="AI1427" s="322">
        <f>Calculations[[#This Row],[A1-3]]+Calculations[[#This Row],[A4]]+Calculations[[#This Row],[A5]]+Calculations[[#This Row],[B4]]+Calculations[[#This Row],[C2 total]]+Calculations[[#This Row],[C3 total]]+Calculations[[#This Row],[C4 total]]</f>
        <v>0</v>
      </c>
      <c r="AJ1427" s="2">
        <f>IFERROR(VLOOKUP(Calculations[[#This Row],[Material (choose from dropdown]],MaterialData[[#Headers],[#Data]],9,FALSE),0)</f>
        <v>0</v>
      </c>
      <c r="AK1427" s="4">
        <f>IFERROR(VLOOKUP(Calculations[[#This Row],[Material (choose from dropdown]],MaterialData[[#Headers],[#Data]],10,FALSE),0)</f>
        <v>0</v>
      </c>
      <c r="AL1427" s="322">
        <f>IFERROR(Calculations[[#This Row],[Data Quality Score]]*Calculations[[#This Row],[Total Kg]],0)</f>
        <v>0</v>
      </c>
    </row>
    <row r="1428" spans="1:38" x14ac:dyDescent="0.3">
      <c r="A1428" s="6">
        <f>IFERROR(MaterialsBoQ[[#This Row],[Scope Element]],0)</f>
        <v>0</v>
      </c>
      <c r="B1428" t="str">
        <f>IFERROR(MaterialsBoQ[[#This Row],[Material ]],"")</f>
        <v/>
      </c>
      <c r="C1428" t="str">
        <f>IFERROR(MaterialsBoQ[[#This Row],[Unit]],"")</f>
        <v/>
      </c>
      <c r="D1428" s="322">
        <f>IFERROR(MaterialsBoQ[[#This Row],[Number]],0)</f>
        <v>0</v>
      </c>
      <c r="E1428" s="322">
        <f>IFERROR(MaterialsBoQ[[#This Row],[Kg per unit]],0)</f>
        <v>0</v>
      </c>
      <c r="F1428" s="322">
        <f>IFERROR(Calculations[[#This Row],[Number]]*Calculations[[#This Row],[Conversion factor]],0)</f>
        <v>0</v>
      </c>
      <c r="G1428" s="322">
        <f>IFERROR(VLOOKUP(Calculations[[#This Row],[Material (choose from dropdown]],MaterialData[#All],7,FALSE),0)</f>
        <v>0</v>
      </c>
      <c r="H1428" s="322">
        <f>Calculations[[#This Row],[Total Kg]]*Calculations[[#This Row],[Carbon Factor]]</f>
        <v>0</v>
      </c>
      <c r="I1428" t="str">
        <f>IFERROR(VLOOKUP(Calculations[[#This Row],[Material (choose from dropdown]],MaterialData[#All],2,FALSE),"")</f>
        <v/>
      </c>
      <c r="J1428" s="322">
        <f>IFERROR(((VLOOKUP(Calculations[[#This Row],[TransportSource]],TransportDistance[],2,FALSE)*'Stage assumptions'!$C$11)+VLOOKUP(Calculations[[#This Row],[TransportSource]],TransportDistance[],3,FALSE)*'Stage assumptions'!$C$12)*Calculations[[#This Row],[Total Kg]],0)</f>
        <v>0</v>
      </c>
      <c r="K1428">
        <f>IFERROR(VLOOKUP(Calculations[[#This Row],[Material (choose from dropdown]], MaterialData[#All],3, FALSE),0)</f>
        <v>0</v>
      </c>
      <c r="L1428" s="322">
        <f>IFERROR(VLOOKUP(Calculations[[#This Row],[A5type]],A5WastageRate[#All],2,FALSE)*Calculations[[#This Row],[A1-3]],0)</f>
        <v>0</v>
      </c>
      <c r="N1428">
        <f>IFERROR(ROUNDUP(50/VLOOKUP(Calculations[[#This Row],[Scope Element]],B4referenceServiceLife[[Tier 2 element]:[Default Service Life]],2, FALSE)-1,0),0)</f>
        <v>0</v>
      </c>
      <c r="O1428" s="322">
        <f>IFERROR((Calculations[[#This Row],[A1-3]]+Calculations[[#This Row],[A4]]+Calculations[[#This Row],[A5]]+Calculations[[#This Row],[C2 total]]+Calculations[[#This Row],[C3 total]]+Calculations[[#This Row],[C4 total]])*Calculations[[#This Row],[Replacements]],0)</f>
        <v>0</v>
      </c>
      <c r="S1428" t="str">
        <f>IFERROR(VLOOKUP(Calculations[[#This Row],[Material (choose from dropdown]],MaterialData[#All],4,FALSE),"")</f>
        <v/>
      </c>
      <c r="T1428" s="322" cm="1">
        <f t="array" ref="T1428">IFERROR(VLOOKUP(Calculations[[#This Row],[Waste 1]],WasteScenario[#All],2,FALSE)*'Stage assumptions'!$C$225*WasteTransportMethod[Emissions Factor
kgCO2e/kg.km]*Calculations[[#This Row],[Total Kg]],0)</f>
        <v>0</v>
      </c>
      <c r="U1428" s="322" cm="1">
        <f t="array" ref="U1428">IFERROR(VLOOKUP(Calculations[[#This Row],[Waste 1]],WasteScenario[#All],3,FALSE)*'Stage assumptions'!$C$224*WasteTransportMethod[Emissions Factor
kgCO2e/kg.km]*Calculations[[#This Row],[Total Kg]],0)</f>
        <v>0</v>
      </c>
      <c r="V1428" s="322" cm="1">
        <f t="array" ref="V1428">IFERROR(VLOOKUP(Calculations[[#This Row],[Waste 1]],WasteScenario[#All],4,FALSE)*'Stage assumptions'!$C$223*WasteTransportMethod[Emissions Factor
kgCO2e/kg.km]*Calculations[[#This Row],[Total Kg]],0)</f>
        <v>0</v>
      </c>
      <c r="W1428" s="322" cm="1">
        <f t="array" ref="W1428">IFERROR(VLOOKUP(Calculations[[#This Row],[Waste 1]],WasteScenario[#All],5,FALSE)*'Stage assumptions'!$C$226*WasteTransportMethod[Emissions Factor
kgCO2e/kg.km]*Calculations[[#This Row],[Total Kg]],0)</f>
        <v>0</v>
      </c>
      <c r="X1428" s="322">
        <f>SUM(Calculations[[#This Row],[C2 Recycle]:[C2 Reuse]])</f>
        <v>0</v>
      </c>
      <c r="Y1428" t="str">
        <f>IFERROR(VLOOKUP(Calculations[[#This Row],[Material (choose from dropdown]],MaterialData[#All],5,FALSE),"")</f>
        <v/>
      </c>
      <c r="Z1428" s="322">
        <f>IFERROR(((VLOOKUP(Calculations[[#This Row],[Waste type 2]],WasteDisposalEmissions[#All],2,FALSE))*Calculations[[#This Row],[Total Kg]])*VLOOKUP(Calculations[[#This Row],[Waste 1]],WasteScenario[#All],2,FALSE),0)</f>
        <v>0</v>
      </c>
      <c r="AA1428" s="322">
        <f>IFERROR((VLOOKUP(Calculations[[#This Row],[Waste type 2]],WasteDisposalEmissions[#All],3,FALSE))*Calculations[[#This Row],[Total Kg]]*VLOOKUP(Calculations[[#This Row],[Waste 1]],WasteScenario[#All],3,FALSE),0)</f>
        <v>0</v>
      </c>
      <c r="AB1428" s="322">
        <f>SUM(Calculations[[#This Row],[C3 recyc]:[C3 incin]])</f>
        <v>0</v>
      </c>
      <c r="AC1428" s="334">
        <f>IFERROR((VLOOKUP(Calculations[[#This Row],[Waste type 2]],WasteLandfillEmissions[#All],2,FALSE))*Calculations[[#This Row],[Total Kg]]*VLOOKUP(Calculations[[#This Row],[Waste 1]],WasteScenario[#All],4,FALSE),0)</f>
        <v>0</v>
      </c>
      <c r="AD1428" s="322">
        <f>IFERROR((VLOOKUP(Calculations[[#This Row],[Waste type 2]],WasteLandfillEmissions[#All],3,FALSE))*Calculations[[#This Row],[Total Kg]]*VLOOKUP(Calculations[[#This Row],[Waste 1]],WasteScenario[#All],4,FALSE),0)</f>
        <v>0</v>
      </c>
      <c r="AE1428" s="322">
        <f>SUM(Calculations[[#This Row],[C4 landfill]:[C4 re-use]])</f>
        <v>0</v>
      </c>
      <c r="AF1428" s="322">
        <f>IFERROR(VLOOKUP(Calculations[[#This Row],[Material (choose from dropdown]],MaterialData[#All],8,FALSE),0)</f>
        <v>0</v>
      </c>
      <c r="AG1428" s="322">
        <f>IFERROR(Calculations[[#This Row],[Total Kg]]*Calculations[[#This Row],[Seq factor]],0)</f>
        <v>0</v>
      </c>
      <c r="AI1428" s="322">
        <f>Calculations[[#This Row],[A1-3]]+Calculations[[#This Row],[A4]]+Calculations[[#This Row],[A5]]+Calculations[[#This Row],[B4]]+Calculations[[#This Row],[C2 total]]+Calculations[[#This Row],[C3 total]]+Calculations[[#This Row],[C4 total]]</f>
        <v>0</v>
      </c>
      <c r="AJ1428" s="2">
        <f>IFERROR(VLOOKUP(Calculations[[#This Row],[Material (choose from dropdown]],MaterialData[[#Headers],[#Data]],9,FALSE),0)</f>
        <v>0</v>
      </c>
      <c r="AK1428" s="4">
        <f>IFERROR(VLOOKUP(Calculations[[#This Row],[Material (choose from dropdown]],MaterialData[[#Headers],[#Data]],10,FALSE),0)</f>
        <v>0</v>
      </c>
      <c r="AL1428" s="322">
        <f>IFERROR(Calculations[[#This Row],[Data Quality Score]]*Calculations[[#This Row],[Total Kg]],0)</f>
        <v>0</v>
      </c>
    </row>
    <row r="1429" spans="1:38" x14ac:dyDescent="0.3">
      <c r="A1429" s="6">
        <f>IFERROR(MaterialsBoQ[[#This Row],[Scope Element]],0)</f>
        <v>0</v>
      </c>
      <c r="B1429" t="str">
        <f>IFERROR(MaterialsBoQ[[#This Row],[Material ]],"")</f>
        <v/>
      </c>
      <c r="C1429" t="str">
        <f>IFERROR(MaterialsBoQ[[#This Row],[Unit]],"")</f>
        <v/>
      </c>
      <c r="D1429" s="322">
        <f>IFERROR(MaterialsBoQ[[#This Row],[Number]],0)</f>
        <v>0</v>
      </c>
      <c r="E1429" s="322">
        <f>IFERROR(MaterialsBoQ[[#This Row],[Kg per unit]],0)</f>
        <v>0</v>
      </c>
      <c r="F1429" s="322">
        <f>IFERROR(Calculations[[#This Row],[Number]]*Calculations[[#This Row],[Conversion factor]],0)</f>
        <v>0</v>
      </c>
      <c r="G1429" s="322">
        <f>IFERROR(VLOOKUP(Calculations[[#This Row],[Material (choose from dropdown]],MaterialData[#All],7,FALSE),0)</f>
        <v>0</v>
      </c>
      <c r="H1429" s="322">
        <f>Calculations[[#This Row],[Total Kg]]*Calculations[[#This Row],[Carbon Factor]]</f>
        <v>0</v>
      </c>
      <c r="I1429" t="str">
        <f>IFERROR(VLOOKUP(Calculations[[#This Row],[Material (choose from dropdown]],MaterialData[#All],2,FALSE),"")</f>
        <v/>
      </c>
      <c r="J1429" s="322">
        <f>IFERROR(((VLOOKUP(Calculations[[#This Row],[TransportSource]],TransportDistance[],2,FALSE)*'Stage assumptions'!$C$11)+VLOOKUP(Calculations[[#This Row],[TransportSource]],TransportDistance[],3,FALSE)*'Stage assumptions'!$C$12)*Calculations[[#This Row],[Total Kg]],0)</f>
        <v>0</v>
      </c>
      <c r="K1429">
        <f>IFERROR(VLOOKUP(Calculations[[#This Row],[Material (choose from dropdown]], MaterialData[#All],3, FALSE),0)</f>
        <v>0</v>
      </c>
      <c r="L1429" s="322">
        <f>IFERROR(VLOOKUP(Calculations[[#This Row],[A5type]],A5WastageRate[#All],2,FALSE)*Calculations[[#This Row],[A1-3]],0)</f>
        <v>0</v>
      </c>
      <c r="N1429">
        <f>IFERROR(ROUNDUP(50/VLOOKUP(Calculations[[#This Row],[Scope Element]],B4referenceServiceLife[[Tier 2 element]:[Default Service Life]],2, FALSE)-1,0),0)</f>
        <v>0</v>
      </c>
      <c r="O1429" s="322">
        <f>IFERROR((Calculations[[#This Row],[A1-3]]+Calculations[[#This Row],[A4]]+Calculations[[#This Row],[A5]]+Calculations[[#This Row],[C2 total]]+Calculations[[#This Row],[C3 total]]+Calculations[[#This Row],[C4 total]])*Calculations[[#This Row],[Replacements]],0)</f>
        <v>0</v>
      </c>
      <c r="S1429" t="str">
        <f>IFERROR(VLOOKUP(Calculations[[#This Row],[Material (choose from dropdown]],MaterialData[#All],4,FALSE),"")</f>
        <v/>
      </c>
      <c r="T1429" s="322" cm="1">
        <f t="array" ref="T1429">IFERROR(VLOOKUP(Calculations[[#This Row],[Waste 1]],WasteScenario[#All],2,FALSE)*'Stage assumptions'!$C$225*WasteTransportMethod[Emissions Factor
kgCO2e/kg.km]*Calculations[[#This Row],[Total Kg]],0)</f>
        <v>0</v>
      </c>
      <c r="U1429" s="322" cm="1">
        <f t="array" ref="U1429">IFERROR(VLOOKUP(Calculations[[#This Row],[Waste 1]],WasteScenario[#All],3,FALSE)*'Stage assumptions'!$C$224*WasteTransportMethod[Emissions Factor
kgCO2e/kg.km]*Calculations[[#This Row],[Total Kg]],0)</f>
        <v>0</v>
      </c>
      <c r="V1429" s="322" cm="1">
        <f t="array" ref="V1429">IFERROR(VLOOKUP(Calculations[[#This Row],[Waste 1]],WasteScenario[#All],4,FALSE)*'Stage assumptions'!$C$223*WasteTransportMethod[Emissions Factor
kgCO2e/kg.km]*Calculations[[#This Row],[Total Kg]],0)</f>
        <v>0</v>
      </c>
      <c r="W1429" s="322" cm="1">
        <f t="array" ref="W1429">IFERROR(VLOOKUP(Calculations[[#This Row],[Waste 1]],WasteScenario[#All],5,FALSE)*'Stage assumptions'!$C$226*WasteTransportMethod[Emissions Factor
kgCO2e/kg.km]*Calculations[[#This Row],[Total Kg]],0)</f>
        <v>0</v>
      </c>
      <c r="X1429" s="322">
        <f>SUM(Calculations[[#This Row],[C2 Recycle]:[C2 Reuse]])</f>
        <v>0</v>
      </c>
      <c r="Y1429" t="str">
        <f>IFERROR(VLOOKUP(Calculations[[#This Row],[Material (choose from dropdown]],MaterialData[#All],5,FALSE),"")</f>
        <v/>
      </c>
      <c r="Z1429" s="322">
        <f>IFERROR(((VLOOKUP(Calculations[[#This Row],[Waste type 2]],WasteDisposalEmissions[#All],2,FALSE))*Calculations[[#This Row],[Total Kg]])*VLOOKUP(Calculations[[#This Row],[Waste 1]],WasteScenario[#All],2,FALSE),0)</f>
        <v>0</v>
      </c>
      <c r="AA1429" s="322">
        <f>IFERROR((VLOOKUP(Calculations[[#This Row],[Waste type 2]],WasteDisposalEmissions[#All],3,FALSE))*Calculations[[#This Row],[Total Kg]]*VLOOKUP(Calculations[[#This Row],[Waste 1]],WasteScenario[#All],3,FALSE),0)</f>
        <v>0</v>
      </c>
      <c r="AB1429" s="322">
        <f>SUM(Calculations[[#This Row],[C3 recyc]:[C3 incin]])</f>
        <v>0</v>
      </c>
      <c r="AC1429" s="334">
        <f>IFERROR((VLOOKUP(Calculations[[#This Row],[Waste type 2]],WasteLandfillEmissions[#All],2,FALSE))*Calculations[[#This Row],[Total Kg]]*VLOOKUP(Calculations[[#This Row],[Waste 1]],WasteScenario[#All],4,FALSE),0)</f>
        <v>0</v>
      </c>
      <c r="AD1429" s="322">
        <f>IFERROR((VLOOKUP(Calculations[[#This Row],[Waste type 2]],WasteLandfillEmissions[#All],3,FALSE))*Calculations[[#This Row],[Total Kg]]*VLOOKUP(Calculations[[#This Row],[Waste 1]],WasteScenario[#All],4,FALSE),0)</f>
        <v>0</v>
      </c>
      <c r="AE1429" s="322">
        <f>SUM(Calculations[[#This Row],[C4 landfill]:[C4 re-use]])</f>
        <v>0</v>
      </c>
      <c r="AF1429" s="322">
        <f>IFERROR(VLOOKUP(Calculations[[#This Row],[Material (choose from dropdown]],MaterialData[#All],8,FALSE),0)</f>
        <v>0</v>
      </c>
      <c r="AG1429" s="322">
        <f>IFERROR(Calculations[[#This Row],[Total Kg]]*Calculations[[#This Row],[Seq factor]],0)</f>
        <v>0</v>
      </c>
      <c r="AI1429" s="322">
        <f>Calculations[[#This Row],[A1-3]]+Calculations[[#This Row],[A4]]+Calculations[[#This Row],[A5]]+Calculations[[#This Row],[B4]]+Calculations[[#This Row],[C2 total]]+Calculations[[#This Row],[C3 total]]+Calculations[[#This Row],[C4 total]]</f>
        <v>0</v>
      </c>
      <c r="AJ1429" s="2">
        <f>IFERROR(VLOOKUP(Calculations[[#This Row],[Material (choose from dropdown]],MaterialData[[#Headers],[#Data]],9,FALSE),0)</f>
        <v>0</v>
      </c>
      <c r="AK1429" s="4">
        <f>IFERROR(VLOOKUP(Calculations[[#This Row],[Material (choose from dropdown]],MaterialData[[#Headers],[#Data]],10,FALSE),0)</f>
        <v>0</v>
      </c>
      <c r="AL1429" s="322">
        <f>IFERROR(Calculations[[#This Row],[Data Quality Score]]*Calculations[[#This Row],[Total Kg]],0)</f>
        <v>0</v>
      </c>
    </row>
    <row r="1430" spans="1:38" x14ac:dyDescent="0.3">
      <c r="A1430" s="6">
        <f>IFERROR(MaterialsBoQ[[#This Row],[Scope Element]],0)</f>
        <v>0</v>
      </c>
      <c r="B1430" t="str">
        <f>IFERROR(MaterialsBoQ[[#This Row],[Material ]],"")</f>
        <v/>
      </c>
      <c r="C1430" t="str">
        <f>IFERROR(MaterialsBoQ[[#This Row],[Unit]],"")</f>
        <v/>
      </c>
      <c r="D1430" s="322">
        <f>IFERROR(MaterialsBoQ[[#This Row],[Number]],0)</f>
        <v>0</v>
      </c>
      <c r="E1430" s="322">
        <f>IFERROR(MaterialsBoQ[[#This Row],[Kg per unit]],0)</f>
        <v>0</v>
      </c>
      <c r="F1430" s="322">
        <f>IFERROR(Calculations[[#This Row],[Number]]*Calculations[[#This Row],[Conversion factor]],0)</f>
        <v>0</v>
      </c>
      <c r="G1430" s="322">
        <f>IFERROR(VLOOKUP(Calculations[[#This Row],[Material (choose from dropdown]],MaterialData[#All],7,FALSE),0)</f>
        <v>0</v>
      </c>
      <c r="H1430" s="322">
        <f>Calculations[[#This Row],[Total Kg]]*Calculations[[#This Row],[Carbon Factor]]</f>
        <v>0</v>
      </c>
      <c r="I1430" t="str">
        <f>IFERROR(VLOOKUP(Calculations[[#This Row],[Material (choose from dropdown]],MaterialData[#All],2,FALSE),"")</f>
        <v/>
      </c>
      <c r="J1430" s="322">
        <f>IFERROR(((VLOOKUP(Calculations[[#This Row],[TransportSource]],TransportDistance[],2,FALSE)*'Stage assumptions'!$C$11)+VLOOKUP(Calculations[[#This Row],[TransportSource]],TransportDistance[],3,FALSE)*'Stage assumptions'!$C$12)*Calculations[[#This Row],[Total Kg]],0)</f>
        <v>0</v>
      </c>
      <c r="K1430">
        <f>IFERROR(VLOOKUP(Calculations[[#This Row],[Material (choose from dropdown]], MaterialData[#All],3, FALSE),0)</f>
        <v>0</v>
      </c>
      <c r="L1430" s="322">
        <f>IFERROR(VLOOKUP(Calculations[[#This Row],[A5type]],A5WastageRate[#All],2,FALSE)*Calculations[[#This Row],[A1-3]],0)</f>
        <v>0</v>
      </c>
      <c r="N1430">
        <f>IFERROR(ROUNDUP(50/VLOOKUP(Calculations[[#This Row],[Scope Element]],B4referenceServiceLife[[Tier 2 element]:[Default Service Life]],2, FALSE)-1,0),0)</f>
        <v>0</v>
      </c>
      <c r="O1430" s="322">
        <f>IFERROR((Calculations[[#This Row],[A1-3]]+Calculations[[#This Row],[A4]]+Calculations[[#This Row],[A5]]+Calculations[[#This Row],[C2 total]]+Calculations[[#This Row],[C3 total]]+Calculations[[#This Row],[C4 total]])*Calculations[[#This Row],[Replacements]],0)</f>
        <v>0</v>
      </c>
      <c r="S1430" t="str">
        <f>IFERROR(VLOOKUP(Calculations[[#This Row],[Material (choose from dropdown]],MaterialData[#All],4,FALSE),"")</f>
        <v/>
      </c>
      <c r="T1430" s="322" cm="1">
        <f t="array" ref="T1430">IFERROR(VLOOKUP(Calculations[[#This Row],[Waste 1]],WasteScenario[#All],2,FALSE)*'Stage assumptions'!$C$225*WasteTransportMethod[Emissions Factor
kgCO2e/kg.km]*Calculations[[#This Row],[Total Kg]],0)</f>
        <v>0</v>
      </c>
      <c r="U1430" s="322" cm="1">
        <f t="array" ref="U1430">IFERROR(VLOOKUP(Calculations[[#This Row],[Waste 1]],WasteScenario[#All],3,FALSE)*'Stage assumptions'!$C$224*WasteTransportMethod[Emissions Factor
kgCO2e/kg.km]*Calculations[[#This Row],[Total Kg]],0)</f>
        <v>0</v>
      </c>
      <c r="V1430" s="322" cm="1">
        <f t="array" ref="V1430">IFERROR(VLOOKUP(Calculations[[#This Row],[Waste 1]],WasteScenario[#All],4,FALSE)*'Stage assumptions'!$C$223*WasteTransportMethod[Emissions Factor
kgCO2e/kg.km]*Calculations[[#This Row],[Total Kg]],0)</f>
        <v>0</v>
      </c>
      <c r="W1430" s="322" cm="1">
        <f t="array" ref="W1430">IFERROR(VLOOKUP(Calculations[[#This Row],[Waste 1]],WasteScenario[#All],5,FALSE)*'Stage assumptions'!$C$226*WasteTransportMethod[Emissions Factor
kgCO2e/kg.km]*Calculations[[#This Row],[Total Kg]],0)</f>
        <v>0</v>
      </c>
      <c r="X1430" s="322">
        <f>SUM(Calculations[[#This Row],[C2 Recycle]:[C2 Reuse]])</f>
        <v>0</v>
      </c>
      <c r="Y1430" t="str">
        <f>IFERROR(VLOOKUP(Calculations[[#This Row],[Material (choose from dropdown]],MaterialData[#All],5,FALSE),"")</f>
        <v/>
      </c>
      <c r="Z1430" s="322">
        <f>IFERROR(((VLOOKUP(Calculations[[#This Row],[Waste type 2]],WasteDisposalEmissions[#All],2,FALSE))*Calculations[[#This Row],[Total Kg]])*VLOOKUP(Calculations[[#This Row],[Waste 1]],WasteScenario[#All],2,FALSE),0)</f>
        <v>0</v>
      </c>
      <c r="AA1430" s="322">
        <f>IFERROR((VLOOKUP(Calculations[[#This Row],[Waste type 2]],WasteDisposalEmissions[#All],3,FALSE))*Calculations[[#This Row],[Total Kg]]*VLOOKUP(Calculations[[#This Row],[Waste 1]],WasteScenario[#All],3,FALSE),0)</f>
        <v>0</v>
      </c>
      <c r="AB1430" s="322">
        <f>SUM(Calculations[[#This Row],[C3 recyc]:[C3 incin]])</f>
        <v>0</v>
      </c>
      <c r="AC1430" s="334">
        <f>IFERROR((VLOOKUP(Calculations[[#This Row],[Waste type 2]],WasteLandfillEmissions[#All],2,FALSE))*Calculations[[#This Row],[Total Kg]]*VLOOKUP(Calculations[[#This Row],[Waste 1]],WasteScenario[#All],4,FALSE),0)</f>
        <v>0</v>
      </c>
      <c r="AD1430" s="322">
        <f>IFERROR((VLOOKUP(Calculations[[#This Row],[Waste type 2]],WasteLandfillEmissions[#All],3,FALSE))*Calculations[[#This Row],[Total Kg]]*VLOOKUP(Calculations[[#This Row],[Waste 1]],WasteScenario[#All],4,FALSE),0)</f>
        <v>0</v>
      </c>
      <c r="AE1430" s="322">
        <f>SUM(Calculations[[#This Row],[C4 landfill]:[C4 re-use]])</f>
        <v>0</v>
      </c>
      <c r="AF1430" s="322">
        <f>IFERROR(VLOOKUP(Calculations[[#This Row],[Material (choose from dropdown]],MaterialData[#All],8,FALSE),0)</f>
        <v>0</v>
      </c>
      <c r="AG1430" s="322">
        <f>IFERROR(Calculations[[#This Row],[Total Kg]]*Calculations[[#This Row],[Seq factor]],0)</f>
        <v>0</v>
      </c>
      <c r="AI1430" s="322">
        <f>Calculations[[#This Row],[A1-3]]+Calculations[[#This Row],[A4]]+Calculations[[#This Row],[A5]]+Calculations[[#This Row],[B4]]+Calculations[[#This Row],[C2 total]]+Calculations[[#This Row],[C3 total]]+Calculations[[#This Row],[C4 total]]</f>
        <v>0</v>
      </c>
      <c r="AJ1430" s="2">
        <f>IFERROR(VLOOKUP(Calculations[[#This Row],[Material (choose from dropdown]],MaterialData[[#Headers],[#Data]],9,FALSE),0)</f>
        <v>0</v>
      </c>
      <c r="AK1430" s="4">
        <f>IFERROR(VLOOKUP(Calculations[[#This Row],[Material (choose from dropdown]],MaterialData[[#Headers],[#Data]],10,FALSE),0)</f>
        <v>0</v>
      </c>
      <c r="AL1430" s="322">
        <f>IFERROR(Calculations[[#This Row],[Data Quality Score]]*Calculations[[#This Row],[Total Kg]],0)</f>
        <v>0</v>
      </c>
    </row>
    <row r="1431" spans="1:38" x14ac:dyDescent="0.3">
      <c r="A1431" s="6">
        <f>IFERROR(MaterialsBoQ[[#This Row],[Scope Element]],0)</f>
        <v>0</v>
      </c>
      <c r="B1431" t="str">
        <f>IFERROR(MaterialsBoQ[[#This Row],[Material ]],"")</f>
        <v/>
      </c>
      <c r="C1431" t="str">
        <f>IFERROR(MaterialsBoQ[[#This Row],[Unit]],"")</f>
        <v/>
      </c>
      <c r="D1431" s="322">
        <f>IFERROR(MaterialsBoQ[[#This Row],[Number]],0)</f>
        <v>0</v>
      </c>
      <c r="E1431" s="322">
        <f>IFERROR(MaterialsBoQ[[#This Row],[Kg per unit]],0)</f>
        <v>0</v>
      </c>
      <c r="F1431" s="322">
        <f>IFERROR(Calculations[[#This Row],[Number]]*Calculations[[#This Row],[Conversion factor]],0)</f>
        <v>0</v>
      </c>
      <c r="G1431" s="322">
        <f>IFERROR(VLOOKUP(Calculations[[#This Row],[Material (choose from dropdown]],MaterialData[#All],7,FALSE),0)</f>
        <v>0</v>
      </c>
      <c r="H1431" s="322">
        <f>Calculations[[#This Row],[Total Kg]]*Calculations[[#This Row],[Carbon Factor]]</f>
        <v>0</v>
      </c>
      <c r="I1431" t="str">
        <f>IFERROR(VLOOKUP(Calculations[[#This Row],[Material (choose from dropdown]],MaterialData[#All],2,FALSE),"")</f>
        <v/>
      </c>
      <c r="J1431" s="322">
        <f>IFERROR(((VLOOKUP(Calculations[[#This Row],[TransportSource]],TransportDistance[],2,FALSE)*'Stage assumptions'!$C$11)+VLOOKUP(Calculations[[#This Row],[TransportSource]],TransportDistance[],3,FALSE)*'Stage assumptions'!$C$12)*Calculations[[#This Row],[Total Kg]],0)</f>
        <v>0</v>
      </c>
      <c r="K1431">
        <f>IFERROR(VLOOKUP(Calculations[[#This Row],[Material (choose from dropdown]], MaterialData[#All],3, FALSE),0)</f>
        <v>0</v>
      </c>
      <c r="L1431" s="322">
        <f>IFERROR(VLOOKUP(Calculations[[#This Row],[A5type]],A5WastageRate[#All],2,FALSE)*Calculations[[#This Row],[A1-3]],0)</f>
        <v>0</v>
      </c>
      <c r="N1431">
        <f>IFERROR(ROUNDUP(50/VLOOKUP(Calculations[[#This Row],[Scope Element]],B4referenceServiceLife[[Tier 2 element]:[Default Service Life]],2, FALSE)-1,0),0)</f>
        <v>0</v>
      </c>
      <c r="O1431" s="322">
        <f>IFERROR((Calculations[[#This Row],[A1-3]]+Calculations[[#This Row],[A4]]+Calculations[[#This Row],[A5]]+Calculations[[#This Row],[C2 total]]+Calculations[[#This Row],[C3 total]]+Calculations[[#This Row],[C4 total]])*Calculations[[#This Row],[Replacements]],0)</f>
        <v>0</v>
      </c>
      <c r="S1431" t="str">
        <f>IFERROR(VLOOKUP(Calculations[[#This Row],[Material (choose from dropdown]],MaterialData[#All],4,FALSE),"")</f>
        <v/>
      </c>
      <c r="T1431" s="322" cm="1">
        <f t="array" ref="T1431">IFERROR(VLOOKUP(Calculations[[#This Row],[Waste 1]],WasteScenario[#All],2,FALSE)*'Stage assumptions'!$C$225*WasteTransportMethod[Emissions Factor
kgCO2e/kg.km]*Calculations[[#This Row],[Total Kg]],0)</f>
        <v>0</v>
      </c>
      <c r="U1431" s="322" cm="1">
        <f t="array" ref="U1431">IFERROR(VLOOKUP(Calculations[[#This Row],[Waste 1]],WasteScenario[#All],3,FALSE)*'Stage assumptions'!$C$224*WasteTransportMethod[Emissions Factor
kgCO2e/kg.km]*Calculations[[#This Row],[Total Kg]],0)</f>
        <v>0</v>
      </c>
      <c r="V1431" s="322" cm="1">
        <f t="array" ref="V1431">IFERROR(VLOOKUP(Calculations[[#This Row],[Waste 1]],WasteScenario[#All],4,FALSE)*'Stage assumptions'!$C$223*WasteTransportMethod[Emissions Factor
kgCO2e/kg.km]*Calculations[[#This Row],[Total Kg]],0)</f>
        <v>0</v>
      </c>
      <c r="W1431" s="322" cm="1">
        <f t="array" ref="W1431">IFERROR(VLOOKUP(Calculations[[#This Row],[Waste 1]],WasteScenario[#All],5,FALSE)*'Stage assumptions'!$C$226*WasteTransportMethod[Emissions Factor
kgCO2e/kg.km]*Calculations[[#This Row],[Total Kg]],0)</f>
        <v>0</v>
      </c>
      <c r="X1431" s="322">
        <f>SUM(Calculations[[#This Row],[C2 Recycle]:[C2 Reuse]])</f>
        <v>0</v>
      </c>
      <c r="Y1431" t="str">
        <f>IFERROR(VLOOKUP(Calculations[[#This Row],[Material (choose from dropdown]],MaterialData[#All],5,FALSE),"")</f>
        <v/>
      </c>
      <c r="Z1431" s="322">
        <f>IFERROR(((VLOOKUP(Calculations[[#This Row],[Waste type 2]],WasteDisposalEmissions[#All],2,FALSE))*Calculations[[#This Row],[Total Kg]])*VLOOKUP(Calculations[[#This Row],[Waste 1]],WasteScenario[#All],2,FALSE),0)</f>
        <v>0</v>
      </c>
      <c r="AA1431" s="322">
        <f>IFERROR((VLOOKUP(Calculations[[#This Row],[Waste type 2]],WasteDisposalEmissions[#All],3,FALSE))*Calculations[[#This Row],[Total Kg]]*VLOOKUP(Calculations[[#This Row],[Waste 1]],WasteScenario[#All],3,FALSE),0)</f>
        <v>0</v>
      </c>
      <c r="AB1431" s="322">
        <f>SUM(Calculations[[#This Row],[C3 recyc]:[C3 incin]])</f>
        <v>0</v>
      </c>
      <c r="AC1431" s="334">
        <f>IFERROR((VLOOKUP(Calculations[[#This Row],[Waste type 2]],WasteLandfillEmissions[#All],2,FALSE))*Calculations[[#This Row],[Total Kg]]*VLOOKUP(Calculations[[#This Row],[Waste 1]],WasteScenario[#All],4,FALSE),0)</f>
        <v>0</v>
      </c>
      <c r="AD1431" s="322">
        <f>IFERROR((VLOOKUP(Calculations[[#This Row],[Waste type 2]],WasteLandfillEmissions[#All],3,FALSE))*Calculations[[#This Row],[Total Kg]]*VLOOKUP(Calculations[[#This Row],[Waste 1]],WasteScenario[#All],4,FALSE),0)</f>
        <v>0</v>
      </c>
      <c r="AE1431" s="322">
        <f>SUM(Calculations[[#This Row],[C4 landfill]:[C4 re-use]])</f>
        <v>0</v>
      </c>
      <c r="AF1431" s="322">
        <f>IFERROR(VLOOKUP(Calculations[[#This Row],[Material (choose from dropdown]],MaterialData[#All],8,FALSE),0)</f>
        <v>0</v>
      </c>
      <c r="AG1431" s="322">
        <f>IFERROR(Calculations[[#This Row],[Total Kg]]*Calculations[[#This Row],[Seq factor]],0)</f>
        <v>0</v>
      </c>
      <c r="AI1431" s="322">
        <f>Calculations[[#This Row],[A1-3]]+Calculations[[#This Row],[A4]]+Calculations[[#This Row],[A5]]+Calculations[[#This Row],[B4]]+Calculations[[#This Row],[C2 total]]+Calculations[[#This Row],[C3 total]]+Calculations[[#This Row],[C4 total]]</f>
        <v>0</v>
      </c>
      <c r="AJ1431" s="2">
        <f>IFERROR(VLOOKUP(Calculations[[#This Row],[Material (choose from dropdown]],MaterialData[[#Headers],[#Data]],9,FALSE),0)</f>
        <v>0</v>
      </c>
      <c r="AK1431" s="4">
        <f>IFERROR(VLOOKUP(Calculations[[#This Row],[Material (choose from dropdown]],MaterialData[[#Headers],[#Data]],10,FALSE),0)</f>
        <v>0</v>
      </c>
      <c r="AL1431" s="322">
        <f>IFERROR(Calculations[[#This Row],[Data Quality Score]]*Calculations[[#This Row],[Total Kg]],0)</f>
        <v>0</v>
      </c>
    </row>
    <row r="1432" spans="1:38" x14ac:dyDescent="0.3">
      <c r="A1432" s="6">
        <f>IFERROR(MaterialsBoQ[[#This Row],[Scope Element]],0)</f>
        <v>0</v>
      </c>
      <c r="B1432" t="str">
        <f>IFERROR(MaterialsBoQ[[#This Row],[Material ]],"")</f>
        <v/>
      </c>
      <c r="C1432" t="str">
        <f>IFERROR(MaterialsBoQ[[#This Row],[Unit]],"")</f>
        <v/>
      </c>
      <c r="D1432" s="322">
        <f>IFERROR(MaterialsBoQ[[#This Row],[Number]],0)</f>
        <v>0</v>
      </c>
      <c r="E1432" s="322">
        <f>IFERROR(MaterialsBoQ[[#This Row],[Kg per unit]],0)</f>
        <v>0</v>
      </c>
      <c r="F1432" s="322">
        <f>IFERROR(Calculations[[#This Row],[Number]]*Calculations[[#This Row],[Conversion factor]],0)</f>
        <v>0</v>
      </c>
      <c r="G1432" s="322">
        <f>IFERROR(VLOOKUP(Calculations[[#This Row],[Material (choose from dropdown]],MaterialData[#All],7,FALSE),0)</f>
        <v>0</v>
      </c>
      <c r="H1432" s="322">
        <f>Calculations[[#This Row],[Total Kg]]*Calculations[[#This Row],[Carbon Factor]]</f>
        <v>0</v>
      </c>
      <c r="I1432" t="str">
        <f>IFERROR(VLOOKUP(Calculations[[#This Row],[Material (choose from dropdown]],MaterialData[#All],2,FALSE),"")</f>
        <v/>
      </c>
      <c r="J1432" s="322">
        <f>IFERROR(((VLOOKUP(Calculations[[#This Row],[TransportSource]],TransportDistance[],2,FALSE)*'Stage assumptions'!$C$11)+VLOOKUP(Calculations[[#This Row],[TransportSource]],TransportDistance[],3,FALSE)*'Stage assumptions'!$C$12)*Calculations[[#This Row],[Total Kg]],0)</f>
        <v>0</v>
      </c>
      <c r="K1432">
        <f>IFERROR(VLOOKUP(Calculations[[#This Row],[Material (choose from dropdown]], MaterialData[#All],3, FALSE),0)</f>
        <v>0</v>
      </c>
      <c r="L1432" s="322">
        <f>IFERROR(VLOOKUP(Calculations[[#This Row],[A5type]],A5WastageRate[#All],2,FALSE)*Calculations[[#This Row],[A1-3]],0)</f>
        <v>0</v>
      </c>
      <c r="N1432">
        <f>IFERROR(ROUNDUP(50/VLOOKUP(Calculations[[#This Row],[Scope Element]],B4referenceServiceLife[[Tier 2 element]:[Default Service Life]],2, FALSE)-1,0),0)</f>
        <v>0</v>
      </c>
      <c r="O1432" s="322">
        <f>IFERROR((Calculations[[#This Row],[A1-3]]+Calculations[[#This Row],[A4]]+Calculations[[#This Row],[A5]]+Calculations[[#This Row],[C2 total]]+Calculations[[#This Row],[C3 total]]+Calculations[[#This Row],[C4 total]])*Calculations[[#This Row],[Replacements]],0)</f>
        <v>0</v>
      </c>
      <c r="S1432" t="str">
        <f>IFERROR(VLOOKUP(Calculations[[#This Row],[Material (choose from dropdown]],MaterialData[#All],4,FALSE),"")</f>
        <v/>
      </c>
      <c r="T1432" s="322" cm="1">
        <f t="array" ref="T1432">IFERROR(VLOOKUP(Calculations[[#This Row],[Waste 1]],WasteScenario[#All],2,FALSE)*'Stage assumptions'!$C$225*WasteTransportMethod[Emissions Factor
kgCO2e/kg.km]*Calculations[[#This Row],[Total Kg]],0)</f>
        <v>0</v>
      </c>
      <c r="U1432" s="322" cm="1">
        <f t="array" ref="U1432">IFERROR(VLOOKUP(Calculations[[#This Row],[Waste 1]],WasteScenario[#All],3,FALSE)*'Stage assumptions'!$C$224*WasteTransportMethod[Emissions Factor
kgCO2e/kg.km]*Calculations[[#This Row],[Total Kg]],0)</f>
        <v>0</v>
      </c>
      <c r="V1432" s="322" cm="1">
        <f t="array" ref="V1432">IFERROR(VLOOKUP(Calculations[[#This Row],[Waste 1]],WasteScenario[#All],4,FALSE)*'Stage assumptions'!$C$223*WasteTransportMethod[Emissions Factor
kgCO2e/kg.km]*Calculations[[#This Row],[Total Kg]],0)</f>
        <v>0</v>
      </c>
      <c r="W1432" s="322" cm="1">
        <f t="array" ref="W1432">IFERROR(VLOOKUP(Calculations[[#This Row],[Waste 1]],WasteScenario[#All],5,FALSE)*'Stage assumptions'!$C$226*WasteTransportMethod[Emissions Factor
kgCO2e/kg.km]*Calculations[[#This Row],[Total Kg]],0)</f>
        <v>0</v>
      </c>
      <c r="X1432" s="322">
        <f>SUM(Calculations[[#This Row],[C2 Recycle]:[C2 Reuse]])</f>
        <v>0</v>
      </c>
      <c r="Y1432" t="str">
        <f>IFERROR(VLOOKUP(Calculations[[#This Row],[Material (choose from dropdown]],MaterialData[#All],5,FALSE),"")</f>
        <v/>
      </c>
      <c r="Z1432" s="322">
        <f>IFERROR(((VLOOKUP(Calculations[[#This Row],[Waste type 2]],WasteDisposalEmissions[#All],2,FALSE))*Calculations[[#This Row],[Total Kg]])*VLOOKUP(Calculations[[#This Row],[Waste 1]],WasteScenario[#All],2,FALSE),0)</f>
        <v>0</v>
      </c>
      <c r="AA1432" s="322">
        <f>IFERROR((VLOOKUP(Calculations[[#This Row],[Waste type 2]],WasteDisposalEmissions[#All],3,FALSE))*Calculations[[#This Row],[Total Kg]]*VLOOKUP(Calculations[[#This Row],[Waste 1]],WasteScenario[#All],3,FALSE),0)</f>
        <v>0</v>
      </c>
      <c r="AB1432" s="322">
        <f>SUM(Calculations[[#This Row],[C3 recyc]:[C3 incin]])</f>
        <v>0</v>
      </c>
      <c r="AC1432" s="334">
        <f>IFERROR((VLOOKUP(Calculations[[#This Row],[Waste type 2]],WasteLandfillEmissions[#All],2,FALSE))*Calculations[[#This Row],[Total Kg]]*VLOOKUP(Calculations[[#This Row],[Waste 1]],WasteScenario[#All],4,FALSE),0)</f>
        <v>0</v>
      </c>
      <c r="AD1432" s="322">
        <f>IFERROR((VLOOKUP(Calculations[[#This Row],[Waste type 2]],WasteLandfillEmissions[#All],3,FALSE))*Calculations[[#This Row],[Total Kg]]*VLOOKUP(Calculations[[#This Row],[Waste 1]],WasteScenario[#All],4,FALSE),0)</f>
        <v>0</v>
      </c>
      <c r="AE1432" s="322">
        <f>SUM(Calculations[[#This Row],[C4 landfill]:[C4 re-use]])</f>
        <v>0</v>
      </c>
      <c r="AF1432" s="322">
        <f>IFERROR(VLOOKUP(Calculations[[#This Row],[Material (choose from dropdown]],MaterialData[#All],8,FALSE),0)</f>
        <v>0</v>
      </c>
      <c r="AG1432" s="322">
        <f>IFERROR(Calculations[[#This Row],[Total Kg]]*Calculations[[#This Row],[Seq factor]],0)</f>
        <v>0</v>
      </c>
      <c r="AI1432" s="322">
        <f>Calculations[[#This Row],[A1-3]]+Calculations[[#This Row],[A4]]+Calculations[[#This Row],[A5]]+Calculations[[#This Row],[B4]]+Calculations[[#This Row],[C2 total]]+Calculations[[#This Row],[C3 total]]+Calculations[[#This Row],[C4 total]]</f>
        <v>0</v>
      </c>
      <c r="AJ1432" s="2">
        <f>IFERROR(VLOOKUP(Calculations[[#This Row],[Material (choose from dropdown]],MaterialData[[#Headers],[#Data]],9,FALSE),0)</f>
        <v>0</v>
      </c>
      <c r="AK1432" s="4">
        <f>IFERROR(VLOOKUP(Calculations[[#This Row],[Material (choose from dropdown]],MaterialData[[#Headers],[#Data]],10,FALSE),0)</f>
        <v>0</v>
      </c>
      <c r="AL1432" s="322">
        <f>IFERROR(Calculations[[#This Row],[Data Quality Score]]*Calculations[[#This Row],[Total Kg]],0)</f>
        <v>0</v>
      </c>
    </row>
    <row r="1433" spans="1:38" x14ac:dyDescent="0.3">
      <c r="A1433" s="6">
        <f>IFERROR(MaterialsBoQ[[#This Row],[Scope Element]],0)</f>
        <v>0</v>
      </c>
      <c r="B1433" t="str">
        <f>IFERROR(MaterialsBoQ[[#This Row],[Material ]],"")</f>
        <v/>
      </c>
      <c r="C1433" t="str">
        <f>IFERROR(MaterialsBoQ[[#This Row],[Unit]],"")</f>
        <v/>
      </c>
      <c r="D1433" s="322">
        <f>IFERROR(MaterialsBoQ[[#This Row],[Number]],0)</f>
        <v>0</v>
      </c>
      <c r="E1433" s="322">
        <f>IFERROR(MaterialsBoQ[[#This Row],[Kg per unit]],0)</f>
        <v>0</v>
      </c>
      <c r="F1433" s="322">
        <f>IFERROR(Calculations[[#This Row],[Number]]*Calculations[[#This Row],[Conversion factor]],0)</f>
        <v>0</v>
      </c>
      <c r="G1433" s="322">
        <f>IFERROR(VLOOKUP(Calculations[[#This Row],[Material (choose from dropdown]],MaterialData[#All],7,FALSE),0)</f>
        <v>0</v>
      </c>
      <c r="H1433" s="322">
        <f>Calculations[[#This Row],[Total Kg]]*Calculations[[#This Row],[Carbon Factor]]</f>
        <v>0</v>
      </c>
      <c r="I1433" t="str">
        <f>IFERROR(VLOOKUP(Calculations[[#This Row],[Material (choose from dropdown]],MaterialData[#All],2,FALSE),"")</f>
        <v/>
      </c>
      <c r="J1433" s="322">
        <f>IFERROR(((VLOOKUP(Calculations[[#This Row],[TransportSource]],TransportDistance[],2,FALSE)*'Stage assumptions'!$C$11)+VLOOKUP(Calculations[[#This Row],[TransportSource]],TransportDistance[],3,FALSE)*'Stage assumptions'!$C$12)*Calculations[[#This Row],[Total Kg]],0)</f>
        <v>0</v>
      </c>
      <c r="K1433">
        <f>IFERROR(VLOOKUP(Calculations[[#This Row],[Material (choose from dropdown]], MaterialData[#All],3, FALSE),0)</f>
        <v>0</v>
      </c>
      <c r="L1433" s="322">
        <f>IFERROR(VLOOKUP(Calculations[[#This Row],[A5type]],A5WastageRate[#All],2,FALSE)*Calculations[[#This Row],[A1-3]],0)</f>
        <v>0</v>
      </c>
      <c r="N1433">
        <f>IFERROR(ROUNDUP(50/VLOOKUP(Calculations[[#This Row],[Scope Element]],B4referenceServiceLife[[Tier 2 element]:[Default Service Life]],2, FALSE)-1,0),0)</f>
        <v>0</v>
      </c>
      <c r="O1433" s="322">
        <f>IFERROR((Calculations[[#This Row],[A1-3]]+Calculations[[#This Row],[A4]]+Calculations[[#This Row],[A5]]+Calculations[[#This Row],[C2 total]]+Calculations[[#This Row],[C3 total]]+Calculations[[#This Row],[C4 total]])*Calculations[[#This Row],[Replacements]],0)</f>
        <v>0</v>
      </c>
      <c r="S1433" t="str">
        <f>IFERROR(VLOOKUP(Calculations[[#This Row],[Material (choose from dropdown]],MaterialData[#All],4,FALSE),"")</f>
        <v/>
      </c>
      <c r="T1433" s="322" cm="1">
        <f t="array" ref="T1433">IFERROR(VLOOKUP(Calculations[[#This Row],[Waste 1]],WasteScenario[#All],2,FALSE)*'Stage assumptions'!$C$225*WasteTransportMethod[Emissions Factor
kgCO2e/kg.km]*Calculations[[#This Row],[Total Kg]],0)</f>
        <v>0</v>
      </c>
      <c r="U1433" s="322" cm="1">
        <f t="array" ref="U1433">IFERROR(VLOOKUP(Calculations[[#This Row],[Waste 1]],WasteScenario[#All],3,FALSE)*'Stage assumptions'!$C$224*WasteTransportMethod[Emissions Factor
kgCO2e/kg.km]*Calculations[[#This Row],[Total Kg]],0)</f>
        <v>0</v>
      </c>
      <c r="V1433" s="322" cm="1">
        <f t="array" ref="V1433">IFERROR(VLOOKUP(Calculations[[#This Row],[Waste 1]],WasteScenario[#All],4,FALSE)*'Stage assumptions'!$C$223*WasteTransportMethod[Emissions Factor
kgCO2e/kg.km]*Calculations[[#This Row],[Total Kg]],0)</f>
        <v>0</v>
      </c>
      <c r="W1433" s="322" cm="1">
        <f t="array" ref="W1433">IFERROR(VLOOKUP(Calculations[[#This Row],[Waste 1]],WasteScenario[#All],5,FALSE)*'Stage assumptions'!$C$226*WasteTransportMethod[Emissions Factor
kgCO2e/kg.km]*Calculations[[#This Row],[Total Kg]],0)</f>
        <v>0</v>
      </c>
      <c r="X1433" s="322">
        <f>SUM(Calculations[[#This Row],[C2 Recycle]:[C2 Reuse]])</f>
        <v>0</v>
      </c>
      <c r="Y1433" t="str">
        <f>IFERROR(VLOOKUP(Calculations[[#This Row],[Material (choose from dropdown]],MaterialData[#All],5,FALSE),"")</f>
        <v/>
      </c>
      <c r="Z1433" s="322">
        <f>IFERROR(((VLOOKUP(Calculations[[#This Row],[Waste type 2]],WasteDisposalEmissions[#All],2,FALSE))*Calculations[[#This Row],[Total Kg]])*VLOOKUP(Calculations[[#This Row],[Waste 1]],WasteScenario[#All],2,FALSE),0)</f>
        <v>0</v>
      </c>
      <c r="AA1433" s="322">
        <f>IFERROR((VLOOKUP(Calculations[[#This Row],[Waste type 2]],WasteDisposalEmissions[#All],3,FALSE))*Calculations[[#This Row],[Total Kg]]*VLOOKUP(Calculations[[#This Row],[Waste 1]],WasteScenario[#All],3,FALSE),0)</f>
        <v>0</v>
      </c>
      <c r="AB1433" s="322">
        <f>SUM(Calculations[[#This Row],[C3 recyc]:[C3 incin]])</f>
        <v>0</v>
      </c>
      <c r="AC1433" s="334">
        <f>IFERROR((VLOOKUP(Calculations[[#This Row],[Waste type 2]],WasteLandfillEmissions[#All],2,FALSE))*Calculations[[#This Row],[Total Kg]]*VLOOKUP(Calculations[[#This Row],[Waste 1]],WasteScenario[#All],4,FALSE),0)</f>
        <v>0</v>
      </c>
      <c r="AD1433" s="322">
        <f>IFERROR((VLOOKUP(Calculations[[#This Row],[Waste type 2]],WasteLandfillEmissions[#All],3,FALSE))*Calculations[[#This Row],[Total Kg]]*VLOOKUP(Calculations[[#This Row],[Waste 1]],WasteScenario[#All],4,FALSE),0)</f>
        <v>0</v>
      </c>
      <c r="AE1433" s="322">
        <f>SUM(Calculations[[#This Row],[C4 landfill]:[C4 re-use]])</f>
        <v>0</v>
      </c>
      <c r="AF1433" s="322">
        <f>IFERROR(VLOOKUP(Calculations[[#This Row],[Material (choose from dropdown]],MaterialData[#All],8,FALSE),0)</f>
        <v>0</v>
      </c>
      <c r="AG1433" s="322">
        <f>IFERROR(Calculations[[#This Row],[Total Kg]]*Calculations[[#This Row],[Seq factor]],0)</f>
        <v>0</v>
      </c>
      <c r="AI1433" s="322">
        <f>Calculations[[#This Row],[A1-3]]+Calculations[[#This Row],[A4]]+Calculations[[#This Row],[A5]]+Calculations[[#This Row],[B4]]+Calculations[[#This Row],[C2 total]]+Calculations[[#This Row],[C3 total]]+Calculations[[#This Row],[C4 total]]</f>
        <v>0</v>
      </c>
      <c r="AJ1433" s="2">
        <f>IFERROR(VLOOKUP(Calculations[[#This Row],[Material (choose from dropdown]],MaterialData[[#Headers],[#Data]],9,FALSE),0)</f>
        <v>0</v>
      </c>
      <c r="AK1433" s="4">
        <f>IFERROR(VLOOKUP(Calculations[[#This Row],[Material (choose from dropdown]],MaterialData[[#Headers],[#Data]],10,FALSE),0)</f>
        <v>0</v>
      </c>
      <c r="AL1433" s="322">
        <f>IFERROR(Calculations[[#This Row],[Data Quality Score]]*Calculations[[#This Row],[Total Kg]],0)</f>
        <v>0</v>
      </c>
    </row>
    <row r="1434" spans="1:38" x14ac:dyDescent="0.3">
      <c r="A1434" s="6">
        <f>IFERROR(MaterialsBoQ[[#This Row],[Scope Element]],0)</f>
        <v>0</v>
      </c>
      <c r="B1434" t="str">
        <f>IFERROR(MaterialsBoQ[[#This Row],[Material ]],"")</f>
        <v/>
      </c>
      <c r="C1434" t="str">
        <f>IFERROR(MaterialsBoQ[[#This Row],[Unit]],"")</f>
        <v/>
      </c>
      <c r="D1434" s="322">
        <f>IFERROR(MaterialsBoQ[[#This Row],[Number]],0)</f>
        <v>0</v>
      </c>
      <c r="E1434" s="322">
        <f>IFERROR(MaterialsBoQ[[#This Row],[Kg per unit]],0)</f>
        <v>0</v>
      </c>
      <c r="F1434" s="322">
        <f>IFERROR(Calculations[[#This Row],[Number]]*Calculations[[#This Row],[Conversion factor]],0)</f>
        <v>0</v>
      </c>
      <c r="G1434" s="322">
        <f>IFERROR(VLOOKUP(Calculations[[#This Row],[Material (choose from dropdown]],MaterialData[#All],7,FALSE),0)</f>
        <v>0</v>
      </c>
      <c r="H1434" s="322">
        <f>Calculations[[#This Row],[Total Kg]]*Calculations[[#This Row],[Carbon Factor]]</f>
        <v>0</v>
      </c>
      <c r="I1434" t="str">
        <f>IFERROR(VLOOKUP(Calculations[[#This Row],[Material (choose from dropdown]],MaterialData[#All],2,FALSE),"")</f>
        <v/>
      </c>
      <c r="J1434" s="322">
        <f>IFERROR(((VLOOKUP(Calculations[[#This Row],[TransportSource]],TransportDistance[],2,FALSE)*'Stage assumptions'!$C$11)+VLOOKUP(Calculations[[#This Row],[TransportSource]],TransportDistance[],3,FALSE)*'Stage assumptions'!$C$12)*Calculations[[#This Row],[Total Kg]],0)</f>
        <v>0</v>
      </c>
      <c r="K1434">
        <f>IFERROR(VLOOKUP(Calculations[[#This Row],[Material (choose from dropdown]], MaterialData[#All],3, FALSE),0)</f>
        <v>0</v>
      </c>
      <c r="L1434" s="322">
        <f>IFERROR(VLOOKUP(Calculations[[#This Row],[A5type]],A5WastageRate[#All],2,FALSE)*Calculations[[#This Row],[A1-3]],0)</f>
        <v>0</v>
      </c>
      <c r="N1434">
        <f>IFERROR(ROUNDUP(50/VLOOKUP(Calculations[[#This Row],[Scope Element]],B4referenceServiceLife[[Tier 2 element]:[Default Service Life]],2, FALSE)-1,0),0)</f>
        <v>0</v>
      </c>
      <c r="O1434" s="322">
        <f>IFERROR((Calculations[[#This Row],[A1-3]]+Calculations[[#This Row],[A4]]+Calculations[[#This Row],[A5]]+Calculations[[#This Row],[C2 total]]+Calculations[[#This Row],[C3 total]]+Calculations[[#This Row],[C4 total]])*Calculations[[#This Row],[Replacements]],0)</f>
        <v>0</v>
      </c>
      <c r="S1434" t="str">
        <f>IFERROR(VLOOKUP(Calculations[[#This Row],[Material (choose from dropdown]],MaterialData[#All],4,FALSE),"")</f>
        <v/>
      </c>
      <c r="T1434" s="322" cm="1">
        <f t="array" ref="T1434">IFERROR(VLOOKUP(Calculations[[#This Row],[Waste 1]],WasteScenario[#All],2,FALSE)*'Stage assumptions'!$C$225*WasteTransportMethod[Emissions Factor
kgCO2e/kg.km]*Calculations[[#This Row],[Total Kg]],0)</f>
        <v>0</v>
      </c>
      <c r="U1434" s="322" cm="1">
        <f t="array" ref="U1434">IFERROR(VLOOKUP(Calculations[[#This Row],[Waste 1]],WasteScenario[#All],3,FALSE)*'Stage assumptions'!$C$224*WasteTransportMethod[Emissions Factor
kgCO2e/kg.km]*Calculations[[#This Row],[Total Kg]],0)</f>
        <v>0</v>
      </c>
      <c r="V1434" s="322" cm="1">
        <f t="array" ref="V1434">IFERROR(VLOOKUP(Calculations[[#This Row],[Waste 1]],WasteScenario[#All],4,FALSE)*'Stage assumptions'!$C$223*WasteTransportMethod[Emissions Factor
kgCO2e/kg.km]*Calculations[[#This Row],[Total Kg]],0)</f>
        <v>0</v>
      </c>
      <c r="W1434" s="322" cm="1">
        <f t="array" ref="W1434">IFERROR(VLOOKUP(Calculations[[#This Row],[Waste 1]],WasteScenario[#All],5,FALSE)*'Stage assumptions'!$C$226*WasteTransportMethod[Emissions Factor
kgCO2e/kg.km]*Calculations[[#This Row],[Total Kg]],0)</f>
        <v>0</v>
      </c>
      <c r="X1434" s="322">
        <f>SUM(Calculations[[#This Row],[C2 Recycle]:[C2 Reuse]])</f>
        <v>0</v>
      </c>
      <c r="Y1434" t="str">
        <f>IFERROR(VLOOKUP(Calculations[[#This Row],[Material (choose from dropdown]],MaterialData[#All],5,FALSE),"")</f>
        <v/>
      </c>
      <c r="Z1434" s="322">
        <f>IFERROR(((VLOOKUP(Calculations[[#This Row],[Waste type 2]],WasteDisposalEmissions[#All],2,FALSE))*Calculations[[#This Row],[Total Kg]])*VLOOKUP(Calculations[[#This Row],[Waste 1]],WasteScenario[#All],2,FALSE),0)</f>
        <v>0</v>
      </c>
      <c r="AA1434" s="322">
        <f>IFERROR((VLOOKUP(Calculations[[#This Row],[Waste type 2]],WasteDisposalEmissions[#All],3,FALSE))*Calculations[[#This Row],[Total Kg]]*VLOOKUP(Calculations[[#This Row],[Waste 1]],WasteScenario[#All],3,FALSE),0)</f>
        <v>0</v>
      </c>
      <c r="AB1434" s="322">
        <f>SUM(Calculations[[#This Row],[C3 recyc]:[C3 incin]])</f>
        <v>0</v>
      </c>
      <c r="AC1434" s="334">
        <f>IFERROR((VLOOKUP(Calculations[[#This Row],[Waste type 2]],WasteLandfillEmissions[#All],2,FALSE))*Calculations[[#This Row],[Total Kg]]*VLOOKUP(Calculations[[#This Row],[Waste 1]],WasteScenario[#All],4,FALSE),0)</f>
        <v>0</v>
      </c>
      <c r="AD1434" s="322">
        <f>IFERROR((VLOOKUP(Calculations[[#This Row],[Waste type 2]],WasteLandfillEmissions[#All],3,FALSE))*Calculations[[#This Row],[Total Kg]]*VLOOKUP(Calculations[[#This Row],[Waste 1]],WasteScenario[#All],4,FALSE),0)</f>
        <v>0</v>
      </c>
      <c r="AE1434" s="322">
        <f>SUM(Calculations[[#This Row],[C4 landfill]:[C4 re-use]])</f>
        <v>0</v>
      </c>
      <c r="AF1434" s="322">
        <f>IFERROR(VLOOKUP(Calculations[[#This Row],[Material (choose from dropdown]],MaterialData[#All],8,FALSE),0)</f>
        <v>0</v>
      </c>
      <c r="AG1434" s="322">
        <f>IFERROR(Calculations[[#This Row],[Total Kg]]*Calculations[[#This Row],[Seq factor]],0)</f>
        <v>0</v>
      </c>
      <c r="AI1434" s="322">
        <f>Calculations[[#This Row],[A1-3]]+Calculations[[#This Row],[A4]]+Calculations[[#This Row],[A5]]+Calculations[[#This Row],[B4]]+Calculations[[#This Row],[C2 total]]+Calculations[[#This Row],[C3 total]]+Calculations[[#This Row],[C4 total]]</f>
        <v>0</v>
      </c>
      <c r="AJ1434" s="2">
        <f>IFERROR(VLOOKUP(Calculations[[#This Row],[Material (choose from dropdown]],MaterialData[[#Headers],[#Data]],9,FALSE),0)</f>
        <v>0</v>
      </c>
      <c r="AK1434" s="4">
        <f>IFERROR(VLOOKUP(Calculations[[#This Row],[Material (choose from dropdown]],MaterialData[[#Headers],[#Data]],10,FALSE),0)</f>
        <v>0</v>
      </c>
      <c r="AL1434" s="322">
        <f>IFERROR(Calculations[[#This Row],[Data Quality Score]]*Calculations[[#This Row],[Total Kg]],0)</f>
        <v>0</v>
      </c>
    </row>
    <row r="1435" spans="1:38" x14ac:dyDescent="0.3">
      <c r="A1435" s="6">
        <f>IFERROR(MaterialsBoQ[[#This Row],[Scope Element]],0)</f>
        <v>0</v>
      </c>
      <c r="B1435" t="str">
        <f>IFERROR(MaterialsBoQ[[#This Row],[Material ]],"")</f>
        <v/>
      </c>
      <c r="C1435" t="str">
        <f>IFERROR(MaterialsBoQ[[#This Row],[Unit]],"")</f>
        <v/>
      </c>
      <c r="D1435" s="322">
        <f>IFERROR(MaterialsBoQ[[#This Row],[Number]],0)</f>
        <v>0</v>
      </c>
      <c r="E1435" s="322">
        <f>IFERROR(MaterialsBoQ[[#This Row],[Kg per unit]],0)</f>
        <v>0</v>
      </c>
      <c r="F1435" s="322">
        <f>IFERROR(Calculations[[#This Row],[Number]]*Calculations[[#This Row],[Conversion factor]],0)</f>
        <v>0</v>
      </c>
      <c r="G1435" s="322">
        <f>IFERROR(VLOOKUP(Calculations[[#This Row],[Material (choose from dropdown]],MaterialData[#All],7,FALSE),0)</f>
        <v>0</v>
      </c>
      <c r="H1435" s="322">
        <f>Calculations[[#This Row],[Total Kg]]*Calculations[[#This Row],[Carbon Factor]]</f>
        <v>0</v>
      </c>
      <c r="I1435" t="str">
        <f>IFERROR(VLOOKUP(Calculations[[#This Row],[Material (choose from dropdown]],MaterialData[#All],2,FALSE),"")</f>
        <v/>
      </c>
      <c r="J1435" s="322">
        <f>IFERROR(((VLOOKUP(Calculations[[#This Row],[TransportSource]],TransportDistance[],2,FALSE)*'Stage assumptions'!$C$11)+VLOOKUP(Calculations[[#This Row],[TransportSource]],TransportDistance[],3,FALSE)*'Stage assumptions'!$C$12)*Calculations[[#This Row],[Total Kg]],0)</f>
        <v>0</v>
      </c>
      <c r="K1435">
        <f>IFERROR(VLOOKUP(Calculations[[#This Row],[Material (choose from dropdown]], MaterialData[#All],3, FALSE),0)</f>
        <v>0</v>
      </c>
      <c r="L1435" s="322">
        <f>IFERROR(VLOOKUP(Calculations[[#This Row],[A5type]],A5WastageRate[#All],2,FALSE)*Calculations[[#This Row],[A1-3]],0)</f>
        <v>0</v>
      </c>
      <c r="N1435">
        <f>IFERROR(ROUNDUP(50/VLOOKUP(Calculations[[#This Row],[Scope Element]],B4referenceServiceLife[[Tier 2 element]:[Default Service Life]],2, FALSE)-1,0),0)</f>
        <v>0</v>
      </c>
      <c r="O1435" s="322">
        <f>IFERROR((Calculations[[#This Row],[A1-3]]+Calculations[[#This Row],[A4]]+Calculations[[#This Row],[A5]]+Calculations[[#This Row],[C2 total]]+Calculations[[#This Row],[C3 total]]+Calculations[[#This Row],[C4 total]])*Calculations[[#This Row],[Replacements]],0)</f>
        <v>0</v>
      </c>
      <c r="S1435" t="str">
        <f>IFERROR(VLOOKUP(Calculations[[#This Row],[Material (choose from dropdown]],MaterialData[#All],4,FALSE),"")</f>
        <v/>
      </c>
      <c r="T1435" s="322" cm="1">
        <f t="array" ref="T1435">IFERROR(VLOOKUP(Calculations[[#This Row],[Waste 1]],WasteScenario[#All],2,FALSE)*'Stage assumptions'!$C$225*WasteTransportMethod[Emissions Factor
kgCO2e/kg.km]*Calculations[[#This Row],[Total Kg]],0)</f>
        <v>0</v>
      </c>
      <c r="U1435" s="322" cm="1">
        <f t="array" ref="U1435">IFERROR(VLOOKUP(Calculations[[#This Row],[Waste 1]],WasteScenario[#All],3,FALSE)*'Stage assumptions'!$C$224*WasteTransportMethod[Emissions Factor
kgCO2e/kg.km]*Calculations[[#This Row],[Total Kg]],0)</f>
        <v>0</v>
      </c>
      <c r="V1435" s="322" cm="1">
        <f t="array" ref="V1435">IFERROR(VLOOKUP(Calculations[[#This Row],[Waste 1]],WasteScenario[#All],4,FALSE)*'Stage assumptions'!$C$223*WasteTransportMethod[Emissions Factor
kgCO2e/kg.km]*Calculations[[#This Row],[Total Kg]],0)</f>
        <v>0</v>
      </c>
      <c r="W1435" s="322" cm="1">
        <f t="array" ref="W1435">IFERROR(VLOOKUP(Calculations[[#This Row],[Waste 1]],WasteScenario[#All],5,FALSE)*'Stage assumptions'!$C$226*WasteTransportMethod[Emissions Factor
kgCO2e/kg.km]*Calculations[[#This Row],[Total Kg]],0)</f>
        <v>0</v>
      </c>
      <c r="X1435" s="322">
        <f>SUM(Calculations[[#This Row],[C2 Recycle]:[C2 Reuse]])</f>
        <v>0</v>
      </c>
      <c r="Y1435" t="str">
        <f>IFERROR(VLOOKUP(Calculations[[#This Row],[Material (choose from dropdown]],MaterialData[#All],5,FALSE),"")</f>
        <v/>
      </c>
      <c r="Z1435" s="322">
        <f>IFERROR(((VLOOKUP(Calculations[[#This Row],[Waste type 2]],WasteDisposalEmissions[#All],2,FALSE))*Calculations[[#This Row],[Total Kg]])*VLOOKUP(Calculations[[#This Row],[Waste 1]],WasteScenario[#All],2,FALSE),0)</f>
        <v>0</v>
      </c>
      <c r="AA1435" s="322">
        <f>IFERROR((VLOOKUP(Calculations[[#This Row],[Waste type 2]],WasteDisposalEmissions[#All],3,FALSE))*Calculations[[#This Row],[Total Kg]]*VLOOKUP(Calculations[[#This Row],[Waste 1]],WasteScenario[#All],3,FALSE),0)</f>
        <v>0</v>
      </c>
      <c r="AB1435" s="322">
        <f>SUM(Calculations[[#This Row],[C3 recyc]:[C3 incin]])</f>
        <v>0</v>
      </c>
      <c r="AC1435" s="334">
        <f>IFERROR((VLOOKUP(Calculations[[#This Row],[Waste type 2]],WasteLandfillEmissions[#All],2,FALSE))*Calculations[[#This Row],[Total Kg]]*VLOOKUP(Calculations[[#This Row],[Waste 1]],WasteScenario[#All],4,FALSE),0)</f>
        <v>0</v>
      </c>
      <c r="AD1435" s="322">
        <f>IFERROR((VLOOKUP(Calculations[[#This Row],[Waste type 2]],WasteLandfillEmissions[#All],3,FALSE))*Calculations[[#This Row],[Total Kg]]*VLOOKUP(Calculations[[#This Row],[Waste 1]],WasteScenario[#All],4,FALSE),0)</f>
        <v>0</v>
      </c>
      <c r="AE1435" s="322">
        <f>SUM(Calculations[[#This Row],[C4 landfill]:[C4 re-use]])</f>
        <v>0</v>
      </c>
      <c r="AF1435" s="322">
        <f>IFERROR(VLOOKUP(Calculations[[#This Row],[Material (choose from dropdown]],MaterialData[#All],8,FALSE),0)</f>
        <v>0</v>
      </c>
      <c r="AG1435" s="322">
        <f>IFERROR(Calculations[[#This Row],[Total Kg]]*Calculations[[#This Row],[Seq factor]],0)</f>
        <v>0</v>
      </c>
      <c r="AI1435" s="322">
        <f>Calculations[[#This Row],[A1-3]]+Calculations[[#This Row],[A4]]+Calculations[[#This Row],[A5]]+Calculations[[#This Row],[B4]]+Calculations[[#This Row],[C2 total]]+Calculations[[#This Row],[C3 total]]+Calculations[[#This Row],[C4 total]]</f>
        <v>0</v>
      </c>
      <c r="AJ1435" s="2">
        <f>IFERROR(VLOOKUP(Calculations[[#This Row],[Material (choose from dropdown]],MaterialData[[#Headers],[#Data]],9,FALSE),0)</f>
        <v>0</v>
      </c>
      <c r="AK1435" s="4">
        <f>IFERROR(VLOOKUP(Calculations[[#This Row],[Material (choose from dropdown]],MaterialData[[#Headers],[#Data]],10,FALSE),0)</f>
        <v>0</v>
      </c>
      <c r="AL1435" s="322">
        <f>IFERROR(Calculations[[#This Row],[Data Quality Score]]*Calculations[[#This Row],[Total Kg]],0)</f>
        <v>0</v>
      </c>
    </row>
    <row r="1436" spans="1:38" x14ac:dyDescent="0.3">
      <c r="A1436" s="6">
        <f>IFERROR(MaterialsBoQ[[#This Row],[Scope Element]],0)</f>
        <v>0</v>
      </c>
      <c r="B1436" t="str">
        <f>IFERROR(MaterialsBoQ[[#This Row],[Material ]],"")</f>
        <v/>
      </c>
      <c r="C1436" t="str">
        <f>IFERROR(MaterialsBoQ[[#This Row],[Unit]],"")</f>
        <v/>
      </c>
      <c r="D1436" s="322">
        <f>IFERROR(MaterialsBoQ[[#This Row],[Number]],0)</f>
        <v>0</v>
      </c>
      <c r="E1436" s="322">
        <f>IFERROR(MaterialsBoQ[[#This Row],[Kg per unit]],0)</f>
        <v>0</v>
      </c>
      <c r="F1436" s="322">
        <f>IFERROR(Calculations[[#This Row],[Number]]*Calculations[[#This Row],[Conversion factor]],0)</f>
        <v>0</v>
      </c>
      <c r="G1436" s="322">
        <f>IFERROR(VLOOKUP(Calculations[[#This Row],[Material (choose from dropdown]],MaterialData[#All],7,FALSE),0)</f>
        <v>0</v>
      </c>
      <c r="H1436" s="322">
        <f>Calculations[[#This Row],[Total Kg]]*Calculations[[#This Row],[Carbon Factor]]</f>
        <v>0</v>
      </c>
      <c r="I1436" t="str">
        <f>IFERROR(VLOOKUP(Calculations[[#This Row],[Material (choose from dropdown]],MaterialData[#All],2,FALSE),"")</f>
        <v/>
      </c>
      <c r="J1436" s="322">
        <f>IFERROR(((VLOOKUP(Calculations[[#This Row],[TransportSource]],TransportDistance[],2,FALSE)*'Stage assumptions'!$C$11)+VLOOKUP(Calculations[[#This Row],[TransportSource]],TransportDistance[],3,FALSE)*'Stage assumptions'!$C$12)*Calculations[[#This Row],[Total Kg]],0)</f>
        <v>0</v>
      </c>
      <c r="K1436">
        <f>IFERROR(VLOOKUP(Calculations[[#This Row],[Material (choose from dropdown]], MaterialData[#All],3, FALSE),0)</f>
        <v>0</v>
      </c>
      <c r="L1436" s="322">
        <f>IFERROR(VLOOKUP(Calculations[[#This Row],[A5type]],A5WastageRate[#All],2,FALSE)*Calculations[[#This Row],[A1-3]],0)</f>
        <v>0</v>
      </c>
      <c r="N1436">
        <f>IFERROR(ROUNDUP(50/VLOOKUP(Calculations[[#This Row],[Scope Element]],B4referenceServiceLife[[Tier 2 element]:[Default Service Life]],2, FALSE)-1,0),0)</f>
        <v>0</v>
      </c>
      <c r="O1436" s="322">
        <f>IFERROR((Calculations[[#This Row],[A1-3]]+Calculations[[#This Row],[A4]]+Calculations[[#This Row],[A5]]+Calculations[[#This Row],[C2 total]]+Calculations[[#This Row],[C3 total]]+Calculations[[#This Row],[C4 total]])*Calculations[[#This Row],[Replacements]],0)</f>
        <v>0</v>
      </c>
      <c r="S1436" t="str">
        <f>IFERROR(VLOOKUP(Calculations[[#This Row],[Material (choose from dropdown]],MaterialData[#All],4,FALSE),"")</f>
        <v/>
      </c>
      <c r="T1436" s="322" cm="1">
        <f t="array" ref="T1436">IFERROR(VLOOKUP(Calculations[[#This Row],[Waste 1]],WasteScenario[#All],2,FALSE)*'Stage assumptions'!$C$225*WasteTransportMethod[Emissions Factor
kgCO2e/kg.km]*Calculations[[#This Row],[Total Kg]],0)</f>
        <v>0</v>
      </c>
      <c r="U1436" s="322" cm="1">
        <f t="array" ref="U1436">IFERROR(VLOOKUP(Calculations[[#This Row],[Waste 1]],WasteScenario[#All],3,FALSE)*'Stage assumptions'!$C$224*WasteTransportMethod[Emissions Factor
kgCO2e/kg.km]*Calculations[[#This Row],[Total Kg]],0)</f>
        <v>0</v>
      </c>
      <c r="V1436" s="322" cm="1">
        <f t="array" ref="V1436">IFERROR(VLOOKUP(Calculations[[#This Row],[Waste 1]],WasteScenario[#All],4,FALSE)*'Stage assumptions'!$C$223*WasteTransportMethod[Emissions Factor
kgCO2e/kg.km]*Calculations[[#This Row],[Total Kg]],0)</f>
        <v>0</v>
      </c>
      <c r="W1436" s="322" cm="1">
        <f t="array" ref="W1436">IFERROR(VLOOKUP(Calculations[[#This Row],[Waste 1]],WasteScenario[#All],5,FALSE)*'Stage assumptions'!$C$226*WasteTransportMethod[Emissions Factor
kgCO2e/kg.km]*Calculations[[#This Row],[Total Kg]],0)</f>
        <v>0</v>
      </c>
      <c r="X1436" s="322">
        <f>SUM(Calculations[[#This Row],[C2 Recycle]:[C2 Reuse]])</f>
        <v>0</v>
      </c>
      <c r="Y1436" t="str">
        <f>IFERROR(VLOOKUP(Calculations[[#This Row],[Material (choose from dropdown]],MaterialData[#All],5,FALSE),"")</f>
        <v/>
      </c>
      <c r="Z1436" s="322">
        <f>IFERROR(((VLOOKUP(Calculations[[#This Row],[Waste type 2]],WasteDisposalEmissions[#All],2,FALSE))*Calculations[[#This Row],[Total Kg]])*VLOOKUP(Calculations[[#This Row],[Waste 1]],WasteScenario[#All],2,FALSE),0)</f>
        <v>0</v>
      </c>
      <c r="AA1436" s="322">
        <f>IFERROR((VLOOKUP(Calculations[[#This Row],[Waste type 2]],WasteDisposalEmissions[#All],3,FALSE))*Calculations[[#This Row],[Total Kg]]*VLOOKUP(Calculations[[#This Row],[Waste 1]],WasteScenario[#All],3,FALSE),0)</f>
        <v>0</v>
      </c>
      <c r="AB1436" s="322">
        <f>SUM(Calculations[[#This Row],[C3 recyc]:[C3 incin]])</f>
        <v>0</v>
      </c>
      <c r="AC1436" s="334">
        <f>IFERROR((VLOOKUP(Calculations[[#This Row],[Waste type 2]],WasteLandfillEmissions[#All],2,FALSE))*Calculations[[#This Row],[Total Kg]]*VLOOKUP(Calculations[[#This Row],[Waste 1]],WasteScenario[#All],4,FALSE),0)</f>
        <v>0</v>
      </c>
      <c r="AD1436" s="322">
        <f>IFERROR((VLOOKUP(Calculations[[#This Row],[Waste type 2]],WasteLandfillEmissions[#All],3,FALSE))*Calculations[[#This Row],[Total Kg]]*VLOOKUP(Calculations[[#This Row],[Waste 1]],WasteScenario[#All],4,FALSE),0)</f>
        <v>0</v>
      </c>
      <c r="AE1436" s="322">
        <f>SUM(Calculations[[#This Row],[C4 landfill]:[C4 re-use]])</f>
        <v>0</v>
      </c>
      <c r="AF1436" s="322">
        <f>IFERROR(VLOOKUP(Calculations[[#This Row],[Material (choose from dropdown]],MaterialData[#All],8,FALSE),0)</f>
        <v>0</v>
      </c>
      <c r="AG1436" s="322">
        <f>IFERROR(Calculations[[#This Row],[Total Kg]]*Calculations[[#This Row],[Seq factor]],0)</f>
        <v>0</v>
      </c>
      <c r="AI1436" s="322">
        <f>Calculations[[#This Row],[A1-3]]+Calculations[[#This Row],[A4]]+Calculations[[#This Row],[A5]]+Calculations[[#This Row],[B4]]+Calculations[[#This Row],[C2 total]]+Calculations[[#This Row],[C3 total]]+Calculations[[#This Row],[C4 total]]</f>
        <v>0</v>
      </c>
      <c r="AJ1436" s="2">
        <f>IFERROR(VLOOKUP(Calculations[[#This Row],[Material (choose from dropdown]],MaterialData[[#Headers],[#Data]],9,FALSE),0)</f>
        <v>0</v>
      </c>
      <c r="AK1436" s="4">
        <f>IFERROR(VLOOKUP(Calculations[[#This Row],[Material (choose from dropdown]],MaterialData[[#Headers],[#Data]],10,FALSE),0)</f>
        <v>0</v>
      </c>
      <c r="AL1436" s="322">
        <f>IFERROR(Calculations[[#This Row],[Data Quality Score]]*Calculations[[#This Row],[Total Kg]],0)</f>
        <v>0</v>
      </c>
    </row>
    <row r="1437" spans="1:38" x14ac:dyDescent="0.3">
      <c r="A1437" s="6">
        <f>IFERROR(MaterialsBoQ[[#This Row],[Scope Element]],0)</f>
        <v>0</v>
      </c>
      <c r="B1437" t="str">
        <f>IFERROR(MaterialsBoQ[[#This Row],[Material ]],"")</f>
        <v/>
      </c>
      <c r="C1437" t="str">
        <f>IFERROR(MaterialsBoQ[[#This Row],[Unit]],"")</f>
        <v/>
      </c>
      <c r="D1437" s="322">
        <f>IFERROR(MaterialsBoQ[[#This Row],[Number]],0)</f>
        <v>0</v>
      </c>
      <c r="E1437" s="322">
        <f>IFERROR(MaterialsBoQ[[#This Row],[Kg per unit]],0)</f>
        <v>0</v>
      </c>
      <c r="F1437" s="322">
        <f>IFERROR(Calculations[[#This Row],[Number]]*Calculations[[#This Row],[Conversion factor]],0)</f>
        <v>0</v>
      </c>
      <c r="G1437" s="322">
        <f>IFERROR(VLOOKUP(Calculations[[#This Row],[Material (choose from dropdown]],MaterialData[#All],7,FALSE),0)</f>
        <v>0</v>
      </c>
      <c r="H1437" s="322">
        <f>Calculations[[#This Row],[Total Kg]]*Calculations[[#This Row],[Carbon Factor]]</f>
        <v>0</v>
      </c>
      <c r="I1437" t="str">
        <f>IFERROR(VLOOKUP(Calculations[[#This Row],[Material (choose from dropdown]],MaterialData[#All],2,FALSE),"")</f>
        <v/>
      </c>
      <c r="J1437" s="322">
        <f>IFERROR(((VLOOKUP(Calculations[[#This Row],[TransportSource]],TransportDistance[],2,FALSE)*'Stage assumptions'!$C$11)+VLOOKUP(Calculations[[#This Row],[TransportSource]],TransportDistance[],3,FALSE)*'Stage assumptions'!$C$12)*Calculations[[#This Row],[Total Kg]],0)</f>
        <v>0</v>
      </c>
      <c r="K1437">
        <f>IFERROR(VLOOKUP(Calculations[[#This Row],[Material (choose from dropdown]], MaterialData[#All],3, FALSE),0)</f>
        <v>0</v>
      </c>
      <c r="L1437" s="322">
        <f>IFERROR(VLOOKUP(Calculations[[#This Row],[A5type]],A5WastageRate[#All],2,FALSE)*Calculations[[#This Row],[A1-3]],0)</f>
        <v>0</v>
      </c>
      <c r="N1437">
        <f>IFERROR(ROUNDUP(50/VLOOKUP(Calculations[[#This Row],[Scope Element]],B4referenceServiceLife[[Tier 2 element]:[Default Service Life]],2, FALSE)-1,0),0)</f>
        <v>0</v>
      </c>
      <c r="O1437" s="322">
        <f>IFERROR((Calculations[[#This Row],[A1-3]]+Calculations[[#This Row],[A4]]+Calculations[[#This Row],[A5]]+Calculations[[#This Row],[C2 total]]+Calculations[[#This Row],[C3 total]]+Calculations[[#This Row],[C4 total]])*Calculations[[#This Row],[Replacements]],0)</f>
        <v>0</v>
      </c>
      <c r="S1437" t="str">
        <f>IFERROR(VLOOKUP(Calculations[[#This Row],[Material (choose from dropdown]],MaterialData[#All],4,FALSE),"")</f>
        <v/>
      </c>
      <c r="T1437" s="322" cm="1">
        <f t="array" ref="T1437">IFERROR(VLOOKUP(Calculations[[#This Row],[Waste 1]],WasteScenario[#All],2,FALSE)*'Stage assumptions'!$C$225*WasteTransportMethod[Emissions Factor
kgCO2e/kg.km]*Calculations[[#This Row],[Total Kg]],0)</f>
        <v>0</v>
      </c>
      <c r="U1437" s="322" cm="1">
        <f t="array" ref="U1437">IFERROR(VLOOKUP(Calculations[[#This Row],[Waste 1]],WasteScenario[#All],3,FALSE)*'Stage assumptions'!$C$224*WasteTransportMethod[Emissions Factor
kgCO2e/kg.km]*Calculations[[#This Row],[Total Kg]],0)</f>
        <v>0</v>
      </c>
      <c r="V1437" s="322" cm="1">
        <f t="array" ref="V1437">IFERROR(VLOOKUP(Calculations[[#This Row],[Waste 1]],WasteScenario[#All],4,FALSE)*'Stage assumptions'!$C$223*WasteTransportMethod[Emissions Factor
kgCO2e/kg.km]*Calculations[[#This Row],[Total Kg]],0)</f>
        <v>0</v>
      </c>
      <c r="W1437" s="322" cm="1">
        <f t="array" ref="W1437">IFERROR(VLOOKUP(Calculations[[#This Row],[Waste 1]],WasteScenario[#All],5,FALSE)*'Stage assumptions'!$C$226*WasteTransportMethod[Emissions Factor
kgCO2e/kg.km]*Calculations[[#This Row],[Total Kg]],0)</f>
        <v>0</v>
      </c>
      <c r="X1437" s="322">
        <f>SUM(Calculations[[#This Row],[C2 Recycle]:[C2 Reuse]])</f>
        <v>0</v>
      </c>
      <c r="Y1437" t="str">
        <f>IFERROR(VLOOKUP(Calculations[[#This Row],[Material (choose from dropdown]],MaterialData[#All],5,FALSE),"")</f>
        <v/>
      </c>
      <c r="Z1437" s="322">
        <f>IFERROR(((VLOOKUP(Calculations[[#This Row],[Waste type 2]],WasteDisposalEmissions[#All],2,FALSE))*Calculations[[#This Row],[Total Kg]])*VLOOKUP(Calculations[[#This Row],[Waste 1]],WasteScenario[#All],2,FALSE),0)</f>
        <v>0</v>
      </c>
      <c r="AA1437" s="322">
        <f>IFERROR((VLOOKUP(Calculations[[#This Row],[Waste type 2]],WasteDisposalEmissions[#All],3,FALSE))*Calculations[[#This Row],[Total Kg]]*VLOOKUP(Calculations[[#This Row],[Waste 1]],WasteScenario[#All],3,FALSE),0)</f>
        <v>0</v>
      </c>
      <c r="AB1437" s="322">
        <f>SUM(Calculations[[#This Row],[C3 recyc]:[C3 incin]])</f>
        <v>0</v>
      </c>
      <c r="AC1437" s="334">
        <f>IFERROR((VLOOKUP(Calculations[[#This Row],[Waste type 2]],WasteLandfillEmissions[#All],2,FALSE))*Calculations[[#This Row],[Total Kg]]*VLOOKUP(Calculations[[#This Row],[Waste 1]],WasteScenario[#All],4,FALSE),0)</f>
        <v>0</v>
      </c>
      <c r="AD1437" s="322">
        <f>IFERROR((VLOOKUP(Calculations[[#This Row],[Waste type 2]],WasteLandfillEmissions[#All],3,FALSE))*Calculations[[#This Row],[Total Kg]]*VLOOKUP(Calculations[[#This Row],[Waste 1]],WasteScenario[#All],4,FALSE),0)</f>
        <v>0</v>
      </c>
      <c r="AE1437" s="322">
        <f>SUM(Calculations[[#This Row],[C4 landfill]:[C4 re-use]])</f>
        <v>0</v>
      </c>
      <c r="AF1437" s="322">
        <f>IFERROR(VLOOKUP(Calculations[[#This Row],[Material (choose from dropdown]],MaterialData[#All],8,FALSE),0)</f>
        <v>0</v>
      </c>
      <c r="AG1437" s="322">
        <f>IFERROR(Calculations[[#This Row],[Total Kg]]*Calculations[[#This Row],[Seq factor]],0)</f>
        <v>0</v>
      </c>
      <c r="AI1437" s="322">
        <f>Calculations[[#This Row],[A1-3]]+Calculations[[#This Row],[A4]]+Calculations[[#This Row],[A5]]+Calculations[[#This Row],[B4]]+Calculations[[#This Row],[C2 total]]+Calculations[[#This Row],[C3 total]]+Calculations[[#This Row],[C4 total]]</f>
        <v>0</v>
      </c>
      <c r="AJ1437" s="2">
        <f>IFERROR(VLOOKUP(Calculations[[#This Row],[Material (choose from dropdown]],MaterialData[[#Headers],[#Data]],9,FALSE),0)</f>
        <v>0</v>
      </c>
      <c r="AK1437" s="4">
        <f>IFERROR(VLOOKUP(Calculations[[#This Row],[Material (choose from dropdown]],MaterialData[[#Headers],[#Data]],10,FALSE),0)</f>
        <v>0</v>
      </c>
      <c r="AL1437" s="322">
        <f>IFERROR(Calculations[[#This Row],[Data Quality Score]]*Calculations[[#This Row],[Total Kg]],0)</f>
        <v>0</v>
      </c>
    </row>
    <row r="1438" spans="1:38" x14ac:dyDescent="0.3">
      <c r="A1438" s="6">
        <f>IFERROR(MaterialsBoQ[[#This Row],[Scope Element]],0)</f>
        <v>0</v>
      </c>
      <c r="B1438" t="str">
        <f>IFERROR(MaterialsBoQ[[#This Row],[Material ]],"")</f>
        <v/>
      </c>
      <c r="C1438" t="str">
        <f>IFERROR(MaterialsBoQ[[#This Row],[Unit]],"")</f>
        <v/>
      </c>
      <c r="D1438" s="322">
        <f>IFERROR(MaterialsBoQ[[#This Row],[Number]],0)</f>
        <v>0</v>
      </c>
      <c r="E1438" s="322">
        <f>IFERROR(MaterialsBoQ[[#This Row],[Kg per unit]],0)</f>
        <v>0</v>
      </c>
      <c r="F1438" s="322">
        <f>IFERROR(Calculations[[#This Row],[Number]]*Calculations[[#This Row],[Conversion factor]],0)</f>
        <v>0</v>
      </c>
      <c r="G1438" s="322">
        <f>IFERROR(VLOOKUP(Calculations[[#This Row],[Material (choose from dropdown]],MaterialData[#All],7,FALSE),0)</f>
        <v>0</v>
      </c>
      <c r="H1438" s="322">
        <f>Calculations[[#This Row],[Total Kg]]*Calculations[[#This Row],[Carbon Factor]]</f>
        <v>0</v>
      </c>
      <c r="I1438" t="str">
        <f>IFERROR(VLOOKUP(Calculations[[#This Row],[Material (choose from dropdown]],MaterialData[#All],2,FALSE),"")</f>
        <v/>
      </c>
      <c r="J1438" s="322">
        <f>IFERROR(((VLOOKUP(Calculations[[#This Row],[TransportSource]],TransportDistance[],2,FALSE)*'Stage assumptions'!$C$11)+VLOOKUP(Calculations[[#This Row],[TransportSource]],TransportDistance[],3,FALSE)*'Stage assumptions'!$C$12)*Calculations[[#This Row],[Total Kg]],0)</f>
        <v>0</v>
      </c>
      <c r="K1438">
        <f>IFERROR(VLOOKUP(Calculations[[#This Row],[Material (choose from dropdown]], MaterialData[#All],3, FALSE),0)</f>
        <v>0</v>
      </c>
      <c r="L1438" s="322">
        <f>IFERROR(VLOOKUP(Calculations[[#This Row],[A5type]],A5WastageRate[#All],2,FALSE)*Calculations[[#This Row],[A1-3]],0)</f>
        <v>0</v>
      </c>
      <c r="N1438">
        <f>IFERROR(ROUNDUP(50/VLOOKUP(Calculations[[#This Row],[Scope Element]],B4referenceServiceLife[[Tier 2 element]:[Default Service Life]],2, FALSE)-1,0),0)</f>
        <v>0</v>
      </c>
      <c r="O1438" s="322">
        <f>IFERROR((Calculations[[#This Row],[A1-3]]+Calculations[[#This Row],[A4]]+Calculations[[#This Row],[A5]]+Calculations[[#This Row],[C2 total]]+Calculations[[#This Row],[C3 total]]+Calculations[[#This Row],[C4 total]])*Calculations[[#This Row],[Replacements]],0)</f>
        <v>0</v>
      </c>
      <c r="S1438" t="str">
        <f>IFERROR(VLOOKUP(Calculations[[#This Row],[Material (choose from dropdown]],MaterialData[#All],4,FALSE),"")</f>
        <v/>
      </c>
      <c r="T1438" s="322" cm="1">
        <f t="array" ref="T1438">IFERROR(VLOOKUP(Calculations[[#This Row],[Waste 1]],WasteScenario[#All],2,FALSE)*'Stage assumptions'!$C$225*WasteTransportMethod[Emissions Factor
kgCO2e/kg.km]*Calculations[[#This Row],[Total Kg]],0)</f>
        <v>0</v>
      </c>
      <c r="U1438" s="322" cm="1">
        <f t="array" ref="U1438">IFERROR(VLOOKUP(Calculations[[#This Row],[Waste 1]],WasteScenario[#All],3,FALSE)*'Stage assumptions'!$C$224*WasteTransportMethod[Emissions Factor
kgCO2e/kg.km]*Calculations[[#This Row],[Total Kg]],0)</f>
        <v>0</v>
      </c>
      <c r="V1438" s="322" cm="1">
        <f t="array" ref="V1438">IFERROR(VLOOKUP(Calculations[[#This Row],[Waste 1]],WasteScenario[#All],4,FALSE)*'Stage assumptions'!$C$223*WasteTransportMethod[Emissions Factor
kgCO2e/kg.km]*Calculations[[#This Row],[Total Kg]],0)</f>
        <v>0</v>
      </c>
      <c r="W1438" s="322" cm="1">
        <f t="array" ref="W1438">IFERROR(VLOOKUP(Calculations[[#This Row],[Waste 1]],WasteScenario[#All],5,FALSE)*'Stage assumptions'!$C$226*WasteTransportMethod[Emissions Factor
kgCO2e/kg.km]*Calculations[[#This Row],[Total Kg]],0)</f>
        <v>0</v>
      </c>
      <c r="X1438" s="322">
        <f>SUM(Calculations[[#This Row],[C2 Recycle]:[C2 Reuse]])</f>
        <v>0</v>
      </c>
      <c r="Y1438" t="str">
        <f>IFERROR(VLOOKUP(Calculations[[#This Row],[Material (choose from dropdown]],MaterialData[#All],5,FALSE),"")</f>
        <v/>
      </c>
      <c r="Z1438" s="322">
        <f>IFERROR(((VLOOKUP(Calculations[[#This Row],[Waste type 2]],WasteDisposalEmissions[#All],2,FALSE))*Calculations[[#This Row],[Total Kg]])*VLOOKUP(Calculations[[#This Row],[Waste 1]],WasteScenario[#All],2,FALSE),0)</f>
        <v>0</v>
      </c>
      <c r="AA1438" s="322">
        <f>IFERROR((VLOOKUP(Calculations[[#This Row],[Waste type 2]],WasteDisposalEmissions[#All],3,FALSE))*Calculations[[#This Row],[Total Kg]]*VLOOKUP(Calculations[[#This Row],[Waste 1]],WasteScenario[#All],3,FALSE),0)</f>
        <v>0</v>
      </c>
      <c r="AB1438" s="322">
        <f>SUM(Calculations[[#This Row],[C3 recyc]:[C3 incin]])</f>
        <v>0</v>
      </c>
      <c r="AC1438" s="334">
        <f>IFERROR((VLOOKUP(Calculations[[#This Row],[Waste type 2]],WasteLandfillEmissions[#All],2,FALSE))*Calculations[[#This Row],[Total Kg]]*VLOOKUP(Calculations[[#This Row],[Waste 1]],WasteScenario[#All],4,FALSE),0)</f>
        <v>0</v>
      </c>
      <c r="AD1438" s="322">
        <f>IFERROR((VLOOKUP(Calculations[[#This Row],[Waste type 2]],WasteLandfillEmissions[#All],3,FALSE))*Calculations[[#This Row],[Total Kg]]*VLOOKUP(Calculations[[#This Row],[Waste 1]],WasteScenario[#All],4,FALSE),0)</f>
        <v>0</v>
      </c>
      <c r="AE1438" s="322">
        <f>SUM(Calculations[[#This Row],[C4 landfill]:[C4 re-use]])</f>
        <v>0</v>
      </c>
      <c r="AF1438" s="322">
        <f>IFERROR(VLOOKUP(Calculations[[#This Row],[Material (choose from dropdown]],MaterialData[#All],8,FALSE),0)</f>
        <v>0</v>
      </c>
      <c r="AG1438" s="322">
        <f>IFERROR(Calculations[[#This Row],[Total Kg]]*Calculations[[#This Row],[Seq factor]],0)</f>
        <v>0</v>
      </c>
      <c r="AI1438" s="322">
        <f>Calculations[[#This Row],[A1-3]]+Calculations[[#This Row],[A4]]+Calculations[[#This Row],[A5]]+Calculations[[#This Row],[B4]]+Calculations[[#This Row],[C2 total]]+Calculations[[#This Row],[C3 total]]+Calculations[[#This Row],[C4 total]]</f>
        <v>0</v>
      </c>
      <c r="AJ1438" s="2">
        <f>IFERROR(VLOOKUP(Calculations[[#This Row],[Material (choose from dropdown]],MaterialData[[#Headers],[#Data]],9,FALSE),0)</f>
        <v>0</v>
      </c>
      <c r="AK1438" s="4">
        <f>IFERROR(VLOOKUP(Calculations[[#This Row],[Material (choose from dropdown]],MaterialData[[#Headers],[#Data]],10,FALSE),0)</f>
        <v>0</v>
      </c>
      <c r="AL1438" s="322">
        <f>IFERROR(Calculations[[#This Row],[Data Quality Score]]*Calculations[[#This Row],[Total Kg]],0)</f>
        <v>0</v>
      </c>
    </row>
    <row r="1439" spans="1:38" x14ac:dyDescent="0.3">
      <c r="A1439" s="6">
        <f>IFERROR(MaterialsBoQ[[#This Row],[Scope Element]],0)</f>
        <v>0</v>
      </c>
      <c r="B1439" t="str">
        <f>IFERROR(MaterialsBoQ[[#This Row],[Material ]],"")</f>
        <v/>
      </c>
      <c r="C1439" t="str">
        <f>IFERROR(MaterialsBoQ[[#This Row],[Unit]],"")</f>
        <v/>
      </c>
      <c r="D1439" s="322">
        <f>IFERROR(MaterialsBoQ[[#This Row],[Number]],0)</f>
        <v>0</v>
      </c>
      <c r="E1439" s="322">
        <f>IFERROR(MaterialsBoQ[[#This Row],[Kg per unit]],0)</f>
        <v>0</v>
      </c>
      <c r="F1439" s="322">
        <f>IFERROR(Calculations[[#This Row],[Number]]*Calculations[[#This Row],[Conversion factor]],0)</f>
        <v>0</v>
      </c>
      <c r="G1439" s="322">
        <f>IFERROR(VLOOKUP(Calculations[[#This Row],[Material (choose from dropdown]],MaterialData[#All],7,FALSE),0)</f>
        <v>0</v>
      </c>
      <c r="H1439" s="322">
        <f>Calculations[[#This Row],[Total Kg]]*Calculations[[#This Row],[Carbon Factor]]</f>
        <v>0</v>
      </c>
      <c r="I1439" t="str">
        <f>IFERROR(VLOOKUP(Calculations[[#This Row],[Material (choose from dropdown]],MaterialData[#All],2,FALSE),"")</f>
        <v/>
      </c>
      <c r="J1439" s="322">
        <f>IFERROR(((VLOOKUP(Calculations[[#This Row],[TransportSource]],TransportDistance[],2,FALSE)*'Stage assumptions'!$C$11)+VLOOKUP(Calculations[[#This Row],[TransportSource]],TransportDistance[],3,FALSE)*'Stage assumptions'!$C$12)*Calculations[[#This Row],[Total Kg]],0)</f>
        <v>0</v>
      </c>
      <c r="K1439">
        <f>IFERROR(VLOOKUP(Calculations[[#This Row],[Material (choose from dropdown]], MaterialData[#All],3, FALSE),0)</f>
        <v>0</v>
      </c>
      <c r="L1439" s="322">
        <f>IFERROR(VLOOKUP(Calculations[[#This Row],[A5type]],A5WastageRate[#All],2,FALSE)*Calculations[[#This Row],[A1-3]],0)</f>
        <v>0</v>
      </c>
      <c r="N1439">
        <f>IFERROR(ROUNDUP(50/VLOOKUP(Calculations[[#This Row],[Scope Element]],B4referenceServiceLife[[Tier 2 element]:[Default Service Life]],2, FALSE)-1,0),0)</f>
        <v>0</v>
      </c>
      <c r="O1439" s="322">
        <f>IFERROR((Calculations[[#This Row],[A1-3]]+Calculations[[#This Row],[A4]]+Calculations[[#This Row],[A5]]+Calculations[[#This Row],[C2 total]]+Calculations[[#This Row],[C3 total]]+Calculations[[#This Row],[C4 total]])*Calculations[[#This Row],[Replacements]],0)</f>
        <v>0</v>
      </c>
      <c r="S1439" t="str">
        <f>IFERROR(VLOOKUP(Calculations[[#This Row],[Material (choose from dropdown]],MaterialData[#All],4,FALSE),"")</f>
        <v/>
      </c>
      <c r="T1439" s="322" cm="1">
        <f t="array" ref="T1439">IFERROR(VLOOKUP(Calculations[[#This Row],[Waste 1]],WasteScenario[#All],2,FALSE)*'Stage assumptions'!$C$225*WasteTransportMethod[Emissions Factor
kgCO2e/kg.km]*Calculations[[#This Row],[Total Kg]],0)</f>
        <v>0</v>
      </c>
      <c r="U1439" s="322" cm="1">
        <f t="array" ref="U1439">IFERROR(VLOOKUP(Calculations[[#This Row],[Waste 1]],WasteScenario[#All],3,FALSE)*'Stage assumptions'!$C$224*WasteTransportMethod[Emissions Factor
kgCO2e/kg.km]*Calculations[[#This Row],[Total Kg]],0)</f>
        <v>0</v>
      </c>
      <c r="V1439" s="322" cm="1">
        <f t="array" ref="V1439">IFERROR(VLOOKUP(Calculations[[#This Row],[Waste 1]],WasteScenario[#All],4,FALSE)*'Stage assumptions'!$C$223*WasteTransportMethod[Emissions Factor
kgCO2e/kg.km]*Calculations[[#This Row],[Total Kg]],0)</f>
        <v>0</v>
      </c>
      <c r="W1439" s="322" cm="1">
        <f t="array" ref="W1439">IFERROR(VLOOKUP(Calculations[[#This Row],[Waste 1]],WasteScenario[#All],5,FALSE)*'Stage assumptions'!$C$226*WasteTransportMethod[Emissions Factor
kgCO2e/kg.km]*Calculations[[#This Row],[Total Kg]],0)</f>
        <v>0</v>
      </c>
      <c r="X1439" s="322">
        <f>SUM(Calculations[[#This Row],[C2 Recycle]:[C2 Reuse]])</f>
        <v>0</v>
      </c>
      <c r="Y1439" t="str">
        <f>IFERROR(VLOOKUP(Calculations[[#This Row],[Material (choose from dropdown]],MaterialData[#All],5,FALSE),"")</f>
        <v/>
      </c>
      <c r="Z1439" s="322">
        <f>IFERROR(((VLOOKUP(Calculations[[#This Row],[Waste type 2]],WasteDisposalEmissions[#All],2,FALSE))*Calculations[[#This Row],[Total Kg]])*VLOOKUP(Calculations[[#This Row],[Waste 1]],WasteScenario[#All],2,FALSE),0)</f>
        <v>0</v>
      </c>
      <c r="AA1439" s="322">
        <f>IFERROR((VLOOKUP(Calculations[[#This Row],[Waste type 2]],WasteDisposalEmissions[#All],3,FALSE))*Calculations[[#This Row],[Total Kg]]*VLOOKUP(Calculations[[#This Row],[Waste 1]],WasteScenario[#All],3,FALSE),0)</f>
        <v>0</v>
      </c>
      <c r="AB1439" s="322">
        <f>SUM(Calculations[[#This Row],[C3 recyc]:[C3 incin]])</f>
        <v>0</v>
      </c>
      <c r="AC1439" s="334">
        <f>IFERROR((VLOOKUP(Calculations[[#This Row],[Waste type 2]],WasteLandfillEmissions[#All],2,FALSE))*Calculations[[#This Row],[Total Kg]]*VLOOKUP(Calculations[[#This Row],[Waste 1]],WasteScenario[#All],4,FALSE),0)</f>
        <v>0</v>
      </c>
      <c r="AD1439" s="322">
        <f>IFERROR((VLOOKUP(Calculations[[#This Row],[Waste type 2]],WasteLandfillEmissions[#All],3,FALSE))*Calculations[[#This Row],[Total Kg]]*VLOOKUP(Calculations[[#This Row],[Waste 1]],WasteScenario[#All],4,FALSE),0)</f>
        <v>0</v>
      </c>
      <c r="AE1439" s="322">
        <f>SUM(Calculations[[#This Row],[C4 landfill]:[C4 re-use]])</f>
        <v>0</v>
      </c>
      <c r="AF1439" s="322">
        <f>IFERROR(VLOOKUP(Calculations[[#This Row],[Material (choose from dropdown]],MaterialData[#All],8,FALSE),0)</f>
        <v>0</v>
      </c>
      <c r="AG1439" s="322">
        <f>IFERROR(Calculations[[#This Row],[Total Kg]]*Calculations[[#This Row],[Seq factor]],0)</f>
        <v>0</v>
      </c>
      <c r="AI1439" s="322">
        <f>Calculations[[#This Row],[A1-3]]+Calculations[[#This Row],[A4]]+Calculations[[#This Row],[A5]]+Calculations[[#This Row],[B4]]+Calculations[[#This Row],[C2 total]]+Calculations[[#This Row],[C3 total]]+Calculations[[#This Row],[C4 total]]</f>
        <v>0</v>
      </c>
      <c r="AJ1439" s="2">
        <f>IFERROR(VLOOKUP(Calculations[[#This Row],[Material (choose from dropdown]],MaterialData[[#Headers],[#Data]],9,FALSE),0)</f>
        <v>0</v>
      </c>
      <c r="AK1439" s="4">
        <f>IFERROR(VLOOKUP(Calculations[[#This Row],[Material (choose from dropdown]],MaterialData[[#Headers],[#Data]],10,FALSE),0)</f>
        <v>0</v>
      </c>
      <c r="AL1439" s="322">
        <f>IFERROR(Calculations[[#This Row],[Data Quality Score]]*Calculations[[#This Row],[Total Kg]],0)</f>
        <v>0</v>
      </c>
    </row>
    <row r="1440" spans="1:38" x14ac:dyDescent="0.3">
      <c r="A1440" s="6">
        <f>IFERROR(MaterialsBoQ[[#This Row],[Scope Element]],0)</f>
        <v>0</v>
      </c>
      <c r="B1440" t="str">
        <f>IFERROR(MaterialsBoQ[[#This Row],[Material ]],"")</f>
        <v/>
      </c>
      <c r="C1440" t="str">
        <f>IFERROR(MaterialsBoQ[[#This Row],[Unit]],"")</f>
        <v/>
      </c>
      <c r="D1440" s="322">
        <f>IFERROR(MaterialsBoQ[[#This Row],[Number]],0)</f>
        <v>0</v>
      </c>
      <c r="E1440" s="322">
        <f>IFERROR(MaterialsBoQ[[#This Row],[Kg per unit]],0)</f>
        <v>0</v>
      </c>
      <c r="F1440" s="322">
        <f>IFERROR(Calculations[[#This Row],[Number]]*Calculations[[#This Row],[Conversion factor]],0)</f>
        <v>0</v>
      </c>
      <c r="G1440" s="322">
        <f>IFERROR(VLOOKUP(Calculations[[#This Row],[Material (choose from dropdown]],MaterialData[#All],7,FALSE),0)</f>
        <v>0</v>
      </c>
      <c r="H1440" s="322">
        <f>Calculations[[#This Row],[Total Kg]]*Calculations[[#This Row],[Carbon Factor]]</f>
        <v>0</v>
      </c>
      <c r="I1440" t="str">
        <f>IFERROR(VLOOKUP(Calculations[[#This Row],[Material (choose from dropdown]],MaterialData[#All],2,FALSE),"")</f>
        <v/>
      </c>
      <c r="J1440" s="322">
        <f>IFERROR(((VLOOKUP(Calculations[[#This Row],[TransportSource]],TransportDistance[],2,FALSE)*'Stage assumptions'!$C$11)+VLOOKUP(Calculations[[#This Row],[TransportSource]],TransportDistance[],3,FALSE)*'Stage assumptions'!$C$12)*Calculations[[#This Row],[Total Kg]],0)</f>
        <v>0</v>
      </c>
      <c r="K1440">
        <f>IFERROR(VLOOKUP(Calculations[[#This Row],[Material (choose from dropdown]], MaterialData[#All],3, FALSE),0)</f>
        <v>0</v>
      </c>
      <c r="L1440" s="322">
        <f>IFERROR(VLOOKUP(Calculations[[#This Row],[A5type]],A5WastageRate[#All],2,FALSE)*Calculations[[#This Row],[A1-3]],0)</f>
        <v>0</v>
      </c>
      <c r="N1440">
        <f>IFERROR(ROUNDUP(50/VLOOKUP(Calculations[[#This Row],[Scope Element]],B4referenceServiceLife[[Tier 2 element]:[Default Service Life]],2, FALSE)-1,0),0)</f>
        <v>0</v>
      </c>
      <c r="O1440" s="322">
        <f>IFERROR((Calculations[[#This Row],[A1-3]]+Calculations[[#This Row],[A4]]+Calculations[[#This Row],[A5]]+Calculations[[#This Row],[C2 total]]+Calculations[[#This Row],[C3 total]]+Calculations[[#This Row],[C4 total]])*Calculations[[#This Row],[Replacements]],0)</f>
        <v>0</v>
      </c>
      <c r="S1440" t="str">
        <f>IFERROR(VLOOKUP(Calculations[[#This Row],[Material (choose from dropdown]],MaterialData[#All],4,FALSE),"")</f>
        <v/>
      </c>
      <c r="T1440" s="322" cm="1">
        <f t="array" ref="T1440">IFERROR(VLOOKUP(Calculations[[#This Row],[Waste 1]],WasteScenario[#All],2,FALSE)*'Stage assumptions'!$C$225*WasteTransportMethod[Emissions Factor
kgCO2e/kg.km]*Calculations[[#This Row],[Total Kg]],0)</f>
        <v>0</v>
      </c>
      <c r="U1440" s="322" cm="1">
        <f t="array" ref="U1440">IFERROR(VLOOKUP(Calculations[[#This Row],[Waste 1]],WasteScenario[#All],3,FALSE)*'Stage assumptions'!$C$224*WasteTransportMethod[Emissions Factor
kgCO2e/kg.km]*Calculations[[#This Row],[Total Kg]],0)</f>
        <v>0</v>
      </c>
      <c r="V1440" s="322" cm="1">
        <f t="array" ref="V1440">IFERROR(VLOOKUP(Calculations[[#This Row],[Waste 1]],WasteScenario[#All],4,FALSE)*'Stage assumptions'!$C$223*WasteTransportMethod[Emissions Factor
kgCO2e/kg.km]*Calculations[[#This Row],[Total Kg]],0)</f>
        <v>0</v>
      </c>
      <c r="W1440" s="322" cm="1">
        <f t="array" ref="W1440">IFERROR(VLOOKUP(Calculations[[#This Row],[Waste 1]],WasteScenario[#All],5,FALSE)*'Stage assumptions'!$C$226*WasteTransportMethod[Emissions Factor
kgCO2e/kg.km]*Calculations[[#This Row],[Total Kg]],0)</f>
        <v>0</v>
      </c>
      <c r="X1440" s="322">
        <f>SUM(Calculations[[#This Row],[C2 Recycle]:[C2 Reuse]])</f>
        <v>0</v>
      </c>
      <c r="Y1440" t="str">
        <f>IFERROR(VLOOKUP(Calculations[[#This Row],[Material (choose from dropdown]],MaterialData[#All],5,FALSE),"")</f>
        <v/>
      </c>
      <c r="Z1440" s="322">
        <f>IFERROR(((VLOOKUP(Calculations[[#This Row],[Waste type 2]],WasteDisposalEmissions[#All],2,FALSE))*Calculations[[#This Row],[Total Kg]])*VLOOKUP(Calculations[[#This Row],[Waste 1]],WasteScenario[#All],2,FALSE),0)</f>
        <v>0</v>
      </c>
      <c r="AA1440" s="322">
        <f>IFERROR((VLOOKUP(Calculations[[#This Row],[Waste type 2]],WasteDisposalEmissions[#All],3,FALSE))*Calculations[[#This Row],[Total Kg]]*VLOOKUP(Calculations[[#This Row],[Waste 1]],WasteScenario[#All],3,FALSE),0)</f>
        <v>0</v>
      </c>
      <c r="AB1440" s="322">
        <f>SUM(Calculations[[#This Row],[C3 recyc]:[C3 incin]])</f>
        <v>0</v>
      </c>
      <c r="AC1440" s="334">
        <f>IFERROR((VLOOKUP(Calculations[[#This Row],[Waste type 2]],WasteLandfillEmissions[#All],2,FALSE))*Calculations[[#This Row],[Total Kg]]*VLOOKUP(Calculations[[#This Row],[Waste 1]],WasteScenario[#All],4,FALSE),0)</f>
        <v>0</v>
      </c>
      <c r="AD1440" s="322">
        <f>IFERROR((VLOOKUP(Calculations[[#This Row],[Waste type 2]],WasteLandfillEmissions[#All],3,FALSE))*Calculations[[#This Row],[Total Kg]]*VLOOKUP(Calculations[[#This Row],[Waste 1]],WasteScenario[#All],4,FALSE),0)</f>
        <v>0</v>
      </c>
      <c r="AE1440" s="322">
        <f>SUM(Calculations[[#This Row],[C4 landfill]:[C4 re-use]])</f>
        <v>0</v>
      </c>
      <c r="AF1440" s="322">
        <f>IFERROR(VLOOKUP(Calculations[[#This Row],[Material (choose from dropdown]],MaterialData[#All],8,FALSE),0)</f>
        <v>0</v>
      </c>
      <c r="AG1440" s="322">
        <f>IFERROR(Calculations[[#This Row],[Total Kg]]*Calculations[[#This Row],[Seq factor]],0)</f>
        <v>0</v>
      </c>
      <c r="AI1440" s="322">
        <f>Calculations[[#This Row],[A1-3]]+Calculations[[#This Row],[A4]]+Calculations[[#This Row],[A5]]+Calculations[[#This Row],[B4]]+Calculations[[#This Row],[C2 total]]+Calculations[[#This Row],[C3 total]]+Calculations[[#This Row],[C4 total]]</f>
        <v>0</v>
      </c>
      <c r="AJ1440" s="2">
        <f>IFERROR(VLOOKUP(Calculations[[#This Row],[Material (choose from dropdown]],MaterialData[[#Headers],[#Data]],9,FALSE),0)</f>
        <v>0</v>
      </c>
      <c r="AK1440" s="4">
        <f>IFERROR(VLOOKUP(Calculations[[#This Row],[Material (choose from dropdown]],MaterialData[[#Headers],[#Data]],10,FALSE),0)</f>
        <v>0</v>
      </c>
      <c r="AL1440" s="322">
        <f>IFERROR(Calculations[[#This Row],[Data Quality Score]]*Calculations[[#This Row],[Total Kg]],0)</f>
        <v>0</v>
      </c>
    </row>
    <row r="1441" spans="1:38" x14ac:dyDescent="0.3">
      <c r="A1441" s="6">
        <f>IFERROR(MaterialsBoQ[[#This Row],[Scope Element]],0)</f>
        <v>0</v>
      </c>
      <c r="B1441" t="str">
        <f>IFERROR(MaterialsBoQ[[#This Row],[Material ]],"")</f>
        <v/>
      </c>
      <c r="C1441" t="str">
        <f>IFERROR(MaterialsBoQ[[#This Row],[Unit]],"")</f>
        <v/>
      </c>
      <c r="D1441" s="322">
        <f>IFERROR(MaterialsBoQ[[#This Row],[Number]],0)</f>
        <v>0</v>
      </c>
      <c r="E1441" s="322">
        <f>IFERROR(MaterialsBoQ[[#This Row],[Kg per unit]],0)</f>
        <v>0</v>
      </c>
      <c r="F1441" s="322">
        <f>IFERROR(Calculations[[#This Row],[Number]]*Calculations[[#This Row],[Conversion factor]],0)</f>
        <v>0</v>
      </c>
      <c r="G1441" s="322">
        <f>IFERROR(VLOOKUP(Calculations[[#This Row],[Material (choose from dropdown]],MaterialData[#All],7,FALSE),0)</f>
        <v>0</v>
      </c>
      <c r="H1441" s="322">
        <f>Calculations[[#This Row],[Total Kg]]*Calculations[[#This Row],[Carbon Factor]]</f>
        <v>0</v>
      </c>
      <c r="I1441" t="str">
        <f>IFERROR(VLOOKUP(Calculations[[#This Row],[Material (choose from dropdown]],MaterialData[#All],2,FALSE),"")</f>
        <v/>
      </c>
      <c r="J1441" s="322">
        <f>IFERROR(((VLOOKUP(Calculations[[#This Row],[TransportSource]],TransportDistance[],2,FALSE)*'Stage assumptions'!$C$11)+VLOOKUP(Calculations[[#This Row],[TransportSource]],TransportDistance[],3,FALSE)*'Stage assumptions'!$C$12)*Calculations[[#This Row],[Total Kg]],0)</f>
        <v>0</v>
      </c>
      <c r="K1441">
        <f>IFERROR(VLOOKUP(Calculations[[#This Row],[Material (choose from dropdown]], MaterialData[#All],3, FALSE),0)</f>
        <v>0</v>
      </c>
      <c r="L1441" s="322">
        <f>IFERROR(VLOOKUP(Calculations[[#This Row],[A5type]],A5WastageRate[#All],2,FALSE)*Calculations[[#This Row],[A1-3]],0)</f>
        <v>0</v>
      </c>
      <c r="N1441">
        <f>IFERROR(ROUNDUP(50/VLOOKUP(Calculations[[#This Row],[Scope Element]],B4referenceServiceLife[[Tier 2 element]:[Default Service Life]],2, FALSE)-1,0),0)</f>
        <v>0</v>
      </c>
      <c r="O1441" s="322">
        <f>IFERROR((Calculations[[#This Row],[A1-3]]+Calculations[[#This Row],[A4]]+Calculations[[#This Row],[A5]]+Calculations[[#This Row],[C2 total]]+Calculations[[#This Row],[C3 total]]+Calculations[[#This Row],[C4 total]])*Calculations[[#This Row],[Replacements]],0)</f>
        <v>0</v>
      </c>
      <c r="S1441" t="str">
        <f>IFERROR(VLOOKUP(Calculations[[#This Row],[Material (choose from dropdown]],MaterialData[#All],4,FALSE),"")</f>
        <v/>
      </c>
      <c r="T1441" s="322" cm="1">
        <f t="array" ref="T1441">IFERROR(VLOOKUP(Calculations[[#This Row],[Waste 1]],WasteScenario[#All],2,FALSE)*'Stage assumptions'!$C$225*WasteTransportMethod[Emissions Factor
kgCO2e/kg.km]*Calculations[[#This Row],[Total Kg]],0)</f>
        <v>0</v>
      </c>
      <c r="U1441" s="322" cm="1">
        <f t="array" ref="U1441">IFERROR(VLOOKUP(Calculations[[#This Row],[Waste 1]],WasteScenario[#All],3,FALSE)*'Stage assumptions'!$C$224*WasteTransportMethod[Emissions Factor
kgCO2e/kg.km]*Calculations[[#This Row],[Total Kg]],0)</f>
        <v>0</v>
      </c>
      <c r="V1441" s="322" cm="1">
        <f t="array" ref="V1441">IFERROR(VLOOKUP(Calculations[[#This Row],[Waste 1]],WasteScenario[#All],4,FALSE)*'Stage assumptions'!$C$223*WasteTransportMethod[Emissions Factor
kgCO2e/kg.km]*Calculations[[#This Row],[Total Kg]],0)</f>
        <v>0</v>
      </c>
      <c r="W1441" s="322" cm="1">
        <f t="array" ref="W1441">IFERROR(VLOOKUP(Calculations[[#This Row],[Waste 1]],WasteScenario[#All],5,FALSE)*'Stage assumptions'!$C$226*WasteTransportMethod[Emissions Factor
kgCO2e/kg.km]*Calculations[[#This Row],[Total Kg]],0)</f>
        <v>0</v>
      </c>
      <c r="X1441" s="322">
        <f>SUM(Calculations[[#This Row],[C2 Recycle]:[C2 Reuse]])</f>
        <v>0</v>
      </c>
      <c r="Y1441" t="str">
        <f>IFERROR(VLOOKUP(Calculations[[#This Row],[Material (choose from dropdown]],MaterialData[#All],5,FALSE),"")</f>
        <v/>
      </c>
      <c r="Z1441" s="322">
        <f>IFERROR(((VLOOKUP(Calculations[[#This Row],[Waste type 2]],WasteDisposalEmissions[#All],2,FALSE))*Calculations[[#This Row],[Total Kg]])*VLOOKUP(Calculations[[#This Row],[Waste 1]],WasteScenario[#All],2,FALSE),0)</f>
        <v>0</v>
      </c>
      <c r="AA1441" s="322">
        <f>IFERROR((VLOOKUP(Calculations[[#This Row],[Waste type 2]],WasteDisposalEmissions[#All],3,FALSE))*Calculations[[#This Row],[Total Kg]]*VLOOKUP(Calculations[[#This Row],[Waste 1]],WasteScenario[#All],3,FALSE),0)</f>
        <v>0</v>
      </c>
      <c r="AB1441" s="322">
        <f>SUM(Calculations[[#This Row],[C3 recyc]:[C3 incin]])</f>
        <v>0</v>
      </c>
      <c r="AC1441" s="334">
        <f>IFERROR((VLOOKUP(Calculations[[#This Row],[Waste type 2]],WasteLandfillEmissions[#All],2,FALSE))*Calculations[[#This Row],[Total Kg]]*VLOOKUP(Calculations[[#This Row],[Waste 1]],WasteScenario[#All],4,FALSE),0)</f>
        <v>0</v>
      </c>
      <c r="AD1441" s="322">
        <f>IFERROR((VLOOKUP(Calculations[[#This Row],[Waste type 2]],WasteLandfillEmissions[#All],3,FALSE))*Calculations[[#This Row],[Total Kg]]*VLOOKUP(Calculations[[#This Row],[Waste 1]],WasteScenario[#All],4,FALSE),0)</f>
        <v>0</v>
      </c>
      <c r="AE1441" s="322">
        <f>SUM(Calculations[[#This Row],[C4 landfill]:[C4 re-use]])</f>
        <v>0</v>
      </c>
      <c r="AF1441" s="322">
        <f>IFERROR(VLOOKUP(Calculations[[#This Row],[Material (choose from dropdown]],MaterialData[#All],8,FALSE),0)</f>
        <v>0</v>
      </c>
      <c r="AG1441" s="322">
        <f>IFERROR(Calculations[[#This Row],[Total Kg]]*Calculations[[#This Row],[Seq factor]],0)</f>
        <v>0</v>
      </c>
      <c r="AI1441" s="322">
        <f>Calculations[[#This Row],[A1-3]]+Calculations[[#This Row],[A4]]+Calculations[[#This Row],[A5]]+Calculations[[#This Row],[B4]]+Calculations[[#This Row],[C2 total]]+Calculations[[#This Row],[C3 total]]+Calculations[[#This Row],[C4 total]]</f>
        <v>0</v>
      </c>
      <c r="AJ1441" s="2">
        <f>IFERROR(VLOOKUP(Calculations[[#This Row],[Material (choose from dropdown]],MaterialData[[#Headers],[#Data]],9,FALSE),0)</f>
        <v>0</v>
      </c>
      <c r="AK1441" s="4">
        <f>IFERROR(VLOOKUP(Calculations[[#This Row],[Material (choose from dropdown]],MaterialData[[#Headers],[#Data]],10,FALSE),0)</f>
        <v>0</v>
      </c>
      <c r="AL1441" s="322">
        <f>IFERROR(Calculations[[#This Row],[Data Quality Score]]*Calculations[[#This Row],[Total Kg]],0)</f>
        <v>0</v>
      </c>
    </row>
    <row r="1442" spans="1:38" x14ac:dyDescent="0.3">
      <c r="A1442" s="6">
        <f>IFERROR(MaterialsBoQ[[#This Row],[Scope Element]],0)</f>
        <v>0</v>
      </c>
      <c r="B1442" t="str">
        <f>IFERROR(MaterialsBoQ[[#This Row],[Material ]],"")</f>
        <v/>
      </c>
      <c r="C1442" t="str">
        <f>IFERROR(MaterialsBoQ[[#This Row],[Unit]],"")</f>
        <v/>
      </c>
      <c r="D1442" s="322">
        <f>IFERROR(MaterialsBoQ[[#This Row],[Number]],0)</f>
        <v>0</v>
      </c>
      <c r="E1442" s="322">
        <f>IFERROR(MaterialsBoQ[[#This Row],[Kg per unit]],0)</f>
        <v>0</v>
      </c>
      <c r="F1442" s="322">
        <f>IFERROR(Calculations[[#This Row],[Number]]*Calculations[[#This Row],[Conversion factor]],0)</f>
        <v>0</v>
      </c>
      <c r="G1442" s="322">
        <f>IFERROR(VLOOKUP(Calculations[[#This Row],[Material (choose from dropdown]],MaterialData[#All],7,FALSE),0)</f>
        <v>0</v>
      </c>
      <c r="H1442" s="322">
        <f>Calculations[[#This Row],[Total Kg]]*Calculations[[#This Row],[Carbon Factor]]</f>
        <v>0</v>
      </c>
      <c r="I1442" t="str">
        <f>IFERROR(VLOOKUP(Calculations[[#This Row],[Material (choose from dropdown]],MaterialData[#All],2,FALSE),"")</f>
        <v/>
      </c>
      <c r="J1442" s="322">
        <f>IFERROR(((VLOOKUP(Calculations[[#This Row],[TransportSource]],TransportDistance[],2,FALSE)*'Stage assumptions'!$C$11)+VLOOKUP(Calculations[[#This Row],[TransportSource]],TransportDistance[],3,FALSE)*'Stage assumptions'!$C$12)*Calculations[[#This Row],[Total Kg]],0)</f>
        <v>0</v>
      </c>
      <c r="K1442">
        <f>IFERROR(VLOOKUP(Calculations[[#This Row],[Material (choose from dropdown]], MaterialData[#All],3, FALSE),0)</f>
        <v>0</v>
      </c>
      <c r="L1442" s="322">
        <f>IFERROR(VLOOKUP(Calculations[[#This Row],[A5type]],A5WastageRate[#All],2,FALSE)*Calculations[[#This Row],[A1-3]],0)</f>
        <v>0</v>
      </c>
      <c r="N1442">
        <f>IFERROR(ROUNDUP(50/VLOOKUP(Calculations[[#This Row],[Scope Element]],B4referenceServiceLife[[Tier 2 element]:[Default Service Life]],2, FALSE)-1,0),0)</f>
        <v>0</v>
      </c>
      <c r="O1442" s="322">
        <f>IFERROR((Calculations[[#This Row],[A1-3]]+Calculations[[#This Row],[A4]]+Calculations[[#This Row],[A5]]+Calculations[[#This Row],[C2 total]]+Calculations[[#This Row],[C3 total]]+Calculations[[#This Row],[C4 total]])*Calculations[[#This Row],[Replacements]],0)</f>
        <v>0</v>
      </c>
      <c r="S1442" t="str">
        <f>IFERROR(VLOOKUP(Calculations[[#This Row],[Material (choose from dropdown]],MaterialData[#All],4,FALSE),"")</f>
        <v/>
      </c>
      <c r="T1442" s="322" cm="1">
        <f t="array" ref="T1442">IFERROR(VLOOKUP(Calculations[[#This Row],[Waste 1]],WasteScenario[#All],2,FALSE)*'Stage assumptions'!$C$225*WasteTransportMethod[Emissions Factor
kgCO2e/kg.km]*Calculations[[#This Row],[Total Kg]],0)</f>
        <v>0</v>
      </c>
      <c r="U1442" s="322" cm="1">
        <f t="array" ref="U1442">IFERROR(VLOOKUP(Calculations[[#This Row],[Waste 1]],WasteScenario[#All],3,FALSE)*'Stage assumptions'!$C$224*WasteTransportMethod[Emissions Factor
kgCO2e/kg.km]*Calculations[[#This Row],[Total Kg]],0)</f>
        <v>0</v>
      </c>
      <c r="V1442" s="322" cm="1">
        <f t="array" ref="V1442">IFERROR(VLOOKUP(Calculations[[#This Row],[Waste 1]],WasteScenario[#All],4,FALSE)*'Stage assumptions'!$C$223*WasteTransportMethod[Emissions Factor
kgCO2e/kg.km]*Calculations[[#This Row],[Total Kg]],0)</f>
        <v>0</v>
      </c>
      <c r="W1442" s="322" cm="1">
        <f t="array" ref="W1442">IFERROR(VLOOKUP(Calculations[[#This Row],[Waste 1]],WasteScenario[#All],5,FALSE)*'Stage assumptions'!$C$226*WasteTransportMethod[Emissions Factor
kgCO2e/kg.km]*Calculations[[#This Row],[Total Kg]],0)</f>
        <v>0</v>
      </c>
      <c r="X1442" s="322">
        <f>SUM(Calculations[[#This Row],[C2 Recycle]:[C2 Reuse]])</f>
        <v>0</v>
      </c>
      <c r="Y1442" t="str">
        <f>IFERROR(VLOOKUP(Calculations[[#This Row],[Material (choose from dropdown]],MaterialData[#All],5,FALSE),"")</f>
        <v/>
      </c>
      <c r="Z1442" s="322">
        <f>IFERROR(((VLOOKUP(Calculations[[#This Row],[Waste type 2]],WasteDisposalEmissions[#All],2,FALSE))*Calculations[[#This Row],[Total Kg]])*VLOOKUP(Calculations[[#This Row],[Waste 1]],WasteScenario[#All],2,FALSE),0)</f>
        <v>0</v>
      </c>
      <c r="AA1442" s="322">
        <f>IFERROR((VLOOKUP(Calculations[[#This Row],[Waste type 2]],WasteDisposalEmissions[#All],3,FALSE))*Calculations[[#This Row],[Total Kg]]*VLOOKUP(Calculations[[#This Row],[Waste 1]],WasteScenario[#All],3,FALSE),0)</f>
        <v>0</v>
      </c>
      <c r="AB1442" s="322">
        <f>SUM(Calculations[[#This Row],[C3 recyc]:[C3 incin]])</f>
        <v>0</v>
      </c>
      <c r="AC1442" s="334">
        <f>IFERROR((VLOOKUP(Calculations[[#This Row],[Waste type 2]],WasteLandfillEmissions[#All],2,FALSE))*Calculations[[#This Row],[Total Kg]]*VLOOKUP(Calculations[[#This Row],[Waste 1]],WasteScenario[#All],4,FALSE),0)</f>
        <v>0</v>
      </c>
      <c r="AD1442" s="322">
        <f>IFERROR((VLOOKUP(Calculations[[#This Row],[Waste type 2]],WasteLandfillEmissions[#All],3,FALSE))*Calculations[[#This Row],[Total Kg]]*VLOOKUP(Calculations[[#This Row],[Waste 1]],WasteScenario[#All],4,FALSE),0)</f>
        <v>0</v>
      </c>
      <c r="AE1442" s="322">
        <f>SUM(Calculations[[#This Row],[C4 landfill]:[C4 re-use]])</f>
        <v>0</v>
      </c>
      <c r="AF1442" s="322">
        <f>IFERROR(VLOOKUP(Calculations[[#This Row],[Material (choose from dropdown]],MaterialData[#All],8,FALSE),0)</f>
        <v>0</v>
      </c>
      <c r="AG1442" s="322">
        <f>IFERROR(Calculations[[#This Row],[Total Kg]]*Calculations[[#This Row],[Seq factor]],0)</f>
        <v>0</v>
      </c>
      <c r="AI1442" s="322">
        <f>Calculations[[#This Row],[A1-3]]+Calculations[[#This Row],[A4]]+Calculations[[#This Row],[A5]]+Calculations[[#This Row],[B4]]+Calculations[[#This Row],[C2 total]]+Calculations[[#This Row],[C3 total]]+Calculations[[#This Row],[C4 total]]</f>
        <v>0</v>
      </c>
      <c r="AJ1442" s="2">
        <f>IFERROR(VLOOKUP(Calculations[[#This Row],[Material (choose from dropdown]],MaterialData[[#Headers],[#Data]],9,FALSE),0)</f>
        <v>0</v>
      </c>
      <c r="AK1442" s="4">
        <f>IFERROR(VLOOKUP(Calculations[[#This Row],[Material (choose from dropdown]],MaterialData[[#Headers],[#Data]],10,FALSE),0)</f>
        <v>0</v>
      </c>
      <c r="AL1442" s="322">
        <f>IFERROR(Calculations[[#This Row],[Data Quality Score]]*Calculations[[#This Row],[Total Kg]],0)</f>
        <v>0</v>
      </c>
    </row>
    <row r="1443" spans="1:38" x14ac:dyDescent="0.3">
      <c r="A1443" s="6">
        <f>IFERROR(MaterialsBoQ[[#This Row],[Scope Element]],0)</f>
        <v>0</v>
      </c>
      <c r="B1443" t="str">
        <f>IFERROR(MaterialsBoQ[[#This Row],[Material ]],"")</f>
        <v/>
      </c>
      <c r="C1443" t="str">
        <f>IFERROR(MaterialsBoQ[[#This Row],[Unit]],"")</f>
        <v/>
      </c>
      <c r="D1443" s="322">
        <f>IFERROR(MaterialsBoQ[[#This Row],[Number]],0)</f>
        <v>0</v>
      </c>
      <c r="E1443" s="322">
        <f>IFERROR(MaterialsBoQ[[#This Row],[Kg per unit]],0)</f>
        <v>0</v>
      </c>
      <c r="F1443" s="322">
        <f>IFERROR(Calculations[[#This Row],[Number]]*Calculations[[#This Row],[Conversion factor]],0)</f>
        <v>0</v>
      </c>
      <c r="G1443" s="322">
        <f>IFERROR(VLOOKUP(Calculations[[#This Row],[Material (choose from dropdown]],MaterialData[#All],7,FALSE),0)</f>
        <v>0</v>
      </c>
      <c r="H1443" s="322">
        <f>Calculations[[#This Row],[Total Kg]]*Calculations[[#This Row],[Carbon Factor]]</f>
        <v>0</v>
      </c>
      <c r="I1443" t="str">
        <f>IFERROR(VLOOKUP(Calculations[[#This Row],[Material (choose from dropdown]],MaterialData[#All],2,FALSE),"")</f>
        <v/>
      </c>
      <c r="J1443" s="322">
        <f>IFERROR(((VLOOKUP(Calculations[[#This Row],[TransportSource]],TransportDistance[],2,FALSE)*'Stage assumptions'!$C$11)+VLOOKUP(Calculations[[#This Row],[TransportSource]],TransportDistance[],3,FALSE)*'Stage assumptions'!$C$12)*Calculations[[#This Row],[Total Kg]],0)</f>
        <v>0</v>
      </c>
      <c r="K1443">
        <f>IFERROR(VLOOKUP(Calculations[[#This Row],[Material (choose from dropdown]], MaterialData[#All],3, FALSE),0)</f>
        <v>0</v>
      </c>
      <c r="L1443" s="322">
        <f>IFERROR(VLOOKUP(Calculations[[#This Row],[A5type]],A5WastageRate[#All],2,FALSE)*Calculations[[#This Row],[A1-3]],0)</f>
        <v>0</v>
      </c>
      <c r="N1443">
        <f>IFERROR(ROUNDUP(50/VLOOKUP(Calculations[[#This Row],[Scope Element]],B4referenceServiceLife[[Tier 2 element]:[Default Service Life]],2, FALSE)-1,0),0)</f>
        <v>0</v>
      </c>
      <c r="O1443" s="322">
        <f>IFERROR((Calculations[[#This Row],[A1-3]]+Calculations[[#This Row],[A4]]+Calculations[[#This Row],[A5]]+Calculations[[#This Row],[C2 total]]+Calculations[[#This Row],[C3 total]]+Calculations[[#This Row],[C4 total]])*Calculations[[#This Row],[Replacements]],0)</f>
        <v>0</v>
      </c>
      <c r="S1443" t="str">
        <f>IFERROR(VLOOKUP(Calculations[[#This Row],[Material (choose from dropdown]],MaterialData[#All],4,FALSE),"")</f>
        <v/>
      </c>
      <c r="T1443" s="322" cm="1">
        <f t="array" ref="T1443">IFERROR(VLOOKUP(Calculations[[#This Row],[Waste 1]],WasteScenario[#All],2,FALSE)*'Stage assumptions'!$C$225*WasteTransportMethod[Emissions Factor
kgCO2e/kg.km]*Calculations[[#This Row],[Total Kg]],0)</f>
        <v>0</v>
      </c>
      <c r="U1443" s="322" cm="1">
        <f t="array" ref="U1443">IFERROR(VLOOKUP(Calculations[[#This Row],[Waste 1]],WasteScenario[#All],3,FALSE)*'Stage assumptions'!$C$224*WasteTransportMethod[Emissions Factor
kgCO2e/kg.km]*Calculations[[#This Row],[Total Kg]],0)</f>
        <v>0</v>
      </c>
      <c r="V1443" s="322" cm="1">
        <f t="array" ref="V1443">IFERROR(VLOOKUP(Calculations[[#This Row],[Waste 1]],WasteScenario[#All],4,FALSE)*'Stage assumptions'!$C$223*WasteTransportMethod[Emissions Factor
kgCO2e/kg.km]*Calculations[[#This Row],[Total Kg]],0)</f>
        <v>0</v>
      </c>
      <c r="W1443" s="322" cm="1">
        <f t="array" ref="W1443">IFERROR(VLOOKUP(Calculations[[#This Row],[Waste 1]],WasteScenario[#All],5,FALSE)*'Stage assumptions'!$C$226*WasteTransportMethod[Emissions Factor
kgCO2e/kg.km]*Calculations[[#This Row],[Total Kg]],0)</f>
        <v>0</v>
      </c>
      <c r="X1443" s="322">
        <f>SUM(Calculations[[#This Row],[C2 Recycle]:[C2 Reuse]])</f>
        <v>0</v>
      </c>
      <c r="Y1443" t="str">
        <f>IFERROR(VLOOKUP(Calculations[[#This Row],[Material (choose from dropdown]],MaterialData[#All],5,FALSE),"")</f>
        <v/>
      </c>
      <c r="Z1443" s="322">
        <f>IFERROR(((VLOOKUP(Calculations[[#This Row],[Waste type 2]],WasteDisposalEmissions[#All],2,FALSE))*Calculations[[#This Row],[Total Kg]])*VLOOKUP(Calculations[[#This Row],[Waste 1]],WasteScenario[#All],2,FALSE),0)</f>
        <v>0</v>
      </c>
      <c r="AA1443" s="322">
        <f>IFERROR((VLOOKUP(Calculations[[#This Row],[Waste type 2]],WasteDisposalEmissions[#All],3,FALSE))*Calculations[[#This Row],[Total Kg]]*VLOOKUP(Calculations[[#This Row],[Waste 1]],WasteScenario[#All],3,FALSE),0)</f>
        <v>0</v>
      </c>
      <c r="AB1443" s="322">
        <f>SUM(Calculations[[#This Row],[C3 recyc]:[C3 incin]])</f>
        <v>0</v>
      </c>
      <c r="AC1443" s="334">
        <f>IFERROR((VLOOKUP(Calculations[[#This Row],[Waste type 2]],WasteLandfillEmissions[#All],2,FALSE))*Calculations[[#This Row],[Total Kg]]*VLOOKUP(Calculations[[#This Row],[Waste 1]],WasteScenario[#All],4,FALSE),0)</f>
        <v>0</v>
      </c>
      <c r="AD1443" s="322">
        <f>IFERROR((VLOOKUP(Calculations[[#This Row],[Waste type 2]],WasteLandfillEmissions[#All],3,FALSE))*Calculations[[#This Row],[Total Kg]]*VLOOKUP(Calculations[[#This Row],[Waste 1]],WasteScenario[#All],4,FALSE),0)</f>
        <v>0</v>
      </c>
      <c r="AE1443" s="322">
        <f>SUM(Calculations[[#This Row],[C4 landfill]:[C4 re-use]])</f>
        <v>0</v>
      </c>
      <c r="AF1443" s="322">
        <f>IFERROR(VLOOKUP(Calculations[[#This Row],[Material (choose from dropdown]],MaterialData[#All],8,FALSE),0)</f>
        <v>0</v>
      </c>
      <c r="AG1443" s="322">
        <f>IFERROR(Calculations[[#This Row],[Total Kg]]*Calculations[[#This Row],[Seq factor]],0)</f>
        <v>0</v>
      </c>
      <c r="AI1443" s="322">
        <f>Calculations[[#This Row],[A1-3]]+Calculations[[#This Row],[A4]]+Calculations[[#This Row],[A5]]+Calculations[[#This Row],[B4]]+Calculations[[#This Row],[C2 total]]+Calculations[[#This Row],[C3 total]]+Calculations[[#This Row],[C4 total]]</f>
        <v>0</v>
      </c>
      <c r="AJ1443" s="2">
        <f>IFERROR(VLOOKUP(Calculations[[#This Row],[Material (choose from dropdown]],MaterialData[[#Headers],[#Data]],9,FALSE),0)</f>
        <v>0</v>
      </c>
      <c r="AK1443" s="4">
        <f>IFERROR(VLOOKUP(Calculations[[#This Row],[Material (choose from dropdown]],MaterialData[[#Headers],[#Data]],10,FALSE),0)</f>
        <v>0</v>
      </c>
      <c r="AL1443" s="322">
        <f>IFERROR(Calculations[[#This Row],[Data Quality Score]]*Calculations[[#This Row],[Total Kg]],0)</f>
        <v>0</v>
      </c>
    </row>
    <row r="1444" spans="1:38" x14ac:dyDescent="0.3">
      <c r="A1444" s="6">
        <f>IFERROR(MaterialsBoQ[[#This Row],[Scope Element]],0)</f>
        <v>0</v>
      </c>
      <c r="B1444" t="str">
        <f>IFERROR(MaterialsBoQ[[#This Row],[Material ]],"")</f>
        <v/>
      </c>
      <c r="C1444" t="str">
        <f>IFERROR(MaterialsBoQ[[#This Row],[Unit]],"")</f>
        <v/>
      </c>
      <c r="D1444" s="322">
        <f>IFERROR(MaterialsBoQ[[#This Row],[Number]],0)</f>
        <v>0</v>
      </c>
      <c r="E1444" s="322">
        <f>IFERROR(MaterialsBoQ[[#This Row],[Kg per unit]],0)</f>
        <v>0</v>
      </c>
      <c r="F1444" s="322">
        <f>IFERROR(Calculations[[#This Row],[Number]]*Calculations[[#This Row],[Conversion factor]],0)</f>
        <v>0</v>
      </c>
      <c r="G1444" s="322">
        <f>IFERROR(VLOOKUP(Calculations[[#This Row],[Material (choose from dropdown]],MaterialData[#All],7,FALSE),0)</f>
        <v>0</v>
      </c>
      <c r="H1444" s="322">
        <f>Calculations[[#This Row],[Total Kg]]*Calculations[[#This Row],[Carbon Factor]]</f>
        <v>0</v>
      </c>
      <c r="I1444" t="str">
        <f>IFERROR(VLOOKUP(Calculations[[#This Row],[Material (choose from dropdown]],MaterialData[#All],2,FALSE),"")</f>
        <v/>
      </c>
      <c r="J1444" s="322">
        <f>IFERROR(((VLOOKUP(Calculations[[#This Row],[TransportSource]],TransportDistance[],2,FALSE)*'Stage assumptions'!$C$11)+VLOOKUP(Calculations[[#This Row],[TransportSource]],TransportDistance[],3,FALSE)*'Stage assumptions'!$C$12)*Calculations[[#This Row],[Total Kg]],0)</f>
        <v>0</v>
      </c>
      <c r="K1444">
        <f>IFERROR(VLOOKUP(Calculations[[#This Row],[Material (choose from dropdown]], MaterialData[#All],3, FALSE),0)</f>
        <v>0</v>
      </c>
      <c r="L1444" s="322">
        <f>IFERROR(VLOOKUP(Calculations[[#This Row],[A5type]],A5WastageRate[#All],2,FALSE)*Calculations[[#This Row],[A1-3]],0)</f>
        <v>0</v>
      </c>
      <c r="N1444">
        <f>IFERROR(ROUNDUP(50/VLOOKUP(Calculations[[#This Row],[Scope Element]],B4referenceServiceLife[[Tier 2 element]:[Default Service Life]],2, FALSE)-1,0),0)</f>
        <v>0</v>
      </c>
      <c r="O1444" s="322">
        <f>IFERROR((Calculations[[#This Row],[A1-3]]+Calculations[[#This Row],[A4]]+Calculations[[#This Row],[A5]]+Calculations[[#This Row],[C2 total]]+Calculations[[#This Row],[C3 total]]+Calculations[[#This Row],[C4 total]])*Calculations[[#This Row],[Replacements]],0)</f>
        <v>0</v>
      </c>
      <c r="S1444" t="str">
        <f>IFERROR(VLOOKUP(Calculations[[#This Row],[Material (choose from dropdown]],MaterialData[#All],4,FALSE),"")</f>
        <v/>
      </c>
      <c r="T1444" s="322" cm="1">
        <f t="array" ref="T1444">IFERROR(VLOOKUP(Calculations[[#This Row],[Waste 1]],WasteScenario[#All],2,FALSE)*'Stage assumptions'!$C$225*WasteTransportMethod[Emissions Factor
kgCO2e/kg.km]*Calculations[[#This Row],[Total Kg]],0)</f>
        <v>0</v>
      </c>
      <c r="U1444" s="322" cm="1">
        <f t="array" ref="U1444">IFERROR(VLOOKUP(Calculations[[#This Row],[Waste 1]],WasteScenario[#All],3,FALSE)*'Stage assumptions'!$C$224*WasteTransportMethod[Emissions Factor
kgCO2e/kg.km]*Calculations[[#This Row],[Total Kg]],0)</f>
        <v>0</v>
      </c>
      <c r="V1444" s="322" cm="1">
        <f t="array" ref="V1444">IFERROR(VLOOKUP(Calculations[[#This Row],[Waste 1]],WasteScenario[#All],4,FALSE)*'Stage assumptions'!$C$223*WasteTransportMethod[Emissions Factor
kgCO2e/kg.km]*Calculations[[#This Row],[Total Kg]],0)</f>
        <v>0</v>
      </c>
      <c r="W1444" s="322" cm="1">
        <f t="array" ref="W1444">IFERROR(VLOOKUP(Calculations[[#This Row],[Waste 1]],WasteScenario[#All],5,FALSE)*'Stage assumptions'!$C$226*WasteTransportMethod[Emissions Factor
kgCO2e/kg.km]*Calculations[[#This Row],[Total Kg]],0)</f>
        <v>0</v>
      </c>
      <c r="X1444" s="322">
        <f>SUM(Calculations[[#This Row],[C2 Recycle]:[C2 Reuse]])</f>
        <v>0</v>
      </c>
      <c r="Y1444" t="str">
        <f>IFERROR(VLOOKUP(Calculations[[#This Row],[Material (choose from dropdown]],MaterialData[#All],5,FALSE),"")</f>
        <v/>
      </c>
      <c r="Z1444" s="322">
        <f>IFERROR(((VLOOKUP(Calculations[[#This Row],[Waste type 2]],WasteDisposalEmissions[#All],2,FALSE))*Calculations[[#This Row],[Total Kg]])*VLOOKUP(Calculations[[#This Row],[Waste 1]],WasteScenario[#All],2,FALSE),0)</f>
        <v>0</v>
      </c>
      <c r="AA1444" s="322">
        <f>IFERROR((VLOOKUP(Calculations[[#This Row],[Waste type 2]],WasteDisposalEmissions[#All],3,FALSE))*Calculations[[#This Row],[Total Kg]]*VLOOKUP(Calculations[[#This Row],[Waste 1]],WasteScenario[#All],3,FALSE),0)</f>
        <v>0</v>
      </c>
      <c r="AB1444" s="322">
        <f>SUM(Calculations[[#This Row],[C3 recyc]:[C3 incin]])</f>
        <v>0</v>
      </c>
      <c r="AC1444" s="334">
        <f>IFERROR((VLOOKUP(Calculations[[#This Row],[Waste type 2]],WasteLandfillEmissions[#All],2,FALSE))*Calculations[[#This Row],[Total Kg]]*VLOOKUP(Calculations[[#This Row],[Waste 1]],WasteScenario[#All],4,FALSE),0)</f>
        <v>0</v>
      </c>
      <c r="AD1444" s="322">
        <f>IFERROR((VLOOKUP(Calculations[[#This Row],[Waste type 2]],WasteLandfillEmissions[#All],3,FALSE))*Calculations[[#This Row],[Total Kg]]*VLOOKUP(Calculations[[#This Row],[Waste 1]],WasteScenario[#All],4,FALSE),0)</f>
        <v>0</v>
      </c>
      <c r="AE1444" s="322">
        <f>SUM(Calculations[[#This Row],[C4 landfill]:[C4 re-use]])</f>
        <v>0</v>
      </c>
      <c r="AF1444" s="322">
        <f>IFERROR(VLOOKUP(Calculations[[#This Row],[Material (choose from dropdown]],MaterialData[#All],8,FALSE),0)</f>
        <v>0</v>
      </c>
      <c r="AG1444" s="322">
        <f>IFERROR(Calculations[[#This Row],[Total Kg]]*Calculations[[#This Row],[Seq factor]],0)</f>
        <v>0</v>
      </c>
      <c r="AI1444" s="322">
        <f>Calculations[[#This Row],[A1-3]]+Calculations[[#This Row],[A4]]+Calculations[[#This Row],[A5]]+Calculations[[#This Row],[B4]]+Calculations[[#This Row],[C2 total]]+Calculations[[#This Row],[C3 total]]+Calculations[[#This Row],[C4 total]]</f>
        <v>0</v>
      </c>
      <c r="AJ1444" s="2">
        <f>IFERROR(VLOOKUP(Calculations[[#This Row],[Material (choose from dropdown]],MaterialData[[#Headers],[#Data]],9,FALSE),0)</f>
        <v>0</v>
      </c>
      <c r="AK1444" s="4">
        <f>IFERROR(VLOOKUP(Calculations[[#This Row],[Material (choose from dropdown]],MaterialData[[#Headers],[#Data]],10,FALSE),0)</f>
        <v>0</v>
      </c>
      <c r="AL1444" s="322">
        <f>IFERROR(Calculations[[#This Row],[Data Quality Score]]*Calculations[[#This Row],[Total Kg]],0)</f>
        <v>0</v>
      </c>
    </row>
    <row r="1445" spans="1:38" x14ac:dyDescent="0.3">
      <c r="A1445" s="6">
        <f>IFERROR(MaterialsBoQ[[#This Row],[Scope Element]],0)</f>
        <v>0</v>
      </c>
      <c r="B1445" t="str">
        <f>IFERROR(MaterialsBoQ[[#This Row],[Material ]],"")</f>
        <v/>
      </c>
      <c r="C1445" t="str">
        <f>IFERROR(MaterialsBoQ[[#This Row],[Unit]],"")</f>
        <v/>
      </c>
      <c r="D1445" s="322">
        <f>IFERROR(MaterialsBoQ[[#This Row],[Number]],0)</f>
        <v>0</v>
      </c>
      <c r="E1445" s="322">
        <f>IFERROR(MaterialsBoQ[[#This Row],[Kg per unit]],0)</f>
        <v>0</v>
      </c>
      <c r="F1445" s="322">
        <f>IFERROR(Calculations[[#This Row],[Number]]*Calculations[[#This Row],[Conversion factor]],0)</f>
        <v>0</v>
      </c>
      <c r="G1445" s="322">
        <f>IFERROR(VLOOKUP(Calculations[[#This Row],[Material (choose from dropdown]],MaterialData[#All],7,FALSE),0)</f>
        <v>0</v>
      </c>
      <c r="H1445" s="322">
        <f>Calculations[[#This Row],[Total Kg]]*Calculations[[#This Row],[Carbon Factor]]</f>
        <v>0</v>
      </c>
      <c r="I1445" t="str">
        <f>IFERROR(VLOOKUP(Calculations[[#This Row],[Material (choose from dropdown]],MaterialData[#All],2,FALSE),"")</f>
        <v/>
      </c>
      <c r="J1445" s="322">
        <f>IFERROR(((VLOOKUP(Calculations[[#This Row],[TransportSource]],TransportDistance[],2,FALSE)*'Stage assumptions'!$C$11)+VLOOKUP(Calculations[[#This Row],[TransportSource]],TransportDistance[],3,FALSE)*'Stage assumptions'!$C$12)*Calculations[[#This Row],[Total Kg]],0)</f>
        <v>0</v>
      </c>
      <c r="K1445">
        <f>IFERROR(VLOOKUP(Calculations[[#This Row],[Material (choose from dropdown]], MaterialData[#All],3, FALSE),0)</f>
        <v>0</v>
      </c>
      <c r="L1445" s="322">
        <f>IFERROR(VLOOKUP(Calculations[[#This Row],[A5type]],A5WastageRate[#All],2,FALSE)*Calculations[[#This Row],[A1-3]],0)</f>
        <v>0</v>
      </c>
      <c r="N1445">
        <f>IFERROR(ROUNDUP(50/VLOOKUP(Calculations[[#This Row],[Scope Element]],B4referenceServiceLife[[Tier 2 element]:[Default Service Life]],2, FALSE)-1,0),0)</f>
        <v>0</v>
      </c>
      <c r="O1445" s="322">
        <f>IFERROR((Calculations[[#This Row],[A1-3]]+Calculations[[#This Row],[A4]]+Calculations[[#This Row],[A5]]+Calculations[[#This Row],[C2 total]]+Calculations[[#This Row],[C3 total]]+Calculations[[#This Row],[C4 total]])*Calculations[[#This Row],[Replacements]],0)</f>
        <v>0</v>
      </c>
      <c r="S1445" t="str">
        <f>IFERROR(VLOOKUP(Calculations[[#This Row],[Material (choose from dropdown]],MaterialData[#All],4,FALSE),"")</f>
        <v/>
      </c>
      <c r="T1445" s="322" cm="1">
        <f t="array" ref="T1445">IFERROR(VLOOKUP(Calculations[[#This Row],[Waste 1]],WasteScenario[#All],2,FALSE)*'Stage assumptions'!$C$225*WasteTransportMethod[Emissions Factor
kgCO2e/kg.km]*Calculations[[#This Row],[Total Kg]],0)</f>
        <v>0</v>
      </c>
      <c r="U1445" s="322" cm="1">
        <f t="array" ref="U1445">IFERROR(VLOOKUP(Calculations[[#This Row],[Waste 1]],WasteScenario[#All],3,FALSE)*'Stage assumptions'!$C$224*WasteTransportMethod[Emissions Factor
kgCO2e/kg.km]*Calculations[[#This Row],[Total Kg]],0)</f>
        <v>0</v>
      </c>
      <c r="V1445" s="322" cm="1">
        <f t="array" ref="V1445">IFERROR(VLOOKUP(Calculations[[#This Row],[Waste 1]],WasteScenario[#All],4,FALSE)*'Stage assumptions'!$C$223*WasteTransportMethod[Emissions Factor
kgCO2e/kg.km]*Calculations[[#This Row],[Total Kg]],0)</f>
        <v>0</v>
      </c>
      <c r="W1445" s="322" cm="1">
        <f t="array" ref="W1445">IFERROR(VLOOKUP(Calculations[[#This Row],[Waste 1]],WasteScenario[#All],5,FALSE)*'Stage assumptions'!$C$226*WasteTransportMethod[Emissions Factor
kgCO2e/kg.km]*Calculations[[#This Row],[Total Kg]],0)</f>
        <v>0</v>
      </c>
      <c r="X1445" s="322">
        <f>SUM(Calculations[[#This Row],[C2 Recycle]:[C2 Reuse]])</f>
        <v>0</v>
      </c>
      <c r="Y1445" t="str">
        <f>IFERROR(VLOOKUP(Calculations[[#This Row],[Material (choose from dropdown]],MaterialData[#All],5,FALSE),"")</f>
        <v/>
      </c>
      <c r="Z1445" s="322">
        <f>IFERROR(((VLOOKUP(Calculations[[#This Row],[Waste type 2]],WasteDisposalEmissions[#All],2,FALSE))*Calculations[[#This Row],[Total Kg]])*VLOOKUP(Calculations[[#This Row],[Waste 1]],WasteScenario[#All],2,FALSE),0)</f>
        <v>0</v>
      </c>
      <c r="AA1445" s="322">
        <f>IFERROR((VLOOKUP(Calculations[[#This Row],[Waste type 2]],WasteDisposalEmissions[#All],3,FALSE))*Calculations[[#This Row],[Total Kg]]*VLOOKUP(Calculations[[#This Row],[Waste 1]],WasteScenario[#All],3,FALSE),0)</f>
        <v>0</v>
      </c>
      <c r="AB1445" s="322">
        <f>SUM(Calculations[[#This Row],[C3 recyc]:[C3 incin]])</f>
        <v>0</v>
      </c>
      <c r="AC1445" s="334">
        <f>IFERROR((VLOOKUP(Calculations[[#This Row],[Waste type 2]],WasteLandfillEmissions[#All],2,FALSE))*Calculations[[#This Row],[Total Kg]]*VLOOKUP(Calculations[[#This Row],[Waste 1]],WasteScenario[#All],4,FALSE),0)</f>
        <v>0</v>
      </c>
      <c r="AD1445" s="322">
        <f>IFERROR((VLOOKUP(Calculations[[#This Row],[Waste type 2]],WasteLandfillEmissions[#All],3,FALSE))*Calculations[[#This Row],[Total Kg]]*VLOOKUP(Calculations[[#This Row],[Waste 1]],WasteScenario[#All],4,FALSE),0)</f>
        <v>0</v>
      </c>
      <c r="AE1445" s="322">
        <f>SUM(Calculations[[#This Row],[C4 landfill]:[C4 re-use]])</f>
        <v>0</v>
      </c>
      <c r="AF1445" s="322">
        <f>IFERROR(VLOOKUP(Calculations[[#This Row],[Material (choose from dropdown]],MaterialData[#All],8,FALSE),0)</f>
        <v>0</v>
      </c>
      <c r="AG1445" s="322">
        <f>IFERROR(Calculations[[#This Row],[Total Kg]]*Calculations[[#This Row],[Seq factor]],0)</f>
        <v>0</v>
      </c>
      <c r="AI1445" s="322">
        <f>Calculations[[#This Row],[A1-3]]+Calculations[[#This Row],[A4]]+Calculations[[#This Row],[A5]]+Calculations[[#This Row],[B4]]+Calculations[[#This Row],[C2 total]]+Calculations[[#This Row],[C3 total]]+Calculations[[#This Row],[C4 total]]</f>
        <v>0</v>
      </c>
      <c r="AJ1445" s="2">
        <f>IFERROR(VLOOKUP(Calculations[[#This Row],[Material (choose from dropdown]],MaterialData[[#Headers],[#Data]],9,FALSE),0)</f>
        <v>0</v>
      </c>
      <c r="AK1445" s="4">
        <f>IFERROR(VLOOKUP(Calculations[[#This Row],[Material (choose from dropdown]],MaterialData[[#Headers],[#Data]],10,FALSE),0)</f>
        <v>0</v>
      </c>
      <c r="AL1445" s="322">
        <f>IFERROR(Calculations[[#This Row],[Data Quality Score]]*Calculations[[#This Row],[Total Kg]],0)</f>
        <v>0</v>
      </c>
    </row>
    <row r="1446" spans="1:38" x14ac:dyDescent="0.3">
      <c r="A1446" s="6">
        <f>IFERROR(MaterialsBoQ[[#This Row],[Scope Element]],0)</f>
        <v>0</v>
      </c>
      <c r="B1446" t="str">
        <f>IFERROR(MaterialsBoQ[[#This Row],[Material ]],"")</f>
        <v/>
      </c>
      <c r="C1446" t="str">
        <f>IFERROR(MaterialsBoQ[[#This Row],[Unit]],"")</f>
        <v/>
      </c>
      <c r="D1446" s="322">
        <f>IFERROR(MaterialsBoQ[[#This Row],[Number]],0)</f>
        <v>0</v>
      </c>
      <c r="E1446" s="322">
        <f>IFERROR(MaterialsBoQ[[#This Row],[Kg per unit]],0)</f>
        <v>0</v>
      </c>
      <c r="F1446" s="322">
        <f>IFERROR(Calculations[[#This Row],[Number]]*Calculations[[#This Row],[Conversion factor]],0)</f>
        <v>0</v>
      </c>
      <c r="G1446" s="322">
        <f>IFERROR(VLOOKUP(Calculations[[#This Row],[Material (choose from dropdown]],MaterialData[#All],7,FALSE),0)</f>
        <v>0</v>
      </c>
      <c r="H1446" s="322">
        <f>Calculations[[#This Row],[Total Kg]]*Calculations[[#This Row],[Carbon Factor]]</f>
        <v>0</v>
      </c>
      <c r="I1446" t="str">
        <f>IFERROR(VLOOKUP(Calculations[[#This Row],[Material (choose from dropdown]],MaterialData[#All],2,FALSE),"")</f>
        <v/>
      </c>
      <c r="J1446" s="322">
        <f>IFERROR(((VLOOKUP(Calculations[[#This Row],[TransportSource]],TransportDistance[],2,FALSE)*'Stage assumptions'!$C$11)+VLOOKUP(Calculations[[#This Row],[TransportSource]],TransportDistance[],3,FALSE)*'Stage assumptions'!$C$12)*Calculations[[#This Row],[Total Kg]],0)</f>
        <v>0</v>
      </c>
      <c r="K1446">
        <f>IFERROR(VLOOKUP(Calculations[[#This Row],[Material (choose from dropdown]], MaterialData[#All],3, FALSE),0)</f>
        <v>0</v>
      </c>
      <c r="L1446" s="322">
        <f>IFERROR(VLOOKUP(Calculations[[#This Row],[A5type]],A5WastageRate[#All],2,FALSE)*Calculations[[#This Row],[A1-3]],0)</f>
        <v>0</v>
      </c>
      <c r="N1446">
        <f>IFERROR(ROUNDUP(50/VLOOKUP(Calculations[[#This Row],[Scope Element]],B4referenceServiceLife[[Tier 2 element]:[Default Service Life]],2, FALSE)-1,0),0)</f>
        <v>0</v>
      </c>
      <c r="O1446" s="322">
        <f>IFERROR((Calculations[[#This Row],[A1-3]]+Calculations[[#This Row],[A4]]+Calculations[[#This Row],[A5]]+Calculations[[#This Row],[C2 total]]+Calculations[[#This Row],[C3 total]]+Calculations[[#This Row],[C4 total]])*Calculations[[#This Row],[Replacements]],0)</f>
        <v>0</v>
      </c>
      <c r="S1446" t="str">
        <f>IFERROR(VLOOKUP(Calculations[[#This Row],[Material (choose from dropdown]],MaterialData[#All],4,FALSE),"")</f>
        <v/>
      </c>
      <c r="T1446" s="322" cm="1">
        <f t="array" ref="T1446">IFERROR(VLOOKUP(Calculations[[#This Row],[Waste 1]],WasteScenario[#All],2,FALSE)*'Stage assumptions'!$C$225*WasteTransportMethod[Emissions Factor
kgCO2e/kg.km]*Calculations[[#This Row],[Total Kg]],0)</f>
        <v>0</v>
      </c>
      <c r="U1446" s="322" cm="1">
        <f t="array" ref="U1446">IFERROR(VLOOKUP(Calculations[[#This Row],[Waste 1]],WasteScenario[#All],3,FALSE)*'Stage assumptions'!$C$224*WasteTransportMethod[Emissions Factor
kgCO2e/kg.km]*Calculations[[#This Row],[Total Kg]],0)</f>
        <v>0</v>
      </c>
      <c r="V1446" s="322" cm="1">
        <f t="array" ref="V1446">IFERROR(VLOOKUP(Calculations[[#This Row],[Waste 1]],WasteScenario[#All],4,FALSE)*'Stage assumptions'!$C$223*WasteTransportMethod[Emissions Factor
kgCO2e/kg.km]*Calculations[[#This Row],[Total Kg]],0)</f>
        <v>0</v>
      </c>
      <c r="W1446" s="322" cm="1">
        <f t="array" ref="W1446">IFERROR(VLOOKUP(Calculations[[#This Row],[Waste 1]],WasteScenario[#All],5,FALSE)*'Stage assumptions'!$C$226*WasteTransportMethod[Emissions Factor
kgCO2e/kg.km]*Calculations[[#This Row],[Total Kg]],0)</f>
        <v>0</v>
      </c>
      <c r="X1446" s="322">
        <f>SUM(Calculations[[#This Row],[C2 Recycle]:[C2 Reuse]])</f>
        <v>0</v>
      </c>
      <c r="Y1446" t="str">
        <f>IFERROR(VLOOKUP(Calculations[[#This Row],[Material (choose from dropdown]],MaterialData[#All],5,FALSE),"")</f>
        <v/>
      </c>
      <c r="Z1446" s="322">
        <f>IFERROR(((VLOOKUP(Calculations[[#This Row],[Waste type 2]],WasteDisposalEmissions[#All],2,FALSE))*Calculations[[#This Row],[Total Kg]])*VLOOKUP(Calculations[[#This Row],[Waste 1]],WasteScenario[#All],2,FALSE),0)</f>
        <v>0</v>
      </c>
      <c r="AA1446" s="322">
        <f>IFERROR((VLOOKUP(Calculations[[#This Row],[Waste type 2]],WasteDisposalEmissions[#All],3,FALSE))*Calculations[[#This Row],[Total Kg]]*VLOOKUP(Calculations[[#This Row],[Waste 1]],WasteScenario[#All],3,FALSE),0)</f>
        <v>0</v>
      </c>
      <c r="AB1446" s="322">
        <f>SUM(Calculations[[#This Row],[C3 recyc]:[C3 incin]])</f>
        <v>0</v>
      </c>
      <c r="AC1446" s="334">
        <f>IFERROR((VLOOKUP(Calculations[[#This Row],[Waste type 2]],WasteLandfillEmissions[#All],2,FALSE))*Calculations[[#This Row],[Total Kg]]*VLOOKUP(Calculations[[#This Row],[Waste 1]],WasteScenario[#All],4,FALSE),0)</f>
        <v>0</v>
      </c>
      <c r="AD1446" s="322">
        <f>IFERROR((VLOOKUP(Calculations[[#This Row],[Waste type 2]],WasteLandfillEmissions[#All],3,FALSE))*Calculations[[#This Row],[Total Kg]]*VLOOKUP(Calculations[[#This Row],[Waste 1]],WasteScenario[#All],4,FALSE),0)</f>
        <v>0</v>
      </c>
      <c r="AE1446" s="322">
        <f>SUM(Calculations[[#This Row],[C4 landfill]:[C4 re-use]])</f>
        <v>0</v>
      </c>
      <c r="AF1446" s="322">
        <f>IFERROR(VLOOKUP(Calculations[[#This Row],[Material (choose from dropdown]],MaterialData[#All],8,FALSE),0)</f>
        <v>0</v>
      </c>
      <c r="AG1446" s="322">
        <f>IFERROR(Calculations[[#This Row],[Total Kg]]*Calculations[[#This Row],[Seq factor]],0)</f>
        <v>0</v>
      </c>
      <c r="AI1446" s="322">
        <f>Calculations[[#This Row],[A1-3]]+Calculations[[#This Row],[A4]]+Calculations[[#This Row],[A5]]+Calculations[[#This Row],[B4]]+Calculations[[#This Row],[C2 total]]+Calculations[[#This Row],[C3 total]]+Calculations[[#This Row],[C4 total]]</f>
        <v>0</v>
      </c>
      <c r="AJ1446" s="2">
        <f>IFERROR(VLOOKUP(Calculations[[#This Row],[Material (choose from dropdown]],MaterialData[[#Headers],[#Data]],9,FALSE),0)</f>
        <v>0</v>
      </c>
      <c r="AK1446" s="4">
        <f>IFERROR(VLOOKUP(Calculations[[#This Row],[Material (choose from dropdown]],MaterialData[[#Headers],[#Data]],10,FALSE),0)</f>
        <v>0</v>
      </c>
      <c r="AL1446" s="322">
        <f>IFERROR(Calculations[[#This Row],[Data Quality Score]]*Calculations[[#This Row],[Total Kg]],0)</f>
        <v>0</v>
      </c>
    </row>
    <row r="1447" spans="1:38" x14ac:dyDescent="0.3">
      <c r="A1447" s="6">
        <f>IFERROR(MaterialsBoQ[[#This Row],[Scope Element]],0)</f>
        <v>0</v>
      </c>
      <c r="B1447" t="str">
        <f>IFERROR(MaterialsBoQ[[#This Row],[Material ]],"")</f>
        <v/>
      </c>
      <c r="C1447" t="str">
        <f>IFERROR(MaterialsBoQ[[#This Row],[Unit]],"")</f>
        <v/>
      </c>
      <c r="D1447" s="322">
        <f>IFERROR(MaterialsBoQ[[#This Row],[Number]],0)</f>
        <v>0</v>
      </c>
      <c r="E1447" s="322">
        <f>IFERROR(MaterialsBoQ[[#This Row],[Kg per unit]],0)</f>
        <v>0</v>
      </c>
      <c r="F1447" s="322">
        <f>IFERROR(Calculations[[#This Row],[Number]]*Calculations[[#This Row],[Conversion factor]],0)</f>
        <v>0</v>
      </c>
      <c r="G1447" s="322">
        <f>IFERROR(VLOOKUP(Calculations[[#This Row],[Material (choose from dropdown]],MaterialData[#All],7,FALSE),0)</f>
        <v>0</v>
      </c>
      <c r="H1447" s="322">
        <f>Calculations[[#This Row],[Total Kg]]*Calculations[[#This Row],[Carbon Factor]]</f>
        <v>0</v>
      </c>
      <c r="I1447" t="str">
        <f>IFERROR(VLOOKUP(Calculations[[#This Row],[Material (choose from dropdown]],MaterialData[#All],2,FALSE),"")</f>
        <v/>
      </c>
      <c r="J1447" s="322">
        <f>IFERROR(((VLOOKUP(Calculations[[#This Row],[TransportSource]],TransportDistance[],2,FALSE)*'Stage assumptions'!$C$11)+VLOOKUP(Calculations[[#This Row],[TransportSource]],TransportDistance[],3,FALSE)*'Stage assumptions'!$C$12)*Calculations[[#This Row],[Total Kg]],0)</f>
        <v>0</v>
      </c>
      <c r="K1447">
        <f>IFERROR(VLOOKUP(Calculations[[#This Row],[Material (choose from dropdown]], MaterialData[#All],3, FALSE),0)</f>
        <v>0</v>
      </c>
      <c r="L1447" s="322">
        <f>IFERROR(VLOOKUP(Calculations[[#This Row],[A5type]],A5WastageRate[#All],2,FALSE)*Calculations[[#This Row],[A1-3]],0)</f>
        <v>0</v>
      </c>
      <c r="N1447">
        <f>IFERROR(ROUNDUP(50/VLOOKUP(Calculations[[#This Row],[Scope Element]],B4referenceServiceLife[[Tier 2 element]:[Default Service Life]],2, FALSE)-1,0),0)</f>
        <v>0</v>
      </c>
      <c r="O1447" s="322">
        <f>IFERROR((Calculations[[#This Row],[A1-3]]+Calculations[[#This Row],[A4]]+Calculations[[#This Row],[A5]]+Calculations[[#This Row],[C2 total]]+Calculations[[#This Row],[C3 total]]+Calculations[[#This Row],[C4 total]])*Calculations[[#This Row],[Replacements]],0)</f>
        <v>0</v>
      </c>
      <c r="S1447" t="str">
        <f>IFERROR(VLOOKUP(Calculations[[#This Row],[Material (choose from dropdown]],MaterialData[#All],4,FALSE),"")</f>
        <v/>
      </c>
      <c r="T1447" s="322" cm="1">
        <f t="array" ref="T1447">IFERROR(VLOOKUP(Calculations[[#This Row],[Waste 1]],WasteScenario[#All],2,FALSE)*'Stage assumptions'!$C$225*WasteTransportMethod[Emissions Factor
kgCO2e/kg.km]*Calculations[[#This Row],[Total Kg]],0)</f>
        <v>0</v>
      </c>
      <c r="U1447" s="322" cm="1">
        <f t="array" ref="U1447">IFERROR(VLOOKUP(Calculations[[#This Row],[Waste 1]],WasteScenario[#All],3,FALSE)*'Stage assumptions'!$C$224*WasteTransportMethod[Emissions Factor
kgCO2e/kg.km]*Calculations[[#This Row],[Total Kg]],0)</f>
        <v>0</v>
      </c>
      <c r="V1447" s="322" cm="1">
        <f t="array" ref="V1447">IFERROR(VLOOKUP(Calculations[[#This Row],[Waste 1]],WasteScenario[#All],4,FALSE)*'Stage assumptions'!$C$223*WasteTransportMethod[Emissions Factor
kgCO2e/kg.km]*Calculations[[#This Row],[Total Kg]],0)</f>
        <v>0</v>
      </c>
      <c r="W1447" s="322" cm="1">
        <f t="array" ref="W1447">IFERROR(VLOOKUP(Calculations[[#This Row],[Waste 1]],WasteScenario[#All],5,FALSE)*'Stage assumptions'!$C$226*WasteTransportMethod[Emissions Factor
kgCO2e/kg.km]*Calculations[[#This Row],[Total Kg]],0)</f>
        <v>0</v>
      </c>
      <c r="X1447" s="322">
        <f>SUM(Calculations[[#This Row],[C2 Recycle]:[C2 Reuse]])</f>
        <v>0</v>
      </c>
      <c r="Y1447" t="str">
        <f>IFERROR(VLOOKUP(Calculations[[#This Row],[Material (choose from dropdown]],MaterialData[#All],5,FALSE),"")</f>
        <v/>
      </c>
      <c r="Z1447" s="322">
        <f>IFERROR(((VLOOKUP(Calculations[[#This Row],[Waste type 2]],WasteDisposalEmissions[#All],2,FALSE))*Calculations[[#This Row],[Total Kg]])*VLOOKUP(Calculations[[#This Row],[Waste 1]],WasteScenario[#All],2,FALSE),0)</f>
        <v>0</v>
      </c>
      <c r="AA1447" s="322">
        <f>IFERROR((VLOOKUP(Calculations[[#This Row],[Waste type 2]],WasteDisposalEmissions[#All],3,FALSE))*Calculations[[#This Row],[Total Kg]]*VLOOKUP(Calculations[[#This Row],[Waste 1]],WasteScenario[#All],3,FALSE),0)</f>
        <v>0</v>
      </c>
      <c r="AB1447" s="322">
        <f>SUM(Calculations[[#This Row],[C3 recyc]:[C3 incin]])</f>
        <v>0</v>
      </c>
      <c r="AC1447" s="334">
        <f>IFERROR((VLOOKUP(Calculations[[#This Row],[Waste type 2]],WasteLandfillEmissions[#All],2,FALSE))*Calculations[[#This Row],[Total Kg]]*VLOOKUP(Calculations[[#This Row],[Waste 1]],WasteScenario[#All],4,FALSE),0)</f>
        <v>0</v>
      </c>
      <c r="AD1447" s="322">
        <f>IFERROR((VLOOKUP(Calculations[[#This Row],[Waste type 2]],WasteLandfillEmissions[#All],3,FALSE))*Calculations[[#This Row],[Total Kg]]*VLOOKUP(Calculations[[#This Row],[Waste 1]],WasteScenario[#All],4,FALSE),0)</f>
        <v>0</v>
      </c>
      <c r="AE1447" s="322">
        <f>SUM(Calculations[[#This Row],[C4 landfill]:[C4 re-use]])</f>
        <v>0</v>
      </c>
      <c r="AF1447" s="322">
        <f>IFERROR(VLOOKUP(Calculations[[#This Row],[Material (choose from dropdown]],MaterialData[#All],8,FALSE),0)</f>
        <v>0</v>
      </c>
      <c r="AG1447" s="322">
        <f>IFERROR(Calculations[[#This Row],[Total Kg]]*Calculations[[#This Row],[Seq factor]],0)</f>
        <v>0</v>
      </c>
      <c r="AI1447" s="322">
        <f>Calculations[[#This Row],[A1-3]]+Calculations[[#This Row],[A4]]+Calculations[[#This Row],[A5]]+Calculations[[#This Row],[B4]]+Calculations[[#This Row],[C2 total]]+Calculations[[#This Row],[C3 total]]+Calculations[[#This Row],[C4 total]]</f>
        <v>0</v>
      </c>
      <c r="AJ1447" s="2">
        <f>IFERROR(VLOOKUP(Calculations[[#This Row],[Material (choose from dropdown]],MaterialData[[#Headers],[#Data]],9,FALSE),0)</f>
        <v>0</v>
      </c>
      <c r="AK1447" s="4">
        <f>IFERROR(VLOOKUP(Calculations[[#This Row],[Material (choose from dropdown]],MaterialData[[#Headers],[#Data]],10,FALSE),0)</f>
        <v>0</v>
      </c>
      <c r="AL1447" s="322">
        <f>IFERROR(Calculations[[#This Row],[Data Quality Score]]*Calculations[[#This Row],[Total Kg]],0)</f>
        <v>0</v>
      </c>
    </row>
    <row r="1448" spans="1:38" x14ac:dyDescent="0.3">
      <c r="A1448" s="6">
        <f>IFERROR(MaterialsBoQ[[#This Row],[Scope Element]],0)</f>
        <v>0</v>
      </c>
      <c r="B1448" t="str">
        <f>IFERROR(MaterialsBoQ[[#This Row],[Material ]],"")</f>
        <v/>
      </c>
      <c r="C1448" t="str">
        <f>IFERROR(MaterialsBoQ[[#This Row],[Unit]],"")</f>
        <v/>
      </c>
      <c r="D1448" s="322">
        <f>IFERROR(MaterialsBoQ[[#This Row],[Number]],0)</f>
        <v>0</v>
      </c>
      <c r="E1448" s="322">
        <f>IFERROR(MaterialsBoQ[[#This Row],[Kg per unit]],0)</f>
        <v>0</v>
      </c>
      <c r="F1448" s="322">
        <f>IFERROR(Calculations[[#This Row],[Number]]*Calculations[[#This Row],[Conversion factor]],0)</f>
        <v>0</v>
      </c>
      <c r="G1448" s="322">
        <f>IFERROR(VLOOKUP(Calculations[[#This Row],[Material (choose from dropdown]],MaterialData[#All],7,FALSE),0)</f>
        <v>0</v>
      </c>
      <c r="H1448" s="322">
        <f>Calculations[[#This Row],[Total Kg]]*Calculations[[#This Row],[Carbon Factor]]</f>
        <v>0</v>
      </c>
      <c r="I1448" t="str">
        <f>IFERROR(VLOOKUP(Calculations[[#This Row],[Material (choose from dropdown]],MaterialData[#All],2,FALSE),"")</f>
        <v/>
      </c>
      <c r="J1448" s="322">
        <f>IFERROR(((VLOOKUP(Calculations[[#This Row],[TransportSource]],TransportDistance[],2,FALSE)*'Stage assumptions'!$C$11)+VLOOKUP(Calculations[[#This Row],[TransportSource]],TransportDistance[],3,FALSE)*'Stage assumptions'!$C$12)*Calculations[[#This Row],[Total Kg]],0)</f>
        <v>0</v>
      </c>
      <c r="K1448">
        <f>IFERROR(VLOOKUP(Calculations[[#This Row],[Material (choose from dropdown]], MaterialData[#All],3, FALSE),0)</f>
        <v>0</v>
      </c>
      <c r="L1448" s="322">
        <f>IFERROR(VLOOKUP(Calculations[[#This Row],[A5type]],A5WastageRate[#All],2,FALSE)*Calculations[[#This Row],[A1-3]],0)</f>
        <v>0</v>
      </c>
      <c r="N1448">
        <f>IFERROR(ROUNDUP(50/VLOOKUP(Calculations[[#This Row],[Scope Element]],B4referenceServiceLife[[Tier 2 element]:[Default Service Life]],2, FALSE)-1,0),0)</f>
        <v>0</v>
      </c>
      <c r="O1448" s="322">
        <f>IFERROR((Calculations[[#This Row],[A1-3]]+Calculations[[#This Row],[A4]]+Calculations[[#This Row],[A5]]+Calculations[[#This Row],[C2 total]]+Calculations[[#This Row],[C3 total]]+Calculations[[#This Row],[C4 total]])*Calculations[[#This Row],[Replacements]],0)</f>
        <v>0</v>
      </c>
      <c r="S1448" t="str">
        <f>IFERROR(VLOOKUP(Calculations[[#This Row],[Material (choose from dropdown]],MaterialData[#All],4,FALSE),"")</f>
        <v/>
      </c>
      <c r="T1448" s="322" cm="1">
        <f t="array" ref="T1448">IFERROR(VLOOKUP(Calculations[[#This Row],[Waste 1]],WasteScenario[#All],2,FALSE)*'Stage assumptions'!$C$225*WasteTransportMethod[Emissions Factor
kgCO2e/kg.km]*Calculations[[#This Row],[Total Kg]],0)</f>
        <v>0</v>
      </c>
      <c r="U1448" s="322" cm="1">
        <f t="array" ref="U1448">IFERROR(VLOOKUP(Calculations[[#This Row],[Waste 1]],WasteScenario[#All],3,FALSE)*'Stage assumptions'!$C$224*WasteTransportMethod[Emissions Factor
kgCO2e/kg.km]*Calculations[[#This Row],[Total Kg]],0)</f>
        <v>0</v>
      </c>
      <c r="V1448" s="322" cm="1">
        <f t="array" ref="V1448">IFERROR(VLOOKUP(Calculations[[#This Row],[Waste 1]],WasteScenario[#All],4,FALSE)*'Stage assumptions'!$C$223*WasteTransportMethod[Emissions Factor
kgCO2e/kg.km]*Calculations[[#This Row],[Total Kg]],0)</f>
        <v>0</v>
      </c>
      <c r="W1448" s="322" cm="1">
        <f t="array" ref="W1448">IFERROR(VLOOKUP(Calculations[[#This Row],[Waste 1]],WasteScenario[#All],5,FALSE)*'Stage assumptions'!$C$226*WasteTransportMethod[Emissions Factor
kgCO2e/kg.km]*Calculations[[#This Row],[Total Kg]],0)</f>
        <v>0</v>
      </c>
      <c r="X1448" s="322">
        <f>SUM(Calculations[[#This Row],[C2 Recycle]:[C2 Reuse]])</f>
        <v>0</v>
      </c>
      <c r="Y1448" t="str">
        <f>IFERROR(VLOOKUP(Calculations[[#This Row],[Material (choose from dropdown]],MaterialData[#All],5,FALSE),"")</f>
        <v/>
      </c>
      <c r="Z1448" s="322">
        <f>IFERROR(((VLOOKUP(Calculations[[#This Row],[Waste type 2]],WasteDisposalEmissions[#All],2,FALSE))*Calculations[[#This Row],[Total Kg]])*VLOOKUP(Calculations[[#This Row],[Waste 1]],WasteScenario[#All],2,FALSE),0)</f>
        <v>0</v>
      </c>
      <c r="AA1448" s="322">
        <f>IFERROR((VLOOKUP(Calculations[[#This Row],[Waste type 2]],WasteDisposalEmissions[#All],3,FALSE))*Calculations[[#This Row],[Total Kg]]*VLOOKUP(Calculations[[#This Row],[Waste 1]],WasteScenario[#All],3,FALSE),0)</f>
        <v>0</v>
      </c>
      <c r="AB1448" s="322">
        <f>SUM(Calculations[[#This Row],[C3 recyc]:[C3 incin]])</f>
        <v>0</v>
      </c>
      <c r="AC1448" s="334">
        <f>IFERROR((VLOOKUP(Calculations[[#This Row],[Waste type 2]],WasteLandfillEmissions[#All],2,FALSE))*Calculations[[#This Row],[Total Kg]]*VLOOKUP(Calculations[[#This Row],[Waste 1]],WasteScenario[#All],4,FALSE),0)</f>
        <v>0</v>
      </c>
      <c r="AD1448" s="322">
        <f>IFERROR((VLOOKUP(Calculations[[#This Row],[Waste type 2]],WasteLandfillEmissions[#All],3,FALSE))*Calculations[[#This Row],[Total Kg]]*VLOOKUP(Calculations[[#This Row],[Waste 1]],WasteScenario[#All],4,FALSE),0)</f>
        <v>0</v>
      </c>
      <c r="AE1448" s="322">
        <f>SUM(Calculations[[#This Row],[C4 landfill]:[C4 re-use]])</f>
        <v>0</v>
      </c>
      <c r="AF1448" s="322">
        <f>IFERROR(VLOOKUP(Calculations[[#This Row],[Material (choose from dropdown]],MaterialData[#All],8,FALSE),0)</f>
        <v>0</v>
      </c>
      <c r="AG1448" s="322">
        <f>IFERROR(Calculations[[#This Row],[Total Kg]]*Calculations[[#This Row],[Seq factor]],0)</f>
        <v>0</v>
      </c>
      <c r="AI1448" s="322">
        <f>Calculations[[#This Row],[A1-3]]+Calculations[[#This Row],[A4]]+Calculations[[#This Row],[A5]]+Calculations[[#This Row],[B4]]+Calculations[[#This Row],[C2 total]]+Calculations[[#This Row],[C3 total]]+Calculations[[#This Row],[C4 total]]</f>
        <v>0</v>
      </c>
      <c r="AJ1448" s="2">
        <f>IFERROR(VLOOKUP(Calculations[[#This Row],[Material (choose from dropdown]],MaterialData[[#Headers],[#Data]],9,FALSE),0)</f>
        <v>0</v>
      </c>
      <c r="AK1448" s="4">
        <f>IFERROR(VLOOKUP(Calculations[[#This Row],[Material (choose from dropdown]],MaterialData[[#Headers],[#Data]],10,FALSE),0)</f>
        <v>0</v>
      </c>
      <c r="AL1448" s="322">
        <f>IFERROR(Calculations[[#This Row],[Data Quality Score]]*Calculations[[#This Row],[Total Kg]],0)</f>
        <v>0</v>
      </c>
    </row>
    <row r="1449" spans="1:38" x14ac:dyDescent="0.3">
      <c r="A1449" s="6">
        <f>IFERROR(MaterialsBoQ[[#This Row],[Scope Element]],0)</f>
        <v>0</v>
      </c>
      <c r="B1449" t="str">
        <f>IFERROR(MaterialsBoQ[[#This Row],[Material ]],"")</f>
        <v/>
      </c>
      <c r="C1449" t="str">
        <f>IFERROR(MaterialsBoQ[[#This Row],[Unit]],"")</f>
        <v/>
      </c>
      <c r="D1449" s="322">
        <f>IFERROR(MaterialsBoQ[[#This Row],[Number]],0)</f>
        <v>0</v>
      </c>
      <c r="E1449" s="322">
        <f>IFERROR(MaterialsBoQ[[#This Row],[Kg per unit]],0)</f>
        <v>0</v>
      </c>
      <c r="F1449" s="322">
        <f>IFERROR(Calculations[[#This Row],[Number]]*Calculations[[#This Row],[Conversion factor]],0)</f>
        <v>0</v>
      </c>
      <c r="G1449" s="322">
        <f>IFERROR(VLOOKUP(Calculations[[#This Row],[Material (choose from dropdown]],MaterialData[#All],7,FALSE),0)</f>
        <v>0</v>
      </c>
      <c r="H1449" s="322">
        <f>Calculations[[#This Row],[Total Kg]]*Calculations[[#This Row],[Carbon Factor]]</f>
        <v>0</v>
      </c>
      <c r="I1449" t="str">
        <f>IFERROR(VLOOKUP(Calculations[[#This Row],[Material (choose from dropdown]],MaterialData[#All],2,FALSE),"")</f>
        <v/>
      </c>
      <c r="J1449" s="322">
        <f>IFERROR(((VLOOKUP(Calculations[[#This Row],[TransportSource]],TransportDistance[],2,FALSE)*'Stage assumptions'!$C$11)+VLOOKUP(Calculations[[#This Row],[TransportSource]],TransportDistance[],3,FALSE)*'Stage assumptions'!$C$12)*Calculations[[#This Row],[Total Kg]],0)</f>
        <v>0</v>
      </c>
      <c r="K1449">
        <f>IFERROR(VLOOKUP(Calculations[[#This Row],[Material (choose from dropdown]], MaterialData[#All],3, FALSE),0)</f>
        <v>0</v>
      </c>
      <c r="L1449" s="322">
        <f>IFERROR(VLOOKUP(Calculations[[#This Row],[A5type]],A5WastageRate[#All],2,FALSE)*Calculations[[#This Row],[A1-3]],0)</f>
        <v>0</v>
      </c>
      <c r="N1449">
        <f>IFERROR(ROUNDUP(50/VLOOKUP(Calculations[[#This Row],[Scope Element]],B4referenceServiceLife[[Tier 2 element]:[Default Service Life]],2, FALSE)-1,0),0)</f>
        <v>0</v>
      </c>
      <c r="O1449" s="322">
        <f>IFERROR((Calculations[[#This Row],[A1-3]]+Calculations[[#This Row],[A4]]+Calculations[[#This Row],[A5]]+Calculations[[#This Row],[C2 total]]+Calculations[[#This Row],[C3 total]]+Calculations[[#This Row],[C4 total]])*Calculations[[#This Row],[Replacements]],0)</f>
        <v>0</v>
      </c>
      <c r="S1449" t="str">
        <f>IFERROR(VLOOKUP(Calculations[[#This Row],[Material (choose from dropdown]],MaterialData[#All],4,FALSE),"")</f>
        <v/>
      </c>
      <c r="T1449" s="322" cm="1">
        <f t="array" ref="T1449">IFERROR(VLOOKUP(Calculations[[#This Row],[Waste 1]],WasteScenario[#All],2,FALSE)*'Stage assumptions'!$C$225*WasteTransportMethod[Emissions Factor
kgCO2e/kg.km]*Calculations[[#This Row],[Total Kg]],0)</f>
        <v>0</v>
      </c>
      <c r="U1449" s="322" cm="1">
        <f t="array" ref="U1449">IFERROR(VLOOKUP(Calculations[[#This Row],[Waste 1]],WasteScenario[#All],3,FALSE)*'Stage assumptions'!$C$224*WasteTransportMethod[Emissions Factor
kgCO2e/kg.km]*Calculations[[#This Row],[Total Kg]],0)</f>
        <v>0</v>
      </c>
      <c r="V1449" s="322" cm="1">
        <f t="array" ref="V1449">IFERROR(VLOOKUP(Calculations[[#This Row],[Waste 1]],WasteScenario[#All],4,FALSE)*'Stage assumptions'!$C$223*WasteTransportMethod[Emissions Factor
kgCO2e/kg.km]*Calculations[[#This Row],[Total Kg]],0)</f>
        <v>0</v>
      </c>
      <c r="W1449" s="322" cm="1">
        <f t="array" ref="W1449">IFERROR(VLOOKUP(Calculations[[#This Row],[Waste 1]],WasteScenario[#All],5,FALSE)*'Stage assumptions'!$C$226*WasteTransportMethod[Emissions Factor
kgCO2e/kg.km]*Calculations[[#This Row],[Total Kg]],0)</f>
        <v>0</v>
      </c>
      <c r="X1449" s="322">
        <f>SUM(Calculations[[#This Row],[C2 Recycle]:[C2 Reuse]])</f>
        <v>0</v>
      </c>
      <c r="Y1449" t="str">
        <f>IFERROR(VLOOKUP(Calculations[[#This Row],[Material (choose from dropdown]],MaterialData[#All],5,FALSE),"")</f>
        <v/>
      </c>
      <c r="Z1449" s="322">
        <f>IFERROR(((VLOOKUP(Calculations[[#This Row],[Waste type 2]],WasteDisposalEmissions[#All],2,FALSE))*Calculations[[#This Row],[Total Kg]])*VLOOKUP(Calculations[[#This Row],[Waste 1]],WasteScenario[#All],2,FALSE),0)</f>
        <v>0</v>
      </c>
      <c r="AA1449" s="322">
        <f>IFERROR((VLOOKUP(Calculations[[#This Row],[Waste type 2]],WasteDisposalEmissions[#All],3,FALSE))*Calculations[[#This Row],[Total Kg]]*VLOOKUP(Calculations[[#This Row],[Waste 1]],WasteScenario[#All],3,FALSE),0)</f>
        <v>0</v>
      </c>
      <c r="AB1449" s="322">
        <f>SUM(Calculations[[#This Row],[C3 recyc]:[C3 incin]])</f>
        <v>0</v>
      </c>
      <c r="AC1449" s="334">
        <f>IFERROR((VLOOKUP(Calculations[[#This Row],[Waste type 2]],WasteLandfillEmissions[#All],2,FALSE))*Calculations[[#This Row],[Total Kg]]*VLOOKUP(Calculations[[#This Row],[Waste 1]],WasteScenario[#All],4,FALSE),0)</f>
        <v>0</v>
      </c>
      <c r="AD1449" s="322">
        <f>IFERROR((VLOOKUP(Calculations[[#This Row],[Waste type 2]],WasteLandfillEmissions[#All],3,FALSE))*Calculations[[#This Row],[Total Kg]]*VLOOKUP(Calculations[[#This Row],[Waste 1]],WasteScenario[#All],4,FALSE),0)</f>
        <v>0</v>
      </c>
      <c r="AE1449" s="322">
        <f>SUM(Calculations[[#This Row],[C4 landfill]:[C4 re-use]])</f>
        <v>0</v>
      </c>
      <c r="AF1449" s="322">
        <f>IFERROR(VLOOKUP(Calculations[[#This Row],[Material (choose from dropdown]],MaterialData[#All],8,FALSE),0)</f>
        <v>0</v>
      </c>
      <c r="AG1449" s="322">
        <f>IFERROR(Calculations[[#This Row],[Total Kg]]*Calculations[[#This Row],[Seq factor]],0)</f>
        <v>0</v>
      </c>
      <c r="AI1449" s="322">
        <f>Calculations[[#This Row],[A1-3]]+Calculations[[#This Row],[A4]]+Calculations[[#This Row],[A5]]+Calculations[[#This Row],[B4]]+Calculations[[#This Row],[C2 total]]+Calculations[[#This Row],[C3 total]]+Calculations[[#This Row],[C4 total]]</f>
        <v>0</v>
      </c>
      <c r="AJ1449" s="2">
        <f>IFERROR(VLOOKUP(Calculations[[#This Row],[Material (choose from dropdown]],MaterialData[[#Headers],[#Data]],9,FALSE),0)</f>
        <v>0</v>
      </c>
      <c r="AK1449" s="4">
        <f>IFERROR(VLOOKUP(Calculations[[#This Row],[Material (choose from dropdown]],MaterialData[[#Headers],[#Data]],10,FALSE),0)</f>
        <v>0</v>
      </c>
      <c r="AL1449" s="322">
        <f>IFERROR(Calculations[[#This Row],[Data Quality Score]]*Calculations[[#This Row],[Total Kg]],0)</f>
        <v>0</v>
      </c>
    </row>
    <row r="1450" spans="1:38" x14ac:dyDescent="0.3">
      <c r="A1450" s="6">
        <f>IFERROR(MaterialsBoQ[[#This Row],[Scope Element]],0)</f>
        <v>0</v>
      </c>
      <c r="B1450" t="str">
        <f>IFERROR(MaterialsBoQ[[#This Row],[Material ]],"")</f>
        <v/>
      </c>
      <c r="C1450" t="str">
        <f>IFERROR(MaterialsBoQ[[#This Row],[Unit]],"")</f>
        <v/>
      </c>
      <c r="D1450" s="322">
        <f>IFERROR(MaterialsBoQ[[#This Row],[Number]],0)</f>
        <v>0</v>
      </c>
      <c r="E1450" s="322">
        <f>IFERROR(MaterialsBoQ[[#This Row],[Kg per unit]],0)</f>
        <v>0</v>
      </c>
      <c r="F1450" s="322">
        <f>IFERROR(Calculations[[#This Row],[Number]]*Calculations[[#This Row],[Conversion factor]],0)</f>
        <v>0</v>
      </c>
      <c r="G1450" s="322">
        <f>IFERROR(VLOOKUP(Calculations[[#This Row],[Material (choose from dropdown]],MaterialData[#All],7,FALSE),0)</f>
        <v>0</v>
      </c>
      <c r="H1450" s="322">
        <f>Calculations[[#This Row],[Total Kg]]*Calculations[[#This Row],[Carbon Factor]]</f>
        <v>0</v>
      </c>
      <c r="I1450" t="str">
        <f>IFERROR(VLOOKUP(Calculations[[#This Row],[Material (choose from dropdown]],MaterialData[#All],2,FALSE),"")</f>
        <v/>
      </c>
      <c r="J1450" s="322">
        <f>IFERROR(((VLOOKUP(Calculations[[#This Row],[TransportSource]],TransportDistance[],2,FALSE)*'Stage assumptions'!$C$11)+VLOOKUP(Calculations[[#This Row],[TransportSource]],TransportDistance[],3,FALSE)*'Stage assumptions'!$C$12)*Calculations[[#This Row],[Total Kg]],0)</f>
        <v>0</v>
      </c>
      <c r="K1450">
        <f>IFERROR(VLOOKUP(Calculations[[#This Row],[Material (choose from dropdown]], MaterialData[#All],3, FALSE),0)</f>
        <v>0</v>
      </c>
      <c r="L1450" s="322">
        <f>IFERROR(VLOOKUP(Calculations[[#This Row],[A5type]],A5WastageRate[#All],2,FALSE)*Calculations[[#This Row],[A1-3]],0)</f>
        <v>0</v>
      </c>
      <c r="N1450">
        <f>IFERROR(ROUNDUP(50/VLOOKUP(Calculations[[#This Row],[Scope Element]],B4referenceServiceLife[[Tier 2 element]:[Default Service Life]],2, FALSE)-1,0),0)</f>
        <v>0</v>
      </c>
      <c r="O1450" s="322">
        <f>IFERROR((Calculations[[#This Row],[A1-3]]+Calculations[[#This Row],[A4]]+Calculations[[#This Row],[A5]]+Calculations[[#This Row],[C2 total]]+Calculations[[#This Row],[C3 total]]+Calculations[[#This Row],[C4 total]])*Calculations[[#This Row],[Replacements]],0)</f>
        <v>0</v>
      </c>
      <c r="S1450" t="str">
        <f>IFERROR(VLOOKUP(Calculations[[#This Row],[Material (choose from dropdown]],MaterialData[#All],4,FALSE),"")</f>
        <v/>
      </c>
      <c r="T1450" s="322" cm="1">
        <f t="array" ref="T1450">IFERROR(VLOOKUP(Calculations[[#This Row],[Waste 1]],WasteScenario[#All],2,FALSE)*'Stage assumptions'!$C$225*WasteTransportMethod[Emissions Factor
kgCO2e/kg.km]*Calculations[[#This Row],[Total Kg]],0)</f>
        <v>0</v>
      </c>
      <c r="U1450" s="322" cm="1">
        <f t="array" ref="U1450">IFERROR(VLOOKUP(Calculations[[#This Row],[Waste 1]],WasteScenario[#All],3,FALSE)*'Stage assumptions'!$C$224*WasteTransportMethod[Emissions Factor
kgCO2e/kg.km]*Calculations[[#This Row],[Total Kg]],0)</f>
        <v>0</v>
      </c>
      <c r="V1450" s="322" cm="1">
        <f t="array" ref="V1450">IFERROR(VLOOKUP(Calculations[[#This Row],[Waste 1]],WasteScenario[#All],4,FALSE)*'Stage assumptions'!$C$223*WasteTransportMethod[Emissions Factor
kgCO2e/kg.km]*Calculations[[#This Row],[Total Kg]],0)</f>
        <v>0</v>
      </c>
      <c r="W1450" s="322" cm="1">
        <f t="array" ref="W1450">IFERROR(VLOOKUP(Calculations[[#This Row],[Waste 1]],WasteScenario[#All],5,FALSE)*'Stage assumptions'!$C$226*WasteTransportMethod[Emissions Factor
kgCO2e/kg.km]*Calculations[[#This Row],[Total Kg]],0)</f>
        <v>0</v>
      </c>
      <c r="X1450" s="322">
        <f>SUM(Calculations[[#This Row],[C2 Recycle]:[C2 Reuse]])</f>
        <v>0</v>
      </c>
      <c r="Y1450" t="str">
        <f>IFERROR(VLOOKUP(Calculations[[#This Row],[Material (choose from dropdown]],MaterialData[#All],5,FALSE),"")</f>
        <v/>
      </c>
      <c r="Z1450" s="322">
        <f>IFERROR(((VLOOKUP(Calculations[[#This Row],[Waste type 2]],WasteDisposalEmissions[#All],2,FALSE))*Calculations[[#This Row],[Total Kg]])*VLOOKUP(Calculations[[#This Row],[Waste 1]],WasteScenario[#All],2,FALSE),0)</f>
        <v>0</v>
      </c>
      <c r="AA1450" s="322">
        <f>IFERROR((VLOOKUP(Calculations[[#This Row],[Waste type 2]],WasteDisposalEmissions[#All],3,FALSE))*Calculations[[#This Row],[Total Kg]]*VLOOKUP(Calculations[[#This Row],[Waste 1]],WasteScenario[#All],3,FALSE),0)</f>
        <v>0</v>
      </c>
      <c r="AB1450" s="322">
        <f>SUM(Calculations[[#This Row],[C3 recyc]:[C3 incin]])</f>
        <v>0</v>
      </c>
      <c r="AC1450" s="334">
        <f>IFERROR((VLOOKUP(Calculations[[#This Row],[Waste type 2]],WasteLandfillEmissions[#All],2,FALSE))*Calculations[[#This Row],[Total Kg]]*VLOOKUP(Calculations[[#This Row],[Waste 1]],WasteScenario[#All],4,FALSE),0)</f>
        <v>0</v>
      </c>
      <c r="AD1450" s="322">
        <f>IFERROR((VLOOKUP(Calculations[[#This Row],[Waste type 2]],WasteLandfillEmissions[#All],3,FALSE))*Calculations[[#This Row],[Total Kg]]*VLOOKUP(Calculations[[#This Row],[Waste 1]],WasteScenario[#All],4,FALSE),0)</f>
        <v>0</v>
      </c>
      <c r="AE1450" s="322">
        <f>SUM(Calculations[[#This Row],[C4 landfill]:[C4 re-use]])</f>
        <v>0</v>
      </c>
      <c r="AF1450" s="322">
        <f>IFERROR(VLOOKUP(Calculations[[#This Row],[Material (choose from dropdown]],MaterialData[#All],8,FALSE),0)</f>
        <v>0</v>
      </c>
      <c r="AG1450" s="322">
        <f>IFERROR(Calculations[[#This Row],[Total Kg]]*Calculations[[#This Row],[Seq factor]],0)</f>
        <v>0</v>
      </c>
      <c r="AI1450" s="322">
        <f>Calculations[[#This Row],[A1-3]]+Calculations[[#This Row],[A4]]+Calculations[[#This Row],[A5]]+Calculations[[#This Row],[B4]]+Calculations[[#This Row],[C2 total]]+Calculations[[#This Row],[C3 total]]+Calculations[[#This Row],[C4 total]]</f>
        <v>0</v>
      </c>
      <c r="AJ1450" s="2">
        <f>IFERROR(VLOOKUP(Calculations[[#This Row],[Material (choose from dropdown]],MaterialData[[#Headers],[#Data]],9,FALSE),0)</f>
        <v>0</v>
      </c>
      <c r="AK1450" s="4">
        <f>IFERROR(VLOOKUP(Calculations[[#This Row],[Material (choose from dropdown]],MaterialData[[#Headers],[#Data]],10,FALSE),0)</f>
        <v>0</v>
      </c>
      <c r="AL1450" s="322">
        <f>IFERROR(Calculations[[#This Row],[Data Quality Score]]*Calculations[[#This Row],[Total Kg]],0)</f>
        <v>0</v>
      </c>
    </row>
    <row r="1451" spans="1:38" x14ac:dyDescent="0.3">
      <c r="A1451" s="6">
        <f>IFERROR(MaterialsBoQ[[#This Row],[Scope Element]],0)</f>
        <v>0</v>
      </c>
      <c r="B1451" t="str">
        <f>IFERROR(MaterialsBoQ[[#This Row],[Material ]],"")</f>
        <v/>
      </c>
      <c r="C1451" t="str">
        <f>IFERROR(MaterialsBoQ[[#This Row],[Unit]],"")</f>
        <v/>
      </c>
      <c r="D1451" s="322">
        <f>IFERROR(MaterialsBoQ[[#This Row],[Number]],0)</f>
        <v>0</v>
      </c>
      <c r="E1451" s="322">
        <f>IFERROR(MaterialsBoQ[[#This Row],[Kg per unit]],0)</f>
        <v>0</v>
      </c>
      <c r="F1451" s="322">
        <f>IFERROR(Calculations[[#This Row],[Number]]*Calculations[[#This Row],[Conversion factor]],0)</f>
        <v>0</v>
      </c>
      <c r="G1451" s="322">
        <f>IFERROR(VLOOKUP(Calculations[[#This Row],[Material (choose from dropdown]],MaterialData[#All],7,FALSE),0)</f>
        <v>0</v>
      </c>
      <c r="H1451" s="322">
        <f>Calculations[[#This Row],[Total Kg]]*Calculations[[#This Row],[Carbon Factor]]</f>
        <v>0</v>
      </c>
      <c r="I1451" t="str">
        <f>IFERROR(VLOOKUP(Calculations[[#This Row],[Material (choose from dropdown]],MaterialData[#All],2,FALSE),"")</f>
        <v/>
      </c>
      <c r="J1451" s="322">
        <f>IFERROR(((VLOOKUP(Calculations[[#This Row],[TransportSource]],TransportDistance[],2,FALSE)*'Stage assumptions'!$C$11)+VLOOKUP(Calculations[[#This Row],[TransportSource]],TransportDistance[],3,FALSE)*'Stage assumptions'!$C$12)*Calculations[[#This Row],[Total Kg]],0)</f>
        <v>0</v>
      </c>
      <c r="K1451">
        <f>IFERROR(VLOOKUP(Calculations[[#This Row],[Material (choose from dropdown]], MaterialData[#All],3, FALSE),0)</f>
        <v>0</v>
      </c>
      <c r="L1451" s="322">
        <f>IFERROR(VLOOKUP(Calculations[[#This Row],[A5type]],A5WastageRate[#All],2,FALSE)*Calculations[[#This Row],[A1-3]],0)</f>
        <v>0</v>
      </c>
      <c r="N1451">
        <f>IFERROR(ROUNDUP(50/VLOOKUP(Calculations[[#This Row],[Scope Element]],B4referenceServiceLife[[Tier 2 element]:[Default Service Life]],2, FALSE)-1,0),0)</f>
        <v>0</v>
      </c>
      <c r="O1451" s="322">
        <f>IFERROR((Calculations[[#This Row],[A1-3]]+Calculations[[#This Row],[A4]]+Calculations[[#This Row],[A5]]+Calculations[[#This Row],[C2 total]]+Calculations[[#This Row],[C3 total]]+Calculations[[#This Row],[C4 total]])*Calculations[[#This Row],[Replacements]],0)</f>
        <v>0</v>
      </c>
      <c r="S1451" t="str">
        <f>IFERROR(VLOOKUP(Calculations[[#This Row],[Material (choose from dropdown]],MaterialData[#All],4,FALSE),"")</f>
        <v/>
      </c>
      <c r="T1451" s="322" cm="1">
        <f t="array" ref="T1451">IFERROR(VLOOKUP(Calculations[[#This Row],[Waste 1]],WasteScenario[#All],2,FALSE)*'Stage assumptions'!$C$225*WasteTransportMethod[Emissions Factor
kgCO2e/kg.km]*Calculations[[#This Row],[Total Kg]],0)</f>
        <v>0</v>
      </c>
      <c r="U1451" s="322" cm="1">
        <f t="array" ref="U1451">IFERROR(VLOOKUP(Calculations[[#This Row],[Waste 1]],WasteScenario[#All],3,FALSE)*'Stage assumptions'!$C$224*WasteTransportMethod[Emissions Factor
kgCO2e/kg.km]*Calculations[[#This Row],[Total Kg]],0)</f>
        <v>0</v>
      </c>
      <c r="V1451" s="322" cm="1">
        <f t="array" ref="V1451">IFERROR(VLOOKUP(Calculations[[#This Row],[Waste 1]],WasteScenario[#All],4,FALSE)*'Stage assumptions'!$C$223*WasteTransportMethod[Emissions Factor
kgCO2e/kg.km]*Calculations[[#This Row],[Total Kg]],0)</f>
        <v>0</v>
      </c>
      <c r="W1451" s="322" cm="1">
        <f t="array" ref="W1451">IFERROR(VLOOKUP(Calculations[[#This Row],[Waste 1]],WasteScenario[#All],5,FALSE)*'Stage assumptions'!$C$226*WasteTransportMethod[Emissions Factor
kgCO2e/kg.km]*Calculations[[#This Row],[Total Kg]],0)</f>
        <v>0</v>
      </c>
      <c r="X1451" s="322">
        <f>SUM(Calculations[[#This Row],[C2 Recycle]:[C2 Reuse]])</f>
        <v>0</v>
      </c>
      <c r="Y1451" t="str">
        <f>IFERROR(VLOOKUP(Calculations[[#This Row],[Material (choose from dropdown]],MaterialData[#All],5,FALSE),"")</f>
        <v/>
      </c>
      <c r="Z1451" s="322">
        <f>IFERROR(((VLOOKUP(Calculations[[#This Row],[Waste type 2]],WasteDisposalEmissions[#All],2,FALSE))*Calculations[[#This Row],[Total Kg]])*VLOOKUP(Calculations[[#This Row],[Waste 1]],WasteScenario[#All],2,FALSE),0)</f>
        <v>0</v>
      </c>
      <c r="AA1451" s="322">
        <f>IFERROR((VLOOKUP(Calculations[[#This Row],[Waste type 2]],WasteDisposalEmissions[#All],3,FALSE))*Calculations[[#This Row],[Total Kg]]*VLOOKUP(Calculations[[#This Row],[Waste 1]],WasteScenario[#All],3,FALSE),0)</f>
        <v>0</v>
      </c>
      <c r="AB1451" s="322">
        <f>SUM(Calculations[[#This Row],[C3 recyc]:[C3 incin]])</f>
        <v>0</v>
      </c>
      <c r="AC1451" s="334">
        <f>IFERROR((VLOOKUP(Calculations[[#This Row],[Waste type 2]],WasteLandfillEmissions[#All],2,FALSE))*Calculations[[#This Row],[Total Kg]]*VLOOKUP(Calculations[[#This Row],[Waste 1]],WasteScenario[#All],4,FALSE),0)</f>
        <v>0</v>
      </c>
      <c r="AD1451" s="322">
        <f>IFERROR((VLOOKUP(Calculations[[#This Row],[Waste type 2]],WasteLandfillEmissions[#All],3,FALSE))*Calculations[[#This Row],[Total Kg]]*VLOOKUP(Calculations[[#This Row],[Waste 1]],WasteScenario[#All],4,FALSE),0)</f>
        <v>0</v>
      </c>
      <c r="AE1451" s="322">
        <f>SUM(Calculations[[#This Row],[C4 landfill]:[C4 re-use]])</f>
        <v>0</v>
      </c>
      <c r="AF1451" s="322">
        <f>IFERROR(VLOOKUP(Calculations[[#This Row],[Material (choose from dropdown]],MaterialData[#All],8,FALSE),0)</f>
        <v>0</v>
      </c>
      <c r="AG1451" s="322">
        <f>IFERROR(Calculations[[#This Row],[Total Kg]]*Calculations[[#This Row],[Seq factor]],0)</f>
        <v>0</v>
      </c>
      <c r="AI1451" s="322">
        <f>Calculations[[#This Row],[A1-3]]+Calculations[[#This Row],[A4]]+Calculations[[#This Row],[A5]]+Calculations[[#This Row],[B4]]+Calculations[[#This Row],[C2 total]]+Calculations[[#This Row],[C3 total]]+Calculations[[#This Row],[C4 total]]</f>
        <v>0</v>
      </c>
      <c r="AJ1451" s="2">
        <f>IFERROR(VLOOKUP(Calculations[[#This Row],[Material (choose from dropdown]],MaterialData[[#Headers],[#Data]],9,FALSE),0)</f>
        <v>0</v>
      </c>
      <c r="AK1451" s="4">
        <f>IFERROR(VLOOKUP(Calculations[[#This Row],[Material (choose from dropdown]],MaterialData[[#Headers],[#Data]],10,FALSE),0)</f>
        <v>0</v>
      </c>
      <c r="AL1451" s="322">
        <f>IFERROR(Calculations[[#This Row],[Data Quality Score]]*Calculations[[#This Row],[Total Kg]],0)</f>
        <v>0</v>
      </c>
    </row>
    <row r="1452" spans="1:38" x14ac:dyDescent="0.3">
      <c r="A1452" s="6">
        <f>IFERROR(MaterialsBoQ[[#This Row],[Scope Element]],0)</f>
        <v>0</v>
      </c>
      <c r="B1452" t="str">
        <f>IFERROR(MaterialsBoQ[[#This Row],[Material ]],"")</f>
        <v/>
      </c>
      <c r="C1452" t="str">
        <f>IFERROR(MaterialsBoQ[[#This Row],[Unit]],"")</f>
        <v/>
      </c>
      <c r="D1452" s="322">
        <f>IFERROR(MaterialsBoQ[[#This Row],[Number]],0)</f>
        <v>0</v>
      </c>
      <c r="E1452" s="322">
        <f>IFERROR(MaterialsBoQ[[#This Row],[Kg per unit]],0)</f>
        <v>0</v>
      </c>
      <c r="F1452" s="322">
        <f>IFERROR(Calculations[[#This Row],[Number]]*Calculations[[#This Row],[Conversion factor]],0)</f>
        <v>0</v>
      </c>
      <c r="G1452" s="322">
        <f>IFERROR(VLOOKUP(Calculations[[#This Row],[Material (choose from dropdown]],MaterialData[#All],7,FALSE),0)</f>
        <v>0</v>
      </c>
      <c r="H1452" s="322">
        <f>Calculations[[#This Row],[Total Kg]]*Calculations[[#This Row],[Carbon Factor]]</f>
        <v>0</v>
      </c>
      <c r="I1452" t="str">
        <f>IFERROR(VLOOKUP(Calculations[[#This Row],[Material (choose from dropdown]],MaterialData[#All],2,FALSE),"")</f>
        <v/>
      </c>
      <c r="J1452" s="322">
        <f>IFERROR(((VLOOKUP(Calculations[[#This Row],[TransportSource]],TransportDistance[],2,FALSE)*'Stage assumptions'!$C$11)+VLOOKUP(Calculations[[#This Row],[TransportSource]],TransportDistance[],3,FALSE)*'Stage assumptions'!$C$12)*Calculations[[#This Row],[Total Kg]],0)</f>
        <v>0</v>
      </c>
      <c r="K1452">
        <f>IFERROR(VLOOKUP(Calculations[[#This Row],[Material (choose from dropdown]], MaterialData[#All],3, FALSE),0)</f>
        <v>0</v>
      </c>
      <c r="L1452" s="322">
        <f>IFERROR(VLOOKUP(Calculations[[#This Row],[A5type]],A5WastageRate[#All],2,FALSE)*Calculations[[#This Row],[A1-3]],0)</f>
        <v>0</v>
      </c>
      <c r="N1452">
        <f>IFERROR(ROUNDUP(50/VLOOKUP(Calculations[[#This Row],[Scope Element]],B4referenceServiceLife[[Tier 2 element]:[Default Service Life]],2, FALSE)-1,0),0)</f>
        <v>0</v>
      </c>
      <c r="O1452" s="322">
        <f>IFERROR((Calculations[[#This Row],[A1-3]]+Calculations[[#This Row],[A4]]+Calculations[[#This Row],[A5]]+Calculations[[#This Row],[C2 total]]+Calculations[[#This Row],[C3 total]]+Calculations[[#This Row],[C4 total]])*Calculations[[#This Row],[Replacements]],0)</f>
        <v>0</v>
      </c>
      <c r="S1452" t="str">
        <f>IFERROR(VLOOKUP(Calculations[[#This Row],[Material (choose from dropdown]],MaterialData[#All],4,FALSE),"")</f>
        <v/>
      </c>
      <c r="T1452" s="322" cm="1">
        <f t="array" ref="T1452">IFERROR(VLOOKUP(Calculations[[#This Row],[Waste 1]],WasteScenario[#All],2,FALSE)*'Stage assumptions'!$C$225*WasteTransportMethod[Emissions Factor
kgCO2e/kg.km]*Calculations[[#This Row],[Total Kg]],0)</f>
        <v>0</v>
      </c>
      <c r="U1452" s="322" cm="1">
        <f t="array" ref="U1452">IFERROR(VLOOKUP(Calculations[[#This Row],[Waste 1]],WasteScenario[#All],3,FALSE)*'Stage assumptions'!$C$224*WasteTransportMethod[Emissions Factor
kgCO2e/kg.km]*Calculations[[#This Row],[Total Kg]],0)</f>
        <v>0</v>
      </c>
      <c r="V1452" s="322" cm="1">
        <f t="array" ref="V1452">IFERROR(VLOOKUP(Calculations[[#This Row],[Waste 1]],WasteScenario[#All],4,FALSE)*'Stage assumptions'!$C$223*WasteTransportMethod[Emissions Factor
kgCO2e/kg.km]*Calculations[[#This Row],[Total Kg]],0)</f>
        <v>0</v>
      </c>
      <c r="W1452" s="322" cm="1">
        <f t="array" ref="W1452">IFERROR(VLOOKUP(Calculations[[#This Row],[Waste 1]],WasteScenario[#All],5,FALSE)*'Stage assumptions'!$C$226*WasteTransportMethod[Emissions Factor
kgCO2e/kg.km]*Calculations[[#This Row],[Total Kg]],0)</f>
        <v>0</v>
      </c>
      <c r="X1452" s="322">
        <f>SUM(Calculations[[#This Row],[C2 Recycle]:[C2 Reuse]])</f>
        <v>0</v>
      </c>
      <c r="Y1452" t="str">
        <f>IFERROR(VLOOKUP(Calculations[[#This Row],[Material (choose from dropdown]],MaterialData[#All],5,FALSE),"")</f>
        <v/>
      </c>
      <c r="Z1452" s="322">
        <f>IFERROR(((VLOOKUP(Calculations[[#This Row],[Waste type 2]],WasteDisposalEmissions[#All],2,FALSE))*Calculations[[#This Row],[Total Kg]])*VLOOKUP(Calculations[[#This Row],[Waste 1]],WasteScenario[#All],2,FALSE),0)</f>
        <v>0</v>
      </c>
      <c r="AA1452" s="322">
        <f>IFERROR((VLOOKUP(Calculations[[#This Row],[Waste type 2]],WasteDisposalEmissions[#All],3,FALSE))*Calculations[[#This Row],[Total Kg]]*VLOOKUP(Calculations[[#This Row],[Waste 1]],WasteScenario[#All],3,FALSE),0)</f>
        <v>0</v>
      </c>
      <c r="AB1452" s="322">
        <f>SUM(Calculations[[#This Row],[C3 recyc]:[C3 incin]])</f>
        <v>0</v>
      </c>
      <c r="AC1452" s="334">
        <f>IFERROR((VLOOKUP(Calculations[[#This Row],[Waste type 2]],WasteLandfillEmissions[#All],2,FALSE))*Calculations[[#This Row],[Total Kg]]*VLOOKUP(Calculations[[#This Row],[Waste 1]],WasteScenario[#All],4,FALSE),0)</f>
        <v>0</v>
      </c>
      <c r="AD1452" s="322">
        <f>IFERROR((VLOOKUP(Calculations[[#This Row],[Waste type 2]],WasteLandfillEmissions[#All],3,FALSE))*Calculations[[#This Row],[Total Kg]]*VLOOKUP(Calculations[[#This Row],[Waste 1]],WasteScenario[#All],4,FALSE),0)</f>
        <v>0</v>
      </c>
      <c r="AE1452" s="322">
        <f>SUM(Calculations[[#This Row],[C4 landfill]:[C4 re-use]])</f>
        <v>0</v>
      </c>
      <c r="AF1452" s="322">
        <f>IFERROR(VLOOKUP(Calculations[[#This Row],[Material (choose from dropdown]],MaterialData[#All],8,FALSE),0)</f>
        <v>0</v>
      </c>
      <c r="AG1452" s="322">
        <f>IFERROR(Calculations[[#This Row],[Total Kg]]*Calculations[[#This Row],[Seq factor]],0)</f>
        <v>0</v>
      </c>
      <c r="AI1452" s="322">
        <f>Calculations[[#This Row],[A1-3]]+Calculations[[#This Row],[A4]]+Calculations[[#This Row],[A5]]+Calculations[[#This Row],[B4]]+Calculations[[#This Row],[C2 total]]+Calculations[[#This Row],[C3 total]]+Calculations[[#This Row],[C4 total]]</f>
        <v>0</v>
      </c>
      <c r="AJ1452" s="2">
        <f>IFERROR(VLOOKUP(Calculations[[#This Row],[Material (choose from dropdown]],MaterialData[[#Headers],[#Data]],9,FALSE),0)</f>
        <v>0</v>
      </c>
      <c r="AK1452" s="4">
        <f>IFERROR(VLOOKUP(Calculations[[#This Row],[Material (choose from dropdown]],MaterialData[[#Headers],[#Data]],10,FALSE),0)</f>
        <v>0</v>
      </c>
      <c r="AL1452" s="322">
        <f>IFERROR(Calculations[[#This Row],[Data Quality Score]]*Calculations[[#This Row],[Total Kg]],0)</f>
        <v>0</v>
      </c>
    </row>
    <row r="1453" spans="1:38" x14ac:dyDescent="0.3">
      <c r="A1453" s="6">
        <f>IFERROR(MaterialsBoQ[[#This Row],[Scope Element]],0)</f>
        <v>0</v>
      </c>
      <c r="B1453" t="str">
        <f>IFERROR(MaterialsBoQ[[#This Row],[Material ]],"")</f>
        <v/>
      </c>
      <c r="C1453" t="str">
        <f>IFERROR(MaterialsBoQ[[#This Row],[Unit]],"")</f>
        <v/>
      </c>
      <c r="D1453" s="322">
        <f>IFERROR(MaterialsBoQ[[#This Row],[Number]],0)</f>
        <v>0</v>
      </c>
      <c r="E1453" s="322">
        <f>IFERROR(MaterialsBoQ[[#This Row],[Kg per unit]],0)</f>
        <v>0</v>
      </c>
      <c r="F1453" s="322">
        <f>IFERROR(Calculations[[#This Row],[Number]]*Calculations[[#This Row],[Conversion factor]],0)</f>
        <v>0</v>
      </c>
      <c r="G1453" s="322">
        <f>IFERROR(VLOOKUP(Calculations[[#This Row],[Material (choose from dropdown]],MaterialData[#All],7,FALSE),0)</f>
        <v>0</v>
      </c>
      <c r="H1453" s="322">
        <f>Calculations[[#This Row],[Total Kg]]*Calculations[[#This Row],[Carbon Factor]]</f>
        <v>0</v>
      </c>
      <c r="I1453" t="str">
        <f>IFERROR(VLOOKUP(Calculations[[#This Row],[Material (choose from dropdown]],MaterialData[#All],2,FALSE),"")</f>
        <v/>
      </c>
      <c r="J1453" s="322">
        <f>IFERROR(((VLOOKUP(Calculations[[#This Row],[TransportSource]],TransportDistance[],2,FALSE)*'Stage assumptions'!$C$11)+VLOOKUP(Calculations[[#This Row],[TransportSource]],TransportDistance[],3,FALSE)*'Stage assumptions'!$C$12)*Calculations[[#This Row],[Total Kg]],0)</f>
        <v>0</v>
      </c>
      <c r="K1453">
        <f>IFERROR(VLOOKUP(Calculations[[#This Row],[Material (choose from dropdown]], MaterialData[#All],3, FALSE),0)</f>
        <v>0</v>
      </c>
      <c r="L1453" s="322">
        <f>IFERROR(VLOOKUP(Calculations[[#This Row],[A5type]],A5WastageRate[#All],2,FALSE)*Calculations[[#This Row],[A1-3]],0)</f>
        <v>0</v>
      </c>
      <c r="N1453">
        <f>IFERROR(ROUNDUP(50/VLOOKUP(Calculations[[#This Row],[Scope Element]],B4referenceServiceLife[[Tier 2 element]:[Default Service Life]],2, FALSE)-1,0),0)</f>
        <v>0</v>
      </c>
      <c r="O1453" s="322">
        <f>IFERROR((Calculations[[#This Row],[A1-3]]+Calculations[[#This Row],[A4]]+Calculations[[#This Row],[A5]]+Calculations[[#This Row],[C2 total]]+Calculations[[#This Row],[C3 total]]+Calculations[[#This Row],[C4 total]])*Calculations[[#This Row],[Replacements]],0)</f>
        <v>0</v>
      </c>
      <c r="S1453" t="str">
        <f>IFERROR(VLOOKUP(Calculations[[#This Row],[Material (choose from dropdown]],MaterialData[#All],4,FALSE),"")</f>
        <v/>
      </c>
      <c r="T1453" s="322" cm="1">
        <f t="array" ref="T1453">IFERROR(VLOOKUP(Calculations[[#This Row],[Waste 1]],WasteScenario[#All],2,FALSE)*'Stage assumptions'!$C$225*WasteTransportMethod[Emissions Factor
kgCO2e/kg.km]*Calculations[[#This Row],[Total Kg]],0)</f>
        <v>0</v>
      </c>
      <c r="U1453" s="322" cm="1">
        <f t="array" ref="U1453">IFERROR(VLOOKUP(Calculations[[#This Row],[Waste 1]],WasteScenario[#All],3,FALSE)*'Stage assumptions'!$C$224*WasteTransportMethod[Emissions Factor
kgCO2e/kg.km]*Calculations[[#This Row],[Total Kg]],0)</f>
        <v>0</v>
      </c>
      <c r="V1453" s="322" cm="1">
        <f t="array" ref="V1453">IFERROR(VLOOKUP(Calculations[[#This Row],[Waste 1]],WasteScenario[#All],4,FALSE)*'Stage assumptions'!$C$223*WasteTransportMethod[Emissions Factor
kgCO2e/kg.km]*Calculations[[#This Row],[Total Kg]],0)</f>
        <v>0</v>
      </c>
      <c r="W1453" s="322" cm="1">
        <f t="array" ref="W1453">IFERROR(VLOOKUP(Calculations[[#This Row],[Waste 1]],WasteScenario[#All],5,FALSE)*'Stage assumptions'!$C$226*WasteTransportMethod[Emissions Factor
kgCO2e/kg.km]*Calculations[[#This Row],[Total Kg]],0)</f>
        <v>0</v>
      </c>
      <c r="X1453" s="322">
        <f>SUM(Calculations[[#This Row],[C2 Recycle]:[C2 Reuse]])</f>
        <v>0</v>
      </c>
      <c r="Y1453" t="str">
        <f>IFERROR(VLOOKUP(Calculations[[#This Row],[Material (choose from dropdown]],MaterialData[#All],5,FALSE),"")</f>
        <v/>
      </c>
      <c r="Z1453" s="322">
        <f>IFERROR(((VLOOKUP(Calculations[[#This Row],[Waste type 2]],WasteDisposalEmissions[#All],2,FALSE))*Calculations[[#This Row],[Total Kg]])*VLOOKUP(Calculations[[#This Row],[Waste 1]],WasteScenario[#All],2,FALSE),0)</f>
        <v>0</v>
      </c>
      <c r="AA1453" s="322">
        <f>IFERROR((VLOOKUP(Calculations[[#This Row],[Waste type 2]],WasteDisposalEmissions[#All],3,FALSE))*Calculations[[#This Row],[Total Kg]]*VLOOKUP(Calculations[[#This Row],[Waste 1]],WasteScenario[#All],3,FALSE),0)</f>
        <v>0</v>
      </c>
      <c r="AB1453" s="322">
        <f>SUM(Calculations[[#This Row],[C3 recyc]:[C3 incin]])</f>
        <v>0</v>
      </c>
      <c r="AC1453" s="334">
        <f>IFERROR((VLOOKUP(Calculations[[#This Row],[Waste type 2]],WasteLandfillEmissions[#All],2,FALSE))*Calculations[[#This Row],[Total Kg]]*VLOOKUP(Calculations[[#This Row],[Waste 1]],WasteScenario[#All],4,FALSE),0)</f>
        <v>0</v>
      </c>
      <c r="AD1453" s="322">
        <f>IFERROR((VLOOKUP(Calculations[[#This Row],[Waste type 2]],WasteLandfillEmissions[#All],3,FALSE))*Calculations[[#This Row],[Total Kg]]*VLOOKUP(Calculations[[#This Row],[Waste 1]],WasteScenario[#All],4,FALSE),0)</f>
        <v>0</v>
      </c>
      <c r="AE1453" s="322">
        <f>SUM(Calculations[[#This Row],[C4 landfill]:[C4 re-use]])</f>
        <v>0</v>
      </c>
      <c r="AF1453" s="322">
        <f>IFERROR(VLOOKUP(Calculations[[#This Row],[Material (choose from dropdown]],MaterialData[#All],8,FALSE),0)</f>
        <v>0</v>
      </c>
      <c r="AG1453" s="322">
        <f>IFERROR(Calculations[[#This Row],[Total Kg]]*Calculations[[#This Row],[Seq factor]],0)</f>
        <v>0</v>
      </c>
      <c r="AI1453" s="322">
        <f>Calculations[[#This Row],[A1-3]]+Calculations[[#This Row],[A4]]+Calculations[[#This Row],[A5]]+Calculations[[#This Row],[B4]]+Calculations[[#This Row],[C2 total]]+Calculations[[#This Row],[C3 total]]+Calculations[[#This Row],[C4 total]]</f>
        <v>0</v>
      </c>
      <c r="AJ1453" s="2">
        <f>IFERROR(VLOOKUP(Calculations[[#This Row],[Material (choose from dropdown]],MaterialData[[#Headers],[#Data]],9,FALSE),0)</f>
        <v>0</v>
      </c>
      <c r="AK1453" s="4">
        <f>IFERROR(VLOOKUP(Calculations[[#This Row],[Material (choose from dropdown]],MaterialData[[#Headers],[#Data]],10,FALSE),0)</f>
        <v>0</v>
      </c>
      <c r="AL1453" s="322">
        <f>IFERROR(Calculations[[#This Row],[Data Quality Score]]*Calculations[[#This Row],[Total Kg]],0)</f>
        <v>0</v>
      </c>
    </row>
    <row r="1454" spans="1:38" x14ac:dyDescent="0.3">
      <c r="A1454" s="6">
        <f>IFERROR(MaterialsBoQ[[#This Row],[Scope Element]],0)</f>
        <v>0</v>
      </c>
      <c r="B1454" t="str">
        <f>IFERROR(MaterialsBoQ[[#This Row],[Material ]],"")</f>
        <v/>
      </c>
      <c r="C1454" t="str">
        <f>IFERROR(MaterialsBoQ[[#This Row],[Unit]],"")</f>
        <v/>
      </c>
      <c r="D1454" s="322">
        <f>IFERROR(MaterialsBoQ[[#This Row],[Number]],0)</f>
        <v>0</v>
      </c>
      <c r="E1454" s="322">
        <f>IFERROR(MaterialsBoQ[[#This Row],[Kg per unit]],0)</f>
        <v>0</v>
      </c>
      <c r="F1454" s="322">
        <f>IFERROR(Calculations[[#This Row],[Number]]*Calculations[[#This Row],[Conversion factor]],0)</f>
        <v>0</v>
      </c>
      <c r="G1454" s="322">
        <f>IFERROR(VLOOKUP(Calculations[[#This Row],[Material (choose from dropdown]],MaterialData[#All],7,FALSE),0)</f>
        <v>0</v>
      </c>
      <c r="H1454" s="322">
        <f>Calculations[[#This Row],[Total Kg]]*Calculations[[#This Row],[Carbon Factor]]</f>
        <v>0</v>
      </c>
      <c r="I1454" t="str">
        <f>IFERROR(VLOOKUP(Calculations[[#This Row],[Material (choose from dropdown]],MaterialData[#All],2,FALSE),"")</f>
        <v/>
      </c>
      <c r="J1454" s="322">
        <f>IFERROR(((VLOOKUP(Calculations[[#This Row],[TransportSource]],TransportDistance[],2,FALSE)*'Stage assumptions'!$C$11)+VLOOKUP(Calculations[[#This Row],[TransportSource]],TransportDistance[],3,FALSE)*'Stage assumptions'!$C$12)*Calculations[[#This Row],[Total Kg]],0)</f>
        <v>0</v>
      </c>
      <c r="K1454">
        <f>IFERROR(VLOOKUP(Calculations[[#This Row],[Material (choose from dropdown]], MaterialData[#All],3, FALSE),0)</f>
        <v>0</v>
      </c>
      <c r="L1454" s="322">
        <f>IFERROR(VLOOKUP(Calculations[[#This Row],[A5type]],A5WastageRate[#All],2,FALSE)*Calculations[[#This Row],[A1-3]],0)</f>
        <v>0</v>
      </c>
      <c r="N1454">
        <f>IFERROR(ROUNDUP(50/VLOOKUP(Calculations[[#This Row],[Scope Element]],B4referenceServiceLife[[Tier 2 element]:[Default Service Life]],2, FALSE)-1,0),0)</f>
        <v>0</v>
      </c>
      <c r="O1454" s="322">
        <f>IFERROR((Calculations[[#This Row],[A1-3]]+Calculations[[#This Row],[A4]]+Calculations[[#This Row],[A5]]+Calculations[[#This Row],[C2 total]]+Calculations[[#This Row],[C3 total]]+Calculations[[#This Row],[C4 total]])*Calculations[[#This Row],[Replacements]],0)</f>
        <v>0</v>
      </c>
      <c r="S1454" t="str">
        <f>IFERROR(VLOOKUP(Calculations[[#This Row],[Material (choose from dropdown]],MaterialData[#All],4,FALSE),"")</f>
        <v/>
      </c>
      <c r="T1454" s="322" cm="1">
        <f t="array" ref="T1454">IFERROR(VLOOKUP(Calculations[[#This Row],[Waste 1]],WasteScenario[#All],2,FALSE)*'Stage assumptions'!$C$225*WasteTransportMethod[Emissions Factor
kgCO2e/kg.km]*Calculations[[#This Row],[Total Kg]],0)</f>
        <v>0</v>
      </c>
      <c r="U1454" s="322" cm="1">
        <f t="array" ref="U1454">IFERROR(VLOOKUP(Calculations[[#This Row],[Waste 1]],WasteScenario[#All],3,FALSE)*'Stage assumptions'!$C$224*WasteTransportMethod[Emissions Factor
kgCO2e/kg.km]*Calculations[[#This Row],[Total Kg]],0)</f>
        <v>0</v>
      </c>
      <c r="V1454" s="322" cm="1">
        <f t="array" ref="V1454">IFERROR(VLOOKUP(Calculations[[#This Row],[Waste 1]],WasteScenario[#All],4,FALSE)*'Stage assumptions'!$C$223*WasteTransportMethod[Emissions Factor
kgCO2e/kg.km]*Calculations[[#This Row],[Total Kg]],0)</f>
        <v>0</v>
      </c>
      <c r="W1454" s="322" cm="1">
        <f t="array" ref="W1454">IFERROR(VLOOKUP(Calculations[[#This Row],[Waste 1]],WasteScenario[#All],5,FALSE)*'Stage assumptions'!$C$226*WasteTransportMethod[Emissions Factor
kgCO2e/kg.km]*Calculations[[#This Row],[Total Kg]],0)</f>
        <v>0</v>
      </c>
      <c r="X1454" s="322">
        <f>SUM(Calculations[[#This Row],[C2 Recycle]:[C2 Reuse]])</f>
        <v>0</v>
      </c>
      <c r="Y1454" t="str">
        <f>IFERROR(VLOOKUP(Calculations[[#This Row],[Material (choose from dropdown]],MaterialData[#All],5,FALSE),"")</f>
        <v/>
      </c>
      <c r="Z1454" s="322">
        <f>IFERROR(((VLOOKUP(Calculations[[#This Row],[Waste type 2]],WasteDisposalEmissions[#All],2,FALSE))*Calculations[[#This Row],[Total Kg]])*VLOOKUP(Calculations[[#This Row],[Waste 1]],WasteScenario[#All],2,FALSE),0)</f>
        <v>0</v>
      </c>
      <c r="AA1454" s="322">
        <f>IFERROR((VLOOKUP(Calculations[[#This Row],[Waste type 2]],WasteDisposalEmissions[#All],3,FALSE))*Calculations[[#This Row],[Total Kg]]*VLOOKUP(Calculations[[#This Row],[Waste 1]],WasteScenario[#All],3,FALSE),0)</f>
        <v>0</v>
      </c>
      <c r="AB1454" s="322">
        <f>SUM(Calculations[[#This Row],[C3 recyc]:[C3 incin]])</f>
        <v>0</v>
      </c>
      <c r="AC1454" s="334">
        <f>IFERROR((VLOOKUP(Calculations[[#This Row],[Waste type 2]],WasteLandfillEmissions[#All],2,FALSE))*Calculations[[#This Row],[Total Kg]]*VLOOKUP(Calculations[[#This Row],[Waste 1]],WasteScenario[#All],4,FALSE),0)</f>
        <v>0</v>
      </c>
      <c r="AD1454" s="322">
        <f>IFERROR((VLOOKUP(Calculations[[#This Row],[Waste type 2]],WasteLandfillEmissions[#All],3,FALSE))*Calculations[[#This Row],[Total Kg]]*VLOOKUP(Calculations[[#This Row],[Waste 1]],WasteScenario[#All],4,FALSE),0)</f>
        <v>0</v>
      </c>
      <c r="AE1454" s="322">
        <f>SUM(Calculations[[#This Row],[C4 landfill]:[C4 re-use]])</f>
        <v>0</v>
      </c>
      <c r="AF1454" s="322">
        <f>IFERROR(VLOOKUP(Calculations[[#This Row],[Material (choose from dropdown]],MaterialData[#All],8,FALSE),0)</f>
        <v>0</v>
      </c>
      <c r="AG1454" s="322">
        <f>IFERROR(Calculations[[#This Row],[Total Kg]]*Calculations[[#This Row],[Seq factor]],0)</f>
        <v>0</v>
      </c>
      <c r="AI1454" s="322">
        <f>Calculations[[#This Row],[A1-3]]+Calculations[[#This Row],[A4]]+Calculations[[#This Row],[A5]]+Calculations[[#This Row],[B4]]+Calculations[[#This Row],[C2 total]]+Calculations[[#This Row],[C3 total]]+Calculations[[#This Row],[C4 total]]</f>
        <v>0</v>
      </c>
      <c r="AJ1454" s="2">
        <f>IFERROR(VLOOKUP(Calculations[[#This Row],[Material (choose from dropdown]],MaterialData[[#Headers],[#Data]],9,FALSE),0)</f>
        <v>0</v>
      </c>
      <c r="AK1454" s="4">
        <f>IFERROR(VLOOKUP(Calculations[[#This Row],[Material (choose from dropdown]],MaterialData[[#Headers],[#Data]],10,FALSE),0)</f>
        <v>0</v>
      </c>
      <c r="AL1454" s="322">
        <f>IFERROR(Calculations[[#This Row],[Data Quality Score]]*Calculations[[#This Row],[Total Kg]],0)</f>
        <v>0</v>
      </c>
    </row>
    <row r="1455" spans="1:38" x14ac:dyDescent="0.3">
      <c r="A1455" s="6">
        <f>IFERROR(MaterialsBoQ[[#This Row],[Scope Element]],0)</f>
        <v>0</v>
      </c>
      <c r="B1455" t="str">
        <f>IFERROR(MaterialsBoQ[[#This Row],[Material ]],"")</f>
        <v/>
      </c>
      <c r="C1455" t="str">
        <f>IFERROR(MaterialsBoQ[[#This Row],[Unit]],"")</f>
        <v/>
      </c>
      <c r="D1455" s="322">
        <f>IFERROR(MaterialsBoQ[[#This Row],[Number]],0)</f>
        <v>0</v>
      </c>
      <c r="E1455" s="322">
        <f>IFERROR(MaterialsBoQ[[#This Row],[Kg per unit]],0)</f>
        <v>0</v>
      </c>
      <c r="F1455" s="322">
        <f>IFERROR(Calculations[[#This Row],[Number]]*Calculations[[#This Row],[Conversion factor]],0)</f>
        <v>0</v>
      </c>
      <c r="G1455" s="322">
        <f>IFERROR(VLOOKUP(Calculations[[#This Row],[Material (choose from dropdown]],MaterialData[#All],7,FALSE),0)</f>
        <v>0</v>
      </c>
      <c r="H1455" s="322">
        <f>Calculations[[#This Row],[Total Kg]]*Calculations[[#This Row],[Carbon Factor]]</f>
        <v>0</v>
      </c>
      <c r="I1455" t="str">
        <f>IFERROR(VLOOKUP(Calculations[[#This Row],[Material (choose from dropdown]],MaterialData[#All],2,FALSE),"")</f>
        <v/>
      </c>
      <c r="J1455" s="322">
        <f>IFERROR(((VLOOKUP(Calculations[[#This Row],[TransportSource]],TransportDistance[],2,FALSE)*'Stage assumptions'!$C$11)+VLOOKUP(Calculations[[#This Row],[TransportSource]],TransportDistance[],3,FALSE)*'Stage assumptions'!$C$12)*Calculations[[#This Row],[Total Kg]],0)</f>
        <v>0</v>
      </c>
      <c r="K1455">
        <f>IFERROR(VLOOKUP(Calculations[[#This Row],[Material (choose from dropdown]], MaterialData[#All],3, FALSE),0)</f>
        <v>0</v>
      </c>
      <c r="L1455" s="322">
        <f>IFERROR(VLOOKUP(Calculations[[#This Row],[A5type]],A5WastageRate[#All],2,FALSE)*Calculations[[#This Row],[A1-3]],0)</f>
        <v>0</v>
      </c>
      <c r="N1455">
        <f>IFERROR(ROUNDUP(50/VLOOKUP(Calculations[[#This Row],[Scope Element]],B4referenceServiceLife[[Tier 2 element]:[Default Service Life]],2, FALSE)-1,0),0)</f>
        <v>0</v>
      </c>
      <c r="O1455" s="322">
        <f>IFERROR((Calculations[[#This Row],[A1-3]]+Calculations[[#This Row],[A4]]+Calculations[[#This Row],[A5]]+Calculations[[#This Row],[C2 total]]+Calculations[[#This Row],[C3 total]]+Calculations[[#This Row],[C4 total]])*Calculations[[#This Row],[Replacements]],0)</f>
        <v>0</v>
      </c>
      <c r="S1455" t="str">
        <f>IFERROR(VLOOKUP(Calculations[[#This Row],[Material (choose from dropdown]],MaterialData[#All],4,FALSE),"")</f>
        <v/>
      </c>
      <c r="T1455" s="322" cm="1">
        <f t="array" ref="T1455">IFERROR(VLOOKUP(Calculations[[#This Row],[Waste 1]],WasteScenario[#All],2,FALSE)*'Stage assumptions'!$C$225*WasteTransportMethod[Emissions Factor
kgCO2e/kg.km]*Calculations[[#This Row],[Total Kg]],0)</f>
        <v>0</v>
      </c>
      <c r="U1455" s="322" cm="1">
        <f t="array" ref="U1455">IFERROR(VLOOKUP(Calculations[[#This Row],[Waste 1]],WasteScenario[#All],3,FALSE)*'Stage assumptions'!$C$224*WasteTransportMethod[Emissions Factor
kgCO2e/kg.km]*Calculations[[#This Row],[Total Kg]],0)</f>
        <v>0</v>
      </c>
      <c r="V1455" s="322" cm="1">
        <f t="array" ref="V1455">IFERROR(VLOOKUP(Calculations[[#This Row],[Waste 1]],WasteScenario[#All],4,FALSE)*'Stage assumptions'!$C$223*WasteTransportMethod[Emissions Factor
kgCO2e/kg.km]*Calculations[[#This Row],[Total Kg]],0)</f>
        <v>0</v>
      </c>
      <c r="W1455" s="322" cm="1">
        <f t="array" ref="W1455">IFERROR(VLOOKUP(Calculations[[#This Row],[Waste 1]],WasteScenario[#All],5,FALSE)*'Stage assumptions'!$C$226*WasteTransportMethod[Emissions Factor
kgCO2e/kg.km]*Calculations[[#This Row],[Total Kg]],0)</f>
        <v>0</v>
      </c>
      <c r="X1455" s="322">
        <f>SUM(Calculations[[#This Row],[C2 Recycle]:[C2 Reuse]])</f>
        <v>0</v>
      </c>
      <c r="Y1455" t="str">
        <f>IFERROR(VLOOKUP(Calculations[[#This Row],[Material (choose from dropdown]],MaterialData[#All],5,FALSE),"")</f>
        <v/>
      </c>
      <c r="Z1455" s="322">
        <f>IFERROR(((VLOOKUP(Calculations[[#This Row],[Waste type 2]],WasteDisposalEmissions[#All],2,FALSE))*Calculations[[#This Row],[Total Kg]])*VLOOKUP(Calculations[[#This Row],[Waste 1]],WasteScenario[#All],2,FALSE),0)</f>
        <v>0</v>
      </c>
      <c r="AA1455" s="322">
        <f>IFERROR((VLOOKUP(Calculations[[#This Row],[Waste type 2]],WasteDisposalEmissions[#All],3,FALSE))*Calculations[[#This Row],[Total Kg]]*VLOOKUP(Calculations[[#This Row],[Waste 1]],WasteScenario[#All],3,FALSE),0)</f>
        <v>0</v>
      </c>
      <c r="AB1455" s="322">
        <f>SUM(Calculations[[#This Row],[C3 recyc]:[C3 incin]])</f>
        <v>0</v>
      </c>
      <c r="AC1455" s="334">
        <f>IFERROR((VLOOKUP(Calculations[[#This Row],[Waste type 2]],WasteLandfillEmissions[#All],2,FALSE))*Calculations[[#This Row],[Total Kg]]*VLOOKUP(Calculations[[#This Row],[Waste 1]],WasteScenario[#All],4,FALSE),0)</f>
        <v>0</v>
      </c>
      <c r="AD1455" s="322">
        <f>IFERROR((VLOOKUP(Calculations[[#This Row],[Waste type 2]],WasteLandfillEmissions[#All],3,FALSE))*Calculations[[#This Row],[Total Kg]]*VLOOKUP(Calculations[[#This Row],[Waste 1]],WasteScenario[#All],4,FALSE),0)</f>
        <v>0</v>
      </c>
      <c r="AE1455" s="322">
        <f>SUM(Calculations[[#This Row],[C4 landfill]:[C4 re-use]])</f>
        <v>0</v>
      </c>
      <c r="AF1455" s="322">
        <f>IFERROR(VLOOKUP(Calculations[[#This Row],[Material (choose from dropdown]],MaterialData[#All],8,FALSE),0)</f>
        <v>0</v>
      </c>
      <c r="AG1455" s="322">
        <f>IFERROR(Calculations[[#This Row],[Total Kg]]*Calculations[[#This Row],[Seq factor]],0)</f>
        <v>0</v>
      </c>
      <c r="AI1455" s="322">
        <f>Calculations[[#This Row],[A1-3]]+Calculations[[#This Row],[A4]]+Calculations[[#This Row],[A5]]+Calculations[[#This Row],[B4]]+Calculations[[#This Row],[C2 total]]+Calculations[[#This Row],[C3 total]]+Calculations[[#This Row],[C4 total]]</f>
        <v>0</v>
      </c>
      <c r="AJ1455" s="2">
        <f>IFERROR(VLOOKUP(Calculations[[#This Row],[Material (choose from dropdown]],MaterialData[[#Headers],[#Data]],9,FALSE),0)</f>
        <v>0</v>
      </c>
      <c r="AK1455" s="4">
        <f>IFERROR(VLOOKUP(Calculations[[#This Row],[Material (choose from dropdown]],MaterialData[[#Headers],[#Data]],10,FALSE),0)</f>
        <v>0</v>
      </c>
      <c r="AL1455" s="322">
        <f>IFERROR(Calculations[[#This Row],[Data Quality Score]]*Calculations[[#This Row],[Total Kg]],0)</f>
        <v>0</v>
      </c>
    </row>
    <row r="1456" spans="1:38" x14ac:dyDescent="0.3">
      <c r="A1456" s="6">
        <f>IFERROR(MaterialsBoQ[[#This Row],[Scope Element]],0)</f>
        <v>0</v>
      </c>
      <c r="B1456" t="str">
        <f>IFERROR(MaterialsBoQ[[#This Row],[Material ]],"")</f>
        <v/>
      </c>
      <c r="C1456" t="str">
        <f>IFERROR(MaterialsBoQ[[#This Row],[Unit]],"")</f>
        <v/>
      </c>
      <c r="D1456" s="322">
        <f>IFERROR(MaterialsBoQ[[#This Row],[Number]],0)</f>
        <v>0</v>
      </c>
      <c r="E1456" s="322">
        <f>IFERROR(MaterialsBoQ[[#This Row],[Kg per unit]],0)</f>
        <v>0</v>
      </c>
      <c r="F1456" s="322">
        <f>IFERROR(Calculations[[#This Row],[Number]]*Calculations[[#This Row],[Conversion factor]],0)</f>
        <v>0</v>
      </c>
      <c r="G1456" s="322">
        <f>IFERROR(VLOOKUP(Calculations[[#This Row],[Material (choose from dropdown]],MaterialData[#All],7,FALSE),0)</f>
        <v>0</v>
      </c>
      <c r="H1456" s="322">
        <f>Calculations[[#This Row],[Total Kg]]*Calculations[[#This Row],[Carbon Factor]]</f>
        <v>0</v>
      </c>
      <c r="I1456" t="str">
        <f>IFERROR(VLOOKUP(Calculations[[#This Row],[Material (choose from dropdown]],MaterialData[#All],2,FALSE),"")</f>
        <v/>
      </c>
      <c r="J1456" s="322">
        <f>IFERROR(((VLOOKUP(Calculations[[#This Row],[TransportSource]],TransportDistance[],2,FALSE)*'Stage assumptions'!$C$11)+VLOOKUP(Calculations[[#This Row],[TransportSource]],TransportDistance[],3,FALSE)*'Stage assumptions'!$C$12)*Calculations[[#This Row],[Total Kg]],0)</f>
        <v>0</v>
      </c>
      <c r="K1456">
        <f>IFERROR(VLOOKUP(Calculations[[#This Row],[Material (choose from dropdown]], MaterialData[#All],3, FALSE),0)</f>
        <v>0</v>
      </c>
      <c r="L1456" s="322">
        <f>IFERROR(VLOOKUP(Calculations[[#This Row],[A5type]],A5WastageRate[#All],2,FALSE)*Calculations[[#This Row],[A1-3]],0)</f>
        <v>0</v>
      </c>
      <c r="N1456">
        <f>IFERROR(ROUNDUP(50/VLOOKUP(Calculations[[#This Row],[Scope Element]],B4referenceServiceLife[[Tier 2 element]:[Default Service Life]],2, FALSE)-1,0),0)</f>
        <v>0</v>
      </c>
      <c r="O1456" s="322">
        <f>IFERROR((Calculations[[#This Row],[A1-3]]+Calculations[[#This Row],[A4]]+Calculations[[#This Row],[A5]]+Calculations[[#This Row],[C2 total]]+Calculations[[#This Row],[C3 total]]+Calculations[[#This Row],[C4 total]])*Calculations[[#This Row],[Replacements]],0)</f>
        <v>0</v>
      </c>
      <c r="S1456" t="str">
        <f>IFERROR(VLOOKUP(Calculations[[#This Row],[Material (choose from dropdown]],MaterialData[#All],4,FALSE),"")</f>
        <v/>
      </c>
      <c r="T1456" s="322" cm="1">
        <f t="array" ref="T1456">IFERROR(VLOOKUP(Calculations[[#This Row],[Waste 1]],WasteScenario[#All],2,FALSE)*'Stage assumptions'!$C$225*WasteTransportMethod[Emissions Factor
kgCO2e/kg.km]*Calculations[[#This Row],[Total Kg]],0)</f>
        <v>0</v>
      </c>
      <c r="U1456" s="322" cm="1">
        <f t="array" ref="U1456">IFERROR(VLOOKUP(Calculations[[#This Row],[Waste 1]],WasteScenario[#All],3,FALSE)*'Stage assumptions'!$C$224*WasteTransportMethod[Emissions Factor
kgCO2e/kg.km]*Calculations[[#This Row],[Total Kg]],0)</f>
        <v>0</v>
      </c>
      <c r="V1456" s="322" cm="1">
        <f t="array" ref="V1456">IFERROR(VLOOKUP(Calculations[[#This Row],[Waste 1]],WasteScenario[#All],4,FALSE)*'Stage assumptions'!$C$223*WasteTransportMethod[Emissions Factor
kgCO2e/kg.km]*Calculations[[#This Row],[Total Kg]],0)</f>
        <v>0</v>
      </c>
      <c r="W1456" s="322" cm="1">
        <f t="array" ref="W1456">IFERROR(VLOOKUP(Calculations[[#This Row],[Waste 1]],WasteScenario[#All],5,FALSE)*'Stage assumptions'!$C$226*WasteTransportMethod[Emissions Factor
kgCO2e/kg.km]*Calculations[[#This Row],[Total Kg]],0)</f>
        <v>0</v>
      </c>
      <c r="X1456" s="322">
        <f>SUM(Calculations[[#This Row],[C2 Recycle]:[C2 Reuse]])</f>
        <v>0</v>
      </c>
      <c r="Y1456" t="str">
        <f>IFERROR(VLOOKUP(Calculations[[#This Row],[Material (choose from dropdown]],MaterialData[#All],5,FALSE),"")</f>
        <v/>
      </c>
      <c r="Z1456" s="322">
        <f>IFERROR(((VLOOKUP(Calculations[[#This Row],[Waste type 2]],WasteDisposalEmissions[#All],2,FALSE))*Calculations[[#This Row],[Total Kg]])*VLOOKUP(Calculations[[#This Row],[Waste 1]],WasteScenario[#All],2,FALSE),0)</f>
        <v>0</v>
      </c>
      <c r="AA1456" s="322">
        <f>IFERROR((VLOOKUP(Calculations[[#This Row],[Waste type 2]],WasteDisposalEmissions[#All],3,FALSE))*Calculations[[#This Row],[Total Kg]]*VLOOKUP(Calculations[[#This Row],[Waste 1]],WasteScenario[#All],3,FALSE),0)</f>
        <v>0</v>
      </c>
      <c r="AB1456" s="322">
        <f>SUM(Calculations[[#This Row],[C3 recyc]:[C3 incin]])</f>
        <v>0</v>
      </c>
      <c r="AC1456" s="334">
        <f>IFERROR((VLOOKUP(Calculations[[#This Row],[Waste type 2]],WasteLandfillEmissions[#All],2,FALSE))*Calculations[[#This Row],[Total Kg]]*VLOOKUP(Calculations[[#This Row],[Waste 1]],WasteScenario[#All],4,FALSE),0)</f>
        <v>0</v>
      </c>
      <c r="AD1456" s="322">
        <f>IFERROR((VLOOKUP(Calculations[[#This Row],[Waste type 2]],WasteLandfillEmissions[#All],3,FALSE))*Calculations[[#This Row],[Total Kg]]*VLOOKUP(Calculations[[#This Row],[Waste 1]],WasteScenario[#All],4,FALSE),0)</f>
        <v>0</v>
      </c>
      <c r="AE1456" s="322">
        <f>SUM(Calculations[[#This Row],[C4 landfill]:[C4 re-use]])</f>
        <v>0</v>
      </c>
      <c r="AF1456" s="322">
        <f>IFERROR(VLOOKUP(Calculations[[#This Row],[Material (choose from dropdown]],MaterialData[#All],8,FALSE),0)</f>
        <v>0</v>
      </c>
      <c r="AG1456" s="322">
        <f>IFERROR(Calculations[[#This Row],[Total Kg]]*Calculations[[#This Row],[Seq factor]],0)</f>
        <v>0</v>
      </c>
      <c r="AI1456" s="322">
        <f>Calculations[[#This Row],[A1-3]]+Calculations[[#This Row],[A4]]+Calculations[[#This Row],[A5]]+Calculations[[#This Row],[B4]]+Calculations[[#This Row],[C2 total]]+Calculations[[#This Row],[C3 total]]+Calculations[[#This Row],[C4 total]]</f>
        <v>0</v>
      </c>
      <c r="AJ1456" s="2">
        <f>IFERROR(VLOOKUP(Calculations[[#This Row],[Material (choose from dropdown]],MaterialData[[#Headers],[#Data]],9,FALSE),0)</f>
        <v>0</v>
      </c>
      <c r="AK1456" s="4">
        <f>IFERROR(VLOOKUP(Calculations[[#This Row],[Material (choose from dropdown]],MaterialData[[#Headers],[#Data]],10,FALSE),0)</f>
        <v>0</v>
      </c>
      <c r="AL1456" s="322">
        <f>IFERROR(Calculations[[#This Row],[Data Quality Score]]*Calculations[[#This Row],[Total Kg]],0)</f>
        <v>0</v>
      </c>
    </row>
    <row r="1457" spans="1:38" x14ac:dyDescent="0.3">
      <c r="A1457" s="6">
        <f>IFERROR(MaterialsBoQ[[#This Row],[Scope Element]],0)</f>
        <v>0</v>
      </c>
      <c r="B1457" t="str">
        <f>IFERROR(MaterialsBoQ[[#This Row],[Material ]],"")</f>
        <v/>
      </c>
      <c r="C1457" t="str">
        <f>IFERROR(MaterialsBoQ[[#This Row],[Unit]],"")</f>
        <v/>
      </c>
      <c r="D1457" s="322">
        <f>IFERROR(MaterialsBoQ[[#This Row],[Number]],0)</f>
        <v>0</v>
      </c>
      <c r="E1457" s="322">
        <f>IFERROR(MaterialsBoQ[[#This Row],[Kg per unit]],0)</f>
        <v>0</v>
      </c>
      <c r="F1457" s="322">
        <f>IFERROR(Calculations[[#This Row],[Number]]*Calculations[[#This Row],[Conversion factor]],0)</f>
        <v>0</v>
      </c>
      <c r="G1457" s="322">
        <f>IFERROR(VLOOKUP(Calculations[[#This Row],[Material (choose from dropdown]],MaterialData[#All],7,FALSE),0)</f>
        <v>0</v>
      </c>
      <c r="H1457" s="322">
        <f>Calculations[[#This Row],[Total Kg]]*Calculations[[#This Row],[Carbon Factor]]</f>
        <v>0</v>
      </c>
      <c r="I1457" t="str">
        <f>IFERROR(VLOOKUP(Calculations[[#This Row],[Material (choose from dropdown]],MaterialData[#All],2,FALSE),"")</f>
        <v/>
      </c>
      <c r="J1457" s="322">
        <f>IFERROR(((VLOOKUP(Calculations[[#This Row],[TransportSource]],TransportDistance[],2,FALSE)*'Stage assumptions'!$C$11)+VLOOKUP(Calculations[[#This Row],[TransportSource]],TransportDistance[],3,FALSE)*'Stage assumptions'!$C$12)*Calculations[[#This Row],[Total Kg]],0)</f>
        <v>0</v>
      </c>
      <c r="K1457">
        <f>IFERROR(VLOOKUP(Calculations[[#This Row],[Material (choose from dropdown]], MaterialData[#All],3, FALSE),0)</f>
        <v>0</v>
      </c>
      <c r="L1457" s="322">
        <f>IFERROR(VLOOKUP(Calculations[[#This Row],[A5type]],A5WastageRate[#All],2,FALSE)*Calculations[[#This Row],[A1-3]],0)</f>
        <v>0</v>
      </c>
      <c r="N1457">
        <f>IFERROR(ROUNDUP(50/VLOOKUP(Calculations[[#This Row],[Scope Element]],B4referenceServiceLife[[Tier 2 element]:[Default Service Life]],2, FALSE)-1,0),0)</f>
        <v>0</v>
      </c>
      <c r="O1457" s="322">
        <f>IFERROR((Calculations[[#This Row],[A1-3]]+Calculations[[#This Row],[A4]]+Calculations[[#This Row],[A5]]+Calculations[[#This Row],[C2 total]]+Calculations[[#This Row],[C3 total]]+Calculations[[#This Row],[C4 total]])*Calculations[[#This Row],[Replacements]],0)</f>
        <v>0</v>
      </c>
      <c r="S1457" t="str">
        <f>IFERROR(VLOOKUP(Calculations[[#This Row],[Material (choose from dropdown]],MaterialData[#All],4,FALSE),"")</f>
        <v/>
      </c>
      <c r="T1457" s="322" cm="1">
        <f t="array" ref="T1457">IFERROR(VLOOKUP(Calculations[[#This Row],[Waste 1]],WasteScenario[#All],2,FALSE)*'Stage assumptions'!$C$225*WasteTransportMethod[Emissions Factor
kgCO2e/kg.km]*Calculations[[#This Row],[Total Kg]],0)</f>
        <v>0</v>
      </c>
      <c r="U1457" s="322" cm="1">
        <f t="array" ref="U1457">IFERROR(VLOOKUP(Calculations[[#This Row],[Waste 1]],WasteScenario[#All],3,FALSE)*'Stage assumptions'!$C$224*WasteTransportMethod[Emissions Factor
kgCO2e/kg.km]*Calculations[[#This Row],[Total Kg]],0)</f>
        <v>0</v>
      </c>
      <c r="V1457" s="322" cm="1">
        <f t="array" ref="V1457">IFERROR(VLOOKUP(Calculations[[#This Row],[Waste 1]],WasteScenario[#All],4,FALSE)*'Stage assumptions'!$C$223*WasteTransportMethod[Emissions Factor
kgCO2e/kg.km]*Calculations[[#This Row],[Total Kg]],0)</f>
        <v>0</v>
      </c>
      <c r="W1457" s="322" cm="1">
        <f t="array" ref="W1457">IFERROR(VLOOKUP(Calculations[[#This Row],[Waste 1]],WasteScenario[#All],5,FALSE)*'Stage assumptions'!$C$226*WasteTransportMethod[Emissions Factor
kgCO2e/kg.km]*Calculations[[#This Row],[Total Kg]],0)</f>
        <v>0</v>
      </c>
      <c r="X1457" s="322">
        <f>SUM(Calculations[[#This Row],[C2 Recycle]:[C2 Reuse]])</f>
        <v>0</v>
      </c>
      <c r="Y1457" t="str">
        <f>IFERROR(VLOOKUP(Calculations[[#This Row],[Material (choose from dropdown]],MaterialData[#All],5,FALSE),"")</f>
        <v/>
      </c>
      <c r="Z1457" s="322">
        <f>IFERROR(((VLOOKUP(Calculations[[#This Row],[Waste type 2]],WasteDisposalEmissions[#All],2,FALSE))*Calculations[[#This Row],[Total Kg]])*VLOOKUP(Calculations[[#This Row],[Waste 1]],WasteScenario[#All],2,FALSE),0)</f>
        <v>0</v>
      </c>
      <c r="AA1457" s="322">
        <f>IFERROR((VLOOKUP(Calculations[[#This Row],[Waste type 2]],WasteDisposalEmissions[#All],3,FALSE))*Calculations[[#This Row],[Total Kg]]*VLOOKUP(Calculations[[#This Row],[Waste 1]],WasteScenario[#All],3,FALSE),0)</f>
        <v>0</v>
      </c>
      <c r="AB1457" s="322">
        <f>SUM(Calculations[[#This Row],[C3 recyc]:[C3 incin]])</f>
        <v>0</v>
      </c>
      <c r="AC1457" s="334">
        <f>IFERROR((VLOOKUP(Calculations[[#This Row],[Waste type 2]],WasteLandfillEmissions[#All],2,FALSE))*Calculations[[#This Row],[Total Kg]]*VLOOKUP(Calculations[[#This Row],[Waste 1]],WasteScenario[#All],4,FALSE),0)</f>
        <v>0</v>
      </c>
      <c r="AD1457" s="322">
        <f>IFERROR((VLOOKUP(Calculations[[#This Row],[Waste type 2]],WasteLandfillEmissions[#All],3,FALSE))*Calculations[[#This Row],[Total Kg]]*VLOOKUP(Calculations[[#This Row],[Waste 1]],WasteScenario[#All],4,FALSE),0)</f>
        <v>0</v>
      </c>
      <c r="AE1457" s="322">
        <f>SUM(Calculations[[#This Row],[C4 landfill]:[C4 re-use]])</f>
        <v>0</v>
      </c>
      <c r="AF1457" s="322">
        <f>IFERROR(VLOOKUP(Calculations[[#This Row],[Material (choose from dropdown]],MaterialData[#All],8,FALSE),0)</f>
        <v>0</v>
      </c>
      <c r="AG1457" s="322">
        <f>IFERROR(Calculations[[#This Row],[Total Kg]]*Calculations[[#This Row],[Seq factor]],0)</f>
        <v>0</v>
      </c>
      <c r="AI1457" s="322">
        <f>Calculations[[#This Row],[A1-3]]+Calculations[[#This Row],[A4]]+Calculations[[#This Row],[A5]]+Calculations[[#This Row],[B4]]+Calculations[[#This Row],[C2 total]]+Calculations[[#This Row],[C3 total]]+Calculations[[#This Row],[C4 total]]</f>
        <v>0</v>
      </c>
      <c r="AJ1457" s="2">
        <f>IFERROR(VLOOKUP(Calculations[[#This Row],[Material (choose from dropdown]],MaterialData[[#Headers],[#Data]],9,FALSE),0)</f>
        <v>0</v>
      </c>
      <c r="AK1457" s="4">
        <f>IFERROR(VLOOKUP(Calculations[[#This Row],[Material (choose from dropdown]],MaterialData[[#Headers],[#Data]],10,FALSE),0)</f>
        <v>0</v>
      </c>
      <c r="AL1457" s="322">
        <f>IFERROR(Calculations[[#This Row],[Data Quality Score]]*Calculations[[#This Row],[Total Kg]],0)</f>
        <v>0</v>
      </c>
    </row>
    <row r="1458" spans="1:38" x14ac:dyDescent="0.3">
      <c r="A1458" s="6">
        <f>IFERROR(MaterialsBoQ[[#This Row],[Scope Element]],0)</f>
        <v>0</v>
      </c>
      <c r="B1458" t="str">
        <f>IFERROR(MaterialsBoQ[[#This Row],[Material ]],"")</f>
        <v/>
      </c>
      <c r="C1458" t="str">
        <f>IFERROR(MaterialsBoQ[[#This Row],[Unit]],"")</f>
        <v/>
      </c>
      <c r="D1458" s="322">
        <f>IFERROR(MaterialsBoQ[[#This Row],[Number]],0)</f>
        <v>0</v>
      </c>
      <c r="E1458" s="322">
        <f>IFERROR(MaterialsBoQ[[#This Row],[Kg per unit]],0)</f>
        <v>0</v>
      </c>
      <c r="F1458" s="322">
        <f>IFERROR(Calculations[[#This Row],[Number]]*Calculations[[#This Row],[Conversion factor]],0)</f>
        <v>0</v>
      </c>
      <c r="G1458" s="322">
        <f>IFERROR(VLOOKUP(Calculations[[#This Row],[Material (choose from dropdown]],MaterialData[#All],7,FALSE),0)</f>
        <v>0</v>
      </c>
      <c r="H1458" s="322">
        <f>Calculations[[#This Row],[Total Kg]]*Calculations[[#This Row],[Carbon Factor]]</f>
        <v>0</v>
      </c>
      <c r="I1458" t="str">
        <f>IFERROR(VLOOKUP(Calculations[[#This Row],[Material (choose from dropdown]],MaterialData[#All],2,FALSE),"")</f>
        <v/>
      </c>
      <c r="J1458" s="322">
        <f>IFERROR(((VLOOKUP(Calculations[[#This Row],[TransportSource]],TransportDistance[],2,FALSE)*'Stage assumptions'!$C$11)+VLOOKUP(Calculations[[#This Row],[TransportSource]],TransportDistance[],3,FALSE)*'Stage assumptions'!$C$12)*Calculations[[#This Row],[Total Kg]],0)</f>
        <v>0</v>
      </c>
      <c r="K1458">
        <f>IFERROR(VLOOKUP(Calculations[[#This Row],[Material (choose from dropdown]], MaterialData[#All],3, FALSE),0)</f>
        <v>0</v>
      </c>
      <c r="L1458" s="322">
        <f>IFERROR(VLOOKUP(Calculations[[#This Row],[A5type]],A5WastageRate[#All],2,FALSE)*Calculations[[#This Row],[A1-3]],0)</f>
        <v>0</v>
      </c>
      <c r="N1458">
        <f>IFERROR(ROUNDUP(50/VLOOKUP(Calculations[[#This Row],[Scope Element]],B4referenceServiceLife[[Tier 2 element]:[Default Service Life]],2, FALSE)-1,0),0)</f>
        <v>0</v>
      </c>
      <c r="O1458" s="322">
        <f>IFERROR((Calculations[[#This Row],[A1-3]]+Calculations[[#This Row],[A4]]+Calculations[[#This Row],[A5]]+Calculations[[#This Row],[C2 total]]+Calculations[[#This Row],[C3 total]]+Calculations[[#This Row],[C4 total]])*Calculations[[#This Row],[Replacements]],0)</f>
        <v>0</v>
      </c>
      <c r="S1458" t="str">
        <f>IFERROR(VLOOKUP(Calculations[[#This Row],[Material (choose from dropdown]],MaterialData[#All],4,FALSE),"")</f>
        <v/>
      </c>
      <c r="T1458" s="322" cm="1">
        <f t="array" ref="T1458">IFERROR(VLOOKUP(Calculations[[#This Row],[Waste 1]],WasteScenario[#All],2,FALSE)*'Stage assumptions'!$C$225*WasteTransportMethod[Emissions Factor
kgCO2e/kg.km]*Calculations[[#This Row],[Total Kg]],0)</f>
        <v>0</v>
      </c>
      <c r="U1458" s="322" cm="1">
        <f t="array" ref="U1458">IFERROR(VLOOKUP(Calculations[[#This Row],[Waste 1]],WasteScenario[#All],3,FALSE)*'Stage assumptions'!$C$224*WasteTransportMethod[Emissions Factor
kgCO2e/kg.km]*Calculations[[#This Row],[Total Kg]],0)</f>
        <v>0</v>
      </c>
      <c r="V1458" s="322" cm="1">
        <f t="array" ref="V1458">IFERROR(VLOOKUP(Calculations[[#This Row],[Waste 1]],WasteScenario[#All],4,FALSE)*'Stage assumptions'!$C$223*WasteTransportMethod[Emissions Factor
kgCO2e/kg.km]*Calculations[[#This Row],[Total Kg]],0)</f>
        <v>0</v>
      </c>
      <c r="W1458" s="322" cm="1">
        <f t="array" ref="W1458">IFERROR(VLOOKUP(Calculations[[#This Row],[Waste 1]],WasteScenario[#All],5,FALSE)*'Stage assumptions'!$C$226*WasteTransportMethod[Emissions Factor
kgCO2e/kg.km]*Calculations[[#This Row],[Total Kg]],0)</f>
        <v>0</v>
      </c>
      <c r="X1458" s="322">
        <f>SUM(Calculations[[#This Row],[C2 Recycle]:[C2 Reuse]])</f>
        <v>0</v>
      </c>
      <c r="Y1458" t="str">
        <f>IFERROR(VLOOKUP(Calculations[[#This Row],[Material (choose from dropdown]],MaterialData[#All],5,FALSE),"")</f>
        <v/>
      </c>
      <c r="Z1458" s="322">
        <f>IFERROR(((VLOOKUP(Calculations[[#This Row],[Waste type 2]],WasteDisposalEmissions[#All],2,FALSE))*Calculations[[#This Row],[Total Kg]])*VLOOKUP(Calculations[[#This Row],[Waste 1]],WasteScenario[#All],2,FALSE),0)</f>
        <v>0</v>
      </c>
      <c r="AA1458" s="322">
        <f>IFERROR((VLOOKUP(Calculations[[#This Row],[Waste type 2]],WasteDisposalEmissions[#All],3,FALSE))*Calculations[[#This Row],[Total Kg]]*VLOOKUP(Calculations[[#This Row],[Waste 1]],WasteScenario[#All],3,FALSE),0)</f>
        <v>0</v>
      </c>
      <c r="AB1458" s="322">
        <f>SUM(Calculations[[#This Row],[C3 recyc]:[C3 incin]])</f>
        <v>0</v>
      </c>
      <c r="AC1458" s="334">
        <f>IFERROR((VLOOKUP(Calculations[[#This Row],[Waste type 2]],WasteLandfillEmissions[#All],2,FALSE))*Calculations[[#This Row],[Total Kg]]*VLOOKUP(Calculations[[#This Row],[Waste 1]],WasteScenario[#All],4,FALSE),0)</f>
        <v>0</v>
      </c>
      <c r="AD1458" s="322">
        <f>IFERROR((VLOOKUP(Calculations[[#This Row],[Waste type 2]],WasteLandfillEmissions[#All],3,FALSE))*Calculations[[#This Row],[Total Kg]]*VLOOKUP(Calculations[[#This Row],[Waste 1]],WasteScenario[#All],4,FALSE),0)</f>
        <v>0</v>
      </c>
      <c r="AE1458" s="322">
        <f>SUM(Calculations[[#This Row],[C4 landfill]:[C4 re-use]])</f>
        <v>0</v>
      </c>
      <c r="AF1458" s="322">
        <f>IFERROR(VLOOKUP(Calculations[[#This Row],[Material (choose from dropdown]],MaterialData[#All],8,FALSE),0)</f>
        <v>0</v>
      </c>
      <c r="AG1458" s="322">
        <f>IFERROR(Calculations[[#This Row],[Total Kg]]*Calculations[[#This Row],[Seq factor]],0)</f>
        <v>0</v>
      </c>
      <c r="AI1458" s="322">
        <f>Calculations[[#This Row],[A1-3]]+Calculations[[#This Row],[A4]]+Calculations[[#This Row],[A5]]+Calculations[[#This Row],[B4]]+Calculations[[#This Row],[C2 total]]+Calculations[[#This Row],[C3 total]]+Calculations[[#This Row],[C4 total]]</f>
        <v>0</v>
      </c>
      <c r="AJ1458" s="2">
        <f>IFERROR(VLOOKUP(Calculations[[#This Row],[Material (choose from dropdown]],MaterialData[[#Headers],[#Data]],9,FALSE),0)</f>
        <v>0</v>
      </c>
      <c r="AK1458" s="4">
        <f>IFERROR(VLOOKUP(Calculations[[#This Row],[Material (choose from dropdown]],MaterialData[[#Headers],[#Data]],10,FALSE),0)</f>
        <v>0</v>
      </c>
      <c r="AL1458" s="322">
        <f>IFERROR(Calculations[[#This Row],[Data Quality Score]]*Calculations[[#This Row],[Total Kg]],0)</f>
        <v>0</v>
      </c>
    </row>
    <row r="1459" spans="1:38" x14ac:dyDescent="0.3">
      <c r="A1459" s="6">
        <f>IFERROR(MaterialsBoQ[[#This Row],[Scope Element]],0)</f>
        <v>0</v>
      </c>
      <c r="B1459" t="str">
        <f>IFERROR(MaterialsBoQ[[#This Row],[Material ]],"")</f>
        <v/>
      </c>
      <c r="C1459" t="str">
        <f>IFERROR(MaterialsBoQ[[#This Row],[Unit]],"")</f>
        <v/>
      </c>
      <c r="D1459" s="322">
        <f>IFERROR(MaterialsBoQ[[#This Row],[Number]],0)</f>
        <v>0</v>
      </c>
      <c r="E1459" s="322">
        <f>IFERROR(MaterialsBoQ[[#This Row],[Kg per unit]],0)</f>
        <v>0</v>
      </c>
      <c r="F1459" s="322">
        <f>IFERROR(Calculations[[#This Row],[Number]]*Calculations[[#This Row],[Conversion factor]],0)</f>
        <v>0</v>
      </c>
      <c r="G1459" s="322">
        <f>IFERROR(VLOOKUP(Calculations[[#This Row],[Material (choose from dropdown]],MaterialData[#All],7,FALSE),0)</f>
        <v>0</v>
      </c>
      <c r="H1459" s="322">
        <f>Calculations[[#This Row],[Total Kg]]*Calculations[[#This Row],[Carbon Factor]]</f>
        <v>0</v>
      </c>
      <c r="I1459" t="str">
        <f>IFERROR(VLOOKUP(Calculations[[#This Row],[Material (choose from dropdown]],MaterialData[#All],2,FALSE),"")</f>
        <v/>
      </c>
      <c r="J1459" s="322">
        <f>IFERROR(((VLOOKUP(Calculations[[#This Row],[TransportSource]],TransportDistance[],2,FALSE)*'Stage assumptions'!$C$11)+VLOOKUP(Calculations[[#This Row],[TransportSource]],TransportDistance[],3,FALSE)*'Stage assumptions'!$C$12)*Calculations[[#This Row],[Total Kg]],0)</f>
        <v>0</v>
      </c>
      <c r="K1459">
        <f>IFERROR(VLOOKUP(Calculations[[#This Row],[Material (choose from dropdown]], MaterialData[#All],3, FALSE),0)</f>
        <v>0</v>
      </c>
      <c r="L1459" s="322">
        <f>IFERROR(VLOOKUP(Calculations[[#This Row],[A5type]],A5WastageRate[#All],2,FALSE)*Calculations[[#This Row],[A1-3]],0)</f>
        <v>0</v>
      </c>
      <c r="N1459">
        <f>IFERROR(ROUNDUP(50/VLOOKUP(Calculations[[#This Row],[Scope Element]],B4referenceServiceLife[[Tier 2 element]:[Default Service Life]],2, FALSE)-1,0),0)</f>
        <v>0</v>
      </c>
      <c r="O1459" s="322">
        <f>IFERROR((Calculations[[#This Row],[A1-3]]+Calculations[[#This Row],[A4]]+Calculations[[#This Row],[A5]]+Calculations[[#This Row],[C2 total]]+Calculations[[#This Row],[C3 total]]+Calculations[[#This Row],[C4 total]])*Calculations[[#This Row],[Replacements]],0)</f>
        <v>0</v>
      </c>
      <c r="S1459" t="str">
        <f>IFERROR(VLOOKUP(Calculations[[#This Row],[Material (choose from dropdown]],MaterialData[#All],4,FALSE),"")</f>
        <v/>
      </c>
      <c r="T1459" s="322" cm="1">
        <f t="array" ref="T1459">IFERROR(VLOOKUP(Calculations[[#This Row],[Waste 1]],WasteScenario[#All],2,FALSE)*'Stage assumptions'!$C$225*WasteTransportMethod[Emissions Factor
kgCO2e/kg.km]*Calculations[[#This Row],[Total Kg]],0)</f>
        <v>0</v>
      </c>
      <c r="U1459" s="322" cm="1">
        <f t="array" ref="U1459">IFERROR(VLOOKUP(Calculations[[#This Row],[Waste 1]],WasteScenario[#All],3,FALSE)*'Stage assumptions'!$C$224*WasteTransportMethod[Emissions Factor
kgCO2e/kg.km]*Calculations[[#This Row],[Total Kg]],0)</f>
        <v>0</v>
      </c>
      <c r="V1459" s="322" cm="1">
        <f t="array" ref="V1459">IFERROR(VLOOKUP(Calculations[[#This Row],[Waste 1]],WasteScenario[#All],4,FALSE)*'Stage assumptions'!$C$223*WasteTransportMethod[Emissions Factor
kgCO2e/kg.km]*Calculations[[#This Row],[Total Kg]],0)</f>
        <v>0</v>
      </c>
      <c r="W1459" s="322" cm="1">
        <f t="array" ref="W1459">IFERROR(VLOOKUP(Calculations[[#This Row],[Waste 1]],WasteScenario[#All],5,FALSE)*'Stage assumptions'!$C$226*WasteTransportMethod[Emissions Factor
kgCO2e/kg.km]*Calculations[[#This Row],[Total Kg]],0)</f>
        <v>0</v>
      </c>
      <c r="X1459" s="322">
        <f>SUM(Calculations[[#This Row],[C2 Recycle]:[C2 Reuse]])</f>
        <v>0</v>
      </c>
      <c r="Y1459" t="str">
        <f>IFERROR(VLOOKUP(Calculations[[#This Row],[Material (choose from dropdown]],MaterialData[#All],5,FALSE),"")</f>
        <v/>
      </c>
      <c r="Z1459" s="322">
        <f>IFERROR(((VLOOKUP(Calculations[[#This Row],[Waste type 2]],WasteDisposalEmissions[#All],2,FALSE))*Calculations[[#This Row],[Total Kg]])*VLOOKUP(Calculations[[#This Row],[Waste 1]],WasteScenario[#All],2,FALSE),0)</f>
        <v>0</v>
      </c>
      <c r="AA1459" s="322">
        <f>IFERROR((VLOOKUP(Calculations[[#This Row],[Waste type 2]],WasteDisposalEmissions[#All],3,FALSE))*Calculations[[#This Row],[Total Kg]]*VLOOKUP(Calculations[[#This Row],[Waste 1]],WasteScenario[#All],3,FALSE),0)</f>
        <v>0</v>
      </c>
      <c r="AB1459" s="322">
        <f>SUM(Calculations[[#This Row],[C3 recyc]:[C3 incin]])</f>
        <v>0</v>
      </c>
      <c r="AC1459" s="334">
        <f>IFERROR((VLOOKUP(Calculations[[#This Row],[Waste type 2]],WasteLandfillEmissions[#All],2,FALSE))*Calculations[[#This Row],[Total Kg]]*VLOOKUP(Calculations[[#This Row],[Waste 1]],WasteScenario[#All],4,FALSE),0)</f>
        <v>0</v>
      </c>
      <c r="AD1459" s="322">
        <f>IFERROR((VLOOKUP(Calculations[[#This Row],[Waste type 2]],WasteLandfillEmissions[#All],3,FALSE))*Calculations[[#This Row],[Total Kg]]*VLOOKUP(Calculations[[#This Row],[Waste 1]],WasteScenario[#All],4,FALSE),0)</f>
        <v>0</v>
      </c>
      <c r="AE1459" s="322">
        <f>SUM(Calculations[[#This Row],[C4 landfill]:[C4 re-use]])</f>
        <v>0</v>
      </c>
      <c r="AF1459" s="322">
        <f>IFERROR(VLOOKUP(Calculations[[#This Row],[Material (choose from dropdown]],MaterialData[#All],8,FALSE),0)</f>
        <v>0</v>
      </c>
      <c r="AG1459" s="322">
        <f>IFERROR(Calculations[[#This Row],[Total Kg]]*Calculations[[#This Row],[Seq factor]],0)</f>
        <v>0</v>
      </c>
      <c r="AI1459" s="322">
        <f>Calculations[[#This Row],[A1-3]]+Calculations[[#This Row],[A4]]+Calculations[[#This Row],[A5]]+Calculations[[#This Row],[B4]]+Calculations[[#This Row],[C2 total]]+Calculations[[#This Row],[C3 total]]+Calculations[[#This Row],[C4 total]]</f>
        <v>0</v>
      </c>
      <c r="AJ1459" s="2">
        <f>IFERROR(VLOOKUP(Calculations[[#This Row],[Material (choose from dropdown]],MaterialData[[#Headers],[#Data]],9,FALSE),0)</f>
        <v>0</v>
      </c>
      <c r="AK1459" s="4">
        <f>IFERROR(VLOOKUP(Calculations[[#This Row],[Material (choose from dropdown]],MaterialData[[#Headers],[#Data]],10,FALSE),0)</f>
        <v>0</v>
      </c>
      <c r="AL1459" s="322">
        <f>IFERROR(Calculations[[#This Row],[Data Quality Score]]*Calculations[[#This Row],[Total Kg]],0)</f>
        <v>0</v>
      </c>
    </row>
    <row r="1460" spans="1:38" x14ac:dyDescent="0.3">
      <c r="A1460" s="6">
        <f>IFERROR(MaterialsBoQ[[#This Row],[Scope Element]],0)</f>
        <v>0</v>
      </c>
      <c r="B1460" t="str">
        <f>IFERROR(MaterialsBoQ[[#This Row],[Material ]],"")</f>
        <v/>
      </c>
      <c r="C1460" t="str">
        <f>IFERROR(MaterialsBoQ[[#This Row],[Unit]],"")</f>
        <v/>
      </c>
      <c r="D1460" s="322">
        <f>IFERROR(MaterialsBoQ[[#This Row],[Number]],0)</f>
        <v>0</v>
      </c>
      <c r="E1460" s="322">
        <f>IFERROR(MaterialsBoQ[[#This Row],[Kg per unit]],0)</f>
        <v>0</v>
      </c>
      <c r="F1460" s="322">
        <f>IFERROR(Calculations[[#This Row],[Number]]*Calculations[[#This Row],[Conversion factor]],0)</f>
        <v>0</v>
      </c>
      <c r="G1460" s="322">
        <f>IFERROR(VLOOKUP(Calculations[[#This Row],[Material (choose from dropdown]],MaterialData[#All],7,FALSE),0)</f>
        <v>0</v>
      </c>
      <c r="H1460" s="322">
        <f>Calculations[[#This Row],[Total Kg]]*Calculations[[#This Row],[Carbon Factor]]</f>
        <v>0</v>
      </c>
      <c r="I1460" t="str">
        <f>IFERROR(VLOOKUP(Calculations[[#This Row],[Material (choose from dropdown]],MaterialData[#All],2,FALSE),"")</f>
        <v/>
      </c>
      <c r="J1460" s="322">
        <f>IFERROR(((VLOOKUP(Calculations[[#This Row],[TransportSource]],TransportDistance[],2,FALSE)*'Stage assumptions'!$C$11)+VLOOKUP(Calculations[[#This Row],[TransportSource]],TransportDistance[],3,FALSE)*'Stage assumptions'!$C$12)*Calculations[[#This Row],[Total Kg]],0)</f>
        <v>0</v>
      </c>
      <c r="K1460">
        <f>IFERROR(VLOOKUP(Calculations[[#This Row],[Material (choose from dropdown]], MaterialData[#All],3, FALSE),0)</f>
        <v>0</v>
      </c>
      <c r="L1460" s="322">
        <f>IFERROR(VLOOKUP(Calculations[[#This Row],[A5type]],A5WastageRate[#All],2,FALSE)*Calculations[[#This Row],[A1-3]],0)</f>
        <v>0</v>
      </c>
      <c r="N1460">
        <f>IFERROR(ROUNDUP(50/VLOOKUP(Calculations[[#This Row],[Scope Element]],B4referenceServiceLife[[Tier 2 element]:[Default Service Life]],2, FALSE)-1,0),0)</f>
        <v>0</v>
      </c>
      <c r="O1460" s="322">
        <f>IFERROR((Calculations[[#This Row],[A1-3]]+Calculations[[#This Row],[A4]]+Calculations[[#This Row],[A5]]+Calculations[[#This Row],[C2 total]]+Calculations[[#This Row],[C3 total]]+Calculations[[#This Row],[C4 total]])*Calculations[[#This Row],[Replacements]],0)</f>
        <v>0</v>
      </c>
      <c r="S1460" t="str">
        <f>IFERROR(VLOOKUP(Calculations[[#This Row],[Material (choose from dropdown]],MaterialData[#All],4,FALSE),"")</f>
        <v/>
      </c>
      <c r="T1460" s="322" cm="1">
        <f t="array" ref="T1460">IFERROR(VLOOKUP(Calculations[[#This Row],[Waste 1]],WasteScenario[#All],2,FALSE)*'Stage assumptions'!$C$225*WasteTransportMethod[Emissions Factor
kgCO2e/kg.km]*Calculations[[#This Row],[Total Kg]],0)</f>
        <v>0</v>
      </c>
      <c r="U1460" s="322" cm="1">
        <f t="array" ref="U1460">IFERROR(VLOOKUP(Calculations[[#This Row],[Waste 1]],WasteScenario[#All],3,FALSE)*'Stage assumptions'!$C$224*WasteTransportMethod[Emissions Factor
kgCO2e/kg.km]*Calculations[[#This Row],[Total Kg]],0)</f>
        <v>0</v>
      </c>
      <c r="V1460" s="322" cm="1">
        <f t="array" ref="V1460">IFERROR(VLOOKUP(Calculations[[#This Row],[Waste 1]],WasteScenario[#All],4,FALSE)*'Stage assumptions'!$C$223*WasteTransportMethod[Emissions Factor
kgCO2e/kg.km]*Calculations[[#This Row],[Total Kg]],0)</f>
        <v>0</v>
      </c>
      <c r="W1460" s="322" cm="1">
        <f t="array" ref="W1460">IFERROR(VLOOKUP(Calculations[[#This Row],[Waste 1]],WasteScenario[#All],5,FALSE)*'Stage assumptions'!$C$226*WasteTransportMethod[Emissions Factor
kgCO2e/kg.km]*Calculations[[#This Row],[Total Kg]],0)</f>
        <v>0</v>
      </c>
      <c r="X1460" s="322">
        <f>SUM(Calculations[[#This Row],[C2 Recycle]:[C2 Reuse]])</f>
        <v>0</v>
      </c>
      <c r="Y1460" t="str">
        <f>IFERROR(VLOOKUP(Calculations[[#This Row],[Material (choose from dropdown]],MaterialData[#All],5,FALSE),"")</f>
        <v/>
      </c>
      <c r="Z1460" s="322">
        <f>IFERROR(((VLOOKUP(Calculations[[#This Row],[Waste type 2]],WasteDisposalEmissions[#All],2,FALSE))*Calculations[[#This Row],[Total Kg]])*VLOOKUP(Calculations[[#This Row],[Waste 1]],WasteScenario[#All],2,FALSE),0)</f>
        <v>0</v>
      </c>
      <c r="AA1460" s="322">
        <f>IFERROR((VLOOKUP(Calculations[[#This Row],[Waste type 2]],WasteDisposalEmissions[#All],3,FALSE))*Calculations[[#This Row],[Total Kg]]*VLOOKUP(Calculations[[#This Row],[Waste 1]],WasteScenario[#All],3,FALSE),0)</f>
        <v>0</v>
      </c>
      <c r="AB1460" s="322">
        <f>SUM(Calculations[[#This Row],[C3 recyc]:[C3 incin]])</f>
        <v>0</v>
      </c>
      <c r="AC1460" s="334">
        <f>IFERROR((VLOOKUP(Calculations[[#This Row],[Waste type 2]],WasteLandfillEmissions[#All],2,FALSE))*Calculations[[#This Row],[Total Kg]]*VLOOKUP(Calculations[[#This Row],[Waste 1]],WasteScenario[#All],4,FALSE),0)</f>
        <v>0</v>
      </c>
      <c r="AD1460" s="322">
        <f>IFERROR((VLOOKUP(Calculations[[#This Row],[Waste type 2]],WasteLandfillEmissions[#All],3,FALSE))*Calculations[[#This Row],[Total Kg]]*VLOOKUP(Calculations[[#This Row],[Waste 1]],WasteScenario[#All],4,FALSE),0)</f>
        <v>0</v>
      </c>
      <c r="AE1460" s="322">
        <f>SUM(Calculations[[#This Row],[C4 landfill]:[C4 re-use]])</f>
        <v>0</v>
      </c>
      <c r="AF1460" s="322">
        <f>IFERROR(VLOOKUP(Calculations[[#This Row],[Material (choose from dropdown]],MaterialData[#All],8,FALSE),0)</f>
        <v>0</v>
      </c>
      <c r="AG1460" s="322">
        <f>IFERROR(Calculations[[#This Row],[Total Kg]]*Calculations[[#This Row],[Seq factor]],0)</f>
        <v>0</v>
      </c>
      <c r="AI1460" s="322">
        <f>Calculations[[#This Row],[A1-3]]+Calculations[[#This Row],[A4]]+Calculations[[#This Row],[A5]]+Calculations[[#This Row],[B4]]+Calculations[[#This Row],[C2 total]]+Calculations[[#This Row],[C3 total]]+Calculations[[#This Row],[C4 total]]</f>
        <v>0</v>
      </c>
      <c r="AJ1460" s="2">
        <f>IFERROR(VLOOKUP(Calculations[[#This Row],[Material (choose from dropdown]],MaterialData[[#Headers],[#Data]],9,FALSE),0)</f>
        <v>0</v>
      </c>
      <c r="AK1460" s="4">
        <f>IFERROR(VLOOKUP(Calculations[[#This Row],[Material (choose from dropdown]],MaterialData[[#Headers],[#Data]],10,FALSE),0)</f>
        <v>0</v>
      </c>
      <c r="AL1460" s="322">
        <f>IFERROR(Calculations[[#This Row],[Data Quality Score]]*Calculations[[#This Row],[Total Kg]],0)</f>
        <v>0</v>
      </c>
    </row>
    <row r="1461" spans="1:38" x14ac:dyDescent="0.3">
      <c r="A1461" s="6">
        <f>IFERROR(MaterialsBoQ[[#This Row],[Scope Element]],0)</f>
        <v>0</v>
      </c>
      <c r="B1461" t="str">
        <f>IFERROR(MaterialsBoQ[[#This Row],[Material ]],"")</f>
        <v/>
      </c>
      <c r="C1461" t="str">
        <f>IFERROR(MaterialsBoQ[[#This Row],[Unit]],"")</f>
        <v/>
      </c>
      <c r="D1461" s="322">
        <f>IFERROR(MaterialsBoQ[[#This Row],[Number]],0)</f>
        <v>0</v>
      </c>
      <c r="E1461" s="322">
        <f>IFERROR(MaterialsBoQ[[#This Row],[Kg per unit]],0)</f>
        <v>0</v>
      </c>
      <c r="F1461" s="322">
        <f>IFERROR(Calculations[[#This Row],[Number]]*Calculations[[#This Row],[Conversion factor]],0)</f>
        <v>0</v>
      </c>
      <c r="G1461" s="322">
        <f>IFERROR(VLOOKUP(Calculations[[#This Row],[Material (choose from dropdown]],MaterialData[#All],7,FALSE),0)</f>
        <v>0</v>
      </c>
      <c r="H1461" s="322">
        <f>Calculations[[#This Row],[Total Kg]]*Calculations[[#This Row],[Carbon Factor]]</f>
        <v>0</v>
      </c>
      <c r="I1461" t="str">
        <f>IFERROR(VLOOKUP(Calculations[[#This Row],[Material (choose from dropdown]],MaterialData[#All],2,FALSE),"")</f>
        <v/>
      </c>
      <c r="J1461" s="322">
        <f>IFERROR(((VLOOKUP(Calculations[[#This Row],[TransportSource]],TransportDistance[],2,FALSE)*'Stage assumptions'!$C$11)+VLOOKUP(Calculations[[#This Row],[TransportSource]],TransportDistance[],3,FALSE)*'Stage assumptions'!$C$12)*Calculations[[#This Row],[Total Kg]],0)</f>
        <v>0</v>
      </c>
      <c r="K1461">
        <f>IFERROR(VLOOKUP(Calculations[[#This Row],[Material (choose from dropdown]], MaterialData[#All],3, FALSE),0)</f>
        <v>0</v>
      </c>
      <c r="L1461" s="322">
        <f>IFERROR(VLOOKUP(Calculations[[#This Row],[A5type]],A5WastageRate[#All],2,FALSE)*Calculations[[#This Row],[A1-3]],0)</f>
        <v>0</v>
      </c>
      <c r="N1461">
        <f>IFERROR(ROUNDUP(50/VLOOKUP(Calculations[[#This Row],[Scope Element]],B4referenceServiceLife[[Tier 2 element]:[Default Service Life]],2, FALSE)-1,0),0)</f>
        <v>0</v>
      </c>
      <c r="O1461" s="322">
        <f>IFERROR((Calculations[[#This Row],[A1-3]]+Calculations[[#This Row],[A4]]+Calculations[[#This Row],[A5]]+Calculations[[#This Row],[C2 total]]+Calculations[[#This Row],[C3 total]]+Calculations[[#This Row],[C4 total]])*Calculations[[#This Row],[Replacements]],0)</f>
        <v>0</v>
      </c>
      <c r="S1461" t="str">
        <f>IFERROR(VLOOKUP(Calculations[[#This Row],[Material (choose from dropdown]],MaterialData[#All],4,FALSE),"")</f>
        <v/>
      </c>
      <c r="T1461" s="322" cm="1">
        <f t="array" ref="T1461">IFERROR(VLOOKUP(Calculations[[#This Row],[Waste 1]],WasteScenario[#All],2,FALSE)*'Stage assumptions'!$C$225*WasteTransportMethod[Emissions Factor
kgCO2e/kg.km]*Calculations[[#This Row],[Total Kg]],0)</f>
        <v>0</v>
      </c>
      <c r="U1461" s="322" cm="1">
        <f t="array" ref="U1461">IFERROR(VLOOKUP(Calculations[[#This Row],[Waste 1]],WasteScenario[#All],3,FALSE)*'Stage assumptions'!$C$224*WasteTransportMethod[Emissions Factor
kgCO2e/kg.km]*Calculations[[#This Row],[Total Kg]],0)</f>
        <v>0</v>
      </c>
      <c r="V1461" s="322" cm="1">
        <f t="array" ref="V1461">IFERROR(VLOOKUP(Calculations[[#This Row],[Waste 1]],WasteScenario[#All],4,FALSE)*'Stage assumptions'!$C$223*WasteTransportMethod[Emissions Factor
kgCO2e/kg.km]*Calculations[[#This Row],[Total Kg]],0)</f>
        <v>0</v>
      </c>
      <c r="W1461" s="322" cm="1">
        <f t="array" ref="W1461">IFERROR(VLOOKUP(Calculations[[#This Row],[Waste 1]],WasteScenario[#All],5,FALSE)*'Stage assumptions'!$C$226*WasteTransportMethod[Emissions Factor
kgCO2e/kg.km]*Calculations[[#This Row],[Total Kg]],0)</f>
        <v>0</v>
      </c>
      <c r="X1461" s="322">
        <f>SUM(Calculations[[#This Row],[C2 Recycle]:[C2 Reuse]])</f>
        <v>0</v>
      </c>
      <c r="Y1461" t="str">
        <f>IFERROR(VLOOKUP(Calculations[[#This Row],[Material (choose from dropdown]],MaterialData[#All],5,FALSE),"")</f>
        <v/>
      </c>
      <c r="Z1461" s="322">
        <f>IFERROR(((VLOOKUP(Calculations[[#This Row],[Waste type 2]],WasteDisposalEmissions[#All],2,FALSE))*Calculations[[#This Row],[Total Kg]])*VLOOKUP(Calculations[[#This Row],[Waste 1]],WasteScenario[#All],2,FALSE),0)</f>
        <v>0</v>
      </c>
      <c r="AA1461" s="322">
        <f>IFERROR((VLOOKUP(Calculations[[#This Row],[Waste type 2]],WasteDisposalEmissions[#All],3,FALSE))*Calculations[[#This Row],[Total Kg]]*VLOOKUP(Calculations[[#This Row],[Waste 1]],WasteScenario[#All],3,FALSE),0)</f>
        <v>0</v>
      </c>
      <c r="AB1461" s="322">
        <f>SUM(Calculations[[#This Row],[C3 recyc]:[C3 incin]])</f>
        <v>0</v>
      </c>
      <c r="AC1461" s="334">
        <f>IFERROR((VLOOKUP(Calculations[[#This Row],[Waste type 2]],WasteLandfillEmissions[#All],2,FALSE))*Calculations[[#This Row],[Total Kg]]*VLOOKUP(Calculations[[#This Row],[Waste 1]],WasteScenario[#All],4,FALSE),0)</f>
        <v>0</v>
      </c>
      <c r="AD1461" s="322">
        <f>IFERROR((VLOOKUP(Calculations[[#This Row],[Waste type 2]],WasteLandfillEmissions[#All],3,FALSE))*Calculations[[#This Row],[Total Kg]]*VLOOKUP(Calculations[[#This Row],[Waste 1]],WasteScenario[#All],4,FALSE),0)</f>
        <v>0</v>
      </c>
      <c r="AE1461" s="322">
        <f>SUM(Calculations[[#This Row],[C4 landfill]:[C4 re-use]])</f>
        <v>0</v>
      </c>
      <c r="AF1461" s="322">
        <f>IFERROR(VLOOKUP(Calculations[[#This Row],[Material (choose from dropdown]],MaterialData[#All],8,FALSE),0)</f>
        <v>0</v>
      </c>
      <c r="AG1461" s="322">
        <f>IFERROR(Calculations[[#This Row],[Total Kg]]*Calculations[[#This Row],[Seq factor]],0)</f>
        <v>0</v>
      </c>
      <c r="AI1461" s="322">
        <f>Calculations[[#This Row],[A1-3]]+Calculations[[#This Row],[A4]]+Calculations[[#This Row],[A5]]+Calculations[[#This Row],[B4]]+Calculations[[#This Row],[C2 total]]+Calculations[[#This Row],[C3 total]]+Calculations[[#This Row],[C4 total]]</f>
        <v>0</v>
      </c>
      <c r="AJ1461" s="2">
        <f>IFERROR(VLOOKUP(Calculations[[#This Row],[Material (choose from dropdown]],MaterialData[[#Headers],[#Data]],9,FALSE),0)</f>
        <v>0</v>
      </c>
      <c r="AK1461" s="4">
        <f>IFERROR(VLOOKUP(Calculations[[#This Row],[Material (choose from dropdown]],MaterialData[[#Headers],[#Data]],10,FALSE),0)</f>
        <v>0</v>
      </c>
      <c r="AL1461" s="322">
        <f>IFERROR(Calculations[[#This Row],[Data Quality Score]]*Calculations[[#This Row],[Total Kg]],0)</f>
        <v>0</v>
      </c>
    </row>
    <row r="1462" spans="1:38" x14ac:dyDescent="0.3">
      <c r="A1462" s="6">
        <f>IFERROR(MaterialsBoQ[[#This Row],[Scope Element]],0)</f>
        <v>0</v>
      </c>
      <c r="B1462" t="str">
        <f>IFERROR(MaterialsBoQ[[#This Row],[Material ]],"")</f>
        <v/>
      </c>
      <c r="C1462" t="str">
        <f>IFERROR(MaterialsBoQ[[#This Row],[Unit]],"")</f>
        <v/>
      </c>
      <c r="D1462" s="322">
        <f>IFERROR(MaterialsBoQ[[#This Row],[Number]],0)</f>
        <v>0</v>
      </c>
      <c r="E1462" s="322">
        <f>IFERROR(MaterialsBoQ[[#This Row],[Kg per unit]],0)</f>
        <v>0</v>
      </c>
      <c r="F1462" s="322">
        <f>IFERROR(Calculations[[#This Row],[Number]]*Calculations[[#This Row],[Conversion factor]],0)</f>
        <v>0</v>
      </c>
      <c r="G1462" s="322">
        <f>IFERROR(VLOOKUP(Calculations[[#This Row],[Material (choose from dropdown]],MaterialData[#All],7,FALSE),0)</f>
        <v>0</v>
      </c>
      <c r="H1462" s="322">
        <f>Calculations[[#This Row],[Total Kg]]*Calculations[[#This Row],[Carbon Factor]]</f>
        <v>0</v>
      </c>
      <c r="I1462" t="str">
        <f>IFERROR(VLOOKUP(Calculations[[#This Row],[Material (choose from dropdown]],MaterialData[#All],2,FALSE),"")</f>
        <v/>
      </c>
      <c r="J1462" s="322">
        <f>IFERROR(((VLOOKUP(Calculations[[#This Row],[TransportSource]],TransportDistance[],2,FALSE)*'Stage assumptions'!$C$11)+VLOOKUP(Calculations[[#This Row],[TransportSource]],TransportDistance[],3,FALSE)*'Stage assumptions'!$C$12)*Calculations[[#This Row],[Total Kg]],0)</f>
        <v>0</v>
      </c>
      <c r="K1462">
        <f>IFERROR(VLOOKUP(Calculations[[#This Row],[Material (choose from dropdown]], MaterialData[#All],3, FALSE),0)</f>
        <v>0</v>
      </c>
      <c r="L1462" s="322">
        <f>IFERROR(VLOOKUP(Calculations[[#This Row],[A5type]],A5WastageRate[#All],2,FALSE)*Calculations[[#This Row],[A1-3]],0)</f>
        <v>0</v>
      </c>
      <c r="N1462">
        <f>IFERROR(ROUNDUP(50/VLOOKUP(Calculations[[#This Row],[Scope Element]],B4referenceServiceLife[[Tier 2 element]:[Default Service Life]],2, FALSE)-1,0),0)</f>
        <v>0</v>
      </c>
      <c r="O1462" s="322">
        <f>IFERROR((Calculations[[#This Row],[A1-3]]+Calculations[[#This Row],[A4]]+Calculations[[#This Row],[A5]]+Calculations[[#This Row],[C2 total]]+Calculations[[#This Row],[C3 total]]+Calculations[[#This Row],[C4 total]])*Calculations[[#This Row],[Replacements]],0)</f>
        <v>0</v>
      </c>
      <c r="S1462" t="str">
        <f>IFERROR(VLOOKUP(Calculations[[#This Row],[Material (choose from dropdown]],MaterialData[#All],4,FALSE),"")</f>
        <v/>
      </c>
      <c r="T1462" s="322" cm="1">
        <f t="array" ref="T1462">IFERROR(VLOOKUP(Calculations[[#This Row],[Waste 1]],WasteScenario[#All],2,FALSE)*'Stage assumptions'!$C$225*WasteTransportMethod[Emissions Factor
kgCO2e/kg.km]*Calculations[[#This Row],[Total Kg]],0)</f>
        <v>0</v>
      </c>
      <c r="U1462" s="322" cm="1">
        <f t="array" ref="U1462">IFERROR(VLOOKUP(Calculations[[#This Row],[Waste 1]],WasteScenario[#All],3,FALSE)*'Stage assumptions'!$C$224*WasteTransportMethod[Emissions Factor
kgCO2e/kg.km]*Calculations[[#This Row],[Total Kg]],0)</f>
        <v>0</v>
      </c>
      <c r="V1462" s="322" cm="1">
        <f t="array" ref="V1462">IFERROR(VLOOKUP(Calculations[[#This Row],[Waste 1]],WasteScenario[#All],4,FALSE)*'Stage assumptions'!$C$223*WasteTransportMethod[Emissions Factor
kgCO2e/kg.km]*Calculations[[#This Row],[Total Kg]],0)</f>
        <v>0</v>
      </c>
      <c r="W1462" s="322" cm="1">
        <f t="array" ref="W1462">IFERROR(VLOOKUP(Calculations[[#This Row],[Waste 1]],WasteScenario[#All],5,FALSE)*'Stage assumptions'!$C$226*WasteTransportMethod[Emissions Factor
kgCO2e/kg.km]*Calculations[[#This Row],[Total Kg]],0)</f>
        <v>0</v>
      </c>
      <c r="X1462" s="322">
        <f>SUM(Calculations[[#This Row],[C2 Recycle]:[C2 Reuse]])</f>
        <v>0</v>
      </c>
      <c r="Y1462" t="str">
        <f>IFERROR(VLOOKUP(Calculations[[#This Row],[Material (choose from dropdown]],MaterialData[#All],5,FALSE),"")</f>
        <v/>
      </c>
      <c r="Z1462" s="322">
        <f>IFERROR(((VLOOKUP(Calculations[[#This Row],[Waste type 2]],WasteDisposalEmissions[#All],2,FALSE))*Calculations[[#This Row],[Total Kg]])*VLOOKUP(Calculations[[#This Row],[Waste 1]],WasteScenario[#All],2,FALSE),0)</f>
        <v>0</v>
      </c>
      <c r="AA1462" s="322">
        <f>IFERROR((VLOOKUP(Calculations[[#This Row],[Waste type 2]],WasteDisposalEmissions[#All],3,FALSE))*Calculations[[#This Row],[Total Kg]]*VLOOKUP(Calculations[[#This Row],[Waste 1]],WasteScenario[#All],3,FALSE),0)</f>
        <v>0</v>
      </c>
      <c r="AB1462" s="322">
        <f>SUM(Calculations[[#This Row],[C3 recyc]:[C3 incin]])</f>
        <v>0</v>
      </c>
      <c r="AC1462" s="334">
        <f>IFERROR((VLOOKUP(Calculations[[#This Row],[Waste type 2]],WasteLandfillEmissions[#All],2,FALSE))*Calculations[[#This Row],[Total Kg]]*VLOOKUP(Calculations[[#This Row],[Waste 1]],WasteScenario[#All],4,FALSE),0)</f>
        <v>0</v>
      </c>
      <c r="AD1462" s="322">
        <f>IFERROR((VLOOKUP(Calculations[[#This Row],[Waste type 2]],WasteLandfillEmissions[#All],3,FALSE))*Calculations[[#This Row],[Total Kg]]*VLOOKUP(Calculations[[#This Row],[Waste 1]],WasteScenario[#All],4,FALSE),0)</f>
        <v>0</v>
      </c>
      <c r="AE1462" s="322">
        <f>SUM(Calculations[[#This Row],[C4 landfill]:[C4 re-use]])</f>
        <v>0</v>
      </c>
      <c r="AF1462" s="322">
        <f>IFERROR(VLOOKUP(Calculations[[#This Row],[Material (choose from dropdown]],MaterialData[#All],8,FALSE),0)</f>
        <v>0</v>
      </c>
      <c r="AG1462" s="322">
        <f>IFERROR(Calculations[[#This Row],[Total Kg]]*Calculations[[#This Row],[Seq factor]],0)</f>
        <v>0</v>
      </c>
      <c r="AI1462" s="322">
        <f>Calculations[[#This Row],[A1-3]]+Calculations[[#This Row],[A4]]+Calculations[[#This Row],[A5]]+Calculations[[#This Row],[B4]]+Calculations[[#This Row],[C2 total]]+Calculations[[#This Row],[C3 total]]+Calculations[[#This Row],[C4 total]]</f>
        <v>0</v>
      </c>
      <c r="AJ1462" s="2">
        <f>IFERROR(VLOOKUP(Calculations[[#This Row],[Material (choose from dropdown]],MaterialData[[#Headers],[#Data]],9,FALSE),0)</f>
        <v>0</v>
      </c>
      <c r="AK1462" s="4">
        <f>IFERROR(VLOOKUP(Calculations[[#This Row],[Material (choose from dropdown]],MaterialData[[#Headers],[#Data]],10,FALSE),0)</f>
        <v>0</v>
      </c>
      <c r="AL1462" s="322">
        <f>IFERROR(Calculations[[#This Row],[Data Quality Score]]*Calculations[[#This Row],[Total Kg]],0)</f>
        <v>0</v>
      </c>
    </row>
    <row r="1463" spans="1:38" x14ac:dyDescent="0.3">
      <c r="A1463" s="6">
        <f>IFERROR(MaterialsBoQ[[#This Row],[Scope Element]],0)</f>
        <v>0</v>
      </c>
      <c r="B1463" t="str">
        <f>IFERROR(MaterialsBoQ[[#This Row],[Material ]],"")</f>
        <v/>
      </c>
      <c r="C1463" t="str">
        <f>IFERROR(MaterialsBoQ[[#This Row],[Unit]],"")</f>
        <v/>
      </c>
      <c r="D1463" s="322">
        <f>IFERROR(MaterialsBoQ[[#This Row],[Number]],0)</f>
        <v>0</v>
      </c>
      <c r="E1463" s="322">
        <f>IFERROR(MaterialsBoQ[[#This Row],[Kg per unit]],0)</f>
        <v>0</v>
      </c>
      <c r="F1463" s="322">
        <f>IFERROR(Calculations[[#This Row],[Number]]*Calculations[[#This Row],[Conversion factor]],0)</f>
        <v>0</v>
      </c>
      <c r="G1463" s="322">
        <f>IFERROR(VLOOKUP(Calculations[[#This Row],[Material (choose from dropdown]],MaterialData[#All],7,FALSE),0)</f>
        <v>0</v>
      </c>
      <c r="H1463" s="322">
        <f>Calculations[[#This Row],[Total Kg]]*Calculations[[#This Row],[Carbon Factor]]</f>
        <v>0</v>
      </c>
      <c r="I1463" t="str">
        <f>IFERROR(VLOOKUP(Calculations[[#This Row],[Material (choose from dropdown]],MaterialData[#All],2,FALSE),"")</f>
        <v/>
      </c>
      <c r="J1463" s="322">
        <f>IFERROR(((VLOOKUP(Calculations[[#This Row],[TransportSource]],TransportDistance[],2,FALSE)*'Stage assumptions'!$C$11)+VLOOKUP(Calculations[[#This Row],[TransportSource]],TransportDistance[],3,FALSE)*'Stage assumptions'!$C$12)*Calculations[[#This Row],[Total Kg]],0)</f>
        <v>0</v>
      </c>
      <c r="K1463">
        <f>IFERROR(VLOOKUP(Calculations[[#This Row],[Material (choose from dropdown]], MaterialData[#All],3, FALSE),0)</f>
        <v>0</v>
      </c>
      <c r="L1463" s="322">
        <f>IFERROR(VLOOKUP(Calculations[[#This Row],[A5type]],A5WastageRate[#All],2,FALSE)*Calculations[[#This Row],[A1-3]],0)</f>
        <v>0</v>
      </c>
      <c r="N1463">
        <f>IFERROR(ROUNDUP(50/VLOOKUP(Calculations[[#This Row],[Scope Element]],B4referenceServiceLife[[Tier 2 element]:[Default Service Life]],2, FALSE)-1,0),0)</f>
        <v>0</v>
      </c>
      <c r="O1463" s="322">
        <f>IFERROR((Calculations[[#This Row],[A1-3]]+Calculations[[#This Row],[A4]]+Calculations[[#This Row],[A5]]+Calculations[[#This Row],[C2 total]]+Calculations[[#This Row],[C3 total]]+Calculations[[#This Row],[C4 total]])*Calculations[[#This Row],[Replacements]],0)</f>
        <v>0</v>
      </c>
      <c r="S1463" t="str">
        <f>IFERROR(VLOOKUP(Calculations[[#This Row],[Material (choose from dropdown]],MaterialData[#All],4,FALSE),"")</f>
        <v/>
      </c>
      <c r="T1463" s="322" cm="1">
        <f t="array" ref="T1463">IFERROR(VLOOKUP(Calculations[[#This Row],[Waste 1]],WasteScenario[#All],2,FALSE)*'Stage assumptions'!$C$225*WasteTransportMethod[Emissions Factor
kgCO2e/kg.km]*Calculations[[#This Row],[Total Kg]],0)</f>
        <v>0</v>
      </c>
      <c r="U1463" s="322" cm="1">
        <f t="array" ref="U1463">IFERROR(VLOOKUP(Calculations[[#This Row],[Waste 1]],WasteScenario[#All],3,FALSE)*'Stage assumptions'!$C$224*WasteTransportMethod[Emissions Factor
kgCO2e/kg.km]*Calculations[[#This Row],[Total Kg]],0)</f>
        <v>0</v>
      </c>
      <c r="V1463" s="322" cm="1">
        <f t="array" ref="V1463">IFERROR(VLOOKUP(Calculations[[#This Row],[Waste 1]],WasteScenario[#All],4,FALSE)*'Stage assumptions'!$C$223*WasteTransportMethod[Emissions Factor
kgCO2e/kg.km]*Calculations[[#This Row],[Total Kg]],0)</f>
        <v>0</v>
      </c>
      <c r="W1463" s="322" cm="1">
        <f t="array" ref="W1463">IFERROR(VLOOKUP(Calculations[[#This Row],[Waste 1]],WasteScenario[#All],5,FALSE)*'Stage assumptions'!$C$226*WasteTransportMethod[Emissions Factor
kgCO2e/kg.km]*Calculations[[#This Row],[Total Kg]],0)</f>
        <v>0</v>
      </c>
      <c r="X1463" s="322">
        <f>SUM(Calculations[[#This Row],[C2 Recycle]:[C2 Reuse]])</f>
        <v>0</v>
      </c>
      <c r="Y1463" t="str">
        <f>IFERROR(VLOOKUP(Calculations[[#This Row],[Material (choose from dropdown]],MaterialData[#All],5,FALSE),"")</f>
        <v/>
      </c>
      <c r="Z1463" s="322">
        <f>IFERROR(((VLOOKUP(Calculations[[#This Row],[Waste type 2]],WasteDisposalEmissions[#All],2,FALSE))*Calculations[[#This Row],[Total Kg]])*VLOOKUP(Calculations[[#This Row],[Waste 1]],WasteScenario[#All],2,FALSE),0)</f>
        <v>0</v>
      </c>
      <c r="AA1463" s="322">
        <f>IFERROR((VLOOKUP(Calculations[[#This Row],[Waste type 2]],WasteDisposalEmissions[#All],3,FALSE))*Calculations[[#This Row],[Total Kg]]*VLOOKUP(Calculations[[#This Row],[Waste 1]],WasteScenario[#All],3,FALSE),0)</f>
        <v>0</v>
      </c>
      <c r="AB1463" s="322">
        <f>SUM(Calculations[[#This Row],[C3 recyc]:[C3 incin]])</f>
        <v>0</v>
      </c>
      <c r="AC1463" s="334">
        <f>IFERROR((VLOOKUP(Calculations[[#This Row],[Waste type 2]],WasteLandfillEmissions[#All],2,FALSE))*Calculations[[#This Row],[Total Kg]]*VLOOKUP(Calculations[[#This Row],[Waste 1]],WasteScenario[#All],4,FALSE),0)</f>
        <v>0</v>
      </c>
      <c r="AD1463" s="322">
        <f>IFERROR((VLOOKUP(Calculations[[#This Row],[Waste type 2]],WasteLandfillEmissions[#All],3,FALSE))*Calculations[[#This Row],[Total Kg]]*VLOOKUP(Calculations[[#This Row],[Waste 1]],WasteScenario[#All],4,FALSE),0)</f>
        <v>0</v>
      </c>
      <c r="AE1463" s="322">
        <f>SUM(Calculations[[#This Row],[C4 landfill]:[C4 re-use]])</f>
        <v>0</v>
      </c>
      <c r="AF1463" s="322">
        <f>IFERROR(VLOOKUP(Calculations[[#This Row],[Material (choose from dropdown]],MaterialData[#All],8,FALSE),0)</f>
        <v>0</v>
      </c>
      <c r="AG1463" s="322">
        <f>IFERROR(Calculations[[#This Row],[Total Kg]]*Calculations[[#This Row],[Seq factor]],0)</f>
        <v>0</v>
      </c>
      <c r="AI1463" s="322">
        <f>Calculations[[#This Row],[A1-3]]+Calculations[[#This Row],[A4]]+Calculations[[#This Row],[A5]]+Calculations[[#This Row],[B4]]+Calculations[[#This Row],[C2 total]]+Calculations[[#This Row],[C3 total]]+Calculations[[#This Row],[C4 total]]</f>
        <v>0</v>
      </c>
      <c r="AJ1463" s="2">
        <f>IFERROR(VLOOKUP(Calculations[[#This Row],[Material (choose from dropdown]],MaterialData[[#Headers],[#Data]],9,FALSE),0)</f>
        <v>0</v>
      </c>
      <c r="AK1463" s="4">
        <f>IFERROR(VLOOKUP(Calculations[[#This Row],[Material (choose from dropdown]],MaterialData[[#Headers],[#Data]],10,FALSE),0)</f>
        <v>0</v>
      </c>
      <c r="AL1463" s="322">
        <f>IFERROR(Calculations[[#This Row],[Data Quality Score]]*Calculations[[#This Row],[Total Kg]],0)</f>
        <v>0</v>
      </c>
    </row>
    <row r="1464" spans="1:38" x14ac:dyDescent="0.3">
      <c r="A1464" s="6">
        <f>IFERROR(MaterialsBoQ[[#This Row],[Scope Element]],0)</f>
        <v>0</v>
      </c>
      <c r="B1464" t="str">
        <f>IFERROR(MaterialsBoQ[[#This Row],[Material ]],"")</f>
        <v/>
      </c>
      <c r="C1464" t="str">
        <f>IFERROR(MaterialsBoQ[[#This Row],[Unit]],"")</f>
        <v/>
      </c>
      <c r="D1464" s="322">
        <f>IFERROR(MaterialsBoQ[[#This Row],[Number]],0)</f>
        <v>0</v>
      </c>
      <c r="E1464" s="322">
        <f>IFERROR(MaterialsBoQ[[#This Row],[Kg per unit]],0)</f>
        <v>0</v>
      </c>
      <c r="F1464" s="322">
        <f>IFERROR(Calculations[[#This Row],[Number]]*Calculations[[#This Row],[Conversion factor]],0)</f>
        <v>0</v>
      </c>
      <c r="G1464" s="322">
        <f>IFERROR(VLOOKUP(Calculations[[#This Row],[Material (choose from dropdown]],MaterialData[#All],7,FALSE),0)</f>
        <v>0</v>
      </c>
      <c r="H1464" s="322">
        <f>Calculations[[#This Row],[Total Kg]]*Calculations[[#This Row],[Carbon Factor]]</f>
        <v>0</v>
      </c>
      <c r="I1464" t="str">
        <f>IFERROR(VLOOKUP(Calculations[[#This Row],[Material (choose from dropdown]],MaterialData[#All],2,FALSE),"")</f>
        <v/>
      </c>
      <c r="J1464" s="322">
        <f>IFERROR(((VLOOKUP(Calculations[[#This Row],[TransportSource]],TransportDistance[],2,FALSE)*'Stage assumptions'!$C$11)+VLOOKUP(Calculations[[#This Row],[TransportSource]],TransportDistance[],3,FALSE)*'Stage assumptions'!$C$12)*Calculations[[#This Row],[Total Kg]],0)</f>
        <v>0</v>
      </c>
      <c r="K1464">
        <f>IFERROR(VLOOKUP(Calculations[[#This Row],[Material (choose from dropdown]], MaterialData[#All],3, FALSE),0)</f>
        <v>0</v>
      </c>
      <c r="L1464" s="322">
        <f>IFERROR(VLOOKUP(Calculations[[#This Row],[A5type]],A5WastageRate[#All],2,FALSE)*Calculations[[#This Row],[A1-3]],0)</f>
        <v>0</v>
      </c>
      <c r="N1464">
        <f>IFERROR(ROUNDUP(50/VLOOKUP(Calculations[[#This Row],[Scope Element]],B4referenceServiceLife[[Tier 2 element]:[Default Service Life]],2, FALSE)-1,0),0)</f>
        <v>0</v>
      </c>
      <c r="O1464" s="322">
        <f>IFERROR((Calculations[[#This Row],[A1-3]]+Calculations[[#This Row],[A4]]+Calculations[[#This Row],[A5]]+Calculations[[#This Row],[C2 total]]+Calculations[[#This Row],[C3 total]]+Calculations[[#This Row],[C4 total]])*Calculations[[#This Row],[Replacements]],0)</f>
        <v>0</v>
      </c>
      <c r="S1464" t="str">
        <f>IFERROR(VLOOKUP(Calculations[[#This Row],[Material (choose from dropdown]],MaterialData[#All],4,FALSE),"")</f>
        <v/>
      </c>
      <c r="T1464" s="322" cm="1">
        <f t="array" ref="T1464">IFERROR(VLOOKUP(Calculations[[#This Row],[Waste 1]],WasteScenario[#All],2,FALSE)*'Stage assumptions'!$C$225*WasteTransportMethod[Emissions Factor
kgCO2e/kg.km]*Calculations[[#This Row],[Total Kg]],0)</f>
        <v>0</v>
      </c>
      <c r="U1464" s="322" cm="1">
        <f t="array" ref="U1464">IFERROR(VLOOKUP(Calculations[[#This Row],[Waste 1]],WasteScenario[#All],3,FALSE)*'Stage assumptions'!$C$224*WasteTransportMethod[Emissions Factor
kgCO2e/kg.km]*Calculations[[#This Row],[Total Kg]],0)</f>
        <v>0</v>
      </c>
      <c r="V1464" s="322" cm="1">
        <f t="array" ref="V1464">IFERROR(VLOOKUP(Calculations[[#This Row],[Waste 1]],WasteScenario[#All],4,FALSE)*'Stage assumptions'!$C$223*WasteTransportMethod[Emissions Factor
kgCO2e/kg.km]*Calculations[[#This Row],[Total Kg]],0)</f>
        <v>0</v>
      </c>
      <c r="W1464" s="322" cm="1">
        <f t="array" ref="W1464">IFERROR(VLOOKUP(Calculations[[#This Row],[Waste 1]],WasteScenario[#All],5,FALSE)*'Stage assumptions'!$C$226*WasteTransportMethod[Emissions Factor
kgCO2e/kg.km]*Calculations[[#This Row],[Total Kg]],0)</f>
        <v>0</v>
      </c>
      <c r="X1464" s="322">
        <f>SUM(Calculations[[#This Row],[C2 Recycle]:[C2 Reuse]])</f>
        <v>0</v>
      </c>
      <c r="Y1464" t="str">
        <f>IFERROR(VLOOKUP(Calculations[[#This Row],[Material (choose from dropdown]],MaterialData[#All],5,FALSE),"")</f>
        <v/>
      </c>
      <c r="Z1464" s="322">
        <f>IFERROR(((VLOOKUP(Calculations[[#This Row],[Waste type 2]],WasteDisposalEmissions[#All],2,FALSE))*Calculations[[#This Row],[Total Kg]])*VLOOKUP(Calculations[[#This Row],[Waste 1]],WasteScenario[#All],2,FALSE),0)</f>
        <v>0</v>
      </c>
      <c r="AA1464" s="322">
        <f>IFERROR((VLOOKUP(Calculations[[#This Row],[Waste type 2]],WasteDisposalEmissions[#All],3,FALSE))*Calculations[[#This Row],[Total Kg]]*VLOOKUP(Calculations[[#This Row],[Waste 1]],WasteScenario[#All],3,FALSE),0)</f>
        <v>0</v>
      </c>
      <c r="AB1464" s="322">
        <f>SUM(Calculations[[#This Row],[C3 recyc]:[C3 incin]])</f>
        <v>0</v>
      </c>
      <c r="AC1464" s="334">
        <f>IFERROR((VLOOKUP(Calculations[[#This Row],[Waste type 2]],WasteLandfillEmissions[#All],2,FALSE))*Calculations[[#This Row],[Total Kg]]*VLOOKUP(Calculations[[#This Row],[Waste 1]],WasteScenario[#All],4,FALSE),0)</f>
        <v>0</v>
      </c>
      <c r="AD1464" s="322">
        <f>IFERROR((VLOOKUP(Calculations[[#This Row],[Waste type 2]],WasteLandfillEmissions[#All],3,FALSE))*Calculations[[#This Row],[Total Kg]]*VLOOKUP(Calculations[[#This Row],[Waste 1]],WasteScenario[#All],4,FALSE),0)</f>
        <v>0</v>
      </c>
      <c r="AE1464" s="322">
        <f>SUM(Calculations[[#This Row],[C4 landfill]:[C4 re-use]])</f>
        <v>0</v>
      </c>
      <c r="AF1464" s="322">
        <f>IFERROR(VLOOKUP(Calculations[[#This Row],[Material (choose from dropdown]],MaterialData[#All],8,FALSE),0)</f>
        <v>0</v>
      </c>
      <c r="AG1464" s="322">
        <f>IFERROR(Calculations[[#This Row],[Total Kg]]*Calculations[[#This Row],[Seq factor]],0)</f>
        <v>0</v>
      </c>
      <c r="AI1464" s="322">
        <f>Calculations[[#This Row],[A1-3]]+Calculations[[#This Row],[A4]]+Calculations[[#This Row],[A5]]+Calculations[[#This Row],[B4]]+Calculations[[#This Row],[C2 total]]+Calculations[[#This Row],[C3 total]]+Calculations[[#This Row],[C4 total]]</f>
        <v>0</v>
      </c>
      <c r="AJ1464" s="2">
        <f>IFERROR(VLOOKUP(Calculations[[#This Row],[Material (choose from dropdown]],MaterialData[[#Headers],[#Data]],9,FALSE),0)</f>
        <v>0</v>
      </c>
      <c r="AK1464" s="4">
        <f>IFERROR(VLOOKUP(Calculations[[#This Row],[Material (choose from dropdown]],MaterialData[[#Headers],[#Data]],10,FALSE),0)</f>
        <v>0</v>
      </c>
      <c r="AL1464" s="322">
        <f>IFERROR(Calculations[[#This Row],[Data Quality Score]]*Calculations[[#This Row],[Total Kg]],0)</f>
        <v>0</v>
      </c>
    </row>
    <row r="1465" spans="1:38" x14ac:dyDescent="0.3">
      <c r="A1465" s="6">
        <f>IFERROR(MaterialsBoQ[[#This Row],[Scope Element]],0)</f>
        <v>0</v>
      </c>
      <c r="B1465" t="str">
        <f>IFERROR(MaterialsBoQ[[#This Row],[Material ]],"")</f>
        <v/>
      </c>
      <c r="C1465" t="str">
        <f>IFERROR(MaterialsBoQ[[#This Row],[Unit]],"")</f>
        <v/>
      </c>
      <c r="D1465" s="322">
        <f>IFERROR(MaterialsBoQ[[#This Row],[Number]],0)</f>
        <v>0</v>
      </c>
      <c r="E1465" s="322">
        <f>IFERROR(MaterialsBoQ[[#This Row],[Kg per unit]],0)</f>
        <v>0</v>
      </c>
      <c r="F1465" s="322">
        <f>IFERROR(Calculations[[#This Row],[Number]]*Calculations[[#This Row],[Conversion factor]],0)</f>
        <v>0</v>
      </c>
      <c r="G1465" s="322">
        <f>IFERROR(VLOOKUP(Calculations[[#This Row],[Material (choose from dropdown]],MaterialData[#All],7,FALSE),0)</f>
        <v>0</v>
      </c>
      <c r="H1465" s="322">
        <f>Calculations[[#This Row],[Total Kg]]*Calculations[[#This Row],[Carbon Factor]]</f>
        <v>0</v>
      </c>
      <c r="I1465" t="str">
        <f>IFERROR(VLOOKUP(Calculations[[#This Row],[Material (choose from dropdown]],MaterialData[#All],2,FALSE),"")</f>
        <v/>
      </c>
      <c r="J1465" s="322">
        <f>IFERROR(((VLOOKUP(Calculations[[#This Row],[TransportSource]],TransportDistance[],2,FALSE)*'Stage assumptions'!$C$11)+VLOOKUP(Calculations[[#This Row],[TransportSource]],TransportDistance[],3,FALSE)*'Stage assumptions'!$C$12)*Calculations[[#This Row],[Total Kg]],0)</f>
        <v>0</v>
      </c>
      <c r="K1465">
        <f>IFERROR(VLOOKUP(Calculations[[#This Row],[Material (choose from dropdown]], MaterialData[#All],3, FALSE),0)</f>
        <v>0</v>
      </c>
      <c r="L1465" s="322">
        <f>IFERROR(VLOOKUP(Calculations[[#This Row],[A5type]],A5WastageRate[#All],2,FALSE)*Calculations[[#This Row],[A1-3]],0)</f>
        <v>0</v>
      </c>
      <c r="N1465">
        <f>IFERROR(ROUNDUP(50/VLOOKUP(Calculations[[#This Row],[Scope Element]],B4referenceServiceLife[[Tier 2 element]:[Default Service Life]],2, FALSE)-1,0),0)</f>
        <v>0</v>
      </c>
      <c r="O1465" s="322">
        <f>IFERROR((Calculations[[#This Row],[A1-3]]+Calculations[[#This Row],[A4]]+Calculations[[#This Row],[A5]]+Calculations[[#This Row],[C2 total]]+Calculations[[#This Row],[C3 total]]+Calculations[[#This Row],[C4 total]])*Calculations[[#This Row],[Replacements]],0)</f>
        <v>0</v>
      </c>
      <c r="S1465" t="str">
        <f>IFERROR(VLOOKUP(Calculations[[#This Row],[Material (choose from dropdown]],MaterialData[#All],4,FALSE),"")</f>
        <v/>
      </c>
      <c r="T1465" s="322" cm="1">
        <f t="array" ref="T1465">IFERROR(VLOOKUP(Calculations[[#This Row],[Waste 1]],WasteScenario[#All],2,FALSE)*'Stage assumptions'!$C$225*WasteTransportMethod[Emissions Factor
kgCO2e/kg.km]*Calculations[[#This Row],[Total Kg]],0)</f>
        <v>0</v>
      </c>
      <c r="U1465" s="322" cm="1">
        <f t="array" ref="U1465">IFERROR(VLOOKUP(Calculations[[#This Row],[Waste 1]],WasteScenario[#All],3,FALSE)*'Stage assumptions'!$C$224*WasteTransportMethod[Emissions Factor
kgCO2e/kg.km]*Calculations[[#This Row],[Total Kg]],0)</f>
        <v>0</v>
      </c>
      <c r="V1465" s="322" cm="1">
        <f t="array" ref="V1465">IFERROR(VLOOKUP(Calculations[[#This Row],[Waste 1]],WasteScenario[#All],4,FALSE)*'Stage assumptions'!$C$223*WasteTransportMethod[Emissions Factor
kgCO2e/kg.km]*Calculations[[#This Row],[Total Kg]],0)</f>
        <v>0</v>
      </c>
      <c r="W1465" s="322" cm="1">
        <f t="array" ref="W1465">IFERROR(VLOOKUP(Calculations[[#This Row],[Waste 1]],WasteScenario[#All],5,FALSE)*'Stage assumptions'!$C$226*WasteTransportMethod[Emissions Factor
kgCO2e/kg.km]*Calculations[[#This Row],[Total Kg]],0)</f>
        <v>0</v>
      </c>
      <c r="X1465" s="322">
        <f>SUM(Calculations[[#This Row],[C2 Recycle]:[C2 Reuse]])</f>
        <v>0</v>
      </c>
      <c r="Y1465" t="str">
        <f>IFERROR(VLOOKUP(Calculations[[#This Row],[Material (choose from dropdown]],MaterialData[#All],5,FALSE),"")</f>
        <v/>
      </c>
      <c r="Z1465" s="322">
        <f>IFERROR(((VLOOKUP(Calculations[[#This Row],[Waste type 2]],WasteDisposalEmissions[#All],2,FALSE))*Calculations[[#This Row],[Total Kg]])*VLOOKUP(Calculations[[#This Row],[Waste 1]],WasteScenario[#All],2,FALSE),0)</f>
        <v>0</v>
      </c>
      <c r="AA1465" s="322">
        <f>IFERROR((VLOOKUP(Calculations[[#This Row],[Waste type 2]],WasteDisposalEmissions[#All],3,FALSE))*Calculations[[#This Row],[Total Kg]]*VLOOKUP(Calculations[[#This Row],[Waste 1]],WasteScenario[#All],3,FALSE),0)</f>
        <v>0</v>
      </c>
      <c r="AB1465" s="322">
        <f>SUM(Calculations[[#This Row],[C3 recyc]:[C3 incin]])</f>
        <v>0</v>
      </c>
      <c r="AC1465" s="334">
        <f>IFERROR((VLOOKUP(Calculations[[#This Row],[Waste type 2]],WasteLandfillEmissions[#All],2,FALSE))*Calculations[[#This Row],[Total Kg]]*VLOOKUP(Calculations[[#This Row],[Waste 1]],WasteScenario[#All],4,FALSE),0)</f>
        <v>0</v>
      </c>
      <c r="AD1465" s="322">
        <f>IFERROR((VLOOKUP(Calculations[[#This Row],[Waste type 2]],WasteLandfillEmissions[#All],3,FALSE))*Calculations[[#This Row],[Total Kg]]*VLOOKUP(Calculations[[#This Row],[Waste 1]],WasteScenario[#All],4,FALSE),0)</f>
        <v>0</v>
      </c>
      <c r="AE1465" s="322">
        <f>SUM(Calculations[[#This Row],[C4 landfill]:[C4 re-use]])</f>
        <v>0</v>
      </c>
      <c r="AF1465" s="322">
        <f>IFERROR(VLOOKUP(Calculations[[#This Row],[Material (choose from dropdown]],MaterialData[#All],8,FALSE),0)</f>
        <v>0</v>
      </c>
      <c r="AG1465" s="322">
        <f>IFERROR(Calculations[[#This Row],[Total Kg]]*Calculations[[#This Row],[Seq factor]],0)</f>
        <v>0</v>
      </c>
      <c r="AI1465" s="322">
        <f>Calculations[[#This Row],[A1-3]]+Calculations[[#This Row],[A4]]+Calculations[[#This Row],[A5]]+Calculations[[#This Row],[B4]]+Calculations[[#This Row],[C2 total]]+Calculations[[#This Row],[C3 total]]+Calculations[[#This Row],[C4 total]]</f>
        <v>0</v>
      </c>
      <c r="AJ1465" s="2">
        <f>IFERROR(VLOOKUP(Calculations[[#This Row],[Material (choose from dropdown]],MaterialData[[#Headers],[#Data]],9,FALSE),0)</f>
        <v>0</v>
      </c>
      <c r="AK1465" s="4">
        <f>IFERROR(VLOOKUP(Calculations[[#This Row],[Material (choose from dropdown]],MaterialData[[#Headers],[#Data]],10,FALSE),0)</f>
        <v>0</v>
      </c>
      <c r="AL1465" s="322">
        <f>IFERROR(Calculations[[#This Row],[Data Quality Score]]*Calculations[[#This Row],[Total Kg]],0)</f>
        <v>0</v>
      </c>
    </row>
    <row r="1466" spans="1:38" x14ac:dyDescent="0.3">
      <c r="A1466" s="6">
        <f>IFERROR(MaterialsBoQ[[#This Row],[Scope Element]],0)</f>
        <v>0</v>
      </c>
      <c r="B1466" t="str">
        <f>IFERROR(MaterialsBoQ[[#This Row],[Material ]],"")</f>
        <v/>
      </c>
      <c r="C1466" t="str">
        <f>IFERROR(MaterialsBoQ[[#This Row],[Unit]],"")</f>
        <v/>
      </c>
      <c r="D1466" s="322">
        <f>IFERROR(MaterialsBoQ[[#This Row],[Number]],0)</f>
        <v>0</v>
      </c>
      <c r="E1466" s="322">
        <f>IFERROR(MaterialsBoQ[[#This Row],[Kg per unit]],0)</f>
        <v>0</v>
      </c>
      <c r="F1466" s="322">
        <f>IFERROR(Calculations[[#This Row],[Number]]*Calculations[[#This Row],[Conversion factor]],0)</f>
        <v>0</v>
      </c>
      <c r="G1466" s="322">
        <f>IFERROR(VLOOKUP(Calculations[[#This Row],[Material (choose from dropdown]],MaterialData[#All],7,FALSE),0)</f>
        <v>0</v>
      </c>
      <c r="H1466" s="322">
        <f>Calculations[[#This Row],[Total Kg]]*Calculations[[#This Row],[Carbon Factor]]</f>
        <v>0</v>
      </c>
      <c r="I1466" t="str">
        <f>IFERROR(VLOOKUP(Calculations[[#This Row],[Material (choose from dropdown]],MaterialData[#All],2,FALSE),"")</f>
        <v/>
      </c>
      <c r="J1466" s="322">
        <f>IFERROR(((VLOOKUP(Calculations[[#This Row],[TransportSource]],TransportDistance[],2,FALSE)*'Stage assumptions'!$C$11)+VLOOKUP(Calculations[[#This Row],[TransportSource]],TransportDistance[],3,FALSE)*'Stage assumptions'!$C$12)*Calculations[[#This Row],[Total Kg]],0)</f>
        <v>0</v>
      </c>
      <c r="K1466">
        <f>IFERROR(VLOOKUP(Calculations[[#This Row],[Material (choose from dropdown]], MaterialData[#All],3, FALSE),0)</f>
        <v>0</v>
      </c>
      <c r="L1466" s="322">
        <f>IFERROR(VLOOKUP(Calculations[[#This Row],[A5type]],A5WastageRate[#All],2,FALSE)*Calculations[[#This Row],[A1-3]],0)</f>
        <v>0</v>
      </c>
      <c r="N1466">
        <f>IFERROR(ROUNDUP(50/VLOOKUP(Calculations[[#This Row],[Scope Element]],B4referenceServiceLife[[Tier 2 element]:[Default Service Life]],2, FALSE)-1,0),0)</f>
        <v>0</v>
      </c>
      <c r="O1466" s="322">
        <f>IFERROR((Calculations[[#This Row],[A1-3]]+Calculations[[#This Row],[A4]]+Calculations[[#This Row],[A5]]+Calculations[[#This Row],[C2 total]]+Calculations[[#This Row],[C3 total]]+Calculations[[#This Row],[C4 total]])*Calculations[[#This Row],[Replacements]],0)</f>
        <v>0</v>
      </c>
      <c r="S1466" t="str">
        <f>IFERROR(VLOOKUP(Calculations[[#This Row],[Material (choose from dropdown]],MaterialData[#All],4,FALSE),"")</f>
        <v/>
      </c>
      <c r="T1466" s="322" cm="1">
        <f t="array" ref="T1466">IFERROR(VLOOKUP(Calculations[[#This Row],[Waste 1]],WasteScenario[#All],2,FALSE)*'Stage assumptions'!$C$225*WasteTransportMethod[Emissions Factor
kgCO2e/kg.km]*Calculations[[#This Row],[Total Kg]],0)</f>
        <v>0</v>
      </c>
      <c r="U1466" s="322" cm="1">
        <f t="array" ref="U1466">IFERROR(VLOOKUP(Calculations[[#This Row],[Waste 1]],WasteScenario[#All],3,FALSE)*'Stage assumptions'!$C$224*WasteTransportMethod[Emissions Factor
kgCO2e/kg.km]*Calculations[[#This Row],[Total Kg]],0)</f>
        <v>0</v>
      </c>
      <c r="V1466" s="322" cm="1">
        <f t="array" ref="V1466">IFERROR(VLOOKUP(Calculations[[#This Row],[Waste 1]],WasteScenario[#All],4,FALSE)*'Stage assumptions'!$C$223*WasteTransportMethod[Emissions Factor
kgCO2e/kg.km]*Calculations[[#This Row],[Total Kg]],0)</f>
        <v>0</v>
      </c>
      <c r="W1466" s="322" cm="1">
        <f t="array" ref="W1466">IFERROR(VLOOKUP(Calculations[[#This Row],[Waste 1]],WasteScenario[#All],5,FALSE)*'Stage assumptions'!$C$226*WasteTransportMethod[Emissions Factor
kgCO2e/kg.km]*Calculations[[#This Row],[Total Kg]],0)</f>
        <v>0</v>
      </c>
      <c r="X1466" s="322">
        <f>SUM(Calculations[[#This Row],[C2 Recycle]:[C2 Reuse]])</f>
        <v>0</v>
      </c>
      <c r="Y1466" t="str">
        <f>IFERROR(VLOOKUP(Calculations[[#This Row],[Material (choose from dropdown]],MaterialData[#All],5,FALSE),"")</f>
        <v/>
      </c>
      <c r="Z1466" s="322">
        <f>IFERROR(((VLOOKUP(Calculations[[#This Row],[Waste type 2]],WasteDisposalEmissions[#All],2,FALSE))*Calculations[[#This Row],[Total Kg]])*VLOOKUP(Calculations[[#This Row],[Waste 1]],WasteScenario[#All],2,FALSE),0)</f>
        <v>0</v>
      </c>
      <c r="AA1466" s="322">
        <f>IFERROR((VLOOKUP(Calculations[[#This Row],[Waste type 2]],WasteDisposalEmissions[#All],3,FALSE))*Calculations[[#This Row],[Total Kg]]*VLOOKUP(Calculations[[#This Row],[Waste 1]],WasteScenario[#All],3,FALSE),0)</f>
        <v>0</v>
      </c>
      <c r="AB1466" s="322">
        <f>SUM(Calculations[[#This Row],[C3 recyc]:[C3 incin]])</f>
        <v>0</v>
      </c>
      <c r="AC1466" s="334">
        <f>IFERROR((VLOOKUP(Calculations[[#This Row],[Waste type 2]],WasteLandfillEmissions[#All],2,FALSE))*Calculations[[#This Row],[Total Kg]]*VLOOKUP(Calculations[[#This Row],[Waste 1]],WasteScenario[#All],4,FALSE),0)</f>
        <v>0</v>
      </c>
      <c r="AD1466" s="322">
        <f>IFERROR((VLOOKUP(Calculations[[#This Row],[Waste type 2]],WasteLandfillEmissions[#All],3,FALSE))*Calculations[[#This Row],[Total Kg]]*VLOOKUP(Calculations[[#This Row],[Waste 1]],WasteScenario[#All],4,FALSE),0)</f>
        <v>0</v>
      </c>
      <c r="AE1466" s="322">
        <f>SUM(Calculations[[#This Row],[C4 landfill]:[C4 re-use]])</f>
        <v>0</v>
      </c>
      <c r="AF1466" s="322">
        <f>IFERROR(VLOOKUP(Calculations[[#This Row],[Material (choose from dropdown]],MaterialData[#All],8,FALSE),0)</f>
        <v>0</v>
      </c>
      <c r="AG1466" s="322">
        <f>IFERROR(Calculations[[#This Row],[Total Kg]]*Calculations[[#This Row],[Seq factor]],0)</f>
        <v>0</v>
      </c>
      <c r="AI1466" s="322">
        <f>Calculations[[#This Row],[A1-3]]+Calculations[[#This Row],[A4]]+Calculations[[#This Row],[A5]]+Calculations[[#This Row],[B4]]+Calculations[[#This Row],[C2 total]]+Calculations[[#This Row],[C3 total]]+Calculations[[#This Row],[C4 total]]</f>
        <v>0</v>
      </c>
      <c r="AJ1466" s="2">
        <f>IFERROR(VLOOKUP(Calculations[[#This Row],[Material (choose from dropdown]],MaterialData[[#Headers],[#Data]],9,FALSE),0)</f>
        <v>0</v>
      </c>
      <c r="AK1466" s="4">
        <f>IFERROR(VLOOKUP(Calculations[[#This Row],[Material (choose from dropdown]],MaterialData[[#Headers],[#Data]],10,FALSE),0)</f>
        <v>0</v>
      </c>
      <c r="AL1466" s="322">
        <f>IFERROR(Calculations[[#This Row],[Data Quality Score]]*Calculations[[#This Row],[Total Kg]],0)</f>
        <v>0</v>
      </c>
    </row>
    <row r="1467" spans="1:38" x14ac:dyDescent="0.3">
      <c r="A1467" s="6">
        <f>IFERROR(MaterialsBoQ[[#This Row],[Scope Element]],0)</f>
        <v>0</v>
      </c>
      <c r="B1467" t="str">
        <f>IFERROR(MaterialsBoQ[[#This Row],[Material ]],"")</f>
        <v/>
      </c>
      <c r="C1467" t="str">
        <f>IFERROR(MaterialsBoQ[[#This Row],[Unit]],"")</f>
        <v/>
      </c>
      <c r="D1467" s="322">
        <f>IFERROR(MaterialsBoQ[[#This Row],[Number]],0)</f>
        <v>0</v>
      </c>
      <c r="E1467" s="322">
        <f>IFERROR(MaterialsBoQ[[#This Row],[Kg per unit]],0)</f>
        <v>0</v>
      </c>
      <c r="F1467" s="322">
        <f>IFERROR(Calculations[[#This Row],[Number]]*Calculations[[#This Row],[Conversion factor]],0)</f>
        <v>0</v>
      </c>
      <c r="G1467" s="322">
        <f>IFERROR(VLOOKUP(Calculations[[#This Row],[Material (choose from dropdown]],MaterialData[#All],7,FALSE),0)</f>
        <v>0</v>
      </c>
      <c r="H1467" s="322">
        <f>Calculations[[#This Row],[Total Kg]]*Calculations[[#This Row],[Carbon Factor]]</f>
        <v>0</v>
      </c>
      <c r="I1467" t="str">
        <f>IFERROR(VLOOKUP(Calculations[[#This Row],[Material (choose from dropdown]],MaterialData[#All],2,FALSE),"")</f>
        <v/>
      </c>
      <c r="J1467" s="322">
        <f>IFERROR(((VLOOKUP(Calculations[[#This Row],[TransportSource]],TransportDistance[],2,FALSE)*'Stage assumptions'!$C$11)+VLOOKUP(Calculations[[#This Row],[TransportSource]],TransportDistance[],3,FALSE)*'Stage assumptions'!$C$12)*Calculations[[#This Row],[Total Kg]],0)</f>
        <v>0</v>
      </c>
      <c r="K1467">
        <f>IFERROR(VLOOKUP(Calculations[[#This Row],[Material (choose from dropdown]], MaterialData[#All],3, FALSE),0)</f>
        <v>0</v>
      </c>
      <c r="L1467" s="322">
        <f>IFERROR(VLOOKUP(Calculations[[#This Row],[A5type]],A5WastageRate[#All],2,FALSE)*Calculations[[#This Row],[A1-3]],0)</f>
        <v>0</v>
      </c>
      <c r="N1467">
        <f>IFERROR(ROUNDUP(50/VLOOKUP(Calculations[[#This Row],[Scope Element]],B4referenceServiceLife[[Tier 2 element]:[Default Service Life]],2, FALSE)-1,0),0)</f>
        <v>0</v>
      </c>
      <c r="O1467" s="322">
        <f>IFERROR((Calculations[[#This Row],[A1-3]]+Calculations[[#This Row],[A4]]+Calculations[[#This Row],[A5]]+Calculations[[#This Row],[C2 total]]+Calculations[[#This Row],[C3 total]]+Calculations[[#This Row],[C4 total]])*Calculations[[#This Row],[Replacements]],0)</f>
        <v>0</v>
      </c>
      <c r="S1467" t="str">
        <f>IFERROR(VLOOKUP(Calculations[[#This Row],[Material (choose from dropdown]],MaterialData[#All],4,FALSE),"")</f>
        <v/>
      </c>
      <c r="T1467" s="322" cm="1">
        <f t="array" ref="T1467">IFERROR(VLOOKUP(Calculations[[#This Row],[Waste 1]],WasteScenario[#All],2,FALSE)*'Stage assumptions'!$C$225*WasteTransportMethod[Emissions Factor
kgCO2e/kg.km]*Calculations[[#This Row],[Total Kg]],0)</f>
        <v>0</v>
      </c>
      <c r="U1467" s="322" cm="1">
        <f t="array" ref="U1467">IFERROR(VLOOKUP(Calculations[[#This Row],[Waste 1]],WasteScenario[#All],3,FALSE)*'Stage assumptions'!$C$224*WasteTransportMethod[Emissions Factor
kgCO2e/kg.km]*Calculations[[#This Row],[Total Kg]],0)</f>
        <v>0</v>
      </c>
      <c r="V1467" s="322" cm="1">
        <f t="array" ref="V1467">IFERROR(VLOOKUP(Calculations[[#This Row],[Waste 1]],WasteScenario[#All],4,FALSE)*'Stage assumptions'!$C$223*WasteTransportMethod[Emissions Factor
kgCO2e/kg.km]*Calculations[[#This Row],[Total Kg]],0)</f>
        <v>0</v>
      </c>
      <c r="W1467" s="322" cm="1">
        <f t="array" ref="W1467">IFERROR(VLOOKUP(Calculations[[#This Row],[Waste 1]],WasteScenario[#All],5,FALSE)*'Stage assumptions'!$C$226*WasteTransportMethod[Emissions Factor
kgCO2e/kg.km]*Calculations[[#This Row],[Total Kg]],0)</f>
        <v>0</v>
      </c>
      <c r="X1467" s="322">
        <f>SUM(Calculations[[#This Row],[C2 Recycle]:[C2 Reuse]])</f>
        <v>0</v>
      </c>
      <c r="Y1467" t="str">
        <f>IFERROR(VLOOKUP(Calculations[[#This Row],[Material (choose from dropdown]],MaterialData[#All],5,FALSE),"")</f>
        <v/>
      </c>
      <c r="Z1467" s="322">
        <f>IFERROR(((VLOOKUP(Calculations[[#This Row],[Waste type 2]],WasteDisposalEmissions[#All],2,FALSE))*Calculations[[#This Row],[Total Kg]])*VLOOKUP(Calculations[[#This Row],[Waste 1]],WasteScenario[#All],2,FALSE),0)</f>
        <v>0</v>
      </c>
      <c r="AA1467" s="322">
        <f>IFERROR((VLOOKUP(Calculations[[#This Row],[Waste type 2]],WasteDisposalEmissions[#All],3,FALSE))*Calculations[[#This Row],[Total Kg]]*VLOOKUP(Calculations[[#This Row],[Waste 1]],WasteScenario[#All],3,FALSE),0)</f>
        <v>0</v>
      </c>
      <c r="AB1467" s="322">
        <f>SUM(Calculations[[#This Row],[C3 recyc]:[C3 incin]])</f>
        <v>0</v>
      </c>
      <c r="AC1467" s="334">
        <f>IFERROR((VLOOKUP(Calculations[[#This Row],[Waste type 2]],WasteLandfillEmissions[#All],2,FALSE))*Calculations[[#This Row],[Total Kg]]*VLOOKUP(Calculations[[#This Row],[Waste 1]],WasteScenario[#All],4,FALSE),0)</f>
        <v>0</v>
      </c>
      <c r="AD1467" s="322">
        <f>IFERROR((VLOOKUP(Calculations[[#This Row],[Waste type 2]],WasteLandfillEmissions[#All],3,FALSE))*Calculations[[#This Row],[Total Kg]]*VLOOKUP(Calculations[[#This Row],[Waste 1]],WasteScenario[#All],4,FALSE),0)</f>
        <v>0</v>
      </c>
      <c r="AE1467" s="322">
        <f>SUM(Calculations[[#This Row],[C4 landfill]:[C4 re-use]])</f>
        <v>0</v>
      </c>
      <c r="AF1467" s="322">
        <f>IFERROR(VLOOKUP(Calculations[[#This Row],[Material (choose from dropdown]],MaterialData[#All],8,FALSE),0)</f>
        <v>0</v>
      </c>
      <c r="AG1467" s="322">
        <f>IFERROR(Calculations[[#This Row],[Total Kg]]*Calculations[[#This Row],[Seq factor]],0)</f>
        <v>0</v>
      </c>
      <c r="AI1467" s="322">
        <f>Calculations[[#This Row],[A1-3]]+Calculations[[#This Row],[A4]]+Calculations[[#This Row],[A5]]+Calculations[[#This Row],[B4]]+Calculations[[#This Row],[C2 total]]+Calculations[[#This Row],[C3 total]]+Calculations[[#This Row],[C4 total]]</f>
        <v>0</v>
      </c>
      <c r="AJ1467" s="2">
        <f>IFERROR(VLOOKUP(Calculations[[#This Row],[Material (choose from dropdown]],MaterialData[[#Headers],[#Data]],9,FALSE),0)</f>
        <v>0</v>
      </c>
      <c r="AK1467" s="4">
        <f>IFERROR(VLOOKUP(Calculations[[#This Row],[Material (choose from dropdown]],MaterialData[[#Headers],[#Data]],10,FALSE),0)</f>
        <v>0</v>
      </c>
      <c r="AL1467" s="322">
        <f>IFERROR(Calculations[[#This Row],[Data Quality Score]]*Calculations[[#This Row],[Total Kg]],0)</f>
        <v>0</v>
      </c>
    </row>
    <row r="1468" spans="1:38" x14ac:dyDescent="0.3">
      <c r="A1468" s="6">
        <f>IFERROR(MaterialsBoQ[[#This Row],[Scope Element]],0)</f>
        <v>0</v>
      </c>
      <c r="B1468" t="str">
        <f>IFERROR(MaterialsBoQ[[#This Row],[Material ]],"")</f>
        <v/>
      </c>
      <c r="C1468" t="str">
        <f>IFERROR(MaterialsBoQ[[#This Row],[Unit]],"")</f>
        <v/>
      </c>
      <c r="D1468" s="322">
        <f>IFERROR(MaterialsBoQ[[#This Row],[Number]],0)</f>
        <v>0</v>
      </c>
      <c r="E1468" s="322">
        <f>IFERROR(MaterialsBoQ[[#This Row],[Kg per unit]],0)</f>
        <v>0</v>
      </c>
      <c r="F1468" s="322">
        <f>IFERROR(Calculations[[#This Row],[Number]]*Calculations[[#This Row],[Conversion factor]],0)</f>
        <v>0</v>
      </c>
      <c r="G1468" s="322">
        <f>IFERROR(VLOOKUP(Calculations[[#This Row],[Material (choose from dropdown]],MaterialData[#All],7,FALSE),0)</f>
        <v>0</v>
      </c>
      <c r="H1468" s="322">
        <f>Calculations[[#This Row],[Total Kg]]*Calculations[[#This Row],[Carbon Factor]]</f>
        <v>0</v>
      </c>
      <c r="I1468" t="str">
        <f>IFERROR(VLOOKUP(Calculations[[#This Row],[Material (choose from dropdown]],MaterialData[#All],2,FALSE),"")</f>
        <v/>
      </c>
      <c r="J1468" s="322">
        <f>IFERROR(((VLOOKUP(Calculations[[#This Row],[TransportSource]],TransportDistance[],2,FALSE)*'Stage assumptions'!$C$11)+VLOOKUP(Calculations[[#This Row],[TransportSource]],TransportDistance[],3,FALSE)*'Stage assumptions'!$C$12)*Calculations[[#This Row],[Total Kg]],0)</f>
        <v>0</v>
      </c>
      <c r="K1468">
        <f>IFERROR(VLOOKUP(Calculations[[#This Row],[Material (choose from dropdown]], MaterialData[#All],3, FALSE),0)</f>
        <v>0</v>
      </c>
      <c r="L1468" s="322">
        <f>IFERROR(VLOOKUP(Calculations[[#This Row],[A5type]],A5WastageRate[#All],2,FALSE)*Calculations[[#This Row],[A1-3]],0)</f>
        <v>0</v>
      </c>
      <c r="N1468">
        <f>IFERROR(ROUNDUP(50/VLOOKUP(Calculations[[#This Row],[Scope Element]],B4referenceServiceLife[[Tier 2 element]:[Default Service Life]],2, FALSE)-1,0),0)</f>
        <v>0</v>
      </c>
      <c r="O1468" s="322">
        <f>IFERROR((Calculations[[#This Row],[A1-3]]+Calculations[[#This Row],[A4]]+Calculations[[#This Row],[A5]]+Calculations[[#This Row],[C2 total]]+Calculations[[#This Row],[C3 total]]+Calculations[[#This Row],[C4 total]])*Calculations[[#This Row],[Replacements]],0)</f>
        <v>0</v>
      </c>
      <c r="S1468" t="str">
        <f>IFERROR(VLOOKUP(Calculations[[#This Row],[Material (choose from dropdown]],MaterialData[#All],4,FALSE),"")</f>
        <v/>
      </c>
      <c r="T1468" s="322" cm="1">
        <f t="array" ref="T1468">IFERROR(VLOOKUP(Calculations[[#This Row],[Waste 1]],WasteScenario[#All],2,FALSE)*'Stage assumptions'!$C$225*WasteTransportMethod[Emissions Factor
kgCO2e/kg.km]*Calculations[[#This Row],[Total Kg]],0)</f>
        <v>0</v>
      </c>
      <c r="U1468" s="322" cm="1">
        <f t="array" ref="U1468">IFERROR(VLOOKUP(Calculations[[#This Row],[Waste 1]],WasteScenario[#All],3,FALSE)*'Stage assumptions'!$C$224*WasteTransportMethod[Emissions Factor
kgCO2e/kg.km]*Calculations[[#This Row],[Total Kg]],0)</f>
        <v>0</v>
      </c>
      <c r="V1468" s="322" cm="1">
        <f t="array" ref="V1468">IFERROR(VLOOKUP(Calculations[[#This Row],[Waste 1]],WasteScenario[#All],4,FALSE)*'Stage assumptions'!$C$223*WasteTransportMethod[Emissions Factor
kgCO2e/kg.km]*Calculations[[#This Row],[Total Kg]],0)</f>
        <v>0</v>
      </c>
      <c r="W1468" s="322" cm="1">
        <f t="array" ref="W1468">IFERROR(VLOOKUP(Calculations[[#This Row],[Waste 1]],WasteScenario[#All],5,FALSE)*'Stage assumptions'!$C$226*WasteTransportMethod[Emissions Factor
kgCO2e/kg.km]*Calculations[[#This Row],[Total Kg]],0)</f>
        <v>0</v>
      </c>
      <c r="X1468" s="322">
        <f>SUM(Calculations[[#This Row],[C2 Recycle]:[C2 Reuse]])</f>
        <v>0</v>
      </c>
      <c r="Y1468" t="str">
        <f>IFERROR(VLOOKUP(Calculations[[#This Row],[Material (choose from dropdown]],MaterialData[#All],5,FALSE),"")</f>
        <v/>
      </c>
      <c r="Z1468" s="322">
        <f>IFERROR(((VLOOKUP(Calculations[[#This Row],[Waste type 2]],WasteDisposalEmissions[#All],2,FALSE))*Calculations[[#This Row],[Total Kg]])*VLOOKUP(Calculations[[#This Row],[Waste 1]],WasteScenario[#All],2,FALSE),0)</f>
        <v>0</v>
      </c>
      <c r="AA1468" s="322">
        <f>IFERROR((VLOOKUP(Calculations[[#This Row],[Waste type 2]],WasteDisposalEmissions[#All],3,FALSE))*Calculations[[#This Row],[Total Kg]]*VLOOKUP(Calculations[[#This Row],[Waste 1]],WasteScenario[#All],3,FALSE),0)</f>
        <v>0</v>
      </c>
      <c r="AB1468" s="322">
        <f>SUM(Calculations[[#This Row],[C3 recyc]:[C3 incin]])</f>
        <v>0</v>
      </c>
      <c r="AC1468" s="334">
        <f>IFERROR((VLOOKUP(Calculations[[#This Row],[Waste type 2]],WasteLandfillEmissions[#All],2,FALSE))*Calculations[[#This Row],[Total Kg]]*VLOOKUP(Calculations[[#This Row],[Waste 1]],WasteScenario[#All],4,FALSE),0)</f>
        <v>0</v>
      </c>
      <c r="AD1468" s="322">
        <f>IFERROR((VLOOKUP(Calculations[[#This Row],[Waste type 2]],WasteLandfillEmissions[#All],3,FALSE))*Calculations[[#This Row],[Total Kg]]*VLOOKUP(Calculations[[#This Row],[Waste 1]],WasteScenario[#All],4,FALSE),0)</f>
        <v>0</v>
      </c>
      <c r="AE1468" s="322">
        <f>SUM(Calculations[[#This Row],[C4 landfill]:[C4 re-use]])</f>
        <v>0</v>
      </c>
      <c r="AF1468" s="322">
        <f>IFERROR(VLOOKUP(Calculations[[#This Row],[Material (choose from dropdown]],MaterialData[#All],8,FALSE),0)</f>
        <v>0</v>
      </c>
      <c r="AG1468" s="322">
        <f>IFERROR(Calculations[[#This Row],[Total Kg]]*Calculations[[#This Row],[Seq factor]],0)</f>
        <v>0</v>
      </c>
      <c r="AI1468" s="322">
        <f>Calculations[[#This Row],[A1-3]]+Calculations[[#This Row],[A4]]+Calculations[[#This Row],[A5]]+Calculations[[#This Row],[B4]]+Calculations[[#This Row],[C2 total]]+Calculations[[#This Row],[C3 total]]+Calculations[[#This Row],[C4 total]]</f>
        <v>0</v>
      </c>
      <c r="AJ1468" s="2">
        <f>IFERROR(VLOOKUP(Calculations[[#This Row],[Material (choose from dropdown]],MaterialData[[#Headers],[#Data]],9,FALSE),0)</f>
        <v>0</v>
      </c>
      <c r="AK1468" s="4">
        <f>IFERROR(VLOOKUP(Calculations[[#This Row],[Material (choose from dropdown]],MaterialData[[#Headers],[#Data]],10,FALSE),0)</f>
        <v>0</v>
      </c>
      <c r="AL1468" s="322">
        <f>IFERROR(Calculations[[#This Row],[Data Quality Score]]*Calculations[[#This Row],[Total Kg]],0)</f>
        <v>0</v>
      </c>
    </row>
    <row r="1469" spans="1:38" x14ac:dyDescent="0.3">
      <c r="A1469" s="6">
        <f>IFERROR(MaterialsBoQ[[#This Row],[Scope Element]],0)</f>
        <v>0</v>
      </c>
      <c r="B1469" t="str">
        <f>IFERROR(MaterialsBoQ[[#This Row],[Material ]],"")</f>
        <v/>
      </c>
      <c r="C1469" t="str">
        <f>IFERROR(MaterialsBoQ[[#This Row],[Unit]],"")</f>
        <v/>
      </c>
      <c r="D1469" s="322">
        <f>IFERROR(MaterialsBoQ[[#This Row],[Number]],0)</f>
        <v>0</v>
      </c>
      <c r="E1469" s="322">
        <f>IFERROR(MaterialsBoQ[[#This Row],[Kg per unit]],0)</f>
        <v>0</v>
      </c>
      <c r="F1469" s="322">
        <f>IFERROR(Calculations[[#This Row],[Number]]*Calculations[[#This Row],[Conversion factor]],0)</f>
        <v>0</v>
      </c>
      <c r="G1469" s="322">
        <f>IFERROR(VLOOKUP(Calculations[[#This Row],[Material (choose from dropdown]],MaterialData[#All],7,FALSE),0)</f>
        <v>0</v>
      </c>
      <c r="H1469" s="322">
        <f>Calculations[[#This Row],[Total Kg]]*Calculations[[#This Row],[Carbon Factor]]</f>
        <v>0</v>
      </c>
      <c r="I1469" t="str">
        <f>IFERROR(VLOOKUP(Calculations[[#This Row],[Material (choose from dropdown]],MaterialData[#All],2,FALSE),"")</f>
        <v/>
      </c>
      <c r="J1469" s="322">
        <f>IFERROR(((VLOOKUP(Calculations[[#This Row],[TransportSource]],TransportDistance[],2,FALSE)*'Stage assumptions'!$C$11)+VLOOKUP(Calculations[[#This Row],[TransportSource]],TransportDistance[],3,FALSE)*'Stage assumptions'!$C$12)*Calculations[[#This Row],[Total Kg]],0)</f>
        <v>0</v>
      </c>
      <c r="K1469">
        <f>IFERROR(VLOOKUP(Calculations[[#This Row],[Material (choose from dropdown]], MaterialData[#All],3, FALSE),0)</f>
        <v>0</v>
      </c>
      <c r="L1469" s="322">
        <f>IFERROR(VLOOKUP(Calculations[[#This Row],[A5type]],A5WastageRate[#All],2,FALSE)*Calculations[[#This Row],[A1-3]],0)</f>
        <v>0</v>
      </c>
      <c r="N1469">
        <f>IFERROR(ROUNDUP(50/VLOOKUP(Calculations[[#This Row],[Scope Element]],B4referenceServiceLife[[Tier 2 element]:[Default Service Life]],2, FALSE)-1,0),0)</f>
        <v>0</v>
      </c>
      <c r="O1469" s="322">
        <f>IFERROR((Calculations[[#This Row],[A1-3]]+Calculations[[#This Row],[A4]]+Calculations[[#This Row],[A5]]+Calculations[[#This Row],[C2 total]]+Calculations[[#This Row],[C3 total]]+Calculations[[#This Row],[C4 total]])*Calculations[[#This Row],[Replacements]],0)</f>
        <v>0</v>
      </c>
      <c r="S1469" t="str">
        <f>IFERROR(VLOOKUP(Calculations[[#This Row],[Material (choose from dropdown]],MaterialData[#All],4,FALSE),"")</f>
        <v/>
      </c>
      <c r="T1469" s="322" cm="1">
        <f t="array" ref="T1469">IFERROR(VLOOKUP(Calculations[[#This Row],[Waste 1]],WasteScenario[#All],2,FALSE)*'Stage assumptions'!$C$225*WasteTransportMethod[Emissions Factor
kgCO2e/kg.km]*Calculations[[#This Row],[Total Kg]],0)</f>
        <v>0</v>
      </c>
      <c r="U1469" s="322" cm="1">
        <f t="array" ref="U1469">IFERROR(VLOOKUP(Calculations[[#This Row],[Waste 1]],WasteScenario[#All],3,FALSE)*'Stage assumptions'!$C$224*WasteTransportMethod[Emissions Factor
kgCO2e/kg.km]*Calculations[[#This Row],[Total Kg]],0)</f>
        <v>0</v>
      </c>
      <c r="V1469" s="322" cm="1">
        <f t="array" ref="V1469">IFERROR(VLOOKUP(Calculations[[#This Row],[Waste 1]],WasteScenario[#All],4,FALSE)*'Stage assumptions'!$C$223*WasteTransportMethod[Emissions Factor
kgCO2e/kg.km]*Calculations[[#This Row],[Total Kg]],0)</f>
        <v>0</v>
      </c>
      <c r="W1469" s="322" cm="1">
        <f t="array" ref="W1469">IFERROR(VLOOKUP(Calculations[[#This Row],[Waste 1]],WasteScenario[#All],5,FALSE)*'Stage assumptions'!$C$226*WasteTransportMethod[Emissions Factor
kgCO2e/kg.km]*Calculations[[#This Row],[Total Kg]],0)</f>
        <v>0</v>
      </c>
      <c r="X1469" s="322">
        <f>SUM(Calculations[[#This Row],[C2 Recycle]:[C2 Reuse]])</f>
        <v>0</v>
      </c>
      <c r="Y1469" t="str">
        <f>IFERROR(VLOOKUP(Calculations[[#This Row],[Material (choose from dropdown]],MaterialData[#All],5,FALSE),"")</f>
        <v/>
      </c>
      <c r="Z1469" s="322">
        <f>IFERROR(((VLOOKUP(Calculations[[#This Row],[Waste type 2]],WasteDisposalEmissions[#All],2,FALSE))*Calculations[[#This Row],[Total Kg]])*VLOOKUP(Calculations[[#This Row],[Waste 1]],WasteScenario[#All],2,FALSE),0)</f>
        <v>0</v>
      </c>
      <c r="AA1469" s="322">
        <f>IFERROR((VLOOKUP(Calculations[[#This Row],[Waste type 2]],WasteDisposalEmissions[#All],3,FALSE))*Calculations[[#This Row],[Total Kg]]*VLOOKUP(Calculations[[#This Row],[Waste 1]],WasteScenario[#All],3,FALSE),0)</f>
        <v>0</v>
      </c>
      <c r="AB1469" s="322">
        <f>SUM(Calculations[[#This Row],[C3 recyc]:[C3 incin]])</f>
        <v>0</v>
      </c>
      <c r="AC1469" s="334">
        <f>IFERROR((VLOOKUP(Calculations[[#This Row],[Waste type 2]],WasteLandfillEmissions[#All],2,FALSE))*Calculations[[#This Row],[Total Kg]]*VLOOKUP(Calculations[[#This Row],[Waste 1]],WasteScenario[#All],4,FALSE),0)</f>
        <v>0</v>
      </c>
      <c r="AD1469" s="322">
        <f>IFERROR((VLOOKUP(Calculations[[#This Row],[Waste type 2]],WasteLandfillEmissions[#All],3,FALSE))*Calculations[[#This Row],[Total Kg]]*VLOOKUP(Calculations[[#This Row],[Waste 1]],WasteScenario[#All],4,FALSE),0)</f>
        <v>0</v>
      </c>
      <c r="AE1469" s="322">
        <f>SUM(Calculations[[#This Row],[C4 landfill]:[C4 re-use]])</f>
        <v>0</v>
      </c>
      <c r="AF1469" s="322">
        <f>IFERROR(VLOOKUP(Calculations[[#This Row],[Material (choose from dropdown]],MaterialData[#All],8,FALSE),0)</f>
        <v>0</v>
      </c>
      <c r="AG1469" s="322">
        <f>IFERROR(Calculations[[#This Row],[Total Kg]]*Calculations[[#This Row],[Seq factor]],0)</f>
        <v>0</v>
      </c>
      <c r="AI1469" s="322">
        <f>Calculations[[#This Row],[A1-3]]+Calculations[[#This Row],[A4]]+Calculations[[#This Row],[A5]]+Calculations[[#This Row],[B4]]+Calculations[[#This Row],[C2 total]]+Calculations[[#This Row],[C3 total]]+Calculations[[#This Row],[C4 total]]</f>
        <v>0</v>
      </c>
      <c r="AJ1469" s="2">
        <f>IFERROR(VLOOKUP(Calculations[[#This Row],[Material (choose from dropdown]],MaterialData[[#Headers],[#Data]],9,FALSE),0)</f>
        <v>0</v>
      </c>
      <c r="AK1469" s="4">
        <f>IFERROR(VLOOKUP(Calculations[[#This Row],[Material (choose from dropdown]],MaterialData[[#Headers],[#Data]],10,FALSE),0)</f>
        <v>0</v>
      </c>
      <c r="AL1469" s="322">
        <f>IFERROR(Calculations[[#This Row],[Data Quality Score]]*Calculations[[#This Row],[Total Kg]],0)</f>
        <v>0</v>
      </c>
    </row>
    <row r="1470" spans="1:38" x14ac:dyDescent="0.3">
      <c r="A1470" s="6">
        <f>IFERROR(MaterialsBoQ[[#This Row],[Scope Element]],0)</f>
        <v>0</v>
      </c>
      <c r="B1470" t="str">
        <f>IFERROR(MaterialsBoQ[[#This Row],[Material ]],"")</f>
        <v/>
      </c>
      <c r="C1470" t="str">
        <f>IFERROR(MaterialsBoQ[[#This Row],[Unit]],"")</f>
        <v/>
      </c>
      <c r="D1470" s="322">
        <f>IFERROR(MaterialsBoQ[[#This Row],[Number]],0)</f>
        <v>0</v>
      </c>
      <c r="E1470" s="322">
        <f>IFERROR(MaterialsBoQ[[#This Row],[Kg per unit]],0)</f>
        <v>0</v>
      </c>
      <c r="F1470" s="322">
        <f>IFERROR(Calculations[[#This Row],[Number]]*Calculations[[#This Row],[Conversion factor]],0)</f>
        <v>0</v>
      </c>
      <c r="G1470" s="322">
        <f>IFERROR(VLOOKUP(Calculations[[#This Row],[Material (choose from dropdown]],MaterialData[#All],7,FALSE),0)</f>
        <v>0</v>
      </c>
      <c r="H1470" s="322">
        <f>Calculations[[#This Row],[Total Kg]]*Calculations[[#This Row],[Carbon Factor]]</f>
        <v>0</v>
      </c>
      <c r="I1470" t="str">
        <f>IFERROR(VLOOKUP(Calculations[[#This Row],[Material (choose from dropdown]],MaterialData[#All],2,FALSE),"")</f>
        <v/>
      </c>
      <c r="J1470" s="322">
        <f>IFERROR(((VLOOKUP(Calculations[[#This Row],[TransportSource]],TransportDistance[],2,FALSE)*'Stage assumptions'!$C$11)+VLOOKUP(Calculations[[#This Row],[TransportSource]],TransportDistance[],3,FALSE)*'Stage assumptions'!$C$12)*Calculations[[#This Row],[Total Kg]],0)</f>
        <v>0</v>
      </c>
      <c r="K1470">
        <f>IFERROR(VLOOKUP(Calculations[[#This Row],[Material (choose from dropdown]], MaterialData[#All],3, FALSE),0)</f>
        <v>0</v>
      </c>
      <c r="L1470" s="322">
        <f>IFERROR(VLOOKUP(Calculations[[#This Row],[A5type]],A5WastageRate[#All],2,FALSE)*Calculations[[#This Row],[A1-3]],0)</f>
        <v>0</v>
      </c>
      <c r="N1470">
        <f>IFERROR(ROUNDUP(50/VLOOKUP(Calculations[[#This Row],[Scope Element]],B4referenceServiceLife[[Tier 2 element]:[Default Service Life]],2, FALSE)-1,0),0)</f>
        <v>0</v>
      </c>
      <c r="O1470" s="322">
        <f>IFERROR((Calculations[[#This Row],[A1-3]]+Calculations[[#This Row],[A4]]+Calculations[[#This Row],[A5]]+Calculations[[#This Row],[C2 total]]+Calculations[[#This Row],[C3 total]]+Calculations[[#This Row],[C4 total]])*Calculations[[#This Row],[Replacements]],0)</f>
        <v>0</v>
      </c>
      <c r="S1470" t="str">
        <f>IFERROR(VLOOKUP(Calculations[[#This Row],[Material (choose from dropdown]],MaterialData[#All],4,FALSE),"")</f>
        <v/>
      </c>
      <c r="T1470" s="322" cm="1">
        <f t="array" ref="T1470">IFERROR(VLOOKUP(Calculations[[#This Row],[Waste 1]],WasteScenario[#All],2,FALSE)*'Stage assumptions'!$C$225*WasteTransportMethod[Emissions Factor
kgCO2e/kg.km]*Calculations[[#This Row],[Total Kg]],0)</f>
        <v>0</v>
      </c>
      <c r="U1470" s="322" cm="1">
        <f t="array" ref="U1470">IFERROR(VLOOKUP(Calculations[[#This Row],[Waste 1]],WasteScenario[#All],3,FALSE)*'Stage assumptions'!$C$224*WasteTransportMethod[Emissions Factor
kgCO2e/kg.km]*Calculations[[#This Row],[Total Kg]],0)</f>
        <v>0</v>
      </c>
      <c r="V1470" s="322" cm="1">
        <f t="array" ref="V1470">IFERROR(VLOOKUP(Calculations[[#This Row],[Waste 1]],WasteScenario[#All],4,FALSE)*'Stage assumptions'!$C$223*WasteTransportMethod[Emissions Factor
kgCO2e/kg.km]*Calculations[[#This Row],[Total Kg]],0)</f>
        <v>0</v>
      </c>
      <c r="W1470" s="322" cm="1">
        <f t="array" ref="W1470">IFERROR(VLOOKUP(Calculations[[#This Row],[Waste 1]],WasteScenario[#All],5,FALSE)*'Stage assumptions'!$C$226*WasteTransportMethod[Emissions Factor
kgCO2e/kg.km]*Calculations[[#This Row],[Total Kg]],0)</f>
        <v>0</v>
      </c>
      <c r="X1470" s="322">
        <f>SUM(Calculations[[#This Row],[C2 Recycle]:[C2 Reuse]])</f>
        <v>0</v>
      </c>
      <c r="Y1470" t="str">
        <f>IFERROR(VLOOKUP(Calculations[[#This Row],[Material (choose from dropdown]],MaterialData[#All],5,FALSE),"")</f>
        <v/>
      </c>
      <c r="Z1470" s="322">
        <f>IFERROR(((VLOOKUP(Calculations[[#This Row],[Waste type 2]],WasteDisposalEmissions[#All],2,FALSE))*Calculations[[#This Row],[Total Kg]])*VLOOKUP(Calculations[[#This Row],[Waste 1]],WasteScenario[#All],2,FALSE),0)</f>
        <v>0</v>
      </c>
      <c r="AA1470" s="322">
        <f>IFERROR((VLOOKUP(Calculations[[#This Row],[Waste type 2]],WasteDisposalEmissions[#All],3,FALSE))*Calculations[[#This Row],[Total Kg]]*VLOOKUP(Calculations[[#This Row],[Waste 1]],WasteScenario[#All],3,FALSE),0)</f>
        <v>0</v>
      </c>
      <c r="AB1470" s="322">
        <f>SUM(Calculations[[#This Row],[C3 recyc]:[C3 incin]])</f>
        <v>0</v>
      </c>
      <c r="AC1470" s="334">
        <f>IFERROR((VLOOKUP(Calculations[[#This Row],[Waste type 2]],WasteLandfillEmissions[#All],2,FALSE))*Calculations[[#This Row],[Total Kg]]*VLOOKUP(Calculations[[#This Row],[Waste 1]],WasteScenario[#All],4,FALSE),0)</f>
        <v>0</v>
      </c>
      <c r="AD1470" s="322">
        <f>IFERROR((VLOOKUP(Calculations[[#This Row],[Waste type 2]],WasteLandfillEmissions[#All],3,FALSE))*Calculations[[#This Row],[Total Kg]]*VLOOKUP(Calculations[[#This Row],[Waste 1]],WasteScenario[#All],4,FALSE),0)</f>
        <v>0</v>
      </c>
      <c r="AE1470" s="322">
        <f>SUM(Calculations[[#This Row],[C4 landfill]:[C4 re-use]])</f>
        <v>0</v>
      </c>
      <c r="AF1470" s="322">
        <f>IFERROR(VLOOKUP(Calculations[[#This Row],[Material (choose from dropdown]],MaterialData[#All],8,FALSE),0)</f>
        <v>0</v>
      </c>
      <c r="AG1470" s="322">
        <f>IFERROR(Calculations[[#This Row],[Total Kg]]*Calculations[[#This Row],[Seq factor]],0)</f>
        <v>0</v>
      </c>
      <c r="AI1470" s="322">
        <f>Calculations[[#This Row],[A1-3]]+Calculations[[#This Row],[A4]]+Calculations[[#This Row],[A5]]+Calculations[[#This Row],[B4]]+Calculations[[#This Row],[C2 total]]+Calculations[[#This Row],[C3 total]]+Calculations[[#This Row],[C4 total]]</f>
        <v>0</v>
      </c>
      <c r="AJ1470" s="2">
        <f>IFERROR(VLOOKUP(Calculations[[#This Row],[Material (choose from dropdown]],MaterialData[[#Headers],[#Data]],9,FALSE),0)</f>
        <v>0</v>
      </c>
      <c r="AK1470" s="4">
        <f>IFERROR(VLOOKUP(Calculations[[#This Row],[Material (choose from dropdown]],MaterialData[[#Headers],[#Data]],10,FALSE),0)</f>
        <v>0</v>
      </c>
      <c r="AL1470" s="322">
        <f>IFERROR(Calculations[[#This Row],[Data Quality Score]]*Calculations[[#This Row],[Total Kg]],0)</f>
        <v>0</v>
      </c>
    </row>
    <row r="1471" spans="1:38" x14ac:dyDescent="0.3">
      <c r="A1471" s="6">
        <f>IFERROR(MaterialsBoQ[[#This Row],[Scope Element]],0)</f>
        <v>0</v>
      </c>
      <c r="B1471" t="str">
        <f>IFERROR(MaterialsBoQ[[#This Row],[Material ]],"")</f>
        <v/>
      </c>
      <c r="C1471" t="str">
        <f>IFERROR(MaterialsBoQ[[#This Row],[Unit]],"")</f>
        <v/>
      </c>
      <c r="D1471" s="322">
        <f>IFERROR(MaterialsBoQ[[#This Row],[Number]],0)</f>
        <v>0</v>
      </c>
      <c r="E1471" s="322">
        <f>IFERROR(MaterialsBoQ[[#This Row],[Kg per unit]],0)</f>
        <v>0</v>
      </c>
      <c r="F1471" s="322">
        <f>IFERROR(Calculations[[#This Row],[Number]]*Calculations[[#This Row],[Conversion factor]],0)</f>
        <v>0</v>
      </c>
      <c r="G1471" s="322">
        <f>IFERROR(VLOOKUP(Calculations[[#This Row],[Material (choose from dropdown]],MaterialData[#All],7,FALSE),0)</f>
        <v>0</v>
      </c>
      <c r="H1471" s="322">
        <f>Calculations[[#This Row],[Total Kg]]*Calculations[[#This Row],[Carbon Factor]]</f>
        <v>0</v>
      </c>
      <c r="I1471" t="str">
        <f>IFERROR(VLOOKUP(Calculations[[#This Row],[Material (choose from dropdown]],MaterialData[#All],2,FALSE),"")</f>
        <v/>
      </c>
      <c r="J1471" s="322">
        <f>IFERROR(((VLOOKUP(Calculations[[#This Row],[TransportSource]],TransportDistance[],2,FALSE)*'Stage assumptions'!$C$11)+VLOOKUP(Calculations[[#This Row],[TransportSource]],TransportDistance[],3,FALSE)*'Stage assumptions'!$C$12)*Calculations[[#This Row],[Total Kg]],0)</f>
        <v>0</v>
      </c>
      <c r="K1471">
        <f>IFERROR(VLOOKUP(Calculations[[#This Row],[Material (choose from dropdown]], MaterialData[#All],3, FALSE),0)</f>
        <v>0</v>
      </c>
      <c r="L1471" s="322">
        <f>IFERROR(VLOOKUP(Calculations[[#This Row],[A5type]],A5WastageRate[#All],2,FALSE)*Calculations[[#This Row],[A1-3]],0)</f>
        <v>0</v>
      </c>
      <c r="N1471">
        <f>IFERROR(ROUNDUP(50/VLOOKUP(Calculations[[#This Row],[Scope Element]],B4referenceServiceLife[[Tier 2 element]:[Default Service Life]],2, FALSE)-1,0),0)</f>
        <v>0</v>
      </c>
      <c r="O1471" s="322">
        <f>IFERROR((Calculations[[#This Row],[A1-3]]+Calculations[[#This Row],[A4]]+Calculations[[#This Row],[A5]]+Calculations[[#This Row],[C2 total]]+Calculations[[#This Row],[C3 total]]+Calculations[[#This Row],[C4 total]])*Calculations[[#This Row],[Replacements]],0)</f>
        <v>0</v>
      </c>
      <c r="S1471" t="str">
        <f>IFERROR(VLOOKUP(Calculations[[#This Row],[Material (choose from dropdown]],MaterialData[#All],4,FALSE),"")</f>
        <v/>
      </c>
      <c r="T1471" s="322" cm="1">
        <f t="array" ref="T1471">IFERROR(VLOOKUP(Calculations[[#This Row],[Waste 1]],WasteScenario[#All],2,FALSE)*'Stage assumptions'!$C$225*WasteTransportMethod[Emissions Factor
kgCO2e/kg.km]*Calculations[[#This Row],[Total Kg]],0)</f>
        <v>0</v>
      </c>
      <c r="U1471" s="322" cm="1">
        <f t="array" ref="U1471">IFERROR(VLOOKUP(Calculations[[#This Row],[Waste 1]],WasteScenario[#All],3,FALSE)*'Stage assumptions'!$C$224*WasteTransportMethod[Emissions Factor
kgCO2e/kg.km]*Calculations[[#This Row],[Total Kg]],0)</f>
        <v>0</v>
      </c>
      <c r="V1471" s="322" cm="1">
        <f t="array" ref="V1471">IFERROR(VLOOKUP(Calculations[[#This Row],[Waste 1]],WasteScenario[#All],4,FALSE)*'Stage assumptions'!$C$223*WasteTransportMethod[Emissions Factor
kgCO2e/kg.km]*Calculations[[#This Row],[Total Kg]],0)</f>
        <v>0</v>
      </c>
      <c r="W1471" s="322" cm="1">
        <f t="array" ref="W1471">IFERROR(VLOOKUP(Calculations[[#This Row],[Waste 1]],WasteScenario[#All],5,FALSE)*'Stage assumptions'!$C$226*WasteTransportMethod[Emissions Factor
kgCO2e/kg.km]*Calculations[[#This Row],[Total Kg]],0)</f>
        <v>0</v>
      </c>
      <c r="X1471" s="322">
        <f>SUM(Calculations[[#This Row],[C2 Recycle]:[C2 Reuse]])</f>
        <v>0</v>
      </c>
      <c r="Y1471" t="str">
        <f>IFERROR(VLOOKUP(Calculations[[#This Row],[Material (choose from dropdown]],MaterialData[#All],5,FALSE),"")</f>
        <v/>
      </c>
      <c r="Z1471" s="322">
        <f>IFERROR(((VLOOKUP(Calculations[[#This Row],[Waste type 2]],WasteDisposalEmissions[#All],2,FALSE))*Calculations[[#This Row],[Total Kg]])*VLOOKUP(Calculations[[#This Row],[Waste 1]],WasteScenario[#All],2,FALSE),0)</f>
        <v>0</v>
      </c>
      <c r="AA1471" s="322">
        <f>IFERROR((VLOOKUP(Calculations[[#This Row],[Waste type 2]],WasteDisposalEmissions[#All],3,FALSE))*Calculations[[#This Row],[Total Kg]]*VLOOKUP(Calculations[[#This Row],[Waste 1]],WasteScenario[#All],3,FALSE),0)</f>
        <v>0</v>
      </c>
      <c r="AB1471" s="322">
        <f>SUM(Calculations[[#This Row],[C3 recyc]:[C3 incin]])</f>
        <v>0</v>
      </c>
      <c r="AC1471" s="334">
        <f>IFERROR((VLOOKUP(Calculations[[#This Row],[Waste type 2]],WasteLandfillEmissions[#All],2,FALSE))*Calculations[[#This Row],[Total Kg]]*VLOOKUP(Calculations[[#This Row],[Waste 1]],WasteScenario[#All],4,FALSE),0)</f>
        <v>0</v>
      </c>
      <c r="AD1471" s="322">
        <f>IFERROR((VLOOKUP(Calculations[[#This Row],[Waste type 2]],WasteLandfillEmissions[#All],3,FALSE))*Calculations[[#This Row],[Total Kg]]*VLOOKUP(Calculations[[#This Row],[Waste 1]],WasteScenario[#All],4,FALSE),0)</f>
        <v>0</v>
      </c>
      <c r="AE1471" s="322">
        <f>SUM(Calculations[[#This Row],[C4 landfill]:[C4 re-use]])</f>
        <v>0</v>
      </c>
      <c r="AF1471" s="322">
        <f>IFERROR(VLOOKUP(Calculations[[#This Row],[Material (choose from dropdown]],MaterialData[#All],8,FALSE),0)</f>
        <v>0</v>
      </c>
      <c r="AG1471" s="322">
        <f>IFERROR(Calculations[[#This Row],[Total Kg]]*Calculations[[#This Row],[Seq factor]],0)</f>
        <v>0</v>
      </c>
      <c r="AI1471" s="322">
        <f>Calculations[[#This Row],[A1-3]]+Calculations[[#This Row],[A4]]+Calculations[[#This Row],[A5]]+Calculations[[#This Row],[B4]]+Calculations[[#This Row],[C2 total]]+Calculations[[#This Row],[C3 total]]+Calculations[[#This Row],[C4 total]]</f>
        <v>0</v>
      </c>
      <c r="AJ1471" s="2">
        <f>IFERROR(VLOOKUP(Calculations[[#This Row],[Material (choose from dropdown]],MaterialData[[#Headers],[#Data]],9,FALSE),0)</f>
        <v>0</v>
      </c>
      <c r="AK1471" s="4">
        <f>IFERROR(VLOOKUP(Calculations[[#This Row],[Material (choose from dropdown]],MaterialData[[#Headers],[#Data]],10,FALSE),0)</f>
        <v>0</v>
      </c>
      <c r="AL1471" s="322">
        <f>IFERROR(Calculations[[#This Row],[Data Quality Score]]*Calculations[[#This Row],[Total Kg]],0)</f>
        <v>0</v>
      </c>
    </row>
    <row r="1472" spans="1:38" x14ac:dyDescent="0.3">
      <c r="A1472" s="6">
        <f>IFERROR(MaterialsBoQ[[#This Row],[Scope Element]],0)</f>
        <v>0</v>
      </c>
      <c r="B1472" t="str">
        <f>IFERROR(MaterialsBoQ[[#This Row],[Material ]],"")</f>
        <v/>
      </c>
      <c r="C1472" t="str">
        <f>IFERROR(MaterialsBoQ[[#This Row],[Unit]],"")</f>
        <v/>
      </c>
      <c r="D1472" s="322">
        <f>IFERROR(MaterialsBoQ[[#This Row],[Number]],0)</f>
        <v>0</v>
      </c>
      <c r="E1472" s="322">
        <f>IFERROR(MaterialsBoQ[[#This Row],[Kg per unit]],0)</f>
        <v>0</v>
      </c>
      <c r="F1472" s="322">
        <f>IFERROR(Calculations[[#This Row],[Number]]*Calculations[[#This Row],[Conversion factor]],0)</f>
        <v>0</v>
      </c>
      <c r="G1472" s="322">
        <f>IFERROR(VLOOKUP(Calculations[[#This Row],[Material (choose from dropdown]],MaterialData[#All],7,FALSE),0)</f>
        <v>0</v>
      </c>
      <c r="H1472" s="322">
        <f>Calculations[[#This Row],[Total Kg]]*Calculations[[#This Row],[Carbon Factor]]</f>
        <v>0</v>
      </c>
      <c r="I1472" t="str">
        <f>IFERROR(VLOOKUP(Calculations[[#This Row],[Material (choose from dropdown]],MaterialData[#All],2,FALSE),"")</f>
        <v/>
      </c>
      <c r="J1472" s="322">
        <f>IFERROR(((VLOOKUP(Calculations[[#This Row],[TransportSource]],TransportDistance[],2,FALSE)*'Stage assumptions'!$C$11)+VLOOKUP(Calculations[[#This Row],[TransportSource]],TransportDistance[],3,FALSE)*'Stage assumptions'!$C$12)*Calculations[[#This Row],[Total Kg]],0)</f>
        <v>0</v>
      </c>
      <c r="K1472">
        <f>IFERROR(VLOOKUP(Calculations[[#This Row],[Material (choose from dropdown]], MaterialData[#All],3, FALSE),0)</f>
        <v>0</v>
      </c>
      <c r="L1472" s="322">
        <f>IFERROR(VLOOKUP(Calculations[[#This Row],[A5type]],A5WastageRate[#All],2,FALSE)*Calculations[[#This Row],[A1-3]],0)</f>
        <v>0</v>
      </c>
      <c r="N1472">
        <f>IFERROR(ROUNDUP(50/VLOOKUP(Calculations[[#This Row],[Scope Element]],B4referenceServiceLife[[Tier 2 element]:[Default Service Life]],2, FALSE)-1,0),0)</f>
        <v>0</v>
      </c>
      <c r="O1472" s="322">
        <f>IFERROR((Calculations[[#This Row],[A1-3]]+Calculations[[#This Row],[A4]]+Calculations[[#This Row],[A5]]+Calculations[[#This Row],[C2 total]]+Calculations[[#This Row],[C3 total]]+Calculations[[#This Row],[C4 total]])*Calculations[[#This Row],[Replacements]],0)</f>
        <v>0</v>
      </c>
      <c r="S1472" t="str">
        <f>IFERROR(VLOOKUP(Calculations[[#This Row],[Material (choose from dropdown]],MaterialData[#All],4,FALSE),"")</f>
        <v/>
      </c>
      <c r="T1472" s="322" cm="1">
        <f t="array" ref="T1472">IFERROR(VLOOKUP(Calculations[[#This Row],[Waste 1]],WasteScenario[#All],2,FALSE)*'Stage assumptions'!$C$225*WasteTransportMethod[Emissions Factor
kgCO2e/kg.km]*Calculations[[#This Row],[Total Kg]],0)</f>
        <v>0</v>
      </c>
      <c r="U1472" s="322" cm="1">
        <f t="array" ref="U1472">IFERROR(VLOOKUP(Calculations[[#This Row],[Waste 1]],WasteScenario[#All],3,FALSE)*'Stage assumptions'!$C$224*WasteTransportMethod[Emissions Factor
kgCO2e/kg.km]*Calculations[[#This Row],[Total Kg]],0)</f>
        <v>0</v>
      </c>
      <c r="V1472" s="322" cm="1">
        <f t="array" ref="V1472">IFERROR(VLOOKUP(Calculations[[#This Row],[Waste 1]],WasteScenario[#All],4,FALSE)*'Stage assumptions'!$C$223*WasteTransportMethod[Emissions Factor
kgCO2e/kg.km]*Calculations[[#This Row],[Total Kg]],0)</f>
        <v>0</v>
      </c>
      <c r="W1472" s="322" cm="1">
        <f t="array" ref="W1472">IFERROR(VLOOKUP(Calculations[[#This Row],[Waste 1]],WasteScenario[#All],5,FALSE)*'Stage assumptions'!$C$226*WasteTransportMethod[Emissions Factor
kgCO2e/kg.km]*Calculations[[#This Row],[Total Kg]],0)</f>
        <v>0</v>
      </c>
      <c r="X1472" s="322">
        <f>SUM(Calculations[[#This Row],[C2 Recycle]:[C2 Reuse]])</f>
        <v>0</v>
      </c>
      <c r="Y1472" t="str">
        <f>IFERROR(VLOOKUP(Calculations[[#This Row],[Material (choose from dropdown]],MaterialData[#All],5,FALSE),"")</f>
        <v/>
      </c>
      <c r="Z1472" s="322">
        <f>IFERROR(((VLOOKUP(Calculations[[#This Row],[Waste type 2]],WasteDisposalEmissions[#All],2,FALSE))*Calculations[[#This Row],[Total Kg]])*VLOOKUP(Calculations[[#This Row],[Waste 1]],WasteScenario[#All],2,FALSE),0)</f>
        <v>0</v>
      </c>
      <c r="AA1472" s="322">
        <f>IFERROR((VLOOKUP(Calculations[[#This Row],[Waste type 2]],WasteDisposalEmissions[#All],3,FALSE))*Calculations[[#This Row],[Total Kg]]*VLOOKUP(Calculations[[#This Row],[Waste 1]],WasteScenario[#All],3,FALSE),0)</f>
        <v>0</v>
      </c>
      <c r="AB1472" s="322">
        <f>SUM(Calculations[[#This Row],[C3 recyc]:[C3 incin]])</f>
        <v>0</v>
      </c>
      <c r="AC1472" s="334">
        <f>IFERROR((VLOOKUP(Calculations[[#This Row],[Waste type 2]],WasteLandfillEmissions[#All],2,FALSE))*Calculations[[#This Row],[Total Kg]]*VLOOKUP(Calculations[[#This Row],[Waste 1]],WasteScenario[#All],4,FALSE),0)</f>
        <v>0</v>
      </c>
      <c r="AD1472" s="322">
        <f>IFERROR((VLOOKUP(Calculations[[#This Row],[Waste type 2]],WasteLandfillEmissions[#All],3,FALSE))*Calculations[[#This Row],[Total Kg]]*VLOOKUP(Calculations[[#This Row],[Waste 1]],WasteScenario[#All],4,FALSE),0)</f>
        <v>0</v>
      </c>
      <c r="AE1472" s="322">
        <f>SUM(Calculations[[#This Row],[C4 landfill]:[C4 re-use]])</f>
        <v>0</v>
      </c>
      <c r="AF1472" s="322">
        <f>IFERROR(VLOOKUP(Calculations[[#This Row],[Material (choose from dropdown]],MaterialData[#All],8,FALSE),0)</f>
        <v>0</v>
      </c>
      <c r="AG1472" s="322">
        <f>IFERROR(Calculations[[#This Row],[Total Kg]]*Calculations[[#This Row],[Seq factor]],0)</f>
        <v>0</v>
      </c>
      <c r="AI1472" s="322">
        <f>Calculations[[#This Row],[A1-3]]+Calculations[[#This Row],[A4]]+Calculations[[#This Row],[A5]]+Calculations[[#This Row],[B4]]+Calculations[[#This Row],[C2 total]]+Calculations[[#This Row],[C3 total]]+Calculations[[#This Row],[C4 total]]</f>
        <v>0</v>
      </c>
      <c r="AJ1472" s="2">
        <f>IFERROR(VLOOKUP(Calculations[[#This Row],[Material (choose from dropdown]],MaterialData[[#Headers],[#Data]],9,FALSE),0)</f>
        <v>0</v>
      </c>
      <c r="AK1472" s="4">
        <f>IFERROR(VLOOKUP(Calculations[[#This Row],[Material (choose from dropdown]],MaterialData[[#Headers],[#Data]],10,FALSE),0)</f>
        <v>0</v>
      </c>
      <c r="AL1472" s="322">
        <f>IFERROR(Calculations[[#This Row],[Data Quality Score]]*Calculations[[#This Row],[Total Kg]],0)</f>
        <v>0</v>
      </c>
    </row>
    <row r="1473" spans="1:38" x14ac:dyDescent="0.3">
      <c r="A1473" s="6">
        <f>IFERROR(MaterialsBoQ[[#This Row],[Scope Element]],0)</f>
        <v>0</v>
      </c>
      <c r="B1473" t="str">
        <f>IFERROR(MaterialsBoQ[[#This Row],[Material ]],"")</f>
        <v/>
      </c>
      <c r="C1473" t="str">
        <f>IFERROR(MaterialsBoQ[[#This Row],[Unit]],"")</f>
        <v/>
      </c>
      <c r="D1473" s="322">
        <f>IFERROR(MaterialsBoQ[[#This Row],[Number]],0)</f>
        <v>0</v>
      </c>
      <c r="E1473" s="322">
        <f>IFERROR(MaterialsBoQ[[#This Row],[Kg per unit]],0)</f>
        <v>0</v>
      </c>
      <c r="F1473" s="322">
        <f>IFERROR(Calculations[[#This Row],[Number]]*Calculations[[#This Row],[Conversion factor]],0)</f>
        <v>0</v>
      </c>
      <c r="G1473" s="322">
        <f>IFERROR(VLOOKUP(Calculations[[#This Row],[Material (choose from dropdown]],MaterialData[#All],7,FALSE),0)</f>
        <v>0</v>
      </c>
      <c r="H1473" s="322">
        <f>Calculations[[#This Row],[Total Kg]]*Calculations[[#This Row],[Carbon Factor]]</f>
        <v>0</v>
      </c>
      <c r="I1473" t="str">
        <f>IFERROR(VLOOKUP(Calculations[[#This Row],[Material (choose from dropdown]],MaterialData[#All],2,FALSE),"")</f>
        <v/>
      </c>
      <c r="J1473" s="322">
        <f>IFERROR(((VLOOKUP(Calculations[[#This Row],[TransportSource]],TransportDistance[],2,FALSE)*'Stage assumptions'!$C$11)+VLOOKUP(Calculations[[#This Row],[TransportSource]],TransportDistance[],3,FALSE)*'Stage assumptions'!$C$12)*Calculations[[#This Row],[Total Kg]],0)</f>
        <v>0</v>
      </c>
      <c r="K1473">
        <f>IFERROR(VLOOKUP(Calculations[[#This Row],[Material (choose from dropdown]], MaterialData[#All],3, FALSE),0)</f>
        <v>0</v>
      </c>
      <c r="L1473" s="322">
        <f>IFERROR(VLOOKUP(Calculations[[#This Row],[A5type]],A5WastageRate[#All],2,FALSE)*Calculations[[#This Row],[A1-3]],0)</f>
        <v>0</v>
      </c>
      <c r="N1473">
        <f>IFERROR(ROUNDUP(50/VLOOKUP(Calculations[[#This Row],[Scope Element]],B4referenceServiceLife[[Tier 2 element]:[Default Service Life]],2, FALSE)-1,0),0)</f>
        <v>0</v>
      </c>
      <c r="O1473" s="322">
        <f>IFERROR((Calculations[[#This Row],[A1-3]]+Calculations[[#This Row],[A4]]+Calculations[[#This Row],[A5]]+Calculations[[#This Row],[C2 total]]+Calculations[[#This Row],[C3 total]]+Calculations[[#This Row],[C4 total]])*Calculations[[#This Row],[Replacements]],0)</f>
        <v>0</v>
      </c>
      <c r="S1473" t="str">
        <f>IFERROR(VLOOKUP(Calculations[[#This Row],[Material (choose from dropdown]],MaterialData[#All],4,FALSE),"")</f>
        <v/>
      </c>
      <c r="T1473" s="322" cm="1">
        <f t="array" ref="T1473">IFERROR(VLOOKUP(Calculations[[#This Row],[Waste 1]],WasteScenario[#All],2,FALSE)*'Stage assumptions'!$C$225*WasteTransportMethod[Emissions Factor
kgCO2e/kg.km]*Calculations[[#This Row],[Total Kg]],0)</f>
        <v>0</v>
      </c>
      <c r="U1473" s="322" cm="1">
        <f t="array" ref="U1473">IFERROR(VLOOKUP(Calculations[[#This Row],[Waste 1]],WasteScenario[#All],3,FALSE)*'Stage assumptions'!$C$224*WasteTransportMethod[Emissions Factor
kgCO2e/kg.km]*Calculations[[#This Row],[Total Kg]],0)</f>
        <v>0</v>
      </c>
      <c r="V1473" s="322" cm="1">
        <f t="array" ref="V1473">IFERROR(VLOOKUP(Calculations[[#This Row],[Waste 1]],WasteScenario[#All],4,FALSE)*'Stage assumptions'!$C$223*WasteTransportMethod[Emissions Factor
kgCO2e/kg.km]*Calculations[[#This Row],[Total Kg]],0)</f>
        <v>0</v>
      </c>
      <c r="W1473" s="322" cm="1">
        <f t="array" ref="W1473">IFERROR(VLOOKUP(Calculations[[#This Row],[Waste 1]],WasteScenario[#All],5,FALSE)*'Stage assumptions'!$C$226*WasteTransportMethod[Emissions Factor
kgCO2e/kg.km]*Calculations[[#This Row],[Total Kg]],0)</f>
        <v>0</v>
      </c>
      <c r="X1473" s="322">
        <f>SUM(Calculations[[#This Row],[C2 Recycle]:[C2 Reuse]])</f>
        <v>0</v>
      </c>
      <c r="Y1473" t="str">
        <f>IFERROR(VLOOKUP(Calculations[[#This Row],[Material (choose from dropdown]],MaterialData[#All],5,FALSE),"")</f>
        <v/>
      </c>
      <c r="Z1473" s="322">
        <f>IFERROR(((VLOOKUP(Calculations[[#This Row],[Waste type 2]],WasteDisposalEmissions[#All],2,FALSE))*Calculations[[#This Row],[Total Kg]])*VLOOKUP(Calculations[[#This Row],[Waste 1]],WasteScenario[#All],2,FALSE),0)</f>
        <v>0</v>
      </c>
      <c r="AA1473" s="322">
        <f>IFERROR((VLOOKUP(Calculations[[#This Row],[Waste type 2]],WasteDisposalEmissions[#All],3,FALSE))*Calculations[[#This Row],[Total Kg]]*VLOOKUP(Calculations[[#This Row],[Waste 1]],WasteScenario[#All],3,FALSE),0)</f>
        <v>0</v>
      </c>
      <c r="AB1473" s="322">
        <f>SUM(Calculations[[#This Row],[C3 recyc]:[C3 incin]])</f>
        <v>0</v>
      </c>
      <c r="AC1473" s="334">
        <f>IFERROR((VLOOKUP(Calculations[[#This Row],[Waste type 2]],WasteLandfillEmissions[#All],2,FALSE))*Calculations[[#This Row],[Total Kg]]*VLOOKUP(Calculations[[#This Row],[Waste 1]],WasteScenario[#All],4,FALSE),0)</f>
        <v>0</v>
      </c>
      <c r="AD1473" s="322">
        <f>IFERROR((VLOOKUP(Calculations[[#This Row],[Waste type 2]],WasteLandfillEmissions[#All],3,FALSE))*Calculations[[#This Row],[Total Kg]]*VLOOKUP(Calculations[[#This Row],[Waste 1]],WasteScenario[#All],4,FALSE),0)</f>
        <v>0</v>
      </c>
      <c r="AE1473" s="322">
        <f>SUM(Calculations[[#This Row],[C4 landfill]:[C4 re-use]])</f>
        <v>0</v>
      </c>
      <c r="AF1473" s="322">
        <f>IFERROR(VLOOKUP(Calculations[[#This Row],[Material (choose from dropdown]],MaterialData[#All],8,FALSE),0)</f>
        <v>0</v>
      </c>
      <c r="AG1473" s="322">
        <f>IFERROR(Calculations[[#This Row],[Total Kg]]*Calculations[[#This Row],[Seq factor]],0)</f>
        <v>0</v>
      </c>
      <c r="AI1473" s="322">
        <f>Calculations[[#This Row],[A1-3]]+Calculations[[#This Row],[A4]]+Calculations[[#This Row],[A5]]+Calculations[[#This Row],[B4]]+Calculations[[#This Row],[C2 total]]+Calculations[[#This Row],[C3 total]]+Calculations[[#This Row],[C4 total]]</f>
        <v>0</v>
      </c>
      <c r="AJ1473" s="2">
        <f>IFERROR(VLOOKUP(Calculations[[#This Row],[Material (choose from dropdown]],MaterialData[[#Headers],[#Data]],9,FALSE),0)</f>
        <v>0</v>
      </c>
      <c r="AK1473" s="4">
        <f>IFERROR(VLOOKUP(Calculations[[#This Row],[Material (choose from dropdown]],MaterialData[[#Headers],[#Data]],10,FALSE),0)</f>
        <v>0</v>
      </c>
      <c r="AL1473" s="322">
        <f>IFERROR(Calculations[[#This Row],[Data Quality Score]]*Calculations[[#This Row],[Total Kg]],0)</f>
        <v>0</v>
      </c>
    </row>
    <row r="1474" spans="1:38" x14ac:dyDescent="0.3">
      <c r="A1474" s="6">
        <f>IFERROR(MaterialsBoQ[[#This Row],[Scope Element]],0)</f>
        <v>0</v>
      </c>
      <c r="B1474" t="str">
        <f>IFERROR(MaterialsBoQ[[#This Row],[Material ]],"")</f>
        <v/>
      </c>
      <c r="C1474" t="str">
        <f>IFERROR(MaterialsBoQ[[#This Row],[Unit]],"")</f>
        <v/>
      </c>
      <c r="D1474" s="322">
        <f>IFERROR(MaterialsBoQ[[#This Row],[Number]],0)</f>
        <v>0</v>
      </c>
      <c r="E1474" s="322">
        <f>IFERROR(MaterialsBoQ[[#This Row],[Kg per unit]],0)</f>
        <v>0</v>
      </c>
      <c r="F1474" s="322">
        <f>IFERROR(Calculations[[#This Row],[Number]]*Calculations[[#This Row],[Conversion factor]],0)</f>
        <v>0</v>
      </c>
      <c r="G1474" s="322">
        <f>IFERROR(VLOOKUP(Calculations[[#This Row],[Material (choose from dropdown]],MaterialData[#All],7,FALSE),0)</f>
        <v>0</v>
      </c>
      <c r="H1474" s="322">
        <f>Calculations[[#This Row],[Total Kg]]*Calculations[[#This Row],[Carbon Factor]]</f>
        <v>0</v>
      </c>
      <c r="I1474" t="str">
        <f>IFERROR(VLOOKUP(Calculations[[#This Row],[Material (choose from dropdown]],MaterialData[#All],2,FALSE),"")</f>
        <v/>
      </c>
      <c r="J1474" s="322">
        <f>IFERROR(((VLOOKUP(Calculations[[#This Row],[TransportSource]],TransportDistance[],2,FALSE)*'Stage assumptions'!$C$11)+VLOOKUP(Calculations[[#This Row],[TransportSource]],TransportDistance[],3,FALSE)*'Stage assumptions'!$C$12)*Calculations[[#This Row],[Total Kg]],0)</f>
        <v>0</v>
      </c>
      <c r="K1474">
        <f>IFERROR(VLOOKUP(Calculations[[#This Row],[Material (choose from dropdown]], MaterialData[#All],3, FALSE),0)</f>
        <v>0</v>
      </c>
      <c r="L1474" s="322">
        <f>IFERROR(VLOOKUP(Calculations[[#This Row],[A5type]],A5WastageRate[#All],2,FALSE)*Calculations[[#This Row],[A1-3]],0)</f>
        <v>0</v>
      </c>
      <c r="N1474">
        <f>IFERROR(ROUNDUP(50/VLOOKUP(Calculations[[#This Row],[Scope Element]],B4referenceServiceLife[[Tier 2 element]:[Default Service Life]],2, FALSE)-1,0),0)</f>
        <v>0</v>
      </c>
      <c r="O1474" s="322">
        <f>IFERROR((Calculations[[#This Row],[A1-3]]+Calculations[[#This Row],[A4]]+Calculations[[#This Row],[A5]]+Calculations[[#This Row],[C2 total]]+Calculations[[#This Row],[C3 total]]+Calculations[[#This Row],[C4 total]])*Calculations[[#This Row],[Replacements]],0)</f>
        <v>0</v>
      </c>
      <c r="S1474" t="str">
        <f>IFERROR(VLOOKUP(Calculations[[#This Row],[Material (choose from dropdown]],MaterialData[#All],4,FALSE),"")</f>
        <v/>
      </c>
      <c r="T1474" s="322" cm="1">
        <f t="array" ref="T1474">IFERROR(VLOOKUP(Calculations[[#This Row],[Waste 1]],WasteScenario[#All],2,FALSE)*'Stage assumptions'!$C$225*WasteTransportMethod[Emissions Factor
kgCO2e/kg.km]*Calculations[[#This Row],[Total Kg]],0)</f>
        <v>0</v>
      </c>
      <c r="U1474" s="322" cm="1">
        <f t="array" ref="U1474">IFERROR(VLOOKUP(Calculations[[#This Row],[Waste 1]],WasteScenario[#All],3,FALSE)*'Stage assumptions'!$C$224*WasteTransportMethod[Emissions Factor
kgCO2e/kg.km]*Calculations[[#This Row],[Total Kg]],0)</f>
        <v>0</v>
      </c>
      <c r="V1474" s="322" cm="1">
        <f t="array" ref="V1474">IFERROR(VLOOKUP(Calculations[[#This Row],[Waste 1]],WasteScenario[#All],4,FALSE)*'Stage assumptions'!$C$223*WasteTransportMethod[Emissions Factor
kgCO2e/kg.km]*Calculations[[#This Row],[Total Kg]],0)</f>
        <v>0</v>
      </c>
      <c r="W1474" s="322" cm="1">
        <f t="array" ref="W1474">IFERROR(VLOOKUP(Calculations[[#This Row],[Waste 1]],WasteScenario[#All],5,FALSE)*'Stage assumptions'!$C$226*WasteTransportMethod[Emissions Factor
kgCO2e/kg.km]*Calculations[[#This Row],[Total Kg]],0)</f>
        <v>0</v>
      </c>
      <c r="X1474" s="322">
        <f>SUM(Calculations[[#This Row],[C2 Recycle]:[C2 Reuse]])</f>
        <v>0</v>
      </c>
      <c r="Y1474" t="str">
        <f>IFERROR(VLOOKUP(Calculations[[#This Row],[Material (choose from dropdown]],MaterialData[#All],5,FALSE),"")</f>
        <v/>
      </c>
      <c r="Z1474" s="322">
        <f>IFERROR(((VLOOKUP(Calculations[[#This Row],[Waste type 2]],WasteDisposalEmissions[#All],2,FALSE))*Calculations[[#This Row],[Total Kg]])*VLOOKUP(Calculations[[#This Row],[Waste 1]],WasteScenario[#All],2,FALSE),0)</f>
        <v>0</v>
      </c>
      <c r="AA1474" s="322">
        <f>IFERROR((VLOOKUP(Calculations[[#This Row],[Waste type 2]],WasteDisposalEmissions[#All],3,FALSE))*Calculations[[#This Row],[Total Kg]]*VLOOKUP(Calculations[[#This Row],[Waste 1]],WasteScenario[#All],3,FALSE),0)</f>
        <v>0</v>
      </c>
      <c r="AB1474" s="322">
        <f>SUM(Calculations[[#This Row],[C3 recyc]:[C3 incin]])</f>
        <v>0</v>
      </c>
      <c r="AC1474" s="334">
        <f>IFERROR((VLOOKUP(Calculations[[#This Row],[Waste type 2]],WasteLandfillEmissions[#All],2,FALSE))*Calculations[[#This Row],[Total Kg]]*VLOOKUP(Calculations[[#This Row],[Waste 1]],WasteScenario[#All],4,FALSE),0)</f>
        <v>0</v>
      </c>
      <c r="AD1474" s="322">
        <f>IFERROR((VLOOKUP(Calculations[[#This Row],[Waste type 2]],WasteLandfillEmissions[#All],3,FALSE))*Calculations[[#This Row],[Total Kg]]*VLOOKUP(Calculations[[#This Row],[Waste 1]],WasteScenario[#All],4,FALSE),0)</f>
        <v>0</v>
      </c>
      <c r="AE1474" s="322">
        <f>SUM(Calculations[[#This Row],[C4 landfill]:[C4 re-use]])</f>
        <v>0</v>
      </c>
      <c r="AF1474" s="322">
        <f>IFERROR(VLOOKUP(Calculations[[#This Row],[Material (choose from dropdown]],MaterialData[#All],8,FALSE),0)</f>
        <v>0</v>
      </c>
      <c r="AG1474" s="322">
        <f>IFERROR(Calculations[[#This Row],[Total Kg]]*Calculations[[#This Row],[Seq factor]],0)</f>
        <v>0</v>
      </c>
      <c r="AI1474" s="322">
        <f>Calculations[[#This Row],[A1-3]]+Calculations[[#This Row],[A4]]+Calculations[[#This Row],[A5]]+Calculations[[#This Row],[B4]]+Calculations[[#This Row],[C2 total]]+Calculations[[#This Row],[C3 total]]+Calculations[[#This Row],[C4 total]]</f>
        <v>0</v>
      </c>
      <c r="AJ1474" s="2">
        <f>IFERROR(VLOOKUP(Calculations[[#This Row],[Material (choose from dropdown]],MaterialData[[#Headers],[#Data]],9,FALSE),0)</f>
        <v>0</v>
      </c>
      <c r="AK1474" s="4">
        <f>IFERROR(VLOOKUP(Calculations[[#This Row],[Material (choose from dropdown]],MaterialData[[#Headers],[#Data]],10,FALSE),0)</f>
        <v>0</v>
      </c>
      <c r="AL1474" s="322">
        <f>IFERROR(Calculations[[#This Row],[Data Quality Score]]*Calculations[[#This Row],[Total Kg]],0)</f>
        <v>0</v>
      </c>
    </row>
    <row r="1475" spans="1:38" x14ac:dyDescent="0.3">
      <c r="A1475" s="6">
        <f>IFERROR(MaterialsBoQ[[#This Row],[Scope Element]],0)</f>
        <v>0</v>
      </c>
      <c r="B1475" t="str">
        <f>IFERROR(MaterialsBoQ[[#This Row],[Material ]],"")</f>
        <v/>
      </c>
      <c r="C1475" t="str">
        <f>IFERROR(MaterialsBoQ[[#This Row],[Unit]],"")</f>
        <v/>
      </c>
      <c r="D1475" s="322">
        <f>IFERROR(MaterialsBoQ[[#This Row],[Number]],0)</f>
        <v>0</v>
      </c>
      <c r="E1475" s="322">
        <f>IFERROR(MaterialsBoQ[[#This Row],[Kg per unit]],0)</f>
        <v>0</v>
      </c>
      <c r="F1475" s="322">
        <f>IFERROR(Calculations[[#This Row],[Number]]*Calculations[[#This Row],[Conversion factor]],0)</f>
        <v>0</v>
      </c>
      <c r="G1475" s="322">
        <f>IFERROR(VLOOKUP(Calculations[[#This Row],[Material (choose from dropdown]],MaterialData[#All],7,FALSE),0)</f>
        <v>0</v>
      </c>
      <c r="H1475" s="322">
        <f>Calculations[[#This Row],[Total Kg]]*Calculations[[#This Row],[Carbon Factor]]</f>
        <v>0</v>
      </c>
      <c r="I1475" t="str">
        <f>IFERROR(VLOOKUP(Calculations[[#This Row],[Material (choose from dropdown]],MaterialData[#All],2,FALSE),"")</f>
        <v/>
      </c>
      <c r="J1475" s="322">
        <f>IFERROR(((VLOOKUP(Calculations[[#This Row],[TransportSource]],TransportDistance[],2,FALSE)*'Stage assumptions'!$C$11)+VLOOKUP(Calculations[[#This Row],[TransportSource]],TransportDistance[],3,FALSE)*'Stage assumptions'!$C$12)*Calculations[[#This Row],[Total Kg]],0)</f>
        <v>0</v>
      </c>
      <c r="K1475">
        <f>IFERROR(VLOOKUP(Calculations[[#This Row],[Material (choose from dropdown]], MaterialData[#All],3, FALSE),0)</f>
        <v>0</v>
      </c>
      <c r="L1475" s="322">
        <f>IFERROR(VLOOKUP(Calculations[[#This Row],[A5type]],A5WastageRate[#All],2,FALSE)*Calculations[[#This Row],[A1-3]],0)</f>
        <v>0</v>
      </c>
      <c r="N1475">
        <f>IFERROR(ROUNDUP(50/VLOOKUP(Calculations[[#This Row],[Scope Element]],B4referenceServiceLife[[Tier 2 element]:[Default Service Life]],2, FALSE)-1,0),0)</f>
        <v>0</v>
      </c>
      <c r="O1475" s="322">
        <f>IFERROR((Calculations[[#This Row],[A1-3]]+Calculations[[#This Row],[A4]]+Calculations[[#This Row],[A5]]+Calculations[[#This Row],[C2 total]]+Calculations[[#This Row],[C3 total]]+Calculations[[#This Row],[C4 total]])*Calculations[[#This Row],[Replacements]],0)</f>
        <v>0</v>
      </c>
      <c r="S1475" t="str">
        <f>IFERROR(VLOOKUP(Calculations[[#This Row],[Material (choose from dropdown]],MaterialData[#All],4,FALSE),"")</f>
        <v/>
      </c>
      <c r="T1475" s="322" cm="1">
        <f t="array" ref="T1475">IFERROR(VLOOKUP(Calculations[[#This Row],[Waste 1]],WasteScenario[#All],2,FALSE)*'Stage assumptions'!$C$225*WasteTransportMethod[Emissions Factor
kgCO2e/kg.km]*Calculations[[#This Row],[Total Kg]],0)</f>
        <v>0</v>
      </c>
      <c r="U1475" s="322" cm="1">
        <f t="array" ref="U1475">IFERROR(VLOOKUP(Calculations[[#This Row],[Waste 1]],WasteScenario[#All],3,FALSE)*'Stage assumptions'!$C$224*WasteTransportMethod[Emissions Factor
kgCO2e/kg.km]*Calculations[[#This Row],[Total Kg]],0)</f>
        <v>0</v>
      </c>
      <c r="V1475" s="322" cm="1">
        <f t="array" ref="V1475">IFERROR(VLOOKUP(Calculations[[#This Row],[Waste 1]],WasteScenario[#All],4,FALSE)*'Stage assumptions'!$C$223*WasteTransportMethod[Emissions Factor
kgCO2e/kg.km]*Calculations[[#This Row],[Total Kg]],0)</f>
        <v>0</v>
      </c>
      <c r="W1475" s="322" cm="1">
        <f t="array" ref="W1475">IFERROR(VLOOKUP(Calculations[[#This Row],[Waste 1]],WasteScenario[#All],5,FALSE)*'Stage assumptions'!$C$226*WasteTransportMethod[Emissions Factor
kgCO2e/kg.km]*Calculations[[#This Row],[Total Kg]],0)</f>
        <v>0</v>
      </c>
      <c r="X1475" s="322">
        <f>SUM(Calculations[[#This Row],[C2 Recycle]:[C2 Reuse]])</f>
        <v>0</v>
      </c>
      <c r="Y1475" t="str">
        <f>IFERROR(VLOOKUP(Calculations[[#This Row],[Material (choose from dropdown]],MaterialData[#All],5,FALSE),"")</f>
        <v/>
      </c>
      <c r="Z1475" s="322">
        <f>IFERROR(((VLOOKUP(Calculations[[#This Row],[Waste type 2]],WasteDisposalEmissions[#All],2,FALSE))*Calculations[[#This Row],[Total Kg]])*VLOOKUP(Calculations[[#This Row],[Waste 1]],WasteScenario[#All],2,FALSE),0)</f>
        <v>0</v>
      </c>
      <c r="AA1475" s="322">
        <f>IFERROR((VLOOKUP(Calculations[[#This Row],[Waste type 2]],WasteDisposalEmissions[#All],3,FALSE))*Calculations[[#This Row],[Total Kg]]*VLOOKUP(Calculations[[#This Row],[Waste 1]],WasteScenario[#All],3,FALSE),0)</f>
        <v>0</v>
      </c>
      <c r="AB1475" s="322">
        <f>SUM(Calculations[[#This Row],[C3 recyc]:[C3 incin]])</f>
        <v>0</v>
      </c>
      <c r="AC1475" s="334">
        <f>IFERROR((VLOOKUP(Calculations[[#This Row],[Waste type 2]],WasteLandfillEmissions[#All],2,FALSE))*Calculations[[#This Row],[Total Kg]]*VLOOKUP(Calculations[[#This Row],[Waste 1]],WasteScenario[#All],4,FALSE),0)</f>
        <v>0</v>
      </c>
      <c r="AD1475" s="322">
        <f>IFERROR((VLOOKUP(Calculations[[#This Row],[Waste type 2]],WasteLandfillEmissions[#All],3,FALSE))*Calculations[[#This Row],[Total Kg]]*VLOOKUP(Calculations[[#This Row],[Waste 1]],WasteScenario[#All],4,FALSE),0)</f>
        <v>0</v>
      </c>
      <c r="AE1475" s="322">
        <f>SUM(Calculations[[#This Row],[C4 landfill]:[C4 re-use]])</f>
        <v>0</v>
      </c>
      <c r="AF1475" s="322">
        <f>IFERROR(VLOOKUP(Calculations[[#This Row],[Material (choose from dropdown]],MaterialData[#All],8,FALSE),0)</f>
        <v>0</v>
      </c>
      <c r="AG1475" s="322">
        <f>IFERROR(Calculations[[#This Row],[Total Kg]]*Calculations[[#This Row],[Seq factor]],0)</f>
        <v>0</v>
      </c>
      <c r="AI1475" s="322">
        <f>Calculations[[#This Row],[A1-3]]+Calculations[[#This Row],[A4]]+Calculations[[#This Row],[A5]]+Calculations[[#This Row],[B4]]+Calculations[[#This Row],[C2 total]]+Calculations[[#This Row],[C3 total]]+Calculations[[#This Row],[C4 total]]</f>
        <v>0</v>
      </c>
      <c r="AJ1475" s="2">
        <f>IFERROR(VLOOKUP(Calculations[[#This Row],[Material (choose from dropdown]],MaterialData[[#Headers],[#Data]],9,FALSE),0)</f>
        <v>0</v>
      </c>
      <c r="AK1475" s="4">
        <f>IFERROR(VLOOKUP(Calculations[[#This Row],[Material (choose from dropdown]],MaterialData[[#Headers],[#Data]],10,FALSE),0)</f>
        <v>0</v>
      </c>
      <c r="AL1475" s="322">
        <f>IFERROR(Calculations[[#This Row],[Data Quality Score]]*Calculations[[#This Row],[Total Kg]],0)</f>
        <v>0</v>
      </c>
    </row>
    <row r="1476" spans="1:38" x14ac:dyDescent="0.3">
      <c r="A1476" s="6">
        <f>IFERROR(MaterialsBoQ[[#This Row],[Scope Element]],0)</f>
        <v>0</v>
      </c>
      <c r="B1476" t="str">
        <f>IFERROR(MaterialsBoQ[[#This Row],[Material ]],"")</f>
        <v/>
      </c>
      <c r="C1476" t="str">
        <f>IFERROR(MaterialsBoQ[[#This Row],[Unit]],"")</f>
        <v/>
      </c>
      <c r="D1476" s="322">
        <f>IFERROR(MaterialsBoQ[[#This Row],[Number]],0)</f>
        <v>0</v>
      </c>
      <c r="E1476" s="322">
        <f>IFERROR(MaterialsBoQ[[#This Row],[Kg per unit]],0)</f>
        <v>0</v>
      </c>
      <c r="F1476" s="322">
        <f>IFERROR(Calculations[[#This Row],[Number]]*Calculations[[#This Row],[Conversion factor]],0)</f>
        <v>0</v>
      </c>
      <c r="G1476" s="322">
        <f>IFERROR(VLOOKUP(Calculations[[#This Row],[Material (choose from dropdown]],MaterialData[#All],7,FALSE),0)</f>
        <v>0</v>
      </c>
      <c r="H1476" s="322">
        <f>Calculations[[#This Row],[Total Kg]]*Calculations[[#This Row],[Carbon Factor]]</f>
        <v>0</v>
      </c>
      <c r="I1476" t="str">
        <f>IFERROR(VLOOKUP(Calculations[[#This Row],[Material (choose from dropdown]],MaterialData[#All],2,FALSE),"")</f>
        <v/>
      </c>
      <c r="J1476" s="322">
        <f>IFERROR(((VLOOKUP(Calculations[[#This Row],[TransportSource]],TransportDistance[],2,FALSE)*'Stage assumptions'!$C$11)+VLOOKUP(Calculations[[#This Row],[TransportSource]],TransportDistance[],3,FALSE)*'Stage assumptions'!$C$12)*Calculations[[#This Row],[Total Kg]],0)</f>
        <v>0</v>
      </c>
      <c r="K1476">
        <f>IFERROR(VLOOKUP(Calculations[[#This Row],[Material (choose from dropdown]], MaterialData[#All],3, FALSE),0)</f>
        <v>0</v>
      </c>
      <c r="L1476" s="322">
        <f>IFERROR(VLOOKUP(Calculations[[#This Row],[A5type]],A5WastageRate[#All],2,FALSE)*Calculations[[#This Row],[A1-3]],0)</f>
        <v>0</v>
      </c>
      <c r="N1476">
        <f>IFERROR(ROUNDUP(50/VLOOKUP(Calculations[[#This Row],[Scope Element]],B4referenceServiceLife[[Tier 2 element]:[Default Service Life]],2, FALSE)-1,0),0)</f>
        <v>0</v>
      </c>
      <c r="O1476" s="322">
        <f>IFERROR((Calculations[[#This Row],[A1-3]]+Calculations[[#This Row],[A4]]+Calculations[[#This Row],[A5]]+Calculations[[#This Row],[C2 total]]+Calculations[[#This Row],[C3 total]]+Calculations[[#This Row],[C4 total]])*Calculations[[#This Row],[Replacements]],0)</f>
        <v>0</v>
      </c>
      <c r="S1476" t="str">
        <f>IFERROR(VLOOKUP(Calculations[[#This Row],[Material (choose from dropdown]],MaterialData[#All],4,FALSE),"")</f>
        <v/>
      </c>
      <c r="T1476" s="322" cm="1">
        <f t="array" ref="T1476">IFERROR(VLOOKUP(Calculations[[#This Row],[Waste 1]],WasteScenario[#All],2,FALSE)*'Stage assumptions'!$C$225*WasteTransportMethod[Emissions Factor
kgCO2e/kg.km]*Calculations[[#This Row],[Total Kg]],0)</f>
        <v>0</v>
      </c>
      <c r="U1476" s="322" cm="1">
        <f t="array" ref="U1476">IFERROR(VLOOKUP(Calculations[[#This Row],[Waste 1]],WasteScenario[#All],3,FALSE)*'Stage assumptions'!$C$224*WasteTransportMethod[Emissions Factor
kgCO2e/kg.km]*Calculations[[#This Row],[Total Kg]],0)</f>
        <v>0</v>
      </c>
      <c r="V1476" s="322" cm="1">
        <f t="array" ref="V1476">IFERROR(VLOOKUP(Calculations[[#This Row],[Waste 1]],WasteScenario[#All],4,FALSE)*'Stage assumptions'!$C$223*WasteTransportMethod[Emissions Factor
kgCO2e/kg.km]*Calculations[[#This Row],[Total Kg]],0)</f>
        <v>0</v>
      </c>
      <c r="W1476" s="322" cm="1">
        <f t="array" ref="W1476">IFERROR(VLOOKUP(Calculations[[#This Row],[Waste 1]],WasteScenario[#All],5,FALSE)*'Stage assumptions'!$C$226*WasteTransportMethod[Emissions Factor
kgCO2e/kg.km]*Calculations[[#This Row],[Total Kg]],0)</f>
        <v>0</v>
      </c>
      <c r="X1476" s="322">
        <f>SUM(Calculations[[#This Row],[C2 Recycle]:[C2 Reuse]])</f>
        <v>0</v>
      </c>
      <c r="Y1476" t="str">
        <f>IFERROR(VLOOKUP(Calculations[[#This Row],[Material (choose from dropdown]],MaterialData[#All],5,FALSE),"")</f>
        <v/>
      </c>
      <c r="Z1476" s="322">
        <f>IFERROR(((VLOOKUP(Calculations[[#This Row],[Waste type 2]],WasteDisposalEmissions[#All],2,FALSE))*Calculations[[#This Row],[Total Kg]])*VLOOKUP(Calculations[[#This Row],[Waste 1]],WasteScenario[#All],2,FALSE),0)</f>
        <v>0</v>
      </c>
      <c r="AA1476" s="322">
        <f>IFERROR((VLOOKUP(Calculations[[#This Row],[Waste type 2]],WasteDisposalEmissions[#All],3,FALSE))*Calculations[[#This Row],[Total Kg]]*VLOOKUP(Calculations[[#This Row],[Waste 1]],WasteScenario[#All],3,FALSE),0)</f>
        <v>0</v>
      </c>
      <c r="AB1476" s="322">
        <f>SUM(Calculations[[#This Row],[C3 recyc]:[C3 incin]])</f>
        <v>0</v>
      </c>
      <c r="AC1476" s="334">
        <f>IFERROR((VLOOKUP(Calculations[[#This Row],[Waste type 2]],WasteLandfillEmissions[#All],2,FALSE))*Calculations[[#This Row],[Total Kg]]*VLOOKUP(Calculations[[#This Row],[Waste 1]],WasteScenario[#All],4,FALSE),0)</f>
        <v>0</v>
      </c>
      <c r="AD1476" s="322">
        <f>IFERROR((VLOOKUP(Calculations[[#This Row],[Waste type 2]],WasteLandfillEmissions[#All],3,FALSE))*Calculations[[#This Row],[Total Kg]]*VLOOKUP(Calculations[[#This Row],[Waste 1]],WasteScenario[#All],4,FALSE),0)</f>
        <v>0</v>
      </c>
      <c r="AE1476" s="322">
        <f>SUM(Calculations[[#This Row],[C4 landfill]:[C4 re-use]])</f>
        <v>0</v>
      </c>
      <c r="AF1476" s="322">
        <f>IFERROR(VLOOKUP(Calculations[[#This Row],[Material (choose from dropdown]],MaterialData[#All],8,FALSE),0)</f>
        <v>0</v>
      </c>
      <c r="AG1476" s="322">
        <f>IFERROR(Calculations[[#This Row],[Total Kg]]*Calculations[[#This Row],[Seq factor]],0)</f>
        <v>0</v>
      </c>
      <c r="AI1476" s="322">
        <f>Calculations[[#This Row],[A1-3]]+Calculations[[#This Row],[A4]]+Calculations[[#This Row],[A5]]+Calculations[[#This Row],[B4]]+Calculations[[#This Row],[C2 total]]+Calculations[[#This Row],[C3 total]]+Calculations[[#This Row],[C4 total]]</f>
        <v>0</v>
      </c>
      <c r="AJ1476" s="2">
        <f>IFERROR(VLOOKUP(Calculations[[#This Row],[Material (choose from dropdown]],MaterialData[[#Headers],[#Data]],9,FALSE),0)</f>
        <v>0</v>
      </c>
      <c r="AK1476" s="4">
        <f>IFERROR(VLOOKUP(Calculations[[#This Row],[Material (choose from dropdown]],MaterialData[[#Headers],[#Data]],10,FALSE),0)</f>
        <v>0</v>
      </c>
      <c r="AL1476" s="322">
        <f>IFERROR(Calculations[[#This Row],[Data Quality Score]]*Calculations[[#This Row],[Total Kg]],0)</f>
        <v>0</v>
      </c>
    </row>
    <row r="1477" spans="1:38" x14ac:dyDescent="0.3">
      <c r="A1477" s="6">
        <f>IFERROR(MaterialsBoQ[[#This Row],[Scope Element]],0)</f>
        <v>0</v>
      </c>
      <c r="B1477" t="str">
        <f>IFERROR(MaterialsBoQ[[#This Row],[Material ]],"")</f>
        <v/>
      </c>
      <c r="C1477" t="str">
        <f>IFERROR(MaterialsBoQ[[#This Row],[Unit]],"")</f>
        <v/>
      </c>
      <c r="D1477" s="322">
        <f>IFERROR(MaterialsBoQ[[#This Row],[Number]],0)</f>
        <v>0</v>
      </c>
      <c r="E1477" s="322">
        <f>IFERROR(MaterialsBoQ[[#This Row],[Kg per unit]],0)</f>
        <v>0</v>
      </c>
      <c r="F1477" s="322">
        <f>IFERROR(Calculations[[#This Row],[Number]]*Calculations[[#This Row],[Conversion factor]],0)</f>
        <v>0</v>
      </c>
      <c r="G1477" s="322">
        <f>IFERROR(VLOOKUP(Calculations[[#This Row],[Material (choose from dropdown]],MaterialData[#All],7,FALSE),0)</f>
        <v>0</v>
      </c>
      <c r="H1477" s="322">
        <f>Calculations[[#This Row],[Total Kg]]*Calculations[[#This Row],[Carbon Factor]]</f>
        <v>0</v>
      </c>
      <c r="I1477" t="str">
        <f>IFERROR(VLOOKUP(Calculations[[#This Row],[Material (choose from dropdown]],MaterialData[#All],2,FALSE),"")</f>
        <v/>
      </c>
      <c r="J1477" s="322">
        <f>IFERROR(((VLOOKUP(Calculations[[#This Row],[TransportSource]],TransportDistance[],2,FALSE)*'Stage assumptions'!$C$11)+VLOOKUP(Calculations[[#This Row],[TransportSource]],TransportDistance[],3,FALSE)*'Stage assumptions'!$C$12)*Calculations[[#This Row],[Total Kg]],0)</f>
        <v>0</v>
      </c>
      <c r="K1477">
        <f>IFERROR(VLOOKUP(Calculations[[#This Row],[Material (choose from dropdown]], MaterialData[#All],3, FALSE),0)</f>
        <v>0</v>
      </c>
      <c r="L1477" s="322">
        <f>IFERROR(VLOOKUP(Calculations[[#This Row],[A5type]],A5WastageRate[#All],2,FALSE)*Calculations[[#This Row],[A1-3]],0)</f>
        <v>0</v>
      </c>
      <c r="N1477">
        <f>IFERROR(ROUNDUP(50/VLOOKUP(Calculations[[#This Row],[Scope Element]],B4referenceServiceLife[[Tier 2 element]:[Default Service Life]],2, FALSE)-1,0),0)</f>
        <v>0</v>
      </c>
      <c r="O1477" s="322">
        <f>IFERROR((Calculations[[#This Row],[A1-3]]+Calculations[[#This Row],[A4]]+Calculations[[#This Row],[A5]]+Calculations[[#This Row],[C2 total]]+Calculations[[#This Row],[C3 total]]+Calculations[[#This Row],[C4 total]])*Calculations[[#This Row],[Replacements]],0)</f>
        <v>0</v>
      </c>
      <c r="S1477" t="str">
        <f>IFERROR(VLOOKUP(Calculations[[#This Row],[Material (choose from dropdown]],MaterialData[#All],4,FALSE),"")</f>
        <v/>
      </c>
      <c r="T1477" s="322" cm="1">
        <f t="array" ref="T1477">IFERROR(VLOOKUP(Calculations[[#This Row],[Waste 1]],WasteScenario[#All],2,FALSE)*'Stage assumptions'!$C$225*WasteTransportMethod[Emissions Factor
kgCO2e/kg.km]*Calculations[[#This Row],[Total Kg]],0)</f>
        <v>0</v>
      </c>
      <c r="U1477" s="322" cm="1">
        <f t="array" ref="U1477">IFERROR(VLOOKUP(Calculations[[#This Row],[Waste 1]],WasteScenario[#All],3,FALSE)*'Stage assumptions'!$C$224*WasteTransportMethod[Emissions Factor
kgCO2e/kg.km]*Calculations[[#This Row],[Total Kg]],0)</f>
        <v>0</v>
      </c>
      <c r="V1477" s="322" cm="1">
        <f t="array" ref="V1477">IFERROR(VLOOKUP(Calculations[[#This Row],[Waste 1]],WasteScenario[#All],4,FALSE)*'Stage assumptions'!$C$223*WasteTransportMethod[Emissions Factor
kgCO2e/kg.km]*Calculations[[#This Row],[Total Kg]],0)</f>
        <v>0</v>
      </c>
      <c r="W1477" s="322" cm="1">
        <f t="array" ref="W1477">IFERROR(VLOOKUP(Calculations[[#This Row],[Waste 1]],WasteScenario[#All],5,FALSE)*'Stage assumptions'!$C$226*WasteTransportMethod[Emissions Factor
kgCO2e/kg.km]*Calculations[[#This Row],[Total Kg]],0)</f>
        <v>0</v>
      </c>
      <c r="X1477" s="322">
        <f>SUM(Calculations[[#This Row],[C2 Recycle]:[C2 Reuse]])</f>
        <v>0</v>
      </c>
      <c r="Y1477" t="str">
        <f>IFERROR(VLOOKUP(Calculations[[#This Row],[Material (choose from dropdown]],MaterialData[#All],5,FALSE),"")</f>
        <v/>
      </c>
      <c r="Z1477" s="322">
        <f>IFERROR(((VLOOKUP(Calculations[[#This Row],[Waste type 2]],WasteDisposalEmissions[#All],2,FALSE))*Calculations[[#This Row],[Total Kg]])*VLOOKUP(Calculations[[#This Row],[Waste 1]],WasteScenario[#All],2,FALSE),0)</f>
        <v>0</v>
      </c>
      <c r="AA1477" s="322">
        <f>IFERROR((VLOOKUP(Calculations[[#This Row],[Waste type 2]],WasteDisposalEmissions[#All],3,FALSE))*Calculations[[#This Row],[Total Kg]]*VLOOKUP(Calculations[[#This Row],[Waste 1]],WasteScenario[#All],3,FALSE),0)</f>
        <v>0</v>
      </c>
      <c r="AB1477" s="322">
        <f>SUM(Calculations[[#This Row],[C3 recyc]:[C3 incin]])</f>
        <v>0</v>
      </c>
      <c r="AC1477" s="334">
        <f>IFERROR((VLOOKUP(Calculations[[#This Row],[Waste type 2]],WasteLandfillEmissions[#All],2,FALSE))*Calculations[[#This Row],[Total Kg]]*VLOOKUP(Calculations[[#This Row],[Waste 1]],WasteScenario[#All],4,FALSE),0)</f>
        <v>0</v>
      </c>
      <c r="AD1477" s="322">
        <f>IFERROR((VLOOKUP(Calculations[[#This Row],[Waste type 2]],WasteLandfillEmissions[#All],3,FALSE))*Calculations[[#This Row],[Total Kg]]*VLOOKUP(Calculations[[#This Row],[Waste 1]],WasteScenario[#All],4,FALSE),0)</f>
        <v>0</v>
      </c>
      <c r="AE1477" s="322">
        <f>SUM(Calculations[[#This Row],[C4 landfill]:[C4 re-use]])</f>
        <v>0</v>
      </c>
      <c r="AF1477" s="322">
        <f>IFERROR(VLOOKUP(Calculations[[#This Row],[Material (choose from dropdown]],MaterialData[#All],8,FALSE),0)</f>
        <v>0</v>
      </c>
      <c r="AG1477" s="322">
        <f>IFERROR(Calculations[[#This Row],[Total Kg]]*Calculations[[#This Row],[Seq factor]],0)</f>
        <v>0</v>
      </c>
      <c r="AI1477" s="322">
        <f>Calculations[[#This Row],[A1-3]]+Calculations[[#This Row],[A4]]+Calculations[[#This Row],[A5]]+Calculations[[#This Row],[B4]]+Calculations[[#This Row],[C2 total]]+Calculations[[#This Row],[C3 total]]+Calculations[[#This Row],[C4 total]]</f>
        <v>0</v>
      </c>
      <c r="AJ1477" s="2">
        <f>IFERROR(VLOOKUP(Calculations[[#This Row],[Material (choose from dropdown]],MaterialData[[#Headers],[#Data]],9,FALSE),0)</f>
        <v>0</v>
      </c>
      <c r="AK1477" s="4">
        <f>IFERROR(VLOOKUP(Calculations[[#This Row],[Material (choose from dropdown]],MaterialData[[#Headers],[#Data]],10,FALSE),0)</f>
        <v>0</v>
      </c>
      <c r="AL1477" s="322">
        <f>IFERROR(Calculations[[#This Row],[Data Quality Score]]*Calculations[[#This Row],[Total Kg]],0)</f>
        <v>0</v>
      </c>
    </row>
    <row r="1478" spans="1:38" x14ac:dyDescent="0.3">
      <c r="A1478" s="6">
        <f>IFERROR(MaterialsBoQ[[#This Row],[Scope Element]],0)</f>
        <v>0</v>
      </c>
      <c r="B1478" t="str">
        <f>IFERROR(MaterialsBoQ[[#This Row],[Material ]],"")</f>
        <v/>
      </c>
      <c r="C1478" t="str">
        <f>IFERROR(MaterialsBoQ[[#This Row],[Unit]],"")</f>
        <v/>
      </c>
      <c r="D1478" s="322">
        <f>IFERROR(MaterialsBoQ[[#This Row],[Number]],0)</f>
        <v>0</v>
      </c>
      <c r="E1478" s="322">
        <f>IFERROR(MaterialsBoQ[[#This Row],[Kg per unit]],0)</f>
        <v>0</v>
      </c>
      <c r="F1478" s="322">
        <f>IFERROR(Calculations[[#This Row],[Number]]*Calculations[[#This Row],[Conversion factor]],0)</f>
        <v>0</v>
      </c>
      <c r="G1478" s="322">
        <f>IFERROR(VLOOKUP(Calculations[[#This Row],[Material (choose from dropdown]],MaterialData[#All],7,FALSE),0)</f>
        <v>0</v>
      </c>
      <c r="H1478" s="322">
        <f>Calculations[[#This Row],[Total Kg]]*Calculations[[#This Row],[Carbon Factor]]</f>
        <v>0</v>
      </c>
      <c r="I1478" t="str">
        <f>IFERROR(VLOOKUP(Calculations[[#This Row],[Material (choose from dropdown]],MaterialData[#All],2,FALSE),"")</f>
        <v/>
      </c>
      <c r="J1478" s="322">
        <f>IFERROR(((VLOOKUP(Calculations[[#This Row],[TransportSource]],TransportDistance[],2,FALSE)*'Stage assumptions'!$C$11)+VLOOKUP(Calculations[[#This Row],[TransportSource]],TransportDistance[],3,FALSE)*'Stage assumptions'!$C$12)*Calculations[[#This Row],[Total Kg]],0)</f>
        <v>0</v>
      </c>
      <c r="K1478">
        <f>IFERROR(VLOOKUP(Calculations[[#This Row],[Material (choose from dropdown]], MaterialData[#All],3, FALSE),0)</f>
        <v>0</v>
      </c>
      <c r="L1478" s="322">
        <f>IFERROR(VLOOKUP(Calculations[[#This Row],[A5type]],A5WastageRate[#All],2,FALSE)*Calculations[[#This Row],[A1-3]],0)</f>
        <v>0</v>
      </c>
      <c r="N1478">
        <f>IFERROR(ROUNDUP(50/VLOOKUP(Calculations[[#This Row],[Scope Element]],B4referenceServiceLife[[Tier 2 element]:[Default Service Life]],2, FALSE)-1,0),0)</f>
        <v>0</v>
      </c>
      <c r="O1478" s="322">
        <f>IFERROR((Calculations[[#This Row],[A1-3]]+Calculations[[#This Row],[A4]]+Calculations[[#This Row],[A5]]+Calculations[[#This Row],[C2 total]]+Calculations[[#This Row],[C3 total]]+Calculations[[#This Row],[C4 total]])*Calculations[[#This Row],[Replacements]],0)</f>
        <v>0</v>
      </c>
      <c r="S1478" t="str">
        <f>IFERROR(VLOOKUP(Calculations[[#This Row],[Material (choose from dropdown]],MaterialData[#All],4,FALSE),"")</f>
        <v/>
      </c>
      <c r="T1478" s="322" cm="1">
        <f t="array" ref="T1478">IFERROR(VLOOKUP(Calculations[[#This Row],[Waste 1]],WasteScenario[#All],2,FALSE)*'Stage assumptions'!$C$225*WasteTransportMethod[Emissions Factor
kgCO2e/kg.km]*Calculations[[#This Row],[Total Kg]],0)</f>
        <v>0</v>
      </c>
      <c r="U1478" s="322" cm="1">
        <f t="array" ref="U1478">IFERROR(VLOOKUP(Calculations[[#This Row],[Waste 1]],WasteScenario[#All],3,FALSE)*'Stage assumptions'!$C$224*WasteTransportMethod[Emissions Factor
kgCO2e/kg.km]*Calculations[[#This Row],[Total Kg]],0)</f>
        <v>0</v>
      </c>
      <c r="V1478" s="322" cm="1">
        <f t="array" ref="V1478">IFERROR(VLOOKUP(Calculations[[#This Row],[Waste 1]],WasteScenario[#All],4,FALSE)*'Stage assumptions'!$C$223*WasteTransportMethod[Emissions Factor
kgCO2e/kg.km]*Calculations[[#This Row],[Total Kg]],0)</f>
        <v>0</v>
      </c>
      <c r="W1478" s="322" cm="1">
        <f t="array" ref="W1478">IFERROR(VLOOKUP(Calculations[[#This Row],[Waste 1]],WasteScenario[#All],5,FALSE)*'Stage assumptions'!$C$226*WasteTransportMethod[Emissions Factor
kgCO2e/kg.km]*Calculations[[#This Row],[Total Kg]],0)</f>
        <v>0</v>
      </c>
      <c r="X1478" s="322">
        <f>SUM(Calculations[[#This Row],[C2 Recycle]:[C2 Reuse]])</f>
        <v>0</v>
      </c>
      <c r="Y1478" t="str">
        <f>IFERROR(VLOOKUP(Calculations[[#This Row],[Material (choose from dropdown]],MaterialData[#All],5,FALSE),"")</f>
        <v/>
      </c>
      <c r="Z1478" s="322">
        <f>IFERROR(((VLOOKUP(Calculations[[#This Row],[Waste type 2]],WasteDisposalEmissions[#All],2,FALSE))*Calculations[[#This Row],[Total Kg]])*VLOOKUP(Calculations[[#This Row],[Waste 1]],WasteScenario[#All],2,FALSE),0)</f>
        <v>0</v>
      </c>
      <c r="AA1478" s="322">
        <f>IFERROR((VLOOKUP(Calculations[[#This Row],[Waste type 2]],WasteDisposalEmissions[#All],3,FALSE))*Calculations[[#This Row],[Total Kg]]*VLOOKUP(Calculations[[#This Row],[Waste 1]],WasteScenario[#All],3,FALSE),0)</f>
        <v>0</v>
      </c>
      <c r="AB1478" s="322">
        <f>SUM(Calculations[[#This Row],[C3 recyc]:[C3 incin]])</f>
        <v>0</v>
      </c>
      <c r="AC1478" s="334">
        <f>IFERROR((VLOOKUP(Calculations[[#This Row],[Waste type 2]],WasteLandfillEmissions[#All],2,FALSE))*Calculations[[#This Row],[Total Kg]]*VLOOKUP(Calculations[[#This Row],[Waste 1]],WasteScenario[#All],4,FALSE),0)</f>
        <v>0</v>
      </c>
      <c r="AD1478" s="322">
        <f>IFERROR((VLOOKUP(Calculations[[#This Row],[Waste type 2]],WasteLandfillEmissions[#All],3,FALSE))*Calculations[[#This Row],[Total Kg]]*VLOOKUP(Calculations[[#This Row],[Waste 1]],WasteScenario[#All],4,FALSE),0)</f>
        <v>0</v>
      </c>
      <c r="AE1478" s="322">
        <f>SUM(Calculations[[#This Row],[C4 landfill]:[C4 re-use]])</f>
        <v>0</v>
      </c>
      <c r="AF1478" s="322">
        <f>IFERROR(VLOOKUP(Calculations[[#This Row],[Material (choose from dropdown]],MaterialData[#All],8,FALSE),0)</f>
        <v>0</v>
      </c>
      <c r="AG1478" s="322">
        <f>IFERROR(Calculations[[#This Row],[Total Kg]]*Calculations[[#This Row],[Seq factor]],0)</f>
        <v>0</v>
      </c>
      <c r="AI1478" s="322">
        <f>Calculations[[#This Row],[A1-3]]+Calculations[[#This Row],[A4]]+Calculations[[#This Row],[A5]]+Calculations[[#This Row],[B4]]+Calculations[[#This Row],[C2 total]]+Calculations[[#This Row],[C3 total]]+Calculations[[#This Row],[C4 total]]</f>
        <v>0</v>
      </c>
      <c r="AJ1478" s="2">
        <f>IFERROR(VLOOKUP(Calculations[[#This Row],[Material (choose from dropdown]],MaterialData[[#Headers],[#Data]],9,FALSE),0)</f>
        <v>0</v>
      </c>
      <c r="AK1478" s="4">
        <f>IFERROR(VLOOKUP(Calculations[[#This Row],[Material (choose from dropdown]],MaterialData[[#Headers],[#Data]],10,FALSE),0)</f>
        <v>0</v>
      </c>
      <c r="AL1478" s="322">
        <f>IFERROR(Calculations[[#This Row],[Data Quality Score]]*Calculations[[#This Row],[Total Kg]],0)</f>
        <v>0</v>
      </c>
    </row>
    <row r="1479" spans="1:38" x14ac:dyDescent="0.3">
      <c r="A1479" s="6">
        <f>IFERROR(MaterialsBoQ[[#This Row],[Scope Element]],0)</f>
        <v>0</v>
      </c>
      <c r="B1479" t="str">
        <f>IFERROR(MaterialsBoQ[[#This Row],[Material ]],"")</f>
        <v/>
      </c>
      <c r="C1479" t="str">
        <f>IFERROR(MaterialsBoQ[[#This Row],[Unit]],"")</f>
        <v/>
      </c>
      <c r="D1479" s="322">
        <f>IFERROR(MaterialsBoQ[[#This Row],[Number]],0)</f>
        <v>0</v>
      </c>
      <c r="E1479" s="322">
        <f>IFERROR(MaterialsBoQ[[#This Row],[Kg per unit]],0)</f>
        <v>0</v>
      </c>
      <c r="F1479" s="322">
        <f>IFERROR(Calculations[[#This Row],[Number]]*Calculations[[#This Row],[Conversion factor]],0)</f>
        <v>0</v>
      </c>
      <c r="G1479" s="322">
        <f>IFERROR(VLOOKUP(Calculations[[#This Row],[Material (choose from dropdown]],MaterialData[#All],7,FALSE),0)</f>
        <v>0</v>
      </c>
      <c r="H1479" s="322">
        <f>Calculations[[#This Row],[Total Kg]]*Calculations[[#This Row],[Carbon Factor]]</f>
        <v>0</v>
      </c>
      <c r="I1479" t="str">
        <f>IFERROR(VLOOKUP(Calculations[[#This Row],[Material (choose from dropdown]],MaterialData[#All],2,FALSE),"")</f>
        <v/>
      </c>
      <c r="J1479" s="322">
        <f>IFERROR(((VLOOKUP(Calculations[[#This Row],[TransportSource]],TransportDistance[],2,FALSE)*'Stage assumptions'!$C$11)+VLOOKUP(Calculations[[#This Row],[TransportSource]],TransportDistance[],3,FALSE)*'Stage assumptions'!$C$12)*Calculations[[#This Row],[Total Kg]],0)</f>
        <v>0</v>
      </c>
      <c r="K1479">
        <f>IFERROR(VLOOKUP(Calculations[[#This Row],[Material (choose from dropdown]], MaterialData[#All],3, FALSE),0)</f>
        <v>0</v>
      </c>
      <c r="L1479" s="322">
        <f>IFERROR(VLOOKUP(Calculations[[#This Row],[A5type]],A5WastageRate[#All],2,FALSE)*Calculations[[#This Row],[A1-3]],0)</f>
        <v>0</v>
      </c>
      <c r="N1479">
        <f>IFERROR(ROUNDUP(50/VLOOKUP(Calculations[[#This Row],[Scope Element]],B4referenceServiceLife[[Tier 2 element]:[Default Service Life]],2, FALSE)-1,0),0)</f>
        <v>0</v>
      </c>
      <c r="O1479" s="322">
        <f>IFERROR((Calculations[[#This Row],[A1-3]]+Calculations[[#This Row],[A4]]+Calculations[[#This Row],[A5]]+Calculations[[#This Row],[C2 total]]+Calculations[[#This Row],[C3 total]]+Calculations[[#This Row],[C4 total]])*Calculations[[#This Row],[Replacements]],0)</f>
        <v>0</v>
      </c>
      <c r="S1479" t="str">
        <f>IFERROR(VLOOKUP(Calculations[[#This Row],[Material (choose from dropdown]],MaterialData[#All],4,FALSE),"")</f>
        <v/>
      </c>
      <c r="T1479" s="322" cm="1">
        <f t="array" ref="T1479">IFERROR(VLOOKUP(Calculations[[#This Row],[Waste 1]],WasteScenario[#All],2,FALSE)*'Stage assumptions'!$C$225*WasteTransportMethod[Emissions Factor
kgCO2e/kg.km]*Calculations[[#This Row],[Total Kg]],0)</f>
        <v>0</v>
      </c>
      <c r="U1479" s="322" cm="1">
        <f t="array" ref="U1479">IFERROR(VLOOKUP(Calculations[[#This Row],[Waste 1]],WasteScenario[#All],3,FALSE)*'Stage assumptions'!$C$224*WasteTransportMethod[Emissions Factor
kgCO2e/kg.km]*Calculations[[#This Row],[Total Kg]],0)</f>
        <v>0</v>
      </c>
      <c r="V1479" s="322" cm="1">
        <f t="array" ref="V1479">IFERROR(VLOOKUP(Calculations[[#This Row],[Waste 1]],WasteScenario[#All],4,FALSE)*'Stage assumptions'!$C$223*WasteTransportMethod[Emissions Factor
kgCO2e/kg.km]*Calculations[[#This Row],[Total Kg]],0)</f>
        <v>0</v>
      </c>
      <c r="W1479" s="322" cm="1">
        <f t="array" ref="W1479">IFERROR(VLOOKUP(Calculations[[#This Row],[Waste 1]],WasteScenario[#All],5,FALSE)*'Stage assumptions'!$C$226*WasteTransportMethod[Emissions Factor
kgCO2e/kg.km]*Calculations[[#This Row],[Total Kg]],0)</f>
        <v>0</v>
      </c>
      <c r="X1479" s="322">
        <f>SUM(Calculations[[#This Row],[C2 Recycle]:[C2 Reuse]])</f>
        <v>0</v>
      </c>
      <c r="Y1479" t="str">
        <f>IFERROR(VLOOKUP(Calculations[[#This Row],[Material (choose from dropdown]],MaterialData[#All],5,FALSE),"")</f>
        <v/>
      </c>
      <c r="Z1479" s="322">
        <f>IFERROR(((VLOOKUP(Calculations[[#This Row],[Waste type 2]],WasteDisposalEmissions[#All],2,FALSE))*Calculations[[#This Row],[Total Kg]])*VLOOKUP(Calculations[[#This Row],[Waste 1]],WasteScenario[#All],2,FALSE),0)</f>
        <v>0</v>
      </c>
      <c r="AA1479" s="322">
        <f>IFERROR((VLOOKUP(Calculations[[#This Row],[Waste type 2]],WasteDisposalEmissions[#All],3,FALSE))*Calculations[[#This Row],[Total Kg]]*VLOOKUP(Calculations[[#This Row],[Waste 1]],WasteScenario[#All],3,FALSE),0)</f>
        <v>0</v>
      </c>
      <c r="AB1479" s="322">
        <f>SUM(Calculations[[#This Row],[C3 recyc]:[C3 incin]])</f>
        <v>0</v>
      </c>
      <c r="AC1479" s="334">
        <f>IFERROR((VLOOKUP(Calculations[[#This Row],[Waste type 2]],WasteLandfillEmissions[#All],2,FALSE))*Calculations[[#This Row],[Total Kg]]*VLOOKUP(Calculations[[#This Row],[Waste 1]],WasteScenario[#All],4,FALSE),0)</f>
        <v>0</v>
      </c>
      <c r="AD1479" s="322">
        <f>IFERROR((VLOOKUP(Calculations[[#This Row],[Waste type 2]],WasteLandfillEmissions[#All],3,FALSE))*Calculations[[#This Row],[Total Kg]]*VLOOKUP(Calculations[[#This Row],[Waste 1]],WasteScenario[#All],4,FALSE),0)</f>
        <v>0</v>
      </c>
      <c r="AE1479" s="322">
        <f>SUM(Calculations[[#This Row],[C4 landfill]:[C4 re-use]])</f>
        <v>0</v>
      </c>
      <c r="AF1479" s="322">
        <f>IFERROR(VLOOKUP(Calculations[[#This Row],[Material (choose from dropdown]],MaterialData[#All],8,FALSE),0)</f>
        <v>0</v>
      </c>
      <c r="AG1479" s="322">
        <f>IFERROR(Calculations[[#This Row],[Total Kg]]*Calculations[[#This Row],[Seq factor]],0)</f>
        <v>0</v>
      </c>
      <c r="AI1479" s="322">
        <f>Calculations[[#This Row],[A1-3]]+Calculations[[#This Row],[A4]]+Calculations[[#This Row],[A5]]+Calculations[[#This Row],[B4]]+Calculations[[#This Row],[C2 total]]+Calculations[[#This Row],[C3 total]]+Calculations[[#This Row],[C4 total]]</f>
        <v>0</v>
      </c>
      <c r="AJ1479" s="2">
        <f>IFERROR(VLOOKUP(Calculations[[#This Row],[Material (choose from dropdown]],MaterialData[[#Headers],[#Data]],9,FALSE),0)</f>
        <v>0</v>
      </c>
      <c r="AK1479" s="4">
        <f>IFERROR(VLOOKUP(Calculations[[#This Row],[Material (choose from dropdown]],MaterialData[[#Headers],[#Data]],10,FALSE),0)</f>
        <v>0</v>
      </c>
      <c r="AL1479" s="322">
        <f>IFERROR(Calculations[[#This Row],[Data Quality Score]]*Calculations[[#This Row],[Total Kg]],0)</f>
        <v>0</v>
      </c>
    </row>
    <row r="1480" spans="1:38" x14ac:dyDescent="0.3">
      <c r="A1480" s="6">
        <f>IFERROR(MaterialsBoQ[[#This Row],[Scope Element]],0)</f>
        <v>0</v>
      </c>
      <c r="B1480" t="str">
        <f>IFERROR(MaterialsBoQ[[#This Row],[Material ]],"")</f>
        <v/>
      </c>
      <c r="C1480" t="str">
        <f>IFERROR(MaterialsBoQ[[#This Row],[Unit]],"")</f>
        <v/>
      </c>
      <c r="D1480" s="322">
        <f>IFERROR(MaterialsBoQ[[#This Row],[Number]],0)</f>
        <v>0</v>
      </c>
      <c r="E1480" s="322">
        <f>IFERROR(MaterialsBoQ[[#This Row],[Kg per unit]],0)</f>
        <v>0</v>
      </c>
      <c r="F1480" s="322">
        <f>IFERROR(Calculations[[#This Row],[Number]]*Calculations[[#This Row],[Conversion factor]],0)</f>
        <v>0</v>
      </c>
      <c r="G1480" s="322">
        <f>IFERROR(VLOOKUP(Calculations[[#This Row],[Material (choose from dropdown]],MaterialData[#All],7,FALSE),0)</f>
        <v>0</v>
      </c>
      <c r="H1480" s="322">
        <f>Calculations[[#This Row],[Total Kg]]*Calculations[[#This Row],[Carbon Factor]]</f>
        <v>0</v>
      </c>
      <c r="I1480" t="str">
        <f>IFERROR(VLOOKUP(Calculations[[#This Row],[Material (choose from dropdown]],MaterialData[#All],2,FALSE),"")</f>
        <v/>
      </c>
      <c r="J1480" s="322">
        <f>IFERROR(((VLOOKUP(Calculations[[#This Row],[TransportSource]],TransportDistance[],2,FALSE)*'Stage assumptions'!$C$11)+VLOOKUP(Calculations[[#This Row],[TransportSource]],TransportDistance[],3,FALSE)*'Stage assumptions'!$C$12)*Calculations[[#This Row],[Total Kg]],0)</f>
        <v>0</v>
      </c>
      <c r="K1480">
        <f>IFERROR(VLOOKUP(Calculations[[#This Row],[Material (choose from dropdown]], MaterialData[#All],3, FALSE),0)</f>
        <v>0</v>
      </c>
      <c r="L1480" s="322">
        <f>IFERROR(VLOOKUP(Calculations[[#This Row],[A5type]],A5WastageRate[#All],2,FALSE)*Calculations[[#This Row],[A1-3]],0)</f>
        <v>0</v>
      </c>
      <c r="N1480">
        <f>IFERROR(ROUNDUP(50/VLOOKUP(Calculations[[#This Row],[Scope Element]],B4referenceServiceLife[[Tier 2 element]:[Default Service Life]],2, FALSE)-1,0),0)</f>
        <v>0</v>
      </c>
      <c r="O1480" s="322">
        <f>IFERROR((Calculations[[#This Row],[A1-3]]+Calculations[[#This Row],[A4]]+Calculations[[#This Row],[A5]]+Calculations[[#This Row],[C2 total]]+Calculations[[#This Row],[C3 total]]+Calculations[[#This Row],[C4 total]])*Calculations[[#This Row],[Replacements]],0)</f>
        <v>0</v>
      </c>
      <c r="S1480" t="str">
        <f>IFERROR(VLOOKUP(Calculations[[#This Row],[Material (choose from dropdown]],MaterialData[#All],4,FALSE),"")</f>
        <v/>
      </c>
      <c r="T1480" s="322" cm="1">
        <f t="array" ref="T1480">IFERROR(VLOOKUP(Calculations[[#This Row],[Waste 1]],WasteScenario[#All],2,FALSE)*'Stage assumptions'!$C$225*WasteTransportMethod[Emissions Factor
kgCO2e/kg.km]*Calculations[[#This Row],[Total Kg]],0)</f>
        <v>0</v>
      </c>
      <c r="U1480" s="322" cm="1">
        <f t="array" ref="U1480">IFERROR(VLOOKUP(Calculations[[#This Row],[Waste 1]],WasteScenario[#All],3,FALSE)*'Stage assumptions'!$C$224*WasteTransportMethod[Emissions Factor
kgCO2e/kg.km]*Calculations[[#This Row],[Total Kg]],0)</f>
        <v>0</v>
      </c>
      <c r="V1480" s="322" cm="1">
        <f t="array" ref="V1480">IFERROR(VLOOKUP(Calculations[[#This Row],[Waste 1]],WasteScenario[#All],4,FALSE)*'Stage assumptions'!$C$223*WasteTransportMethod[Emissions Factor
kgCO2e/kg.km]*Calculations[[#This Row],[Total Kg]],0)</f>
        <v>0</v>
      </c>
      <c r="W1480" s="322" cm="1">
        <f t="array" ref="W1480">IFERROR(VLOOKUP(Calculations[[#This Row],[Waste 1]],WasteScenario[#All],5,FALSE)*'Stage assumptions'!$C$226*WasteTransportMethod[Emissions Factor
kgCO2e/kg.km]*Calculations[[#This Row],[Total Kg]],0)</f>
        <v>0</v>
      </c>
      <c r="X1480" s="322">
        <f>SUM(Calculations[[#This Row],[C2 Recycle]:[C2 Reuse]])</f>
        <v>0</v>
      </c>
      <c r="Y1480" t="str">
        <f>IFERROR(VLOOKUP(Calculations[[#This Row],[Material (choose from dropdown]],MaterialData[#All],5,FALSE),"")</f>
        <v/>
      </c>
      <c r="Z1480" s="322">
        <f>IFERROR(((VLOOKUP(Calculations[[#This Row],[Waste type 2]],WasteDisposalEmissions[#All],2,FALSE))*Calculations[[#This Row],[Total Kg]])*VLOOKUP(Calculations[[#This Row],[Waste 1]],WasteScenario[#All],2,FALSE),0)</f>
        <v>0</v>
      </c>
      <c r="AA1480" s="322">
        <f>IFERROR((VLOOKUP(Calculations[[#This Row],[Waste type 2]],WasteDisposalEmissions[#All],3,FALSE))*Calculations[[#This Row],[Total Kg]]*VLOOKUP(Calculations[[#This Row],[Waste 1]],WasteScenario[#All],3,FALSE),0)</f>
        <v>0</v>
      </c>
      <c r="AB1480" s="322">
        <f>SUM(Calculations[[#This Row],[C3 recyc]:[C3 incin]])</f>
        <v>0</v>
      </c>
      <c r="AC1480" s="334">
        <f>IFERROR((VLOOKUP(Calculations[[#This Row],[Waste type 2]],WasteLandfillEmissions[#All],2,FALSE))*Calculations[[#This Row],[Total Kg]]*VLOOKUP(Calculations[[#This Row],[Waste 1]],WasteScenario[#All],4,FALSE),0)</f>
        <v>0</v>
      </c>
      <c r="AD1480" s="322">
        <f>IFERROR((VLOOKUP(Calculations[[#This Row],[Waste type 2]],WasteLandfillEmissions[#All],3,FALSE))*Calculations[[#This Row],[Total Kg]]*VLOOKUP(Calculations[[#This Row],[Waste 1]],WasteScenario[#All],4,FALSE),0)</f>
        <v>0</v>
      </c>
      <c r="AE1480" s="322">
        <f>SUM(Calculations[[#This Row],[C4 landfill]:[C4 re-use]])</f>
        <v>0</v>
      </c>
      <c r="AF1480" s="322">
        <f>IFERROR(VLOOKUP(Calculations[[#This Row],[Material (choose from dropdown]],MaterialData[#All],8,FALSE),0)</f>
        <v>0</v>
      </c>
      <c r="AG1480" s="322">
        <f>IFERROR(Calculations[[#This Row],[Total Kg]]*Calculations[[#This Row],[Seq factor]],0)</f>
        <v>0</v>
      </c>
      <c r="AI1480" s="322">
        <f>Calculations[[#This Row],[A1-3]]+Calculations[[#This Row],[A4]]+Calculations[[#This Row],[A5]]+Calculations[[#This Row],[B4]]+Calculations[[#This Row],[C2 total]]+Calculations[[#This Row],[C3 total]]+Calculations[[#This Row],[C4 total]]</f>
        <v>0</v>
      </c>
      <c r="AJ1480" s="2">
        <f>IFERROR(VLOOKUP(Calculations[[#This Row],[Material (choose from dropdown]],MaterialData[[#Headers],[#Data]],9,FALSE),0)</f>
        <v>0</v>
      </c>
      <c r="AK1480" s="4">
        <f>IFERROR(VLOOKUP(Calculations[[#This Row],[Material (choose from dropdown]],MaterialData[[#Headers],[#Data]],10,FALSE),0)</f>
        <v>0</v>
      </c>
      <c r="AL1480" s="322">
        <f>IFERROR(Calculations[[#This Row],[Data Quality Score]]*Calculations[[#This Row],[Total Kg]],0)</f>
        <v>0</v>
      </c>
    </row>
    <row r="1481" spans="1:38" x14ac:dyDescent="0.3">
      <c r="A1481" s="6">
        <f>IFERROR(MaterialsBoQ[[#This Row],[Scope Element]],0)</f>
        <v>0</v>
      </c>
      <c r="B1481" t="str">
        <f>IFERROR(MaterialsBoQ[[#This Row],[Material ]],"")</f>
        <v/>
      </c>
      <c r="C1481" t="str">
        <f>IFERROR(MaterialsBoQ[[#This Row],[Unit]],"")</f>
        <v/>
      </c>
      <c r="D1481" s="322">
        <f>IFERROR(MaterialsBoQ[[#This Row],[Number]],0)</f>
        <v>0</v>
      </c>
      <c r="E1481" s="322">
        <f>IFERROR(MaterialsBoQ[[#This Row],[Kg per unit]],0)</f>
        <v>0</v>
      </c>
      <c r="F1481" s="322">
        <f>IFERROR(Calculations[[#This Row],[Number]]*Calculations[[#This Row],[Conversion factor]],0)</f>
        <v>0</v>
      </c>
      <c r="G1481" s="322">
        <f>IFERROR(VLOOKUP(Calculations[[#This Row],[Material (choose from dropdown]],MaterialData[#All],7,FALSE),0)</f>
        <v>0</v>
      </c>
      <c r="H1481" s="322">
        <f>Calculations[[#This Row],[Total Kg]]*Calculations[[#This Row],[Carbon Factor]]</f>
        <v>0</v>
      </c>
      <c r="I1481" t="str">
        <f>IFERROR(VLOOKUP(Calculations[[#This Row],[Material (choose from dropdown]],MaterialData[#All],2,FALSE),"")</f>
        <v/>
      </c>
      <c r="J1481" s="322">
        <f>IFERROR(((VLOOKUP(Calculations[[#This Row],[TransportSource]],TransportDistance[],2,FALSE)*'Stage assumptions'!$C$11)+VLOOKUP(Calculations[[#This Row],[TransportSource]],TransportDistance[],3,FALSE)*'Stage assumptions'!$C$12)*Calculations[[#This Row],[Total Kg]],0)</f>
        <v>0</v>
      </c>
      <c r="K1481">
        <f>IFERROR(VLOOKUP(Calculations[[#This Row],[Material (choose from dropdown]], MaterialData[#All],3, FALSE),0)</f>
        <v>0</v>
      </c>
      <c r="L1481" s="322">
        <f>IFERROR(VLOOKUP(Calculations[[#This Row],[A5type]],A5WastageRate[#All],2,FALSE)*Calculations[[#This Row],[A1-3]],0)</f>
        <v>0</v>
      </c>
      <c r="N1481">
        <f>IFERROR(ROUNDUP(50/VLOOKUP(Calculations[[#This Row],[Scope Element]],B4referenceServiceLife[[Tier 2 element]:[Default Service Life]],2, FALSE)-1,0),0)</f>
        <v>0</v>
      </c>
      <c r="O1481" s="322">
        <f>IFERROR((Calculations[[#This Row],[A1-3]]+Calculations[[#This Row],[A4]]+Calculations[[#This Row],[A5]]+Calculations[[#This Row],[C2 total]]+Calculations[[#This Row],[C3 total]]+Calculations[[#This Row],[C4 total]])*Calculations[[#This Row],[Replacements]],0)</f>
        <v>0</v>
      </c>
      <c r="S1481" t="str">
        <f>IFERROR(VLOOKUP(Calculations[[#This Row],[Material (choose from dropdown]],MaterialData[#All],4,FALSE),"")</f>
        <v/>
      </c>
      <c r="T1481" s="322" cm="1">
        <f t="array" ref="T1481">IFERROR(VLOOKUP(Calculations[[#This Row],[Waste 1]],WasteScenario[#All],2,FALSE)*'Stage assumptions'!$C$225*WasteTransportMethod[Emissions Factor
kgCO2e/kg.km]*Calculations[[#This Row],[Total Kg]],0)</f>
        <v>0</v>
      </c>
      <c r="U1481" s="322" cm="1">
        <f t="array" ref="U1481">IFERROR(VLOOKUP(Calculations[[#This Row],[Waste 1]],WasteScenario[#All],3,FALSE)*'Stage assumptions'!$C$224*WasteTransportMethod[Emissions Factor
kgCO2e/kg.km]*Calculations[[#This Row],[Total Kg]],0)</f>
        <v>0</v>
      </c>
      <c r="V1481" s="322" cm="1">
        <f t="array" ref="V1481">IFERROR(VLOOKUP(Calculations[[#This Row],[Waste 1]],WasteScenario[#All],4,FALSE)*'Stage assumptions'!$C$223*WasteTransportMethod[Emissions Factor
kgCO2e/kg.km]*Calculations[[#This Row],[Total Kg]],0)</f>
        <v>0</v>
      </c>
      <c r="W1481" s="322" cm="1">
        <f t="array" ref="W1481">IFERROR(VLOOKUP(Calculations[[#This Row],[Waste 1]],WasteScenario[#All],5,FALSE)*'Stage assumptions'!$C$226*WasteTransportMethod[Emissions Factor
kgCO2e/kg.km]*Calculations[[#This Row],[Total Kg]],0)</f>
        <v>0</v>
      </c>
      <c r="X1481" s="322">
        <f>SUM(Calculations[[#This Row],[C2 Recycle]:[C2 Reuse]])</f>
        <v>0</v>
      </c>
      <c r="Y1481" t="str">
        <f>IFERROR(VLOOKUP(Calculations[[#This Row],[Material (choose from dropdown]],MaterialData[#All],5,FALSE),"")</f>
        <v/>
      </c>
      <c r="Z1481" s="322">
        <f>IFERROR(((VLOOKUP(Calculations[[#This Row],[Waste type 2]],WasteDisposalEmissions[#All],2,FALSE))*Calculations[[#This Row],[Total Kg]])*VLOOKUP(Calculations[[#This Row],[Waste 1]],WasteScenario[#All],2,FALSE),0)</f>
        <v>0</v>
      </c>
      <c r="AA1481" s="322">
        <f>IFERROR((VLOOKUP(Calculations[[#This Row],[Waste type 2]],WasteDisposalEmissions[#All],3,FALSE))*Calculations[[#This Row],[Total Kg]]*VLOOKUP(Calculations[[#This Row],[Waste 1]],WasteScenario[#All],3,FALSE),0)</f>
        <v>0</v>
      </c>
      <c r="AB1481" s="322">
        <f>SUM(Calculations[[#This Row],[C3 recyc]:[C3 incin]])</f>
        <v>0</v>
      </c>
      <c r="AC1481" s="334">
        <f>IFERROR((VLOOKUP(Calculations[[#This Row],[Waste type 2]],WasteLandfillEmissions[#All],2,FALSE))*Calculations[[#This Row],[Total Kg]]*VLOOKUP(Calculations[[#This Row],[Waste 1]],WasteScenario[#All],4,FALSE),0)</f>
        <v>0</v>
      </c>
      <c r="AD1481" s="322">
        <f>IFERROR((VLOOKUP(Calculations[[#This Row],[Waste type 2]],WasteLandfillEmissions[#All],3,FALSE))*Calculations[[#This Row],[Total Kg]]*VLOOKUP(Calculations[[#This Row],[Waste 1]],WasteScenario[#All],4,FALSE),0)</f>
        <v>0</v>
      </c>
      <c r="AE1481" s="322">
        <f>SUM(Calculations[[#This Row],[C4 landfill]:[C4 re-use]])</f>
        <v>0</v>
      </c>
      <c r="AF1481" s="322">
        <f>IFERROR(VLOOKUP(Calculations[[#This Row],[Material (choose from dropdown]],MaterialData[#All],8,FALSE),0)</f>
        <v>0</v>
      </c>
      <c r="AG1481" s="322">
        <f>IFERROR(Calculations[[#This Row],[Total Kg]]*Calculations[[#This Row],[Seq factor]],0)</f>
        <v>0</v>
      </c>
      <c r="AI1481" s="322">
        <f>Calculations[[#This Row],[A1-3]]+Calculations[[#This Row],[A4]]+Calculations[[#This Row],[A5]]+Calculations[[#This Row],[B4]]+Calculations[[#This Row],[C2 total]]+Calculations[[#This Row],[C3 total]]+Calculations[[#This Row],[C4 total]]</f>
        <v>0</v>
      </c>
      <c r="AJ1481" s="2">
        <f>IFERROR(VLOOKUP(Calculations[[#This Row],[Material (choose from dropdown]],MaterialData[[#Headers],[#Data]],9,FALSE),0)</f>
        <v>0</v>
      </c>
      <c r="AK1481" s="4">
        <f>IFERROR(VLOOKUP(Calculations[[#This Row],[Material (choose from dropdown]],MaterialData[[#Headers],[#Data]],10,FALSE),0)</f>
        <v>0</v>
      </c>
      <c r="AL1481" s="322">
        <f>IFERROR(Calculations[[#This Row],[Data Quality Score]]*Calculations[[#This Row],[Total Kg]],0)</f>
        <v>0</v>
      </c>
    </row>
    <row r="1482" spans="1:38" x14ac:dyDescent="0.3">
      <c r="A1482" s="6">
        <f>IFERROR(MaterialsBoQ[[#This Row],[Scope Element]],0)</f>
        <v>0</v>
      </c>
      <c r="B1482" t="str">
        <f>IFERROR(MaterialsBoQ[[#This Row],[Material ]],"")</f>
        <v/>
      </c>
      <c r="C1482" t="str">
        <f>IFERROR(MaterialsBoQ[[#This Row],[Unit]],"")</f>
        <v/>
      </c>
      <c r="D1482" s="322">
        <f>IFERROR(MaterialsBoQ[[#This Row],[Number]],0)</f>
        <v>0</v>
      </c>
      <c r="E1482" s="322">
        <f>IFERROR(MaterialsBoQ[[#This Row],[Kg per unit]],0)</f>
        <v>0</v>
      </c>
      <c r="F1482" s="322">
        <f>IFERROR(Calculations[[#This Row],[Number]]*Calculations[[#This Row],[Conversion factor]],0)</f>
        <v>0</v>
      </c>
      <c r="G1482" s="322">
        <f>IFERROR(VLOOKUP(Calculations[[#This Row],[Material (choose from dropdown]],MaterialData[#All],7,FALSE),0)</f>
        <v>0</v>
      </c>
      <c r="H1482" s="322">
        <f>Calculations[[#This Row],[Total Kg]]*Calculations[[#This Row],[Carbon Factor]]</f>
        <v>0</v>
      </c>
      <c r="I1482" t="str">
        <f>IFERROR(VLOOKUP(Calculations[[#This Row],[Material (choose from dropdown]],MaterialData[#All],2,FALSE),"")</f>
        <v/>
      </c>
      <c r="J1482" s="322">
        <f>IFERROR(((VLOOKUP(Calculations[[#This Row],[TransportSource]],TransportDistance[],2,FALSE)*'Stage assumptions'!$C$11)+VLOOKUP(Calculations[[#This Row],[TransportSource]],TransportDistance[],3,FALSE)*'Stage assumptions'!$C$12)*Calculations[[#This Row],[Total Kg]],0)</f>
        <v>0</v>
      </c>
      <c r="K1482">
        <f>IFERROR(VLOOKUP(Calculations[[#This Row],[Material (choose from dropdown]], MaterialData[#All],3, FALSE),0)</f>
        <v>0</v>
      </c>
      <c r="L1482" s="322">
        <f>IFERROR(VLOOKUP(Calculations[[#This Row],[A5type]],A5WastageRate[#All],2,FALSE)*Calculations[[#This Row],[A1-3]],0)</f>
        <v>0</v>
      </c>
      <c r="N1482">
        <f>IFERROR(ROUNDUP(50/VLOOKUP(Calculations[[#This Row],[Scope Element]],B4referenceServiceLife[[Tier 2 element]:[Default Service Life]],2, FALSE)-1,0),0)</f>
        <v>0</v>
      </c>
      <c r="O1482" s="322">
        <f>IFERROR((Calculations[[#This Row],[A1-3]]+Calculations[[#This Row],[A4]]+Calculations[[#This Row],[A5]]+Calculations[[#This Row],[C2 total]]+Calculations[[#This Row],[C3 total]]+Calculations[[#This Row],[C4 total]])*Calculations[[#This Row],[Replacements]],0)</f>
        <v>0</v>
      </c>
      <c r="S1482" t="str">
        <f>IFERROR(VLOOKUP(Calculations[[#This Row],[Material (choose from dropdown]],MaterialData[#All],4,FALSE),"")</f>
        <v/>
      </c>
      <c r="T1482" s="322" cm="1">
        <f t="array" ref="T1482">IFERROR(VLOOKUP(Calculations[[#This Row],[Waste 1]],WasteScenario[#All],2,FALSE)*'Stage assumptions'!$C$225*WasteTransportMethod[Emissions Factor
kgCO2e/kg.km]*Calculations[[#This Row],[Total Kg]],0)</f>
        <v>0</v>
      </c>
      <c r="U1482" s="322" cm="1">
        <f t="array" ref="U1482">IFERROR(VLOOKUP(Calculations[[#This Row],[Waste 1]],WasteScenario[#All],3,FALSE)*'Stage assumptions'!$C$224*WasteTransportMethod[Emissions Factor
kgCO2e/kg.km]*Calculations[[#This Row],[Total Kg]],0)</f>
        <v>0</v>
      </c>
      <c r="V1482" s="322" cm="1">
        <f t="array" ref="V1482">IFERROR(VLOOKUP(Calculations[[#This Row],[Waste 1]],WasteScenario[#All],4,FALSE)*'Stage assumptions'!$C$223*WasteTransportMethod[Emissions Factor
kgCO2e/kg.km]*Calculations[[#This Row],[Total Kg]],0)</f>
        <v>0</v>
      </c>
      <c r="W1482" s="322" cm="1">
        <f t="array" ref="W1482">IFERROR(VLOOKUP(Calculations[[#This Row],[Waste 1]],WasteScenario[#All],5,FALSE)*'Stage assumptions'!$C$226*WasteTransportMethod[Emissions Factor
kgCO2e/kg.km]*Calculations[[#This Row],[Total Kg]],0)</f>
        <v>0</v>
      </c>
      <c r="X1482" s="322">
        <f>SUM(Calculations[[#This Row],[C2 Recycle]:[C2 Reuse]])</f>
        <v>0</v>
      </c>
      <c r="Y1482" t="str">
        <f>IFERROR(VLOOKUP(Calculations[[#This Row],[Material (choose from dropdown]],MaterialData[#All],5,FALSE),"")</f>
        <v/>
      </c>
      <c r="Z1482" s="322">
        <f>IFERROR(((VLOOKUP(Calculations[[#This Row],[Waste type 2]],WasteDisposalEmissions[#All],2,FALSE))*Calculations[[#This Row],[Total Kg]])*VLOOKUP(Calculations[[#This Row],[Waste 1]],WasteScenario[#All],2,FALSE),0)</f>
        <v>0</v>
      </c>
      <c r="AA1482" s="322">
        <f>IFERROR((VLOOKUP(Calculations[[#This Row],[Waste type 2]],WasteDisposalEmissions[#All],3,FALSE))*Calculations[[#This Row],[Total Kg]]*VLOOKUP(Calculations[[#This Row],[Waste 1]],WasteScenario[#All],3,FALSE),0)</f>
        <v>0</v>
      </c>
      <c r="AB1482" s="322">
        <f>SUM(Calculations[[#This Row],[C3 recyc]:[C3 incin]])</f>
        <v>0</v>
      </c>
      <c r="AC1482" s="334">
        <f>IFERROR((VLOOKUP(Calculations[[#This Row],[Waste type 2]],WasteLandfillEmissions[#All],2,FALSE))*Calculations[[#This Row],[Total Kg]]*VLOOKUP(Calculations[[#This Row],[Waste 1]],WasteScenario[#All],4,FALSE),0)</f>
        <v>0</v>
      </c>
      <c r="AD1482" s="322">
        <f>IFERROR((VLOOKUP(Calculations[[#This Row],[Waste type 2]],WasteLandfillEmissions[#All],3,FALSE))*Calculations[[#This Row],[Total Kg]]*VLOOKUP(Calculations[[#This Row],[Waste 1]],WasteScenario[#All],4,FALSE),0)</f>
        <v>0</v>
      </c>
      <c r="AE1482" s="322">
        <f>SUM(Calculations[[#This Row],[C4 landfill]:[C4 re-use]])</f>
        <v>0</v>
      </c>
      <c r="AF1482" s="322">
        <f>IFERROR(VLOOKUP(Calculations[[#This Row],[Material (choose from dropdown]],MaterialData[#All],8,FALSE),0)</f>
        <v>0</v>
      </c>
      <c r="AG1482" s="322">
        <f>IFERROR(Calculations[[#This Row],[Total Kg]]*Calculations[[#This Row],[Seq factor]],0)</f>
        <v>0</v>
      </c>
      <c r="AI1482" s="322">
        <f>Calculations[[#This Row],[A1-3]]+Calculations[[#This Row],[A4]]+Calculations[[#This Row],[A5]]+Calculations[[#This Row],[B4]]+Calculations[[#This Row],[C2 total]]+Calculations[[#This Row],[C3 total]]+Calculations[[#This Row],[C4 total]]</f>
        <v>0</v>
      </c>
      <c r="AJ1482" s="2">
        <f>IFERROR(VLOOKUP(Calculations[[#This Row],[Material (choose from dropdown]],MaterialData[[#Headers],[#Data]],9,FALSE),0)</f>
        <v>0</v>
      </c>
      <c r="AK1482" s="4">
        <f>IFERROR(VLOOKUP(Calculations[[#This Row],[Material (choose from dropdown]],MaterialData[[#Headers],[#Data]],10,FALSE),0)</f>
        <v>0</v>
      </c>
      <c r="AL1482" s="322">
        <f>IFERROR(Calculations[[#This Row],[Data Quality Score]]*Calculations[[#This Row],[Total Kg]],0)</f>
        <v>0</v>
      </c>
    </row>
    <row r="1483" spans="1:38" x14ac:dyDescent="0.3">
      <c r="A1483" s="6">
        <f>IFERROR(MaterialsBoQ[[#This Row],[Scope Element]],0)</f>
        <v>0</v>
      </c>
      <c r="B1483" t="str">
        <f>IFERROR(MaterialsBoQ[[#This Row],[Material ]],"")</f>
        <v/>
      </c>
      <c r="C1483" t="str">
        <f>IFERROR(MaterialsBoQ[[#This Row],[Unit]],"")</f>
        <v/>
      </c>
      <c r="D1483" s="322">
        <f>IFERROR(MaterialsBoQ[[#This Row],[Number]],0)</f>
        <v>0</v>
      </c>
      <c r="E1483" s="322">
        <f>IFERROR(MaterialsBoQ[[#This Row],[Kg per unit]],0)</f>
        <v>0</v>
      </c>
      <c r="F1483" s="322">
        <f>IFERROR(Calculations[[#This Row],[Number]]*Calculations[[#This Row],[Conversion factor]],0)</f>
        <v>0</v>
      </c>
      <c r="G1483" s="322">
        <f>IFERROR(VLOOKUP(Calculations[[#This Row],[Material (choose from dropdown]],MaterialData[#All],7,FALSE),0)</f>
        <v>0</v>
      </c>
      <c r="H1483" s="322">
        <f>Calculations[[#This Row],[Total Kg]]*Calculations[[#This Row],[Carbon Factor]]</f>
        <v>0</v>
      </c>
      <c r="I1483" t="str">
        <f>IFERROR(VLOOKUP(Calculations[[#This Row],[Material (choose from dropdown]],MaterialData[#All],2,FALSE),"")</f>
        <v/>
      </c>
      <c r="J1483" s="322">
        <f>IFERROR(((VLOOKUP(Calculations[[#This Row],[TransportSource]],TransportDistance[],2,FALSE)*'Stage assumptions'!$C$11)+VLOOKUP(Calculations[[#This Row],[TransportSource]],TransportDistance[],3,FALSE)*'Stage assumptions'!$C$12)*Calculations[[#This Row],[Total Kg]],0)</f>
        <v>0</v>
      </c>
      <c r="K1483">
        <f>IFERROR(VLOOKUP(Calculations[[#This Row],[Material (choose from dropdown]], MaterialData[#All],3, FALSE),0)</f>
        <v>0</v>
      </c>
      <c r="L1483" s="322">
        <f>IFERROR(VLOOKUP(Calculations[[#This Row],[A5type]],A5WastageRate[#All],2,FALSE)*Calculations[[#This Row],[A1-3]],0)</f>
        <v>0</v>
      </c>
      <c r="N1483">
        <f>IFERROR(ROUNDUP(50/VLOOKUP(Calculations[[#This Row],[Scope Element]],B4referenceServiceLife[[Tier 2 element]:[Default Service Life]],2, FALSE)-1,0),0)</f>
        <v>0</v>
      </c>
      <c r="O1483" s="322">
        <f>IFERROR((Calculations[[#This Row],[A1-3]]+Calculations[[#This Row],[A4]]+Calculations[[#This Row],[A5]]+Calculations[[#This Row],[C2 total]]+Calculations[[#This Row],[C3 total]]+Calculations[[#This Row],[C4 total]])*Calculations[[#This Row],[Replacements]],0)</f>
        <v>0</v>
      </c>
      <c r="S1483" t="str">
        <f>IFERROR(VLOOKUP(Calculations[[#This Row],[Material (choose from dropdown]],MaterialData[#All],4,FALSE),"")</f>
        <v/>
      </c>
      <c r="T1483" s="322" cm="1">
        <f t="array" ref="T1483">IFERROR(VLOOKUP(Calculations[[#This Row],[Waste 1]],WasteScenario[#All],2,FALSE)*'Stage assumptions'!$C$225*WasteTransportMethod[Emissions Factor
kgCO2e/kg.km]*Calculations[[#This Row],[Total Kg]],0)</f>
        <v>0</v>
      </c>
      <c r="U1483" s="322" cm="1">
        <f t="array" ref="U1483">IFERROR(VLOOKUP(Calculations[[#This Row],[Waste 1]],WasteScenario[#All],3,FALSE)*'Stage assumptions'!$C$224*WasteTransportMethod[Emissions Factor
kgCO2e/kg.km]*Calculations[[#This Row],[Total Kg]],0)</f>
        <v>0</v>
      </c>
      <c r="V1483" s="322" cm="1">
        <f t="array" ref="V1483">IFERROR(VLOOKUP(Calculations[[#This Row],[Waste 1]],WasteScenario[#All],4,FALSE)*'Stage assumptions'!$C$223*WasteTransportMethod[Emissions Factor
kgCO2e/kg.km]*Calculations[[#This Row],[Total Kg]],0)</f>
        <v>0</v>
      </c>
      <c r="W1483" s="322" cm="1">
        <f t="array" ref="W1483">IFERROR(VLOOKUP(Calculations[[#This Row],[Waste 1]],WasteScenario[#All],5,FALSE)*'Stage assumptions'!$C$226*WasteTransportMethod[Emissions Factor
kgCO2e/kg.km]*Calculations[[#This Row],[Total Kg]],0)</f>
        <v>0</v>
      </c>
      <c r="X1483" s="322">
        <f>SUM(Calculations[[#This Row],[C2 Recycle]:[C2 Reuse]])</f>
        <v>0</v>
      </c>
      <c r="Y1483" t="str">
        <f>IFERROR(VLOOKUP(Calculations[[#This Row],[Material (choose from dropdown]],MaterialData[#All],5,FALSE),"")</f>
        <v/>
      </c>
      <c r="Z1483" s="322">
        <f>IFERROR(((VLOOKUP(Calculations[[#This Row],[Waste type 2]],WasteDisposalEmissions[#All],2,FALSE))*Calculations[[#This Row],[Total Kg]])*VLOOKUP(Calculations[[#This Row],[Waste 1]],WasteScenario[#All],2,FALSE),0)</f>
        <v>0</v>
      </c>
      <c r="AA1483" s="322">
        <f>IFERROR((VLOOKUP(Calculations[[#This Row],[Waste type 2]],WasteDisposalEmissions[#All],3,FALSE))*Calculations[[#This Row],[Total Kg]]*VLOOKUP(Calculations[[#This Row],[Waste 1]],WasteScenario[#All],3,FALSE),0)</f>
        <v>0</v>
      </c>
      <c r="AB1483" s="322">
        <f>SUM(Calculations[[#This Row],[C3 recyc]:[C3 incin]])</f>
        <v>0</v>
      </c>
      <c r="AC1483" s="334">
        <f>IFERROR((VLOOKUP(Calculations[[#This Row],[Waste type 2]],WasteLandfillEmissions[#All],2,FALSE))*Calculations[[#This Row],[Total Kg]]*VLOOKUP(Calculations[[#This Row],[Waste 1]],WasteScenario[#All],4,FALSE),0)</f>
        <v>0</v>
      </c>
      <c r="AD1483" s="322">
        <f>IFERROR((VLOOKUP(Calculations[[#This Row],[Waste type 2]],WasteLandfillEmissions[#All],3,FALSE))*Calculations[[#This Row],[Total Kg]]*VLOOKUP(Calculations[[#This Row],[Waste 1]],WasteScenario[#All],4,FALSE),0)</f>
        <v>0</v>
      </c>
      <c r="AE1483" s="322">
        <f>SUM(Calculations[[#This Row],[C4 landfill]:[C4 re-use]])</f>
        <v>0</v>
      </c>
      <c r="AF1483" s="322">
        <f>IFERROR(VLOOKUP(Calculations[[#This Row],[Material (choose from dropdown]],MaterialData[#All],8,FALSE),0)</f>
        <v>0</v>
      </c>
      <c r="AG1483" s="322">
        <f>IFERROR(Calculations[[#This Row],[Total Kg]]*Calculations[[#This Row],[Seq factor]],0)</f>
        <v>0</v>
      </c>
      <c r="AI1483" s="322">
        <f>Calculations[[#This Row],[A1-3]]+Calculations[[#This Row],[A4]]+Calculations[[#This Row],[A5]]+Calculations[[#This Row],[B4]]+Calculations[[#This Row],[C2 total]]+Calculations[[#This Row],[C3 total]]+Calculations[[#This Row],[C4 total]]</f>
        <v>0</v>
      </c>
      <c r="AJ1483" s="2">
        <f>IFERROR(VLOOKUP(Calculations[[#This Row],[Material (choose from dropdown]],MaterialData[[#Headers],[#Data]],9,FALSE),0)</f>
        <v>0</v>
      </c>
      <c r="AK1483" s="4">
        <f>IFERROR(VLOOKUP(Calculations[[#This Row],[Material (choose from dropdown]],MaterialData[[#Headers],[#Data]],10,FALSE),0)</f>
        <v>0</v>
      </c>
      <c r="AL1483" s="322">
        <f>IFERROR(Calculations[[#This Row],[Data Quality Score]]*Calculations[[#This Row],[Total Kg]],0)</f>
        <v>0</v>
      </c>
    </row>
    <row r="1484" spans="1:38" x14ac:dyDescent="0.3">
      <c r="A1484" s="6">
        <f>IFERROR(MaterialsBoQ[[#This Row],[Scope Element]],0)</f>
        <v>0</v>
      </c>
      <c r="B1484" t="str">
        <f>IFERROR(MaterialsBoQ[[#This Row],[Material ]],"")</f>
        <v/>
      </c>
      <c r="C1484" t="str">
        <f>IFERROR(MaterialsBoQ[[#This Row],[Unit]],"")</f>
        <v/>
      </c>
      <c r="D1484" s="322">
        <f>IFERROR(MaterialsBoQ[[#This Row],[Number]],0)</f>
        <v>0</v>
      </c>
      <c r="E1484" s="322">
        <f>IFERROR(MaterialsBoQ[[#This Row],[Kg per unit]],0)</f>
        <v>0</v>
      </c>
      <c r="F1484" s="322">
        <f>IFERROR(Calculations[[#This Row],[Number]]*Calculations[[#This Row],[Conversion factor]],0)</f>
        <v>0</v>
      </c>
      <c r="G1484" s="322">
        <f>IFERROR(VLOOKUP(Calculations[[#This Row],[Material (choose from dropdown]],MaterialData[#All],7,FALSE),0)</f>
        <v>0</v>
      </c>
      <c r="H1484" s="322">
        <f>Calculations[[#This Row],[Total Kg]]*Calculations[[#This Row],[Carbon Factor]]</f>
        <v>0</v>
      </c>
      <c r="I1484" t="str">
        <f>IFERROR(VLOOKUP(Calculations[[#This Row],[Material (choose from dropdown]],MaterialData[#All],2,FALSE),"")</f>
        <v/>
      </c>
      <c r="J1484" s="322">
        <f>IFERROR(((VLOOKUP(Calculations[[#This Row],[TransportSource]],TransportDistance[],2,FALSE)*'Stage assumptions'!$C$11)+VLOOKUP(Calculations[[#This Row],[TransportSource]],TransportDistance[],3,FALSE)*'Stage assumptions'!$C$12)*Calculations[[#This Row],[Total Kg]],0)</f>
        <v>0</v>
      </c>
      <c r="K1484">
        <f>IFERROR(VLOOKUP(Calculations[[#This Row],[Material (choose from dropdown]], MaterialData[#All],3, FALSE),0)</f>
        <v>0</v>
      </c>
      <c r="L1484" s="322">
        <f>IFERROR(VLOOKUP(Calculations[[#This Row],[A5type]],A5WastageRate[#All],2,FALSE)*Calculations[[#This Row],[A1-3]],0)</f>
        <v>0</v>
      </c>
      <c r="N1484">
        <f>IFERROR(ROUNDUP(50/VLOOKUP(Calculations[[#This Row],[Scope Element]],B4referenceServiceLife[[Tier 2 element]:[Default Service Life]],2, FALSE)-1,0),0)</f>
        <v>0</v>
      </c>
      <c r="O1484" s="322">
        <f>IFERROR((Calculations[[#This Row],[A1-3]]+Calculations[[#This Row],[A4]]+Calculations[[#This Row],[A5]]+Calculations[[#This Row],[C2 total]]+Calculations[[#This Row],[C3 total]]+Calculations[[#This Row],[C4 total]])*Calculations[[#This Row],[Replacements]],0)</f>
        <v>0</v>
      </c>
      <c r="S1484" t="str">
        <f>IFERROR(VLOOKUP(Calculations[[#This Row],[Material (choose from dropdown]],MaterialData[#All],4,FALSE),"")</f>
        <v/>
      </c>
      <c r="T1484" s="322" cm="1">
        <f t="array" ref="T1484">IFERROR(VLOOKUP(Calculations[[#This Row],[Waste 1]],WasteScenario[#All],2,FALSE)*'Stage assumptions'!$C$225*WasteTransportMethod[Emissions Factor
kgCO2e/kg.km]*Calculations[[#This Row],[Total Kg]],0)</f>
        <v>0</v>
      </c>
      <c r="U1484" s="322" cm="1">
        <f t="array" ref="U1484">IFERROR(VLOOKUP(Calculations[[#This Row],[Waste 1]],WasteScenario[#All],3,FALSE)*'Stage assumptions'!$C$224*WasteTransportMethod[Emissions Factor
kgCO2e/kg.km]*Calculations[[#This Row],[Total Kg]],0)</f>
        <v>0</v>
      </c>
      <c r="V1484" s="322" cm="1">
        <f t="array" ref="V1484">IFERROR(VLOOKUP(Calculations[[#This Row],[Waste 1]],WasteScenario[#All],4,FALSE)*'Stage assumptions'!$C$223*WasteTransportMethod[Emissions Factor
kgCO2e/kg.km]*Calculations[[#This Row],[Total Kg]],0)</f>
        <v>0</v>
      </c>
      <c r="W1484" s="322" cm="1">
        <f t="array" ref="W1484">IFERROR(VLOOKUP(Calculations[[#This Row],[Waste 1]],WasteScenario[#All],5,FALSE)*'Stage assumptions'!$C$226*WasteTransportMethod[Emissions Factor
kgCO2e/kg.km]*Calculations[[#This Row],[Total Kg]],0)</f>
        <v>0</v>
      </c>
      <c r="X1484" s="322">
        <f>SUM(Calculations[[#This Row],[C2 Recycle]:[C2 Reuse]])</f>
        <v>0</v>
      </c>
      <c r="Y1484" t="str">
        <f>IFERROR(VLOOKUP(Calculations[[#This Row],[Material (choose from dropdown]],MaterialData[#All],5,FALSE),"")</f>
        <v/>
      </c>
      <c r="Z1484" s="322">
        <f>IFERROR(((VLOOKUP(Calculations[[#This Row],[Waste type 2]],WasteDisposalEmissions[#All],2,FALSE))*Calculations[[#This Row],[Total Kg]])*VLOOKUP(Calculations[[#This Row],[Waste 1]],WasteScenario[#All],2,FALSE),0)</f>
        <v>0</v>
      </c>
      <c r="AA1484" s="322">
        <f>IFERROR((VLOOKUP(Calculations[[#This Row],[Waste type 2]],WasteDisposalEmissions[#All],3,FALSE))*Calculations[[#This Row],[Total Kg]]*VLOOKUP(Calculations[[#This Row],[Waste 1]],WasteScenario[#All],3,FALSE),0)</f>
        <v>0</v>
      </c>
      <c r="AB1484" s="322">
        <f>SUM(Calculations[[#This Row],[C3 recyc]:[C3 incin]])</f>
        <v>0</v>
      </c>
      <c r="AC1484" s="334">
        <f>IFERROR((VLOOKUP(Calculations[[#This Row],[Waste type 2]],WasteLandfillEmissions[#All],2,FALSE))*Calculations[[#This Row],[Total Kg]]*VLOOKUP(Calculations[[#This Row],[Waste 1]],WasteScenario[#All],4,FALSE),0)</f>
        <v>0</v>
      </c>
      <c r="AD1484" s="322">
        <f>IFERROR((VLOOKUP(Calculations[[#This Row],[Waste type 2]],WasteLandfillEmissions[#All],3,FALSE))*Calculations[[#This Row],[Total Kg]]*VLOOKUP(Calculations[[#This Row],[Waste 1]],WasteScenario[#All],4,FALSE),0)</f>
        <v>0</v>
      </c>
      <c r="AE1484" s="322">
        <f>SUM(Calculations[[#This Row],[C4 landfill]:[C4 re-use]])</f>
        <v>0</v>
      </c>
      <c r="AF1484" s="322">
        <f>IFERROR(VLOOKUP(Calculations[[#This Row],[Material (choose from dropdown]],MaterialData[#All],8,FALSE),0)</f>
        <v>0</v>
      </c>
      <c r="AG1484" s="322">
        <f>IFERROR(Calculations[[#This Row],[Total Kg]]*Calculations[[#This Row],[Seq factor]],0)</f>
        <v>0</v>
      </c>
      <c r="AI1484" s="322">
        <f>Calculations[[#This Row],[A1-3]]+Calculations[[#This Row],[A4]]+Calculations[[#This Row],[A5]]+Calculations[[#This Row],[B4]]+Calculations[[#This Row],[C2 total]]+Calculations[[#This Row],[C3 total]]+Calculations[[#This Row],[C4 total]]</f>
        <v>0</v>
      </c>
      <c r="AJ1484" s="2">
        <f>IFERROR(VLOOKUP(Calculations[[#This Row],[Material (choose from dropdown]],MaterialData[[#Headers],[#Data]],9,FALSE),0)</f>
        <v>0</v>
      </c>
      <c r="AK1484" s="4">
        <f>IFERROR(VLOOKUP(Calculations[[#This Row],[Material (choose from dropdown]],MaterialData[[#Headers],[#Data]],10,FALSE),0)</f>
        <v>0</v>
      </c>
      <c r="AL1484" s="322">
        <f>IFERROR(Calculations[[#This Row],[Data Quality Score]]*Calculations[[#This Row],[Total Kg]],0)</f>
        <v>0</v>
      </c>
    </row>
    <row r="1485" spans="1:38" x14ac:dyDescent="0.3">
      <c r="A1485" s="6">
        <f>IFERROR(MaterialsBoQ[[#This Row],[Scope Element]],0)</f>
        <v>0</v>
      </c>
      <c r="B1485" t="str">
        <f>IFERROR(MaterialsBoQ[[#This Row],[Material ]],"")</f>
        <v/>
      </c>
      <c r="C1485" t="str">
        <f>IFERROR(MaterialsBoQ[[#This Row],[Unit]],"")</f>
        <v/>
      </c>
      <c r="D1485" s="322">
        <f>IFERROR(MaterialsBoQ[[#This Row],[Number]],0)</f>
        <v>0</v>
      </c>
      <c r="E1485" s="322">
        <f>IFERROR(MaterialsBoQ[[#This Row],[Kg per unit]],0)</f>
        <v>0</v>
      </c>
      <c r="F1485" s="322">
        <f>IFERROR(Calculations[[#This Row],[Number]]*Calculations[[#This Row],[Conversion factor]],0)</f>
        <v>0</v>
      </c>
      <c r="G1485" s="322">
        <f>IFERROR(VLOOKUP(Calculations[[#This Row],[Material (choose from dropdown]],MaterialData[#All],7,FALSE),0)</f>
        <v>0</v>
      </c>
      <c r="H1485" s="322">
        <f>Calculations[[#This Row],[Total Kg]]*Calculations[[#This Row],[Carbon Factor]]</f>
        <v>0</v>
      </c>
      <c r="I1485" t="str">
        <f>IFERROR(VLOOKUP(Calculations[[#This Row],[Material (choose from dropdown]],MaterialData[#All],2,FALSE),"")</f>
        <v/>
      </c>
      <c r="J1485" s="322">
        <f>IFERROR(((VLOOKUP(Calculations[[#This Row],[TransportSource]],TransportDistance[],2,FALSE)*'Stage assumptions'!$C$11)+VLOOKUP(Calculations[[#This Row],[TransportSource]],TransportDistance[],3,FALSE)*'Stage assumptions'!$C$12)*Calculations[[#This Row],[Total Kg]],0)</f>
        <v>0</v>
      </c>
      <c r="K1485">
        <f>IFERROR(VLOOKUP(Calculations[[#This Row],[Material (choose from dropdown]], MaterialData[#All],3, FALSE),0)</f>
        <v>0</v>
      </c>
      <c r="L1485" s="322">
        <f>IFERROR(VLOOKUP(Calculations[[#This Row],[A5type]],A5WastageRate[#All],2,FALSE)*Calculations[[#This Row],[A1-3]],0)</f>
        <v>0</v>
      </c>
      <c r="N1485">
        <f>IFERROR(ROUNDUP(50/VLOOKUP(Calculations[[#This Row],[Scope Element]],B4referenceServiceLife[[Tier 2 element]:[Default Service Life]],2, FALSE)-1,0),0)</f>
        <v>0</v>
      </c>
      <c r="O1485" s="322">
        <f>IFERROR((Calculations[[#This Row],[A1-3]]+Calculations[[#This Row],[A4]]+Calculations[[#This Row],[A5]]+Calculations[[#This Row],[C2 total]]+Calculations[[#This Row],[C3 total]]+Calculations[[#This Row],[C4 total]])*Calculations[[#This Row],[Replacements]],0)</f>
        <v>0</v>
      </c>
      <c r="S1485" t="str">
        <f>IFERROR(VLOOKUP(Calculations[[#This Row],[Material (choose from dropdown]],MaterialData[#All],4,FALSE),"")</f>
        <v/>
      </c>
      <c r="T1485" s="322" cm="1">
        <f t="array" ref="T1485">IFERROR(VLOOKUP(Calculations[[#This Row],[Waste 1]],WasteScenario[#All],2,FALSE)*'Stage assumptions'!$C$225*WasteTransportMethod[Emissions Factor
kgCO2e/kg.km]*Calculations[[#This Row],[Total Kg]],0)</f>
        <v>0</v>
      </c>
      <c r="U1485" s="322" cm="1">
        <f t="array" ref="U1485">IFERROR(VLOOKUP(Calculations[[#This Row],[Waste 1]],WasteScenario[#All],3,FALSE)*'Stage assumptions'!$C$224*WasteTransportMethod[Emissions Factor
kgCO2e/kg.km]*Calculations[[#This Row],[Total Kg]],0)</f>
        <v>0</v>
      </c>
      <c r="V1485" s="322" cm="1">
        <f t="array" ref="V1485">IFERROR(VLOOKUP(Calculations[[#This Row],[Waste 1]],WasteScenario[#All],4,FALSE)*'Stage assumptions'!$C$223*WasteTransportMethod[Emissions Factor
kgCO2e/kg.km]*Calculations[[#This Row],[Total Kg]],0)</f>
        <v>0</v>
      </c>
      <c r="W1485" s="322" cm="1">
        <f t="array" ref="W1485">IFERROR(VLOOKUP(Calculations[[#This Row],[Waste 1]],WasteScenario[#All],5,FALSE)*'Stage assumptions'!$C$226*WasteTransportMethod[Emissions Factor
kgCO2e/kg.km]*Calculations[[#This Row],[Total Kg]],0)</f>
        <v>0</v>
      </c>
      <c r="X1485" s="322">
        <f>SUM(Calculations[[#This Row],[C2 Recycle]:[C2 Reuse]])</f>
        <v>0</v>
      </c>
      <c r="Y1485" t="str">
        <f>IFERROR(VLOOKUP(Calculations[[#This Row],[Material (choose from dropdown]],MaterialData[#All],5,FALSE),"")</f>
        <v/>
      </c>
      <c r="Z1485" s="322">
        <f>IFERROR(((VLOOKUP(Calculations[[#This Row],[Waste type 2]],WasteDisposalEmissions[#All],2,FALSE))*Calculations[[#This Row],[Total Kg]])*VLOOKUP(Calculations[[#This Row],[Waste 1]],WasteScenario[#All],2,FALSE),0)</f>
        <v>0</v>
      </c>
      <c r="AA1485" s="322">
        <f>IFERROR((VLOOKUP(Calculations[[#This Row],[Waste type 2]],WasteDisposalEmissions[#All],3,FALSE))*Calculations[[#This Row],[Total Kg]]*VLOOKUP(Calculations[[#This Row],[Waste 1]],WasteScenario[#All],3,FALSE),0)</f>
        <v>0</v>
      </c>
      <c r="AB1485" s="322">
        <f>SUM(Calculations[[#This Row],[C3 recyc]:[C3 incin]])</f>
        <v>0</v>
      </c>
      <c r="AC1485" s="334">
        <f>IFERROR((VLOOKUP(Calculations[[#This Row],[Waste type 2]],WasteLandfillEmissions[#All],2,FALSE))*Calculations[[#This Row],[Total Kg]]*VLOOKUP(Calculations[[#This Row],[Waste 1]],WasteScenario[#All],4,FALSE),0)</f>
        <v>0</v>
      </c>
      <c r="AD1485" s="322">
        <f>IFERROR((VLOOKUP(Calculations[[#This Row],[Waste type 2]],WasteLandfillEmissions[#All],3,FALSE))*Calculations[[#This Row],[Total Kg]]*VLOOKUP(Calculations[[#This Row],[Waste 1]],WasteScenario[#All],4,FALSE),0)</f>
        <v>0</v>
      </c>
      <c r="AE1485" s="322">
        <f>SUM(Calculations[[#This Row],[C4 landfill]:[C4 re-use]])</f>
        <v>0</v>
      </c>
      <c r="AF1485" s="322">
        <f>IFERROR(VLOOKUP(Calculations[[#This Row],[Material (choose from dropdown]],MaterialData[#All],8,FALSE),0)</f>
        <v>0</v>
      </c>
      <c r="AG1485" s="322">
        <f>IFERROR(Calculations[[#This Row],[Total Kg]]*Calculations[[#This Row],[Seq factor]],0)</f>
        <v>0</v>
      </c>
      <c r="AI1485" s="322">
        <f>Calculations[[#This Row],[A1-3]]+Calculations[[#This Row],[A4]]+Calculations[[#This Row],[A5]]+Calculations[[#This Row],[B4]]+Calculations[[#This Row],[C2 total]]+Calculations[[#This Row],[C3 total]]+Calculations[[#This Row],[C4 total]]</f>
        <v>0</v>
      </c>
      <c r="AJ1485" s="2">
        <f>IFERROR(VLOOKUP(Calculations[[#This Row],[Material (choose from dropdown]],MaterialData[[#Headers],[#Data]],9,FALSE),0)</f>
        <v>0</v>
      </c>
      <c r="AK1485" s="4">
        <f>IFERROR(VLOOKUP(Calculations[[#This Row],[Material (choose from dropdown]],MaterialData[[#Headers],[#Data]],10,FALSE),0)</f>
        <v>0</v>
      </c>
      <c r="AL1485" s="322">
        <f>IFERROR(Calculations[[#This Row],[Data Quality Score]]*Calculations[[#This Row],[Total Kg]],0)</f>
        <v>0</v>
      </c>
    </row>
    <row r="1486" spans="1:38" x14ac:dyDescent="0.3">
      <c r="A1486" s="6">
        <f>IFERROR(MaterialsBoQ[[#This Row],[Scope Element]],0)</f>
        <v>0</v>
      </c>
      <c r="B1486" t="str">
        <f>IFERROR(MaterialsBoQ[[#This Row],[Material ]],"")</f>
        <v/>
      </c>
      <c r="C1486" t="str">
        <f>IFERROR(MaterialsBoQ[[#This Row],[Unit]],"")</f>
        <v/>
      </c>
      <c r="D1486" s="322">
        <f>IFERROR(MaterialsBoQ[[#This Row],[Number]],0)</f>
        <v>0</v>
      </c>
      <c r="E1486" s="322">
        <f>IFERROR(MaterialsBoQ[[#This Row],[Kg per unit]],0)</f>
        <v>0</v>
      </c>
      <c r="F1486" s="322">
        <f>IFERROR(Calculations[[#This Row],[Number]]*Calculations[[#This Row],[Conversion factor]],0)</f>
        <v>0</v>
      </c>
      <c r="G1486" s="322">
        <f>IFERROR(VLOOKUP(Calculations[[#This Row],[Material (choose from dropdown]],MaterialData[#All],7,FALSE),0)</f>
        <v>0</v>
      </c>
      <c r="H1486" s="322">
        <f>Calculations[[#This Row],[Total Kg]]*Calculations[[#This Row],[Carbon Factor]]</f>
        <v>0</v>
      </c>
      <c r="I1486" t="str">
        <f>IFERROR(VLOOKUP(Calculations[[#This Row],[Material (choose from dropdown]],MaterialData[#All],2,FALSE),"")</f>
        <v/>
      </c>
      <c r="J1486" s="322">
        <f>IFERROR(((VLOOKUP(Calculations[[#This Row],[TransportSource]],TransportDistance[],2,FALSE)*'Stage assumptions'!$C$11)+VLOOKUP(Calculations[[#This Row],[TransportSource]],TransportDistance[],3,FALSE)*'Stage assumptions'!$C$12)*Calculations[[#This Row],[Total Kg]],0)</f>
        <v>0</v>
      </c>
      <c r="K1486">
        <f>IFERROR(VLOOKUP(Calculations[[#This Row],[Material (choose from dropdown]], MaterialData[#All],3, FALSE),0)</f>
        <v>0</v>
      </c>
      <c r="L1486" s="322">
        <f>IFERROR(VLOOKUP(Calculations[[#This Row],[A5type]],A5WastageRate[#All],2,FALSE)*Calculations[[#This Row],[A1-3]],0)</f>
        <v>0</v>
      </c>
      <c r="N1486">
        <f>IFERROR(ROUNDUP(50/VLOOKUP(Calculations[[#This Row],[Scope Element]],B4referenceServiceLife[[Tier 2 element]:[Default Service Life]],2, FALSE)-1,0),0)</f>
        <v>0</v>
      </c>
      <c r="O1486" s="322">
        <f>IFERROR((Calculations[[#This Row],[A1-3]]+Calculations[[#This Row],[A4]]+Calculations[[#This Row],[A5]]+Calculations[[#This Row],[C2 total]]+Calculations[[#This Row],[C3 total]]+Calculations[[#This Row],[C4 total]])*Calculations[[#This Row],[Replacements]],0)</f>
        <v>0</v>
      </c>
      <c r="S1486" t="str">
        <f>IFERROR(VLOOKUP(Calculations[[#This Row],[Material (choose from dropdown]],MaterialData[#All],4,FALSE),"")</f>
        <v/>
      </c>
      <c r="T1486" s="322" cm="1">
        <f t="array" ref="T1486">IFERROR(VLOOKUP(Calculations[[#This Row],[Waste 1]],WasteScenario[#All],2,FALSE)*'Stage assumptions'!$C$225*WasteTransportMethod[Emissions Factor
kgCO2e/kg.km]*Calculations[[#This Row],[Total Kg]],0)</f>
        <v>0</v>
      </c>
      <c r="U1486" s="322" cm="1">
        <f t="array" ref="U1486">IFERROR(VLOOKUP(Calculations[[#This Row],[Waste 1]],WasteScenario[#All],3,FALSE)*'Stage assumptions'!$C$224*WasteTransportMethod[Emissions Factor
kgCO2e/kg.km]*Calculations[[#This Row],[Total Kg]],0)</f>
        <v>0</v>
      </c>
      <c r="V1486" s="322" cm="1">
        <f t="array" ref="V1486">IFERROR(VLOOKUP(Calculations[[#This Row],[Waste 1]],WasteScenario[#All],4,FALSE)*'Stage assumptions'!$C$223*WasteTransportMethod[Emissions Factor
kgCO2e/kg.km]*Calculations[[#This Row],[Total Kg]],0)</f>
        <v>0</v>
      </c>
      <c r="W1486" s="322" cm="1">
        <f t="array" ref="W1486">IFERROR(VLOOKUP(Calculations[[#This Row],[Waste 1]],WasteScenario[#All],5,FALSE)*'Stage assumptions'!$C$226*WasteTransportMethod[Emissions Factor
kgCO2e/kg.km]*Calculations[[#This Row],[Total Kg]],0)</f>
        <v>0</v>
      </c>
      <c r="X1486" s="322">
        <f>SUM(Calculations[[#This Row],[C2 Recycle]:[C2 Reuse]])</f>
        <v>0</v>
      </c>
      <c r="Y1486" t="str">
        <f>IFERROR(VLOOKUP(Calculations[[#This Row],[Material (choose from dropdown]],MaterialData[#All],5,FALSE),"")</f>
        <v/>
      </c>
      <c r="Z1486" s="322">
        <f>IFERROR(((VLOOKUP(Calculations[[#This Row],[Waste type 2]],WasteDisposalEmissions[#All],2,FALSE))*Calculations[[#This Row],[Total Kg]])*VLOOKUP(Calculations[[#This Row],[Waste 1]],WasteScenario[#All],2,FALSE),0)</f>
        <v>0</v>
      </c>
      <c r="AA1486" s="322">
        <f>IFERROR((VLOOKUP(Calculations[[#This Row],[Waste type 2]],WasteDisposalEmissions[#All],3,FALSE))*Calculations[[#This Row],[Total Kg]]*VLOOKUP(Calculations[[#This Row],[Waste 1]],WasteScenario[#All],3,FALSE),0)</f>
        <v>0</v>
      </c>
      <c r="AB1486" s="322">
        <f>SUM(Calculations[[#This Row],[C3 recyc]:[C3 incin]])</f>
        <v>0</v>
      </c>
      <c r="AC1486" s="334">
        <f>IFERROR((VLOOKUP(Calculations[[#This Row],[Waste type 2]],WasteLandfillEmissions[#All],2,FALSE))*Calculations[[#This Row],[Total Kg]]*VLOOKUP(Calculations[[#This Row],[Waste 1]],WasteScenario[#All],4,FALSE),0)</f>
        <v>0</v>
      </c>
      <c r="AD1486" s="322">
        <f>IFERROR((VLOOKUP(Calculations[[#This Row],[Waste type 2]],WasteLandfillEmissions[#All],3,FALSE))*Calculations[[#This Row],[Total Kg]]*VLOOKUP(Calculations[[#This Row],[Waste 1]],WasteScenario[#All],4,FALSE),0)</f>
        <v>0</v>
      </c>
      <c r="AE1486" s="322">
        <f>SUM(Calculations[[#This Row],[C4 landfill]:[C4 re-use]])</f>
        <v>0</v>
      </c>
      <c r="AF1486" s="322">
        <f>IFERROR(VLOOKUP(Calculations[[#This Row],[Material (choose from dropdown]],MaterialData[#All],8,FALSE),0)</f>
        <v>0</v>
      </c>
      <c r="AG1486" s="322">
        <f>IFERROR(Calculations[[#This Row],[Total Kg]]*Calculations[[#This Row],[Seq factor]],0)</f>
        <v>0</v>
      </c>
      <c r="AI1486" s="322">
        <f>Calculations[[#This Row],[A1-3]]+Calculations[[#This Row],[A4]]+Calculations[[#This Row],[A5]]+Calculations[[#This Row],[B4]]+Calculations[[#This Row],[C2 total]]+Calculations[[#This Row],[C3 total]]+Calculations[[#This Row],[C4 total]]</f>
        <v>0</v>
      </c>
      <c r="AJ1486" s="2">
        <f>IFERROR(VLOOKUP(Calculations[[#This Row],[Material (choose from dropdown]],MaterialData[[#Headers],[#Data]],9,FALSE),0)</f>
        <v>0</v>
      </c>
      <c r="AK1486" s="4">
        <f>IFERROR(VLOOKUP(Calculations[[#This Row],[Material (choose from dropdown]],MaterialData[[#Headers],[#Data]],10,FALSE),0)</f>
        <v>0</v>
      </c>
      <c r="AL1486" s="322">
        <f>IFERROR(Calculations[[#This Row],[Data Quality Score]]*Calculations[[#This Row],[Total Kg]],0)</f>
        <v>0</v>
      </c>
    </row>
    <row r="1487" spans="1:38" x14ac:dyDescent="0.3">
      <c r="A1487" s="6">
        <f>IFERROR(MaterialsBoQ[[#This Row],[Scope Element]],0)</f>
        <v>0</v>
      </c>
      <c r="B1487" t="str">
        <f>IFERROR(MaterialsBoQ[[#This Row],[Material ]],"")</f>
        <v/>
      </c>
      <c r="C1487" t="str">
        <f>IFERROR(MaterialsBoQ[[#This Row],[Unit]],"")</f>
        <v/>
      </c>
      <c r="D1487" s="322">
        <f>IFERROR(MaterialsBoQ[[#This Row],[Number]],0)</f>
        <v>0</v>
      </c>
      <c r="E1487" s="322">
        <f>IFERROR(MaterialsBoQ[[#This Row],[Kg per unit]],0)</f>
        <v>0</v>
      </c>
      <c r="F1487" s="322">
        <f>IFERROR(Calculations[[#This Row],[Number]]*Calculations[[#This Row],[Conversion factor]],0)</f>
        <v>0</v>
      </c>
      <c r="G1487" s="322">
        <f>IFERROR(VLOOKUP(Calculations[[#This Row],[Material (choose from dropdown]],MaterialData[#All],7,FALSE),0)</f>
        <v>0</v>
      </c>
      <c r="H1487" s="322">
        <f>Calculations[[#This Row],[Total Kg]]*Calculations[[#This Row],[Carbon Factor]]</f>
        <v>0</v>
      </c>
      <c r="I1487" t="str">
        <f>IFERROR(VLOOKUP(Calculations[[#This Row],[Material (choose from dropdown]],MaterialData[#All],2,FALSE),"")</f>
        <v/>
      </c>
      <c r="J1487" s="322">
        <f>IFERROR(((VLOOKUP(Calculations[[#This Row],[TransportSource]],TransportDistance[],2,FALSE)*'Stage assumptions'!$C$11)+VLOOKUP(Calculations[[#This Row],[TransportSource]],TransportDistance[],3,FALSE)*'Stage assumptions'!$C$12)*Calculations[[#This Row],[Total Kg]],0)</f>
        <v>0</v>
      </c>
      <c r="K1487">
        <f>IFERROR(VLOOKUP(Calculations[[#This Row],[Material (choose from dropdown]], MaterialData[#All],3, FALSE),0)</f>
        <v>0</v>
      </c>
      <c r="L1487" s="322">
        <f>IFERROR(VLOOKUP(Calculations[[#This Row],[A5type]],A5WastageRate[#All],2,FALSE)*Calculations[[#This Row],[A1-3]],0)</f>
        <v>0</v>
      </c>
      <c r="N1487">
        <f>IFERROR(ROUNDUP(50/VLOOKUP(Calculations[[#This Row],[Scope Element]],B4referenceServiceLife[[Tier 2 element]:[Default Service Life]],2, FALSE)-1,0),0)</f>
        <v>0</v>
      </c>
      <c r="O1487" s="322">
        <f>IFERROR((Calculations[[#This Row],[A1-3]]+Calculations[[#This Row],[A4]]+Calculations[[#This Row],[A5]]+Calculations[[#This Row],[C2 total]]+Calculations[[#This Row],[C3 total]]+Calculations[[#This Row],[C4 total]])*Calculations[[#This Row],[Replacements]],0)</f>
        <v>0</v>
      </c>
      <c r="S1487" t="str">
        <f>IFERROR(VLOOKUP(Calculations[[#This Row],[Material (choose from dropdown]],MaterialData[#All],4,FALSE),"")</f>
        <v/>
      </c>
      <c r="T1487" s="322" cm="1">
        <f t="array" ref="T1487">IFERROR(VLOOKUP(Calculations[[#This Row],[Waste 1]],WasteScenario[#All],2,FALSE)*'Stage assumptions'!$C$225*WasteTransportMethod[Emissions Factor
kgCO2e/kg.km]*Calculations[[#This Row],[Total Kg]],0)</f>
        <v>0</v>
      </c>
      <c r="U1487" s="322" cm="1">
        <f t="array" ref="U1487">IFERROR(VLOOKUP(Calculations[[#This Row],[Waste 1]],WasteScenario[#All],3,FALSE)*'Stage assumptions'!$C$224*WasteTransportMethod[Emissions Factor
kgCO2e/kg.km]*Calculations[[#This Row],[Total Kg]],0)</f>
        <v>0</v>
      </c>
      <c r="V1487" s="322" cm="1">
        <f t="array" ref="V1487">IFERROR(VLOOKUP(Calculations[[#This Row],[Waste 1]],WasteScenario[#All],4,FALSE)*'Stage assumptions'!$C$223*WasteTransportMethod[Emissions Factor
kgCO2e/kg.km]*Calculations[[#This Row],[Total Kg]],0)</f>
        <v>0</v>
      </c>
      <c r="W1487" s="322" cm="1">
        <f t="array" ref="W1487">IFERROR(VLOOKUP(Calculations[[#This Row],[Waste 1]],WasteScenario[#All],5,FALSE)*'Stage assumptions'!$C$226*WasteTransportMethod[Emissions Factor
kgCO2e/kg.km]*Calculations[[#This Row],[Total Kg]],0)</f>
        <v>0</v>
      </c>
      <c r="X1487" s="322">
        <f>SUM(Calculations[[#This Row],[C2 Recycle]:[C2 Reuse]])</f>
        <v>0</v>
      </c>
      <c r="Y1487" t="str">
        <f>IFERROR(VLOOKUP(Calculations[[#This Row],[Material (choose from dropdown]],MaterialData[#All],5,FALSE),"")</f>
        <v/>
      </c>
      <c r="Z1487" s="322">
        <f>IFERROR(((VLOOKUP(Calculations[[#This Row],[Waste type 2]],WasteDisposalEmissions[#All],2,FALSE))*Calculations[[#This Row],[Total Kg]])*VLOOKUP(Calculations[[#This Row],[Waste 1]],WasteScenario[#All],2,FALSE),0)</f>
        <v>0</v>
      </c>
      <c r="AA1487" s="322">
        <f>IFERROR((VLOOKUP(Calculations[[#This Row],[Waste type 2]],WasteDisposalEmissions[#All],3,FALSE))*Calculations[[#This Row],[Total Kg]]*VLOOKUP(Calculations[[#This Row],[Waste 1]],WasteScenario[#All],3,FALSE),0)</f>
        <v>0</v>
      </c>
      <c r="AB1487" s="322">
        <f>SUM(Calculations[[#This Row],[C3 recyc]:[C3 incin]])</f>
        <v>0</v>
      </c>
      <c r="AC1487" s="334">
        <f>IFERROR((VLOOKUP(Calculations[[#This Row],[Waste type 2]],WasteLandfillEmissions[#All],2,FALSE))*Calculations[[#This Row],[Total Kg]]*VLOOKUP(Calculations[[#This Row],[Waste 1]],WasteScenario[#All],4,FALSE),0)</f>
        <v>0</v>
      </c>
      <c r="AD1487" s="322">
        <f>IFERROR((VLOOKUP(Calculations[[#This Row],[Waste type 2]],WasteLandfillEmissions[#All],3,FALSE))*Calculations[[#This Row],[Total Kg]]*VLOOKUP(Calculations[[#This Row],[Waste 1]],WasteScenario[#All],4,FALSE),0)</f>
        <v>0</v>
      </c>
      <c r="AE1487" s="322">
        <f>SUM(Calculations[[#This Row],[C4 landfill]:[C4 re-use]])</f>
        <v>0</v>
      </c>
      <c r="AF1487" s="322">
        <f>IFERROR(VLOOKUP(Calculations[[#This Row],[Material (choose from dropdown]],MaterialData[#All],8,FALSE),0)</f>
        <v>0</v>
      </c>
      <c r="AG1487" s="322">
        <f>IFERROR(Calculations[[#This Row],[Total Kg]]*Calculations[[#This Row],[Seq factor]],0)</f>
        <v>0</v>
      </c>
      <c r="AI1487" s="322">
        <f>Calculations[[#This Row],[A1-3]]+Calculations[[#This Row],[A4]]+Calculations[[#This Row],[A5]]+Calculations[[#This Row],[B4]]+Calculations[[#This Row],[C2 total]]+Calculations[[#This Row],[C3 total]]+Calculations[[#This Row],[C4 total]]</f>
        <v>0</v>
      </c>
      <c r="AJ1487" s="2">
        <f>IFERROR(VLOOKUP(Calculations[[#This Row],[Material (choose from dropdown]],MaterialData[[#Headers],[#Data]],9,FALSE),0)</f>
        <v>0</v>
      </c>
      <c r="AK1487" s="4">
        <f>IFERROR(VLOOKUP(Calculations[[#This Row],[Material (choose from dropdown]],MaterialData[[#Headers],[#Data]],10,FALSE),0)</f>
        <v>0</v>
      </c>
      <c r="AL1487" s="322">
        <f>IFERROR(Calculations[[#This Row],[Data Quality Score]]*Calculations[[#This Row],[Total Kg]],0)</f>
        <v>0</v>
      </c>
    </row>
    <row r="1488" spans="1:38" x14ac:dyDescent="0.3">
      <c r="A1488" s="6">
        <f>IFERROR(MaterialsBoQ[[#This Row],[Scope Element]],0)</f>
        <v>0</v>
      </c>
      <c r="B1488" t="str">
        <f>IFERROR(MaterialsBoQ[[#This Row],[Material ]],"")</f>
        <v/>
      </c>
      <c r="C1488" t="str">
        <f>IFERROR(MaterialsBoQ[[#This Row],[Unit]],"")</f>
        <v/>
      </c>
      <c r="D1488" s="322">
        <f>IFERROR(MaterialsBoQ[[#This Row],[Number]],0)</f>
        <v>0</v>
      </c>
      <c r="E1488" s="322">
        <f>IFERROR(MaterialsBoQ[[#This Row],[Kg per unit]],0)</f>
        <v>0</v>
      </c>
      <c r="F1488" s="322">
        <f>IFERROR(Calculations[[#This Row],[Number]]*Calculations[[#This Row],[Conversion factor]],0)</f>
        <v>0</v>
      </c>
      <c r="G1488" s="322">
        <f>IFERROR(VLOOKUP(Calculations[[#This Row],[Material (choose from dropdown]],MaterialData[#All],7,FALSE),0)</f>
        <v>0</v>
      </c>
      <c r="H1488" s="322">
        <f>Calculations[[#This Row],[Total Kg]]*Calculations[[#This Row],[Carbon Factor]]</f>
        <v>0</v>
      </c>
      <c r="I1488" t="str">
        <f>IFERROR(VLOOKUP(Calculations[[#This Row],[Material (choose from dropdown]],MaterialData[#All],2,FALSE),"")</f>
        <v/>
      </c>
      <c r="J1488" s="322">
        <f>IFERROR(((VLOOKUP(Calculations[[#This Row],[TransportSource]],TransportDistance[],2,FALSE)*'Stage assumptions'!$C$11)+VLOOKUP(Calculations[[#This Row],[TransportSource]],TransportDistance[],3,FALSE)*'Stage assumptions'!$C$12)*Calculations[[#This Row],[Total Kg]],0)</f>
        <v>0</v>
      </c>
      <c r="K1488">
        <f>IFERROR(VLOOKUP(Calculations[[#This Row],[Material (choose from dropdown]], MaterialData[#All],3, FALSE),0)</f>
        <v>0</v>
      </c>
      <c r="L1488" s="322">
        <f>IFERROR(VLOOKUP(Calculations[[#This Row],[A5type]],A5WastageRate[#All],2,FALSE)*Calculations[[#This Row],[A1-3]],0)</f>
        <v>0</v>
      </c>
      <c r="N1488">
        <f>IFERROR(ROUNDUP(50/VLOOKUP(Calculations[[#This Row],[Scope Element]],B4referenceServiceLife[[Tier 2 element]:[Default Service Life]],2, FALSE)-1,0),0)</f>
        <v>0</v>
      </c>
      <c r="O1488" s="322">
        <f>IFERROR((Calculations[[#This Row],[A1-3]]+Calculations[[#This Row],[A4]]+Calculations[[#This Row],[A5]]+Calculations[[#This Row],[C2 total]]+Calculations[[#This Row],[C3 total]]+Calculations[[#This Row],[C4 total]])*Calculations[[#This Row],[Replacements]],0)</f>
        <v>0</v>
      </c>
      <c r="S1488" t="str">
        <f>IFERROR(VLOOKUP(Calculations[[#This Row],[Material (choose from dropdown]],MaterialData[#All],4,FALSE),"")</f>
        <v/>
      </c>
      <c r="T1488" s="322" cm="1">
        <f t="array" ref="T1488">IFERROR(VLOOKUP(Calculations[[#This Row],[Waste 1]],WasteScenario[#All],2,FALSE)*'Stage assumptions'!$C$225*WasteTransportMethod[Emissions Factor
kgCO2e/kg.km]*Calculations[[#This Row],[Total Kg]],0)</f>
        <v>0</v>
      </c>
      <c r="U1488" s="322" cm="1">
        <f t="array" ref="U1488">IFERROR(VLOOKUP(Calculations[[#This Row],[Waste 1]],WasteScenario[#All],3,FALSE)*'Stage assumptions'!$C$224*WasteTransportMethod[Emissions Factor
kgCO2e/kg.km]*Calculations[[#This Row],[Total Kg]],0)</f>
        <v>0</v>
      </c>
      <c r="V1488" s="322" cm="1">
        <f t="array" ref="V1488">IFERROR(VLOOKUP(Calculations[[#This Row],[Waste 1]],WasteScenario[#All],4,FALSE)*'Stage assumptions'!$C$223*WasteTransportMethod[Emissions Factor
kgCO2e/kg.km]*Calculations[[#This Row],[Total Kg]],0)</f>
        <v>0</v>
      </c>
      <c r="W1488" s="322" cm="1">
        <f t="array" ref="W1488">IFERROR(VLOOKUP(Calculations[[#This Row],[Waste 1]],WasteScenario[#All],5,FALSE)*'Stage assumptions'!$C$226*WasteTransportMethod[Emissions Factor
kgCO2e/kg.km]*Calculations[[#This Row],[Total Kg]],0)</f>
        <v>0</v>
      </c>
      <c r="X1488" s="322">
        <f>SUM(Calculations[[#This Row],[C2 Recycle]:[C2 Reuse]])</f>
        <v>0</v>
      </c>
      <c r="Y1488" t="str">
        <f>IFERROR(VLOOKUP(Calculations[[#This Row],[Material (choose from dropdown]],MaterialData[#All],5,FALSE),"")</f>
        <v/>
      </c>
      <c r="Z1488" s="322">
        <f>IFERROR(((VLOOKUP(Calculations[[#This Row],[Waste type 2]],WasteDisposalEmissions[#All],2,FALSE))*Calculations[[#This Row],[Total Kg]])*VLOOKUP(Calculations[[#This Row],[Waste 1]],WasteScenario[#All],2,FALSE),0)</f>
        <v>0</v>
      </c>
      <c r="AA1488" s="322">
        <f>IFERROR((VLOOKUP(Calculations[[#This Row],[Waste type 2]],WasteDisposalEmissions[#All],3,FALSE))*Calculations[[#This Row],[Total Kg]]*VLOOKUP(Calculations[[#This Row],[Waste 1]],WasteScenario[#All],3,FALSE),0)</f>
        <v>0</v>
      </c>
      <c r="AB1488" s="322">
        <f>SUM(Calculations[[#This Row],[C3 recyc]:[C3 incin]])</f>
        <v>0</v>
      </c>
      <c r="AC1488" s="334">
        <f>IFERROR((VLOOKUP(Calculations[[#This Row],[Waste type 2]],WasteLandfillEmissions[#All],2,FALSE))*Calculations[[#This Row],[Total Kg]]*VLOOKUP(Calculations[[#This Row],[Waste 1]],WasteScenario[#All],4,FALSE),0)</f>
        <v>0</v>
      </c>
      <c r="AD1488" s="322">
        <f>IFERROR((VLOOKUP(Calculations[[#This Row],[Waste type 2]],WasteLandfillEmissions[#All],3,FALSE))*Calculations[[#This Row],[Total Kg]]*VLOOKUP(Calculations[[#This Row],[Waste 1]],WasteScenario[#All],4,FALSE),0)</f>
        <v>0</v>
      </c>
      <c r="AE1488" s="322">
        <f>SUM(Calculations[[#This Row],[C4 landfill]:[C4 re-use]])</f>
        <v>0</v>
      </c>
      <c r="AF1488" s="322">
        <f>IFERROR(VLOOKUP(Calculations[[#This Row],[Material (choose from dropdown]],MaterialData[#All],8,FALSE),0)</f>
        <v>0</v>
      </c>
      <c r="AG1488" s="322">
        <f>IFERROR(Calculations[[#This Row],[Total Kg]]*Calculations[[#This Row],[Seq factor]],0)</f>
        <v>0</v>
      </c>
      <c r="AI1488" s="322">
        <f>Calculations[[#This Row],[A1-3]]+Calculations[[#This Row],[A4]]+Calculations[[#This Row],[A5]]+Calculations[[#This Row],[B4]]+Calculations[[#This Row],[C2 total]]+Calculations[[#This Row],[C3 total]]+Calculations[[#This Row],[C4 total]]</f>
        <v>0</v>
      </c>
      <c r="AJ1488" s="2">
        <f>IFERROR(VLOOKUP(Calculations[[#This Row],[Material (choose from dropdown]],MaterialData[[#Headers],[#Data]],9,FALSE),0)</f>
        <v>0</v>
      </c>
      <c r="AK1488" s="4">
        <f>IFERROR(VLOOKUP(Calculations[[#This Row],[Material (choose from dropdown]],MaterialData[[#Headers],[#Data]],10,FALSE),0)</f>
        <v>0</v>
      </c>
      <c r="AL1488" s="322">
        <f>IFERROR(Calculations[[#This Row],[Data Quality Score]]*Calculations[[#This Row],[Total Kg]],0)</f>
        <v>0</v>
      </c>
    </row>
    <row r="1489" spans="1:38" x14ac:dyDescent="0.3">
      <c r="A1489" s="6">
        <f>IFERROR(MaterialsBoQ[[#This Row],[Scope Element]],0)</f>
        <v>0</v>
      </c>
      <c r="B1489" t="str">
        <f>IFERROR(MaterialsBoQ[[#This Row],[Material ]],"")</f>
        <v/>
      </c>
      <c r="C1489" t="str">
        <f>IFERROR(MaterialsBoQ[[#This Row],[Unit]],"")</f>
        <v/>
      </c>
      <c r="D1489" s="322">
        <f>IFERROR(MaterialsBoQ[[#This Row],[Number]],0)</f>
        <v>0</v>
      </c>
      <c r="E1489" s="322">
        <f>IFERROR(MaterialsBoQ[[#This Row],[Kg per unit]],0)</f>
        <v>0</v>
      </c>
      <c r="F1489" s="322">
        <f>IFERROR(Calculations[[#This Row],[Number]]*Calculations[[#This Row],[Conversion factor]],0)</f>
        <v>0</v>
      </c>
      <c r="G1489" s="322">
        <f>IFERROR(VLOOKUP(Calculations[[#This Row],[Material (choose from dropdown]],MaterialData[#All],7,FALSE),0)</f>
        <v>0</v>
      </c>
      <c r="H1489" s="322">
        <f>Calculations[[#This Row],[Total Kg]]*Calculations[[#This Row],[Carbon Factor]]</f>
        <v>0</v>
      </c>
      <c r="I1489" t="str">
        <f>IFERROR(VLOOKUP(Calculations[[#This Row],[Material (choose from dropdown]],MaterialData[#All],2,FALSE),"")</f>
        <v/>
      </c>
      <c r="J1489" s="322">
        <f>IFERROR(((VLOOKUP(Calculations[[#This Row],[TransportSource]],TransportDistance[],2,FALSE)*'Stage assumptions'!$C$11)+VLOOKUP(Calculations[[#This Row],[TransportSource]],TransportDistance[],3,FALSE)*'Stage assumptions'!$C$12)*Calculations[[#This Row],[Total Kg]],0)</f>
        <v>0</v>
      </c>
      <c r="K1489">
        <f>IFERROR(VLOOKUP(Calculations[[#This Row],[Material (choose from dropdown]], MaterialData[#All],3, FALSE),0)</f>
        <v>0</v>
      </c>
      <c r="L1489" s="322">
        <f>IFERROR(VLOOKUP(Calculations[[#This Row],[A5type]],A5WastageRate[#All],2,FALSE)*Calculations[[#This Row],[A1-3]],0)</f>
        <v>0</v>
      </c>
      <c r="N1489">
        <f>IFERROR(ROUNDUP(50/VLOOKUP(Calculations[[#This Row],[Scope Element]],B4referenceServiceLife[[Tier 2 element]:[Default Service Life]],2, FALSE)-1,0),0)</f>
        <v>0</v>
      </c>
      <c r="O1489" s="322">
        <f>IFERROR((Calculations[[#This Row],[A1-3]]+Calculations[[#This Row],[A4]]+Calculations[[#This Row],[A5]]+Calculations[[#This Row],[C2 total]]+Calculations[[#This Row],[C3 total]]+Calculations[[#This Row],[C4 total]])*Calculations[[#This Row],[Replacements]],0)</f>
        <v>0</v>
      </c>
      <c r="S1489" t="str">
        <f>IFERROR(VLOOKUP(Calculations[[#This Row],[Material (choose from dropdown]],MaterialData[#All],4,FALSE),"")</f>
        <v/>
      </c>
      <c r="T1489" s="322" cm="1">
        <f t="array" ref="T1489">IFERROR(VLOOKUP(Calculations[[#This Row],[Waste 1]],WasteScenario[#All],2,FALSE)*'Stage assumptions'!$C$225*WasteTransportMethod[Emissions Factor
kgCO2e/kg.km]*Calculations[[#This Row],[Total Kg]],0)</f>
        <v>0</v>
      </c>
      <c r="U1489" s="322" cm="1">
        <f t="array" ref="U1489">IFERROR(VLOOKUP(Calculations[[#This Row],[Waste 1]],WasteScenario[#All],3,FALSE)*'Stage assumptions'!$C$224*WasteTransportMethod[Emissions Factor
kgCO2e/kg.km]*Calculations[[#This Row],[Total Kg]],0)</f>
        <v>0</v>
      </c>
      <c r="V1489" s="322" cm="1">
        <f t="array" ref="V1489">IFERROR(VLOOKUP(Calculations[[#This Row],[Waste 1]],WasteScenario[#All],4,FALSE)*'Stage assumptions'!$C$223*WasteTransportMethod[Emissions Factor
kgCO2e/kg.km]*Calculations[[#This Row],[Total Kg]],0)</f>
        <v>0</v>
      </c>
      <c r="W1489" s="322" cm="1">
        <f t="array" ref="W1489">IFERROR(VLOOKUP(Calculations[[#This Row],[Waste 1]],WasteScenario[#All],5,FALSE)*'Stage assumptions'!$C$226*WasteTransportMethod[Emissions Factor
kgCO2e/kg.km]*Calculations[[#This Row],[Total Kg]],0)</f>
        <v>0</v>
      </c>
      <c r="X1489" s="322">
        <f>SUM(Calculations[[#This Row],[C2 Recycle]:[C2 Reuse]])</f>
        <v>0</v>
      </c>
      <c r="Y1489" t="str">
        <f>IFERROR(VLOOKUP(Calculations[[#This Row],[Material (choose from dropdown]],MaterialData[#All],5,FALSE),"")</f>
        <v/>
      </c>
      <c r="Z1489" s="322">
        <f>IFERROR(((VLOOKUP(Calculations[[#This Row],[Waste type 2]],WasteDisposalEmissions[#All],2,FALSE))*Calculations[[#This Row],[Total Kg]])*VLOOKUP(Calculations[[#This Row],[Waste 1]],WasteScenario[#All],2,FALSE),0)</f>
        <v>0</v>
      </c>
      <c r="AA1489" s="322">
        <f>IFERROR((VLOOKUP(Calculations[[#This Row],[Waste type 2]],WasteDisposalEmissions[#All],3,FALSE))*Calculations[[#This Row],[Total Kg]]*VLOOKUP(Calculations[[#This Row],[Waste 1]],WasteScenario[#All],3,FALSE),0)</f>
        <v>0</v>
      </c>
      <c r="AB1489" s="322">
        <f>SUM(Calculations[[#This Row],[C3 recyc]:[C3 incin]])</f>
        <v>0</v>
      </c>
      <c r="AC1489" s="334">
        <f>IFERROR((VLOOKUP(Calculations[[#This Row],[Waste type 2]],WasteLandfillEmissions[#All],2,FALSE))*Calculations[[#This Row],[Total Kg]]*VLOOKUP(Calculations[[#This Row],[Waste 1]],WasteScenario[#All],4,FALSE),0)</f>
        <v>0</v>
      </c>
      <c r="AD1489" s="322">
        <f>IFERROR((VLOOKUP(Calculations[[#This Row],[Waste type 2]],WasteLandfillEmissions[#All],3,FALSE))*Calculations[[#This Row],[Total Kg]]*VLOOKUP(Calculations[[#This Row],[Waste 1]],WasteScenario[#All],4,FALSE),0)</f>
        <v>0</v>
      </c>
      <c r="AE1489" s="322">
        <f>SUM(Calculations[[#This Row],[C4 landfill]:[C4 re-use]])</f>
        <v>0</v>
      </c>
      <c r="AF1489" s="322">
        <f>IFERROR(VLOOKUP(Calculations[[#This Row],[Material (choose from dropdown]],MaterialData[#All],8,FALSE),0)</f>
        <v>0</v>
      </c>
      <c r="AG1489" s="322">
        <f>IFERROR(Calculations[[#This Row],[Total Kg]]*Calculations[[#This Row],[Seq factor]],0)</f>
        <v>0</v>
      </c>
      <c r="AI1489" s="322">
        <f>Calculations[[#This Row],[A1-3]]+Calculations[[#This Row],[A4]]+Calculations[[#This Row],[A5]]+Calculations[[#This Row],[B4]]+Calculations[[#This Row],[C2 total]]+Calculations[[#This Row],[C3 total]]+Calculations[[#This Row],[C4 total]]</f>
        <v>0</v>
      </c>
      <c r="AJ1489" s="2">
        <f>IFERROR(VLOOKUP(Calculations[[#This Row],[Material (choose from dropdown]],MaterialData[[#Headers],[#Data]],9,FALSE),0)</f>
        <v>0</v>
      </c>
      <c r="AK1489" s="4">
        <f>IFERROR(VLOOKUP(Calculations[[#This Row],[Material (choose from dropdown]],MaterialData[[#Headers],[#Data]],10,FALSE),0)</f>
        <v>0</v>
      </c>
      <c r="AL1489" s="322">
        <f>IFERROR(Calculations[[#This Row],[Data Quality Score]]*Calculations[[#This Row],[Total Kg]],0)</f>
        <v>0</v>
      </c>
    </row>
    <row r="1490" spans="1:38" x14ac:dyDescent="0.3">
      <c r="A1490" s="6">
        <f>IFERROR(MaterialsBoQ[[#This Row],[Scope Element]],0)</f>
        <v>0</v>
      </c>
      <c r="B1490" t="str">
        <f>IFERROR(MaterialsBoQ[[#This Row],[Material ]],"")</f>
        <v/>
      </c>
      <c r="C1490" t="str">
        <f>IFERROR(MaterialsBoQ[[#This Row],[Unit]],"")</f>
        <v/>
      </c>
      <c r="D1490" s="322">
        <f>IFERROR(MaterialsBoQ[[#This Row],[Number]],0)</f>
        <v>0</v>
      </c>
      <c r="E1490" s="322">
        <f>IFERROR(MaterialsBoQ[[#This Row],[Kg per unit]],0)</f>
        <v>0</v>
      </c>
      <c r="F1490" s="322">
        <f>IFERROR(Calculations[[#This Row],[Number]]*Calculations[[#This Row],[Conversion factor]],0)</f>
        <v>0</v>
      </c>
      <c r="G1490" s="322">
        <f>IFERROR(VLOOKUP(Calculations[[#This Row],[Material (choose from dropdown]],MaterialData[#All],7,FALSE),0)</f>
        <v>0</v>
      </c>
      <c r="H1490" s="322">
        <f>Calculations[[#This Row],[Total Kg]]*Calculations[[#This Row],[Carbon Factor]]</f>
        <v>0</v>
      </c>
      <c r="I1490" t="str">
        <f>IFERROR(VLOOKUP(Calculations[[#This Row],[Material (choose from dropdown]],MaterialData[#All],2,FALSE),"")</f>
        <v/>
      </c>
      <c r="J1490" s="322">
        <f>IFERROR(((VLOOKUP(Calculations[[#This Row],[TransportSource]],TransportDistance[],2,FALSE)*'Stage assumptions'!$C$11)+VLOOKUP(Calculations[[#This Row],[TransportSource]],TransportDistance[],3,FALSE)*'Stage assumptions'!$C$12)*Calculations[[#This Row],[Total Kg]],0)</f>
        <v>0</v>
      </c>
      <c r="K1490">
        <f>IFERROR(VLOOKUP(Calculations[[#This Row],[Material (choose from dropdown]], MaterialData[#All],3, FALSE),0)</f>
        <v>0</v>
      </c>
      <c r="L1490" s="322">
        <f>IFERROR(VLOOKUP(Calculations[[#This Row],[A5type]],A5WastageRate[#All],2,FALSE)*Calculations[[#This Row],[A1-3]],0)</f>
        <v>0</v>
      </c>
      <c r="N1490">
        <f>IFERROR(ROUNDUP(50/VLOOKUP(Calculations[[#This Row],[Scope Element]],B4referenceServiceLife[[Tier 2 element]:[Default Service Life]],2, FALSE)-1,0),0)</f>
        <v>0</v>
      </c>
      <c r="O1490" s="322">
        <f>IFERROR((Calculations[[#This Row],[A1-3]]+Calculations[[#This Row],[A4]]+Calculations[[#This Row],[A5]]+Calculations[[#This Row],[C2 total]]+Calculations[[#This Row],[C3 total]]+Calculations[[#This Row],[C4 total]])*Calculations[[#This Row],[Replacements]],0)</f>
        <v>0</v>
      </c>
      <c r="S1490" t="str">
        <f>IFERROR(VLOOKUP(Calculations[[#This Row],[Material (choose from dropdown]],MaterialData[#All],4,FALSE),"")</f>
        <v/>
      </c>
      <c r="T1490" s="322" cm="1">
        <f t="array" ref="T1490">IFERROR(VLOOKUP(Calculations[[#This Row],[Waste 1]],WasteScenario[#All],2,FALSE)*'Stage assumptions'!$C$225*WasteTransportMethod[Emissions Factor
kgCO2e/kg.km]*Calculations[[#This Row],[Total Kg]],0)</f>
        <v>0</v>
      </c>
      <c r="U1490" s="322" cm="1">
        <f t="array" ref="U1490">IFERROR(VLOOKUP(Calculations[[#This Row],[Waste 1]],WasteScenario[#All],3,FALSE)*'Stage assumptions'!$C$224*WasteTransportMethod[Emissions Factor
kgCO2e/kg.km]*Calculations[[#This Row],[Total Kg]],0)</f>
        <v>0</v>
      </c>
      <c r="V1490" s="322" cm="1">
        <f t="array" ref="V1490">IFERROR(VLOOKUP(Calculations[[#This Row],[Waste 1]],WasteScenario[#All],4,FALSE)*'Stage assumptions'!$C$223*WasteTransportMethod[Emissions Factor
kgCO2e/kg.km]*Calculations[[#This Row],[Total Kg]],0)</f>
        <v>0</v>
      </c>
      <c r="W1490" s="322" cm="1">
        <f t="array" ref="W1490">IFERROR(VLOOKUP(Calculations[[#This Row],[Waste 1]],WasteScenario[#All],5,FALSE)*'Stage assumptions'!$C$226*WasteTransportMethod[Emissions Factor
kgCO2e/kg.km]*Calculations[[#This Row],[Total Kg]],0)</f>
        <v>0</v>
      </c>
      <c r="X1490" s="322">
        <f>SUM(Calculations[[#This Row],[C2 Recycle]:[C2 Reuse]])</f>
        <v>0</v>
      </c>
      <c r="Y1490" t="str">
        <f>IFERROR(VLOOKUP(Calculations[[#This Row],[Material (choose from dropdown]],MaterialData[#All],5,FALSE),"")</f>
        <v/>
      </c>
      <c r="Z1490" s="322">
        <f>IFERROR(((VLOOKUP(Calculations[[#This Row],[Waste type 2]],WasteDisposalEmissions[#All],2,FALSE))*Calculations[[#This Row],[Total Kg]])*VLOOKUP(Calculations[[#This Row],[Waste 1]],WasteScenario[#All],2,FALSE),0)</f>
        <v>0</v>
      </c>
      <c r="AA1490" s="322">
        <f>IFERROR((VLOOKUP(Calculations[[#This Row],[Waste type 2]],WasteDisposalEmissions[#All],3,FALSE))*Calculations[[#This Row],[Total Kg]]*VLOOKUP(Calculations[[#This Row],[Waste 1]],WasteScenario[#All],3,FALSE),0)</f>
        <v>0</v>
      </c>
      <c r="AB1490" s="322">
        <f>SUM(Calculations[[#This Row],[C3 recyc]:[C3 incin]])</f>
        <v>0</v>
      </c>
      <c r="AC1490" s="334">
        <f>IFERROR((VLOOKUP(Calculations[[#This Row],[Waste type 2]],WasteLandfillEmissions[#All],2,FALSE))*Calculations[[#This Row],[Total Kg]]*VLOOKUP(Calculations[[#This Row],[Waste 1]],WasteScenario[#All],4,FALSE),0)</f>
        <v>0</v>
      </c>
      <c r="AD1490" s="322">
        <f>IFERROR((VLOOKUP(Calculations[[#This Row],[Waste type 2]],WasteLandfillEmissions[#All],3,FALSE))*Calculations[[#This Row],[Total Kg]]*VLOOKUP(Calculations[[#This Row],[Waste 1]],WasteScenario[#All],4,FALSE),0)</f>
        <v>0</v>
      </c>
      <c r="AE1490" s="322">
        <f>SUM(Calculations[[#This Row],[C4 landfill]:[C4 re-use]])</f>
        <v>0</v>
      </c>
      <c r="AF1490" s="322">
        <f>IFERROR(VLOOKUP(Calculations[[#This Row],[Material (choose from dropdown]],MaterialData[#All],8,FALSE),0)</f>
        <v>0</v>
      </c>
      <c r="AG1490" s="322">
        <f>IFERROR(Calculations[[#This Row],[Total Kg]]*Calculations[[#This Row],[Seq factor]],0)</f>
        <v>0</v>
      </c>
      <c r="AI1490" s="322">
        <f>Calculations[[#This Row],[A1-3]]+Calculations[[#This Row],[A4]]+Calculations[[#This Row],[A5]]+Calculations[[#This Row],[B4]]+Calculations[[#This Row],[C2 total]]+Calculations[[#This Row],[C3 total]]+Calculations[[#This Row],[C4 total]]</f>
        <v>0</v>
      </c>
      <c r="AJ1490" s="2">
        <f>IFERROR(VLOOKUP(Calculations[[#This Row],[Material (choose from dropdown]],MaterialData[[#Headers],[#Data]],9,FALSE),0)</f>
        <v>0</v>
      </c>
      <c r="AK1490" s="4">
        <f>IFERROR(VLOOKUP(Calculations[[#This Row],[Material (choose from dropdown]],MaterialData[[#Headers],[#Data]],10,FALSE),0)</f>
        <v>0</v>
      </c>
      <c r="AL1490" s="322">
        <f>IFERROR(Calculations[[#This Row],[Data Quality Score]]*Calculations[[#This Row],[Total Kg]],0)</f>
        <v>0</v>
      </c>
    </row>
    <row r="1491" spans="1:38" x14ac:dyDescent="0.3">
      <c r="A1491" s="6">
        <f>IFERROR(MaterialsBoQ[[#This Row],[Scope Element]],0)</f>
        <v>0</v>
      </c>
      <c r="B1491" t="str">
        <f>IFERROR(MaterialsBoQ[[#This Row],[Material ]],"")</f>
        <v/>
      </c>
      <c r="C1491" t="str">
        <f>IFERROR(MaterialsBoQ[[#This Row],[Unit]],"")</f>
        <v/>
      </c>
      <c r="D1491" s="322">
        <f>IFERROR(MaterialsBoQ[[#This Row],[Number]],0)</f>
        <v>0</v>
      </c>
      <c r="E1491" s="322">
        <f>IFERROR(MaterialsBoQ[[#This Row],[Kg per unit]],0)</f>
        <v>0</v>
      </c>
      <c r="F1491" s="322">
        <f>IFERROR(Calculations[[#This Row],[Number]]*Calculations[[#This Row],[Conversion factor]],0)</f>
        <v>0</v>
      </c>
      <c r="G1491" s="322">
        <f>IFERROR(VLOOKUP(Calculations[[#This Row],[Material (choose from dropdown]],MaterialData[#All],7,FALSE),0)</f>
        <v>0</v>
      </c>
      <c r="H1491" s="322">
        <f>Calculations[[#This Row],[Total Kg]]*Calculations[[#This Row],[Carbon Factor]]</f>
        <v>0</v>
      </c>
      <c r="I1491" t="str">
        <f>IFERROR(VLOOKUP(Calculations[[#This Row],[Material (choose from dropdown]],MaterialData[#All],2,FALSE),"")</f>
        <v/>
      </c>
      <c r="J1491" s="322">
        <f>IFERROR(((VLOOKUP(Calculations[[#This Row],[TransportSource]],TransportDistance[],2,FALSE)*'Stage assumptions'!$C$11)+VLOOKUP(Calculations[[#This Row],[TransportSource]],TransportDistance[],3,FALSE)*'Stage assumptions'!$C$12)*Calculations[[#This Row],[Total Kg]],0)</f>
        <v>0</v>
      </c>
      <c r="K1491">
        <f>IFERROR(VLOOKUP(Calculations[[#This Row],[Material (choose from dropdown]], MaterialData[#All],3, FALSE),0)</f>
        <v>0</v>
      </c>
      <c r="L1491" s="322">
        <f>IFERROR(VLOOKUP(Calculations[[#This Row],[A5type]],A5WastageRate[#All],2,FALSE)*Calculations[[#This Row],[A1-3]],0)</f>
        <v>0</v>
      </c>
      <c r="N1491">
        <f>IFERROR(ROUNDUP(50/VLOOKUP(Calculations[[#This Row],[Scope Element]],B4referenceServiceLife[[Tier 2 element]:[Default Service Life]],2, FALSE)-1,0),0)</f>
        <v>0</v>
      </c>
      <c r="O1491" s="322">
        <f>IFERROR((Calculations[[#This Row],[A1-3]]+Calculations[[#This Row],[A4]]+Calculations[[#This Row],[A5]]+Calculations[[#This Row],[C2 total]]+Calculations[[#This Row],[C3 total]]+Calculations[[#This Row],[C4 total]])*Calculations[[#This Row],[Replacements]],0)</f>
        <v>0</v>
      </c>
      <c r="S1491" t="str">
        <f>IFERROR(VLOOKUP(Calculations[[#This Row],[Material (choose from dropdown]],MaterialData[#All],4,FALSE),"")</f>
        <v/>
      </c>
      <c r="T1491" s="322" cm="1">
        <f t="array" ref="T1491">IFERROR(VLOOKUP(Calculations[[#This Row],[Waste 1]],WasteScenario[#All],2,FALSE)*'Stage assumptions'!$C$225*WasteTransportMethod[Emissions Factor
kgCO2e/kg.km]*Calculations[[#This Row],[Total Kg]],0)</f>
        <v>0</v>
      </c>
      <c r="U1491" s="322" cm="1">
        <f t="array" ref="U1491">IFERROR(VLOOKUP(Calculations[[#This Row],[Waste 1]],WasteScenario[#All],3,FALSE)*'Stage assumptions'!$C$224*WasteTransportMethod[Emissions Factor
kgCO2e/kg.km]*Calculations[[#This Row],[Total Kg]],0)</f>
        <v>0</v>
      </c>
      <c r="V1491" s="322" cm="1">
        <f t="array" ref="V1491">IFERROR(VLOOKUP(Calculations[[#This Row],[Waste 1]],WasteScenario[#All],4,FALSE)*'Stage assumptions'!$C$223*WasteTransportMethod[Emissions Factor
kgCO2e/kg.km]*Calculations[[#This Row],[Total Kg]],0)</f>
        <v>0</v>
      </c>
      <c r="W1491" s="322" cm="1">
        <f t="array" ref="W1491">IFERROR(VLOOKUP(Calculations[[#This Row],[Waste 1]],WasteScenario[#All],5,FALSE)*'Stage assumptions'!$C$226*WasteTransportMethod[Emissions Factor
kgCO2e/kg.km]*Calculations[[#This Row],[Total Kg]],0)</f>
        <v>0</v>
      </c>
      <c r="X1491" s="322">
        <f>SUM(Calculations[[#This Row],[C2 Recycle]:[C2 Reuse]])</f>
        <v>0</v>
      </c>
      <c r="Y1491" t="str">
        <f>IFERROR(VLOOKUP(Calculations[[#This Row],[Material (choose from dropdown]],MaterialData[#All],5,FALSE),"")</f>
        <v/>
      </c>
      <c r="Z1491" s="322">
        <f>IFERROR(((VLOOKUP(Calculations[[#This Row],[Waste type 2]],WasteDisposalEmissions[#All],2,FALSE))*Calculations[[#This Row],[Total Kg]])*VLOOKUP(Calculations[[#This Row],[Waste 1]],WasteScenario[#All],2,FALSE),0)</f>
        <v>0</v>
      </c>
      <c r="AA1491" s="322">
        <f>IFERROR((VLOOKUP(Calculations[[#This Row],[Waste type 2]],WasteDisposalEmissions[#All],3,FALSE))*Calculations[[#This Row],[Total Kg]]*VLOOKUP(Calculations[[#This Row],[Waste 1]],WasteScenario[#All],3,FALSE),0)</f>
        <v>0</v>
      </c>
      <c r="AB1491" s="322">
        <f>SUM(Calculations[[#This Row],[C3 recyc]:[C3 incin]])</f>
        <v>0</v>
      </c>
      <c r="AC1491" s="334">
        <f>IFERROR((VLOOKUP(Calculations[[#This Row],[Waste type 2]],WasteLandfillEmissions[#All],2,FALSE))*Calculations[[#This Row],[Total Kg]]*VLOOKUP(Calculations[[#This Row],[Waste 1]],WasteScenario[#All],4,FALSE),0)</f>
        <v>0</v>
      </c>
      <c r="AD1491" s="322">
        <f>IFERROR((VLOOKUP(Calculations[[#This Row],[Waste type 2]],WasteLandfillEmissions[#All],3,FALSE))*Calculations[[#This Row],[Total Kg]]*VLOOKUP(Calculations[[#This Row],[Waste 1]],WasteScenario[#All],4,FALSE),0)</f>
        <v>0</v>
      </c>
      <c r="AE1491" s="322">
        <f>SUM(Calculations[[#This Row],[C4 landfill]:[C4 re-use]])</f>
        <v>0</v>
      </c>
      <c r="AF1491" s="322">
        <f>IFERROR(VLOOKUP(Calculations[[#This Row],[Material (choose from dropdown]],MaterialData[#All],8,FALSE),0)</f>
        <v>0</v>
      </c>
      <c r="AG1491" s="322">
        <f>IFERROR(Calculations[[#This Row],[Total Kg]]*Calculations[[#This Row],[Seq factor]],0)</f>
        <v>0</v>
      </c>
      <c r="AI1491" s="322">
        <f>Calculations[[#This Row],[A1-3]]+Calculations[[#This Row],[A4]]+Calculations[[#This Row],[A5]]+Calculations[[#This Row],[B4]]+Calculations[[#This Row],[C2 total]]+Calculations[[#This Row],[C3 total]]+Calculations[[#This Row],[C4 total]]</f>
        <v>0</v>
      </c>
      <c r="AJ1491" s="2">
        <f>IFERROR(VLOOKUP(Calculations[[#This Row],[Material (choose from dropdown]],MaterialData[[#Headers],[#Data]],9,FALSE),0)</f>
        <v>0</v>
      </c>
      <c r="AK1491" s="4">
        <f>IFERROR(VLOOKUP(Calculations[[#This Row],[Material (choose from dropdown]],MaterialData[[#Headers],[#Data]],10,FALSE),0)</f>
        <v>0</v>
      </c>
      <c r="AL1491" s="322">
        <f>IFERROR(Calculations[[#This Row],[Data Quality Score]]*Calculations[[#This Row],[Total Kg]],0)</f>
        <v>0</v>
      </c>
    </row>
    <row r="1492" spans="1:38" x14ac:dyDescent="0.3">
      <c r="A1492" s="6">
        <f>IFERROR(MaterialsBoQ[[#This Row],[Scope Element]],0)</f>
        <v>0</v>
      </c>
      <c r="B1492" t="str">
        <f>IFERROR(MaterialsBoQ[[#This Row],[Material ]],"")</f>
        <v/>
      </c>
      <c r="C1492" t="str">
        <f>IFERROR(MaterialsBoQ[[#This Row],[Unit]],"")</f>
        <v/>
      </c>
      <c r="D1492" s="322">
        <f>IFERROR(MaterialsBoQ[[#This Row],[Number]],0)</f>
        <v>0</v>
      </c>
      <c r="E1492" s="322">
        <f>IFERROR(MaterialsBoQ[[#This Row],[Kg per unit]],0)</f>
        <v>0</v>
      </c>
      <c r="F1492" s="322">
        <f>IFERROR(Calculations[[#This Row],[Number]]*Calculations[[#This Row],[Conversion factor]],0)</f>
        <v>0</v>
      </c>
      <c r="G1492" s="322">
        <f>IFERROR(VLOOKUP(Calculations[[#This Row],[Material (choose from dropdown]],MaterialData[#All],7,FALSE),0)</f>
        <v>0</v>
      </c>
      <c r="H1492" s="322">
        <f>Calculations[[#This Row],[Total Kg]]*Calculations[[#This Row],[Carbon Factor]]</f>
        <v>0</v>
      </c>
      <c r="I1492" t="str">
        <f>IFERROR(VLOOKUP(Calculations[[#This Row],[Material (choose from dropdown]],MaterialData[#All],2,FALSE),"")</f>
        <v/>
      </c>
      <c r="J1492" s="322">
        <f>IFERROR(((VLOOKUP(Calculations[[#This Row],[TransportSource]],TransportDistance[],2,FALSE)*'Stage assumptions'!$C$11)+VLOOKUP(Calculations[[#This Row],[TransportSource]],TransportDistance[],3,FALSE)*'Stage assumptions'!$C$12)*Calculations[[#This Row],[Total Kg]],0)</f>
        <v>0</v>
      </c>
      <c r="K1492">
        <f>IFERROR(VLOOKUP(Calculations[[#This Row],[Material (choose from dropdown]], MaterialData[#All],3, FALSE),0)</f>
        <v>0</v>
      </c>
      <c r="L1492" s="322">
        <f>IFERROR(VLOOKUP(Calculations[[#This Row],[A5type]],A5WastageRate[#All],2,FALSE)*Calculations[[#This Row],[A1-3]],0)</f>
        <v>0</v>
      </c>
      <c r="N1492">
        <f>IFERROR(ROUNDUP(50/VLOOKUP(Calculations[[#This Row],[Scope Element]],B4referenceServiceLife[[Tier 2 element]:[Default Service Life]],2, FALSE)-1,0),0)</f>
        <v>0</v>
      </c>
      <c r="O1492" s="322">
        <f>IFERROR((Calculations[[#This Row],[A1-3]]+Calculations[[#This Row],[A4]]+Calculations[[#This Row],[A5]]+Calculations[[#This Row],[C2 total]]+Calculations[[#This Row],[C3 total]]+Calculations[[#This Row],[C4 total]])*Calculations[[#This Row],[Replacements]],0)</f>
        <v>0</v>
      </c>
      <c r="S1492" t="str">
        <f>IFERROR(VLOOKUP(Calculations[[#This Row],[Material (choose from dropdown]],MaterialData[#All],4,FALSE),"")</f>
        <v/>
      </c>
      <c r="T1492" s="322" cm="1">
        <f t="array" ref="T1492">IFERROR(VLOOKUP(Calculations[[#This Row],[Waste 1]],WasteScenario[#All],2,FALSE)*'Stage assumptions'!$C$225*WasteTransportMethod[Emissions Factor
kgCO2e/kg.km]*Calculations[[#This Row],[Total Kg]],0)</f>
        <v>0</v>
      </c>
      <c r="U1492" s="322" cm="1">
        <f t="array" ref="U1492">IFERROR(VLOOKUP(Calculations[[#This Row],[Waste 1]],WasteScenario[#All],3,FALSE)*'Stage assumptions'!$C$224*WasteTransportMethod[Emissions Factor
kgCO2e/kg.km]*Calculations[[#This Row],[Total Kg]],0)</f>
        <v>0</v>
      </c>
      <c r="V1492" s="322" cm="1">
        <f t="array" ref="V1492">IFERROR(VLOOKUP(Calculations[[#This Row],[Waste 1]],WasteScenario[#All],4,FALSE)*'Stage assumptions'!$C$223*WasteTransportMethod[Emissions Factor
kgCO2e/kg.km]*Calculations[[#This Row],[Total Kg]],0)</f>
        <v>0</v>
      </c>
      <c r="W1492" s="322" cm="1">
        <f t="array" ref="W1492">IFERROR(VLOOKUP(Calculations[[#This Row],[Waste 1]],WasteScenario[#All],5,FALSE)*'Stage assumptions'!$C$226*WasteTransportMethod[Emissions Factor
kgCO2e/kg.km]*Calculations[[#This Row],[Total Kg]],0)</f>
        <v>0</v>
      </c>
      <c r="X1492" s="322">
        <f>SUM(Calculations[[#This Row],[C2 Recycle]:[C2 Reuse]])</f>
        <v>0</v>
      </c>
      <c r="Y1492" t="str">
        <f>IFERROR(VLOOKUP(Calculations[[#This Row],[Material (choose from dropdown]],MaterialData[#All],5,FALSE),"")</f>
        <v/>
      </c>
      <c r="Z1492" s="322">
        <f>IFERROR(((VLOOKUP(Calculations[[#This Row],[Waste type 2]],WasteDisposalEmissions[#All],2,FALSE))*Calculations[[#This Row],[Total Kg]])*VLOOKUP(Calculations[[#This Row],[Waste 1]],WasteScenario[#All],2,FALSE),0)</f>
        <v>0</v>
      </c>
      <c r="AA1492" s="322">
        <f>IFERROR((VLOOKUP(Calculations[[#This Row],[Waste type 2]],WasteDisposalEmissions[#All],3,FALSE))*Calculations[[#This Row],[Total Kg]]*VLOOKUP(Calculations[[#This Row],[Waste 1]],WasteScenario[#All],3,FALSE),0)</f>
        <v>0</v>
      </c>
      <c r="AB1492" s="322">
        <f>SUM(Calculations[[#This Row],[C3 recyc]:[C3 incin]])</f>
        <v>0</v>
      </c>
      <c r="AC1492" s="334">
        <f>IFERROR((VLOOKUP(Calculations[[#This Row],[Waste type 2]],WasteLandfillEmissions[#All],2,FALSE))*Calculations[[#This Row],[Total Kg]]*VLOOKUP(Calculations[[#This Row],[Waste 1]],WasteScenario[#All],4,FALSE),0)</f>
        <v>0</v>
      </c>
      <c r="AD1492" s="322">
        <f>IFERROR((VLOOKUP(Calculations[[#This Row],[Waste type 2]],WasteLandfillEmissions[#All],3,FALSE))*Calculations[[#This Row],[Total Kg]]*VLOOKUP(Calculations[[#This Row],[Waste 1]],WasteScenario[#All],4,FALSE),0)</f>
        <v>0</v>
      </c>
      <c r="AE1492" s="322">
        <f>SUM(Calculations[[#This Row],[C4 landfill]:[C4 re-use]])</f>
        <v>0</v>
      </c>
      <c r="AF1492" s="322">
        <f>IFERROR(VLOOKUP(Calculations[[#This Row],[Material (choose from dropdown]],MaterialData[#All],8,FALSE),0)</f>
        <v>0</v>
      </c>
      <c r="AG1492" s="322">
        <f>IFERROR(Calculations[[#This Row],[Total Kg]]*Calculations[[#This Row],[Seq factor]],0)</f>
        <v>0</v>
      </c>
      <c r="AI1492" s="322">
        <f>Calculations[[#This Row],[A1-3]]+Calculations[[#This Row],[A4]]+Calculations[[#This Row],[A5]]+Calculations[[#This Row],[B4]]+Calculations[[#This Row],[C2 total]]+Calculations[[#This Row],[C3 total]]+Calculations[[#This Row],[C4 total]]</f>
        <v>0</v>
      </c>
      <c r="AJ1492" s="2">
        <f>IFERROR(VLOOKUP(Calculations[[#This Row],[Material (choose from dropdown]],MaterialData[[#Headers],[#Data]],9,FALSE),0)</f>
        <v>0</v>
      </c>
      <c r="AK1492" s="4">
        <f>IFERROR(VLOOKUP(Calculations[[#This Row],[Material (choose from dropdown]],MaterialData[[#Headers],[#Data]],10,FALSE),0)</f>
        <v>0</v>
      </c>
      <c r="AL1492" s="322">
        <f>IFERROR(Calculations[[#This Row],[Data Quality Score]]*Calculations[[#This Row],[Total Kg]],0)</f>
        <v>0</v>
      </c>
    </row>
    <row r="1493" spans="1:38" x14ac:dyDescent="0.3">
      <c r="A1493" s="6">
        <f>IFERROR(MaterialsBoQ[[#This Row],[Scope Element]],0)</f>
        <v>0</v>
      </c>
      <c r="B1493" t="str">
        <f>IFERROR(MaterialsBoQ[[#This Row],[Material ]],"")</f>
        <v/>
      </c>
      <c r="C1493" t="str">
        <f>IFERROR(MaterialsBoQ[[#This Row],[Unit]],"")</f>
        <v/>
      </c>
      <c r="D1493" s="322">
        <f>IFERROR(MaterialsBoQ[[#This Row],[Number]],0)</f>
        <v>0</v>
      </c>
      <c r="E1493" s="322">
        <f>IFERROR(MaterialsBoQ[[#This Row],[Kg per unit]],0)</f>
        <v>0</v>
      </c>
      <c r="F1493" s="322">
        <f>IFERROR(Calculations[[#This Row],[Number]]*Calculations[[#This Row],[Conversion factor]],0)</f>
        <v>0</v>
      </c>
      <c r="G1493" s="322">
        <f>IFERROR(VLOOKUP(Calculations[[#This Row],[Material (choose from dropdown]],MaterialData[#All],7,FALSE),0)</f>
        <v>0</v>
      </c>
      <c r="H1493" s="322">
        <f>Calculations[[#This Row],[Total Kg]]*Calculations[[#This Row],[Carbon Factor]]</f>
        <v>0</v>
      </c>
      <c r="I1493" t="str">
        <f>IFERROR(VLOOKUP(Calculations[[#This Row],[Material (choose from dropdown]],MaterialData[#All],2,FALSE),"")</f>
        <v/>
      </c>
      <c r="J1493" s="322">
        <f>IFERROR(((VLOOKUP(Calculations[[#This Row],[TransportSource]],TransportDistance[],2,FALSE)*'Stage assumptions'!$C$11)+VLOOKUP(Calculations[[#This Row],[TransportSource]],TransportDistance[],3,FALSE)*'Stage assumptions'!$C$12)*Calculations[[#This Row],[Total Kg]],0)</f>
        <v>0</v>
      </c>
      <c r="K1493">
        <f>IFERROR(VLOOKUP(Calculations[[#This Row],[Material (choose from dropdown]], MaterialData[#All],3, FALSE),0)</f>
        <v>0</v>
      </c>
      <c r="L1493" s="322">
        <f>IFERROR(VLOOKUP(Calculations[[#This Row],[A5type]],A5WastageRate[#All],2,FALSE)*Calculations[[#This Row],[A1-3]],0)</f>
        <v>0</v>
      </c>
      <c r="N1493">
        <f>IFERROR(ROUNDUP(50/VLOOKUP(Calculations[[#This Row],[Scope Element]],B4referenceServiceLife[[Tier 2 element]:[Default Service Life]],2, FALSE)-1,0),0)</f>
        <v>0</v>
      </c>
      <c r="O1493" s="322">
        <f>IFERROR((Calculations[[#This Row],[A1-3]]+Calculations[[#This Row],[A4]]+Calculations[[#This Row],[A5]]+Calculations[[#This Row],[C2 total]]+Calculations[[#This Row],[C3 total]]+Calculations[[#This Row],[C4 total]])*Calculations[[#This Row],[Replacements]],0)</f>
        <v>0</v>
      </c>
      <c r="S1493" t="str">
        <f>IFERROR(VLOOKUP(Calculations[[#This Row],[Material (choose from dropdown]],MaterialData[#All],4,FALSE),"")</f>
        <v/>
      </c>
      <c r="T1493" s="322" cm="1">
        <f t="array" ref="T1493">IFERROR(VLOOKUP(Calculations[[#This Row],[Waste 1]],WasteScenario[#All],2,FALSE)*'Stage assumptions'!$C$225*WasteTransportMethod[Emissions Factor
kgCO2e/kg.km]*Calculations[[#This Row],[Total Kg]],0)</f>
        <v>0</v>
      </c>
      <c r="U1493" s="322" cm="1">
        <f t="array" ref="U1493">IFERROR(VLOOKUP(Calculations[[#This Row],[Waste 1]],WasteScenario[#All],3,FALSE)*'Stage assumptions'!$C$224*WasteTransportMethod[Emissions Factor
kgCO2e/kg.km]*Calculations[[#This Row],[Total Kg]],0)</f>
        <v>0</v>
      </c>
      <c r="V1493" s="322" cm="1">
        <f t="array" ref="V1493">IFERROR(VLOOKUP(Calculations[[#This Row],[Waste 1]],WasteScenario[#All],4,FALSE)*'Stage assumptions'!$C$223*WasteTransportMethod[Emissions Factor
kgCO2e/kg.km]*Calculations[[#This Row],[Total Kg]],0)</f>
        <v>0</v>
      </c>
      <c r="W1493" s="322" cm="1">
        <f t="array" ref="W1493">IFERROR(VLOOKUP(Calculations[[#This Row],[Waste 1]],WasteScenario[#All],5,FALSE)*'Stage assumptions'!$C$226*WasteTransportMethod[Emissions Factor
kgCO2e/kg.km]*Calculations[[#This Row],[Total Kg]],0)</f>
        <v>0</v>
      </c>
      <c r="X1493" s="322">
        <f>SUM(Calculations[[#This Row],[C2 Recycle]:[C2 Reuse]])</f>
        <v>0</v>
      </c>
      <c r="Y1493" t="str">
        <f>IFERROR(VLOOKUP(Calculations[[#This Row],[Material (choose from dropdown]],MaterialData[#All],5,FALSE),"")</f>
        <v/>
      </c>
      <c r="Z1493" s="322">
        <f>IFERROR(((VLOOKUP(Calculations[[#This Row],[Waste type 2]],WasteDisposalEmissions[#All],2,FALSE))*Calculations[[#This Row],[Total Kg]])*VLOOKUP(Calculations[[#This Row],[Waste 1]],WasteScenario[#All],2,FALSE),0)</f>
        <v>0</v>
      </c>
      <c r="AA1493" s="322">
        <f>IFERROR((VLOOKUP(Calculations[[#This Row],[Waste type 2]],WasteDisposalEmissions[#All],3,FALSE))*Calculations[[#This Row],[Total Kg]]*VLOOKUP(Calculations[[#This Row],[Waste 1]],WasteScenario[#All],3,FALSE),0)</f>
        <v>0</v>
      </c>
      <c r="AB1493" s="322">
        <f>SUM(Calculations[[#This Row],[C3 recyc]:[C3 incin]])</f>
        <v>0</v>
      </c>
      <c r="AC1493" s="334">
        <f>IFERROR((VLOOKUP(Calculations[[#This Row],[Waste type 2]],WasteLandfillEmissions[#All],2,FALSE))*Calculations[[#This Row],[Total Kg]]*VLOOKUP(Calculations[[#This Row],[Waste 1]],WasteScenario[#All],4,FALSE),0)</f>
        <v>0</v>
      </c>
      <c r="AD1493" s="322">
        <f>IFERROR((VLOOKUP(Calculations[[#This Row],[Waste type 2]],WasteLandfillEmissions[#All],3,FALSE))*Calculations[[#This Row],[Total Kg]]*VLOOKUP(Calculations[[#This Row],[Waste 1]],WasteScenario[#All],4,FALSE),0)</f>
        <v>0</v>
      </c>
      <c r="AE1493" s="322">
        <f>SUM(Calculations[[#This Row],[C4 landfill]:[C4 re-use]])</f>
        <v>0</v>
      </c>
      <c r="AF1493" s="322">
        <f>IFERROR(VLOOKUP(Calculations[[#This Row],[Material (choose from dropdown]],MaterialData[#All],8,FALSE),0)</f>
        <v>0</v>
      </c>
      <c r="AG1493" s="322">
        <f>IFERROR(Calculations[[#This Row],[Total Kg]]*Calculations[[#This Row],[Seq factor]],0)</f>
        <v>0</v>
      </c>
      <c r="AI1493" s="322">
        <f>Calculations[[#This Row],[A1-3]]+Calculations[[#This Row],[A4]]+Calculations[[#This Row],[A5]]+Calculations[[#This Row],[B4]]+Calculations[[#This Row],[C2 total]]+Calculations[[#This Row],[C3 total]]+Calculations[[#This Row],[C4 total]]</f>
        <v>0</v>
      </c>
      <c r="AJ1493" s="2">
        <f>IFERROR(VLOOKUP(Calculations[[#This Row],[Material (choose from dropdown]],MaterialData[[#Headers],[#Data]],9,FALSE),0)</f>
        <v>0</v>
      </c>
      <c r="AK1493" s="4">
        <f>IFERROR(VLOOKUP(Calculations[[#This Row],[Material (choose from dropdown]],MaterialData[[#Headers],[#Data]],10,FALSE),0)</f>
        <v>0</v>
      </c>
      <c r="AL1493" s="322">
        <f>IFERROR(Calculations[[#This Row],[Data Quality Score]]*Calculations[[#This Row],[Total Kg]],0)</f>
        <v>0</v>
      </c>
    </row>
    <row r="1494" spans="1:38" x14ac:dyDescent="0.3">
      <c r="A1494" s="6">
        <f>IFERROR(MaterialsBoQ[[#This Row],[Scope Element]],0)</f>
        <v>0</v>
      </c>
      <c r="B1494" t="str">
        <f>IFERROR(MaterialsBoQ[[#This Row],[Material ]],"")</f>
        <v/>
      </c>
      <c r="C1494" t="str">
        <f>IFERROR(MaterialsBoQ[[#This Row],[Unit]],"")</f>
        <v/>
      </c>
      <c r="D1494" s="322">
        <f>IFERROR(MaterialsBoQ[[#This Row],[Number]],0)</f>
        <v>0</v>
      </c>
      <c r="E1494" s="322">
        <f>IFERROR(MaterialsBoQ[[#This Row],[Kg per unit]],0)</f>
        <v>0</v>
      </c>
      <c r="F1494" s="322">
        <f>IFERROR(Calculations[[#This Row],[Number]]*Calculations[[#This Row],[Conversion factor]],0)</f>
        <v>0</v>
      </c>
      <c r="G1494" s="322">
        <f>IFERROR(VLOOKUP(Calculations[[#This Row],[Material (choose from dropdown]],MaterialData[#All],7,FALSE),0)</f>
        <v>0</v>
      </c>
      <c r="H1494" s="322">
        <f>Calculations[[#This Row],[Total Kg]]*Calculations[[#This Row],[Carbon Factor]]</f>
        <v>0</v>
      </c>
      <c r="I1494" t="str">
        <f>IFERROR(VLOOKUP(Calculations[[#This Row],[Material (choose from dropdown]],MaterialData[#All],2,FALSE),"")</f>
        <v/>
      </c>
      <c r="J1494" s="322">
        <f>IFERROR(((VLOOKUP(Calculations[[#This Row],[TransportSource]],TransportDistance[],2,FALSE)*'Stage assumptions'!$C$11)+VLOOKUP(Calculations[[#This Row],[TransportSource]],TransportDistance[],3,FALSE)*'Stage assumptions'!$C$12)*Calculations[[#This Row],[Total Kg]],0)</f>
        <v>0</v>
      </c>
      <c r="K1494">
        <f>IFERROR(VLOOKUP(Calculations[[#This Row],[Material (choose from dropdown]], MaterialData[#All],3, FALSE),0)</f>
        <v>0</v>
      </c>
      <c r="L1494" s="322">
        <f>IFERROR(VLOOKUP(Calculations[[#This Row],[A5type]],A5WastageRate[#All],2,FALSE)*Calculations[[#This Row],[A1-3]],0)</f>
        <v>0</v>
      </c>
      <c r="N1494">
        <f>IFERROR(ROUNDUP(50/VLOOKUP(Calculations[[#This Row],[Scope Element]],B4referenceServiceLife[[Tier 2 element]:[Default Service Life]],2, FALSE)-1,0),0)</f>
        <v>0</v>
      </c>
      <c r="O1494" s="322">
        <f>IFERROR((Calculations[[#This Row],[A1-3]]+Calculations[[#This Row],[A4]]+Calculations[[#This Row],[A5]]+Calculations[[#This Row],[C2 total]]+Calculations[[#This Row],[C3 total]]+Calculations[[#This Row],[C4 total]])*Calculations[[#This Row],[Replacements]],0)</f>
        <v>0</v>
      </c>
      <c r="S1494" t="str">
        <f>IFERROR(VLOOKUP(Calculations[[#This Row],[Material (choose from dropdown]],MaterialData[#All],4,FALSE),"")</f>
        <v/>
      </c>
      <c r="T1494" s="322" cm="1">
        <f t="array" ref="T1494">IFERROR(VLOOKUP(Calculations[[#This Row],[Waste 1]],WasteScenario[#All],2,FALSE)*'Stage assumptions'!$C$225*WasteTransportMethod[Emissions Factor
kgCO2e/kg.km]*Calculations[[#This Row],[Total Kg]],0)</f>
        <v>0</v>
      </c>
      <c r="U1494" s="322" cm="1">
        <f t="array" ref="U1494">IFERROR(VLOOKUP(Calculations[[#This Row],[Waste 1]],WasteScenario[#All],3,FALSE)*'Stage assumptions'!$C$224*WasteTransportMethod[Emissions Factor
kgCO2e/kg.km]*Calculations[[#This Row],[Total Kg]],0)</f>
        <v>0</v>
      </c>
      <c r="V1494" s="322" cm="1">
        <f t="array" ref="V1494">IFERROR(VLOOKUP(Calculations[[#This Row],[Waste 1]],WasteScenario[#All],4,FALSE)*'Stage assumptions'!$C$223*WasteTransportMethod[Emissions Factor
kgCO2e/kg.km]*Calculations[[#This Row],[Total Kg]],0)</f>
        <v>0</v>
      </c>
      <c r="W1494" s="322" cm="1">
        <f t="array" ref="W1494">IFERROR(VLOOKUP(Calculations[[#This Row],[Waste 1]],WasteScenario[#All],5,FALSE)*'Stage assumptions'!$C$226*WasteTransportMethod[Emissions Factor
kgCO2e/kg.km]*Calculations[[#This Row],[Total Kg]],0)</f>
        <v>0</v>
      </c>
      <c r="X1494" s="322">
        <f>SUM(Calculations[[#This Row],[C2 Recycle]:[C2 Reuse]])</f>
        <v>0</v>
      </c>
      <c r="Y1494" t="str">
        <f>IFERROR(VLOOKUP(Calculations[[#This Row],[Material (choose from dropdown]],MaterialData[#All],5,FALSE),"")</f>
        <v/>
      </c>
      <c r="Z1494" s="322">
        <f>IFERROR(((VLOOKUP(Calculations[[#This Row],[Waste type 2]],WasteDisposalEmissions[#All],2,FALSE))*Calculations[[#This Row],[Total Kg]])*VLOOKUP(Calculations[[#This Row],[Waste 1]],WasteScenario[#All],2,FALSE),0)</f>
        <v>0</v>
      </c>
      <c r="AA1494" s="322">
        <f>IFERROR((VLOOKUP(Calculations[[#This Row],[Waste type 2]],WasteDisposalEmissions[#All],3,FALSE))*Calculations[[#This Row],[Total Kg]]*VLOOKUP(Calculations[[#This Row],[Waste 1]],WasteScenario[#All],3,FALSE),0)</f>
        <v>0</v>
      </c>
      <c r="AB1494" s="322">
        <f>SUM(Calculations[[#This Row],[C3 recyc]:[C3 incin]])</f>
        <v>0</v>
      </c>
      <c r="AC1494" s="334">
        <f>IFERROR((VLOOKUP(Calculations[[#This Row],[Waste type 2]],WasteLandfillEmissions[#All],2,FALSE))*Calculations[[#This Row],[Total Kg]]*VLOOKUP(Calculations[[#This Row],[Waste 1]],WasteScenario[#All],4,FALSE),0)</f>
        <v>0</v>
      </c>
      <c r="AD1494" s="322">
        <f>IFERROR((VLOOKUP(Calculations[[#This Row],[Waste type 2]],WasteLandfillEmissions[#All],3,FALSE))*Calculations[[#This Row],[Total Kg]]*VLOOKUP(Calculations[[#This Row],[Waste 1]],WasteScenario[#All],4,FALSE),0)</f>
        <v>0</v>
      </c>
      <c r="AE1494" s="322">
        <f>SUM(Calculations[[#This Row],[C4 landfill]:[C4 re-use]])</f>
        <v>0</v>
      </c>
      <c r="AF1494" s="322">
        <f>IFERROR(VLOOKUP(Calculations[[#This Row],[Material (choose from dropdown]],MaterialData[#All],8,FALSE),0)</f>
        <v>0</v>
      </c>
      <c r="AG1494" s="322">
        <f>IFERROR(Calculations[[#This Row],[Total Kg]]*Calculations[[#This Row],[Seq factor]],0)</f>
        <v>0</v>
      </c>
      <c r="AI1494" s="322">
        <f>Calculations[[#This Row],[A1-3]]+Calculations[[#This Row],[A4]]+Calculations[[#This Row],[A5]]+Calculations[[#This Row],[B4]]+Calculations[[#This Row],[C2 total]]+Calculations[[#This Row],[C3 total]]+Calculations[[#This Row],[C4 total]]</f>
        <v>0</v>
      </c>
      <c r="AJ1494" s="2">
        <f>IFERROR(VLOOKUP(Calculations[[#This Row],[Material (choose from dropdown]],MaterialData[[#Headers],[#Data]],9,FALSE),0)</f>
        <v>0</v>
      </c>
      <c r="AK1494" s="4">
        <f>IFERROR(VLOOKUP(Calculations[[#This Row],[Material (choose from dropdown]],MaterialData[[#Headers],[#Data]],10,FALSE),0)</f>
        <v>0</v>
      </c>
      <c r="AL1494" s="322">
        <f>IFERROR(Calculations[[#This Row],[Data Quality Score]]*Calculations[[#This Row],[Total Kg]],0)</f>
        <v>0</v>
      </c>
    </row>
    <row r="1495" spans="1:38" x14ac:dyDescent="0.3">
      <c r="A1495" s="6">
        <f>IFERROR(MaterialsBoQ[[#This Row],[Scope Element]],0)</f>
        <v>0</v>
      </c>
      <c r="B1495" t="str">
        <f>IFERROR(MaterialsBoQ[[#This Row],[Material ]],"")</f>
        <v/>
      </c>
      <c r="C1495" t="str">
        <f>IFERROR(MaterialsBoQ[[#This Row],[Unit]],"")</f>
        <v/>
      </c>
      <c r="D1495" s="322">
        <f>IFERROR(MaterialsBoQ[[#This Row],[Number]],0)</f>
        <v>0</v>
      </c>
      <c r="E1495" s="322">
        <f>IFERROR(MaterialsBoQ[[#This Row],[Kg per unit]],0)</f>
        <v>0</v>
      </c>
      <c r="F1495" s="322">
        <f>IFERROR(Calculations[[#This Row],[Number]]*Calculations[[#This Row],[Conversion factor]],0)</f>
        <v>0</v>
      </c>
      <c r="G1495" s="322">
        <f>IFERROR(VLOOKUP(Calculations[[#This Row],[Material (choose from dropdown]],MaterialData[#All],7,FALSE),0)</f>
        <v>0</v>
      </c>
      <c r="H1495" s="322">
        <f>Calculations[[#This Row],[Total Kg]]*Calculations[[#This Row],[Carbon Factor]]</f>
        <v>0</v>
      </c>
      <c r="I1495" t="str">
        <f>IFERROR(VLOOKUP(Calculations[[#This Row],[Material (choose from dropdown]],MaterialData[#All],2,FALSE),"")</f>
        <v/>
      </c>
      <c r="J1495" s="322">
        <f>IFERROR(((VLOOKUP(Calculations[[#This Row],[TransportSource]],TransportDistance[],2,FALSE)*'Stage assumptions'!$C$11)+VLOOKUP(Calculations[[#This Row],[TransportSource]],TransportDistance[],3,FALSE)*'Stage assumptions'!$C$12)*Calculations[[#This Row],[Total Kg]],0)</f>
        <v>0</v>
      </c>
      <c r="K1495">
        <f>IFERROR(VLOOKUP(Calculations[[#This Row],[Material (choose from dropdown]], MaterialData[#All],3, FALSE),0)</f>
        <v>0</v>
      </c>
      <c r="L1495" s="322">
        <f>IFERROR(VLOOKUP(Calculations[[#This Row],[A5type]],A5WastageRate[#All],2,FALSE)*Calculations[[#This Row],[A1-3]],0)</f>
        <v>0</v>
      </c>
      <c r="N1495">
        <f>IFERROR(ROUNDUP(50/VLOOKUP(Calculations[[#This Row],[Scope Element]],B4referenceServiceLife[[Tier 2 element]:[Default Service Life]],2, FALSE)-1,0),0)</f>
        <v>0</v>
      </c>
      <c r="O1495" s="322">
        <f>IFERROR((Calculations[[#This Row],[A1-3]]+Calculations[[#This Row],[A4]]+Calculations[[#This Row],[A5]]+Calculations[[#This Row],[C2 total]]+Calculations[[#This Row],[C3 total]]+Calculations[[#This Row],[C4 total]])*Calculations[[#This Row],[Replacements]],0)</f>
        <v>0</v>
      </c>
      <c r="S1495" t="str">
        <f>IFERROR(VLOOKUP(Calculations[[#This Row],[Material (choose from dropdown]],MaterialData[#All],4,FALSE),"")</f>
        <v/>
      </c>
      <c r="T1495" s="322" cm="1">
        <f t="array" ref="T1495">IFERROR(VLOOKUP(Calculations[[#This Row],[Waste 1]],WasteScenario[#All],2,FALSE)*'Stage assumptions'!$C$225*WasteTransportMethod[Emissions Factor
kgCO2e/kg.km]*Calculations[[#This Row],[Total Kg]],0)</f>
        <v>0</v>
      </c>
      <c r="U1495" s="322" cm="1">
        <f t="array" ref="U1495">IFERROR(VLOOKUP(Calculations[[#This Row],[Waste 1]],WasteScenario[#All],3,FALSE)*'Stage assumptions'!$C$224*WasteTransportMethod[Emissions Factor
kgCO2e/kg.km]*Calculations[[#This Row],[Total Kg]],0)</f>
        <v>0</v>
      </c>
      <c r="V1495" s="322" cm="1">
        <f t="array" ref="V1495">IFERROR(VLOOKUP(Calculations[[#This Row],[Waste 1]],WasteScenario[#All],4,FALSE)*'Stage assumptions'!$C$223*WasteTransportMethod[Emissions Factor
kgCO2e/kg.km]*Calculations[[#This Row],[Total Kg]],0)</f>
        <v>0</v>
      </c>
      <c r="W1495" s="322" cm="1">
        <f t="array" ref="W1495">IFERROR(VLOOKUP(Calculations[[#This Row],[Waste 1]],WasteScenario[#All],5,FALSE)*'Stage assumptions'!$C$226*WasteTransportMethod[Emissions Factor
kgCO2e/kg.km]*Calculations[[#This Row],[Total Kg]],0)</f>
        <v>0</v>
      </c>
      <c r="X1495" s="322">
        <f>SUM(Calculations[[#This Row],[C2 Recycle]:[C2 Reuse]])</f>
        <v>0</v>
      </c>
      <c r="Y1495" t="str">
        <f>IFERROR(VLOOKUP(Calculations[[#This Row],[Material (choose from dropdown]],MaterialData[#All],5,FALSE),"")</f>
        <v/>
      </c>
      <c r="Z1495" s="322">
        <f>IFERROR(((VLOOKUP(Calculations[[#This Row],[Waste type 2]],WasteDisposalEmissions[#All],2,FALSE))*Calculations[[#This Row],[Total Kg]])*VLOOKUP(Calculations[[#This Row],[Waste 1]],WasteScenario[#All],2,FALSE),0)</f>
        <v>0</v>
      </c>
      <c r="AA1495" s="322">
        <f>IFERROR((VLOOKUP(Calculations[[#This Row],[Waste type 2]],WasteDisposalEmissions[#All],3,FALSE))*Calculations[[#This Row],[Total Kg]]*VLOOKUP(Calculations[[#This Row],[Waste 1]],WasteScenario[#All],3,FALSE),0)</f>
        <v>0</v>
      </c>
      <c r="AB1495" s="322">
        <f>SUM(Calculations[[#This Row],[C3 recyc]:[C3 incin]])</f>
        <v>0</v>
      </c>
      <c r="AC1495" s="334">
        <f>IFERROR((VLOOKUP(Calculations[[#This Row],[Waste type 2]],WasteLandfillEmissions[#All],2,FALSE))*Calculations[[#This Row],[Total Kg]]*VLOOKUP(Calculations[[#This Row],[Waste 1]],WasteScenario[#All],4,FALSE),0)</f>
        <v>0</v>
      </c>
      <c r="AD1495" s="322">
        <f>IFERROR((VLOOKUP(Calculations[[#This Row],[Waste type 2]],WasteLandfillEmissions[#All],3,FALSE))*Calculations[[#This Row],[Total Kg]]*VLOOKUP(Calculations[[#This Row],[Waste 1]],WasteScenario[#All],4,FALSE),0)</f>
        <v>0</v>
      </c>
      <c r="AE1495" s="322">
        <f>SUM(Calculations[[#This Row],[C4 landfill]:[C4 re-use]])</f>
        <v>0</v>
      </c>
      <c r="AF1495" s="322">
        <f>IFERROR(VLOOKUP(Calculations[[#This Row],[Material (choose from dropdown]],MaterialData[#All],8,FALSE),0)</f>
        <v>0</v>
      </c>
      <c r="AG1495" s="322">
        <f>IFERROR(Calculations[[#This Row],[Total Kg]]*Calculations[[#This Row],[Seq factor]],0)</f>
        <v>0</v>
      </c>
      <c r="AI1495" s="322">
        <f>Calculations[[#This Row],[A1-3]]+Calculations[[#This Row],[A4]]+Calculations[[#This Row],[A5]]+Calculations[[#This Row],[B4]]+Calculations[[#This Row],[C2 total]]+Calculations[[#This Row],[C3 total]]+Calculations[[#This Row],[C4 total]]</f>
        <v>0</v>
      </c>
      <c r="AJ1495" s="2">
        <f>IFERROR(VLOOKUP(Calculations[[#This Row],[Material (choose from dropdown]],MaterialData[[#Headers],[#Data]],9,FALSE),0)</f>
        <v>0</v>
      </c>
      <c r="AK1495" s="4">
        <f>IFERROR(VLOOKUP(Calculations[[#This Row],[Material (choose from dropdown]],MaterialData[[#Headers],[#Data]],10,FALSE),0)</f>
        <v>0</v>
      </c>
      <c r="AL1495" s="322">
        <f>IFERROR(Calculations[[#This Row],[Data Quality Score]]*Calculations[[#This Row],[Total Kg]],0)</f>
        <v>0</v>
      </c>
    </row>
    <row r="1496" spans="1:38" x14ac:dyDescent="0.3">
      <c r="A1496" s="6">
        <f>IFERROR(MaterialsBoQ[[#This Row],[Scope Element]],0)</f>
        <v>0</v>
      </c>
      <c r="B1496" t="str">
        <f>IFERROR(MaterialsBoQ[[#This Row],[Material ]],"")</f>
        <v/>
      </c>
      <c r="C1496" t="str">
        <f>IFERROR(MaterialsBoQ[[#This Row],[Unit]],"")</f>
        <v/>
      </c>
      <c r="D1496" s="322">
        <f>IFERROR(MaterialsBoQ[[#This Row],[Number]],0)</f>
        <v>0</v>
      </c>
      <c r="E1496" s="322">
        <f>IFERROR(MaterialsBoQ[[#This Row],[Kg per unit]],0)</f>
        <v>0</v>
      </c>
      <c r="F1496" s="322">
        <f>IFERROR(Calculations[[#This Row],[Number]]*Calculations[[#This Row],[Conversion factor]],0)</f>
        <v>0</v>
      </c>
      <c r="G1496" s="322">
        <f>IFERROR(VLOOKUP(Calculations[[#This Row],[Material (choose from dropdown]],MaterialData[#All],7,FALSE),0)</f>
        <v>0</v>
      </c>
      <c r="H1496" s="322">
        <f>Calculations[[#This Row],[Total Kg]]*Calculations[[#This Row],[Carbon Factor]]</f>
        <v>0</v>
      </c>
      <c r="I1496" t="str">
        <f>IFERROR(VLOOKUP(Calculations[[#This Row],[Material (choose from dropdown]],MaterialData[#All],2,FALSE),"")</f>
        <v/>
      </c>
      <c r="J1496" s="322">
        <f>IFERROR(((VLOOKUP(Calculations[[#This Row],[TransportSource]],TransportDistance[],2,FALSE)*'Stage assumptions'!$C$11)+VLOOKUP(Calculations[[#This Row],[TransportSource]],TransportDistance[],3,FALSE)*'Stage assumptions'!$C$12)*Calculations[[#This Row],[Total Kg]],0)</f>
        <v>0</v>
      </c>
      <c r="K1496">
        <f>IFERROR(VLOOKUP(Calculations[[#This Row],[Material (choose from dropdown]], MaterialData[#All],3, FALSE),0)</f>
        <v>0</v>
      </c>
      <c r="L1496" s="322">
        <f>IFERROR(VLOOKUP(Calculations[[#This Row],[A5type]],A5WastageRate[#All],2,FALSE)*Calculations[[#This Row],[A1-3]],0)</f>
        <v>0</v>
      </c>
      <c r="N1496">
        <f>IFERROR(ROUNDUP(50/VLOOKUP(Calculations[[#This Row],[Scope Element]],B4referenceServiceLife[[Tier 2 element]:[Default Service Life]],2, FALSE)-1,0),0)</f>
        <v>0</v>
      </c>
      <c r="O1496" s="322">
        <f>IFERROR((Calculations[[#This Row],[A1-3]]+Calculations[[#This Row],[A4]]+Calculations[[#This Row],[A5]]+Calculations[[#This Row],[C2 total]]+Calculations[[#This Row],[C3 total]]+Calculations[[#This Row],[C4 total]])*Calculations[[#This Row],[Replacements]],0)</f>
        <v>0</v>
      </c>
      <c r="S1496" t="str">
        <f>IFERROR(VLOOKUP(Calculations[[#This Row],[Material (choose from dropdown]],MaterialData[#All],4,FALSE),"")</f>
        <v/>
      </c>
      <c r="T1496" s="322" cm="1">
        <f t="array" ref="T1496">IFERROR(VLOOKUP(Calculations[[#This Row],[Waste 1]],WasteScenario[#All],2,FALSE)*'Stage assumptions'!$C$225*WasteTransportMethod[Emissions Factor
kgCO2e/kg.km]*Calculations[[#This Row],[Total Kg]],0)</f>
        <v>0</v>
      </c>
      <c r="U1496" s="322" cm="1">
        <f t="array" ref="U1496">IFERROR(VLOOKUP(Calculations[[#This Row],[Waste 1]],WasteScenario[#All],3,FALSE)*'Stage assumptions'!$C$224*WasteTransportMethod[Emissions Factor
kgCO2e/kg.km]*Calculations[[#This Row],[Total Kg]],0)</f>
        <v>0</v>
      </c>
      <c r="V1496" s="322" cm="1">
        <f t="array" ref="V1496">IFERROR(VLOOKUP(Calculations[[#This Row],[Waste 1]],WasteScenario[#All],4,FALSE)*'Stage assumptions'!$C$223*WasteTransportMethod[Emissions Factor
kgCO2e/kg.km]*Calculations[[#This Row],[Total Kg]],0)</f>
        <v>0</v>
      </c>
      <c r="W1496" s="322" cm="1">
        <f t="array" ref="W1496">IFERROR(VLOOKUP(Calculations[[#This Row],[Waste 1]],WasteScenario[#All],5,FALSE)*'Stage assumptions'!$C$226*WasteTransportMethod[Emissions Factor
kgCO2e/kg.km]*Calculations[[#This Row],[Total Kg]],0)</f>
        <v>0</v>
      </c>
      <c r="X1496" s="322">
        <f>SUM(Calculations[[#This Row],[C2 Recycle]:[C2 Reuse]])</f>
        <v>0</v>
      </c>
      <c r="Y1496" t="str">
        <f>IFERROR(VLOOKUP(Calculations[[#This Row],[Material (choose from dropdown]],MaterialData[#All],5,FALSE),"")</f>
        <v/>
      </c>
      <c r="Z1496" s="322">
        <f>IFERROR(((VLOOKUP(Calculations[[#This Row],[Waste type 2]],WasteDisposalEmissions[#All],2,FALSE))*Calculations[[#This Row],[Total Kg]])*VLOOKUP(Calculations[[#This Row],[Waste 1]],WasteScenario[#All],2,FALSE),0)</f>
        <v>0</v>
      </c>
      <c r="AA1496" s="322">
        <f>IFERROR((VLOOKUP(Calculations[[#This Row],[Waste type 2]],WasteDisposalEmissions[#All],3,FALSE))*Calculations[[#This Row],[Total Kg]]*VLOOKUP(Calculations[[#This Row],[Waste 1]],WasteScenario[#All],3,FALSE),0)</f>
        <v>0</v>
      </c>
      <c r="AB1496" s="322">
        <f>SUM(Calculations[[#This Row],[C3 recyc]:[C3 incin]])</f>
        <v>0</v>
      </c>
      <c r="AC1496" s="334">
        <f>IFERROR((VLOOKUP(Calculations[[#This Row],[Waste type 2]],WasteLandfillEmissions[#All],2,FALSE))*Calculations[[#This Row],[Total Kg]]*VLOOKUP(Calculations[[#This Row],[Waste 1]],WasteScenario[#All],4,FALSE),0)</f>
        <v>0</v>
      </c>
      <c r="AD1496" s="322">
        <f>IFERROR((VLOOKUP(Calculations[[#This Row],[Waste type 2]],WasteLandfillEmissions[#All],3,FALSE))*Calculations[[#This Row],[Total Kg]]*VLOOKUP(Calculations[[#This Row],[Waste 1]],WasteScenario[#All],4,FALSE),0)</f>
        <v>0</v>
      </c>
      <c r="AE1496" s="322">
        <f>SUM(Calculations[[#This Row],[C4 landfill]:[C4 re-use]])</f>
        <v>0</v>
      </c>
      <c r="AF1496" s="322">
        <f>IFERROR(VLOOKUP(Calculations[[#This Row],[Material (choose from dropdown]],MaterialData[#All],8,FALSE),0)</f>
        <v>0</v>
      </c>
      <c r="AG1496" s="322">
        <f>IFERROR(Calculations[[#This Row],[Total Kg]]*Calculations[[#This Row],[Seq factor]],0)</f>
        <v>0</v>
      </c>
      <c r="AI1496" s="322">
        <f>Calculations[[#This Row],[A1-3]]+Calculations[[#This Row],[A4]]+Calculations[[#This Row],[A5]]+Calculations[[#This Row],[B4]]+Calculations[[#This Row],[C2 total]]+Calculations[[#This Row],[C3 total]]+Calculations[[#This Row],[C4 total]]</f>
        <v>0</v>
      </c>
      <c r="AJ1496" s="2">
        <f>IFERROR(VLOOKUP(Calculations[[#This Row],[Material (choose from dropdown]],MaterialData[[#Headers],[#Data]],9,FALSE),0)</f>
        <v>0</v>
      </c>
      <c r="AK1496" s="4">
        <f>IFERROR(VLOOKUP(Calculations[[#This Row],[Material (choose from dropdown]],MaterialData[[#Headers],[#Data]],10,FALSE),0)</f>
        <v>0</v>
      </c>
      <c r="AL1496" s="322">
        <f>IFERROR(Calculations[[#This Row],[Data Quality Score]]*Calculations[[#This Row],[Total Kg]],0)</f>
        <v>0</v>
      </c>
    </row>
    <row r="1497" spans="1:38" x14ac:dyDescent="0.3">
      <c r="A1497" s="6">
        <f>IFERROR(MaterialsBoQ[[#This Row],[Scope Element]],0)</f>
        <v>0</v>
      </c>
      <c r="B1497" t="str">
        <f>IFERROR(MaterialsBoQ[[#This Row],[Material ]],"")</f>
        <v/>
      </c>
      <c r="C1497" t="str">
        <f>IFERROR(MaterialsBoQ[[#This Row],[Unit]],"")</f>
        <v/>
      </c>
      <c r="D1497" s="322">
        <f>IFERROR(MaterialsBoQ[[#This Row],[Number]],0)</f>
        <v>0</v>
      </c>
      <c r="E1497" s="322">
        <f>IFERROR(MaterialsBoQ[[#This Row],[Kg per unit]],0)</f>
        <v>0</v>
      </c>
      <c r="F1497" s="322">
        <f>IFERROR(Calculations[[#This Row],[Number]]*Calculations[[#This Row],[Conversion factor]],0)</f>
        <v>0</v>
      </c>
      <c r="G1497" s="322">
        <f>IFERROR(VLOOKUP(Calculations[[#This Row],[Material (choose from dropdown]],MaterialData[#All],7,FALSE),0)</f>
        <v>0</v>
      </c>
      <c r="H1497" s="322">
        <f>Calculations[[#This Row],[Total Kg]]*Calculations[[#This Row],[Carbon Factor]]</f>
        <v>0</v>
      </c>
      <c r="I1497" t="str">
        <f>IFERROR(VLOOKUP(Calculations[[#This Row],[Material (choose from dropdown]],MaterialData[#All],2,FALSE),"")</f>
        <v/>
      </c>
      <c r="J1497" s="322">
        <f>IFERROR(((VLOOKUP(Calculations[[#This Row],[TransportSource]],TransportDistance[],2,FALSE)*'Stage assumptions'!$C$11)+VLOOKUP(Calculations[[#This Row],[TransportSource]],TransportDistance[],3,FALSE)*'Stage assumptions'!$C$12)*Calculations[[#This Row],[Total Kg]],0)</f>
        <v>0</v>
      </c>
      <c r="K1497">
        <f>IFERROR(VLOOKUP(Calculations[[#This Row],[Material (choose from dropdown]], MaterialData[#All],3, FALSE),0)</f>
        <v>0</v>
      </c>
      <c r="L1497" s="322">
        <f>IFERROR(VLOOKUP(Calculations[[#This Row],[A5type]],A5WastageRate[#All],2,FALSE)*Calculations[[#This Row],[A1-3]],0)</f>
        <v>0</v>
      </c>
      <c r="N1497">
        <f>IFERROR(ROUNDUP(50/VLOOKUP(Calculations[[#This Row],[Scope Element]],B4referenceServiceLife[[Tier 2 element]:[Default Service Life]],2, FALSE)-1,0),0)</f>
        <v>0</v>
      </c>
      <c r="O1497" s="322">
        <f>IFERROR((Calculations[[#This Row],[A1-3]]+Calculations[[#This Row],[A4]]+Calculations[[#This Row],[A5]]+Calculations[[#This Row],[C2 total]]+Calculations[[#This Row],[C3 total]]+Calculations[[#This Row],[C4 total]])*Calculations[[#This Row],[Replacements]],0)</f>
        <v>0</v>
      </c>
      <c r="S1497" t="str">
        <f>IFERROR(VLOOKUP(Calculations[[#This Row],[Material (choose from dropdown]],MaterialData[#All],4,FALSE),"")</f>
        <v/>
      </c>
      <c r="T1497" s="322" cm="1">
        <f t="array" ref="T1497">IFERROR(VLOOKUP(Calculations[[#This Row],[Waste 1]],WasteScenario[#All],2,FALSE)*'Stage assumptions'!$C$225*WasteTransportMethod[Emissions Factor
kgCO2e/kg.km]*Calculations[[#This Row],[Total Kg]],0)</f>
        <v>0</v>
      </c>
      <c r="U1497" s="322" cm="1">
        <f t="array" ref="U1497">IFERROR(VLOOKUP(Calculations[[#This Row],[Waste 1]],WasteScenario[#All],3,FALSE)*'Stage assumptions'!$C$224*WasteTransportMethod[Emissions Factor
kgCO2e/kg.km]*Calculations[[#This Row],[Total Kg]],0)</f>
        <v>0</v>
      </c>
      <c r="V1497" s="322" cm="1">
        <f t="array" ref="V1497">IFERROR(VLOOKUP(Calculations[[#This Row],[Waste 1]],WasteScenario[#All],4,FALSE)*'Stage assumptions'!$C$223*WasteTransportMethod[Emissions Factor
kgCO2e/kg.km]*Calculations[[#This Row],[Total Kg]],0)</f>
        <v>0</v>
      </c>
      <c r="W1497" s="322" cm="1">
        <f t="array" ref="W1497">IFERROR(VLOOKUP(Calculations[[#This Row],[Waste 1]],WasteScenario[#All],5,FALSE)*'Stage assumptions'!$C$226*WasteTransportMethod[Emissions Factor
kgCO2e/kg.km]*Calculations[[#This Row],[Total Kg]],0)</f>
        <v>0</v>
      </c>
      <c r="X1497" s="322">
        <f>SUM(Calculations[[#This Row],[C2 Recycle]:[C2 Reuse]])</f>
        <v>0</v>
      </c>
      <c r="Y1497" t="str">
        <f>IFERROR(VLOOKUP(Calculations[[#This Row],[Material (choose from dropdown]],MaterialData[#All],5,FALSE),"")</f>
        <v/>
      </c>
      <c r="Z1497" s="322">
        <f>IFERROR(((VLOOKUP(Calculations[[#This Row],[Waste type 2]],WasteDisposalEmissions[#All],2,FALSE))*Calculations[[#This Row],[Total Kg]])*VLOOKUP(Calculations[[#This Row],[Waste 1]],WasteScenario[#All],2,FALSE),0)</f>
        <v>0</v>
      </c>
      <c r="AA1497" s="322">
        <f>IFERROR((VLOOKUP(Calculations[[#This Row],[Waste type 2]],WasteDisposalEmissions[#All],3,FALSE))*Calculations[[#This Row],[Total Kg]]*VLOOKUP(Calculations[[#This Row],[Waste 1]],WasteScenario[#All],3,FALSE),0)</f>
        <v>0</v>
      </c>
      <c r="AB1497" s="322">
        <f>SUM(Calculations[[#This Row],[C3 recyc]:[C3 incin]])</f>
        <v>0</v>
      </c>
      <c r="AC1497" s="334">
        <f>IFERROR((VLOOKUP(Calculations[[#This Row],[Waste type 2]],WasteLandfillEmissions[#All],2,FALSE))*Calculations[[#This Row],[Total Kg]]*VLOOKUP(Calculations[[#This Row],[Waste 1]],WasteScenario[#All],4,FALSE),0)</f>
        <v>0</v>
      </c>
      <c r="AD1497" s="322">
        <f>IFERROR((VLOOKUP(Calculations[[#This Row],[Waste type 2]],WasteLandfillEmissions[#All],3,FALSE))*Calculations[[#This Row],[Total Kg]]*VLOOKUP(Calculations[[#This Row],[Waste 1]],WasteScenario[#All],4,FALSE),0)</f>
        <v>0</v>
      </c>
      <c r="AE1497" s="322">
        <f>SUM(Calculations[[#This Row],[C4 landfill]:[C4 re-use]])</f>
        <v>0</v>
      </c>
      <c r="AF1497" s="322">
        <f>IFERROR(VLOOKUP(Calculations[[#This Row],[Material (choose from dropdown]],MaterialData[#All],8,FALSE),0)</f>
        <v>0</v>
      </c>
      <c r="AG1497" s="322">
        <f>IFERROR(Calculations[[#This Row],[Total Kg]]*Calculations[[#This Row],[Seq factor]],0)</f>
        <v>0</v>
      </c>
      <c r="AI1497" s="322">
        <f>Calculations[[#This Row],[A1-3]]+Calculations[[#This Row],[A4]]+Calculations[[#This Row],[A5]]+Calculations[[#This Row],[B4]]+Calculations[[#This Row],[C2 total]]+Calculations[[#This Row],[C3 total]]+Calculations[[#This Row],[C4 total]]</f>
        <v>0</v>
      </c>
      <c r="AJ1497" s="2">
        <f>IFERROR(VLOOKUP(Calculations[[#This Row],[Material (choose from dropdown]],MaterialData[[#Headers],[#Data]],9,FALSE),0)</f>
        <v>0</v>
      </c>
      <c r="AK1497" s="4">
        <f>IFERROR(VLOOKUP(Calculations[[#This Row],[Material (choose from dropdown]],MaterialData[[#Headers],[#Data]],10,FALSE),0)</f>
        <v>0</v>
      </c>
      <c r="AL1497" s="322">
        <f>IFERROR(Calculations[[#This Row],[Data Quality Score]]*Calculations[[#This Row],[Total Kg]],0)</f>
        <v>0</v>
      </c>
    </row>
    <row r="1498" spans="1:38" x14ac:dyDescent="0.3">
      <c r="A1498" s="6">
        <f>IFERROR(MaterialsBoQ[[#This Row],[Scope Element]],0)</f>
        <v>0</v>
      </c>
      <c r="B1498" t="str">
        <f>IFERROR(MaterialsBoQ[[#This Row],[Material ]],"")</f>
        <v/>
      </c>
      <c r="C1498" t="str">
        <f>IFERROR(MaterialsBoQ[[#This Row],[Unit]],"")</f>
        <v/>
      </c>
      <c r="D1498" s="322">
        <f>IFERROR(MaterialsBoQ[[#This Row],[Number]],0)</f>
        <v>0</v>
      </c>
      <c r="E1498" s="322">
        <f>IFERROR(MaterialsBoQ[[#This Row],[Kg per unit]],0)</f>
        <v>0</v>
      </c>
      <c r="F1498" s="322">
        <f>IFERROR(Calculations[[#This Row],[Number]]*Calculations[[#This Row],[Conversion factor]],0)</f>
        <v>0</v>
      </c>
      <c r="G1498" s="322">
        <f>IFERROR(VLOOKUP(Calculations[[#This Row],[Material (choose from dropdown]],MaterialData[#All],7,FALSE),0)</f>
        <v>0</v>
      </c>
      <c r="H1498" s="322">
        <f>Calculations[[#This Row],[Total Kg]]*Calculations[[#This Row],[Carbon Factor]]</f>
        <v>0</v>
      </c>
      <c r="I1498" t="str">
        <f>IFERROR(VLOOKUP(Calculations[[#This Row],[Material (choose from dropdown]],MaterialData[#All],2,FALSE),"")</f>
        <v/>
      </c>
      <c r="J1498" s="322">
        <f>IFERROR(((VLOOKUP(Calculations[[#This Row],[TransportSource]],TransportDistance[],2,FALSE)*'Stage assumptions'!$C$11)+VLOOKUP(Calculations[[#This Row],[TransportSource]],TransportDistance[],3,FALSE)*'Stage assumptions'!$C$12)*Calculations[[#This Row],[Total Kg]],0)</f>
        <v>0</v>
      </c>
      <c r="K1498">
        <f>IFERROR(VLOOKUP(Calculations[[#This Row],[Material (choose from dropdown]], MaterialData[#All],3, FALSE),0)</f>
        <v>0</v>
      </c>
      <c r="L1498" s="322">
        <f>IFERROR(VLOOKUP(Calculations[[#This Row],[A5type]],A5WastageRate[#All],2,FALSE)*Calculations[[#This Row],[A1-3]],0)</f>
        <v>0</v>
      </c>
      <c r="N1498">
        <f>IFERROR(ROUNDUP(50/VLOOKUP(Calculations[[#This Row],[Scope Element]],B4referenceServiceLife[[Tier 2 element]:[Default Service Life]],2, FALSE)-1,0),0)</f>
        <v>0</v>
      </c>
      <c r="O1498" s="322">
        <f>IFERROR((Calculations[[#This Row],[A1-3]]+Calculations[[#This Row],[A4]]+Calculations[[#This Row],[A5]]+Calculations[[#This Row],[C2 total]]+Calculations[[#This Row],[C3 total]]+Calculations[[#This Row],[C4 total]])*Calculations[[#This Row],[Replacements]],0)</f>
        <v>0</v>
      </c>
      <c r="S1498" t="str">
        <f>IFERROR(VLOOKUP(Calculations[[#This Row],[Material (choose from dropdown]],MaterialData[#All],4,FALSE),"")</f>
        <v/>
      </c>
      <c r="T1498" s="322" cm="1">
        <f t="array" ref="T1498">IFERROR(VLOOKUP(Calculations[[#This Row],[Waste 1]],WasteScenario[#All],2,FALSE)*'Stage assumptions'!$C$225*WasteTransportMethod[Emissions Factor
kgCO2e/kg.km]*Calculations[[#This Row],[Total Kg]],0)</f>
        <v>0</v>
      </c>
      <c r="U1498" s="322" cm="1">
        <f t="array" ref="U1498">IFERROR(VLOOKUP(Calculations[[#This Row],[Waste 1]],WasteScenario[#All],3,FALSE)*'Stage assumptions'!$C$224*WasteTransportMethod[Emissions Factor
kgCO2e/kg.km]*Calculations[[#This Row],[Total Kg]],0)</f>
        <v>0</v>
      </c>
      <c r="V1498" s="322" cm="1">
        <f t="array" ref="V1498">IFERROR(VLOOKUP(Calculations[[#This Row],[Waste 1]],WasteScenario[#All],4,FALSE)*'Stage assumptions'!$C$223*WasteTransportMethod[Emissions Factor
kgCO2e/kg.km]*Calculations[[#This Row],[Total Kg]],0)</f>
        <v>0</v>
      </c>
      <c r="W1498" s="322" cm="1">
        <f t="array" ref="W1498">IFERROR(VLOOKUP(Calculations[[#This Row],[Waste 1]],WasteScenario[#All],5,FALSE)*'Stage assumptions'!$C$226*WasteTransportMethod[Emissions Factor
kgCO2e/kg.km]*Calculations[[#This Row],[Total Kg]],0)</f>
        <v>0</v>
      </c>
      <c r="X1498" s="322">
        <f>SUM(Calculations[[#This Row],[C2 Recycle]:[C2 Reuse]])</f>
        <v>0</v>
      </c>
      <c r="Y1498" t="str">
        <f>IFERROR(VLOOKUP(Calculations[[#This Row],[Material (choose from dropdown]],MaterialData[#All],5,FALSE),"")</f>
        <v/>
      </c>
      <c r="Z1498" s="322">
        <f>IFERROR(((VLOOKUP(Calculations[[#This Row],[Waste type 2]],WasteDisposalEmissions[#All],2,FALSE))*Calculations[[#This Row],[Total Kg]])*VLOOKUP(Calculations[[#This Row],[Waste 1]],WasteScenario[#All],2,FALSE),0)</f>
        <v>0</v>
      </c>
      <c r="AA1498" s="322">
        <f>IFERROR((VLOOKUP(Calculations[[#This Row],[Waste type 2]],WasteDisposalEmissions[#All],3,FALSE))*Calculations[[#This Row],[Total Kg]]*VLOOKUP(Calculations[[#This Row],[Waste 1]],WasteScenario[#All],3,FALSE),0)</f>
        <v>0</v>
      </c>
      <c r="AB1498" s="322">
        <f>SUM(Calculations[[#This Row],[C3 recyc]:[C3 incin]])</f>
        <v>0</v>
      </c>
      <c r="AC1498" s="334">
        <f>IFERROR((VLOOKUP(Calculations[[#This Row],[Waste type 2]],WasteLandfillEmissions[#All],2,FALSE))*Calculations[[#This Row],[Total Kg]]*VLOOKUP(Calculations[[#This Row],[Waste 1]],WasteScenario[#All],4,FALSE),0)</f>
        <v>0</v>
      </c>
      <c r="AD1498" s="322">
        <f>IFERROR((VLOOKUP(Calculations[[#This Row],[Waste type 2]],WasteLandfillEmissions[#All],3,FALSE))*Calculations[[#This Row],[Total Kg]]*VLOOKUP(Calculations[[#This Row],[Waste 1]],WasteScenario[#All],4,FALSE),0)</f>
        <v>0</v>
      </c>
      <c r="AE1498" s="322">
        <f>SUM(Calculations[[#This Row],[C4 landfill]:[C4 re-use]])</f>
        <v>0</v>
      </c>
      <c r="AF1498" s="322">
        <f>IFERROR(VLOOKUP(Calculations[[#This Row],[Material (choose from dropdown]],MaterialData[#All],8,FALSE),0)</f>
        <v>0</v>
      </c>
      <c r="AG1498" s="322">
        <f>IFERROR(Calculations[[#This Row],[Total Kg]]*Calculations[[#This Row],[Seq factor]],0)</f>
        <v>0</v>
      </c>
      <c r="AI1498" s="322">
        <f>Calculations[[#This Row],[A1-3]]+Calculations[[#This Row],[A4]]+Calculations[[#This Row],[A5]]+Calculations[[#This Row],[B4]]+Calculations[[#This Row],[C2 total]]+Calculations[[#This Row],[C3 total]]+Calculations[[#This Row],[C4 total]]</f>
        <v>0</v>
      </c>
      <c r="AJ1498" s="2">
        <f>IFERROR(VLOOKUP(Calculations[[#This Row],[Material (choose from dropdown]],MaterialData[[#Headers],[#Data]],9,FALSE),0)</f>
        <v>0</v>
      </c>
      <c r="AK1498" s="4">
        <f>IFERROR(VLOOKUP(Calculations[[#This Row],[Material (choose from dropdown]],MaterialData[[#Headers],[#Data]],10,FALSE),0)</f>
        <v>0</v>
      </c>
      <c r="AL1498" s="322">
        <f>IFERROR(Calculations[[#This Row],[Data Quality Score]]*Calculations[[#This Row],[Total Kg]],0)</f>
        <v>0</v>
      </c>
    </row>
    <row r="1499" spans="1:38" x14ac:dyDescent="0.3">
      <c r="A1499" s="6">
        <f>IFERROR(MaterialsBoQ[[#This Row],[Scope Element]],0)</f>
        <v>0</v>
      </c>
      <c r="B1499" t="str">
        <f>IFERROR(MaterialsBoQ[[#This Row],[Material ]],"")</f>
        <v/>
      </c>
      <c r="C1499" t="str">
        <f>IFERROR(MaterialsBoQ[[#This Row],[Unit]],"")</f>
        <v/>
      </c>
      <c r="D1499" s="322">
        <f>IFERROR(MaterialsBoQ[[#This Row],[Number]],0)</f>
        <v>0</v>
      </c>
      <c r="E1499" s="322">
        <f>IFERROR(MaterialsBoQ[[#This Row],[Kg per unit]],0)</f>
        <v>0</v>
      </c>
      <c r="F1499" s="322">
        <f>IFERROR(Calculations[[#This Row],[Number]]*Calculations[[#This Row],[Conversion factor]],0)</f>
        <v>0</v>
      </c>
      <c r="G1499" s="322">
        <f>IFERROR(VLOOKUP(Calculations[[#This Row],[Material (choose from dropdown]],MaterialData[#All],7,FALSE),0)</f>
        <v>0</v>
      </c>
      <c r="H1499" s="322">
        <f>Calculations[[#This Row],[Total Kg]]*Calculations[[#This Row],[Carbon Factor]]</f>
        <v>0</v>
      </c>
      <c r="I1499" t="str">
        <f>IFERROR(VLOOKUP(Calculations[[#This Row],[Material (choose from dropdown]],MaterialData[#All],2,FALSE),"")</f>
        <v/>
      </c>
      <c r="J1499" s="322">
        <f>IFERROR(((VLOOKUP(Calculations[[#This Row],[TransportSource]],TransportDistance[],2,FALSE)*'Stage assumptions'!$C$11)+VLOOKUP(Calculations[[#This Row],[TransportSource]],TransportDistance[],3,FALSE)*'Stage assumptions'!$C$12)*Calculations[[#This Row],[Total Kg]],0)</f>
        <v>0</v>
      </c>
      <c r="K1499">
        <f>IFERROR(VLOOKUP(Calculations[[#This Row],[Material (choose from dropdown]], MaterialData[#All],3, FALSE),0)</f>
        <v>0</v>
      </c>
      <c r="L1499" s="322">
        <f>IFERROR(VLOOKUP(Calculations[[#This Row],[A5type]],A5WastageRate[#All],2,FALSE)*Calculations[[#This Row],[A1-3]],0)</f>
        <v>0</v>
      </c>
      <c r="N1499">
        <f>IFERROR(ROUNDUP(50/VLOOKUP(Calculations[[#This Row],[Scope Element]],B4referenceServiceLife[[Tier 2 element]:[Default Service Life]],2, FALSE)-1,0),0)</f>
        <v>0</v>
      </c>
      <c r="O1499" s="322">
        <f>IFERROR((Calculations[[#This Row],[A1-3]]+Calculations[[#This Row],[A4]]+Calculations[[#This Row],[A5]]+Calculations[[#This Row],[C2 total]]+Calculations[[#This Row],[C3 total]]+Calculations[[#This Row],[C4 total]])*Calculations[[#This Row],[Replacements]],0)</f>
        <v>0</v>
      </c>
      <c r="S1499" t="str">
        <f>IFERROR(VLOOKUP(Calculations[[#This Row],[Material (choose from dropdown]],MaterialData[#All],4,FALSE),"")</f>
        <v/>
      </c>
      <c r="T1499" s="322" cm="1">
        <f t="array" ref="T1499">IFERROR(VLOOKUP(Calculations[[#This Row],[Waste 1]],WasteScenario[#All],2,FALSE)*'Stage assumptions'!$C$225*WasteTransportMethod[Emissions Factor
kgCO2e/kg.km]*Calculations[[#This Row],[Total Kg]],0)</f>
        <v>0</v>
      </c>
      <c r="U1499" s="322" cm="1">
        <f t="array" ref="U1499">IFERROR(VLOOKUP(Calculations[[#This Row],[Waste 1]],WasteScenario[#All],3,FALSE)*'Stage assumptions'!$C$224*WasteTransportMethod[Emissions Factor
kgCO2e/kg.km]*Calculations[[#This Row],[Total Kg]],0)</f>
        <v>0</v>
      </c>
      <c r="V1499" s="322" cm="1">
        <f t="array" ref="V1499">IFERROR(VLOOKUP(Calculations[[#This Row],[Waste 1]],WasteScenario[#All],4,FALSE)*'Stage assumptions'!$C$223*WasteTransportMethod[Emissions Factor
kgCO2e/kg.km]*Calculations[[#This Row],[Total Kg]],0)</f>
        <v>0</v>
      </c>
      <c r="W1499" s="322" cm="1">
        <f t="array" ref="W1499">IFERROR(VLOOKUP(Calculations[[#This Row],[Waste 1]],WasteScenario[#All],5,FALSE)*'Stage assumptions'!$C$226*WasteTransportMethod[Emissions Factor
kgCO2e/kg.km]*Calculations[[#This Row],[Total Kg]],0)</f>
        <v>0</v>
      </c>
      <c r="X1499" s="322">
        <f>SUM(Calculations[[#This Row],[C2 Recycle]:[C2 Reuse]])</f>
        <v>0</v>
      </c>
      <c r="Y1499" t="str">
        <f>IFERROR(VLOOKUP(Calculations[[#This Row],[Material (choose from dropdown]],MaterialData[#All],5,FALSE),"")</f>
        <v/>
      </c>
      <c r="Z1499" s="322">
        <f>IFERROR(((VLOOKUP(Calculations[[#This Row],[Waste type 2]],WasteDisposalEmissions[#All],2,FALSE))*Calculations[[#This Row],[Total Kg]])*VLOOKUP(Calculations[[#This Row],[Waste 1]],WasteScenario[#All],2,FALSE),0)</f>
        <v>0</v>
      </c>
      <c r="AA1499" s="322">
        <f>IFERROR((VLOOKUP(Calculations[[#This Row],[Waste type 2]],WasteDisposalEmissions[#All],3,FALSE))*Calculations[[#This Row],[Total Kg]]*VLOOKUP(Calculations[[#This Row],[Waste 1]],WasteScenario[#All],3,FALSE),0)</f>
        <v>0</v>
      </c>
      <c r="AB1499" s="322">
        <f>SUM(Calculations[[#This Row],[C3 recyc]:[C3 incin]])</f>
        <v>0</v>
      </c>
      <c r="AC1499" s="334">
        <f>IFERROR((VLOOKUP(Calculations[[#This Row],[Waste type 2]],WasteLandfillEmissions[#All],2,FALSE))*Calculations[[#This Row],[Total Kg]]*VLOOKUP(Calculations[[#This Row],[Waste 1]],WasteScenario[#All],4,FALSE),0)</f>
        <v>0</v>
      </c>
      <c r="AD1499" s="322">
        <f>IFERROR((VLOOKUP(Calculations[[#This Row],[Waste type 2]],WasteLandfillEmissions[#All],3,FALSE))*Calculations[[#This Row],[Total Kg]]*VLOOKUP(Calculations[[#This Row],[Waste 1]],WasteScenario[#All],4,FALSE),0)</f>
        <v>0</v>
      </c>
      <c r="AE1499" s="322">
        <f>SUM(Calculations[[#This Row],[C4 landfill]:[C4 re-use]])</f>
        <v>0</v>
      </c>
      <c r="AF1499" s="322">
        <f>IFERROR(VLOOKUP(Calculations[[#This Row],[Material (choose from dropdown]],MaterialData[#All],8,FALSE),0)</f>
        <v>0</v>
      </c>
      <c r="AG1499" s="322">
        <f>IFERROR(Calculations[[#This Row],[Total Kg]]*Calculations[[#This Row],[Seq factor]],0)</f>
        <v>0</v>
      </c>
      <c r="AI1499" s="322">
        <f>Calculations[[#This Row],[A1-3]]+Calculations[[#This Row],[A4]]+Calculations[[#This Row],[A5]]+Calculations[[#This Row],[B4]]+Calculations[[#This Row],[C2 total]]+Calculations[[#This Row],[C3 total]]+Calculations[[#This Row],[C4 total]]</f>
        <v>0</v>
      </c>
      <c r="AJ1499" s="2">
        <f>IFERROR(VLOOKUP(Calculations[[#This Row],[Material (choose from dropdown]],MaterialData[[#Headers],[#Data]],9,FALSE),0)</f>
        <v>0</v>
      </c>
      <c r="AK1499" s="4">
        <f>IFERROR(VLOOKUP(Calculations[[#This Row],[Material (choose from dropdown]],MaterialData[[#Headers],[#Data]],10,FALSE),0)</f>
        <v>0</v>
      </c>
      <c r="AL1499" s="322">
        <f>IFERROR(Calculations[[#This Row],[Data Quality Score]]*Calculations[[#This Row],[Total Kg]],0)</f>
        <v>0</v>
      </c>
    </row>
    <row r="1500" spans="1:38" x14ac:dyDescent="0.3">
      <c r="A1500" s="6"/>
      <c r="D1500" s="325"/>
      <c r="E1500" s="325"/>
      <c r="F1500" s="325">
        <f>SUM(Calculations[Total Kg])</f>
        <v>2400</v>
      </c>
      <c r="G1500" s="325"/>
      <c r="H1500" s="325"/>
      <c r="J1500" s="325"/>
      <c r="L1500" s="325"/>
      <c r="O1500" s="325"/>
      <c r="P1500" s="325"/>
      <c r="Q1500" s="325"/>
      <c r="R1500" s="325"/>
      <c r="T1500" s="325"/>
      <c r="U1500" s="325"/>
      <c r="V1500" s="325"/>
      <c r="W1500" s="325"/>
      <c r="X1500" s="325"/>
      <c r="Z1500" s="325"/>
      <c r="AA1500" s="325"/>
      <c r="AB1500" s="325"/>
      <c r="AC1500" s="325"/>
      <c r="AD1500" s="325"/>
      <c r="AE1500" s="325"/>
      <c r="AF1500" s="325"/>
      <c r="AG1500" s="325"/>
      <c r="AH1500" s="325"/>
      <c r="AI1500" s="325"/>
      <c r="AJ1500" s="2"/>
      <c r="AK1500" s="311"/>
      <c r="AL1500" s="325">
        <f>SUM(Calculations[Weighted DQS * KG])</f>
        <v>0</v>
      </c>
    </row>
  </sheetData>
  <phoneticPr fontId="7" type="noConversion"/>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3">
        <x14:dataValidation type="list" allowBlank="1" showInputMessage="1" showErrorMessage="1" xr:uid="{00049B27-19BD-4B5B-A749-F146CE48D43A}">
          <x14:formula1>
            <xm:f>Dropdowns!$A$1:$A$5</xm:f>
          </x14:formula1>
          <xm:sqref>C2:C1499</xm:sqref>
        </x14:dataValidation>
        <x14:dataValidation type="list" allowBlank="1" showInputMessage="1" showErrorMessage="1" xr:uid="{197E6E93-9396-4027-8A6B-900CF0AD3DE7}">
          <x14:formula1>
            <xm:f>'Stage assumptions'!$C$66:$C$113</xm:f>
          </x14:formula1>
          <xm:sqref>A2:A1499</xm:sqref>
        </x14:dataValidation>
        <x14:dataValidation type="list" allowBlank="1" showInputMessage="1" showErrorMessage="1" xr:uid="{CDC94F14-1D11-43A0-B812-6A534D514F94}">
          <x14:formula1>
            <xm:f>'Materials Data'!$A$2:$A$281</xm:f>
          </x14:formula1>
          <xm:sqref>B2:B1499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D833F-9712-4E2C-B964-63EA5801CB55}">
  <sheetPr codeName="Sheet1"/>
  <dimension ref="A1:L1494"/>
  <sheetViews>
    <sheetView topLeftCell="A73" workbookViewId="0">
      <selection activeCell="C95" sqref="C95"/>
    </sheetView>
  </sheetViews>
  <sheetFormatPr defaultRowHeight="14.4" x14ac:dyDescent="0.3"/>
  <cols>
    <col min="1" max="1" width="108" customWidth="1"/>
    <col min="2" max="2" width="20.33203125" bestFit="1" customWidth="1"/>
    <col min="3" max="3" width="20.33203125" customWidth="1"/>
    <col min="4" max="5" width="14.33203125" customWidth="1"/>
    <col min="6" max="6" width="11.44140625" customWidth="1"/>
    <col min="7" max="7" width="22.5546875" style="334" customWidth="1"/>
    <col min="8" max="8" width="26.109375" style="334" customWidth="1"/>
    <col min="9" max="9" width="13.109375" customWidth="1"/>
    <col min="10" max="10" width="18.6640625" style="4" customWidth="1"/>
  </cols>
  <sheetData>
    <row r="1" spans="1:12" x14ac:dyDescent="0.3">
      <c r="A1" t="s">
        <v>91</v>
      </c>
      <c r="B1" t="s">
        <v>108</v>
      </c>
      <c r="C1" t="s">
        <v>1118</v>
      </c>
      <c r="D1" t="s">
        <v>1116</v>
      </c>
      <c r="E1" t="s">
        <v>1117</v>
      </c>
      <c r="F1" t="s">
        <v>111</v>
      </c>
      <c r="G1" s="334" t="s">
        <v>112</v>
      </c>
      <c r="H1" s="334" t="s">
        <v>113</v>
      </c>
      <c r="I1" t="s">
        <v>114</v>
      </c>
      <c r="J1" s="4" t="s">
        <v>115</v>
      </c>
      <c r="K1" t="s">
        <v>116</v>
      </c>
      <c r="L1" t="s">
        <v>117</v>
      </c>
    </row>
    <row r="2" spans="1:12" x14ac:dyDescent="0.3">
      <c r="A2" t="s">
        <v>118</v>
      </c>
      <c r="B2" t="s">
        <v>5</v>
      </c>
      <c r="C2" t="s">
        <v>104</v>
      </c>
      <c r="D2" t="s">
        <v>79</v>
      </c>
      <c r="E2" t="s">
        <v>104</v>
      </c>
      <c r="F2" t="s">
        <v>119</v>
      </c>
      <c r="G2" s="334">
        <v>5.0010000000000002E-3</v>
      </c>
      <c r="H2" s="334">
        <v>0</v>
      </c>
      <c r="I2" t="s">
        <v>120</v>
      </c>
      <c r="J2" s="4">
        <v>0.55000000000000004</v>
      </c>
    </row>
    <row r="3" spans="1:12" x14ac:dyDescent="0.3">
      <c r="A3" t="s">
        <v>121</v>
      </c>
      <c r="B3" t="s">
        <v>5</v>
      </c>
      <c r="C3" t="s">
        <v>1062</v>
      </c>
      <c r="D3" t="s">
        <v>77</v>
      </c>
      <c r="E3" t="s">
        <v>104</v>
      </c>
      <c r="F3" t="s">
        <v>119</v>
      </c>
      <c r="G3" s="334">
        <v>5.0091130474268497E-2</v>
      </c>
      <c r="H3" s="334">
        <v>0</v>
      </c>
      <c r="I3" t="s">
        <v>122</v>
      </c>
      <c r="J3" s="4">
        <v>0.55000000000000004</v>
      </c>
    </row>
    <row r="4" spans="1:12" x14ac:dyDescent="0.3">
      <c r="A4" t="s">
        <v>123</v>
      </c>
      <c r="B4" t="s">
        <v>5</v>
      </c>
      <c r="C4" t="s">
        <v>1062</v>
      </c>
      <c r="D4" t="s">
        <v>77</v>
      </c>
      <c r="E4" t="s">
        <v>104</v>
      </c>
      <c r="F4" t="s">
        <v>119</v>
      </c>
      <c r="G4" s="334">
        <v>5.1125283227539502E-2</v>
      </c>
      <c r="H4" s="334">
        <v>0</v>
      </c>
      <c r="I4" t="s">
        <v>122</v>
      </c>
      <c r="J4" s="4">
        <v>0.55000000000000004</v>
      </c>
    </row>
    <row r="5" spans="1:12" x14ac:dyDescent="0.3">
      <c r="A5" t="s">
        <v>124</v>
      </c>
      <c r="B5" t="s">
        <v>5</v>
      </c>
      <c r="C5" t="s">
        <v>1062</v>
      </c>
      <c r="D5" t="s">
        <v>77</v>
      </c>
      <c r="E5" t="s">
        <v>104</v>
      </c>
      <c r="F5" t="s">
        <v>119</v>
      </c>
      <c r="G5" s="334">
        <v>5.2159435980810499E-2</v>
      </c>
      <c r="H5" s="334">
        <v>0</v>
      </c>
      <c r="I5" t="s">
        <v>122</v>
      </c>
      <c r="J5" s="4">
        <v>0.55000000000000004</v>
      </c>
    </row>
    <row r="6" spans="1:12" x14ac:dyDescent="0.3">
      <c r="A6" t="s">
        <v>125</v>
      </c>
      <c r="B6" t="s">
        <v>5</v>
      </c>
      <c r="C6" t="s">
        <v>1062</v>
      </c>
      <c r="D6" t="s">
        <v>77</v>
      </c>
      <c r="E6" t="s">
        <v>104</v>
      </c>
      <c r="F6" t="s">
        <v>119</v>
      </c>
      <c r="G6" s="334">
        <v>5.3193588734081504E-2</v>
      </c>
      <c r="H6" s="334">
        <v>0</v>
      </c>
      <c r="I6" t="s">
        <v>122</v>
      </c>
      <c r="J6" s="4">
        <v>0.55000000000000004</v>
      </c>
    </row>
    <row r="7" spans="1:12" x14ac:dyDescent="0.3">
      <c r="A7" t="s">
        <v>126</v>
      </c>
      <c r="B7" t="s">
        <v>5</v>
      </c>
      <c r="C7" t="s">
        <v>1062</v>
      </c>
      <c r="D7" t="s">
        <v>77</v>
      </c>
      <c r="E7" t="s">
        <v>104</v>
      </c>
      <c r="F7" t="s">
        <v>119</v>
      </c>
      <c r="G7" s="334">
        <v>5.4227741487352495E-2</v>
      </c>
      <c r="H7" s="334">
        <v>0</v>
      </c>
      <c r="I7" t="s">
        <v>122</v>
      </c>
      <c r="J7" s="4">
        <v>0.55000000000000004</v>
      </c>
    </row>
    <row r="8" spans="1:12" x14ac:dyDescent="0.3">
      <c r="A8" t="s">
        <v>127</v>
      </c>
      <c r="B8" t="s">
        <v>5</v>
      </c>
      <c r="C8" t="s">
        <v>1062</v>
      </c>
      <c r="D8" t="s">
        <v>77</v>
      </c>
      <c r="E8" t="s">
        <v>104</v>
      </c>
      <c r="F8" t="s">
        <v>119</v>
      </c>
      <c r="G8" s="334">
        <v>5.5261894240623506E-2</v>
      </c>
      <c r="H8" s="334">
        <v>0</v>
      </c>
      <c r="I8" t="s">
        <v>122</v>
      </c>
      <c r="J8" s="4">
        <v>0.55000000000000004</v>
      </c>
    </row>
    <row r="9" spans="1:12" x14ac:dyDescent="0.3">
      <c r="A9" t="s">
        <v>128</v>
      </c>
      <c r="B9" t="s">
        <v>5</v>
      </c>
      <c r="C9" t="s">
        <v>1062</v>
      </c>
      <c r="D9" t="s">
        <v>77</v>
      </c>
      <c r="E9" t="s">
        <v>104</v>
      </c>
      <c r="F9" t="s">
        <v>119</v>
      </c>
      <c r="G9" s="334">
        <v>5.629604699389449E-2</v>
      </c>
      <c r="H9" s="334">
        <v>0</v>
      </c>
      <c r="I9" t="s">
        <v>122</v>
      </c>
      <c r="J9" s="4">
        <v>0.55000000000000004</v>
      </c>
    </row>
    <row r="10" spans="1:12" x14ac:dyDescent="0.3">
      <c r="A10" t="s">
        <v>129</v>
      </c>
      <c r="B10" t="s">
        <v>5</v>
      </c>
      <c r="C10" t="s">
        <v>1062</v>
      </c>
      <c r="D10" t="s">
        <v>77</v>
      </c>
      <c r="E10" t="s">
        <v>104</v>
      </c>
      <c r="F10" t="s">
        <v>119</v>
      </c>
      <c r="G10" s="334">
        <v>5.7330199747165501E-2</v>
      </c>
      <c r="H10" s="334">
        <v>0</v>
      </c>
      <c r="I10" t="s">
        <v>122</v>
      </c>
      <c r="J10" s="4">
        <v>0.55000000000000004</v>
      </c>
    </row>
    <row r="11" spans="1:12" x14ac:dyDescent="0.3">
      <c r="A11" t="s">
        <v>130</v>
      </c>
      <c r="B11" t="s">
        <v>5</v>
      </c>
      <c r="C11" t="s">
        <v>1062</v>
      </c>
      <c r="D11" t="s">
        <v>77</v>
      </c>
      <c r="E11" t="s">
        <v>104</v>
      </c>
      <c r="F11" t="s">
        <v>119</v>
      </c>
      <c r="G11" s="334">
        <v>5.8364352500436499E-2</v>
      </c>
      <c r="H11" s="334">
        <v>0</v>
      </c>
      <c r="I11" t="s">
        <v>122</v>
      </c>
      <c r="J11" s="4">
        <v>0.55000000000000004</v>
      </c>
    </row>
    <row r="12" spans="1:12" x14ac:dyDescent="0.3">
      <c r="A12" t="s">
        <v>131</v>
      </c>
      <c r="B12" t="s">
        <v>5</v>
      </c>
      <c r="C12" t="s">
        <v>1062</v>
      </c>
      <c r="D12" t="s">
        <v>77</v>
      </c>
      <c r="E12" t="s">
        <v>104</v>
      </c>
      <c r="F12" t="s">
        <v>119</v>
      </c>
      <c r="G12" s="334">
        <v>0.19085999999999997</v>
      </c>
      <c r="H12" s="334">
        <v>0</v>
      </c>
      <c r="I12" t="s">
        <v>122</v>
      </c>
      <c r="J12" s="4">
        <v>0.55000000000000004</v>
      </c>
    </row>
    <row r="13" spans="1:12" x14ac:dyDescent="0.3">
      <c r="A13" t="s">
        <v>132</v>
      </c>
      <c r="B13" t="s">
        <v>5</v>
      </c>
      <c r="C13" t="s">
        <v>1062</v>
      </c>
      <c r="D13" t="s">
        <v>77</v>
      </c>
      <c r="E13" t="s">
        <v>104</v>
      </c>
      <c r="F13" t="s">
        <v>119</v>
      </c>
      <c r="G13" s="334">
        <v>0.32629000000000002</v>
      </c>
      <c r="H13" s="334">
        <v>0</v>
      </c>
      <c r="I13" t="s">
        <v>122</v>
      </c>
      <c r="J13" s="4">
        <v>0.55000000000000004</v>
      </c>
    </row>
    <row r="14" spans="1:12" x14ac:dyDescent="0.3">
      <c r="A14" t="s">
        <v>133</v>
      </c>
      <c r="B14" t="s">
        <v>5</v>
      </c>
      <c r="C14" t="s">
        <v>1062</v>
      </c>
      <c r="D14" t="s">
        <v>77</v>
      </c>
      <c r="E14" t="s">
        <v>104</v>
      </c>
      <c r="F14" t="s">
        <v>119</v>
      </c>
      <c r="G14" s="334">
        <v>0.221666</v>
      </c>
      <c r="H14" s="334">
        <v>0</v>
      </c>
      <c r="I14" t="s">
        <v>122</v>
      </c>
      <c r="J14" s="4">
        <v>0.55000000000000004</v>
      </c>
    </row>
    <row r="15" spans="1:12" x14ac:dyDescent="0.3">
      <c r="A15" t="s">
        <v>134</v>
      </c>
      <c r="B15" t="s">
        <v>6</v>
      </c>
      <c r="C15" t="s">
        <v>1067</v>
      </c>
      <c r="D15" t="s">
        <v>75</v>
      </c>
      <c r="E15" t="s">
        <v>95</v>
      </c>
      <c r="F15" t="s">
        <v>119</v>
      </c>
      <c r="G15" s="334">
        <v>0.36712499999999998</v>
      </c>
      <c r="H15" s="334">
        <v>-1.6412500000000001</v>
      </c>
      <c r="I15" t="s">
        <v>120</v>
      </c>
      <c r="J15" s="4">
        <v>0.35</v>
      </c>
      <c r="K15" s="5" t="s">
        <v>135</v>
      </c>
    </row>
    <row r="16" spans="1:12" x14ac:dyDescent="0.3">
      <c r="A16" t="s">
        <v>136</v>
      </c>
      <c r="B16" t="s">
        <v>6</v>
      </c>
      <c r="C16" t="s">
        <v>1067</v>
      </c>
      <c r="D16" t="s">
        <v>75</v>
      </c>
      <c r="E16" t="s">
        <v>95</v>
      </c>
      <c r="F16" t="s">
        <v>119</v>
      </c>
      <c r="G16" s="334">
        <v>0.64027999999999996</v>
      </c>
      <c r="H16" s="334">
        <v>-1.5774999999999999</v>
      </c>
      <c r="I16" t="s">
        <v>120</v>
      </c>
      <c r="J16" s="4">
        <v>0.35</v>
      </c>
      <c r="K16" s="5" t="s">
        <v>137</v>
      </c>
    </row>
    <row r="17" spans="1:12" x14ac:dyDescent="0.3">
      <c r="A17" t="s">
        <v>138</v>
      </c>
      <c r="B17" t="s">
        <v>6</v>
      </c>
      <c r="C17" t="s">
        <v>1067</v>
      </c>
      <c r="D17" t="s">
        <v>75</v>
      </c>
      <c r="E17" t="s">
        <v>95</v>
      </c>
      <c r="F17" t="s">
        <v>119</v>
      </c>
      <c r="G17" s="334">
        <v>0.49802999999999997</v>
      </c>
      <c r="H17" s="334">
        <v>-1.6256600000000001</v>
      </c>
      <c r="I17" t="s">
        <v>120</v>
      </c>
      <c r="J17" s="4">
        <v>0.35</v>
      </c>
      <c r="K17" s="5" t="s">
        <v>139</v>
      </c>
    </row>
    <row r="18" spans="1:12" x14ac:dyDescent="0.3">
      <c r="A18" t="s">
        <v>140</v>
      </c>
      <c r="B18" t="s">
        <v>6</v>
      </c>
      <c r="C18" t="s">
        <v>1067</v>
      </c>
      <c r="D18" t="s">
        <v>75</v>
      </c>
      <c r="E18" t="s">
        <v>95</v>
      </c>
      <c r="F18" t="s">
        <v>119</v>
      </c>
      <c r="G18" s="334">
        <v>0.56915499999999997</v>
      </c>
      <c r="H18" s="334">
        <v>-1.60158</v>
      </c>
      <c r="I18" t="s">
        <v>120</v>
      </c>
      <c r="J18" s="4">
        <v>0.35</v>
      </c>
    </row>
    <row r="19" spans="1:12" x14ac:dyDescent="0.3">
      <c r="A19" t="s">
        <v>141</v>
      </c>
      <c r="B19" t="s">
        <v>7</v>
      </c>
      <c r="C19" t="s">
        <v>1067</v>
      </c>
      <c r="D19" t="s">
        <v>75</v>
      </c>
      <c r="E19" t="s">
        <v>95</v>
      </c>
      <c r="F19" t="s">
        <v>119</v>
      </c>
      <c r="G19" s="334">
        <v>0.29986431478968795</v>
      </c>
      <c r="H19" s="334">
        <v>-1.0895522388059702</v>
      </c>
      <c r="I19" t="s">
        <v>120</v>
      </c>
      <c r="J19" s="4">
        <v>0.35</v>
      </c>
    </row>
    <row r="20" spans="1:12" x14ac:dyDescent="0.3">
      <c r="A20" t="s">
        <v>142</v>
      </c>
      <c r="B20" t="s">
        <v>7</v>
      </c>
      <c r="C20" t="s">
        <v>1067</v>
      </c>
      <c r="D20" t="s">
        <v>75</v>
      </c>
      <c r="E20" t="s">
        <v>95</v>
      </c>
      <c r="F20" t="s">
        <v>119</v>
      </c>
      <c r="G20" s="334">
        <v>0.54062500000000002</v>
      </c>
      <c r="H20" s="334">
        <v>-1.503125</v>
      </c>
      <c r="I20" t="s">
        <v>120</v>
      </c>
      <c r="J20" s="4">
        <v>0.35</v>
      </c>
    </row>
    <row r="21" spans="1:12" x14ac:dyDescent="0.3">
      <c r="A21" t="s">
        <v>143</v>
      </c>
      <c r="B21" t="s">
        <v>7</v>
      </c>
      <c r="C21" t="s">
        <v>1067</v>
      </c>
      <c r="D21" t="s">
        <v>75</v>
      </c>
      <c r="E21" t="s">
        <v>95</v>
      </c>
      <c r="F21" t="s">
        <v>119</v>
      </c>
      <c r="G21" s="334">
        <v>0.27909767441860472</v>
      </c>
      <c r="H21" s="334">
        <v>-1.387</v>
      </c>
      <c r="I21" t="s">
        <v>120</v>
      </c>
      <c r="J21" s="4">
        <v>0.35</v>
      </c>
    </row>
    <row r="22" spans="1:12" x14ac:dyDescent="0.3">
      <c r="A22" t="s">
        <v>144</v>
      </c>
      <c r="B22" t="s">
        <v>7</v>
      </c>
      <c r="C22" t="s">
        <v>1058</v>
      </c>
      <c r="D22" t="s">
        <v>76</v>
      </c>
      <c r="E22" t="s">
        <v>100</v>
      </c>
      <c r="F22" t="s">
        <v>119</v>
      </c>
      <c r="G22" s="334">
        <v>0.21299999999999999</v>
      </c>
      <c r="H22" s="334">
        <v>0</v>
      </c>
      <c r="I22" t="s">
        <v>120</v>
      </c>
      <c r="J22" s="4">
        <v>0.55000000000000004</v>
      </c>
    </row>
    <row r="23" spans="1:12" x14ac:dyDescent="0.3">
      <c r="A23" t="s">
        <v>145</v>
      </c>
      <c r="B23" t="s">
        <v>5</v>
      </c>
      <c r="C23" t="s">
        <v>1062</v>
      </c>
      <c r="D23" t="s">
        <v>76</v>
      </c>
      <c r="E23" t="s">
        <v>99</v>
      </c>
      <c r="F23" t="s">
        <v>119</v>
      </c>
      <c r="G23" s="334">
        <v>0.72533199999999998</v>
      </c>
      <c r="H23" s="334">
        <v>0</v>
      </c>
      <c r="I23" t="s">
        <v>120</v>
      </c>
      <c r="J23" s="4">
        <v>0.55000000000000004</v>
      </c>
      <c r="L23" t="s">
        <v>146</v>
      </c>
    </row>
    <row r="24" spans="1:12" x14ac:dyDescent="0.3">
      <c r="A24" t="s">
        <v>147</v>
      </c>
      <c r="B24" t="s">
        <v>5</v>
      </c>
      <c r="C24" t="s">
        <v>1062</v>
      </c>
      <c r="D24" t="s">
        <v>76</v>
      </c>
      <c r="E24" t="s">
        <v>99</v>
      </c>
      <c r="F24" t="s">
        <v>119</v>
      </c>
      <c r="G24" s="334">
        <v>0.76327</v>
      </c>
      <c r="H24" s="334">
        <v>0</v>
      </c>
      <c r="I24" t="s">
        <v>148</v>
      </c>
      <c r="J24" s="4">
        <v>0.8</v>
      </c>
      <c r="K24" s="5" t="s">
        <v>149</v>
      </c>
    </row>
    <row r="25" spans="1:12" x14ac:dyDescent="0.3">
      <c r="A25" t="s">
        <v>1089</v>
      </c>
      <c r="B25" t="s">
        <v>5</v>
      </c>
      <c r="C25" t="s">
        <v>1062</v>
      </c>
      <c r="D25" t="s">
        <v>76</v>
      </c>
      <c r="E25" t="s">
        <v>99</v>
      </c>
      <c r="F25" t="s">
        <v>119</v>
      </c>
      <c r="G25" s="334">
        <v>0.72799999999999998</v>
      </c>
      <c r="H25" s="334">
        <v>0</v>
      </c>
      <c r="I25" t="s">
        <v>120</v>
      </c>
      <c r="J25" s="4">
        <v>0.55000000000000004</v>
      </c>
    </row>
    <row r="26" spans="1:12" x14ac:dyDescent="0.3">
      <c r="A26" t="s">
        <v>1090</v>
      </c>
      <c r="B26" t="s">
        <v>5</v>
      </c>
      <c r="C26" t="s">
        <v>1062</v>
      </c>
      <c r="D26" t="s">
        <v>76</v>
      </c>
      <c r="E26" t="s">
        <v>99</v>
      </c>
      <c r="F26" t="s">
        <v>119</v>
      </c>
      <c r="G26" s="334">
        <v>0.69825999999999999</v>
      </c>
      <c r="H26" s="334">
        <v>0</v>
      </c>
      <c r="I26" t="s">
        <v>148</v>
      </c>
      <c r="J26" s="4">
        <v>0.8</v>
      </c>
      <c r="K26" s="5" t="s">
        <v>150</v>
      </c>
    </row>
    <row r="27" spans="1:12" x14ac:dyDescent="0.3">
      <c r="A27" t="s">
        <v>1091</v>
      </c>
      <c r="B27" t="s">
        <v>5</v>
      </c>
      <c r="C27" t="s">
        <v>1062</v>
      </c>
      <c r="D27" t="s">
        <v>76</v>
      </c>
      <c r="E27" t="s">
        <v>99</v>
      </c>
      <c r="F27" t="s">
        <v>119</v>
      </c>
      <c r="G27" s="334">
        <v>0.72399999999999998</v>
      </c>
      <c r="H27" s="334">
        <v>0</v>
      </c>
      <c r="I27" t="s">
        <v>120</v>
      </c>
      <c r="J27" s="4">
        <v>0.55000000000000004</v>
      </c>
    </row>
    <row r="28" spans="1:12" x14ac:dyDescent="0.3">
      <c r="A28" t="s">
        <v>151</v>
      </c>
      <c r="B28" t="s">
        <v>5</v>
      </c>
      <c r="C28" t="s">
        <v>1062</v>
      </c>
      <c r="D28" t="s">
        <v>76</v>
      </c>
      <c r="E28" t="s">
        <v>99</v>
      </c>
      <c r="F28" t="s">
        <v>119</v>
      </c>
      <c r="G28" s="334">
        <v>0.89600000000000002</v>
      </c>
      <c r="H28" s="334">
        <v>0</v>
      </c>
      <c r="I28" t="s">
        <v>120</v>
      </c>
      <c r="J28" s="4">
        <v>0.55000000000000004</v>
      </c>
    </row>
    <row r="29" spans="1:12" x14ac:dyDescent="0.3">
      <c r="A29" t="s">
        <v>152</v>
      </c>
      <c r="B29" t="s">
        <v>5</v>
      </c>
      <c r="C29" t="s">
        <v>1062</v>
      </c>
      <c r="D29" t="s">
        <v>76</v>
      </c>
      <c r="E29" t="s">
        <v>99</v>
      </c>
      <c r="F29" t="s">
        <v>119</v>
      </c>
      <c r="G29" s="334">
        <v>0.61699999999999999</v>
      </c>
      <c r="H29" s="334">
        <v>0</v>
      </c>
      <c r="I29" t="s">
        <v>120</v>
      </c>
      <c r="J29" s="4">
        <v>0.55000000000000004</v>
      </c>
    </row>
    <row r="30" spans="1:12" x14ac:dyDescent="0.3">
      <c r="A30" t="s">
        <v>153</v>
      </c>
      <c r="B30" t="s">
        <v>5</v>
      </c>
      <c r="C30" t="s">
        <v>1062</v>
      </c>
      <c r="D30" t="s">
        <v>76</v>
      </c>
      <c r="E30" t="s">
        <v>99</v>
      </c>
      <c r="F30" t="s">
        <v>119</v>
      </c>
      <c r="G30" s="334">
        <v>0.67400000000000004</v>
      </c>
      <c r="H30" s="334">
        <v>0</v>
      </c>
      <c r="I30" t="s">
        <v>120</v>
      </c>
      <c r="J30" s="4">
        <v>0.55000000000000004</v>
      </c>
    </row>
    <row r="31" spans="1:12" x14ac:dyDescent="0.3">
      <c r="A31" t="s">
        <v>154</v>
      </c>
      <c r="B31" t="s">
        <v>5</v>
      </c>
      <c r="C31" t="s">
        <v>1062</v>
      </c>
      <c r="D31" t="s">
        <v>76</v>
      </c>
      <c r="E31" t="s">
        <v>99</v>
      </c>
      <c r="F31" t="s">
        <v>119</v>
      </c>
      <c r="G31" s="334">
        <v>0.51200000000000001</v>
      </c>
      <c r="H31" s="334">
        <v>0</v>
      </c>
      <c r="I31" t="s">
        <v>120</v>
      </c>
      <c r="J31" s="4">
        <v>0.55000000000000004</v>
      </c>
    </row>
    <row r="32" spans="1:12" x14ac:dyDescent="0.3">
      <c r="A32" t="s">
        <v>155</v>
      </c>
      <c r="B32" t="s">
        <v>5</v>
      </c>
      <c r="C32" t="s">
        <v>1062</v>
      </c>
      <c r="D32" t="s">
        <v>76</v>
      </c>
      <c r="E32" t="s">
        <v>99</v>
      </c>
      <c r="F32" t="s">
        <v>119</v>
      </c>
      <c r="G32" s="334">
        <v>0.371</v>
      </c>
      <c r="H32" s="334">
        <v>0</v>
      </c>
      <c r="I32" t="s">
        <v>120</v>
      </c>
      <c r="J32" s="4">
        <v>0.55000000000000004</v>
      </c>
    </row>
    <row r="33" spans="1:10" x14ac:dyDescent="0.3">
      <c r="A33" t="s">
        <v>156</v>
      </c>
      <c r="B33" t="s">
        <v>5</v>
      </c>
      <c r="C33" t="s">
        <v>1075</v>
      </c>
      <c r="D33" t="s">
        <v>76</v>
      </c>
      <c r="E33" t="s">
        <v>99</v>
      </c>
      <c r="F33" t="s">
        <v>119</v>
      </c>
      <c r="G33" s="334">
        <v>0.7</v>
      </c>
      <c r="H33" s="334">
        <v>0</v>
      </c>
      <c r="I33" t="s">
        <v>122</v>
      </c>
      <c r="J33" s="4">
        <v>0.35</v>
      </c>
    </row>
    <row r="34" spans="1:10" x14ac:dyDescent="0.3">
      <c r="A34" t="s">
        <v>157</v>
      </c>
      <c r="B34" t="s">
        <v>5</v>
      </c>
      <c r="C34" t="s">
        <v>1075</v>
      </c>
      <c r="D34" t="s">
        <v>76</v>
      </c>
      <c r="E34" t="s">
        <v>99</v>
      </c>
      <c r="F34" t="s">
        <v>119</v>
      </c>
      <c r="G34" s="334">
        <v>1.1399999999999999</v>
      </c>
      <c r="H34" s="334">
        <v>0</v>
      </c>
      <c r="I34" t="s">
        <v>122</v>
      </c>
      <c r="J34" s="4">
        <v>0.35</v>
      </c>
    </row>
    <row r="35" spans="1:10" x14ac:dyDescent="0.3">
      <c r="A35" t="s">
        <v>158</v>
      </c>
      <c r="B35" t="s">
        <v>5</v>
      </c>
      <c r="C35" t="s">
        <v>1075</v>
      </c>
      <c r="D35" t="s">
        <v>76</v>
      </c>
      <c r="E35" t="s">
        <v>99</v>
      </c>
      <c r="F35" t="s">
        <v>119</v>
      </c>
      <c r="G35" s="334">
        <v>1.61</v>
      </c>
      <c r="H35" s="334">
        <v>0</v>
      </c>
      <c r="I35" t="s">
        <v>122</v>
      </c>
      <c r="J35" s="4">
        <v>0.35</v>
      </c>
    </row>
    <row r="36" spans="1:10" x14ac:dyDescent="0.3">
      <c r="A36" t="s">
        <v>159</v>
      </c>
      <c r="B36" t="s">
        <v>5</v>
      </c>
      <c r="C36" t="s">
        <v>1075</v>
      </c>
      <c r="D36" t="s">
        <v>76</v>
      </c>
      <c r="E36" t="s">
        <v>99</v>
      </c>
      <c r="F36" t="s">
        <v>119</v>
      </c>
      <c r="G36" s="334">
        <v>0.78</v>
      </c>
      <c r="H36" s="334">
        <v>0</v>
      </c>
      <c r="I36" t="s">
        <v>122</v>
      </c>
      <c r="J36" s="4">
        <v>0.35</v>
      </c>
    </row>
    <row r="37" spans="1:10" x14ac:dyDescent="0.3">
      <c r="A37" t="s">
        <v>160</v>
      </c>
      <c r="B37" t="s">
        <v>5</v>
      </c>
      <c r="C37" t="s">
        <v>1058</v>
      </c>
      <c r="D37" t="s">
        <v>76</v>
      </c>
      <c r="E37" t="s">
        <v>99</v>
      </c>
      <c r="F37" t="s">
        <v>119</v>
      </c>
      <c r="G37" s="334">
        <v>0.24</v>
      </c>
      <c r="H37" s="334">
        <v>0</v>
      </c>
      <c r="I37" t="s">
        <v>122</v>
      </c>
      <c r="J37" s="4">
        <v>0.35</v>
      </c>
    </row>
    <row r="38" spans="1:10" x14ac:dyDescent="0.3">
      <c r="A38" t="s">
        <v>161</v>
      </c>
      <c r="B38" t="s">
        <v>5</v>
      </c>
      <c r="C38" t="s">
        <v>1075</v>
      </c>
      <c r="D38" t="s">
        <v>76</v>
      </c>
      <c r="E38" t="s">
        <v>99</v>
      </c>
      <c r="F38" t="s">
        <v>119</v>
      </c>
      <c r="G38" s="334">
        <v>0.48</v>
      </c>
      <c r="H38" s="334">
        <v>0</v>
      </c>
      <c r="I38" t="s">
        <v>122</v>
      </c>
      <c r="J38" s="4">
        <v>0.35</v>
      </c>
    </row>
    <row r="39" spans="1:10" x14ac:dyDescent="0.3">
      <c r="A39" t="s">
        <v>162</v>
      </c>
      <c r="B39" t="s">
        <v>5</v>
      </c>
      <c r="C39" t="s">
        <v>1075</v>
      </c>
      <c r="D39" t="s">
        <v>76</v>
      </c>
      <c r="E39" t="s">
        <v>99</v>
      </c>
      <c r="F39" t="s">
        <v>119</v>
      </c>
      <c r="G39" s="334">
        <v>0.46</v>
      </c>
      <c r="H39" s="334">
        <v>0</v>
      </c>
      <c r="I39" t="s">
        <v>122</v>
      </c>
      <c r="J39" s="4">
        <v>0.35</v>
      </c>
    </row>
    <row r="40" spans="1:10" x14ac:dyDescent="0.3">
      <c r="A40" t="s">
        <v>163</v>
      </c>
      <c r="B40" t="s">
        <v>5</v>
      </c>
      <c r="C40" t="s">
        <v>1075</v>
      </c>
      <c r="D40" t="s">
        <v>76</v>
      </c>
      <c r="E40" t="s">
        <v>99</v>
      </c>
      <c r="F40" t="s">
        <v>119</v>
      </c>
      <c r="G40" s="334">
        <v>0.5</v>
      </c>
      <c r="H40" s="334">
        <v>0</v>
      </c>
      <c r="I40" t="s">
        <v>122</v>
      </c>
      <c r="J40" s="4">
        <v>0.35</v>
      </c>
    </row>
    <row r="41" spans="1:10" x14ac:dyDescent="0.3">
      <c r="A41" t="s">
        <v>164</v>
      </c>
      <c r="B41" t="s">
        <v>5</v>
      </c>
      <c r="C41" t="s">
        <v>1075</v>
      </c>
      <c r="D41" t="s">
        <v>76</v>
      </c>
      <c r="E41" t="s">
        <v>99</v>
      </c>
      <c r="F41" t="s">
        <v>119</v>
      </c>
      <c r="G41" s="334">
        <v>0.55000000000000004</v>
      </c>
      <c r="H41" s="334">
        <v>0</v>
      </c>
      <c r="I41" t="s">
        <v>122</v>
      </c>
      <c r="J41" s="4">
        <v>0.35</v>
      </c>
    </row>
    <row r="42" spans="1:10" x14ac:dyDescent="0.3">
      <c r="A42" t="s">
        <v>165</v>
      </c>
      <c r="B42" t="s">
        <v>5</v>
      </c>
      <c r="C42" t="s">
        <v>1062</v>
      </c>
      <c r="D42" t="s">
        <v>76</v>
      </c>
      <c r="E42" t="s">
        <v>99</v>
      </c>
      <c r="F42" t="s">
        <v>119</v>
      </c>
      <c r="G42" s="334">
        <v>6.541385563785411E-2</v>
      </c>
      <c r="H42" s="334">
        <v>0</v>
      </c>
      <c r="I42" t="s">
        <v>122</v>
      </c>
      <c r="J42" s="4">
        <v>0.55000000000000004</v>
      </c>
    </row>
    <row r="43" spans="1:10" x14ac:dyDescent="0.3">
      <c r="A43" t="s">
        <v>166</v>
      </c>
      <c r="B43" t="s">
        <v>5</v>
      </c>
      <c r="C43" t="s">
        <v>1062</v>
      </c>
      <c r="D43" t="s">
        <v>76</v>
      </c>
      <c r="E43" t="s">
        <v>99</v>
      </c>
      <c r="F43" t="s">
        <v>119</v>
      </c>
      <c r="G43" s="334">
        <v>5.5084294059592864E-2</v>
      </c>
      <c r="H43" s="334">
        <v>0</v>
      </c>
      <c r="I43" t="s">
        <v>122</v>
      </c>
      <c r="J43" s="4">
        <v>0.55000000000000004</v>
      </c>
    </row>
    <row r="44" spans="1:10" x14ac:dyDescent="0.3">
      <c r="A44" t="s">
        <v>167</v>
      </c>
      <c r="B44" t="s">
        <v>5</v>
      </c>
      <c r="C44" t="s">
        <v>1062</v>
      </c>
      <c r="D44" t="s">
        <v>76</v>
      </c>
      <c r="E44" t="s">
        <v>99</v>
      </c>
      <c r="F44" t="s">
        <v>119</v>
      </c>
      <c r="G44" s="334">
        <v>4.0645484275495546E-2</v>
      </c>
      <c r="H44" s="334">
        <v>0</v>
      </c>
      <c r="I44" t="s">
        <v>122</v>
      </c>
      <c r="J44" s="4">
        <v>0.55000000000000004</v>
      </c>
    </row>
    <row r="45" spans="1:10" x14ac:dyDescent="0.3">
      <c r="A45" t="s">
        <v>168</v>
      </c>
      <c r="B45" t="s">
        <v>5</v>
      </c>
      <c r="C45" t="s">
        <v>1062</v>
      </c>
      <c r="D45" t="s">
        <v>76</v>
      </c>
      <c r="E45" t="s">
        <v>99</v>
      </c>
      <c r="F45" t="s">
        <v>119</v>
      </c>
      <c r="G45" s="334">
        <v>3.4004888776689154E-2</v>
      </c>
      <c r="H45" s="334">
        <v>0</v>
      </c>
      <c r="I45" t="s">
        <v>122</v>
      </c>
      <c r="J45" s="4">
        <v>0.55000000000000004</v>
      </c>
    </row>
    <row r="46" spans="1:10" x14ac:dyDescent="0.3">
      <c r="A46" t="s">
        <v>169</v>
      </c>
      <c r="B46" t="s">
        <v>5</v>
      </c>
      <c r="C46" t="s">
        <v>1062</v>
      </c>
      <c r="D46" t="s">
        <v>76</v>
      </c>
      <c r="E46" t="s">
        <v>99</v>
      </c>
      <c r="F46" t="s">
        <v>119</v>
      </c>
      <c r="G46" s="334">
        <v>8.9870081687601966E-2</v>
      </c>
      <c r="H46" s="334">
        <v>0</v>
      </c>
      <c r="I46" t="s">
        <v>122</v>
      </c>
      <c r="J46" s="4">
        <v>0.55000000000000004</v>
      </c>
    </row>
    <row r="47" spans="1:10" x14ac:dyDescent="0.3">
      <c r="A47" t="s">
        <v>170</v>
      </c>
      <c r="B47" t="s">
        <v>5</v>
      </c>
      <c r="C47" t="s">
        <v>1062</v>
      </c>
      <c r="D47" t="s">
        <v>76</v>
      </c>
      <c r="E47" t="s">
        <v>99</v>
      </c>
      <c r="F47" t="s">
        <v>119</v>
      </c>
      <c r="G47" s="334">
        <v>0.10288240973300029</v>
      </c>
      <c r="H47" s="334">
        <v>0</v>
      </c>
      <c r="I47" t="s">
        <v>122</v>
      </c>
      <c r="J47" s="4">
        <v>0.55000000000000004</v>
      </c>
    </row>
    <row r="48" spans="1:10" x14ac:dyDescent="0.3">
      <c r="A48" t="s">
        <v>171</v>
      </c>
      <c r="B48" t="s">
        <v>5</v>
      </c>
      <c r="C48" t="s">
        <v>1062</v>
      </c>
      <c r="D48" t="s">
        <v>76</v>
      </c>
      <c r="E48" t="s">
        <v>99</v>
      </c>
      <c r="F48" t="s">
        <v>119</v>
      </c>
      <c r="G48" s="334">
        <v>9.1794497094402433E-2</v>
      </c>
      <c r="H48" s="334">
        <v>0</v>
      </c>
      <c r="I48" t="s">
        <v>122</v>
      </c>
      <c r="J48" s="4">
        <v>0.55000000000000004</v>
      </c>
    </row>
    <row r="49" spans="1:10" x14ac:dyDescent="0.3">
      <c r="A49" t="s">
        <v>172</v>
      </c>
      <c r="B49" t="s">
        <v>5</v>
      </c>
      <c r="C49" t="s">
        <v>1062</v>
      </c>
      <c r="D49" t="s">
        <v>76</v>
      </c>
      <c r="E49" t="s">
        <v>99</v>
      </c>
      <c r="F49" t="s">
        <v>119</v>
      </c>
      <c r="G49" s="334">
        <v>4.3729165400482585E-2</v>
      </c>
      <c r="H49" s="334">
        <v>0</v>
      </c>
      <c r="I49" t="s">
        <v>122</v>
      </c>
      <c r="J49" s="4">
        <v>0.55000000000000004</v>
      </c>
    </row>
    <row r="50" spans="1:10" x14ac:dyDescent="0.3">
      <c r="A50" t="s">
        <v>173</v>
      </c>
      <c r="B50" t="s">
        <v>5</v>
      </c>
      <c r="C50" t="s">
        <v>1062</v>
      </c>
      <c r="D50" t="s">
        <v>76</v>
      </c>
      <c r="E50" t="s">
        <v>99</v>
      </c>
      <c r="F50" t="s">
        <v>119</v>
      </c>
      <c r="G50" s="334">
        <v>9.7099819046999977E-2</v>
      </c>
      <c r="H50" s="334">
        <v>0</v>
      </c>
      <c r="I50" t="s">
        <v>122</v>
      </c>
      <c r="J50" s="4">
        <v>0.55000000000000004</v>
      </c>
    </row>
    <row r="51" spans="1:10" x14ac:dyDescent="0.3">
      <c r="A51" t="s">
        <v>174</v>
      </c>
      <c r="B51" t="s">
        <v>5</v>
      </c>
      <c r="C51" t="s">
        <v>1062</v>
      </c>
      <c r="D51" t="s">
        <v>76</v>
      </c>
      <c r="E51" t="s">
        <v>99</v>
      </c>
      <c r="F51" t="s">
        <v>119</v>
      </c>
      <c r="G51" s="334">
        <v>8.1194991274614423E-2</v>
      </c>
      <c r="H51" s="334">
        <v>0</v>
      </c>
      <c r="I51" t="s">
        <v>122</v>
      </c>
      <c r="J51" s="4">
        <v>0.55000000000000004</v>
      </c>
    </row>
    <row r="52" spans="1:10" x14ac:dyDescent="0.3">
      <c r="A52" t="s">
        <v>175</v>
      </c>
      <c r="B52" t="s">
        <v>5</v>
      </c>
      <c r="C52" t="s">
        <v>1062</v>
      </c>
      <c r="D52" t="s">
        <v>76</v>
      </c>
      <c r="E52" t="s">
        <v>99</v>
      </c>
      <c r="F52" t="s">
        <v>119</v>
      </c>
      <c r="G52" s="334">
        <v>5.8353565378243412E-2</v>
      </c>
      <c r="H52" s="334">
        <v>0</v>
      </c>
      <c r="I52" t="s">
        <v>122</v>
      </c>
      <c r="J52" s="4">
        <v>0.55000000000000004</v>
      </c>
    </row>
    <row r="53" spans="1:10" x14ac:dyDescent="0.3">
      <c r="A53" t="s">
        <v>176</v>
      </c>
      <c r="B53" t="s">
        <v>5</v>
      </c>
      <c r="C53" t="s">
        <v>1062</v>
      </c>
      <c r="D53" t="s">
        <v>76</v>
      </c>
      <c r="E53" t="s">
        <v>99</v>
      </c>
      <c r="F53" t="s">
        <v>119</v>
      </c>
      <c r="G53" s="334">
        <v>4.6773801998968238E-2</v>
      </c>
      <c r="H53" s="334">
        <v>0</v>
      </c>
      <c r="I53" t="s">
        <v>122</v>
      </c>
      <c r="J53" s="4">
        <v>0.55000000000000004</v>
      </c>
    </row>
    <row r="54" spans="1:10" x14ac:dyDescent="0.3">
      <c r="A54" t="s">
        <v>177</v>
      </c>
      <c r="B54" t="s">
        <v>5</v>
      </c>
      <c r="C54" t="s">
        <v>1062</v>
      </c>
      <c r="D54" t="s">
        <v>76</v>
      </c>
      <c r="E54" t="s">
        <v>99</v>
      </c>
      <c r="F54" t="s">
        <v>119</v>
      </c>
      <c r="G54" s="334">
        <v>0.10418316585890676</v>
      </c>
      <c r="H54" s="334">
        <v>0</v>
      </c>
      <c r="I54" t="s">
        <v>122</v>
      </c>
      <c r="J54" s="4">
        <v>0.55000000000000004</v>
      </c>
    </row>
    <row r="55" spans="1:10" x14ac:dyDescent="0.3">
      <c r="A55" t="s">
        <v>178</v>
      </c>
      <c r="B55" t="s">
        <v>5</v>
      </c>
      <c r="C55" t="s">
        <v>1062</v>
      </c>
      <c r="D55" t="s">
        <v>76</v>
      </c>
      <c r="E55" t="s">
        <v>99</v>
      </c>
      <c r="F55" t="s">
        <v>119</v>
      </c>
      <c r="G55" s="334">
        <v>8.6950407693164297E-2</v>
      </c>
      <c r="H55" s="334">
        <v>0</v>
      </c>
      <c r="I55" t="s">
        <v>122</v>
      </c>
      <c r="J55" s="4">
        <v>0.55000000000000004</v>
      </c>
    </row>
    <row r="56" spans="1:10" x14ac:dyDescent="0.3">
      <c r="A56" t="s">
        <v>179</v>
      </c>
      <c r="B56" t="s">
        <v>5</v>
      </c>
      <c r="C56" t="s">
        <v>1062</v>
      </c>
      <c r="D56" t="s">
        <v>76</v>
      </c>
      <c r="E56" t="s">
        <v>99</v>
      </c>
      <c r="F56" t="s">
        <v>119</v>
      </c>
      <c r="G56" s="334">
        <v>6.2235568954664686E-2</v>
      </c>
      <c r="H56" s="334">
        <v>0</v>
      </c>
      <c r="I56" t="s">
        <v>122</v>
      </c>
      <c r="J56" s="4">
        <v>0.55000000000000004</v>
      </c>
    </row>
    <row r="57" spans="1:10" x14ac:dyDescent="0.3">
      <c r="A57" t="s">
        <v>180</v>
      </c>
      <c r="B57" t="s">
        <v>5</v>
      </c>
      <c r="C57" t="s">
        <v>1062</v>
      </c>
      <c r="D57" t="s">
        <v>76</v>
      </c>
      <c r="E57" t="s">
        <v>99</v>
      </c>
      <c r="F57" t="s">
        <v>119</v>
      </c>
      <c r="G57" s="334">
        <v>4.9716010554584925E-2</v>
      </c>
      <c r="H57" s="334">
        <v>0</v>
      </c>
      <c r="I57" t="s">
        <v>122</v>
      </c>
      <c r="J57" s="4">
        <v>0.55000000000000004</v>
      </c>
    </row>
    <row r="58" spans="1:10" x14ac:dyDescent="0.3">
      <c r="A58" t="s">
        <v>181</v>
      </c>
      <c r="B58" t="s">
        <v>5</v>
      </c>
      <c r="C58" t="s">
        <v>1062</v>
      </c>
      <c r="D58" t="s">
        <v>76</v>
      </c>
      <c r="E58" t="s">
        <v>99</v>
      </c>
      <c r="F58" t="s">
        <v>119</v>
      </c>
      <c r="G58" s="334">
        <v>0.11202281084862262</v>
      </c>
      <c r="H58" s="334">
        <v>0</v>
      </c>
      <c r="I58" t="s">
        <v>122</v>
      </c>
      <c r="J58" s="4">
        <v>0.55000000000000004</v>
      </c>
    </row>
    <row r="59" spans="1:10" x14ac:dyDescent="0.3">
      <c r="A59" t="s">
        <v>182</v>
      </c>
      <c r="B59" t="s">
        <v>5</v>
      </c>
      <c r="C59" t="s">
        <v>1062</v>
      </c>
      <c r="D59" t="s">
        <v>76</v>
      </c>
      <c r="E59" t="s">
        <v>99</v>
      </c>
      <c r="F59" t="s">
        <v>119</v>
      </c>
      <c r="G59" s="334">
        <v>0.11901728598445512</v>
      </c>
      <c r="H59" s="334">
        <v>0</v>
      </c>
      <c r="I59" t="s">
        <v>122</v>
      </c>
      <c r="J59" s="4">
        <v>0.55000000000000004</v>
      </c>
    </row>
    <row r="60" spans="1:10" x14ac:dyDescent="0.3">
      <c r="A60" t="s">
        <v>183</v>
      </c>
      <c r="B60" t="s">
        <v>5</v>
      </c>
      <c r="C60" t="s">
        <v>1062</v>
      </c>
      <c r="D60" t="s">
        <v>76</v>
      </c>
      <c r="E60" t="s">
        <v>99</v>
      </c>
      <c r="F60" t="s">
        <v>119</v>
      </c>
      <c r="G60" s="334">
        <v>0.12602133609831798</v>
      </c>
      <c r="H60" s="334">
        <v>0</v>
      </c>
      <c r="I60" t="s">
        <v>122</v>
      </c>
      <c r="J60" s="4">
        <v>0.55000000000000004</v>
      </c>
    </row>
    <row r="61" spans="1:10" x14ac:dyDescent="0.3">
      <c r="A61" t="s">
        <v>184</v>
      </c>
      <c r="B61" t="s">
        <v>5</v>
      </c>
      <c r="C61" t="s">
        <v>1062</v>
      </c>
      <c r="D61" t="s">
        <v>76</v>
      </c>
      <c r="E61" t="s">
        <v>99</v>
      </c>
      <c r="F61" t="s">
        <v>119</v>
      </c>
      <c r="G61" s="334">
        <v>0.13824435098291596</v>
      </c>
      <c r="H61" s="334">
        <v>0</v>
      </c>
      <c r="I61" t="s">
        <v>122</v>
      </c>
      <c r="J61" s="4">
        <v>0.55000000000000004</v>
      </c>
    </row>
    <row r="62" spans="1:10" x14ac:dyDescent="0.3">
      <c r="A62" t="s">
        <v>185</v>
      </c>
      <c r="B62" t="s">
        <v>5</v>
      </c>
      <c r="C62" t="s">
        <v>1062</v>
      </c>
      <c r="D62" t="s">
        <v>76</v>
      </c>
      <c r="E62" t="s">
        <v>99</v>
      </c>
      <c r="F62" t="s">
        <v>119</v>
      </c>
      <c r="G62" s="334">
        <v>0.14869972927088423</v>
      </c>
      <c r="H62" s="334">
        <v>0</v>
      </c>
      <c r="I62" t="s">
        <v>122</v>
      </c>
      <c r="J62" s="4">
        <v>0.55000000000000004</v>
      </c>
    </row>
    <row r="63" spans="1:10" x14ac:dyDescent="0.3">
      <c r="A63" t="s">
        <v>186</v>
      </c>
      <c r="B63" t="s">
        <v>5</v>
      </c>
      <c r="C63" t="s">
        <v>1062</v>
      </c>
      <c r="D63" t="s">
        <v>76</v>
      </c>
      <c r="E63" t="s">
        <v>99</v>
      </c>
      <c r="F63" t="s">
        <v>119</v>
      </c>
      <c r="G63" s="334">
        <v>0.15912485869294088</v>
      </c>
      <c r="H63" s="334">
        <v>0</v>
      </c>
      <c r="I63" t="s">
        <v>122</v>
      </c>
      <c r="J63" s="4">
        <v>0.55000000000000004</v>
      </c>
    </row>
    <row r="64" spans="1:10" x14ac:dyDescent="0.3">
      <c r="A64" t="s">
        <v>187</v>
      </c>
      <c r="B64" t="s">
        <v>5</v>
      </c>
      <c r="C64" t="s">
        <v>1062</v>
      </c>
      <c r="D64" t="s">
        <v>76</v>
      </c>
      <c r="E64" t="s">
        <v>99</v>
      </c>
      <c r="F64" t="s">
        <v>119</v>
      </c>
      <c r="G64" s="334">
        <v>0.12601855656586056</v>
      </c>
      <c r="H64" s="334">
        <v>0</v>
      </c>
      <c r="I64" t="s">
        <v>122</v>
      </c>
      <c r="J64" s="4">
        <v>0.55000000000000004</v>
      </c>
    </row>
    <row r="65" spans="1:10" x14ac:dyDescent="0.3">
      <c r="A65" t="s">
        <v>188</v>
      </c>
      <c r="B65" t="s">
        <v>5</v>
      </c>
      <c r="C65" t="s">
        <v>1062</v>
      </c>
      <c r="D65" t="s">
        <v>76</v>
      </c>
      <c r="E65" t="s">
        <v>99</v>
      </c>
      <c r="F65" t="s">
        <v>119</v>
      </c>
      <c r="G65" s="334">
        <v>0.10755567833763578</v>
      </c>
      <c r="H65" s="334">
        <v>0</v>
      </c>
      <c r="I65" t="s">
        <v>122</v>
      </c>
      <c r="J65" s="4">
        <v>0.55000000000000004</v>
      </c>
    </row>
    <row r="66" spans="1:10" x14ac:dyDescent="0.3">
      <c r="A66" t="s">
        <v>189</v>
      </c>
      <c r="B66" t="s">
        <v>5</v>
      </c>
      <c r="C66" t="s">
        <v>1062</v>
      </c>
      <c r="D66" t="s">
        <v>76</v>
      </c>
      <c r="E66" t="s">
        <v>99</v>
      </c>
      <c r="F66" t="s">
        <v>119</v>
      </c>
      <c r="G66" s="334">
        <v>7.8212797716771962E-2</v>
      </c>
      <c r="H66" s="334">
        <v>0</v>
      </c>
      <c r="I66" t="s">
        <v>122</v>
      </c>
      <c r="J66" s="4">
        <v>0.55000000000000004</v>
      </c>
    </row>
    <row r="67" spans="1:10" x14ac:dyDescent="0.3">
      <c r="A67" t="s">
        <v>190</v>
      </c>
      <c r="B67" t="s">
        <v>5</v>
      </c>
      <c r="C67" t="s">
        <v>1062</v>
      </c>
      <c r="D67" t="s">
        <v>76</v>
      </c>
      <c r="E67" t="s">
        <v>99</v>
      </c>
      <c r="F67" t="s">
        <v>119</v>
      </c>
      <c r="G67" s="334">
        <v>5.8433276133133052E-2</v>
      </c>
      <c r="H67" s="334">
        <v>0</v>
      </c>
      <c r="I67" t="s">
        <v>122</v>
      </c>
      <c r="J67" s="4">
        <v>0.55000000000000004</v>
      </c>
    </row>
    <row r="68" spans="1:10" x14ac:dyDescent="0.3">
      <c r="A68" t="s">
        <v>191</v>
      </c>
      <c r="B68" t="s">
        <v>5</v>
      </c>
      <c r="C68" t="s">
        <v>1062</v>
      </c>
      <c r="D68" t="s">
        <v>76</v>
      </c>
      <c r="E68" t="s">
        <v>99</v>
      </c>
      <c r="F68" t="s">
        <v>119</v>
      </c>
      <c r="G68" s="334">
        <v>0.13824842948169055</v>
      </c>
      <c r="H68" s="334">
        <v>0</v>
      </c>
      <c r="I68" t="s">
        <v>122</v>
      </c>
      <c r="J68" s="4">
        <v>0.55000000000000004</v>
      </c>
    </row>
    <row r="69" spans="1:10" x14ac:dyDescent="0.3">
      <c r="A69" t="s">
        <v>192</v>
      </c>
      <c r="B69" t="s">
        <v>5</v>
      </c>
      <c r="C69" t="s">
        <v>1062</v>
      </c>
      <c r="D69" t="s">
        <v>76</v>
      </c>
      <c r="E69" t="s">
        <v>99</v>
      </c>
      <c r="F69" t="s">
        <v>119</v>
      </c>
      <c r="G69" s="334">
        <v>0.12038402890261703</v>
      </c>
      <c r="H69" s="334">
        <v>0</v>
      </c>
      <c r="I69" t="s">
        <v>122</v>
      </c>
      <c r="J69" s="4">
        <v>0.55000000000000004</v>
      </c>
    </row>
    <row r="70" spans="1:10" x14ac:dyDescent="0.3">
      <c r="A70" t="s">
        <v>193</v>
      </c>
      <c r="B70" t="s">
        <v>5</v>
      </c>
      <c r="C70" t="s">
        <v>1062</v>
      </c>
      <c r="D70" t="s">
        <v>76</v>
      </c>
      <c r="E70" t="s">
        <v>99</v>
      </c>
      <c r="F70" t="s">
        <v>119</v>
      </c>
      <c r="G70" s="334">
        <v>8.8844305547260513E-2</v>
      </c>
      <c r="H70" s="334">
        <v>0</v>
      </c>
      <c r="I70" t="s">
        <v>122</v>
      </c>
      <c r="J70" s="4">
        <v>0.55000000000000004</v>
      </c>
    </row>
    <row r="71" spans="1:10" x14ac:dyDescent="0.3">
      <c r="A71" t="s">
        <v>194</v>
      </c>
      <c r="B71" t="s">
        <v>5</v>
      </c>
      <c r="C71" t="s">
        <v>1062</v>
      </c>
      <c r="D71" t="s">
        <v>76</v>
      </c>
      <c r="E71" t="s">
        <v>99</v>
      </c>
      <c r="F71" t="s">
        <v>119</v>
      </c>
      <c r="G71" s="334">
        <v>6.3418018147918268E-2</v>
      </c>
      <c r="H71" s="334">
        <v>0</v>
      </c>
      <c r="I71" t="s">
        <v>122</v>
      </c>
      <c r="J71" s="4">
        <v>0.55000000000000004</v>
      </c>
    </row>
    <row r="72" spans="1:10" x14ac:dyDescent="0.3">
      <c r="A72" t="s">
        <v>195</v>
      </c>
      <c r="B72" t="s">
        <v>5</v>
      </c>
      <c r="C72" t="s">
        <v>1062</v>
      </c>
      <c r="D72" t="s">
        <v>76</v>
      </c>
      <c r="E72" t="s">
        <v>99</v>
      </c>
      <c r="F72" t="s">
        <v>119</v>
      </c>
      <c r="G72" s="334">
        <v>9.418312170818631E-2</v>
      </c>
      <c r="H72" s="334">
        <v>0</v>
      </c>
      <c r="I72" t="s">
        <v>122</v>
      </c>
      <c r="J72" s="4">
        <v>0.55000000000000004</v>
      </c>
    </row>
    <row r="73" spans="1:10" x14ac:dyDescent="0.3">
      <c r="A73" t="s">
        <v>196</v>
      </c>
      <c r="B73" t="s">
        <v>5</v>
      </c>
      <c r="C73" t="s">
        <v>1062</v>
      </c>
      <c r="D73" t="s">
        <v>76</v>
      </c>
      <c r="E73" t="s">
        <v>99</v>
      </c>
      <c r="F73" t="s">
        <v>119</v>
      </c>
      <c r="G73" s="334">
        <v>0.10010010749759496</v>
      </c>
      <c r="H73" s="334">
        <v>0</v>
      </c>
      <c r="I73" t="s">
        <v>122</v>
      </c>
      <c r="J73" s="4">
        <v>0.55000000000000004</v>
      </c>
    </row>
    <row r="74" spans="1:10" x14ac:dyDescent="0.3">
      <c r="A74" t="s">
        <v>197</v>
      </c>
      <c r="B74" t="s">
        <v>5</v>
      </c>
      <c r="C74" t="s">
        <v>1062</v>
      </c>
      <c r="D74" t="s">
        <v>76</v>
      </c>
      <c r="E74" t="s">
        <v>99</v>
      </c>
      <c r="F74" t="s">
        <v>119</v>
      </c>
      <c r="G74" s="334">
        <v>0.107342279838314</v>
      </c>
      <c r="H74" s="334">
        <v>0</v>
      </c>
      <c r="I74" t="s">
        <v>122</v>
      </c>
      <c r="J74" s="4">
        <v>0.55000000000000004</v>
      </c>
    </row>
    <row r="75" spans="1:10" x14ac:dyDescent="0.3">
      <c r="A75" t="s">
        <v>198</v>
      </c>
      <c r="B75" t="s">
        <v>5</v>
      </c>
      <c r="C75" t="s">
        <v>1062</v>
      </c>
      <c r="D75" t="s">
        <v>76</v>
      </c>
      <c r="E75" t="s">
        <v>99</v>
      </c>
      <c r="F75" t="s">
        <v>119</v>
      </c>
      <c r="G75" s="334">
        <v>0.12035169454015378</v>
      </c>
      <c r="H75" s="334">
        <v>0</v>
      </c>
      <c r="I75" t="s">
        <v>122</v>
      </c>
      <c r="J75" s="4">
        <v>0.55000000000000004</v>
      </c>
    </row>
    <row r="76" spans="1:10" x14ac:dyDescent="0.3">
      <c r="A76" t="s">
        <v>199</v>
      </c>
      <c r="B76" t="s">
        <v>5</v>
      </c>
      <c r="C76" t="s">
        <v>1062</v>
      </c>
      <c r="D76" t="s">
        <v>76</v>
      </c>
      <c r="E76" t="s">
        <v>99</v>
      </c>
      <c r="F76" t="s">
        <v>119</v>
      </c>
      <c r="G76" s="334">
        <v>0.12936848314980792</v>
      </c>
      <c r="H76" s="334">
        <v>0</v>
      </c>
      <c r="I76" t="s">
        <v>122</v>
      </c>
      <c r="J76" s="4">
        <v>0.55000000000000004</v>
      </c>
    </row>
    <row r="77" spans="1:10" x14ac:dyDescent="0.3">
      <c r="A77" t="s">
        <v>200</v>
      </c>
      <c r="B77" t="s">
        <v>5</v>
      </c>
      <c r="C77" t="s">
        <v>1062</v>
      </c>
      <c r="D77" t="s">
        <v>76</v>
      </c>
      <c r="E77" t="s">
        <v>99</v>
      </c>
      <c r="F77" t="s">
        <v>119</v>
      </c>
      <c r="G77" s="334">
        <v>0.13834024411009846</v>
      </c>
      <c r="H77" s="334">
        <v>0</v>
      </c>
      <c r="I77" t="s">
        <v>122</v>
      </c>
      <c r="J77" s="4">
        <v>0.55000000000000004</v>
      </c>
    </row>
    <row r="78" spans="1:10" x14ac:dyDescent="0.3">
      <c r="A78" t="s">
        <v>201</v>
      </c>
      <c r="B78" t="s">
        <v>5</v>
      </c>
      <c r="C78" t="s">
        <v>1062</v>
      </c>
      <c r="D78" t="s">
        <v>76</v>
      </c>
      <c r="E78" t="s">
        <v>99</v>
      </c>
      <c r="F78" t="s">
        <v>119</v>
      </c>
      <c r="G78" s="334">
        <v>6.7850281940097248E-2</v>
      </c>
      <c r="H78" s="334">
        <v>0</v>
      </c>
      <c r="I78" t="s">
        <v>122</v>
      </c>
      <c r="J78" s="4">
        <v>0.55000000000000004</v>
      </c>
    </row>
    <row r="79" spans="1:10" x14ac:dyDescent="0.3">
      <c r="A79" t="s">
        <v>202</v>
      </c>
      <c r="B79" t="s">
        <v>5</v>
      </c>
      <c r="C79" t="s">
        <v>1062</v>
      </c>
      <c r="D79" t="s">
        <v>76</v>
      </c>
      <c r="E79" t="s">
        <v>99</v>
      </c>
      <c r="F79" t="s">
        <v>119</v>
      </c>
      <c r="G79" s="334">
        <v>7.1969050821966529E-2</v>
      </c>
      <c r="H79" s="334">
        <v>0</v>
      </c>
      <c r="I79" t="s">
        <v>122</v>
      </c>
      <c r="J79" s="4">
        <v>0.55000000000000004</v>
      </c>
    </row>
    <row r="80" spans="1:10" x14ac:dyDescent="0.3">
      <c r="A80" t="s">
        <v>203</v>
      </c>
      <c r="B80" t="s">
        <v>5</v>
      </c>
      <c r="C80" t="s">
        <v>1062</v>
      </c>
      <c r="D80" t="s">
        <v>76</v>
      </c>
      <c r="E80" t="s">
        <v>99</v>
      </c>
      <c r="F80" t="s">
        <v>119</v>
      </c>
      <c r="G80" s="334">
        <v>7.7919134085564862E-2</v>
      </c>
      <c r="H80" s="334">
        <v>0</v>
      </c>
      <c r="I80" t="s">
        <v>122</v>
      </c>
      <c r="J80" s="4">
        <v>0.55000000000000004</v>
      </c>
    </row>
    <row r="81" spans="1:10" x14ac:dyDescent="0.3">
      <c r="A81" t="s">
        <v>204</v>
      </c>
      <c r="B81" t="s">
        <v>5</v>
      </c>
      <c r="C81" t="s">
        <v>1062</v>
      </c>
      <c r="D81" t="s">
        <v>76</v>
      </c>
      <c r="E81" t="s">
        <v>99</v>
      </c>
      <c r="F81" t="s">
        <v>119</v>
      </c>
      <c r="G81" s="334">
        <v>8.8802016522343097E-2</v>
      </c>
      <c r="H81" s="334">
        <v>0</v>
      </c>
      <c r="I81" t="s">
        <v>122</v>
      </c>
      <c r="J81" s="4">
        <v>0.55000000000000004</v>
      </c>
    </row>
    <row r="82" spans="1:10" x14ac:dyDescent="0.3">
      <c r="A82" t="s">
        <v>205</v>
      </c>
      <c r="B82" t="s">
        <v>5</v>
      </c>
      <c r="C82" t="s">
        <v>1062</v>
      </c>
      <c r="D82" t="s">
        <v>76</v>
      </c>
      <c r="E82" t="s">
        <v>99</v>
      </c>
      <c r="F82" t="s">
        <v>119</v>
      </c>
      <c r="G82" s="334">
        <v>9.5224044620785611E-2</v>
      </c>
      <c r="H82" s="334">
        <v>0</v>
      </c>
      <c r="I82" t="s">
        <v>122</v>
      </c>
      <c r="J82" s="4">
        <v>0.55000000000000004</v>
      </c>
    </row>
    <row r="83" spans="1:10" x14ac:dyDescent="0.3">
      <c r="A83" t="s">
        <v>206</v>
      </c>
      <c r="B83" t="s">
        <v>5</v>
      </c>
      <c r="C83" t="s">
        <v>1062</v>
      </c>
      <c r="D83" t="s">
        <v>76</v>
      </c>
      <c r="E83" t="s">
        <v>99</v>
      </c>
      <c r="F83" t="s">
        <v>119</v>
      </c>
      <c r="G83" s="334">
        <v>0.10154789627304246</v>
      </c>
      <c r="H83" s="334">
        <v>0</v>
      </c>
      <c r="I83" t="s">
        <v>122</v>
      </c>
      <c r="J83" s="4">
        <v>0.55000000000000004</v>
      </c>
    </row>
    <row r="84" spans="1:10" x14ac:dyDescent="0.3">
      <c r="A84" t="s">
        <v>207</v>
      </c>
      <c r="B84" t="s">
        <v>5</v>
      </c>
      <c r="C84" t="s">
        <v>1062</v>
      </c>
      <c r="D84" t="s">
        <v>76</v>
      </c>
      <c r="E84" t="s">
        <v>99</v>
      </c>
      <c r="F84" t="s">
        <v>119</v>
      </c>
      <c r="G84" s="334">
        <v>5.2714239936545476E-2</v>
      </c>
      <c r="H84" s="334">
        <v>0</v>
      </c>
      <c r="I84" t="s">
        <v>122</v>
      </c>
      <c r="J84" s="4">
        <v>0.55000000000000004</v>
      </c>
    </row>
    <row r="85" spans="1:10" x14ac:dyDescent="0.3">
      <c r="A85" t="s">
        <v>208</v>
      </c>
      <c r="B85" t="s">
        <v>5</v>
      </c>
      <c r="C85" t="s">
        <v>1062</v>
      </c>
      <c r="D85" t="s">
        <v>76</v>
      </c>
      <c r="E85" t="s">
        <v>99</v>
      </c>
      <c r="F85" t="s">
        <v>119</v>
      </c>
      <c r="G85" s="334">
        <v>5.5567940909077795E-2</v>
      </c>
      <c r="H85" s="334">
        <v>0</v>
      </c>
      <c r="I85" t="s">
        <v>122</v>
      </c>
      <c r="J85" s="4">
        <v>0.55000000000000004</v>
      </c>
    </row>
    <row r="86" spans="1:10" x14ac:dyDescent="0.3">
      <c r="A86" t="s">
        <v>209</v>
      </c>
      <c r="B86" t="s">
        <v>5</v>
      </c>
      <c r="C86" t="s">
        <v>1062</v>
      </c>
      <c r="D86" t="s">
        <v>76</v>
      </c>
      <c r="E86" t="s">
        <v>99</v>
      </c>
      <c r="F86" t="s">
        <v>119</v>
      </c>
      <c r="G86" s="334">
        <v>5.8433276133133052E-2</v>
      </c>
      <c r="H86" s="334">
        <v>0</v>
      </c>
      <c r="I86" t="s">
        <v>122</v>
      </c>
      <c r="J86" s="4">
        <v>0.55000000000000004</v>
      </c>
    </row>
    <row r="87" spans="1:10" x14ac:dyDescent="0.3">
      <c r="A87" t="s">
        <v>210</v>
      </c>
      <c r="B87" t="s">
        <v>5</v>
      </c>
      <c r="C87" t="s">
        <v>1062</v>
      </c>
      <c r="D87" t="s">
        <v>76</v>
      </c>
      <c r="E87" t="s">
        <v>99</v>
      </c>
      <c r="F87" t="s">
        <v>119</v>
      </c>
      <c r="G87" s="334">
        <v>6.341475451372483E-2</v>
      </c>
      <c r="H87" s="334">
        <v>0</v>
      </c>
      <c r="I87" t="s">
        <v>122</v>
      </c>
      <c r="J87" s="4">
        <v>0.55000000000000004</v>
      </c>
    </row>
    <row r="88" spans="1:10" x14ac:dyDescent="0.3">
      <c r="A88" t="s">
        <v>211</v>
      </c>
      <c r="B88" t="s">
        <v>5</v>
      </c>
      <c r="C88" t="s">
        <v>1062</v>
      </c>
      <c r="D88" t="s">
        <v>76</v>
      </c>
      <c r="E88" t="s">
        <v>99</v>
      </c>
      <c r="F88" t="s">
        <v>119</v>
      </c>
      <c r="G88" s="334">
        <v>6.7684172220457098E-2</v>
      </c>
      <c r="H88" s="334">
        <v>0</v>
      </c>
      <c r="I88" t="s">
        <v>122</v>
      </c>
      <c r="J88" s="4">
        <v>0.55000000000000004</v>
      </c>
    </row>
    <row r="89" spans="1:10" x14ac:dyDescent="0.3">
      <c r="A89" t="s">
        <v>212</v>
      </c>
      <c r="B89" t="s">
        <v>5</v>
      </c>
      <c r="C89" t="s">
        <v>1062</v>
      </c>
      <c r="D89" t="s">
        <v>76</v>
      </c>
      <c r="E89" t="s">
        <v>99</v>
      </c>
      <c r="F89" t="s">
        <v>119</v>
      </c>
      <c r="G89" s="334">
        <v>7.189099161022891E-2</v>
      </c>
      <c r="H89" s="334">
        <v>0</v>
      </c>
      <c r="I89" t="s">
        <v>122</v>
      </c>
      <c r="J89" s="4">
        <v>0.55000000000000004</v>
      </c>
    </row>
    <row r="90" spans="1:10" x14ac:dyDescent="0.3">
      <c r="A90" t="s">
        <v>213</v>
      </c>
      <c r="B90" t="s">
        <v>6</v>
      </c>
      <c r="C90" t="s">
        <v>1066</v>
      </c>
      <c r="D90" t="s">
        <v>76</v>
      </c>
      <c r="E90" t="s">
        <v>99</v>
      </c>
      <c r="F90" t="s">
        <v>119</v>
      </c>
      <c r="G90" s="334">
        <v>0.14616611503780003</v>
      </c>
      <c r="H90" s="334">
        <v>0</v>
      </c>
      <c r="I90" t="s">
        <v>122</v>
      </c>
      <c r="J90" s="4">
        <v>0.35</v>
      </c>
    </row>
    <row r="91" spans="1:10" x14ac:dyDescent="0.3">
      <c r="A91" t="s">
        <v>214</v>
      </c>
      <c r="B91" t="s">
        <v>6</v>
      </c>
      <c r="C91" t="s">
        <v>1066</v>
      </c>
      <c r="D91" t="s">
        <v>76</v>
      </c>
      <c r="E91" t="s">
        <v>99</v>
      </c>
      <c r="F91" t="s">
        <v>119</v>
      </c>
      <c r="G91" s="334">
        <v>0.14616611503780003</v>
      </c>
      <c r="H91" s="334">
        <v>0</v>
      </c>
      <c r="I91" t="s">
        <v>122</v>
      </c>
      <c r="J91" s="4">
        <v>0.35</v>
      </c>
    </row>
    <row r="92" spans="1:10" x14ac:dyDescent="0.3">
      <c r="A92" t="s">
        <v>215</v>
      </c>
      <c r="B92" t="s">
        <v>6</v>
      </c>
      <c r="C92" t="s">
        <v>1066</v>
      </c>
      <c r="D92" t="s">
        <v>76</v>
      </c>
      <c r="E92" t="s">
        <v>99</v>
      </c>
      <c r="F92" t="s">
        <v>119</v>
      </c>
      <c r="G92" s="334">
        <v>0.13236753850146668</v>
      </c>
      <c r="H92" s="334">
        <v>0</v>
      </c>
      <c r="I92" t="s">
        <v>122</v>
      </c>
      <c r="J92" s="4">
        <v>0.35</v>
      </c>
    </row>
    <row r="93" spans="1:10" x14ac:dyDescent="0.3">
      <c r="A93" t="s">
        <v>217</v>
      </c>
      <c r="B93" t="s">
        <v>6</v>
      </c>
      <c r="C93" t="s">
        <v>1066</v>
      </c>
      <c r="D93" t="s">
        <v>76</v>
      </c>
      <c r="E93" t="s">
        <v>99</v>
      </c>
      <c r="F93" t="s">
        <v>119</v>
      </c>
      <c r="G93" s="334">
        <v>0.19394799691848133</v>
      </c>
      <c r="H93" s="334">
        <v>0</v>
      </c>
      <c r="I93" t="s">
        <v>122</v>
      </c>
      <c r="J93" s="4">
        <v>0.35</v>
      </c>
    </row>
    <row r="94" spans="1:10" x14ac:dyDescent="0.3">
      <c r="A94" t="s">
        <v>1589</v>
      </c>
      <c r="B94" t="s">
        <v>6</v>
      </c>
      <c r="C94" t="s">
        <v>1066</v>
      </c>
      <c r="D94" t="s">
        <v>76</v>
      </c>
      <c r="E94" t="s">
        <v>99</v>
      </c>
      <c r="F94" t="s">
        <v>119</v>
      </c>
      <c r="G94" s="334">
        <v>0.21878581680877177</v>
      </c>
      <c r="H94" s="334">
        <v>0</v>
      </c>
      <c r="I94" t="s">
        <v>221</v>
      </c>
      <c r="J94" s="4">
        <v>0.35</v>
      </c>
    </row>
    <row r="95" spans="1:10" x14ac:dyDescent="0.3">
      <c r="A95" t="s">
        <v>220</v>
      </c>
      <c r="B95" t="s">
        <v>6</v>
      </c>
      <c r="C95" t="s">
        <v>1058</v>
      </c>
      <c r="D95" t="s">
        <v>76</v>
      </c>
      <c r="E95" t="s">
        <v>99</v>
      </c>
      <c r="F95" t="s">
        <v>119</v>
      </c>
      <c r="G95" s="334">
        <v>9.1228070175438603E-2</v>
      </c>
      <c r="H95" s="334">
        <v>0</v>
      </c>
      <c r="I95" t="s">
        <v>221</v>
      </c>
      <c r="J95" s="4">
        <v>0.35</v>
      </c>
    </row>
    <row r="96" spans="1:10" x14ac:dyDescent="0.3">
      <c r="A96" t="s">
        <v>222</v>
      </c>
      <c r="B96" t="s">
        <v>6</v>
      </c>
      <c r="C96" t="s">
        <v>1058</v>
      </c>
      <c r="D96" t="s">
        <v>76</v>
      </c>
      <c r="E96" t="s">
        <v>99</v>
      </c>
      <c r="F96" t="s">
        <v>119</v>
      </c>
      <c r="G96" s="334">
        <v>0.28000000000000003</v>
      </c>
      <c r="H96" s="334">
        <v>0</v>
      </c>
      <c r="I96" t="s">
        <v>122</v>
      </c>
      <c r="J96" s="4">
        <v>0.35</v>
      </c>
    </row>
    <row r="97" spans="1:10" x14ac:dyDescent="0.3">
      <c r="A97" t="s">
        <v>223</v>
      </c>
      <c r="B97" t="s">
        <v>6</v>
      </c>
      <c r="C97" t="s">
        <v>1058</v>
      </c>
      <c r="D97" t="s">
        <v>76</v>
      </c>
      <c r="E97" t="s">
        <v>99</v>
      </c>
      <c r="F97" t="s">
        <v>119</v>
      </c>
      <c r="G97" s="334">
        <v>9.9752140608113923E-2</v>
      </c>
      <c r="H97" s="334">
        <v>0</v>
      </c>
      <c r="I97" t="s">
        <v>122</v>
      </c>
      <c r="J97" s="4">
        <v>0.35</v>
      </c>
    </row>
    <row r="98" spans="1:10" x14ac:dyDescent="0.3">
      <c r="A98" t="s">
        <v>224</v>
      </c>
      <c r="B98" t="s">
        <v>6</v>
      </c>
      <c r="C98" t="s">
        <v>1058</v>
      </c>
      <c r="D98" t="s">
        <v>76</v>
      </c>
      <c r="E98" t="s">
        <v>99</v>
      </c>
      <c r="F98" t="s">
        <v>119</v>
      </c>
      <c r="G98" s="334">
        <v>9.788529891259419E-2</v>
      </c>
      <c r="H98" s="334">
        <v>0</v>
      </c>
      <c r="I98" t="s">
        <v>122</v>
      </c>
      <c r="J98" s="4">
        <v>0.35</v>
      </c>
    </row>
    <row r="99" spans="1:10" x14ac:dyDescent="0.3">
      <c r="A99" t="s">
        <v>225</v>
      </c>
      <c r="B99" t="s">
        <v>6</v>
      </c>
      <c r="C99" t="s">
        <v>1058</v>
      </c>
      <c r="D99" t="s">
        <v>76</v>
      </c>
      <c r="E99" t="s">
        <v>99</v>
      </c>
      <c r="F99" t="s">
        <v>119</v>
      </c>
      <c r="G99" s="334">
        <v>9.9148798239871022E-2</v>
      </c>
      <c r="H99" s="334">
        <v>0</v>
      </c>
      <c r="I99" t="s">
        <v>122</v>
      </c>
      <c r="J99" s="4">
        <v>0.35</v>
      </c>
    </row>
    <row r="100" spans="1:10" x14ac:dyDescent="0.3">
      <c r="A100" t="s">
        <v>226</v>
      </c>
      <c r="B100" t="s">
        <v>6</v>
      </c>
      <c r="C100" t="s">
        <v>1058</v>
      </c>
      <c r="D100" t="s">
        <v>76</v>
      </c>
      <c r="E100" t="s">
        <v>99</v>
      </c>
      <c r="F100" t="s">
        <v>119</v>
      </c>
      <c r="G100" s="334">
        <v>9.9463647504054439E-2</v>
      </c>
      <c r="H100" s="334">
        <v>0</v>
      </c>
      <c r="I100" t="s">
        <v>122</v>
      </c>
      <c r="J100" s="4">
        <v>0.35</v>
      </c>
    </row>
    <row r="101" spans="1:10" x14ac:dyDescent="0.3">
      <c r="A101" t="s">
        <v>227</v>
      </c>
      <c r="B101" t="s">
        <v>6</v>
      </c>
      <c r="C101" t="s">
        <v>1058</v>
      </c>
      <c r="D101" t="s">
        <v>76</v>
      </c>
      <c r="E101" t="s">
        <v>99</v>
      </c>
      <c r="F101" t="s">
        <v>119</v>
      </c>
      <c r="G101" s="334">
        <v>0.2568949792116561</v>
      </c>
      <c r="H101" s="334">
        <v>0</v>
      </c>
      <c r="I101" t="s">
        <v>122</v>
      </c>
      <c r="J101" s="4">
        <v>0.35</v>
      </c>
    </row>
    <row r="102" spans="1:10" x14ac:dyDescent="0.3">
      <c r="A102" t="s">
        <v>228</v>
      </c>
      <c r="B102" t="s">
        <v>6</v>
      </c>
      <c r="C102" t="s">
        <v>1074</v>
      </c>
      <c r="D102" t="s">
        <v>78</v>
      </c>
      <c r="E102" t="s">
        <v>102</v>
      </c>
      <c r="F102" t="s">
        <v>119</v>
      </c>
      <c r="G102" s="334">
        <v>3.9</v>
      </c>
      <c r="H102" s="334">
        <v>0</v>
      </c>
      <c r="I102" t="s">
        <v>122</v>
      </c>
      <c r="J102" s="4">
        <v>0.35</v>
      </c>
    </row>
    <row r="103" spans="1:10" x14ac:dyDescent="0.3">
      <c r="A103" t="s">
        <v>229</v>
      </c>
      <c r="B103" t="s">
        <v>6</v>
      </c>
      <c r="C103" t="s">
        <v>1074</v>
      </c>
      <c r="D103" t="s">
        <v>78</v>
      </c>
      <c r="E103" t="s">
        <v>102</v>
      </c>
      <c r="F103" t="s">
        <v>119</v>
      </c>
      <c r="G103" s="334">
        <v>0.97</v>
      </c>
      <c r="H103" s="334">
        <v>0</v>
      </c>
      <c r="I103" t="s">
        <v>122</v>
      </c>
      <c r="J103" s="4">
        <v>0.35</v>
      </c>
    </row>
    <row r="104" spans="1:10" x14ac:dyDescent="0.3">
      <c r="A104" t="s">
        <v>230</v>
      </c>
      <c r="B104" t="s">
        <v>6</v>
      </c>
      <c r="C104" t="s">
        <v>1074</v>
      </c>
      <c r="D104" t="s">
        <v>78</v>
      </c>
      <c r="E104" t="s">
        <v>102</v>
      </c>
      <c r="F104" t="s">
        <v>119</v>
      </c>
      <c r="G104" s="334">
        <v>1.65</v>
      </c>
      <c r="H104" s="334">
        <v>0</v>
      </c>
      <c r="I104" t="s">
        <v>122</v>
      </c>
      <c r="J104" s="4">
        <v>0.35</v>
      </c>
    </row>
    <row r="105" spans="1:10" x14ac:dyDescent="0.3">
      <c r="A105" t="s">
        <v>231</v>
      </c>
      <c r="B105" t="s">
        <v>6</v>
      </c>
      <c r="C105" t="s">
        <v>1074</v>
      </c>
      <c r="D105" t="s">
        <v>78</v>
      </c>
      <c r="E105" t="s">
        <v>102</v>
      </c>
      <c r="F105" t="s">
        <v>119</v>
      </c>
      <c r="G105" s="334">
        <v>5.53</v>
      </c>
      <c r="H105" s="334">
        <v>0</v>
      </c>
      <c r="I105" t="s">
        <v>122</v>
      </c>
      <c r="J105" s="4">
        <v>0.35</v>
      </c>
    </row>
    <row r="106" spans="1:10" x14ac:dyDescent="0.3">
      <c r="A106" t="s">
        <v>232</v>
      </c>
      <c r="B106" t="s">
        <v>6</v>
      </c>
      <c r="C106" t="s">
        <v>1074</v>
      </c>
      <c r="D106" t="s">
        <v>78</v>
      </c>
      <c r="E106" t="s">
        <v>102</v>
      </c>
      <c r="F106" t="s">
        <v>119</v>
      </c>
      <c r="G106" s="334">
        <v>1.21</v>
      </c>
      <c r="H106" s="334">
        <v>0</v>
      </c>
      <c r="I106" t="s">
        <v>122</v>
      </c>
      <c r="J106" s="4">
        <v>0.35</v>
      </c>
    </row>
    <row r="107" spans="1:10" x14ac:dyDescent="0.3">
      <c r="A107" t="s">
        <v>233</v>
      </c>
      <c r="B107" t="s">
        <v>6</v>
      </c>
      <c r="C107" t="s">
        <v>1074</v>
      </c>
      <c r="D107" t="s">
        <v>78</v>
      </c>
      <c r="E107" t="s">
        <v>102</v>
      </c>
      <c r="F107" t="s">
        <v>119</v>
      </c>
      <c r="G107" s="334">
        <v>0.11799999999999999</v>
      </c>
      <c r="H107" s="334">
        <v>0</v>
      </c>
      <c r="I107" t="s">
        <v>122</v>
      </c>
      <c r="J107" s="4">
        <v>0.35</v>
      </c>
    </row>
    <row r="108" spans="1:10" x14ac:dyDescent="0.3">
      <c r="A108" t="s">
        <v>234</v>
      </c>
      <c r="B108" t="s">
        <v>6</v>
      </c>
      <c r="C108" t="s">
        <v>1074</v>
      </c>
      <c r="D108" t="s">
        <v>75</v>
      </c>
      <c r="E108" t="s">
        <v>102</v>
      </c>
      <c r="F108" t="s">
        <v>119</v>
      </c>
      <c r="G108" s="334">
        <v>3.19</v>
      </c>
      <c r="H108" s="334">
        <v>0</v>
      </c>
      <c r="I108" t="s">
        <v>122</v>
      </c>
      <c r="J108" s="4">
        <v>0.35</v>
      </c>
    </row>
    <row r="109" spans="1:10" x14ac:dyDescent="0.3">
      <c r="A109" t="s">
        <v>235</v>
      </c>
      <c r="B109" t="s">
        <v>6</v>
      </c>
      <c r="C109" t="s">
        <v>96</v>
      </c>
      <c r="D109" t="s">
        <v>75</v>
      </c>
      <c r="E109" t="s">
        <v>96</v>
      </c>
      <c r="F109" t="s">
        <v>119</v>
      </c>
      <c r="G109" s="334">
        <v>1.323</v>
      </c>
      <c r="H109" s="334">
        <v>0</v>
      </c>
      <c r="I109" t="s">
        <v>120</v>
      </c>
      <c r="J109" s="4">
        <v>0.55000000000000004</v>
      </c>
    </row>
    <row r="110" spans="1:10" x14ac:dyDescent="0.3">
      <c r="A110" t="s">
        <v>236</v>
      </c>
      <c r="B110" t="s">
        <v>6</v>
      </c>
      <c r="C110" t="s">
        <v>96</v>
      </c>
      <c r="D110" t="s">
        <v>75</v>
      </c>
      <c r="E110" t="s">
        <v>96</v>
      </c>
      <c r="F110" t="s">
        <v>119</v>
      </c>
      <c r="G110" s="334">
        <v>1.6256000138901547</v>
      </c>
      <c r="H110" s="334">
        <v>0</v>
      </c>
      <c r="I110" t="s">
        <v>122</v>
      </c>
      <c r="J110" s="4">
        <v>0.55000000000000004</v>
      </c>
    </row>
    <row r="111" spans="1:10" x14ac:dyDescent="0.3">
      <c r="A111" t="s">
        <v>237</v>
      </c>
      <c r="B111" t="s">
        <v>6</v>
      </c>
      <c r="C111" t="s">
        <v>96</v>
      </c>
      <c r="D111" t="s">
        <v>75</v>
      </c>
      <c r="E111" t="s">
        <v>96</v>
      </c>
      <c r="F111" t="s">
        <v>119</v>
      </c>
      <c r="G111" s="334">
        <v>1.7469909686401202</v>
      </c>
      <c r="H111" s="334">
        <v>0</v>
      </c>
      <c r="I111" t="s">
        <v>122</v>
      </c>
      <c r="J111" s="4">
        <v>0.55000000000000004</v>
      </c>
    </row>
    <row r="112" spans="1:10" x14ac:dyDescent="0.3">
      <c r="A112" t="s">
        <v>238</v>
      </c>
      <c r="B112" t="s">
        <v>6</v>
      </c>
      <c r="C112" t="s">
        <v>96</v>
      </c>
      <c r="D112" t="s">
        <v>75</v>
      </c>
      <c r="E112" t="s">
        <v>96</v>
      </c>
      <c r="F112" t="s">
        <v>119</v>
      </c>
      <c r="G112" s="334">
        <v>1.667229702162383</v>
      </c>
      <c r="H112" s="334">
        <v>0</v>
      </c>
      <c r="I112" t="s">
        <v>122</v>
      </c>
      <c r="J112" s="4">
        <v>0.55000000000000004</v>
      </c>
    </row>
    <row r="113" spans="1:10" x14ac:dyDescent="0.3">
      <c r="A113" t="s">
        <v>239</v>
      </c>
      <c r="B113" t="s">
        <v>6</v>
      </c>
      <c r="C113" t="s">
        <v>96</v>
      </c>
      <c r="D113" t="s">
        <v>75</v>
      </c>
      <c r="E113" t="s">
        <v>96</v>
      </c>
      <c r="F113" t="s">
        <v>119</v>
      </c>
      <c r="G113" s="334">
        <v>2.0817912363080429</v>
      </c>
      <c r="H113" s="334">
        <v>0</v>
      </c>
      <c r="I113" t="s">
        <v>122</v>
      </c>
      <c r="J113" s="4">
        <v>0.55000000000000004</v>
      </c>
    </row>
    <row r="114" spans="1:10" x14ac:dyDescent="0.3">
      <c r="A114" t="s">
        <v>240</v>
      </c>
      <c r="B114" t="s">
        <v>6</v>
      </c>
      <c r="C114" t="s">
        <v>96</v>
      </c>
      <c r="D114" t="s">
        <v>75</v>
      </c>
      <c r="E114" t="s">
        <v>96</v>
      </c>
      <c r="F114" t="s">
        <v>119</v>
      </c>
      <c r="G114" s="334">
        <v>1.5555155035203816</v>
      </c>
      <c r="H114" s="334">
        <v>0</v>
      </c>
      <c r="I114" t="s">
        <v>122</v>
      </c>
      <c r="J114" s="4">
        <v>0.55000000000000004</v>
      </c>
    </row>
    <row r="115" spans="1:10" x14ac:dyDescent="0.3">
      <c r="A115" t="s">
        <v>241</v>
      </c>
      <c r="B115" t="s">
        <v>6</v>
      </c>
      <c r="C115" t="s">
        <v>96</v>
      </c>
      <c r="D115" t="s">
        <v>75</v>
      </c>
      <c r="E115" t="s">
        <v>96</v>
      </c>
      <c r="F115" t="s">
        <v>119</v>
      </c>
      <c r="G115" s="334">
        <v>3.1018518518518516</v>
      </c>
      <c r="H115" s="334">
        <v>0</v>
      </c>
      <c r="I115" t="s">
        <v>122</v>
      </c>
      <c r="J115" s="4">
        <v>0.55000000000000004</v>
      </c>
    </row>
    <row r="116" spans="1:10" x14ac:dyDescent="0.3">
      <c r="A116" t="s">
        <v>242</v>
      </c>
      <c r="B116" t="s">
        <v>6</v>
      </c>
      <c r="C116" t="s">
        <v>1063</v>
      </c>
      <c r="D116" t="s">
        <v>78</v>
      </c>
      <c r="E116" t="s">
        <v>97</v>
      </c>
      <c r="F116" t="s">
        <v>119</v>
      </c>
      <c r="G116" s="334">
        <v>4.7802454354983519</v>
      </c>
      <c r="H116" s="334">
        <v>0</v>
      </c>
      <c r="I116" t="s">
        <v>221</v>
      </c>
      <c r="J116" s="4">
        <v>0.35</v>
      </c>
    </row>
    <row r="117" spans="1:10" x14ac:dyDescent="0.3">
      <c r="A117" t="s">
        <v>243</v>
      </c>
      <c r="B117" t="s">
        <v>6</v>
      </c>
      <c r="C117" t="s">
        <v>1063</v>
      </c>
      <c r="D117" t="s">
        <v>78</v>
      </c>
      <c r="E117" t="s">
        <v>97</v>
      </c>
      <c r="F117" t="s">
        <v>119</v>
      </c>
      <c r="G117" s="334">
        <v>3.7513871105420407</v>
      </c>
      <c r="H117" s="334">
        <v>0</v>
      </c>
      <c r="I117" t="s">
        <v>221</v>
      </c>
      <c r="J117" s="4">
        <v>0.35</v>
      </c>
    </row>
    <row r="118" spans="1:10" x14ac:dyDescent="0.3">
      <c r="A118" t="s">
        <v>244</v>
      </c>
      <c r="B118" t="s">
        <v>6</v>
      </c>
      <c r="C118" t="s">
        <v>1063</v>
      </c>
      <c r="D118" t="s">
        <v>78</v>
      </c>
      <c r="E118" t="s">
        <v>98</v>
      </c>
      <c r="F118" t="s">
        <v>119</v>
      </c>
      <c r="G118" s="334">
        <v>0.19066637168141595</v>
      </c>
      <c r="H118" s="334">
        <v>-1.3370870151425762</v>
      </c>
      <c r="I118" t="s">
        <v>221</v>
      </c>
      <c r="J118" s="4">
        <v>0.35</v>
      </c>
    </row>
    <row r="119" spans="1:10" x14ac:dyDescent="0.3">
      <c r="A119" t="s">
        <v>245</v>
      </c>
      <c r="B119" t="s">
        <v>6</v>
      </c>
      <c r="C119" t="s">
        <v>1063</v>
      </c>
      <c r="D119" t="s">
        <v>78</v>
      </c>
      <c r="E119" t="s">
        <v>98</v>
      </c>
      <c r="F119" t="s">
        <v>119</v>
      </c>
      <c r="G119" s="334">
        <v>1.3129172617663669</v>
      </c>
      <c r="H119" s="334">
        <v>0</v>
      </c>
      <c r="I119" t="s">
        <v>221</v>
      </c>
      <c r="J119" s="4">
        <v>0.35</v>
      </c>
    </row>
    <row r="120" spans="1:10" x14ac:dyDescent="0.3">
      <c r="A120" t="s">
        <v>246</v>
      </c>
      <c r="B120" t="s">
        <v>6</v>
      </c>
      <c r="C120" t="s">
        <v>1063</v>
      </c>
      <c r="D120" t="s">
        <v>78</v>
      </c>
      <c r="E120" t="s">
        <v>98</v>
      </c>
      <c r="F120" t="s">
        <v>119</v>
      </c>
      <c r="G120" s="334">
        <v>1.2789825322652426</v>
      </c>
      <c r="H120" s="334">
        <v>-1.2238742565845371</v>
      </c>
      <c r="I120" t="s">
        <v>221</v>
      </c>
      <c r="J120" s="4">
        <v>0.35</v>
      </c>
    </row>
    <row r="121" spans="1:10" x14ac:dyDescent="0.3">
      <c r="A121" t="s">
        <v>247</v>
      </c>
      <c r="B121" t="s">
        <v>6</v>
      </c>
      <c r="C121" t="s">
        <v>1063</v>
      </c>
      <c r="D121" t="s">
        <v>78</v>
      </c>
      <c r="E121" t="s">
        <v>98</v>
      </c>
      <c r="F121" t="s">
        <v>119</v>
      </c>
      <c r="G121" s="334">
        <v>0.84497406924206575</v>
      </c>
      <c r="H121" s="334">
        <v>-1.4010872630098765</v>
      </c>
      <c r="I121" t="s">
        <v>221</v>
      </c>
      <c r="J121" s="4">
        <v>0.35</v>
      </c>
    </row>
    <row r="122" spans="1:10" x14ac:dyDescent="0.3">
      <c r="A122" t="s">
        <v>248</v>
      </c>
      <c r="B122" t="s">
        <v>6</v>
      </c>
      <c r="C122" t="s">
        <v>1063</v>
      </c>
      <c r="D122" t="s">
        <v>78</v>
      </c>
      <c r="E122" t="s">
        <v>98</v>
      </c>
      <c r="F122" t="s">
        <v>119</v>
      </c>
      <c r="G122" s="334">
        <v>0.62285714285714289</v>
      </c>
      <c r="H122" s="334">
        <v>-1.2571428571428571</v>
      </c>
      <c r="I122" t="s">
        <v>221</v>
      </c>
      <c r="J122" s="4">
        <v>0.35</v>
      </c>
    </row>
    <row r="123" spans="1:10" x14ac:dyDescent="0.3">
      <c r="A123" t="s">
        <v>249</v>
      </c>
      <c r="B123" t="s">
        <v>6</v>
      </c>
      <c r="C123" t="s">
        <v>1063</v>
      </c>
      <c r="D123" t="s">
        <v>78</v>
      </c>
      <c r="E123" t="s">
        <v>97</v>
      </c>
      <c r="F123" t="s">
        <v>119</v>
      </c>
      <c r="G123" s="334">
        <v>1.86</v>
      </c>
      <c r="H123" s="334">
        <v>0</v>
      </c>
      <c r="I123" t="s">
        <v>122</v>
      </c>
      <c r="J123" s="4">
        <v>0.35</v>
      </c>
    </row>
    <row r="124" spans="1:10" x14ac:dyDescent="0.3">
      <c r="A124" t="s">
        <v>250</v>
      </c>
      <c r="B124" t="s">
        <v>6</v>
      </c>
      <c r="C124" t="s">
        <v>1063</v>
      </c>
      <c r="D124" t="s">
        <v>78</v>
      </c>
      <c r="E124" t="s">
        <v>98</v>
      </c>
      <c r="F124" t="s">
        <v>119</v>
      </c>
      <c r="G124" s="334">
        <v>0.19</v>
      </c>
      <c r="H124" s="334">
        <v>0</v>
      </c>
      <c r="I124" t="s">
        <v>122</v>
      </c>
      <c r="J124" s="4">
        <v>0.35</v>
      </c>
    </row>
    <row r="125" spans="1:10" x14ac:dyDescent="0.3">
      <c r="A125" t="s">
        <v>251</v>
      </c>
      <c r="B125" t="s">
        <v>6</v>
      </c>
      <c r="C125" t="s">
        <v>1063</v>
      </c>
      <c r="D125" t="s">
        <v>78</v>
      </c>
      <c r="E125" t="s">
        <v>97</v>
      </c>
      <c r="F125" t="s">
        <v>119</v>
      </c>
      <c r="G125" s="334">
        <v>1.35</v>
      </c>
      <c r="H125" s="334">
        <v>0</v>
      </c>
      <c r="I125" t="s">
        <v>122</v>
      </c>
      <c r="J125" s="4">
        <v>0.35</v>
      </c>
    </row>
    <row r="126" spans="1:10" x14ac:dyDescent="0.3">
      <c r="A126" t="s">
        <v>252</v>
      </c>
      <c r="B126" t="s">
        <v>6</v>
      </c>
      <c r="C126" t="s">
        <v>1063</v>
      </c>
      <c r="D126" t="s">
        <v>78</v>
      </c>
      <c r="E126" t="s">
        <v>98</v>
      </c>
      <c r="F126" t="s">
        <v>119</v>
      </c>
      <c r="G126" s="334">
        <v>0.63</v>
      </c>
      <c r="H126" s="334">
        <v>0</v>
      </c>
      <c r="I126" t="s">
        <v>122</v>
      </c>
      <c r="J126" s="4">
        <v>0.35</v>
      </c>
    </row>
    <row r="127" spans="1:10" x14ac:dyDescent="0.3">
      <c r="A127" t="s">
        <v>253</v>
      </c>
      <c r="B127" t="s">
        <v>6</v>
      </c>
      <c r="C127" t="s">
        <v>1063</v>
      </c>
      <c r="D127" t="s">
        <v>78</v>
      </c>
      <c r="E127" t="s">
        <v>97</v>
      </c>
      <c r="F127" t="s">
        <v>119</v>
      </c>
      <c r="G127" s="334">
        <v>3.29</v>
      </c>
      <c r="H127" s="334">
        <v>0</v>
      </c>
      <c r="I127" t="s">
        <v>122</v>
      </c>
      <c r="J127" s="4">
        <v>0.35</v>
      </c>
    </row>
    <row r="128" spans="1:10" x14ac:dyDescent="0.3">
      <c r="A128" t="s">
        <v>254</v>
      </c>
      <c r="B128" t="s">
        <v>6</v>
      </c>
      <c r="C128" t="s">
        <v>1063</v>
      </c>
      <c r="D128" t="s">
        <v>78</v>
      </c>
      <c r="E128" t="s">
        <v>97</v>
      </c>
      <c r="F128" t="s">
        <v>119</v>
      </c>
      <c r="G128" s="334">
        <v>4.84</v>
      </c>
      <c r="H128" s="334">
        <v>0</v>
      </c>
      <c r="I128" t="s">
        <v>122</v>
      </c>
      <c r="J128" s="4">
        <v>0.35</v>
      </c>
    </row>
    <row r="129" spans="1:10" x14ac:dyDescent="0.3">
      <c r="A129" t="s">
        <v>255</v>
      </c>
      <c r="B129" t="s">
        <v>6</v>
      </c>
      <c r="C129" t="s">
        <v>1063</v>
      </c>
      <c r="D129" t="s">
        <v>78</v>
      </c>
      <c r="E129" t="s">
        <v>97</v>
      </c>
      <c r="F129" t="s">
        <v>119</v>
      </c>
      <c r="G129" s="334">
        <v>1.1200000000000001</v>
      </c>
      <c r="H129" s="334">
        <v>0</v>
      </c>
      <c r="I129" t="s">
        <v>122</v>
      </c>
      <c r="J129" s="4">
        <v>0.35</v>
      </c>
    </row>
    <row r="130" spans="1:10" x14ac:dyDescent="0.3">
      <c r="A130" t="s">
        <v>256</v>
      </c>
      <c r="B130" t="s">
        <v>6</v>
      </c>
      <c r="C130" t="s">
        <v>1063</v>
      </c>
      <c r="D130" t="s">
        <v>78</v>
      </c>
      <c r="E130" t="s">
        <v>98</v>
      </c>
      <c r="F130" t="s">
        <v>119</v>
      </c>
      <c r="G130" s="334">
        <v>0.98</v>
      </c>
      <c r="H130" s="334">
        <v>0</v>
      </c>
      <c r="I130" t="s">
        <v>122</v>
      </c>
      <c r="J130" s="4">
        <v>0.35</v>
      </c>
    </row>
    <row r="131" spans="1:10" x14ac:dyDescent="0.3">
      <c r="A131" t="s">
        <v>257</v>
      </c>
      <c r="B131" t="s">
        <v>6</v>
      </c>
      <c r="C131" t="s">
        <v>1072</v>
      </c>
      <c r="D131" t="s">
        <v>78</v>
      </c>
      <c r="E131" t="s">
        <v>102</v>
      </c>
      <c r="F131" t="s">
        <v>119</v>
      </c>
      <c r="G131" s="334">
        <v>4.2</v>
      </c>
      <c r="H131" s="334">
        <v>0</v>
      </c>
      <c r="I131" t="s">
        <v>122</v>
      </c>
      <c r="J131" s="4">
        <v>0.35</v>
      </c>
    </row>
    <row r="132" spans="1:10" x14ac:dyDescent="0.3">
      <c r="A132" t="s">
        <v>258</v>
      </c>
      <c r="B132" t="s">
        <v>6</v>
      </c>
      <c r="C132" t="s">
        <v>1064</v>
      </c>
      <c r="D132" t="s">
        <v>74</v>
      </c>
      <c r="E132" t="s">
        <v>94</v>
      </c>
      <c r="F132" t="s">
        <v>119</v>
      </c>
      <c r="G132" s="334">
        <v>2.14</v>
      </c>
      <c r="H132" s="334">
        <v>0</v>
      </c>
      <c r="I132" t="s">
        <v>120</v>
      </c>
      <c r="J132" s="4">
        <v>0.35</v>
      </c>
    </row>
    <row r="133" spans="1:10" x14ac:dyDescent="0.3">
      <c r="A133" t="s">
        <v>259</v>
      </c>
      <c r="B133" t="s">
        <v>6</v>
      </c>
      <c r="C133" t="s">
        <v>1064</v>
      </c>
      <c r="D133" t="s">
        <v>74</v>
      </c>
      <c r="E133" t="s">
        <v>94</v>
      </c>
      <c r="F133" t="s">
        <v>119</v>
      </c>
      <c r="G133" s="334">
        <v>2.63</v>
      </c>
      <c r="H133" s="334">
        <v>0</v>
      </c>
      <c r="I133" t="s">
        <v>120</v>
      </c>
      <c r="J133" s="4">
        <v>0.35</v>
      </c>
    </row>
    <row r="134" spans="1:10" x14ac:dyDescent="0.3">
      <c r="A134" t="s">
        <v>260</v>
      </c>
      <c r="B134" t="s">
        <v>6</v>
      </c>
      <c r="C134" t="s">
        <v>1064</v>
      </c>
      <c r="D134" t="s">
        <v>74</v>
      </c>
      <c r="E134" t="s">
        <v>94</v>
      </c>
      <c r="F134" t="s">
        <v>119</v>
      </c>
      <c r="G134" s="334">
        <v>2.8</v>
      </c>
      <c r="H134" s="334">
        <v>0</v>
      </c>
      <c r="I134" t="s">
        <v>120</v>
      </c>
      <c r="J134" s="4">
        <v>0.35</v>
      </c>
    </row>
    <row r="135" spans="1:10" x14ac:dyDescent="0.3">
      <c r="A135" t="s">
        <v>261</v>
      </c>
      <c r="B135" t="s">
        <v>6</v>
      </c>
      <c r="C135" t="s">
        <v>1064</v>
      </c>
      <c r="D135" t="s">
        <v>74</v>
      </c>
      <c r="E135" t="s">
        <v>94</v>
      </c>
      <c r="F135" t="s">
        <v>119</v>
      </c>
      <c r="G135" s="334">
        <v>2.83</v>
      </c>
      <c r="H135" s="334">
        <v>0</v>
      </c>
      <c r="I135" t="s">
        <v>120</v>
      </c>
      <c r="J135" s="4">
        <v>0.35</v>
      </c>
    </row>
    <row r="136" spans="1:10" x14ac:dyDescent="0.3">
      <c r="A136" t="s">
        <v>262</v>
      </c>
      <c r="B136" t="s">
        <v>6</v>
      </c>
      <c r="C136" t="s">
        <v>1068</v>
      </c>
      <c r="D136" t="s">
        <v>74</v>
      </c>
      <c r="E136" t="s">
        <v>94</v>
      </c>
      <c r="F136" t="s">
        <v>119</v>
      </c>
      <c r="G136" s="334">
        <v>1.49</v>
      </c>
      <c r="H136" s="334">
        <v>0</v>
      </c>
      <c r="I136" t="s">
        <v>120</v>
      </c>
      <c r="J136" s="4">
        <v>0.35</v>
      </c>
    </row>
    <row r="137" spans="1:10" x14ac:dyDescent="0.3">
      <c r="A137" t="s">
        <v>263</v>
      </c>
      <c r="B137" t="s">
        <v>6</v>
      </c>
      <c r="C137" t="s">
        <v>1071</v>
      </c>
      <c r="D137" t="s">
        <v>74</v>
      </c>
      <c r="E137" t="s">
        <v>94</v>
      </c>
      <c r="F137" t="s">
        <v>119</v>
      </c>
      <c r="G137" s="334">
        <v>0.73699999999999999</v>
      </c>
      <c r="H137" s="334">
        <v>0</v>
      </c>
      <c r="I137" t="s">
        <v>120</v>
      </c>
      <c r="J137" s="4">
        <v>0.35</v>
      </c>
    </row>
    <row r="138" spans="1:10" x14ac:dyDescent="0.3">
      <c r="A138" t="s">
        <v>264</v>
      </c>
      <c r="B138" t="s">
        <v>6</v>
      </c>
      <c r="C138" t="s">
        <v>1064</v>
      </c>
      <c r="D138" t="s">
        <v>74</v>
      </c>
      <c r="E138" t="s">
        <v>94</v>
      </c>
      <c r="F138" t="s">
        <v>119</v>
      </c>
      <c r="G138" s="334">
        <v>2.7509999999999999</v>
      </c>
      <c r="H138" s="334">
        <v>0</v>
      </c>
      <c r="I138" t="s">
        <v>120</v>
      </c>
      <c r="J138" s="4">
        <v>0.55000000000000004</v>
      </c>
    </row>
    <row r="139" spans="1:10" x14ac:dyDescent="0.3">
      <c r="A139" t="s">
        <v>265</v>
      </c>
      <c r="B139" t="s">
        <v>6</v>
      </c>
      <c r="C139" t="s">
        <v>1064</v>
      </c>
      <c r="D139" t="s">
        <v>74</v>
      </c>
      <c r="E139" t="s">
        <v>94</v>
      </c>
      <c r="F139" t="s">
        <v>119</v>
      </c>
      <c r="G139" s="334">
        <v>6.78</v>
      </c>
      <c r="H139" s="334">
        <v>0</v>
      </c>
      <c r="I139" t="s">
        <v>120</v>
      </c>
      <c r="J139" s="4">
        <v>0.55000000000000004</v>
      </c>
    </row>
    <row r="140" spans="1:10" x14ac:dyDescent="0.3">
      <c r="A140" t="s">
        <v>266</v>
      </c>
      <c r="B140" t="s">
        <v>6</v>
      </c>
      <c r="C140" t="s">
        <v>1064</v>
      </c>
      <c r="D140" t="s">
        <v>74</v>
      </c>
      <c r="E140" t="s">
        <v>94</v>
      </c>
      <c r="F140" t="s">
        <v>119</v>
      </c>
      <c r="G140" s="334">
        <v>4.8550000000000004</v>
      </c>
      <c r="H140" s="334">
        <v>0</v>
      </c>
      <c r="I140" t="s">
        <v>120</v>
      </c>
      <c r="J140" s="4">
        <v>0.55000000000000004</v>
      </c>
    </row>
    <row r="141" spans="1:10" x14ac:dyDescent="0.3">
      <c r="A141" t="s">
        <v>267</v>
      </c>
      <c r="B141" t="s">
        <v>6</v>
      </c>
      <c r="C141" t="s">
        <v>1064</v>
      </c>
      <c r="D141" t="s">
        <v>74</v>
      </c>
      <c r="E141" t="s">
        <v>94</v>
      </c>
      <c r="F141" t="s">
        <v>119</v>
      </c>
      <c r="G141" s="334">
        <v>4</v>
      </c>
      <c r="H141" s="334">
        <v>0</v>
      </c>
      <c r="I141" t="s">
        <v>122</v>
      </c>
      <c r="J141" s="4">
        <v>0.35</v>
      </c>
    </row>
    <row r="142" spans="1:10" x14ac:dyDescent="0.3">
      <c r="A142" t="s">
        <v>268</v>
      </c>
      <c r="B142" t="s">
        <v>6</v>
      </c>
      <c r="C142" t="s">
        <v>1064</v>
      </c>
      <c r="D142" t="s">
        <v>74</v>
      </c>
      <c r="E142" t="s">
        <v>94</v>
      </c>
      <c r="F142" t="s">
        <v>119</v>
      </c>
      <c r="G142" s="334">
        <v>2.71</v>
      </c>
      <c r="H142" s="334">
        <v>0</v>
      </c>
      <c r="I142" t="s">
        <v>122</v>
      </c>
      <c r="J142" s="4">
        <v>0.35</v>
      </c>
    </row>
    <row r="143" spans="1:10" x14ac:dyDescent="0.3">
      <c r="A143" t="s">
        <v>269</v>
      </c>
      <c r="B143" t="s">
        <v>6</v>
      </c>
      <c r="C143" t="s">
        <v>1064</v>
      </c>
      <c r="D143" t="s">
        <v>74</v>
      </c>
      <c r="E143" t="s">
        <v>94</v>
      </c>
      <c r="F143" t="s">
        <v>119</v>
      </c>
      <c r="G143" s="334">
        <v>2.0322399999999998</v>
      </c>
      <c r="H143" s="334">
        <v>0</v>
      </c>
      <c r="I143" t="s">
        <v>122</v>
      </c>
      <c r="J143" s="4">
        <v>0.35</v>
      </c>
    </row>
    <row r="144" spans="1:10" x14ac:dyDescent="0.3">
      <c r="A144" t="s">
        <v>270</v>
      </c>
      <c r="B144" t="s">
        <v>6</v>
      </c>
      <c r="C144" t="s">
        <v>1064</v>
      </c>
      <c r="D144" t="s">
        <v>74</v>
      </c>
      <c r="E144" t="s">
        <v>94</v>
      </c>
      <c r="F144" t="s">
        <v>119</v>
      </c>
      <c r="G144" s="334">
        <v>1.6680999999999999</v>
      </c>
      <c r="H144" s="334">
        <v>0</v>
      </c>
      <c r="I144" t="s">
        <v>122</v>
      </c>
      <c r="J144" s="4">
        <v>0.35</v>
      </c>
    </row>
    <row r="145" spans="1:10" x14ac:dyDescent="0.3">
      <c r="A145" t="s">
        <v>271</v>
      </c>
      <c r="B145" t="s">
        <v>6</v>
      </c>
      <c r="C145" t="s">
        <v>1064</v>
      </c>
      <c r="D145" t="s">
        <v>74</v>
      </c>
      <c r="E145" t="s">
        <v>94</v>
      </c>
      <c r="F145" t="s">
        <v>119</v>
      </c>
      <c r="G145" s="334">
        <v>5.39</v>
      </c>
      <c r="H145" s="334">
        <v>0</v>
      </c>
      <c r="I145" t="s">
        <v>122</v>
      </c>
      <c r="J145" s="4">
        <v>0.35</v>
      </c>
    </row>
    <row r="146" spans="1:10" x14ac:dyDescent="0.3">
      <c r="A146" t="s">
        <v>272</v>
      </c>
      <c r="B146" t="s">
        <v>6</v>
      </c>
      <c r="C146" t="s">
        <v>1064</v>
      </c>
      <c r="D146" t="s">
        <v>74</v>
      </c>
      <c r="E146" t="s">
        <v>94</v>
      </c>
      <c r="F146" t="s">
        <v>119</v>
      </c>
      <c r="G146" s="334">
        <v>5.3</v>
      </c>
      <c r="H146" s="334">
        <v>0</v>
      </c>
      <c r="I146" t="s">
        <v>122</v>
      </c>
      <c r="J146" s="4">
        <v>0.35</v>
      </c>
    </row>
    <row r="147" spans="1:10" x14ac:dyDescent="0.3">
      <c r="A147" t="s">
        <v>273</v>
      </c>
      <c r="B147" t="s">
        <v>6</v>
      </c>
      <c r="C147" t="s">
        <v>1064</v>
      </c>
      <c r="D147" t="s">
        <v>74</v>
      </c>
      <c r="E147" t="s">
        <v>94</v>
      </c>
      <c r="F147" t="s">
        <v>119</v>
      </c>
      <c r="G147" s="334">
        <v>3.5</v>
      </c>
      <c r="H147" s="334">
        <v>0</v>
      </c>
      <c r="I147" t="s">
        <v>122</v>
      </c>
      <c r="J147" s="4">
        <v>0.35</v>
      </c>
    </row>
    <row r="148" spans="1:10" x14ac:dyDescent="0.3">
      <c r="A148" t="s">
        <v>274</v>
      </c>
      <c r="B148" t="s">
        <v>6</v>
      </c>
      <c r="C148" t="s">
        <v>1064</v>
      </c>
      <c r="D148" t="s">
        <v>74</v>
      </c>
      <c r="E148" t="s">
        <v>94</v>
      </c>
      <c r="F148" t="s">
        <v>119</v>
      </c>
      <c r="G148" s="334">
        <v>4.9400000000000004</v>
      </c>
      <c r="H148" s="334">
        <v>0</v>
      </c>
      <c r="I148" t="s">
        <v>122</v>
      </c>
      <c r="J148" s="4">
        <v>0.35</v>
      </c>
    </row>
    <row r="149" spans="1:10" x14ac:dyDescent="0.3">
      <c r="A149" t="s">
        <v>275</v>
      </c>
      <c r="B149" t="s">
        <v>6</v>
      </c>
      <c r="C149" t="s">
        <v>1064</v>
      </c>
      <c r="D149" t="s">
        <v>74</v>
      </c>
      <c r="E149" t="s">
        <v>94</v>
      </c>
      <c r="F149" t="s">
        <v>119</v>
      </c>
      <c r="G149" s="334">
        <v>12.4</v>
      </c>
      <c r="H149" s="334">
        <v>0</v>
      </c>
      <c r="I149" t="s">
        <v>122</v>
      </c>
      <c r="J149" s="4">
        <v>0.35</v>
      </c>
    </row>
    <row r="150" spans="1:10" x14ac:dyDescent="0.3">
      <c r="A150" t="s">
        <v>276</v>
      </c>
      <c r="B150" t="s">
        <v>6</v>
      </c>
      <c r="C150" t="s">
        <v>1064</v>
      </c>
      <c r="D150" t="s">
        <v>74</v>
      </c>
      <c r="E150" t="s">
        <v>94</v>
      </c>
      <c r="F150" t="s">
        <v>119</v>
      </c>
      <c r="G150" s="334">
        <v>6.31</v>
      </c>
      <c r="H150" s="334">
        <v>0</v>
      </c>
      <c r="I150" t="s">
        <v>122</v>
      </c>
      <c r="J150" s="4">
        <v>0.35</v>
      </c>
    </row>
    <row r="151" spans="1:10" x14ac:dyDescent="0.3">
      <c r="A151" t="s">
        <v>277</v>
      </c>
      <c r="B151" t="s">
        <v>6</v>
      </c>
      <c r="C151" t="s">
        <v>1064</v>
      </c>
      <c r="D151" t="s">
        <v>74</v>
      </c>
      <c r="E151" t="s">
        <v>94</v>
      </c>
      <c r="F151" t="s">
        <v>119</v>
      </c>
      <c r="G151" s="334">
        <v>3.02</v>
      </c>
      <c r="H151" s="334">
        <v>0</v>
      </c>
      <c r="I151" t="s">
        <v>122</v>
      </c>
      <c r="J151" s="4">
        <v>0.55000000000000004</v>
      </c>
    </row>
    <row r="152" spans="1:10" x14ac:dyDescent="0.3">
      <c r="A152" t="s">
        <v>278</v>
      </c>
      <c r="B152" t="s">
        <v>6</v>
      </c>
      <c r="C152" t="s">
        <v>1064</v>
      </c>
      <c r="D152" t="s">
        <v>74</v>
      </c>
      <c r="E152" t="s">
        <v>94</v>
      </c>
      <c r="F152" t="s">
        <v>119</v>
      </c>
      <c r="G152" s="334">
        <v>2.89</v>
      </c>
      <c r="H152" s="334">
        <v>0</v>
      </c>
      <c r="I152" t="s">
        <v>122</v>
      </c>
      <c r="J152" s="4">
        <v>0.55000000000000004</v>
      </c>
    </row>
    <row r="153" spans="1:10" x14ac:dyDescent="0.3">
      <c r="A153" t="s">
        <v>279</v>
      </c>
      <c r="B153" t="s">
        <v>6</v>
      </c>
      <c r="C153" t="s">
        <v>1064</v>
      </c>
      <c r="D153" t="s">
        <v>74</v>
      </c>
      <c r="E153" t="s">
        <v>94</v>
      </c>
      <c r="F153" t="s">
        <v>119</v>
      </c>
      <c r="G153" s="334">
        <v>3.03</v>
      </c>
      <c r="H153" s="334">
        <v>0</v>
      </c>
      <c r="I153" t="s">
        <v>122</v>
      </c>
      <c r="J153" s="4">
        <v>0.55000000000000004</v>
      </c>
    </row>
    <row r="154" spans="1:10" x14ac:dyDescent="0.3">
      <c r="A154" t="s">
        <v>280</v>
      </c>
      <c r="B154" t="s">
        <v>6</v>
      </c>
      <c r="C154" t="s">
        <v>1064</v>
      </c>
      <c r="D154" t="s">
        <v>74</v>
      </c>
      <c r="E154" t="s">
        <v>94</v>
      </c>
      <c r="F154" t="s">
        <v>119</v>
      </c>
      <c r="G154" s="334">
        <v>2.78</v>
      </c>
      <c r="H154" s="334">
        <v>0</v>
      </c>
      <c r="I154" t="s">
        <v>122</v>
      </c>
      <c r="J154" s="4">
        <v>0.55000000000000004</v>
      </c>
    </row>
    <row r="155" spans="1:10" x14ac:dyDescent="0.3">
      <c r="A155" t="s">
        <v>281</v>
      </c>
      <c r="B155" t="s">
        <v>6</v>
      </c>
      <c r="C155" t="s">
        <v>1064</v>
      </c>
      <c r="D155" t="s">
        <v>74</v>
      </c>
      <c r="E155" t="s">
        <v>94</v>
      </c>
      <c r="F155" t="s">
        <v>119</v>
      </c>
      <c r="G155" s="334">
        <v>3.06</v>
      </c>
      <c r="H155" s="334">
        <v>0</v>
      </c>
      <c r="I155" t="s">
        <v>122</v>
      </c>
      <c r="J155" s="4">
        <v>0.55000000000000004</v>
      </c>
    </row>
    <row r="156" spans="1:10" x14ac:dyDescent="0.3">
      <c r="A156" t="s">
        <v>282</v>
      </c>
      <c r="B156" t="s">
        <v>6</v>
      </c>
      <c r="C156" t="s">
        <v>1064</v>
      </c>
      <c r="D156" t="s">
        <v>74</v>
      </c>
      <c r="E156" t="s">
        <v>94</v>
      </c>
      <c r="F156" t="s">
        <v>119</v>
      </c>
      <c r="G156" s="334">
        <v>2.85</v>
      </c>
      <c r="H156" s="334">
        <v>0</v>
      </c>
      <c r="I156" t="s">
        <v>122</v>
      </c>
      <c r="J156" s="4">
        <v>0.55000000000000004</v>
      </c>
    </row>
    <row r="157" spans="1:10" x14ac:dyDescent="0.3">
      <c r="A157" t="s">
        <v>283</v>
      </c>
      <c r="B157" t="s">
        <v>6</v>
      </c>
      <c r="C157" t="s">
        <v>1064</v>
      </c>
      <c r="D157" t="s">
        <v>74</v>
      </c>
      <c r="E157" t="s">
        <v>94</v>
      </c>
      <c r="F157" t="s">
        <v>119</v>
      </c>
      <c r="G157" s="334">
        <v>2.73</v>
      </c>
      <c r="H157" s="334">
        <v>0</v>
      </c>
      <c r="I157" t="s">
        <v>122</v>
      </c>
      <c r="J157" s="4">
        <v>0.55000000000000004</v>
      </c>
    </row>
    <row r="158" spans="1:10" x14ac:dyDescent="0.3">
      <c r="A158" t="s">
        <v>284</v>
      </c>
      <c r="B158" t="s">
        <v>6</v>
      </c>
      <c r="C158" t="s">
        <v>1064</v>
      </c>
      <c r="D158" t="s">
        <v>74</v>
      </c>
      <c r="E158" t="s">
        <v>94</v>
      </c>
      <c r="F158" t="s">
        <v>119</v>
      </c>
      <c r="G158" s="334">
        <v>2.76</v>
      </c>
      <c r="H158" s="334">
        <v>0</v>
      </c>
      <c r="I158" t="s">
        <v>122</v>
      </c>
      <c r="J158" s="4">
        <v>0.55000000000000004</v>
      </c>
    </row>
    <row r="159" spans="1:10" x14ac:dyDescent="0.3">
      <c r="A159" t="s">
        <v>285</v>
      </c>
      <c r="B159" t="s">
        <v>6</v>
      </c>
      <c r="C159" t="s">
        <v>1064</v>
      </c>
      <c r="D159" t="s">
        <v>74</v>
      </c>
      <c r="E159" t="s">
        <v>94</v>
      </c>
      <c r="F159" t="s">
        <v>119</v>
      </c>
      <c r="G159" s="334">
        <v>2.46</v>
      </c>
      <c r="H159" s="334">
        <v>0</v>
      </c>
      <c r="I159" t="s">
        <v>122</v>
      </c>
      <c r="J159" s="4">
        <v>0.55000000000000004</v>
      </c>
    </row>
    <row r="160" spans="1:10" x14ac:dyDescent="0.3">
      <c r="A160" t="s">
        <v>286</v>
      </c>
      <c r="B160" t="s">
        <v>6</v>
      </c>
      <c r="C160" t="s">
        <v>1064</v>
      </c>
      <c r="D160" t="s">
        <v>74</v>
      </c>
      <c r="E160" t="s">
        <v>94</v>
      </c>
      <c r="F160" t="s">
        <v>119</v>
      </c>
      <c r="G160" s="334">
        <v>2.5299999999999998</v>
      </c>
      <c r="H160" s="334">
        <v>0</v>
      </c>
      <c r="I160" t="s">
        <v>122</v>
      </c>
      <c r="J160" s="4">
        <v>0.55000000000000004</v>
      </c>
    </row>
    <row r="161" spans="1:10" x14ac:dyDescent="0.3">
      <c r="A161" t="s">
        <v>287</v>
      </c>
      <c r="B161" t="s">
        <v>6</v>
      </c>
      <c r="C161" t="s">
        <v>1064</v>
      </c>
      <c r="D161" t="s">
        <v>74</v>
      </c>
      <c r="E161" t="s">
        <v>94</v>
      </c>
      <c r="F161" t="s">
        <v>119</v>
      </c>
      <c r="G161" s="334">
        <v>2.42</v>
      </c>
      <c r="H161" s="334">
        <v>0</v>
      </c>
      <c r="I161" t="s">
        <v>122</v>
      </c>
      <c r="J161" s="4">
        <v>0.55000000000000004</v>
      </c>
    </row>
    <row r="162" spans="1:10" x14ac:dyDescent="0.3">
      <c r="A162" t="s">
        <v>288</v>
      </c>
      <c r="B162" t="s">
        <v>6</v>
      </c>
      <c r="C162" t="s">
        <v>1064</v>
      </c>
      <c r="D162" t="s">
        <v>74</v>
      </c>
      <c r="E162" t="s">
        <v>94</v>
      </c>
      <c r="F162" t="s">
        <v>119</v>
      </c>
      <c r="G162" s="334">
        <v>2.27</v>
      </c>
      <c r="H162" s="334">
        <v>0</v>
      </c>
      <c r="I162" t="s">
        <v>122</v>
      </c>
      <c r="J162" s="4">
        <v>0.55000000000000004</v>
      </c>
    </row>
    <row r="163" spans="1:10" x14ac:dyDescent="0.3">
      <c r="A163" t="s">
        <v>289</v>
      </c>
      <c r="B163" t="s">
        <v>6</v>
      </c>
      <c r="C163" t="s">
        <v>1064</v>
      </c>
      <c r="D163" t="s">
        <v>74</v>
      </c>
      <c r="E163" t="s">
        <v>94</v>
      </c>
      <c r="F163" t="s">
        <v>119</v>
      </c>
      <c r="G163" s="334">
        <v>2.2799999999999998</v>
      </c>
      <c r="H163" s="334">
        <v>0</v>
      </c>
      <c r="I163" t="s">
        <v>122</v>
      </c>
      <c r="J163" s="4">
        <v>0.55000000000000004</v>
      </c>
    </row>
    <row r="164" spans="1:10" x14ac:dyDescent="0.3">
      <c r="A164" t="s">
        <v>290</v>
      </c>
      <c r="B164" t="s">
        <v>6</v>
      </c>
      <c r="C164" t="s">
        <v>1068</v>
      </c>
      <c r="D164" t="s">
        <v>74</v>
      </c>
      <c r="E164" t="s">
        <v>94</v>
      </c>
      <c r="F164" t="s">
        <v>119</v>
      </c>
      <c r="G164" s="334">
        <v>1.55</v>
      </c>
      <c r="H164" s="334">
        <v>0</v>
      </c>
      <c r="I164" t="s">
        <v>122</v>
      </c>
      <c r="J164" s="4">
        <v>0.55000000000000004</v>
      </c>
    </row>
    <row r="165" spans="1:10" x14ac:dyDescent="0.3">
      <c r="A165" t="s">
        <v>291</v>
      </c>
      <c r="B165" t="s">
        <v>6</v>
      </c>
      <c r="C165" t="s">
        <v>1068</v>
      </c>
      <c r="D165" t="s">
        <v>74</v>
      </c>
      <c r="E165" t="s">
        <v>94</v>
      </c>
      <c r="F165" t="s">
        <v>119</v>
      </c>
      <c r="G165" s="334">
        <v>1.27</v>
      </c>
      <c r="H165" s="334">
        <v>0</v>
      </c>
      <c r="I165" t="s">
        <v>122</v>
      </c>
      <c r="J165" s="4">
        <v>0.55000000000000004</v>
      </c>
    </row>
    <row r="166" spans="1:10" x14ac:dyDescent="0.3">
      <c r="A166" t="s">
        <v>292</v>
      </c>
      <c r="B166" t="s">
        <v>6</v>
      </c>
      <c r="C166" t="s">
        <v>1068</v>
      </c>
      <c r="D166" t="s">
        <v>74</v>
      </c>
      <c r="E166" t="s">
        <v>94</v>
      </c>
      <c r="F166" t="s">
        <v>119</v>
      </c>
      <c r="G166" s="334">
        <v>2.13</v>
      </c>
      <c r="H166" s="334">
        <v>0</v>
      </c>
      <c r="I166" t="s">
        <v>122</v>
      </c>
      <c r="J166" s="4">
        <v>0.55000000000000004</v>
      </c>
    </row>
    <row r="167" spans="1:10" x14ac:dyDescent="0.3">
      <c r="A167" t="s">
        <v>293</v>
      </c>
      <c r="B167" t="s">
        <v>6</v>
      </c>
      <c r="C167" t="s">
        <v>1064</v>
      </c>
      <c r="D167" t="s">
        <v>74</v>
      </c>
      <c r="E167" t="s">
        <v>94</v>
      </c>
      <c r="F167" t="s">
        <v>119</v>
      </c>
      <c r="G167" s="334">
        <v>1.9950000000000001</v>
      </c>
      <c r="H167" s="334">
        <v>0</v>
      </c>
      <c r="I167" t="s">
        <v>122</v>
      </c>
      <c r="J167" s="4">
        <v>0.35</v>
      </c>
    </row>
    <row r="168" spans="1:10" x14ac:dyDescent="0.3">
      <c r="A168" t="s">
        <v>294</v>
      </c>
      <c r="B168" t="s">
        <v>6</v>
      </c>
      <c r="C168" t="s">
        <v>1064</v>
      </c>
      <c r="D168" t="s">
        <v>74</v>
      </c>
      <c r="E168" t="s">
        <v>94</v>
      </c>
      <c r="F168" t="s">
        <v>119</v>
      </c>
      <c r="G168" s="334">
        <v>14.47</v>
      </c>
      <c r="H168" s="334">
        <v>0</v>
      </c>
      <c r="I168" t="s">
        <v>122</v>
      </c>
      <c r="J168" s="4">
        <v>0.35</v>
      </c>
    </row>
    <row r="169" spans="1:10" x14ac:dyDescent="0.3">
      <c r="A169" t="s">
        <v>295</v>
      </c>
      <c r="B169" t="s">
        <v>6</v>
      </c>
      <c r="C169" t="s">
        <v>1064</v>
      </c>
      <c r="D169" t="s">
        <v>74</v>
      </c>
      <c r="E169" t="s">
        <v>94</v>
      </c>
      <c r="F169" t="s">
        <v>119</v>
      </c>
      <c r="G169" s="334">
        <v>31.55</v>
      </c>
      <c r="H169" s="334">
        <v>0</v>
      </c>
      <c r="I169" t="s">
        <v>122</v>
      </c>
      <c r="J169" s="4">
        <v>0.35</v>
      </c>
    </row>
    <row r="170" spans="1:10" x14ac:dyDescent="0.3">
      <c r="A170" t="s">
        <v>296</v>
      </c>
      <c r="B170" t="s">
        <v>6</v>
      </c>
      <c r="C170" t="s">
        <v>1064</v>
      </c>
      <c r="D170" t="s">
        <v>74</v>
      </c>
      <c r="E170" t="s">
        <v>94</v>
      </c>
      <c r="F170" t="s">
        <v>119</v>
      </c>
      <c r="G170" s="334">
        <v>14.7</v>
      </c>
      <c r="H170" s="334">
        <v>0</v>
      </c>
      <c r="I170" t="s">
        <v>122</v>
      </c>
      <c r="J170" s="4">
        <v>0.35</v>
      </c>
    </row>
    <row r="171" spans="1:10" x14ac:dyDescent="0.3">
      <c r="A171" t="s">
        <v>297</v>
      </c>
      <c r="B171" t="s">
        <v>6</v>
      </c>
      <c r="C171" t="s">
        <v>1064</v>
      </c>
      <c r="D171" t="s">
        <v>74</v>
      </c>
      <c r="E171" t="s">
        <v>94</v>
      </c>
      <c r="F171" t="s">
        <v>119</v>
      </c>
      <c r="G171" s="334">
        <v>4.18</v>
      </c>
      <c r="H171" s="334">
        <v>0</v>
      </c>
      <c r="I171" t="s">
        <v>122</v>
      </c>
      <c r="J171" s="4">
        <v>0.35</v>
      </c>
    </row>
    <row r="172" spans="1:10" x14ac:dyDescent="0.3">
      <c r="A172" t="s">
        <v>298</v>
      </c>
      <c r="B172" t="s">
        <v>6</v>
      </c>
      <c r="C172" t="s">
        <v>1064</v>
      </c>
      <c r="D172" t="s">
        <v>74</v>
      </c>
      <c r="E172" t="s">
        <v>94</v>
      </c>
      <c r="F172" t="s">
        <v>119</v>
      </c>
      <c r="G172" s="334">
        <v>0.52</v>
      </c>
      <c r="H172" s="334">
        <v>0</v>
      </c>
      <c r="I172" t="s">
        <v>122</v>
      </c>
      <c r="J172" s="4">
        <v>0.35</v>
      </c>
    </row>
    <row r="173" spans="1:10" x14ac:dyDescent="0.3">
      <c r="A173" t="s">
        <v>299</v>
      </c>
      <c r="B173" t="s">
        <v>6</v>
      </c>
      <c r="C173" t="s">
        <v>1062</v>
      </c>
      <c r="D173" t="s">
        <v>76</v>
      </c>
      <c r="E173" t="s">
        <v>99</v>
      </c>
      <c r="F173" t="s">
        <v>119</v>
      </c>
      <c r="G173" s="334">
        <v>0.78</v>
      </c>
      <c r="H173" s="334">
        <v>0</v>
      </c>
      <c r="I173" t="s">
        <v>122</v>
      </c>
      <c r="J173" s="4">
        <v>0.35</v>
      </c>
    </row>
    <row r="174" spans="1:10" x14ac:dyDescent="0.3">
      <c r="A174" t="s">
        <v>300</v>
      </c>
      <c r="B174" t="s">
        <v>6</v>
      </c>
      <c r="C174" t="s">
        <v>1057</v>
      </c>
      <c r="D174" t="s">
        <v>78</v>
      </c>
      <c r="E174" t="s">
        <v>101</v>
      </c>
      <c r="F174" t="s">
        <v>119</v>
      </c>
      <c r="G174" s="334">
        <v>0.13</v>
      </c>
      <c r="H174" s="334">
        <v>0</v>
      </c>
      <c r="I174" t="s">
        <v>122</v>
      </c>
      <c r="J174" s="4">
        <v>0.35</v>
      </c>
    </row>
    <row r="175" spans="1:10" x14ac:dyDescent="0.3">
      <c r="A175" t="s">
        <v>301</v>
      </c>
      <c r="B175" t="s">
        <v>6</v>
      </c>
      <c r="C175" t="s">
        <v>1062</v>
      </c>
      <c r="D175" t="s">
        <v>76</v>
      </c>
      <c r="E175" t="s">
        <v>99</v>
      </c>
      <c r="F175" t="s">
        <v>119</v>
      </c>
      <c r="G175" s="334">
        <v>8.0000000000000002E-3</v>
      </c>
      <c r="H175" s="334">
        <v>0</v>
      </c>
      <c r="I175" t="s">
        <v>122</v>
      </c>
      <c r="J175" s="4">
        <v>0.35</v>
      </c>
    </row>
    <row r="176" spans="1:10" x14ac:dyDescent="0.3">
      <c r="A176" t="s">
        <v>302</v>
      </c>
      <c r="B176" t="s">
        <v>6</v>
      </c>
      <c r="C176" t="s">
        <v>104</v>
      </c>
      <c r="D176" t="s">
        <v>78</v>
      </c>
      <c r="E176" t="s">
        <v>102</v>
      </c>
      <c r="F176" t="s">
        <v>119</v>
      </c>
      <c r="G176" s="334">
        <v>7.0000000000000001E-3</v>
      </c>
      <c r="H176" s="334">
        <v>0</v>
      </c>
      <c r="I176" t="s">
        <v>122</v>
      </c>
      <c r="J176" s="4">
        <v>0.35</v>
      </c>
    </row>
    <row r="177" spans="1:10" x14ac:dyDescent="0.3">
      <c r="A177" t="s">
        <v>303</v>
      </c>
      <c r="B177" t="s">
        <v>6</v>
      </c>
      <c r="C177" t="s">
        <v>104</v>
      </c>
      <c r="D177" t="s">
        <v>78</v>
      </c>
      <c r="E177" t="s">
        <v>102</v>
      </c>
      <c r="F177" t="s">
        <v>119</v>
      </c>
      <c r="G177" s="334">
        <v>3.2000000000000001E-2</v>
      </c>
      <c r="H177" s="334">
        <v>0</v>
      </c>
      <c r="I177" t="s">
        <v>122</v>
      </c>
      <c r="J177" s="4">
        <v>0.35</v>
      </c>
    </row>
    <row r="178" spans="1:10" x14ac:dyDescent="0.3">
      <c r="A178" t="s">
        <v>304</v>
      </c>
      <c r="B178" t="s">
        <v>6</v>
      </c>
      <c r="C178" t="s">
        <v>104</v>
      </c>
      <c r="D178" t="s">
        <v>78</v>
      </c>
      <c r="E178" t="s">
        <v>102</v>
      </c>
      <c r="F178" t="s">
        <v>119</v>
      </c>
      <c r="G178" s="334">
        <v>8.1</v>
      </c>
      <c r="H178" s="334">
        <v>0</v>
      </c>
      <c r="I178" t="s">
        <v>122</v>
      </c>
      <c r="J178" s="4">
        <v>0.35</v>
      </c>
    </row>
    <row r="179" spans="1:10" x14ac:dyDescent="0.3">
      <c r="A179" t="s">
        <v>305</v>
      </c>
      <c r="B179" t="s">
        <v>6</v>
      </c>
      <c r="C179" t="s">
        <v>1062</v>
      </c>
      <c r="D179" t="s">
        <v>78</v>
      </c>
      <c r="E179" t="s">
        <v>102</v>
      </c>
      <c r="F179" t="s">
        <v>119</v>
      </c>
      <c r="G179" s="334">
        <v>8.3000000000000004E-2</v>
      </c>
      <c r="H179" s="334">
        <v>0</v>
      </c>
      <c r="I179" t="s">
        <v>122</v>
      </c>
      <c r="J179" s="4">
        <v>0.35</v>
      </c>
    </row>
    <row r="180" spans="1:10" x14ac:dyDescent="0.3">
      <c r="A180" t="s">
        <v>306</v>
      </c>
      <c r="B180" t="s">
        <v>6</v>
      </c>
      <c r="C180" t="s">
        <v>1063</v>
      </c>
      <c r="D180" t="s">
        <v>78</v>
      </c>
      <c r="E180" t="s">
        <v>102</v>
      </c>
      <c r="F180" t="s">
        <v>119</v>
      </c>
      <c r="G180" s="334">
        <v>0.01</v>
      </c>
      <c r="H180" s="334">
        <v>0</v>
      </c>
      <c r="I180" t="s">
        <v>122</v>
      </c>
      <c r="J180" s="4">
        <v>0.35</v>
      </c>
    </row>
    <row r="181" spans="1:10" x14ac:dyDescent="0.3">
      <c r="A181" t="s">
        <v>307</v>
      </c>
      <c r="B181" t="s">
        <v>6</v>
      </c>
      <c r="C181" t="s">
        <v>1057</v>
      </c>
      <c r="D181" t="s">
        <v>78</v>
      </c>
      <c r="E181" t="s">
        <v>102</v>
      </c>
      <c r="F181" t="s">
        <v>119</v>
      </c>
      <c r="G181" s="334">
        <v>1.29</v>
      </c>
      <c r="H181" s="334">
        <v>0</v>
      </c>
      <c r="I181" t="s">
        <v>122</v>
      </c>
      <c r="J181" s="4">
        <v>0.35</v>
      </c>
    </row>
    <row r="182" spans="1:10" x14ac:dyDescent="0.3">
      <c r="A182" t="s">
        <v>308</v>
      </c>
      <c r="B182" t="s">
        <v>6</v>
      </c>
      <c r="C182" t="s">
        <v>1062</v>
      </c>
      <c r="D182" t="s">
        <v>76</v>
      </c>
      <c r="E182" t="s">
        <v>99</v>
      </c>
      <c r="F182" t="s">
        <v>119</v>
      </c>
      <c r="G182" s="334">
        <v>0.18312566400949556</v>
      </c>
      <c r="H182" s="334">
        <v>0</v>
      </c>
      <c r="I182" t="s">
        <v>122</v>
      </c>
      <c r="J182" s="4">
        <v>0.55000000000000004</v>
      </c>
    </row>
    <row r="183" spans="1:10" x14ac:dyDescent="0.3">
      <c r="A183" t="s">
        <v>309</v>
      </c>
      <c r="B183" t="s">
        <v>6</v>
      </c>
      <c r="C183" t="s">
        <v>1062</v>
      </c>
      <c r="D183" t="s">
        <v>76</v>
      </c>
      <c r="E183" t="s">
        <v>99</v>
      </c>
      <c r="F183" t="s">
        <v>119</v>
      </c>
      <c r="G183" s="334">
        <v>0.14942673566235012</v>
      </c>
      <c r="H183" s="334">
        <v>0</v>
      </c>
      <c r="I183" t="s">
        <v>122</v>
      </c>
      <c r="J183" s="4">
        <v>0.55000000000000004</v>
      </c>
    </row>
    <row r="184" spans="1:10" x14ac:dyDescent="0.3">
      <c r="A184" t="s">
        <v>310</v>
      </c>
      <c r="B184" t="s">
        <v>6</v>
      </c>
      <c r="C184" t="s">
        <v>1062</v>
      </c>
      <c r="D184" t="s">
        <v>76</v>
      </c>
      <c r="E184" t="s">
        <v>99</v>
      </c>
      <c r="F184" t="s">
        <v>119</v>
      </c>
      <c r="G184" s="334">
        <v>0.12657655688370223</v>
      </c>
      <c r="H184" s="334">
        <v>0</v>
      </c>
      <c r="I184" t="s">
        <v>122</v>
      </c>
      <c r="J184" s="4">
        <v>0.55000000000000004</v>
      </c>
    </row>
    <row r="185" spans="1:10" x14ac:dyDescent="0.3">
      <c r="A185" t="s">
        <v>311</v>
      </c>
      <c r="B185" t="s">
        <v>6</v>
      </c>
      <c r="C185" t="s">
        <v>1062</v>
      </c>
      <c r="D185" t="s">
        <v>76</v>
      </c>
      <c r="E185" t="s">
        <v>99</v>
      </c>
      <c r="F185" t="s">
        <v>119</v>
      </c>
      <c r="G185" s="334">
        <v>0.11006264951681108</v>
      </c>
      <c r="H185" s="334">
        <v>0</v>
      </c>
      <c r="I185" t="s">
        <v>122</v>
      </c>
      <c r="J185" s="4">
        <v>0.55000000000000004</v>
      </c>
    </row>
    <row r="186" spans="1:10" x14ac:dyDescent="0.3">
      <c r="A186" t="s">
        <v>312</v>
      </c>
      <c r="B186" t="s">
        <v>6</v>
      </c>
      <c r="C186" t="s">
        <v>1062</v>
      </c>
      <c r="D186" t="s">
        <v>76</v>
      </c>
      <c r="E186" t="s">
        <v>99</v>
      </c>
      <c r="F186" t="s">
        <v>119</v>
      </c>
      <c r="G186" s="334">
        <v>0.15707614221767838</v>
      </c>
      <c r="H186" s="334">
        <v>0</v>
      </c>
      <c r="I186" t="s">
        <v>122</v>
      </c>
      <c r="J186" s="4">
        <v>0.55000000000000004</v>
      </c>
    </row>
    <row r="187" spans="1:10" x14ac:dyDescent="0.3">
      <c r="A187" t="s">
        <v>313</v>
      </c>
      <c r="B187" t="s">
        <v>6</v>
      </c>
      <c r="C187" t="s">
        <v>1062</v>
      </c>
      <c r="D187" t="s">
        <v>76</v>
      </c>
      <c r="E187" t="s">
        <v>99</v>
      </c>
      <c r="F187" t="s">
        <v>119</v>
      </c>
      <c r="G187" s="334">
        <v>0.14249360260996677</v>
      </c>
      <c r="H187" s="334">
        <v>0</v>
      </c>
      <c r="I187" t="s">
        <v>122</v>
      </c>
      <c r="J187" s="4">
        <v>0.55000000000000004</v>
      </c>
    </row>
    <row r="188" spans="1:10" x14ac:dyDescent="0.3">
      <c r="A188" t="s">
        <v>314</v>
      </c>
      <c r="B188" t="s">
        <v>6</v>
      </c>
      <c r="C188" t="s">
        <v>1062</v>
      </c>
      <c r="D188" t="s">
        <v>76</v>
      </c>
      <c r="E188" t="s">
        <v>99</v>
      </c>
      <c r="F188" t="s">
        <v>119</v>
      </c>
      <c r="G188" s="334">
        <v>0.12670005625282582</v>
      </c>
      <c r="H188" s="334">
        <v>0</v>
      </c>
      <c r="I188" t="s">
        <v>122</v>
      </c>
      <c r="J188" s="4">
        <v>0.55000000000000004</v>
      </c>
    </row>
    <row r="189" spans="1:10" x14ac:dyDescent="0.3">
      <c r="A189" t="s">
        <v>315</v>
      </c>
      <c r="B189" t="s">
        <v>6</v>
      </c>
      <c r="C189" t="s">
        <v>104</v>
      </c>
      <c r="D189" t="s">
        <v>78</v>
      </c>
      <c r="E189" t="s">
        <v>102</v>
      </c>
      <c r="F189" t="s">
        <v>119</v>
      </c>
      <c r="G189" s="334">
        <v>5.35</v>
      </c>
      <c r="H189" s="334">
        <v>0</v>
      </c>
      <c r="I189" t="s">
        <v>122</v>
      </c>
      <c r="J189" s="4">
        <v>0.35</v>
      </c>
    </row>
    <row r="190" spans="1:10" x14ac:dyDescent="0.3">
      <c r="A190" t="s">
        <v>316</v>
      </c>
      <c r="B190" t="s">
        <v>6</v>
      </c>
      <c r="C190" t="s">
        <v>104</v>
      </c>
      <c r="D190" t="s">
        <v>78</v>
      </c>
      <c r="E190" t="s">
        <v>102</v>
      </c>
      <c r="F190" t="s">
        <v>119</v>
      </c>
      <c r="G190" s="334">
        <v>2.91</v>
      </c>
      <c r="H190" s="334">
        <v>0</v>
      </c>
      <c r="I190" t="s">
        <v>122</v>
      </c>
      <c r="J190" s="4">
        <v>0.35</v>
      </c>
    </row>
    <row r="191" spans="1:10" x14ac:dyDescent="0.3">
      <c r="A191" t="s">
        <v>317</v>
      </c>
      <c r="B191" t="s">
        <v>6</v>
      </c>
      <c r="C191" t="s">
        <v>104</v>
      </c>
      <c r="D191" t="s">
        <v>78</v>
      </c>
      <c r="E191" t="s">
        <v>102</v>
      </c>
      <c r="F191" t="s">
        <v>119</v>
      </c>
      <c r="G191" s="334">
        <v>2.54</v>
      </c>
      <c r="H191" s="334">
        <v>0</v>
      </c>
      <c r="I191" t="s">
        <v>122</v>
      </c>
      <c r="J191" s="4">
        <v>0.35</v>
      </c>
    </row>
    <row r="192" spans="1:10" x14ac:dyDescent="0.3">
      <c r="A192" t="s">
        <v>318</v>
      </c>
      <c r="B192" t="s">
        <v>6</v>
      </c>
      <c r="C192" t="s">
        <v>104</v>
      </c>
      <c r="D192" t="s">
        <v>78</v>
      </c>
      <c r="E192" t="s">
        <v>102</v>
      </c>
      <c r="F192" t="s">
        <v>119</v>
      </c>
      <c r="G192" s="334">
        <v>3.76</v>
      </c>
      <c r="H192" s="334">
        <v>0</v>
      </c>
      <c r="I192" t="s">
        <v>122</v>
      </c>
      <c r="J192" s="4">
        <v>0.35</v>
      </c>
    </row>
    <row r="193" spans="1:10" x14ac:dyDescent="0.3">
      <c r="A193" t="s">
        <v>319</v>
      </c>
      <c r="B193" t="s">
        <v>6</v>
      </c>
      <c r="C193" t="s">
        <v>104</v>
      </c>
      <c r="D193" t="s">
        <v>78</v>
      </c>
      <c r="E193" t="s">
        <v>102</v>
      </c>
      <c r="F193" t="s">
        <v>119</v>
      </c>
      <c r="G193" s="334">
        <v>5.7</v>
      </c>
      <c r="H193" s="334">
        <v>0</v>
      </c>
      <c r="I193" t="s">
        <v>122</v>
      </c>
      <c r="J193" s="4">
        <v>0.35</v>
      </c>
    </row>
    <row r="194" spans="1:10" x14ac:dyDescent="0.3">
      <c r="A194" t="s">
        <v>320</v>
      </c>
      <c r="B194" t="s">
        <v>6</v>
      </c>
      <c r="C194" t="s">
        <v>104</v>
      </c>
      <c r="D194" t="s">
        <v>78</v>
      </c>
      <c r="E194" t="s">
        <v>102</v>
      </c>
      <c r="F194" t="s">
        <v>119</v>
      </c>
      <c r="G194" s="334">
        <v>4.1900000000000004</v>
      </c>
      <c r="H194" s="334">
        <v>0</v>
      </c>
      <c r="I194" t="s">
        <v>122</v>
      </c>
      <c r="J194" s="4">
        <v>0.35</v>
      </c>
    </row>
    <row r="195" spans="1:10" x14ac:dyDescent="0.3">
      <c r="A195" t="s">
        <v>321</v>
      </c>
      <c r="B195" t="s">
        <v>6</v>
      </c>
      <c r="C195" t="s">
        <v>104</v>
      </c>
      <c r="D195" t="s">
        <v>78</v>
      </c>
      <c r="E195" t="s">
        <v>102</v>
      </c>
      <c r="F195" t="s">
        <v>119</v>
      </c>
      <c r="G195" s="334">
        <v>2.98</v>
      </c>
      <c r="H195" s="334">
        <v>0</v>
      </c>
      <c r="I195" t="s">
        <v>122</v>
      </c>
      <c r="J195" s="4">
        <v>0.35</v>
      </c>
    </row>
    <row r="196" spans="1:10" x14ac:dyDescent="0.3">
      <c r="A196" t="s">
        <v>322</v>
      </c>
      <c r="B196" t="s">
        <v>6</v>
      </c>
      <c r="C196" t="s">
        <v>104</v>
      </c>
      <c r="D196" t="s">
        <v>78</v>
      </c>
      <c r="E196" t="s">
        <v>102</v>
      </c>
      <c r="F196" t="s">
        <v>119</v>
      </c>
      <c r="G196" s="334">
        <v>2.76</v>
      </c>
      <c r="H196" s="334">
        <v>0</v>
      </c>
      <c r="I196" t="s">
        <v>122</v>
      </c>
      <c r="J196" s="4">
        <v>0.35</v>
      </c>
    </row>
    <row r="197" spans="1:10" x14ac:dyDescent="0.3">
      <c r="A197" t="s">
        <v>323</v>
      </c>
      <c r="B197" t="s">
        <v>6</v>
      </c>
      <c r="C197" t="s">
        <v>1061</v>
      </c>
      <c r="D197" t="s">
        <v>76</v>
      </c>
      <c r="E197" t="s">
        <v>101</v>
      </c>
      <c r="F197" t="s">
        <v>119</v>
      </c>
      <c r="G197" s="334">
        <v>0.13</v>
      </c>
      <c r="H197" s="334">
        <v>0</v>
      </c>
      <c r="I197" t="s">
        <v>122</v>
      </c>
      <c r="J197" s="4">
        <v>0.35</v>
      </c>
    </row>
    <row r="198" spans="1:10" x14ac:dyDescent="0.3">
      <c r="A198" t="s">
        <v>396</v>
      </c>
      <c r="B198" t="s">
        <v>6</v>
      </c>
      <c r="C198" t="s">
        <v>1061</v>
      </c>
      <c r="D198" t="s">
        <v>76</v>
      </c>
      <c r="E198" t="s">
        <v>101</v>
      </c>
      <c r="F198" t="s">
        <v>119</v>
      </c>
      <c r="G198" s="334">
        <v>0.21709373174192473</v>
      </c>
      <c r="H198" s="334">
        <v>0</v>
      </c>
      <c r="I198" t="s">
        <v>221</v>
      </c>
      <c r="J198" s="4">
        <v>0.35</v>
      </c>
    </row>
    <row r="199" spans="1:10" x14ac:dyDescent="0.3">
      <c r="A199" t="s">
        <v>325</v>
      </c>
      <c r="B199" t="s">
        <v>6</v>
      </c>
      <c r="C199" t="s">
        <v>1065</v>
      </c>
      <c r="D199" t="s">
        <v>75</v>
      </c>
      <c r="E199" t="s">
        <v>103</v>
      </c>
      <c r="F199" t="s">
        <v>119</v>
      </c>
      <c r="G199" s="334">
        <v>3.31</v>
      </c>
      <c r="H199" s="334">
        <v>0</v>
      </c>
      <c r="I199" t="s">
        <v>122</v>
      </c>
      <c r="J199" s="4">
        <v>0.35</v>
      </c>
    </row>
    <row r="200" spans="1:10" x14ac:dyDescent="0.3">
      <c r="A200" t="s">
        <v>326</v>
      </c>
      <c r="B200" t="s">
        <v>6</v>
      </c>
      <c r="C200" t="s">
        <v>1065</v>
      </c>
      <c r="D200" t="s">
        <v>75</v>
      </c>
      <c r="E200" t="s">
        <v>103</v>
      </c>
      <c r="F200" t="s">
        <v>119</v>
      </c>
      <c r="G200" s="334">
        <v>3.76</v>
      </c>
      <c r="H200" s="334">
        <v>0</v>
      </c>
      <c r="I200" t="s">
        <v>122</v>
      </c>
      <c r="J200" s="4">
        <v>0.35</v>
      </c>
    </row>
    <row r="201" spans="1:10" x14ac:dyDescent="0.3">
      <c r="A201" t="s">
        <v>327</v>
      </c>
      <c r="B201" t="s">
        <v>6</v>
      </c>
      <c r="C201" t="s">
        <v>1065</v>
      </c>
      <c r="D201" t="s">
        <v>75</v>
      </c>
      <c r="E201" t="s">
        <v>103</v>
      </c>
      <c r="F201" t="s">
        <v>119</v>
      </c>
      <c r="G201" s="334">
        <v>2.54</v>
      </c>
      <c r="H201" s="334">
        <v>0</v>
      </c>
      <c r="I201" t="s">
        <v>122</v>
      </c>
      <c r="J201" s="4">
        <v>0.35</v>
      </c>
    </row>
    <row r="202" spans="1:10" x14ac:dyDescent="0.3">
      <c r="A202" t="s">
        <v>328</v>
      </c>
      <c r="B202" t="s">
        <v>6</v>
      </c>
      <c r="C202" t="s">
        <v>1065</v>
      </c>
      <c r="D202" t="s">
        <v>75</v>
      </c>
      <c r="E202" t="s">
        <v>103</v>
      </c>
      <c r="F202" t="s">
        <v>119</v>
      </c>
      <c r="G202" s="334">
        <v>1.93</v>
      </c>
      <c r="H202" s="334">
        <v>0</v>
      </c>
      <c r="I202" t="s">
        <v>122</v>
      </c>
      <c r="J202" s="4">
        <v>0.35</v>
      </c>
    </row>
    <row r="203" spans="1:10" x14ac:dyDescent="0.3">
      <c r="A203" t="s">
        <v>329</v>
      </c>
      <c r="B203" t="s">
        <v>6</v>
      </c>
      <c r="C203" t="s">
        <v>1065</v>
      </c>
      <c r="D203" t="s">
        <v>75</v>
      </c>
      <c r="E203" t="s">
        <v>103</v>
      </c>
      <c r="F203" t="s">
        <v>119</v>
      </c>
      <c r="G203" s="334">
        <v>2.52</v>
      </c>
      <c r="H203" s="334">
        <v>0</v>
      </c>
      <c r="I203" t="s">
        <v>122</v>
      </c>
      <c r="J203" s="4">
        <v>0.35</v>
      </c>
    </row>
    <row r="204" spans="1:10" x14ac:dyDescent="0.3">
      <c r="A204" t="s">
        <v>330</v>
      </c>
      <c r="B204" t="s">
        <v>6</v>
      </c>
      <c r="C204" t="s">
        <v>1065</v>
      </c>
      <c r="D204" t="s">
        <v>75</v>
      </c>
      <c r="E204" t="s">
        <v>103</v>
      </c>
      <c r="F204" t="s">
        <v>119</v>
      </c>
      <c r="G204" s="334">
        <v>2.08</v>
      </c>
      <c r="H204" s="334">
        <v>0</v>
      </c>
      <c r="I204" t="s">
        <v>122</v>
      </c>
      <c r="J204" s="4">
        <v>0.35</v>
      </c>
    </row>
    <row r="205" spans="1:10" x14ac:dyDescent="0.3">
      <c r="A205" t="s">
        <v>331</v>
      </c>
      <c r="B205" t="s">
        <v>6</v>
      </c>
      <c r="C205" t="s">
        <v>1065</v>
      </c>
      <c r="D205" t="s">
        <v>75</v>
      </c>
      <c r="E205" t="s">
        <v>103</v>
      </c>
      <c r="F205" t="s">
        <v>119</v>
      </c>
      <c r="G205" s="334">
        <v>2.6</v>
      </c>
      <c r="H205" s="334">
        <v>0</v>
      </c>
      <c r="I205" t="s">
        <v>122</v>
      </c>
      <c r="J205" s="4">
        <v>0.35</v>
      </c>
    </row>
    <row r="206" spans="1:10" x14ac:dyDescent="0.3">
      <c r="A206" t="s">
        <v>332</v>
      </c>
      <c r="B206" t="s">
        <v>6</v>
      </c>
      <c r="C206" t="s">
        <v>1065</v>
      </c>
      <c r="D206" t="s">
        <v>75</v>
      </c>
      <c r="E206" t="s">
        <v>103</v>
      </c>
      <c r="F206" t="s">
        <v>119</v>
      </c>
      <c r="G206" s="334">
        <v>9.14</v>
      </c>
      <c r="H206" s="334">
        <v>0</v>
      </c>
      <c r="I206" t="s">
        <v>122</v>
      </c>
      <c r="J206" s="4">
        <v>0.35</v>
      </c>
    </row>
    <row r="207" spans="1:10" x14ac:dyDescent="0.3">
      <c r="A207" t="s">
        <v>333</v>
      </c>
      <c r="B207" t="s">
        <v>6</v>
      </c>
      <c r="C207" t="s">
        <v>1065</v>
      </c>
      <c r="D207" t="s">
        <v>75</v>
      </c>
      <c r="E207" t="s">
        <v>103</v>
      </c>
      <c r="F207" t="s">
        <v>119</v>
      </c>
      <c r="G207" s="334">
        <v>7.92</v>
      </c>
      <c r="H207" s="334">
        <v>0</v>
      </c>
      <c r="I207" t="s">
        <v>122</v>
      </c>
      <c r="J207" s="4">
        <v>0.35</v>
      </c>
    </row>
    <row r="208" spans="1:10" x14ac:dyDescent="0.3">
      <c r="A208" t="s">
        <v>334</v>
      </c>
      <c r="B208" t="s">
        <v>6</v>
      </c>
      <c r="C208" t="s">
        <v>1065</v>
      </c>
      <c r="D208" t="s">
        <v>75</v>
      </c>
      <c r="E208" t="s">
        <v>103</v>
      </c>
      <c r="F208" t="s">
        <v>119</v>
      </c>
      <c r="G208" s="334">
        <v>7.62</v>
      </c>
      <c r="H208" s="334">
        <v>0</v>
      </c>
      <c r="I208" t="s">
        <v>122</v>
      </c>
      <c r="J208" s="4">
        <v>0.35</v>
      </c>
    </row>
    <row r="209" spans="1:10" x14ac:dyDescent="0.3">
      <c r="A209" t="s">
        <v>335</v>
      </c>
      <c r="B209" t="s">
        <v>6</v>
      </c>
      <c r="C209" t="s">
        <v>1065</v>
      </c>
      <c r="D209" t="s">
        <v>75</v>
      </c>
      <c r="E209" t="s">
        <v>103</v>
      </c>
      <c r="F209" t="s">
        <v>119</v>
      </c>
      <c r="G209" s="334">
        <v>3.43</v>
      </c>
      <c r="H209" s="334">
        <v>0</v>
      </c>
      <c r="I209" t="s">
        <v>122</v>
      </c>
      <c r="J209" s="4">
        <v>0.35</v>
      </c>
    </row>
    <row r="210" spans="1:10" x14ac:dyDescent="0.3">
      <c r="A210" t="s">
        <v>336</v>
      </c>
      <c r="B210" t="s">
        <v>6</v>
      </c>
      <c r="C210" t="s">
        <v>1065</v>
      </c>
      <c r="D210" t="s">
        <v>75</v>
      </c>
      <c r="E210" t="s">
        <v>103</v>
      </c>
      <c r="F210" t="s">
        <v>119</v>
      </c>
      <c r="G210" s="334">
        <v>4.49</v>
      </c>
      <c r="H210" s="334">
        <v>0</v>
      </c>
      <c r="I210" t="s">
        <v>122</v>
      </c>
      <c r="J210" s="4">
        <v>0.35</v>
      </c>
    </row>
    <row r="211" spans="1:10" x14ac:dyDescent="0.3">
      <c r="A211" t="s">
        <v>337</v>
      </c>
      <c r="B211" t="s">
        <v>6</v>
      </c>
      <c r="C211" t="s">
        <v>1065</v>
      </c>
      <c r="D211" t="s">
        <v>75</v>
      </c>
      <c r="E211" t="s">
        <v>103</v>
      </c>
      <c r="F211" t="s">
        <v>119</v>
      </c>
      <c r="G211" s="334">
        <v>3.29</v>
      </c>
      <c r="H211" s="334">
        <v>0</v>
      </c>
      <c r="I211" t="s">
        <v>122</v>
      </c>
      <c r="J211" s="4">
        <v>0.35</v>
      </c>
    </row>
    <row r="212" spans="1:10" x14ac:dyDescent="0.3">
      <c r="A212" t="s">
        <v>338</v>
      </c>
      <c r="B212" t="s">
        <v>6</v>
      </c>
      <c r="C212" t="s">
        <v>1065</v>
      </c>
      <c r="D212" t="s">
        <v>75</v>
      </c>
      <c r="E212" t="s">
        <v>103</v>
      </c>
      <c r="F212" t="s">
        <v>119</v>
      </c>
      <c r="G212" s="334">
        <v>3.43</v>
      </c>
      <c r="H212" s="334">
        <v>0</v>
      </c>
      <c r="I212" t="s">
        <v>122</v>
      </c>
      <c r="J212" s="4">
        <v>0.35</v>
      </c>
    </row>
    <row r="213" spans="1:10" x14ac:dyDescent="0.3">
      <c r="A213" t="s">
        <v>339</v>
      </c>
      <c r="B213" t="s">
        <v>6</v>
      </c>
      <c r="C213" t="s">
        <v>1065</v>
      </c>
      <c r="D213" t="s">
        <v>75</v>
      </c>
      <c r="E213" t="s">
        <v>103</v>
      </c>
      <c r="F213" t="s">
        <v>119</v>
      </c>
      <c r="G213" s="334">
        <v>3.42</v>
      </c>
      <c r="H213" s="334">
        <v>0</v>
      </c>
      <c r="I213" t="s">
        <v>122</v>
      </c>
      <c r="J213" s="4">
        <v>0.35</v>
      </c>
    </row>
    <row r="214" spans="1:10" x14ac:dyDescent="0.3">
      <c r="A214" t="s">
        <v>340</v>
      </c>
      <c r="B214" t="s">
        <v>6</v>
      </c>
      <c r="C214" t="s">
        <v>1065</v>
      </c>
      <c r="D214" t="s">
        <v>75</v>
      </c>
      <c r="E214" t="s">
        <v>103</v>
      </c>
      <c r="F214" t="s">
        <v>119</v>
      </c>
      <c r="G214" s="334">
        <v>4.3899999999999997</v>
      </c>
      <c r="H214" s="334">
        <v>0</v>
      </c>
      <c r="I214" t="s">
        <v>122</v>
      </c>
      <c r="J214" s="4">
        <v>0.35</v>
      </c>
    </row>
    <row r="215" spans="1:10" x14ac:dyDescent="0.3">
      <c r="A215" t="s">
        <v>341</v>
      </c>
      <c r="B215" t="s">
        <v>6</v>
      </c>
      <c r="C215" t="s">
        <v>1065</v>
      </c>
      <c r="D215" t="s">
        <v>75</v>
      </c>
      <c r="E215" t="s">
        <v>103</v>
      </c>
      <c r="F215" t="s">
        <v>119</v>
      </c>
      <c r="G215" s="334">
        <v>4.84</v>
      </c>
      <c r="H215" s="334">
        <v>0</v>
      </c>
      <c r="I215" t="s">
        <v>122</v>
      </c>
      <c r="J215" s="4">
        <v>0.35</v>
      </c>
    </row>
    <row r="216" spans="1:10" x14ac:dyDescent="0.3">
      <c r="A216" t="s">
        <v>342</v>
      </c>
      <c r="B216" t="s">
        <v>6</v>
      </c>
      <c r="C216" t="s">
        <v>1065</v>
      </c>
      <c r="D216" t="s">
        <v>75</v>
      </c>
      <c r="E216" t="s">
        <v>103</v>
      </c>
      <c r="F216" t="s">
        <v>119</v>
      </c>
      <c r="G216" s="334">
        <v>4.26</v>
      </c>
      <c r="H216" s="334">
        <v>0</v>
      </c>
      <c r="I216" t="s">
        <v>122</v>
      </c>
      <c r="J216" s="4">
        <v>0.35</v>
      </c>
    </row>
    <row r="217" spans="1:10" x14ac:dyDescent="0.3">
      <c r="A217" t="s">
        <v>343</v>
      </c>
      <c r="B217" t="s">
        <v>6</v>
      </c>
      <c r="C217" t="s">
        <v>1065</v>
      </c>
      <c r="D217" t="s">
        <v>75</v>
      </c>
      <c r="E217" t="s">
        <v>103</v>
      </c>
      <c r="F217" t="s">
        <v>119</v>
      </c>
      <c r="G217" s="334">
        <v>3.1</v>
      </c>
      <c r="H217" s="334">
        <v>0</v>
      </c>
      <c r="I217" t="s">
        <v>122</v>
      </c>
      <c r="J217" s="4">
        <v>0.35</v>
      </c>
    </row>
    <row r="218" spans="1:10" x14ac:dyDescent="0.3">
      <c r="A218" t="s">
        <v>344</v>
      </c>
      <c r="B218" t="s">
        <v>6</v>
      </c>
      <c r="C218" t="s">
        <v>1065</v>
      </c>
      <c r="D218" t="s">
        <v>75</v>
      </c>
      <c r="E218" t="s">
        <v>103</v>
      </c>
      <c r="F218" t="s">
        <v>119</v>
      </c>
      <c r="G218" s="334">
        <v>3.23</v>
      </c>
      <c r="H218" s="334">
        <v>0</v>
      </c>
      <c r="I218" t="s">
        <v>122</v>
      </c>
      <c r="J218" s="4">
        <v>0.35</v>
      </c>
    </row>
    <row r="219" spans="1:10" x14ac:dyDescent="0.3">
      <c r="A219" t="s">
        <v>345</v>
      </c>
      <c r="B219" t="s">
        <v>6</v>
      </c>
      <c r="C219" t="s">
        <v>1065</v>
      </c>
      <c r="D219" t="s">
        <v>75</v>
      </c>
      <c r="E219" t="s">
        <v>103</v>
      </c>
      <c r="F219" t="s">
        <v>119</v>
      </c>
      <c r="G219" s="334">
        <v>3.19</v>
      </c>
      <c r="H219" s="334">
        <v>0</v>
      </c>
      <c r="I219" t="s">
        <v>122</v>
      </c>
      <c r="J219" s="4">
        <v>0.35</v>
      </c>
    </row>
    <row r="220" spans="1:10" x14ac:dyDescent="0.3">
      <c r="A220" t="s">
        <v>346</v>
      </c>
      <c r="B220" t="s">
        <v>6</v>
      </c>
      <c r="C220" t="s">
        <v>1065</v>
      </c>
      <c r="D220" t="s">
        <v>75</v>
      </c>
      <c r="E220" t="s">
        <v>103</v>
      </c>
      <c r="F220" t="s">
        <v>119</v>
      </c>
      <c r="G220" s="334">
        <v>3.3</v>
      </c>
      <c r="H220" s="334">
        <v>0</v>
      </c>
      <c r="I220" t="s">
        <v>122</v>
      </c>
      <c r="J220" s="4">
        <v>0.35</v>
      </c>
    </row>
    <row r="221" spans="1:10" x14ac:dyDescent="0.3">
      <c r="A221" t="s">
        <v>347</v>
      </c>
      <c r="B221" t="s">
        <v>6</v>
      </c>
      <c r="C221" t="s">
        <v>1065</v>
      </c>
      <c r="D221" t="s">
        <v>75</v>
      </c>
      <c r="E221" t="s">
        <v>103</v>
      </c>
      <c r="F221" t="s">
        <v>119</v>
      </c>
      <c r="G221" s="334">
        <v>3.16</v>
      </c>
      <c r="H221" s="334">
        <v>0</v>
      </c>
      <c r="I221" t="s">
        <v>122</v>
      </c>
      <c r="J221" s="4">
        <v>0.35</v>
      </c>
    </row>
    <row r="222" spans="1:10" x14ac:dyDescent="0.3">
      <c r="A222" t="s">
        <v>348</v>
      </c>
      <c r="B222" t="s">
        <v>6</v>
      </c>
      <c r="C222" t="s">
        <v>1075</v>
      </c>
      <c r="D222" t="s">
        <v>78</v>
      </c>
      <c r="E222" t="s">
        <v>102</v>
      </c>
      <c r="F222" t="s">
        <v>119</v>
      </c>
      <c r="G222" s="334">
        <v>2.7</v>
      </c>
      <c r="H222" s="334">
        <v>0</v>
      </c>
      <c r="I222" t="s">
        <v>122</v>
      </c>
      <c r="J222" s="4">
        <v>0.35</v>
      </c>
    </row>
    <row r="223" spans="1:10" x14ac:dyDescent="0.3">
      <c r="A223" t="s">
        <v>349</v>
      </c>
      <c r="B223" t="s">
        <v>6</v>
      </c>
      <c r="C223" t="s">
        <v>1075</v>
      </c>
      <c r="D223" t="s">
        <v>78</v>
      </c>
      <c r="E223" t="s">
        <v>102</v>
      </c>
      <c r="F223" t="s">
        <v>119</v>
      </c>
      <c r="G223" s="334">
        <v>0.3</v>
      </c>
      <c r="H223" s="334">
        <v>0</v>
      </c>
      <c r="I223" t="s">
        <v>122</v>
      </c>
      <c r="J223" s="4">
        <v>0.35</v>
      </c>
    </row>
    <row r="224" spans="1:10" x14ac:dyDescent="0.3">
      <c r="A224" t="s">
        <v>350</v>
      </c>
      <c r="B224" t="s">
        <v>6</v>
      </c>
      <c r="C224" t="s">
        <v>104</v>
      </c>
      <c r="D224" t="s">
        <v>78</v>
      </c>
      <c r="E224" t="s">
        <v>102</v>
      </c>
      <c r="F224" t="s">
        <v>119</v>
      </c>
      <c r="G224" s="334">
        <v>2.85</v>
      </c>
      <c r="H224" s="334">
        <v>0</v>
      </c>
      <c r="I224" t="s">
        <v>122</v>
      </c>
      <c r="J224" s="4">
        <v>0.35</v>
      </c>
    </row>
    <row r="225" spans="1:10" x14ac:dyDescent="0.3">
      <c r="A225" t="s">
        <v>351</v>
      </c>
      <c r="B225" t="s">
        <v>6</v>
      </c>
      <c r="C225" t="s">
        <v>104</v>
      </c>
      <c r="D225" t="s">
        <v>79</v>
      </c>
      <c r="E225" t="s">
        <v>104</v>
      </c>
      <c r="F225" t="s">
        <v>119</v>
      </c>
      <c r="G225" s="334">
        <v>2.4E-2</v>
      </c>
      <c r="H225" s="334">
        <v>0</v>
      </c>
      <c r="I225" t="s">
        <v>122</v>
      </c>
      <c r="J225" s="4">
        <v>0.35</v>
      </c>
    </row>
    <row r="226" spans="1:10" x14ac:dyDescent="0.3">
      <c r="A226" t="s">
        <v>352</v>
      </c>
      <c r="B226" t="s">
        <v>6</v>
      </c>
      <c r="C226" t="s">
        <v>104</v>
      </c>
      <c r="D226" t="s">
        <v>79</v>
      </c>
      <c r="E226" t="s">
        <v>104</v>
      </c>
      <c r="F226" t="s">
        <v>119</v>
      </c>
      <c r="G226" s="334">
        <v>6.0999999999999999E-2</v>
      </c>
      <c r="H226" s="334">
        <v>0</v>
      </c>
      <c r="I226" t="s">
        <v>122</v>
      </c>
      <c r="J226" s="4">
        <v>0.35</v>
      </c>
    </row>
    <row r="227" spans="1:10" x14ac:dyDescent="0.3">
      <c r="A227" t="s">
        <v>353</v>
      </c>
      <c r="B227" t="s">
        <v>6</v>
      </c>
      <c r="C227" t="s">
        <v>104</v>
      </c>
      <c r="D227" t="s">
        <v>79</v>
      </c>
      <c r="E227" t="s">
        <v>104</v>
      </c>
      <c r="F227" t="s">
        <v>119</v>
      </c>
      <c r="G227" s="334">
        <v>8.4000000000000005E-2</v>
      </c>
      <c r="H227" s="334">
        <v>0</v>
      </c>
      <c r="I227" t="s">
        <v>122</v>
      </c>
      <c r="J227" s="4">
        <v>0.35</v>
      </c>
    </row>
    <row r="228" spans="1:10" x14ac:dyDescent="0.3">
      <c r="A228" t="s">
        <v>354</v>
      </c>
      <c r="B228" t="s">
        <v>6</v>
      </c>
      <c r="C228" t="s">
        <v>104</v>
      </c>
      <c r="D228" t="s">
        <v>79</v>
      </c>
      <c r="E228" t="s">
        <v>104</v>
      </c>
      <c r="F228" t="s">
        <v>119</v>
      </c>
      <c r="G228" s="334">
        <v>4.7E-2</v>
      </c>
      <c r="H228" s="334">
        <v>0</v>
      </c>
      <c r="I228" t="s">
        <v>122</v>
      </c>
      <c r="J228" s="4">
        <v>0.35</v>
      </c>
    </row>
    <row r="229" spans="1:10" x14ac:dyDescent="0.3">
      <c r="A229" t="s">
        <v>355</v>
      </c>
      <c r="B229" t="s">
        <v>6</v>
      </c>
      <c r="C229" t="s">
        <v>104</v>
      </c>
      <c r="D229" t="s">
        <v>79</v>
      </c>
      <c r="E229" t="s">
        <v>104</v>
      </c>
      <c r="F229" t="s">
        <v>119</v>
      </c>
      <c r="G229" s="334">
        <v>4.1000000000000002E-2</v>
      </c>
      <c r="H229" s="334">
        <v>0</v>
      </c>
      <c r="I229" t="s">
        <v>122</v>
      </c>
      <c r="J229" s="4">
        <v>0.35</v>
      </c>
    </row>
    <row r="230" spans="1:10" x14ac:dyDescent="0.3">
      <c r="A230" t="s">
        <v>356</v>
      </c>
      <c r="B230" t="s">
        <v>6</v>
      </c>
      <c r="C230" t="s">
        <v>386</v>
      </c>
      <c r="D230" t="s">
        <v>79</v>
      </c>
      <c r="E230" t="s">
        <v>104</v>
      </c>
      <c r="F230" t="s">
        <v>119</v>
      </c>
      <c r="G230" s="334">
        <v>7.9000000000000001E-2</v>
      </c>
      <c r="H230" s="334">
        <v>0</v>
      </c>
      <c r="I230" t="s">
        <v>122</v>
      </c>
      <c r="J230" s="4">
        <v>0.35</v>
      </c>
    </row>
    <row r="231" spans="1:10" x14ac:dyDescent="0.3">
      <c r="A231" t="s">
        <v>357</v>
      </c>
      <c r="B231" t="s">
        <v>6</v>
      </c>
      <c r="C231" t="s">
        <v>386</v>
      </c>
      <c r="D231" t="s">
        <v>79</v>
      </c>
      <c r="E231" t="s">
        <v>104</v>
      </c>
      <c r="F231" t="s">
        <v>119</v>
      </c>
      <c r="G231" s="334">
        <v>0.7</v>
      </c>
      <c r="H231" s="334">
        <v>0</v>
      </c>
      <c r="I231" t="s">
        <v>122</v>
      </c>
      <c r="J231" s="4">
        <v>0.35</v>
      </c>
    </row>
    <row r="232" spans="1:10" x14ac:dyDescent="0.3">
      <c r="A232" t="s">
        <v>358</v>
      </c>
      <c r="B232" t="s">
        <v>6</v>
      </c>
      <c r="C232" t="s">
        <v>386</v>
      </c>
      <c r="D232" t="s">
        <v>79</v>
      </c>
      <c r="E232" t="s">
        <v>104</v>
      </c>
      <c r="F232" t="s">
        <v>119</v>
      </c>
      <c r="G232" s="334">
        <v>0.09</v>
      </c>
      <c r="H232" s="334">
        <v>0</v>
      </c>
      <c r="I232" t="s">
        <v>122</v>
      </c>
      <c r="J232" s="4">
        <v>0.35</v>
      </c>
    </row>
    <row r="233" spans="1:10" x14ac:dyDescent="0.3">
      <c r="A233" t="s">
        <v>359</v>
      </c>
      <c r="B233" t="s">
        <v>6</v>
      </c>
      <c r="C233" t="s">
        <v>386</v>
      </c>
      <c r="D233" t="s">
        <v>79</v>
      </c>
      <c r="E233" t="s">
        <v>104</v>
      </c>
      <c r="F233" t="s">
        <v>119</v>
      </c>
      <c r="G233" s="334">
        <v>0.13</v>
      </c>
      <c r="H233" s="334">
        <v>0</v>
      </c>
      <c r="I233" t="s">
        <v>122</v>
      </c>
      <c r="J233" s="4">
        <v>0.35</v>
      </c>
    </row>
    <row r="234" spans="1:10" x14ac:dyDescent="0.3">
      <c r="A234" t="s">
        <v>360</v>
      </c>
      <c r="B234" t="s">
        <v>6</v>
      </c>
      <c r="C234" t="s">
        <v>386</v>
      </c>
      <c r="D234" t="s">
        <v>79</v>
      </c>
      <c r="E234" t="s">
        <v>104</v>
      </c>
      <c r="F234" t="s">
        <v>119</v>
      </c>
      <c r="G234" s="334">
        <v>0.21</v>
      </c>
      <c r="H234" s="334">
        <v>0</v>
      </c>
      <c r="I234" t="s">
        <v>122</v>
      </c>
      <c r="J234" s="4">
        <v>0.35</v>
      </c>
    </row>
    <row r="235" spans="1:10" x14ac:dyDescent="0.3">
      <c r="A235" t="s">
        <v>361</v>
      </c>
      <c r="B235" t="s">
        <v>6</v>
      </c>
      <c r="C235" t="s">
        <v>386</v>
      </c>
      <c r="D235" t="s">
        <v>79</v>
      </c>
      <c r="E235" t="s">
        <v>104</v>
      </c>
      <c r="F235" t="s">
        <v>119</v>
      </c>
      <c r="G235" s="334">
        <v>0.06</v>
      </c>
      <c r="H235" s="334">
        <v>0</v>
      </c>
      <c r="I235" t="s">
        <v>122</v>
      </c>
      <c r="J235" s="4">
        <v>0.35</v>
      </c>
    </row>
    <row r="236" spans="1:10" x14ac:dyDescent="0.3">
      <c r="A236" t="s">
        <v>362</v>
      </c>
      <c r="B236" t="s">
        <v>6</v>
      </c>
      <c r="C236" t="s">
        <v>386</v>
      </c>
      <c r="D236" t="s">
        <v>79</v>
      </c>
      <c r="E236" t="s">
        <v>104</v>
      </c>
      <c r="F236" t="s">
        <v>119</v>
      </c>
      <c r="G236" s="334">
        <v>2E-3</v>
      </c>
      <c r="H236" s="334">
        <v>0</v>
      </c>
      <c r="I236" t="s">
        <v>122</v>
      </c>
      <c r="J236" s="4">
        <v>0.35</v>
      </c>
    </row>
    <row r="237" spans="1:10" x14ac:dyDescent="0.3">
      <c r="A237" t="s">
        <v>1588</v>
      </c>
      <c r="B237" t="s">
        <v>6</v>
      </c>
      <c r="C237" t="s">
        <v>386</v>
      </c>
      <c r="D237" t="s">
        <v>79</v>
      </c>
      <c r="E237" t="s">
        <v>104</v>
      </c>
      <c r="F237" t="s">
        <v>119</v>
      </c>
      <c r="G237" s="334">
        <v>0.19606516290726814</v>
      </c>
      <c r="H237" s="334">
        <v>0</v>
      </c>
      <c r="I237" t="s">
        <v>221</v>
      </c>
      <c r="J237" s="4">
        <v>0.35</v>
      </c>
    </row>
    <row r="238" spans="1:10" x14ac:dyDescent="0.3">
      <c r="A238" t="s">
        <v>364</v>
      </c>
      <c r="B238" t="s">
        <v>6</v>
      </c>
      <c r="C238" t="s">
        <v>1076</v>
      </c>
      <c r="D238" t="s">
        <v>75</v>
      </c>
      <c r="E238" t="s">
        <v>95</v>
      </c>
      <c r="F238" t="s">
        <v>119</v>
      </c>
      <c r="G238" s="334">
        <v>0.22510822510822512</v>
      </c>
      <c r="H238" s="334">
        <v>-1.59307359307359</v>
      </c>
      <c r="I238" t="s">
        <v>120</v>
      </c>
      <c r="J238" s="4">
        <v>0.55000000000000004</v>
      </c>
    </row>
    <row r="239" spans="1:10" x14ac:dyDescent="0.3">
      <c r="A239" t="s">
        <v>365</v>
      </c>
      <c r="B239" t="s">
        <v>6</v>
      </c>
      <c r="C239" t="s">
        <v>1076</v>
      </c>
      <c r="D239" t="s">
        <v>75</v>
      </c>
      <c r="E239" t="s">
        <v>95</v>
      </c>
      <c r="F239" t="s">
        <v>119</v>
      </c>
      <c r="G239" s="334">
        <v>6.3076923076923072E-2</v>
      </c>
      <c r="H239" s="334">
        <v>-1.5714285714285701</v>
      </c>
      <c r="I239" t="s">
        <v>120</v>
      </c>
      <c r="J239" s="4">
        <v>0.55000000000000004</v>
      </c>
    </row>
    <row r="240" spans="1:10" x14ac:dyDescent="0.3">
      <c r="A240" t="s">
        <v>1462</v>
      </c>
      <c r="B240" t="s">
        <v>6</v>
      </c>
      <c r="C240" t="s">
        <v>1076</v>
      </c>
      <c r="D240" t="s">
        <v>75</v>
      </c>
      <c r="E240" t="s">
        <v>95</v>
      </c>
      <c r="F240" t="s">
        <v>119</v>
      </c>
      <c r="G240" s="334">
        <v>0.49282614286872206</v>
      </c>
      <c r="H240" s="334">
        <v>-1.5237189224149177</v>
      </c>
      <c r="I240" t="s">
        <v>122</v>
      </c>
      <c r="J240" s="4">
        <v>0.55000000000000004</v>
      </c>
    </row>
    <row r="241" spans="1:12" x14ac:dyDescent="0.3">
      <c r="A241" t="s">
        <v>1463</v>
      </c>
      <c r="B241" t="s">
        <v>6</v>
      </c>
      <c r="C241" t="s">
        <v>1076</v>
      </c>
      <c r="D241" t="s">
        <v>75</v>
      </c>
      <c r="E241" t="s">
        <v>95</v>
      </c>
      <c r="F241" t="s">
        <v>119</v>
      </c>
      <c r="G241" s="334">
        <v>0.45245901639344255</v>
      </c>
      <c r="H241" s="334">
        <v>-1.5540983606557377</v>
      </c>
      <c r="I241" t="s">
        <v>122</v>
      </c>
      <c r="J241" s="4">
        <v>0.55000000000000004</v>
      </c>
    </row>
    <row r="242" spans="1:12" x14ac:dyDescent="0.3">
      <c r="A242" t="s">
        <v>1464</v>
      </c>
      <c r="B242" t="s">
        <v>6</v>
      </c>
      <c r="C242" t="s">
        <v>1076</v>
      </c>
      <c r="D242" t="s">
        <v>75</v>
      </c>
      <c r="E242" t="s">
        <v>95</v>
      </c>
      <c r="F242" t="s">
        <v>119</v>
      </c>
      <c r="G242" s="334">
        <v>0.43734447866547277</v>
      </c>
      <c r="H242" s="334">
        <v>-1.6414139575091937</v>
      </c>
      <c r="I242" t="s">
        <v>122</v>
      </c>
      <c r="J242" s="4">
        <v>0.55000000000000004</v>
      </c>
    </row>
    <row r="243" spans="1:12" x14ac:dyDescent="0.3">
      <c r="A243" t="s">
        <v>1465</v>
      </c>
      <c r="B243" t="s">
        <v>6</v>
      </c>
      <c r="C243" t="s">
        <v>1076</v>
      </c>
      <c r="D243" t="s">
        <v>75</v>
      </c>
      <c r="E243" t="s">
        <v>95</v>
      </c>
      <c r="F243" t="s">
        <v>119</v>
      </c>
      <c r="G243" s="334">
        <v>0.71530650204376089</v>
      </c>
      <c r="H243" s="334">
        <v>-1.5784742214774397</v>
      </c>
      <c r="I243" t="s">
        <v>122</v>
      </c>
      <c r="J243" s="4">
        <v>0.55000000000000004</v>
      </c>
    </row>
    <row r="244" spans="1:12" x14ac:dyDescent="0.3">
      <c r="A244" t="s">
        <v>1466</v>
      </c>
      <c r="B244" t="s">
        <v>6</v>
      </c>
      <c r="C244" t="s">
        <v>1076</v>
      </c>
      <c r="D244" t="s">
        <v>75</v>
      </c>
      <c r="E244" t="s">
        <v>95</v>
      </c>
      <c r="F244" t="s">
        <v>119</v>
      </c>
      <c r="G244" s="334">
        <v>0.51212704855999303</v>
      </c>
      <c r="H244" s="334">
        <v>-1.4078705125528901</v>
      </c>
      <c r="I244" t="s">
        <v>122</v>
      </c>
      <c r="J244" s="4">
        <v>0.55000000000000004</v>
      </c>
      <c r="L244" s="2"/>
    </row>
    <row r="245" spans="1:12" x14ac:dyDescent="0.3">
      <c r="A245" t="s">
        <v>1467</v>
      </c>
      <c r="B245" t="s">
        <v>6</v>
      </c>
      <c r="C245" t="s">
        <v>1076</v>
      </c>
      <c r="D245" t="s">
        <v>75</v>
      </c>
      <c r="E245" t="s">
        <v>95</v>
      </c>
      <c r="F245" t="s">
        <v>119</v>
      </c>
      <c r="G245" s="334">
        <v>0.81524753573579289</v>
      </c>
      <c r="H245" s="334">
        <v>-1.639211118506545</v>
      </c>
      <c r="I245" t="s">
        <v>122</v>
      </c>
      <c r="J245" s="4">
        <v>0.55000000000000004</v>
      </c>
    </row>
    <row r="246" spans="1:12" x14ac:dyDescent="0.3">
      <c r="A246" t="s">
        <v>1468</v>
      </c>
      <c r="B246" t="s">
        <v>6</v>
      </c>
      <c r="C246" t="s">
        <v>1076</v>
      </c>
      <c r="D246" t="s">
        <v>75</v>
      </c>
      <c r="E246" t="s">
        <v>95</v>
      </c>
      <c r="F246" t="s">
        <v>119</v>
      </c>
      <c r="G246" s="334">
        <v>0.30556054385802639</v>
      </c>
      <c r="H246" s="334">
        <v>-1.591534749108682</v>
      </c>
      <c r="I246" t="s">
        <v>122</v>
      </c>
      <c r="J246" s="4">
        <v>0.55000000000000004</v>
      </c>
    </row>
    <row r="247" spans="1:12" x14ac:dyDescent="0.3">
      <c r="A247" t="s">
        <v>1469</v>
      </c>
      <c r="B247" t="s">
        <v>6</v>
      </c>
      <c r="C247" t="s">
        <v>1076</v>
      </c>
      <c r="D247" t="s">
        <v>75</v>
      </c>
      <c r="E247" t="s">
        <v>95</v>
      </c>
      <c r="F247" t="s">
        <v>119</v>
      </c>
      <c r="G247" s="334">
        <v>0.69776337020332491</v>
      </c>
      <c r="H247" s="334">
        <v>-1.2781995473550614</v>
      </c>
      <c r="I247" t="s">
        <v>122</v>
      </c>
      <c r="J247" s="4">
        <v>0.55000000000000004</v>
      </c>
    </row>
    <row r="248" spans="1:12" x14ac:dyDescent="0.3">
      <c r="A248" t="s">
        <v>1470</v>
      </c>
      <c r="B248" t="s">
        <v>6</v>
      </c>
      <c r="C248" t="s">
        <v>1076</v>
      </c>
      <c r="D248" t="s">
        <v>75</v>
      </c>
      <c r="E248" t="s">
        <v>95</v>
      </c>
      <c r="F248" t="s">
        <v>119</v>
      </c>
      <c r="G248" s="334">
        <v>0.50407916618216175</v>
      </c>
      <c r="H248" s="334">
        <v>-1.5881547972305528</v>
      </c>
      <c r="I248" t="s">
        <v>122</v>
      </c>
      <c r="J248" s="4">
        <v>0.55000000000000004</v>
      </c>
    </row>
    <row r="249" spans="1:12" x14ac:dyDescent="0.3">
      <c r="A249" t="s">
        <v>1461</v>
      </c>
      <c r="B249" t="s">
        <v>6</v>
      </c>
      <c r="C249" t="s">
        <v>1076</v>
      </c>
      <c r="D249" t="s">
        <v>75</v>
      </c>
      <c r="E249" t="s">
        <v>95</v>
      </c>
      <c r="F249" t="s">
        <v>119</v>
      </c>
      <c r="G249" s="334">
        <v>0.38980151409700864</v>
      </c>
      <c r="H249" s="334">
        <v>-1.6363905661583962</v>
      </c>
      <c r="I249" t="s">
        <v>122</v>
      </c>
      <c r="J249" s="4">
        <v>0.55000000000000004</v>
      </c>
    </row>
    <row r="250" spans="1:12" x14ac:dyDescent="0.3">
      <c r="A250" t="s">
        <v>1460</v>
      </c>
      <c r="B250" t="s">
        <v>6</v>
      </c>
      <c r="C250" t="s">
        <v>1076</v>
      </c>
      <c r="D250" t="s">
        <v>75</v>
      </c>
      <c r="E250" t="s">
        <v>95</v>
      </c>
      <c r="F250" t="s">
        <v>119</v>
      </c>
      <c r="G250" s="334">
        <v>0.34517766497461932</v>
      </c>
      <c r="H250" s="334">
        <v>-1.6142131979695433</v>
      </c>
      <c r="I250" t="s">
        <v>122</v>
      </c>
      <c r="J250" s="4">
        <v>0.55000000000000004</v>
      </c>
    </row>
    <row r="251" spans="1:12" x14ac:dyDescent="0.3">
      <c r="A251" t="s">
        <v>1459</v>
      </c>
      <c r="B251" t="s">
        <v>6</v>
      </c>
      <c r="C251" t="s">
        <v>1076</v>
      </c>
      <c r="D251" t="s">
        <v>75</v>
      </c>
      <c r="E251" t="s">
        <v>95</v>
      </c>
      <c r="F251" t="s">
        <v>119</v>
      </c>
      <c r="G251" s="334">
        <v>0.81121898570378692</v>
      </c>
      <c r="H251" s="334">
        <v>-1.6242357941634398</v>
      </c>
      <c r="I251" t="s">
        <v>122</v>
      </c>
      <c r="J251" s="4">
        <v>0.55000000000000004</v>
      </c>
    </row>
    <row r="252" spans="1:12" x14ac:dyDescent="0.3">
      <c r="A252" t="s">
        <v>1456</v>
      </c>
      <c r="B252" t="s">
        <v>6</v>
      </c>
      <c r="C252" t="s">
        <v>1076</v>
      </c>
      <c r="D252" t="s">
        <v>75</v>
      </c>
      <c r="E252" t="s">
        <v>95</v>
      </c>
      <c r="F252" t="s">
        <v>119</v>
      </c>
      <c r="G252" s="334">
        <v>0.26259445783377083</v>
      </c>
      <c r="H252" s="334">
        <v>-1.5544551397219415</v>
      </c>
      <c r="I252" t="s">
        <v>122</v>
      </c>
      <c r="J252" s="4">
        <v>0.55000000000000004</v>
      </c>
    </row>
    <row r="253" spans="1:12" x14ac:dyDescent="0.3">
      <c r="A253" t="s">
        <v>1457</v>
      </c>
      <c r="B253" t="s">
        <v>6</v>
      </c>
      <c r="C253" t="s">
        <v>1076</v>
      </c>
      <c r="D253" t="s">
        <v>75</v>
      </c>
      <c r="E253" t="s">
        <v>95</v>
      </c>
      <c r="F253" t="s">
        <v>119</v>
      </c>
      <c r="G253" s="334">
        <v>0.48330205147572497</v>
      </c>
      <c r="H253" s="334">
        <v>-1.533240368096435</v>
      </c>
      <c r="I253" t="s">
        <v>122</v>
      </c>
      <c r="J253" s="4">
        <v>0.55000000000000004</v>
      </c>
    </row>
    <row r="254" spans="1:12" x14ac:dyDescent="0.3">
      <c r="A254" t="s">
        <v>1458</v>
      </c>
      <c r="B254" t="s">
        <v>6</v>
      </c>
      <c r="C254" t="s">
        <v>1076</v>
      </c>
      <c r="D254" t="s">
        <v>75</v>
      </c>
      <c r="E254" t="s">
        <v>95</v>
      </c>
      <c r="F254" t="s">
        <v>119</v>
      </c>
      <c r="G254" s="334">
        <v>1.44</v>
      </c>
      <c r="H254" s="334">
        <v>-0.86</v>
      </c>
      <c r="I254" t="s">
        <v>122</v>
      </c>
      <c r="J254" s="4">
        <v>0.55000000000000004</v>
      </c>
    </row>
    <row r="255" spans="1:12" x14ac:dyDescent="0.3">
      <c r="A255" t="s">
        <v>381</v>
      </c>
      <c r="B255" t="s">
        <v>6</v>
      </c>
      <c r="C255" t="s">
        <v>104</v>
      </c>
      <c r="D255" t="s">
        <v>78</v>
      </c>
      <c r="E255" t="s">
        <v>98</v>
      </c>
      <c r="F255" t="s">
        <v>119</v>
      </c>
      <c r="G255" s="334">
        <v>0.29286969144144143</v>
      </c>
      <c r="H255" s="334">
        <v>-0.46418907657657654</v>
      </c>
      <c r="I255" t="s">
        <v>221</v>
      </c>
      <c r="J255" s="4">
        <v>0.35</v>
      </c>
    </row>
    <row r="256" spans="1:12" x14ac:dyDescent="0.3">
      <c r="A256" t="s">
        <v>383</v>
      </c>
      <c r="B256" t="s">
        <v>6</v>
      </c>
      <c r="C256" t="s">
        <v>104</v>
      </c>
      <c r="D256" t="s">
        <v>76</v>
      </c>
      <c r="E256" t="s">
        <v>99</v>
      </c>
      <c r="F256" t="s">
        <v>119</v>
      </c>
      <c r="G256" s="334">
        <v>0.2667355507088332</v>
      </c>
      <c r="H256" s="334">
        <v>0</v>
      </c>
      <c r="I256" t="s">
        <v>221</v>
      </c>
      <c r="J256" s="4">
        <v>0.35</v>
      </c>
    </row>
    <row r="257" spans="1:10" x14ac:dyDescent="0.3">
      <c r="A257" t="s">
        <v>386</v>
      </c>
      <c r="B257" t="s">
        <v>6</v>
      </c>
      <c r="C257" t="s">
        <v>104</v>
      </c>
      <c r="D257" t="s">
        <v>79</v>
      </c>
      <c r="E257" t="s">
        <v>104</v>
      </c>
      <c r="F257" t="s">
        <v>119</v>
      </c>
      <c r="G257" s="334">
        <v>0.31634958297382793</v>
      </c>
      <c r="H257" s="334">
        <v>0</v>
      </c>
      <c r="I257" t="s">
        <v>221</v>
      </c>
      <c r="J257" s="4">
        <v>0.35</v>
      </c>
    </row>
    <row r="258" spans="1:10" x14ac:dyDescent="0.3">
      <c r="A258" t="s">
        <v>387</v>
      </c>
      <c r="B258" t="s">
        <v>6</v>
      </c>
      <c r="C258" t="s">
        <v>104</v>
      </c>
      <c r="D258" t="s">
        <v>78</v>
      </c>
      <c r="E258" t="s">
        <v>102</v>
      </c>
      <c r="F258" t="s">
        <v>119</v>
      </c>
      <c r="G258" s="334">
        <v>3.2139297390176034</v>
      </c>
      <c r="H258" s="334">
        <v>0</v>
      </c>
      <c r="I258" t="s">
        <v>221</v>
      </c>
      <c r="J258" s="4">
        <v>0.35</v>
      </c>
    </row>
    <row r="259" spans="1:10" x14ac:dyDescent="0.3">
      <c r="A259" t="s">
        <v>388</v>
      </c>
      <c r="B259" t="s">
        <v>6</v>
      </c>
      <c r="C259" t="s">
        <v>104</v>
      </c>
      <c r="D259" t="s">
        <v>78</v>
      </c>
      <c r="E259" t="s">
        <v>102</v>
      </c>
      <c r="F259" t="s">
        <v>119</v>
      </c>
      <c r="G259" s="334">
        <v>3.7225290474400663</v>
      </c>
      <c r="H259" s="334">
        <v>0</v>
      </c>
      <c r="I259" t="s">
        <v>221</v>
      </c>
      <c r="J259" s="4">
        <v>0.35</v>
      </c>
    </row>
    <row r="260" spans="1:10" x14ac:dyDescent="0.3">
      <c r="A260" t="s">
        <v>389</v>
      </c>
      <c r="B260" t="s">
        <v>6</v>
      </c>
      <c r="C260" t="s">
        <v>104</v>
      </c>
      <c r="D260" t="s">
        <v>78</v>
      </c>
      <c r="E260" t="s">
        <v>102</v>
      </c>
      <c r="F260" t="s">
        <v>119</v>
      </c>
      <c r="G260" s="334">
        <v>1.6960526315789475</v>
      </c>
      <c r="H260" s="334">
        <v>-0.51837631578947363</v>
      </c>
      <c r="I260" t="s">
        <v>221</v>
      </c>
      <c r="J260" s="4">
        <v>0.35</v>
      </c>
    </row>
    <row r="261" spans="1:10" x14ac:dyDescent="0.3">
      <c r="A261" t="s">
        <v>390</v>
      </c>
      <c r="B261" t="s">
        <v>6</v>
      </c>
      <c r="C261" t="s">
        <v>104</v>
      </c>
      <c r="D261" t="s">
        <v>78</v>
      </c>
      <c r="E261" t="s">
        <v>102</v>
      </c>
      <c r="F261" t="s">
        <v>119</v>
      </c>
      <c r="G261" s="334">
        <v>2.381484160891409</v>
      </c>
      <c r="H261" s="334">
        <v>-0.45175430368369107</v>
      </c>
      <c r="I261" t="s">
        <v>221</v>
      </c>
      <c r="J261" s="4">
        <v>0.35</v>
      </c>
    </row>
    <row r="262" spans="1:10" x14ac:dyDescent="0.3">
      <c r="A262" t="s">
        <v>391</v>
      </c>
      <c r="B262" t="s">
        <v>6</v>
      </c>
      <c r="C262" t="s">
        <v>104</v>
      </c>
      <c r="D262" t="s">
        <v>78</v>
      </c>
      <c r="E262" t="s">
        <v>102</v>
      </c>
      <c r="F262" t="s">
        <v>119</v>
      </c>
      <c r="G262" s="334">
        <v>4.1897883318873737</v>
      </c>
      <c r="H262" s="334">
        <v>0</v>
      </c>
      <c r="I262" t="s">
        <v>221</v>
      </c>
      <c r="J262" s="4">
        <v>0.35</v>
      </c>
    </row>
    <row r="263" spans="1:10" x14ac:dyDescent="0.3">
      <c r="A263" t="s">
        <v>392</v>
      </c>
      <c r="B263" t="s">
        <v>6</v>
      </c>
      <c r="C263" t="s">
        <v>104</v>
      </c>
      <c r="D263" t="s">
        <v>78</v>
      </c>
      <c r="E263" t="s">
        <v>102</v>
      </c>
      <c r="F263" t="s">
        <v>119</v>
      </c>
      <c r="G263" s="334">
        <v>4.1294037780993929</v>
      </c>
      <c r="H263" s="334">
        <v>0</v>
      </c>
      <c r="I263" t="s">
        <v>221</v>
      </c>
      <c r="J263" s="4">
        <v>0.35</v>
      </c>
    </row>
    <row r="264" spans="1:10" x14ac:dyDescent="0.3">
      <c r="A264" t="s">
        <v>393</v>
      </c>
      <c r="B264" t="s">
        <v>6</v>
      </c>
      <c r="C264" t="s">
        <v>104</v>
      </c>
      <c r="D264" t="s">
        <v>78</v>
      </c>
      <c r="E264" t="s">
        <v>102</v>
      </c>
      <c r="F264" t="s">
        <v>119</v>
      </c>
      <c r="G264" s="334">
        <v>3.3363817252915755</v>
      </c>
      <c r="H264" s="334">
        <v>-0.43911885095742598</v>
      </c>
      <c r="I264" t="s">
        <v>221</v>
      </c>
      <c r="J264" s="4">
        <v>0.35</v>
      </c>
    </row>
    <row r="265" spans="1:10" x14ac:dyDescent="0.3">
      <c r="A265" t="s">
        <v>394</v>
      </c>
      <c r="B265" t="s">
        <v>6</v>
      </c>
      <c r="C265" t="s">
        <v>104</v>
      </c>
      <c r="D265" t="s">
        <v>78</v>
      </c>
      <c r="E265" t="s">
        <v>102</v>
      </c>
      <c r="F265" t="s">
        <v>119</v>
      </c>
      <c r="G265" s="334">
        <v>3.0633283599629748</v>
      </c>
      <c r="H265" s="334">
        <v>-0.45459682480510416</v>
      </c>
      <c r="I265" t="s">
        <v>221</v>
      </c>
      <c r="J265" s="4">
        <v>0.35</v>
      </c>
    </row>
    <row r="266" spans="1:10" x14ac:dyDescent="0.3">
      <c r="A266" t="s">
        <v>395</v>
      </c>
      <c r="B266" t="s">
        <v>6</v>
      </c>
      <c r="C266" t="s">
        <v>104</v>
      </c>
      <c r="D266" t="s">
        <v>78</v>
      </c>
      <c r="E266" t="s">
        <v>102</v>
      </c>
      <c r="F266" t="s">
        <v>119</v>
      </c>
      <c r="G266" s="334">
        <v>0.7744365433289141</v>
      </c>
      <c r="H266" s="334">
        <v>0</v>
      </c>
      <c r="I266" t="s">
        <v>221</v>
      </c>
      <c r="J266" s="4">
        <v>0.35</v>
      </c>
    </row>
    <row r="267" spans="1:10" x14ac:dyDescent="0.3">
      <c r="A267" t="s">
        <v>912</v>
      </c>
      <c r="B267" t="s">
        <v>6</v>
      </c>
      <c r="C267" t="s">
        <v>104</v>
      </c>
      <c r="D267" t="s">
        <v>76</v>
      </c>
      <c r="E267" t="s">
        <v>102</v>
      </c>
      <c r="F267" t="s">
        <v>119</v>
      </c>
      <c r="G267" s="334">
        <v>40.5</v>
      </c>
      <c r="H267" s="334">
        <v>0</v>
      </c>
      <c r="I267" t="s">
        <v>122</v>
      </c>
      <c r="J267" s="4">
        <v>0.35</v>
      </c>
    </row>
    <row r="268" spans="1:10" x14ac:dyDescent="0.3">
      <c r="A268" t="s">
        <v>397</v>
      </c>
      <c r="B268" t="s">
        <v>6</v>
      </c>
      <c r="C268" t="s">
        <v>104</v>
      </c>
      <c r="D268" t="s">
        <v>78</v>
      </c>
      <c r="E268" t="s">
        <v>102</v>
      </c>
      <c r="F268" t="s">
        <v>119</v>
      </c>
      <c r="G268" s="334">
        <v>2.4050000000000002</v>
      </c>
      <c r="H268" s="334">
        <v>0</v>
      </c>
      <c r="I268" t="s">
        <v>221</v>
      </c>
      <c r="J268" s="4">
        <v>0.35</v>
      </c>
    </row>
    <row r="269" spans="1:10" x14ac:dyDescent="0.3">
      <c r="A269" t="s">
        <v>398</v>
      </c>
      <c r="B269" t="s">
        <v>6</v>
      </c>
      <c r="C269" t="s">
        <v>104</v>
      </c>
      <c r="D269" t="s">
        <v>78</v>
      </c>
      <c r="E269" t="s">
        <v>102</v>
      </c>
      <c r="F269" t="s">
        <v>119</v>
      </c>
      <c r="G269" s="334">
        <v>0.2625944578337705</v>
      </c>
      <c r="H269" s="334">
        <v>-1.6369047619047616</v>
      </c>
      <c r="I269" t="s">
        <v>221</v>
      </c>
      <c r="J269" s="4">
        <v>0.35</v>
      </c>
    </row>
    <row r="270" spans="1:10" x14ac:dyDescent="0.3">
      <c r="A270" t="s">
        <v>399</v>
      </c>
      <c r="B270" t="s">
        <v>6</v>
      </c>
      <c r="C270" t="s">
        <v>104</v>
      </c>
      <c r="D270" t="s">
        <v>78</v>
      </c>
      <c r="E270" t="s">
        <v>102</v>
      </c>
      <c r="F270" t="s">
        <v>119</v>
      </c>
      <c r="G270" s="334">
        <v>2.5002100053504548</v>
      </c>
      <c r="H270" s="334">
        <v>0</v>
      </c>
      <c r="I270" t="s">
        <v>221</v>
      </c>
      <c r="J270" s="4">
        <v>0.35</v>
      </c>
    </row>
    <row r="271" spans="1:10" x14ac:dyDescent="0.3">
      <c r="A271" t="s">
        <v>400</v>
      </c>
      <c r="B271" t="s">
        <v>6</v>
      </c>
      <c r="C271" t="s">
        <v>104</v>
      </c>
      <c r="D271" t="s">
        <v>78</v>
      </c>
      <c r="E271" t="s">
        <v>102</v>
      </c>
      <c r="F271" t="s">
        <v>119</v>
      </c>
      <c r="G271" s="334">
        <v>0.49</v>
      </c>
      <c r="H271" s="334">
        <v>-0.43</v>
      </c>
      <c r="I271" t="s">
        <v>221</v>
      </c>
      <c r="J271" s="4">
        <v>0.35</v>
      </c>
    </row>
    <row r="272" spans="1:10" x14ac:dyDescent="0.3">
      <c r="A272" t="s">
        <v>401</v>
      </c>
      <c r="B272" t="s">
        <v>6</v>
      </c>
      <c r="C272" t="s">
        <v>104</v>
      </c>
      <c r="D272" t="s">
        <v>78</v>
      </c>
      <c r="E272" t="s">
        <v>102</v>
      </c>
      <c r="F272" t="s">
        <v>119</v>
      </c>
      <c r="G272" s="334">
        <v>1.7905910238573712</v>
      </c>
      <c r="H272" s="334">
        <v>0</v>
      </c>
      <c r="I272" t="s">
        <v>221</v>
      </c>
      <c r="J272" s="4">
        <v>0.35</v>
      </c>
    </row>
    <row r="273" spans="1:10" x14ac:dyDescent="0.3">
      <c r="A273" t="s">
        <v>402</v>
      </c>
      <c r="B273" t="s">
        <v>6</v>
      </c>
      <c r="C273" t="s">
        <v>104</v>
      </c>
      <c r="D273" t="s">
        <v>78</v>
      </c>
      <c r="E273" t="s">
        <v>102</v>
      </c>
      <c r="F273" t="s">
        <v>119</v>
      </c>
      <c r="G273" s="334">
        <v>0.61475490196078431</v>
      </c>
      <c r="H273" s="334">
        <v>0</v>
      </c>
      <c r="I273" t="s">
        <v>221</v>
      </c>
      <c r="J273" s="4">
        <v>0.35</v>
      </c>
    </row>
    <row r="274" spans="1:10" x14ac:dyDescent="0.3">
      <c r="A274" t="s">
        <v>403</v>
      </c>
      <c r="B274" t="s">
        <v>6</v>
      </c>
      <c r="C274" t="s">
        <v>104</v>
      </c>
      <c r="D274" t="s">
        <v>78</v>
      </c>
      <c r="E274" t="s">
        <v>102</v>
      </c>
      <c r="F274" t="s">
        <v>119</v>
      </c>
      <c r="G274" s="334">
        <v>0.26772321428571377</v>
      </c>
      <c r="H274" s="334">
        <v>-1.6377232142857139</v>
      </c>
      <c r="I274" t="s">
        <v>221</v>
      </c>
      <c r="J274" s="4">
        <v>0.35</v>
      </c>
    </row>
    <row r="275" spans="1:10" x14ac:dyDescent="0.3">
      <c r="A275" t="s">
        <v>404</v>
      </c>
      <c r="B275" t="s">
        <v>6</v>
      </c>
      <c r="C275" t="s">
        <v>104</v>
      </c>
      <c r="D275" t="s">
        <v>78</v>
      </c>
      <c r="E275" t="s">
        <v>102</v>
      </c>
      <c r="F275" t="s">
        <v>119</v>
      </c>
      <c r="G275" s="334">
        <v>0.1185904255319149</v>
      </c>
      <c r="H275" s="334">
        <v>0</v>
      </c>
      <c r="I275" t="s">
        <v>221</v>
      </c>
      <c r="J275" s="4">
        <v>0.35</v>
      </c>
    </row>
    <row r="276" spans="1:10" x14ac:dyDescent="0.3">
      <c r="A276" t="s">
        <v>405</v>
      </c>
      <c r="B276" t="s">
        <v>6</v>
      </c>
      <c r="C276" t="s">
        <v>104</v>
      </c>
      <c r="D276" t="s">
        <v>74</v>
      </c>
      <c r="E276" t="s">
        <v>94</v>
      </c>
      <c r="F276" t="s">
        <v>119</v>
      </c>
      <c r="G276" s="334">
        <v>2.4558421052631574</v>
      </c>
      <c r="H276" s="334">
        <v>0</v>
      </c>
      <c r="I276" t="s">
        <v>221</v>
      </c>
      <c r="J276" s="4">
        <v>0.35</v>
      </c>
    </row>
    <row r="277" spans="1:10" x14ac:dyDescent="0.3">
      <c r="A277" t="s">
        <v>406</v>
      </c>
      <c r="B277" t="s">
        <v>6</v>
      </c>
      <c r="C277" t="s">
        <v>104</v>
      </c>
      <c r="D277" t="s">
        <v>74</v>
      </c>
      <c r="E277" t="s">
        <v>94</v>
      </c>
      <c r="F277" t="s">
        <v>119</v>
      </c>
      <c r="G277" s="334">
        <v>0.8481678656687528</v>
      </c>
      <c r="H277" s="334">
        <v>0</v>
      </c>
      <c r="I277" t="s">
        <v>221</v>
      </c>
      <c r="J277" s="4">
        <v>0.35</v>
      </c>
    </row>
    <row r="278" spans="1:10" x14ac:dyDescent="0.3">
      <c r="A278" t="s">
        <v>407</v>
      </c>
      <c r="B278" t="s">
        <v>6</v>
      </c>
      <c r="C278" t="s">
        <v>104</v>
      </c>
      <c r="D278" t="s">
        <v>75</v>
      </c>
      <c r="E278" t="s">
        <v>103</v>
      </c>
      <c r="F278" t="s">
        <v>119</v>
      </c>
      <c r="G278" s="334">
        <v>2.5812643250175831</v>
      </c>
      <c r="H278" s="334">
        <v>0</v>
      </c>
      <c r="I278" t="s">
        <v>221</v>
      </c>
      <c r="J278" s="4">
        <v>0.35</v>
      </c>
    </row>
    <row r="279" spans="1:10" x14ac:dyDescent="0.3">
      <c r="A279" t="s">
        <v>408</v>
      </c>
      <c r="B279" t="s">
        <v>6</v>
      </c>
      <c r="C279" t="s">
        <v>104</v>
      </c>
      <c r="D279" t="s">
        <v>78</v>
      </c>
      <c r="E279" t="s">
        <v>103</v>
      </c>
      <c r="F279" t="s">
        <v>119</v>
      </c>
      <c r="G279" s="334">
        <v>3.2292035172832021</v>
      </c>
      <c r="H279" s="334">
        <v>0</v>
      </c>
      <c r="I279" t="s">
        <v>221</v>
      </c>
      <c r="J279" s="4">
        <v>0.35</v>
      </c>
    </row>
    <row r="280" spans="1:10" x14ac:dyDescent="0.3">
      <c r="A280" t="s">
        <v>409</v>
      </c>
      <c r="B280" t="s">
        <v>6</v>
      </c>
      <c r="C280" t="s">
        <v>104</v>
      </c>
      <c r="D280" t="s">
        <v>78</v>
      </c>
      <c r="E280" t="s">
        <v>103</v>
      </c>
      <c r="F280" t="s">
        <v>119</v>
      </c>
      <c r="G280" s="334">
        <v>2.9186110124333933</v>
      </c>
      <c r="H280" s="334">
        <v>0</v>
      </c>
      <c r="I280" t="s">
        <v>221</v>
      </c>
      <c r="J280" s="4">
        <v>0.35</v>
      </c>
    </row>
    <row r="281" spans="1:10" x14ac:dyDescent="0.3">
      <c r="A281" t="str">
        <f>EPD!B3</f>
        <v>User input EPD1</v>
      </c>
      <c r="B281">
        <f>EPD!D3</f>
        <v>0</v>
      </c>
      <c r="C281">
        <f>EPD!C3</f>
        <v>0</v>
      </c>
      <c r="D281">
        <f>EPD!E3</f>
        <v>0</v>
      </c>
      <c r="E281">
        <f>EPD!F3</f>
        <v>0</v>
      </c>
      <c r="F281">
        <f>EPD!G3</f>
        <v>0</v>
      </c>
      <c r="G281" s="334" t="str">
        <f>EPD!J3</f>
        <v>-</v>
      </c>
      <c r="H281" s="334" t="str">
        <f>EPD!L3</f>
        <v>-</v>
      </c>
      <c r="I281">
        <f>EPD!M3</f>
        <v>0</v>
      </c>
      <c r="J281" s="311" t="str">
        <f>EPD!N3</f>
        <v>-</v>
      </c>
    </row>
    <row r="282" spans="1:10" x14ac:dyDescent="0.3">
      <c r="A282" t="str">
        <f>EPD!B4</f>
        <v>User input EPD2</v>
      </c>
      <c r="B282">
        <f>EPD!D4</f>
        <v>0</v>
      </c>
      <c r="C282">
        <f>EPD!C4</f>
        <v>0</v>
      </c>
      <c r="D282">
        <f>EPD!E4</f>
        <v>0</v>
      </c>
      <c r="E282">
        <f>EPD!F4</f>
        <v>0</v>
      </c>
      <c r="F282">
        <f>EPD!G4</f>
        <v>0</v>
      </c>
      <c r="G282" s="334" t="str">
        <f>EPD!J4</f>
        <v>-</v>
      </c>
      <c r="H282" s="334" t="str">
        <f>EPD!L4</f>
        <v>-</v>
      </c>
      <c r="I282">
        <f>EPD!M4</f>
        <v>0</v>
      </c>
      <c r="J282" s="311" t="str">
        <f>EPD!N4</f>
        <v>-</v>
      </c>
    </row>
    <row r="283" spans="1:10" x14ac:dyDescent="0.3">
      <c r="A283" t="str">
        <f>EPD!B5</f>
        <v>User input EPD3</v>
      </c>
      <c r="B283">
        <f>EPD!D5</f>
        <v>0</v>
      </c>
      <c r="C283">
        <f>EPD!C5</f>
        <v>0</v>
      </c>
      <c r="D283">
        <f>EPD!E5</f>
        <v>0</v>
      </c>
      <c r="E283">
        <f>EPD!F5</f>
        <v>0</v>
      </c>
      <c r="F283">
        <f>EPD!G5</f>
        <v>0</v>
      </c>
      <c r="G283" s="334" t="str">
        <f>EPD!J5</f>
        <v>-</v>
      </c>
      <c r="H283" s="334" t="str">
        <f>EPD!L5</f>
        <v>-</v>
      </c>
      <c r="I283">
        <f>EPD!M5</f>
        <v>0</v>
      </c>
      <c r="J283" s="311" t="str">
        <f>EPD!N5</f>
        <v>-</v>
      </c>
    </row>
    <row r="284" spans="1:10" x14ac:dyDescent="0.3">
      <c r="A284" t="str">
        <f>EPD!B6</f>
        <v>User input EPD4</v>
      </c>
      <c r="B284">
        <f>EPD!D6</f>
        <v>0</v>
      </c>
      <c r="C284">
        <f>EPD!C6</f>
        <v>0</v>
      </c>
      <c r="D284">
        <f>EPD!E6</f>
        <v>0</v>
      </c>
      <c r="E284">
        <f>EPD!F6</f>
        <v>0</v>
      </c>
      <c r="F284">
        <f>EPD!G6</f>
        <v>0</v>
      </c>
      <c r="G284" s="334" t="str">
        <f>EPD!J6</f>
        <v>-</v>
      </c>
      <c r="H284" s="334" t="str">
        <f>EPD!L6</f>
        <v>-</v>
      </c>
      <c r="I284">
        <f>EPD!M6</f>
        <v>0</v>
      </c>
      <c r="J284" s="311" t="str">
        <f>EPD!N6</f>
        <v>-</v>
      </c>
    </row>
    <row r="285" spans="1:10" x14ac:dyDescent="0.3">
      <c r="A285" t="str">
        <f>EPD!B7</f>
        <v>User input EPD5</v>
      </c>
      <c r="B285">
        <f>EPD!D7</f>
        <v>0</v>
      </c>
      <c r="C285">
        <f>EPD!C7</f>
        <v>0</v>
      </c>
      <c r="D285">
        <f>EPD!E7</f>
        <v>0</v>
      </c>
      <c r="E285">
        <f>EPD!F7</f>
        <v>0</v>
      </c>
      <c r="F285">
        <f>EPD!G7</f>
        <v>0</v>
      </c>
      <c r="G285" s="334" t="str">
        <f>EPD!J7</f>
        <v>-</v>
      </c>
      <c r="H285" s="334" t="str">
        <f>EPD!L7</f>
        <v>-</v>
      </c>
      <c r="I285">
        <f>EPD!M7</f>
        <v>0</v>
      </c>
      <c r="J285" s="311" t="str">
        <f>EPD!N7</f>
        <v>-</v>
      </c>
    </row>
    <row r="286" spans="1:10" x14ac:dyDescent="0.3">
      <c r="A286" t="str">
        <f>EPD!B8</f>
        <v>User input EPD6</v>
      </c>
      <c r="B286">
        <f>EPD!D8</f>
        <v>0</v>
      </c>
      <c r="C286">
        <f>EPD!C8</f>
        <v>0</v>
      </c>
      <c r="D286">
        <f>EPD!E8</f>
        <v>0</v>
      </c>
      <c r="E286">
        <f>EPD!F8</f>
        <v>0</v>
      </c>
      <c r="F286">
        <f>EPD!G8</f>
        <v>0</v>
      </c>
      <c r="G286" s="334" t="str">
        <f>EPD!J8</f>
        <v>-</v>
      </c>
      <c r="H286" s="334" t="str">
        <f>EPD!L8</f>
        <v>-</v>
      </c>
      <c r="I286">
        <f>EPD!M8</f>
        <v>0</v>
      </c>
      <c r="J286" s="311" t="str">
        <f>EPD!N8</f>
        <v>-</v>
      </c>
    </row>
    <row r="287" spans="1:10" x14ac:dyDescent="0.3">
      <c r="A287" t="str">
        <f>EPD!B9</f>
        <v>User input EPD7</v>
      </c>
      <c r="B287">
        <f>EPD!D9</f>
        <v>0</v>
      </c>
      <c r="C287">
        <f>EPD!C9</f>
        <v>0</v>
      </c>
      <c r="D287">
        <f>EPD!E9</f>
        <v>0</v>
      </c>
      <c r="E287">
        <f>EPD!F9</f>
        <v>0</v>
      </c>
      <c r="F287">
        <f>EPD!G9</f>
        <v>0</v>
      </c>
      <c r="G287" s="334" t="str">
        <f>EPD!J9</f>
        <v>-</v>
      </c>
      <c r="H287" s="334" t="str">
        <f>EPD!L9</f>
        <v>-</v>
      </c>
      <c r="I287">
        <f>EPD!M9</f>
        <v>0</v>
      </c>
      <c r="J287" s="311" t="str">
        <f>EPD!N9</f>
        <v>-</v>
      </c>
    </row>
    <row r="288" spans="1:10" x14ac:dyDescent="0.3">
      <c r="A288" t="str">
        <f>EPD!B10</f>
        <v>User input EPD8</v>
      </c>
      <c r="B288">
        <f>EPD!D10</f>
        <v>0</v>
      </c>
      <c r="C288">
        <f>EPD!C10</f>
        <v>0</v>
      </c>
      <c r="D288">
        <f>EPD!E10</f>
        <v>0</v>
      </c>
      <c r="E288">
        <f>EPD!F10</f>
        <v>0</v>
      </c>
      <c r="F288">
        <f>EPD!G10</f>
        <v>0</v>
      </c>
      <c r="G288" s="334" t="str">
        <f>EPD!J10</f>
        <v>-</v>
      </c>
      <c r="H288" s="334" t="str">
        <f>EPD!L10</f>
        <v>-</v>
      </c>
      <c r="I288">
        <f>EPD!M10</f>
        <v>0</v>
      </c>
      <c r="J288" s="311" t="str">
        <f>EPD!N10</f>
        <v>-</v>
      </c>
    </row>
    <row r="289" spans="1:10" x14ac:dyDescent="0.3">
      <c r="A289" t="str">
        <f>EPD!B11</f>
        <v>User input EPD9</v>
      </c>
      <c r="B289">
        <f>EPD!D11</f>
        <v>0</v>
      </c>
      <c r="C289">
        <f>EPD!C11</f>
        <v>0</v>
      </c>
      <c r="D289">
        <f>EPD!E11</f>
        <v>0</v>
      </c>
      <c r="E289">
        <f>EPD!F11</f>
        <v>0</v>
      </c>
      <c r="F289">
        <f>EPD!G11</f>
        <v>0</v>
      </c>
      <c r="G289" s="334" t="str">
        <f>EPD!J11</f>
        <v>-</v>
      </c>
      <c r="H289" s="334" t="str">
        <f>EPD!L11</f>
        <v>-</v>
      </c>
      <c r="I289">
        <f>EPD!M11</f>
        <v>0</v>
      </c>
      <c r="J289" s="311" t="str">
        <f>EPD!N11</f>
        <v>-</v>
      </c>
    </row>
    <row r="290" spans="1:10" x14ac:dyDescent="0.3">
      <c r="A290" t="str">
        <f>EPD!B12</f>
        <v>User input EPD10</v>
      </c>
      <c r="B290">
        <f>EPD!D12</f>
        <v>0</v>
      </c>
      <c r="C290">
        <f>EPD!C12</f>
        <v>0</v>
      </c>
      <c r="D290">
        <f>EPD!E12</f>
        <v>0</v>
      </c>
      <c r="E290">
        <f>EPD!F12</f>
        <v>0</v>
      </c>
      <c r="F290">
        <f>EPD!G12</f>
        <v>0</v>
      </c>
      <c r="G290" s="334" t="str">
        <f>EPD!J12</f>
        <v>-</v>
      </c>
      <c r="H290" s="334" t="str">
        <f>EPD!L12</f>
        <v>-</v>
      </c>
      <c r="I290">
        <f>EPD!M12</f>
        <v>0</v>
      </c>
      <c r="J290" s="311" t="str">
        <f>EPD!N12</f>
        <v>-</v>
      </c>
    </row>
    <row r="291" spans="1:10" x14ac:dyDescent="0.3">
      <c r="A291" t="str">
        <f>EPD!B13</f>
        <v>User input EPD11</v>
      </c>
      <c r="B291">
        <f>EPD!D13</f>
        <v>0</v>
      </c>
      <c r="C291">
        <f>EPD!C13</f>
        <v>0</v>
      </c>
      <c r="D291">
        <f>EPD!E13</f>
        <v>0</v>
      </c>
      <c r="E291">
        <f>EPD!F13</f>
        <v>0</v>
      </c>
      <c r="F291">
        <f>EPD!G13</f>
        <v>0</v>
      </c>
      <c r="G291" s="334" t="str">
        <f>EPD!J13</f>
        <v>-</v>
      </c>
      <c r="H291" s="334" t="str">
        <f>EPD!L13</f>
        <v>-</v>
      </c>
      <c r="I291">
        <f>EPD!M13</f>
        <v>0</v>
      </c>
      <c r="J291" s="311" t="str">
        <f>EPD!N13</f>
        <v>-</v>
      </c>
    </row>
    <row r="292" spans="1:10" x14ac:dyDescent="0.3">
      <c r="A292" t="str">
        <f>EPD!B14</f>
        <v>User input EPD12</v>
      </c>
      <c r="B292">
        <f>EPD!D14</f>
        <v>0</v>
      </c>
      <c r="C292">
        <f>EPD!C14</f>
        <v>0</v>
      </c>
      <c r="D292">
        <f>EPD!E14</f>
        <v>0</v>
      </c>
      <c r="E292">
        <f>EPD!F14</f>
        <v>0</v>
      </c>
      <c r="F292">
        <f>EPD!G14</f>
        <v>0</v>
      </c>
      <c r="G292" s="334" t="str">
        <f>EPD!J14</f>
        <v>-</v>
      </c>
      <c r="H292" s="334" t="str">
        <f>EPD!L14</f>
        <v>-</v>
      </c>
      <c r="I292">
        <f>EPD!M14</f>
        <v>0</v>
      </c>
      <c r="J292" s="311" t="str">
        <f>EPD!N14</f>
        <v>-</v>
      </c>
    </row>
    <row r="293" spans="1:10" x14ac:dyDescent="0.3">
      <c r="A293" t="str">
        <f>EPD!B15</f>
        <v>User input EPD13</v>
      </c>
      <c r="B293">
        <f>EPD!D15</f>
        <v>0</v>
      </c>
      <c r="C293">
        <f>EPD!C15</f>
        <v>0</v>
      </c>
      <c r="D293">
        <f>EPD!E15</f>
        <v>0</v>
      </c>
      <c r="E293">
        <f>EPD!F15</f>
        <v>0</v>
      </c>
      <c r="F293">
        <f>EPD!G15</f>
        <v>0</v>
      </c>
      <c r="G293" s="334" t="str">
        <f>EPD!J15</f>
        <v>-</v>
      </c>
      <c r="H293" s="334" t="str">
        <f>EPD!L15</f>
        <v>-</v>
      </c>
      <c r="I293">
        <f>EPD!M15</f>
        <v>0</v>
      </c>
      <c r="J293" s="311" t="str">
        <f>EPD!N15</f>
        <v>-</v>
      </c>
    </row>
    <row r="294" spans="1:10" x14ac:dyDescent="0.3">
      <c r="A294" t="str">
        <f>EPD!B16</f>
        <v>User input EPD14</v>
      </c>
      <c r="B294">
        <f>EPD!D16</f>
        <v>0</v>
      </c>
      <c r="C294">
        <f>EPD!C16</f>
        <v>0</v>
      </c>
      <c r="D294">
        <f>EPD!E16</f>
        <v>0</v>
      </c>
      <c r="E294">
        <f>EPD!F16</f>
        <v>0</v>
      </c>
      <c r="F294">
        <f>EPD!G16</f>
        <v>0</v>
      </c>
      <c r="G294" s="334" t="str">
        <f>EPD!J16</f>
        <v>-</v>
      </c>
      <c r="H294" s="334" t="str">
        <f>EPD!L16</f>
        <v>-</v>
      </c>
      <c r="I294">
        <f>EPD!M16</f>
        <v>0</v>
      </c>
      <c r="J294" s="311" t="str">
        <f>EPD!N16</f>
        <v>-</v>
      </c>
    </row>
    <row r="295" spans="1:10" x14ac:dyDescent="0.3">
      <c r="A295" t="str">
        <f>EPD!B17</f>
        <v>User input EPD15</v>
      </c>
      <c r="B295">
        <f>EPD!D17</f>
        <v>0</v>
      </c>
      <c r="C295">
        <f>EPD!C17</f>
        <v>0</v>
      </c>
      <c r="D295">
        <f>EPD!E17</f>
        <v>0</v>
      </c>
      <c r="E295">
        <f>EPD!F17</f>
        <v>0</v>
      </c>
      <c r="F295">
        <f>EPD!G17</f>
        <v>0</v>
      </c>
      <c r="G295" s="334" t="str">
        <f>EPD!J17</f>
        <v>-</v>
      </c>
      <c r="H295" s="334" t="str">
        <f>EPD!L17</f>
        <v>-</v>
      </c>
      <c r="I295">
        <f>EPD!M17</f>
        <v>0</v>
      </c>
      <c r="J295" s="311" t="str">
        <f>EPD!N17</f>
        <v>-</v>
      </c>
    </row>
    <row r="296" spans="1:10" x14ac:dyDescent="0.3">
      <c r="A296" t="str">
        <f>EPD!B18</f>
        <v>User input EPD16</v>
      </c>
      <c r="B296">
        <f>EPD!D18</f>
        <v>0</v>
      </c>
      <c r="C296">
        <f>EPD!C18</f>
        <v>0</v>
      </c>
      <c r="D296">
        <f>EPD!E18</f>
        <v>0</v>
      </c>
      <c r="E296">
        <f>EPD!F18</f>
        <v>0</v>
      </c>
      <c r="F296">
        <f>EPD!G18</f>
        <v>0</v>
      </c>
      <c r="G296" s="334" t="str">
        <f>EPD!J18</f>
        <v>-</v>
      </c>
      <c r="H296" s="334" t="str">
        <f>EPD!L18</f>
        <v>-</v>
      </c>
      <c r="I296">
        <f>EPD!M18</f>
        <v>0</v>
      </c>
      <c r="J296" s="311" t="str">
        <f>EPD!N18</f>
        <v>-</v>
      </c>
    </row>
    <row r="297" spans="1:10" x14ac:dyDescent="0.3">
      <c r="A297" t="str">
        <f>EPD!B19</f>
        <v>User input EPD17</v>
      </c>
      <c r="B297">
        <f>EPD!D19</f>
        <v>0</v>
      </c>
      <c r="C297">
        <f>EPD!C19</f>
        <v>0</v>
      </c>
      <c r="D297">
        <f>EPD!E19</f>
        <v>0</v>
      </c>
      <c r="E297">
        <f>EPD!F19</f>
        <v>0</v>
      </c>
      <c r="F297">
        <f>EPD!G19</f>
        <v>0</v>
      </c>
      <c r="G297" s="334" t="str">
        <f>EPD!J19</f>
        <v>-</v>
      </c>
      <c r="H297" s="334" t="str">
        <f>EPD!L19</f>
        <v>-</v>
      </c>
      <c r="I297">
        <f>EPD!M19</f>
        <v>0</v>
      </c>
      <c r="J297" s="311" t="str">
        <f>EPD!N19</f>
        <v>-</v>
      </c>
    </row>
    <row r="298" spans="1:10" x14ac:dyDescent="0.3">
      <c r="A298" t="str">
        <f>EPD!B20</f>
        <v>User input EPD18</v>
      </c>
      <c r="B298">
        <f>EPD!D20</f>
        <v>0</v>
      </c>
      <c r="C298">
        <f>EPD!C20</f>
        <v>0</v>
      </c>
      <c r="D298">
        <f>EPD!E20</f>
        <v>0</v>
      </c>
      <c r="E298">
        <f>EPD!F20</f>
        <v>0</v>
      </c>
      <c r="F298">
        <f>EPD!G20</f>
        <v>0</v>
      </c>
      <c r="G298" s="334" t="str">
        <f>EPD!J20</f>
        <v>-</v>
      </c>
      <c r="H298" s="334" t="str">
        <f>EPD!L20</f>
        <v>-</v>
      </c>
      <c r="I298">
        <f>EPD!M20</f>
        <v>0</v>
      </c>
      <c r="J298" s="311" t="str">
        <f>EPD!N20</f>
        <v>-</v>
      </c>
    </row>
    <row r="299" spans="1:10" x14ac:dyDescent="0.3">
      <c r="A299" t="str">
        <f>EPD!B21</f>
        <v>User input EPD19</v>
      </c>
      <c r="B299">
        <f>EPD!D21</f>
        <v>0</v>
      </c>
      <c r="C299">
        <f>EPD!C21</f>
        <v>0</v>
      </c>
      <c r="D299">
        <f>EPD!E21</f>
        <v>0</v>
      </c>
      <c r="E299">
        <f>EPD!F21</f>
        <v>0</v>
      </c>
      <c r="F299">
        <f>EPD!G21</f>
        <v>0</v>
      </c>
      <c r="G299" s="334" t="str">
        <f>EPD!J21</f>
        <v>-</v>
      </c>
      <c r="H299" s="334" t="str">
        <f>EPD!L21</f>
        <v>-</v>
      </c>
      <c r="I299">
        <f>EPD!M21</f>
        <v>0</v>
      </c>
      <c r="J299" s="311" t="str">
        <f>EPD!N21</f>
        <v>-</v>
      </c>
    </row>
    <row r="300" spans="1:10" x14ac:dyDescent="0.3">
      <c r="A300" t="str">
        <f>EPD!B22</f>
        <v>User input EPD20</v>
      </c>
      <c r="B300">
        <f>EPD!D22</f>
        <v>0</v>
      </c>
      <c r="C300">
        <f>EPD!C22</f>
        <v>0</v>
      </c>
      <c r="D300">
        <f>EPD!E22</f>
        <v>0</v>
      </c>
      <c r="E300">
        <f>EPD!F22</f>
        <v>0</v>
      </c>
      <c r="F300">
        <f>EPD!G22</f>
        <v>0</v>
      </c>
      <c r="G300" s="334" t="str">
        <f>EPD!J22</f>
        <v>-</v>
      </c>
      <c r="H300" s="334" t="str">
        <f>EPD!L22</f>
        <v>-</v>
      </c>
      <c r="I300">
        <f>EPD!M22</f>
        <v>0</v>
      </c>
      <c r="J300" s="311" t="str">
        <f>EPD!N22</f>
        <v>-</v>
      </c>
    </row>
    <row r="301" spans="1:10" x14ac:dyDescent="0.3">
      <c r="A301" t="str">
        <f>EPD!B23</f>
        <v>User input EPD21</v>
      </c>
      <c r="B301">
        <f>EPD!D23</f>
        <v>0</v>
      </c>
      <c r="C301">
        <f>EPD!C23</f>
        <v>0</v>
      </c>
      <c r="D301">
        <f>EPD!E23</f>
        <v>0</v>
      </c>
      <c r="E301">
        <f>EPD!F23</f>
        <v>0</v>
      </c>
      <c r="F301">
        <f>EPD!G23</f>
        <v>0</v>
      </c>
      <c r="G301" s="334" t="str">
        <f>EPD!J23</f>
        <v>-</v>
      </c>
      <c r="H301" s="334" t="str">
        <f>EPD!L23</f>
        <v>-</v>
      </c>
      <c r="I301">
        <f>EPD!M23</f>
        <v>0</v>
      </c>
      <c r="J301" s="311" t="str">
        <f>EPD!N23</f>
        <v>-</v>
      </c>
    </row>
    <row r="302" spans="1:10" x14ac:dyDescent="0.3">
      <c r="A302" t="str">
        <f>EPD!B24</f>
        <v>User input EPD22</v>
      </c>
      <c r="B302">
        <f>EPD!D24</f>
        <v>0</v>
      </c>
      <c r="C302">
        <f>EPD!C24</f>
        <v>0</v>
      </c>
      <c r="D302">
        <f>EPD!E24</f>
        <v>0</v>
      </c>
      <c r="E302">
        <f>EPD!F24</f>
        <v>0</v>
      </c>
      <c r="F302">
        <f>EPD!G24</f>
        <v>0</v>
      </c>
      <c r="G302" s="334" t="str">
        <f>EPD!J24</f>
        <v>-</v>
      </c>
      <c r="H302" s="334" t="str">
        <f>EPD!L24</f>
        <v>-</v>
      </c>
      <c r="I302">
        <f>EPD!M24</f>
        <v>0</v>
      </c>
      <c r="J302" s="311" t="str">
        <f>EPD!N24</f>
        <v>-</v>
      </c>
    </row>
    <row r="303" spans="1:10" x14ac:dyDescent="0.3">
      <c r="A303" t="str">
        <f>EPD!B25</f>
        <v>User input EPD23</v>
      </c>
      <c r="B303">
        <f>EPD!D25</f>
        <v>0</v>
      </c>
      <c r="C303">
        <f>EPD!C25</f>
        <v>0</v>
      </c>
      <c r="D303">
        <f>EPD!E25</f>
        <v>0</v>
      </c>
      <c r="E303">
        <f>EPD!F25</f>
        <v>0</v>
      </c>
      <c r="F303">
        <f>EPD!G25</f>
        <v>0</v>
      </c>
      <c r="G303" s="334" t="str">
        <f>EPD!J25</f>
        <v>-</v>
      </c>
      <c r="H303" s="334" t="str">
        <f>EPD!L25</f>
        <v>-</v>
      </c>
      <c r="I303">
        <f>EPD!M25</f>
        <v>0</v>
      </c>
      <c r="J303" s="311" t="str">
        <f>EPD!N25</f>
        <v>-</v>
      </c>
    </row>
    <row r="304" spans="1:10" x14ac:dyDescent="0.3">
      <c r="A304" t="str">
        <f>EPD!B26</f>
        <v>User input EPD24</v>
      </c>
      <c r="B304">
        <f>EPD!D26</f>
        <v>0</v>
      </c>
      <c r="C304">
        <f>EPD!C26</f>
        <v>0</v>
      </c>
      <c r="D304">
        <f>EPD!E26</f>
        <v>0</v>
      </c>
      <c r="E304">
        <f>EPD!F26</f>
        <v>0</v>
      </c>
      <c r="F304">
        <f>EPD!G26</f>
        <v>0</v>
      </c>
      <c r="G304" s="334" t="str">
        <f>EPD!J26</f>
        <v>-</v>
      </c>
      <c r="H304" s="334" t="str">
        <f>EPD!L26</f>
        <v>-</v>
      </c>
      <c r="I304">
        <f>EPD!M26</f>
        <v>0</v>
      </c>
      <c r="J304" s="311" t="str">
        <f>EPD!N26</f>
        <v>-</v>
      </c>
    </row>
    <row r="305" spans="1:10" x14ac:dyDescent="0.3">
      <c r="A305" t="str">
        <f>EPD!B27</f>
        <v>User input EPD25</v>
      </c>
      <c r="B305">
        <f>EPD!D27</f>
        <v>0</v>
      </c>
      <c r="C305">
        <f>EPD!C27</f>
        <v>0</v>
      </c>
      <c r="D305">
        <f>EPD!E27</f>
        <v>0</v>
      </c>
      <c r="E305">
        <f>EPD!F27</f>
        <v>0</v>
      </c>
      <c r="F305">
        <f>EPD!G27</f>
        <v>0</v>
      </c>
      <c r="G305" s="334" t="str">
        <f>EPD!J27</f>
        <v>-</v>
      </c>
      <c r="H305" s="334" t="str">
        <f>EPD!L27</f>
        <v>-</v>
      </c>
      <c r="I305">
        <f>EPD!M27</f>
        <v>0</v>
      </c>
      <c r="J305" s="311" t="str">
        <f>EPD!N27</f>
        <v>-</v>
      </c>
    </row>
    <row r="306" spans="1:10" x14ac:dyDescent="0.3">
      <c r="A306" t="str">
        <f>EPD!B28</f>
        <v>User input EPD26</v>
      </c>
      <c r="B306">
        <f>EPD!D28</f>
        <v>0</v>
      </c>
      <c r="C306">
        <f>EPD!C28</f>
        <v>0</v>
      </c>
      <c r="D306">
        <f>EPD!E28</f>
        <v>0</v>
      </c>
      <c r="E306">
        <f>EPD!F28</f>
        <v>0</v>
      </c>
      <c r="F306">
        <f>EPD!G28</f>
        <v>0</v>
      </c>
      <c r="G306" s="334" t="str">
        <f>EPD!J28</f>
        <v>-</v>
      </c>
      <c r="H306" s="334" t="str">
        <f>EPD!L28</f>
        <v>-</v>
      </c>
      <c r="I306">
        <f>EPD!M28</f>
        <v>0</v>
      </c>
      <c r="J306" s="311" t="str">
        <f>EPD!N28</f>
        <v>-</v>
      </c>
    </row>
    <row r="307" spans="1:10" x14ac:dyDescent="0.3">
      <c r="A307" t="str">
        <f>EPD!B29</f>
        <v>User input EPD27</v>
      </c>
      <c r="B307">
        <f>EPD!D29</f>
        <v>0</v>
      </c>
      <c r="C307">
        <f>EPD!C29</f>
        <v>0</v>
      </c>
      <c r="D307">
        <f>EPD!E29</f>
        <v>0</v>
      </c>
      <c r="E307">
        <f>EPD!F29</f>
        <v>0</v>
      </c>
      <c r="F307">
        <f>EPD!G29</f>
        <v>0</v>
      </c>
      <c r="G307" s="334" t="str">
        <f>EPD!J29</f>
        <v>-</v>
      </c>
      <c r="H307" s="334" t="str">
        <f>EPD!L29</f>
        <v>-</v>
      </c>
      <c r="I307">
        <f>EPD!M29</f>
        <v>0</v>
      </c>
      <c r="J307" s="311" t="str">
        <f>EPD!N29</f>
        <v>-</v>
      </c>
    </row>
    <row r="308" spans="1:10" x14ac:dyDescent="0.3">
      <c r="A308" t="str">
        <f>EPD!B30</f>
        <v>User input EPD28</v>
      </c>
      <c r="B308">
        <f>EPD!D30</f>
        <v>0</v>
      </c>
      <c r="C308">
        <f>EPD!C30</f>
        <v>0</v>
      </c>
      <c r="D308">
        <f>EPD!E30</f>
        <v>0</v>
      </c>
      <c r="E308">
        <f>EPD!F30</f>
        <v>0</v>
      </c>
      <c r="F308">
        <f>EPD!G30</f>
        <v>0</v>
      </c>
      <c r="G308" s="334" t="str">
        <f>EPD!J30</f>
        <v>-</v>
      </c>
      <c r="H308" s="334" t="str">
        <f>EPD!L30</f>
        <v>-</v>
      </c>
      <c r="I308">
        <f>EPD!M30</f>
        <v>0</v>
      </c>
      <c r="J308" s="311" t="str">
        <f>EPD!N30</f>
        <v>-</v>
      </c>
    </row>
    <row r="309" spans="1:10" x14ac:dyDescent="0.3">
      <c r="A309" t="str">
        <f>EPD!B31</f>
        <v>User input EPD29</v>
      </c>
      <c r="B309">
        <f>EPD!D31</f>
        <v>0</v>
      </c>
      <c r="C309">
        <f>EPD!C31</f>
        <v>0</v>
      </c>
      <c r="D309">
        <f>EPD!E31</f>
        <v>0</v>
      </c>
      <c r="E309">
        <f>EPD!F31</f>
        <v>0</v>
      </c>
      <c r="F309">
        <f>EPD!G31</f>
        <v>0</v>
      </c>
      <c r="G309" s="334" t="str">
        <f>EPD!J31</f>
        <v>-</v>
      </c>
      <c r="H309" s="334" t="str">
        <f>EPD!L31</f>
        <v>-</v>
      </c>
      <c r="I309">
        <f>EPD!M31</f>
        <v>0</v>
      </c>
      <c r="J309" s="311" t="str">
        <f>EPD!N31</f>
        <v>-</v>
      </c>
    </row>
    <row r="310" spans="1:10" x14ac:dyDescent="0.3">
      <c r="A310" t="str">
        <f>EPD!B32</f>
        <v>User input EPD30</v>
      </c>
      <c r="B310">
        <f>EPD!D32</f>
        <v>0</v>
      </c>
      <c r="C310">
        <f>EPD!C32</f>
        <v>0</v>
      </c>
      <c r="D310">
        <f>EPD!E32</f>
        <v>0</v>
      </c>
      <c r="E310">
        <f>EPD!F32</f>
        <v>0</v>
      </c>
      <c r="F310">
        <f>EPD!G32</f>
        <v>0</v>
      </c>
      <c r="G310" s="334" t="str">
        <f>EPD!J32</f>
        <v>-</v>
      </c>
      <c r="H310" s="334" t="str">
        <f>EPD!L32</f>
        <v>-</v>
      </c>
      <c r="I310">
        <f>EPD!M32</f>
        <v>0</v>
      </c>
      <c r="J310" s="311" t="str">
        <f>EPD!N32</f>
        <v>-</v>
      </c>
    </row>
    <row r="311" spans="1:10" x14ac:dyDescent="0.3">
      <c r="A311" t="str">
        <f>EPD!B33</f>
        <v>User input EPD31</v>
      </c>
      <c r="B311">
        <f>EPD!D33</f>
        <v>0</v>
      </c>
      <c r="C311">
        <f>EPD!C33</f>
        <v>0</v>
      </c>
      <c r="D311">
        <f>EPD!E33</f>
        <v>0</v>
      </c>
      <c r="E311">
        <f>EPD!F33</f>
        <v>0</v>
      </c>
      <c r="F311">
        <f>EPD!G33</f>
        <v>0</v>
      </c>
      <c r="G311" s="334" t="str">
        <f>EPD!J33</f>
        <v>-</v>
      </c>
      <c r="H311" s="334" t="str">
        <f>EPD!L33</f>
        <v>-</v>
      </c>
      <c r="I311">
        <f>EPD!M33</f>
        <v>0</v>
      </c>
      <c r="J311" s="311" t="str">
        <f>EPD!N33</f>
        <v>-</v>
      </c>
    </row>
    <row r="312" spans="1:10" x14ac:dyDescent="0.3">
      <c r="A312" t="str">
        <f>EPD!B34</f>
        <v>User input EPD32</v>
      </c>
      <c r="B312">
        <f>EPD!D34</f>
        <v>0</v>
      </c>
      <c r="C312">
        <f>EPD!C34</f>
        <v>0</v>
      </c>
      <c r="D312">
        <f>EPD!E34</f>
        <v>0</v>
      </c>
      <c r="E312">
        <f>EPD!F34</f>
        <v>0</v>
      </c>
      <c r="F312">
        <f>EPD!G34</f>
        <v>0</v>
      </c>
      <c r="G312" s="334" t="str">
        <f>EPD!J34</f>
        <v>-</v>
      </c>
      <c r="H312" s="334" t="str">
        <f>EPD!L34</f>
        <v>-</v>
      </c>
      <c r="I312">
        <f>EPD!M34</f>
        <v>0</v>
      </c>
      <c r="J312" s="311" t="str">
        <f>EPD!N34</f>
        <v>-</v>
      </c>
    </row>
    <row r="313" spans="1:10" x14ac:dyDescent="0.3">
      <c r="A313" t="str">
        <f>EPD!B35</f>
        <v>User input EPD33</v>
      </c>
      <c r="B313">
        <f>EPD!D35</f>
        <v>0</v>
      </c>
      <c r="C313">
        <f>EPD!C35</f>
        <v>0</v>
      </c>
      <c r="D313">
        <f>EPD!E35</f>
        <v>0</v>
      </c>
      <c r="E313">
        <f>EPD!F35</f>
        <v>0</v>
      </c>
      <c r="F313">
        <f>EPD!G35</f>
        <v>0</v>
      </c>
      <c r="G313" s="334" t="str">
        <f>EPD!J35</f>
        <v>-</v>
      </c>
      <c r="H313" s="334" t="str">
        <f>EPD!L35</f>
        <v>-</v>
      </c>
      <c r="I313">
        <f>EPD!M35</f>
        <v>0</v>
      </c>
      <c r="J313" s="311" t="str">
        <f>EPD!N35</f>
        <v>-</v>
      </c>
    </row>
    <row r="314" spans="1:10" x14ac:dyDescent="0.3">
      <c r="A314" t="str">
        <f>EPD!B36</f>
        <v>User input EPD34</v>
      </c>
      <c r="B314">
        <f>EPD!D36</f>
        <v>0</v>
      </c>
      <c r="C314">
        <f>EPD!C36</f>
        <v>0</v>
      </c>
      <c r="D314">
        <f>EPD!E36</f>
        <v>0</v>
      </c>
      <c r="E314">
        <f>EPD!F36</f>
        <v>0</v>
      </c>
      <c r="F314">
        <f>EPD!G36</f>
        <v>0</v>
      </c>
      <c r="G314" s="334" t="str">
        <f>EPD!J36</f>
        <v>-</v>
      </c>
      <c r="H314" s="334" t="str">
        <f>EPD!L36</f>
        <v>-</v>
      </c>
      <c r="I314">
        <f>EPD!M36</f>
        <v>0</v>
      </c>
      <c r="J314" s="311" t="str">
        <f>EPD!N36</f>
        <v>-</v>
      </c>
    </row>
    <row r="315" spans="1:10" x14ac:dyDescent="0.3">
      <c r="A315" t="str">
        <f>EPD!B37</f>
        <v>User input EPD35</v>
      </c>
      <c r="B315">
        <f>EPD!D37</f>
        <v>0</v>
      </c>
      <c r="C315">
        <f>EPD!C37</f>
        <v>0</v>
      </c>
      <c r="D315">
        <f>EPD!E37</f>
        <v>0</v>
      </c>
      <c r="E315">
        <f>EPD!F37</f>
        <v>0</v>
      </c>
      <c r="F315">
        <f>EPD!G37</f>
        <v>0</v>
      </c>
      <c r="G315" s="334" t="str">
        <f>EPD!J37</f>
        <v>-</v>
      </c>
      <c r="H315" s="334" t="str">
        <f>EPD!L37</f>
        <v>-</v>
      </c>
      <c r="I315">
        <f>EPD!M37</f>
        <v>0</v>
      </c>
      <c r="J315" s="311" t="str">
        <f>EPD!N37</f>
        <v>-</v>
      </c>
    </row>
    <row r="316" spans="1:10" x14ac:dyDescent="0.3">
      <c r="A316" t="str">
        <f>EPD!B38</f>
        <v>User input EPD36</v>
      </c>
      <c r="B316">
        <f>EPD!D38</f>
        <v>0</v>
      </c>
      <c r="C316">
        <f>EPD!C38</f>
        <v>0</v>
      </c>
      <c r="D316">
        <f>EPD!E38</f>
        <v>0</v>
      </c>
      <c r="E316">
        <f>EPD!F38</f>
        <v>0</v>
      </c>
      <c r="F316">
        <f>EPD!G38</f>
        <v>0</v>
      </c>
      <c r="G316" s="334" t="str">
        <f>EPD!J38</f>
        <v>-</v>
      </c>
      <c r="H316" s="334" t="str">
        <f>EPD!L38</f>
        <v>-</v>
      </c>
      <c r="I316">
        <f>EPD!M38</f>
        <v>0</v>
      </c>
      <c r="J316" s="311" t="str">
        <f>EPD!N38</f>
        <v>-</v>
      </c>
    </row>
    <row r="317" spans="1:10" x14ac:dyDescent="0.3">
      <c r="A317" t="str">
        <f>EPD!B39</f>
        <v>User input EPD37</v>
      </c>
      <c r="B317">
        <f>EPD!D39</f>
        <v>0</v>
      </c>
      <c r="C317">
        <f>EPD!C39</f>
        <v>0</v>
      </c>
      <c r="D317">
        <f>EPD!E39</f>
        <v>0</v>
      </c>
      <c r="E317">
        <f>EPD!F39</f>
        <v>0</v>
      </c>
      <c r="F317">
        <f>EPD!G39</f>
        <v>0</v>
      </c>
      <c r="G317" s="334" t="str">
        <f>EPD!J39</f>
        <v>-</v>
      </c>
      <c r="H317" s="334" t="str">
        <f>EPD!L39</f>
        <v>-</v>
      </c>
      <c r="I317">
        <f>EPD!M39</f>
        <v>0</v>
      </c>
      <c r="J317" s="311" t="str">
        <f>EPD!N39</f>
        <v>-</v>
      </c>
    </row>
    <row r="318" spans="1:10" x14ac:dyDescent="0.3">
      <c r="A318" t="str">
        <f>EPD!B40</f>
        <v>User input EPD38</v>
      </c>
      <c r="B318">
        <f>EPD!D40</f>
        <v>0</v>
      </c>
      <c r="C318">
        <f>EPD!C40</f>
        <v>0</v>
      </c>
      <c r="D318">
        <f>EPD!E40</f>
        <v>0</v>
      </c>
      <c r="E318">
        <f>EPD!F40</f>
        <v>0</v>
      </c>
      <c r="F318">
        <f>EPD!G40</f>
        <v>0</v>
      </c>
      <c r="G318" s="334" t="str">
        <f>EPD!J40</f>
        <v>-</v>
      </c>
      <c r="H318" s="334" t="str">
        <f>EPD!L40</f>
        <v>-</v>
      </c>
      <c r="I318">
        <f>EPD!M40</f>
        <v>0</v>
      </c>
      <c r="J318" s="311" t="str">
        <f>EPD!N40</f>
        <v>-</v>
      </c>
    </row>
    <row r="319" spans="1:10" x14ac:dyDescent="0.3">
      <c r="A319" t="str">
        <f>EPD!B41</f>
        <v>User input EPD39</v>
      </c>
      <c r="B319">
        <f>EPD!D41</f>
        <v>0</v>
      </c>
      <c r="C319">
        <f>EPD!C41</f>
        <v>0</v>
      </c>
      <c r="D319">
        <f>EPD!E41</f>
        <v>0</v>
      </c>
      <c r="E319">
        <f>EPD!F41</f>
        <v>0</v>
      </c>
      <c r="F319">
        <f>EPD!G41</f>
        <v>0</v>
      </c>
      <c r="G319" s="334" t="str">
        <f>EPD!J41</f>
        <v>-</v>
      </c>
      <c r="H319" s="334" t="str">
        <f>EPD!L41</f>
        <v>-</v>
      </c>
      <c r="I319">
        <f>EPD!M41</f>
        <v>0</v>
      </c>
      <c r="J319" s="311" t="str">
        <f>EPD!N41</f>
        <v>-</v>
      </c>
    </row>
    <row r="320" spans="1:10" x14ac:dyDescent="0.3">
      <c r="A320" t="str">
        <f>EPD!B42</f>
        <v>User input EPD40</v>
      </c>
      <c r="B320">
        <f>EPD!D42</f>
        <v>0</v>
      </c>
      <c r="C320">
        <f>EPD!C42</f>
        <v>0</v>
      </c>
      <c r="D320">
        <f>EPD!E42</f>
        <v>0</v>
      </c>
      <c r="E320">
        <f>EPD!F42</f>
        <v>0</v>
      </c>
      <c r="F320">
        <f>EPD!G42</f>
        <v>0</v>
      </c>
      <c r="G320" s="334" t="str">
        <f>EPD!J42</f>
        <v>-</v>
      </c>
      <c r="H320" s="334" t="str">
        <f>EPD!L42</f>
        <v>-</v>
      </c>
      <c r="I320">
        <f>EPD!M42</f>
        <v>0</v>
      </c>
      <c r="J320" s="311" t="str">
        <f>EPD!N42</f>
        <v>-</v>
      </c>
    </row>
    <row r="321" spans="1:10" x14ac:dyDescent="0.3">
      <c r="A321" t="str">
        <f>EPD!B43</f>
        <v>User input EPD41</v>
      </c>
      <c r="B321">
        <f>EPD!D43</f>
        <v>0</v>
      </c>
      <c r="C321">
        <f>EPD!C43</f>
        <v>0</v>
      </c>
      <c r="D321">
        <f>EPD!E43</f>
        <v>0</v>
      </c>
      <c r="E321">
        <f>EPD!F43</f>
        <v>0</v>
      </c>
      <c r="F321">
        <f>EPD!G43</f>
        <v>0</v>
      </c>
      <c r="G321" s="334" t="str">
        <f>EPD!J43</f>
        <v>-</v>
      </c>
      <c r="H321" s="334" t="str">
        <f>EPD!L43</f>
        <v>-</v>
      </c>
      <c r="I321">
        <f>EPD!M43</f>
        <v>0</v>
      </c>
      <c r="J321" s="311" t="str">
        <f>EPD!N43</f>
        <v>-</v>
      </c>
    </row>
    <row r="322" spans="1:10" x14ac:dyDescent="0.3">
      <c r="A322" t="str">
        <f>EPD!B44</f>
        <v>User input EPD42</v>
      </c>
      <c r="B322">
        <f>EPD!D44</f>
        <v>0</v>
      </c>
      <c r="C322">
        <f>EPD!C44</f>
        <v>0</v>
      </c>
      <c r="D322">
        <f>EPD!E44</f>
        <v>0</v>
      </c>
      <c r="E322">
        <f>EPD!F44</f>
        <v>0</v>
      </c>
      <c r="F322">
        <f>EPD!G44</f>
        <v>0</v>
      </c>
      <c r="G322" s="334" t="str">
        <f>EPD!J44</f>
        <v>-</v>
      </c>
      <c r="H322" s="334" t="str">
        <f>EPD!L44</f>
        <v>-</v>
      </c>
      <c r="I322">
        <f>EPD!M44</f>
        <v>0</v>
      </c>
      <c r="J322" s="311" t="str">
        <f>EPD!N44</f>
        <v>-</v>
      </c>
    </row>
    <row r="323" spans="1:10" x14ac:dyDescent="0.3">
      <c r="A323" t="str">
        <f>EPD!B45</f>
        <v>User input EPD43</v>
      </c>
      <c r="B323">
        <f>EPD!D45</f>
        <v>0</v>
      </c>
      <c r="C323">
        <f>EPD!C45</f>
        <v>0</v>
      </c>
      <c r="D323">
        <f>EPD!E45</f>
        <v>0</v>
      </c>
      <c r="E323">
        <f>EPD!F45</f>
        <v>0</v>
      </c>
      <c r="F323">
        <f>EPD!G45</f>
        <v>0</v>
      </c>
      <c r="G323" s="334" t="str">
        <f>EPD!J45</f>
        <v>-</v>
      </c>
      <c r="H323" s="334" t="str">
        <f>EPD!L45</f>
        <v>-</v>
      </c>
      <c r="I323">
        <f>EPD!M45</f>
        <v>0</v>
      </c>
      <c r="J323" s="311" t="str">
        <f>EPD!N45</f>
        <v>-</v>
      </c>
    </row>
    <row r="324" spans="1:10" x14ac:dyDescent="0.3">
      <c r="A324" t="str">
        <f>EPD!B46</f>
        <v>User input EPD44</v>
      </c>
      <c r="B324">
        <f>EPD!D46</f>
        <v>0</v>
      </c>
      <c r="C324">
        <f>EPD!C46</f>
        <v>0</v>
      </c>
      <c r="D324">
        <f>EPD!E46</f>
        <v>0</v>
      </c>
      <c r="E324">
        <f>EPD!F46</f>
        <v>0</v>
      </c>
      <c r="F324">
        <f>EPD!G46</f>
        <v>0</v>
      </c>
      <c r="G324" s="334" t="str">
        <f>EPD!J46</f>
        <v>-</v>
      </c>
      <c r="H324" s="334" t="str">
        <f>EPD!L46</f>
        <v>-</v>
      </c>
      <c r="I324">
        <f>EPD!M46</f>
        <v>0</v>
      </c>
      <c r="J324" s="311" t="str">
        <f>EPD!N46</f>
        <v>-</v>
      </c>
    </row>
    <row r="325" spans="1:10" x14ac:dyDescent="0.3">
      <c r="A325" t="str">
        <f>EPD!B47</f>
        <v>User input EPD45</v>
      </c>
      <c r="B325">
        <f>EPD!D47</f>
        <v>0</v>
      </c>
      <c r="C325">
        <f>EPD!C47</f>
        <v>0</v>
      </c>
      <c r="D325">
        <f>EPD!E47</f>
        <v>0</v>
      </c>
      <c r="E325">
        <f>EPD!F47</f>
        <v>0</v>
      </c>
      <c r="F325">
        <f>EPD!G47</f>
        <v>0</v>
      </c>
      <c r="G325" s="334" t="str">
        <f>EPD!J47</f>
        <v>-</v>
      </c>
      <c r="H325" s="334" t="str">
        <f>EPD!L47</f>
        <v>-</v>
      </c>
      <c r="I325">
        <f>EPD!M47</f>
        <v>0</v>
      </c>
      <c r="J325" s="311" t="str">
        <f>EPD!N47</f>
        <v>-</v>
      </c>
    </row>
    <row r="326" spans="1:10" x14ac:dyDescent="0.3">
      <c r="A326" t="str">
        <f>EPD!B48</f>
        <v>User input EPD46</v>
      </c>
      <c r="B326">
        <f>EPD!D48</f>
        <v>0</v>
      </c>
      <c r="C326">
        <f>EPD!C48</f>
        <v>0</v>
      </c>
      <c r="D326">
        <f>EPD!E48</f>
        <v>0</v>
      </c>
      <c r="E326">
        <f>EPD!F48</f>
        <v>0</v>
      </c>
      <c r="F326">
        <f>EPD!G48</f>
        <v>0</v>
      </c>
      <c r="G326" s="334" t="str">
        <f>EPD!J48</f>
        <v>-</v>
      </c>
      <c r="H326" s="334" t="str">
        <f>EPD!L48</f>
        <v>-</v>
      </c>
      <c r="I326">
        <f>EPD!M48</f>
        <v>0</v>
      </c>
      <c r="J326" s="311" t="str">
        <f>EPD!N48</f>
        <v>-</v>
      </c>
    </row>
    <row r="327" spans="1:10" x14ac:dyDescent="0.3">
      <c r="A327" t="str">
        <f>EPD!B49</f>
        <v>User input EPD47</v>
      </c>
      <c r="B327">
        <f>EPD!D49</f>
        <v>0</v>
      </c>
      <c r="C327">
        <f>EPD!C49</f>
        <v>0</v>
      </c>
      <c r="D327">
        <f>EPD!E49</f>
        <v>0</v>
      </c>
      <c r="E327">
        <f>EPD!F49</f>
        <v>0</v>
      </c>
      <c r="F327">
        <f>EPD!G49</f>
        <v>0</v>
      </c>
      <c r="G327" s="334" t="str">
        <f>EPD!J49</f>
        <v>-</v>
      </c>
      <c r="H327" s="334" t="str">
        <f>EPD!L49</f>
        <v>-</v>
      </c>
      <c r="I327">
        <f>EPD!M49</f>
        <v>0</v>
      </c>
      <c r="J327" s="311" t="str">
        <f>EPD!N49</f>
        <v>-</v>
      </c>
    </row>
    <row r="328" spans="1:10" x14ac:dyDescent="0.3">
      <c r="A328" t="str">
        <f>EPD!B50</f>
        <v>User input EPD48</v>
      </c>
      <c r="B328">
        <f>EPD!D50</f>
        <v>0</v>
      </c>
      <c r="C328">
        <f>EPD!C50</f>
        <v>0</v>
      </c>
      <c r="D328">
        <f>EPD!E50</f>
        <v>0</v>
      </c>
      <c r="E328">
        <f>EPD!F50</f>
        <v>0</v>
      </c>
      <c r="F328">
        <f>EPD!G50</f>
        <v>0</v>
      </c>
      <c r="G328" s="334" t="str">
        <f>EPD!J50</f>
        <v>-</v>
      </c>
      <c r="H328" s="334" t="str">
        <f>EPD!L50</f>
        <v>-</v>
      </c>
      <c r="I328">
        <f>EPD!M50</f>
        <v>0</v>
      </c>
      <c r="J328" s="311" t="str">
        <f>EPD!N50</f>
        <v>-</v>
      </c>
    </row>
    <row r="329" spans="1:10" x14ac:dyDescent="0.3">
      <c r="A329" t="str">
        <f>EPD!B51</f>
        <v>User input EPD49</v>
      </c>
      <c r="B329">
        <f>EPD!D51</f>
        <v>0</v>
      </c>
      <c r="C329">
        <f>EPD!C51</f>
        <v>0</v>
      </c>
      <c r="D329">
        <f>EPD!E51</f>
        <v>0</v>
      </c>
      <c r="E329">
        <f>EPD!F51</f>
        <v>0</v>
      </c>
      <c r="F329">
        <f>EPD!G51</f>
        <v>0</v>
      </c>
      <c r="G329" s="334" t="str">
        <f>EPD!J51</f>
        <v>-</v>
      </c>
      <c r="H329" s="334" t="str">
        <f>EPD!L51</f>
        <v>-</v>
      </c>
      <c r="I329">
        <f>EPD!M51</f>
        <v>0</v>
      </c>
      <c r="J329" s="311" t="str">
        <f>EPD!N51</f>
        <v>-</v>
      </c>
    </row>
    <row r="330" spans="1:10" x14ac:dyDescent="0.3">
      <c r="A330" t="str">
        <f>EPD!B52</f>
        <v>User input EPD50</v>
      </c>
      <c r="B330">
        <f>EPD!D52</f>
        <v>0</v>
      </c>
      <c r="C330">
        <f>EPD!C52</f>
        <v>0</v>
      </c>
      <c r="D330">
        <f>EPD!E52</f>
        <v>0</v>
      </c>
      <c r="E330">
        <f>EPD!F52</f>
        <v>0</v>
      </c>
      <c r="F330">
        <f>EPD!G52</f>
        <v>0</v>
      </c>
      <c r="G330" s="334" t="str">
        <f>EPD!J52</f>
        <v>-</v>
      </c>
      <c r="H330" s="334" t="str">
        <f>EPD!L52</f>
        <v>-</v>
      </c>
      <c r="I330">
        <f>EPD!M52</f>
        <v>0</v>
      </c>
      <c r="J330" s="311" t="str">
        <f>EPD!N52</f>
        <v>-</v>
      </c>
    </row>
    <row r="331" spans="1:10" x14ac:dyDescent="0.3">
      <c r="A331" t="str">
        <f>EPD!B53</f>
        <v>User input EPD51</v>
      </c>
      <c r="B331">
        <f>EPD!D53</f>
        <v>0</v>
      </c>
      <c r="C331">
        <f>EPD!C53</f>
        <v>0</v>
      </c>
      <c r="D331">
        <f>EPD!E53</f>
        <v>0</v>
      </c>
      <c r="E331">
        <f>EPD!F53</f>
        <v>0</v>
      </c>
      <c r="F331">
        <f>EPD!G53</f>
        <v>0</v>
      </c>
      <c r="G331" s="334" t="str">
        <f>EPD!J53</f>
        <v>-</v>
      </c>
      <c r="H331" s="334" t="str">
        <f>EPD!L53</f>
        <v>-</v>
      </c>
      <c r="I331">
        <f>EPD!M53</f>
        <v>0</v>
      </c>
      <c r="J331" s="311" t="str">
        <f>EPD!N53</f>
        <v>-</v>
      </c>
    </row>
    <row r="332" spans="1:10" x14ac:dyDescent="0.3">
      <c r="A332" t="str">
        <f>EPD!B54</f>
        <v>User input EPD52</v>
      </c>
      <c r="B332">
        <f>EPD!D54</f>
        <v>0</v>
      </c>
      <c r="C332">
        <f>EPD!C54</f>
        <v>0</v>
      </c>
      <c r="D332">
        <f>EPD!E54</f>
        <v>0</v>
      </c>
      <c r="E332">
        <f>EPD!F54</f>
        <v>0</v>
      </c>
      <c r="F332">
        <f>EPD!G54</f>
        <v>0</v>
      </c>
      <c r="G332" s="334" t="str">
        <f>EPD!J54</f>
        <v>-</v>
      </c>
      <c r="H332" s="334" t="str">
        <f>EPD!L54</f>
        <v>-</v>
      </c>
      <c r="I332">
        <f>EPD!M54</f>
        <v>0</v>
      </c>
      <c r="J332" s="311" t="str">
        <f>EPD!N54</f>
        <v>-</v>
      </c>
    </row>
    <row r="333" spans="1:10" x14ac:dyDescent="0.3">
      <c r="A333" t="str">
        <f>EPD!B55</f>
        <v>User input EPD53</v>
      </c>
      <c r="B333">
        <f>EPD!D55</f>
        <v>0</v>
      </c>
      <c r="C333">
        <f>EPD!C55</f>
        <v>0</v>
      </c>
      <c r="D333">
        <f>EPD!E55</f>
        <v>0</v>
      </c>
      <c r="E333">
        <f>EPD!F55</f>
        <v>0</v>
      </c>
      <c r="F333">
        <f>EPD!G55</f>
        <v>0</v>
      </c>
      <c r="G333" s="334" t="str">
        <f>EPD!J55</f>
        <v>-</v>
      </c>
      <c r="H333" s="334" t="str">
        <f>EPD!L55</f>
        <v>-</v>
      </c>
      <c r="I333">
        <f>EPD!M55</f>
        <v>0</v>
      </c>
      <c r="J333" s="311" t="str">
        <f>EPD!N55</f>
        <v>-</v>
      </c>
    </row>
    <row r="334" spans="1:10" x14ac:dyDescent="0.3">
      <c r="A334" t="str">
        <f>EPD!B56</f>
        <v>User input EPD54</v>
      </c>
      <c r="B334">
        <f>EPD!D56</f>
        <v>0</v>
      </c>
      <c r="C334">
        <f>EPD!C56</f>
        <v>0</v>
      </c>
      <c r="D334">
        <f>EPD!E56</f>
        <v>0</v>
      </c>
      <c r="E334">
        <f>EPD!F56</f>
        <v>0</v>
      </c>
      <c r="F334">
        <f>EPD!G56</f>
        <v>0</v>
      </c>
      <c r="G334" s="334" t="str">
        <f>EPD!J56</f>
        <v>-</v>
      </c>
      <c r="H334" s="334" t="str">
        <f>EPD!L56</f>
        <v>-</v>
      </c>
      <c r="I334">
        <f>EPD!M56</f>
        <v>0</v>
      </c>
      <c r="J334" s="311" t="str">
        <f>EPD!N56</f>
        <v>-</v>
      </c>
    </row>
    <row r="335" spans="1:10" x14ac:dyDescent="0.3">
      <c r="A335" t="str">
        <f>EPD!B57</f>
        <v>User input EPD55</v>
      </c>
      <c r="B335">
        <f>EPD!D57</f>
        <v>0</v>
      </c>
      <c r="C335">
        <f>EPD!C57</f>
        <v>0</v>
      </c>
      <c r="D335">
        <f>EPD!E57</f>
        <v>0</v>
      </c>
      <c r="E335">
        <f>EPD!F57</f>
        <v>0</v>
      </c>
      <c r="F335">
        <f>EPD!G57</f>
        <v>0</v>
      </c>
      <c r="G335" s="334" t="str">
        <f>EPD!J57</f>
        <v>-</v>
      </c>
      <c r="H335" s="334" t="str">
        <f>EPD!L57</f>
        <v>-</v>
      </c>
      <c r="I335">
        <f>EPD!M57</f>
        <v>0</v>
      </c>
      <c r="J335" s="311" t="str">
        <f>EPD!N57</f>
        <v>-</v>
      </c>
    </row>
    <row r="336" spans="1:10" x14ac:dyDescent="0.3">
      <c r="A336" t="str">
        <f>EPD!B58</f>
        <v>User input EPD56</v>
      </c>
      <c r="B336">
        <f>EPD!D58</f>
        <v>0</v>
      </c>
      <c r="C336">
        <f>EPD!C58</f>
        <v>0</v>
      </c>
      <c r="D336">
        <f>EPD!E58</f>
        <v>0</v>
      </c>
      <c r="E336">
        <f>EPD!F58</f>
        <v>0</v>
      </c>
      <c r="F336">
        <f>EPD!G58</f>
        <v>0</v>
      </c>
      <c r="G336" s="334" t="str">
        <f>EPD!J58</f>
        <v>-</v>
      </c>
      <c r="H336" s="334" t="str">
        <f>EPD!L58</f>
        <v>-</v>
      </c>
      <c r="I336">
        <f>EPD!M58</f>
        <v>0</v>
      </c>
      <c r="J336" s="311" t="str">
        <f>EPD!N58</f>
        <v>-</v>
      </c>
    </row>
    <row r="337" spans="1:10" x14ac:dyDescent="0.3">
      <c r="A337" t="str">
        <f>EPD!B59</f>
        <v>User input EPD57</v>
      </c>
      <c r="B337">
        <f>EPD!D59</f>
        <v>0</v>
      </c>
      <c r="C337">
        <f>EPD!C59</f>
        <v>0</v>
      </c>
      <c r="D337">
        <f>EPD!E59</f>
        <v>0</v>
      </c>
      <c r="E337">
        <f>EPD!F59</f>
        <v>0</v>
      </c>
      <c r="F337">
        <f>EPD!G59</f>
        <v>0</v>
      </c>
      <c r="G337" s="334" t="str">
        <f>EPD!J59</f>
        <v>-</v>
      </c>
      <c r="H337" s="334" t="str">
        <f>EPD!L59</f>
        <v>-</v>
      </c>
      <c r="I337">
        <f>EPD!M59</f>
        <v>0</v>
      </c>
      <c r="J337" s="311" t="str">
        <f>EPD!N59</f>
        <v>-</v>
      </c>
    </row>
    <row r="338" spans="1:10" x14ac:dyDescent="0.3">
      <c r="A338" t="str">
        <f>EPD!B60</f>
        <v>User input EPD58</v>
      </c>
      <c r="B338">
        <f>EPD!D60</f>
        <v>0</v>
      </c>
      <c r="C338">
        <f>EPD!C60</f>
        <v>0</v>
      </c>
      <c r="D338">
        <f>EPD!E60</f>
        <v>0</v>
      </c>
      <c r="E338">
        <f>EPD!F60</f>
        <v>0</v>
      </c>
      <c r="F338">
        <f>EPD!G60</f>
        <v>0</v>
      </c>
      <c r="G338" s="334" t="str">
        <f>EPD!J60</f>
        <v>-</v>
      </c>
      <c r="H338" s="334" t="str">
        <f>EPD!L60</f>
        <v>-</v>
      </c>
      <c r="I338">
        <f>EPD!M60</f>
        <v>0</v>
      </c>
      <c r="J338" s="311" t="str">
        <f>EPD!N60</f>
        <v>-</v>
      </c>
    </row>
    <row r="339" spans="1:10" x14ac:dyDescent="0.3">
      <c r="A339" t="str">
        <f>EPD!B61</f>
        <v>User input EPD59</v>
      </c>
      <c r="B339">
        <f>EPD!D61</f>
        <v>0</v>
      </c>
      <c r="C339">
        <f>EPD!C61</f>
        <v>0</v>
      </c>
      <c r="D339">
        <f>EPD!E61</f>
        <v>0</v>
      </c>
      <c r="E339">
        <f>EPD!F61</f>
        <v>0</v>
      </c>
      <c r="F339">
        <f>EPD!G61</f>
        <v>0</v>
      </c>
      <c r="G339" s="334" t="str">
        <f>EPD!J61</f>
        <v>-</v>
      </c>
      <c r="H339" s="334" t="str">
        <f>EPD!L61</f>
        <v>-</v>
      </c>
      <c r="I339">
        <f>EPD!M61</f>
        <v>0</v>
      </c>
      <c r="J339" s="311" t="str">
        <f>EPD!N61</f>
        <v>-</v>
      </c>
    </row>
    <row r="340" spans="1:10" x14ac:dyDescent="0.3">
      <c r="A340" t="str">
        <f>EPD!B62</f>
        <v>User input EPD60</v>
      </c>
      <c r="B340">
        <f>EPD!D62</f>
        <v>0</v>
      </c>
      <c r="C340">
        <f>EPD!C62</f>
        <v>0</v>
      </c>
      <c r="D340">
        <f>EPD!E62</f>
        <v>0</v>
      </c>
      <c r="E340">
        <f>EPD!F62</f>
        <v>0</v>
      </c>
      <c r="F340">
        <f>EPD!G62</f>
        <v>0</v>
      </c>
      <c r="G340" s="334" t="str">
        <f>EPD!J62</f>
        <v>-</v>
      </c>
      <c r="H340" s="334" t="str">
        <f>EPD!L62</f>
        <v>-</v>
      </c>
      <c r="I340">
        <f>EPD!M62</f>
        <v>0</v>
      </c>
      <c r="J340" s="311" t="str">
        <f>EPD!N62</f>
        <v>-</v>
      </c>
    </row>
    <row r="341" spans="1:10" x14ac:dyDescent="0.3">
      <c r="A341" t="str">
        <f>EPD!B63</f>
        <v>User input EPD61</v>
      </c>
      <c r="B341">
        <f>EPD!D63</f>
        <v>0</v>
      </c>
      <c r="C341">
        <f>EPD!C63</f>
        <v>0</v>
      </c>
      <c r="D341">
        <f>EPD!E63</f>
        <v>0</v>
      </c>
      <c r="E341">
        <f>EPD!F63</f>
        <v>0</v>
      </c>
      <c r="F341">
        <f>EPD!G63</f>
        <v>0</v>
      </c>
      <c r="G341" s="334" t="str">
        <f>EPD!J63</f>
        <v>-</v>
      </c>
      <c r="H341" s="334" t="str">
        <f>EPD!L63</f>
        <v>-</v>
      </c>
      <c r="I341">
        <f>EPD!M63</f>
        <v>0</v>
      </c>
      <c r="J341" s="311" t="str">
        <f>EPD!N63</f>
        <v>-</v>
      </c>
    </row>
    <row r="342" spans="1:10" x14ac:dyDescent="0.3">
      <c r="A342" t="str">
        <f>EPD!B64</f>
        <v>User input EPD62</v>
      </c>
      <c r="B342">
        <f>EPD!D64</f>
        <v>0</v>
      </c>
      <c r="C342">
        <f>EPD!C64</f>
        <v>0</v>
      </c>
      <c r="D342">
        <f>EPD!E64</f>
        <v>0</v>
      </c>
      <c r="E342">
        <f>EPD!F64</f>
        <v>0</v>
      </c>
      <c r="F342">
        <f>EPD!G64</f>
        <v>0</v>
      </c>
      <c r="G342" s="334" t="str">
        <f>EPD!J64</f>
        <v>-</v>
      </c>
      <c r="H342" s="334" t="str">
        <f>EPD!L64</f>
        <v>-</v>
      </c>
      <c r="I342">
        <f>EPD!M64</f>
        <v>0</v>
      </c>
      <c r="J342" s="311" t="str">
        <f>EPD!N64</f>
        <v>-</v>
      </c>
    </row>
    <row r="343" spans="1:10" x14ac:dyDescent="0.3">
      <c r="A343" t="str">
        <f>EPD!B65</f>
        <v>User input EPD63</v>
      </c>
      <c r="B343">
        <f>EPD!D65</f>
        <v>0</v>
      </c>
      <c r="C343">
        <f>EPD!C65</f>
        <v>0</v>
      </c>
      <c r="D343">
        <f>EPD!E65</f>
        <v>0</v>
      </c>
      <c r="E343">
        <f>EPD!F65</f>
        <v>0</v>
      </c>
      <c r="F343">
        <f>EPD!G65</f>
        <v>0</v>
      </c>
      <c r="G343" s="334" t="str">
        <f>EPD!J65</f>
        <v>-</v>
      </c>
      <c r="H343" s="334" t="str">
        <f>EPD!L65</f>
        <v>-</v>
      </c>
      <c r="I343">
        <f>EPD!M65</f>
        <v>0</v>
      </c>
      <c r="J343" s="311" t="str">
        <f>EPD!N65</f>
        <v>-</v>
      </c>
    </row>
    <row r="344" spans="1:10" x14ac:dyDescent="0.3">
      <c r="A344" t="str">
        <f>EPD!B66</f>
        <v>User input EPD64</v>
      </c>
      <c r="B344">
        <f>EPD!D66</f>
        <v>0</v>
      </c>
      <c r="C344">
        <f>EPD!C66</f>
        <v>0</v>
      </c>
      <c r="D344">
        <f>EPD!E66</f>
        <v>0</v>
      </c>
      <c r="E344">
        <f>EPD!F66</f>
        <v>0</v>
      </c>
      <c r="F344">
        <f>EPD!G66</f>
        <v>0</v>
      </c>
      <c r="G344" s="334" t="str">
        <f>EPD!J66</f>
        <v>-</v>
      </c>
      <c r="H344" s="334" t="str">
        <f>EPD!L66</f>
        <v>-</v>
      </c>
      <c r="I344">
        <f>EPD!M66</f>
        <v>0</v>
      </c>
      <c r="J344" s="311" t="str">
        <f>EPD!N66</f>
        <v>-</v>
      </c>
    </row>
    <row r="345" spans="1:10" x14ac:dyDescent="0.3">
      <c r="A345" t="str">
        <f>EPD!B67</f>
        <v>User input EPD65</v>
      </c>
      <c r="B345">
        <f>EPD!D67</f>
        <v>0</v>
      </c>
      <c r="C345">
        <f>EPD!C67</f>
        <v>0</v>
      </c>
      <c r="D345">
        <f>EPD!E67</f>
        <v>0</v>
      </c>
      <c r="E345">
        <f>EPD!F67</f>
        <v>0</v>
      </c>
      <c r="F345">
        <f>EPD!G67</f>
        <v>0</v>
      </c>
      <c r="G345" s="334" t="str">
        <f>EPD!J67</f>
        <v>-</v>
      </c>
      <c r="H345" s="334" t="str">
        <f>EPD!L67</f>
        <v>-</v>
      </c>
      <c r="I345">
        <f>EPD!M67</f>
        <v>0</v>
      </c>
      <c r="J345" s="311" t="str">
        <f>EPD!N67</f>
        <v>-</v>
      </c>
    </row>
    <row r="346" spans="1:10" x14ac:dyDescent="0.3">
      <c r="A346" t="str">
        <f>EPD!B68</f>
        <v>User input EPD66</v>
      </c>
      <c r="B346">
        <f>EPD!D68</f>
        <v>0</v>
      </c>
      <c r="C346">
        <f>EPD!C68</f>
        <v>0</v>
      </c>
      <c r="D346">
        <f>EPD!E68</f>
        <v>0</v>
      </c>
      <c r="E346">
        <f>EPD!F68</f>
        <v>0</v>
      </c>
      <c r="F346">
        <f>EPD!G68</f>
        <v>0</v>
      </c>
      <c r="G346" s="334" t="str">
        <f>EPD!J68</f>
        <v>-</v>
      </c>
      <c r="H346" s="334" t="str">
        <f>EPD!L68</f>
        <v>-</v>
      </c>
      <c r="I346">
        <f>EPD!M68</f>
        <v>0</v>
      </c>
      <c r="J346" s="311" t="str">
        <f>EPD!N68</f>
        <v>-</v>
      </c>
    </row>
    <row r="347" spans="1:10" x14ac:dyDescent="0.3">
      <c r="A347" t="str">
        <f>EPD!B69</f>
        <v>User input EPD67</v>
      </c>
      <c r="B347">
        <f>EPD!D69</f>
        <v>0</v>
      </c>
      <c r="C347">
        <f>EPD!C69</f>
        <v>0</v>
      </c>
      <c r="D347">
        <f>EPD!E69</f>
        <v>0</v>
      </c>
      <c r="E347">
        <f>EPD!F69</f>
        <v>0</v>
      </c>
      <c r="F347">
        <f>EPD!G69</f>
        <v>0</v>
      </c>
      <c r="G347" s="334" t="str">
        <f>EPD!J69</f>
        <v>-</v>
      </c>
      <c r="H347" s="334" t="str">
        <f>EPD!L69</f>
        <v>-</v>
      </c>
      <c r="I347">
        <f>EPD!M69</f>
        <v>0</v>
      </c>
      <c r="J347" s="311" t="str">
        <f>EPD!N69</f>
        <v>-</v>
      </c>
    </row>
    <row r="348" spans="1:10" x14ac:dyDescent="0.3">
      <c r="A348" t="str">
        <f>EPD!B70</f>
        <v>User input EPD68</v>
      </c>
      <c r="B348">
        <f>EPD!D70</f>
        <v>0</v>
      </c>
      <c r="C348">
        <f>EPD!C70</f>
        <v>0</v>
      </c>
      <c r="D348">
        <f>EPD!E70</f>
        <v>0</v>
      </c>
      <c r="E348">
        <f>EPD!F70</f>
        <v>0</v>
      </c>
      <c r="F348">
        <f>EPD!G70</f>
        <v>0</v>
      </c>
      <c r="G348" s="334" t="str">
        <f>EPD!J70</f>
        <v>-</v>
      </c>
      <c r="H348" s="334" t="str">
        <f>EPD!L70</f>
        <v>-</v>
      </c>
      <c r="I348">
        <f>EPD!M70</f>
        <v>0</v>
      </c>
      <c r="J348" s="311" t="str">
        <f>EPD!N70</f>
        <v>-</v>
      </c>
    </row>
    <row r="349" spans="1:10" x14ac:dyDescent="0.3">
      <c r="A349" t="str">
        <f>EPD!B71</f>
        <v>User input EPD69</v>
      </c>
      <c r="B349">
        <f>EPD!D71</f>
        <v>0</v>
      </c>
      <c r="C349">
        <f>EPD!C71</f>
        <v>0</v>
      </c>
      <c r="D349">
        <f>EPD!E71</f>
        <v>0</v>
      </c>
      <c r="E349">
        <f>EPD!F71</f>
        <v>0</v>
      </c>
      <c r="F349">
        <f>EPD!G71</f>
        <v>0</v>
      </c>
      <c r="G349" s="334" t="str">
        <f>EPD!J71</f>
        <v>-</v>
      </c>
      <c r="H349" s="334" t="str">
        <f>EPD!L71</f>
        <v>-</v>
      </c>
      <c r="I349">
        <f>EPD!M71</f>
        <v>0</v>
      </c>
      <c r="J349" s="311" t="str">
        <f>EPD!N71</f>
        <v>-</v>
      </c>
    </row>
    <row r="350" spans="1:10" x14ac:dyDescent="0.3">
      <c r="A350" t="str">
        <f>EPD!B72</f>
        <v>User input EPD70</v>
      </c>
      <c r="B350">
        <f>EPD!D72</f>
        <v>0</v>
      </c>
      <c r="C350">
        <f>EPD!C72</f>
        <v>0</v>
      </c>
      <c r="D350">
        <f>EPD!E72</f>
        <v>0</v>
      </c>
      <c r="E350">
        <f>EPD!F72</f>
        <v>0</v>
      </c>
      <c r="F350">
        <f>EPD!G72</f>
        <v>0</v>
      </c>
      <c r="G350" s="334" t="str">
        <f>EPD!J72</f>
        <v>-</v>
      </c>
      <c r="H350" s="334" t="str">
        <f>EPD!L72</f>
        <v>-</v>
      </c>
      <c r="I350">
        <f>EPD!M72</f>
        <v>0</v>
      </c>
      <c r="J350" s="311" t="str">
        <f>EPD!N72</f>
        <v>-</v>
      </c>
    </row>
    <row r="351" spans="1:10" x14ac:dyDescent="0.3">
      <c r="A351" t="str">
        <f>EPD!B73</f>
        <v>User input EPD71</v>
      </c>
      <c r="B351">
        <f>EPD!D73</f>
        <v>0</v>
      </c>
      <c r="C351">
        <f>EPD!C73</f>
        <v>0</v>
      </c>
      <c r="D351">
        <f>EPD!E73</f>
        <v>0</v>
      </c>
      <c r="E351">
        <f>EPD!F73</f>
        <v>0</v>
      </c>
      <c r="F351">
        <f>EPD!G73</f>
        <v>0</v>
      </c>
      <c r="G351" s="334" t="str">
        <f>EPD!J73</f>
        <v>-</v>
      </c>
      <c r="H351" s="334" t="str">
        <f>EPD!L73</f>
        <v>-</v>
      </c>
      <c r="I351">
        <f>EPD!M73</f>
        <v>0</v>
      </c>
      <c r="J351" s="311" t="str">
        <f>EPD!N73</f>
        <v>-</v>
      </c>
    </row>
    <row r="352" spans="1:10" x14ac:dyDescent="0.3">
      <c r="A352" t="str">
        <f>EPD!B74</f>
        <v>User input EPD72</v>
      </c>
      <c r="B352">
        <f>EPD!D74</f>
        <v>0</v>
      </c>
      <c r="C352">
        <f>EPD!C74</f>
        <v>0</v>
      </c>
      <c r="D352">
        <f>EPD!E74</f>
        <v>0</v>
      </c>
      <c r="E352">
        <f>EPD!F74</f>
        <v>0</v>
      </c>
      <c r="F352">
        <f>EPD!G74</f>
        <v>0</v>
      </c>
      <c r="G352" s="334" t="str">
        <f>EPD!J74</f>
        <v>-</v>
      </c>
      <c r="H352" s="334" t="str">
        <f>EPD!L74</f>
        <v>-</v>
      </c>
      <c r="I352">
        <f>EPD!M74</f>
        <v>0</v>
      </c>
      <c r="J352" s="311" t="str">
        <f>EPD!N74</f>
        <v>-</v>
      </c>
    </row>
    <row r="353" spans="1:10" x14ac:dyDescent="0.3">
      <c r="A353" t="str">
        <f>EPD!B75</f>
        <v>User input EPD73</v>
      </c>
      <c r="B353">
        <f>EPD!D75</f>
        <v>0</v>
      </c>
      <c r="C353">
        <f>EPD!C75</f>
        <v>0</v>
      </c>
      <c r="D353">
        <f>EPD!E75</f>
        <v>0</v>
      </c>
      <c r="E353">
        <f>EPD!F75</f>
        <v>0</v>
      </c>
      <c r="F353">
        <f>EPD!G75</f>
        <v>0</v>
      </c>
      <c r="G353" s="334" t="str">
        <f>EPD!J75</f>
        <v>-</v>
      </c>
      <c r="H353" s="334" t="str">
        <f>EPD!L75</f>
        <v>-</v>
      </c>
      <c r="I353">
        <f>EPD!M75</f>
        <v>0</v>
      </c>
      <c r="J353" s="311" t="str">
        <f>EPD!N75</f>
        <v>-</v>
      </c>
    </row>
    <row r="354" spans="1:10" x14ac:dyDescent="0.3">
      <c r="A354" t="str">
        <f>EPD!B76</f>
        <v>User input EPD74</v>
      </c>
      <c r="B354">
        <f>EPD!D76</f>
        <v>0</v>
      </c>
      <c r="C354">
        <f>EPD!C76</f>
        <v>0</v>
      </c>
      <c r="D354">
        <f>EPD!E76</f>
        <v>0</v>
      </c>
      <c r="E354">
        <f>EPD!F76</f>
        <v>0</v>
      </c>
      <c r="F354">
        <f>EPD!G76</f>
        <v>0</v>
      </c>
      <c r="G354" s="334" t="str">
        <f>EPD!J76</f>
        <v>-</v>
      </c>
      <c r="H354" s="334" t="str">
        <f>EPD!L76</f>
        <v>-</v>
      </c>
      <c r="I354">
        <f>EPD!M76</f>
        <v>0</v>
      </c>
      <c r="J354" s="311" t="str">
        <f>EPD!N76</f>
        <v>-</v>
      </c>
    </row>
    <row r="355" spans="1:10" x14ac:dyDescent="0.3">
      <c r="A355" t="str">
        <f>EPD!B77</f>
        <v>User input EPD75</v>
      </c>
      <c r="B355">
        <f>EPD!D77</f>
        <v>0</v>
      </c>
      <c r="C355">
        <f>EPD!C77</f>
        <v>0</v>
      </c>
      <c r="D355">
        <f>EPD!E77</f>
        <v>0</v>
      </c>
      <c r="E355">
        <f>EPD!F77</f>
        <v>0</v>
      </c>
      <c r="F355">
        <f>EPD!G77</f>
        <v>0</v>
      </c>
      <c r="G355" s="334" t="str">
        <f>EPD!J77</f>
        <v>-</v>
      </c>
      <c r="H355" s="334" t="str">
        <f>EPD!L77</f>
        <v>-</v>
      </c>
      <c r="I355">
        <f>EPD!M77</f>
        <v>0</v>
      </c>
      <c r="J355" s="311" t="str">
        <f>EPD!N77</f>
        <v>-</v>
      </c>
    </row>
    <row r="356" spans="1:10" x14ac:dyDescent="0.3">
      <c r="A356" t="str">
        <f>EPD!B78</f>
        <v>User input EPD76</v>
      </c>
      <c r="B356">
        <f>EPD!D78</f>
        <v>0</v>
      </c>
      <c r="C356">
        <f>EPD!C78</f>
        <v>0</v>
      </c>
      <c r="D356">
        <f>EPD!E78</f>
        <v>0</v>
      </c>
      <c r="E356">
        <f>EPD!F78</f>
        <v>0</v>
      </c>
      <c r="F356">
        <f>EPD!G78</f>
        <v>0</v>
      </c>
      <c r="G356" s="334" t="str">
        <f>EPD!J78</f>
        <v>-</v>
      </c>
      <c r="H356" s="334" t="str">
        <f>EPD!L78</f>
        <v>-</v>
      </c>
      <c r="I356">
        <f>EPD!M78</f>
        <v>0</v>
      </c>
      <c r="J356" s="311" t="str">
        <f>EPD!N78</f>
        <v>-</v>
      </c>
    </row>
    <row r="357" spans="1:10" x14ac:dyDescent="0.3">
      <c r="A357" t="str">
        <f>EPD!B79</f>
        <v>User input EPD77</v>
      </c>
      <c r="B357">
        <f>EPD!D79</f>
        <v>0</v>
      </c>
      <c r="C357">
        <f>EPD!C79</f>
        <v>0</v>
      </c>
      <c r="D357">
        <f>EPD!E79</f>
        <v>0</v>
      </c>
      <c r="E357">
        <f>EPD!F79</f>
        <v>0</v>
      </c>
      <c r="F357">
        <f>EPD!G79</f>
        <v>0</v>
      </c>
      <c r="G357" s="334" t="str">
        <f>EPD!J79</f>
        <v>-</v>
      </c>
      <c r="H357" s="334" t="str">
        <f>EPD!L79</f>
        <v>-</v>
      </c>
      <c r="I357">
        <f>EPD!M79</f>
        <v>0</v>
      </c>
      <c r="J357" s="311" t="str">
        <f>EPD!N79</f>
        <v>-</v>
      </c>
    </row>
    <row r="358" spans="1:10" x14ac:dyDescent="0.3">
      <c r="A358" t="str">
        <f>EPD!B80</f>
        <v>User input EPD78</v>
      </c>
      <c r="B358">
        <f>EPD!D80</f>
        <v>0</v>
      </c>
      <c r="C358">
        <f>EPD!C80</f>
        <v>0</v>
      </c>
      <c r="D358">
        <f>EPD!E80</f>
        <v>0</v>
      </c>
      <c r="E358">
        <f>EPD!F80</f>
        <v>0</v>
      </c>
      <c r="F358">
        <f>EPD!G80</f>
        <v>0</v>
      </c>
      <c r="G358" s="334" t="str">
        <f>EPD!J80</f>
        <v>-</v>
      </c>
      <c r="H358" s="334" t="str">
        <f>EPD!L80</f>
        <v>-</v>
      </c>
      <c r="I358">
        <f>EPD!M80</f>
        <v>0</v>
      </c>
      <c r="J358" s="311" t="str">
        <f>EPD!N80</f>
        <v>-</v>
      </c>
    </row>
    <row r="359" spans="1:10" x14ac:dyDescent="0.3">
      <c r="A359" t="str">
        <f>EPD!B81</f>
        <v>User input EPD79</v>
      </c>
      <c r="B359">
        <f>EPD!D81</f>
        <v>0</v>
      </c>
      <c r="C359">
        <f>EPD!C81</f>
        <v>0</v>
      </c>
      <c r="D359">
        <f>EPD!E81</f>
        <v>0</v>
      </c>
      <c r="E359">
        <f>EPD!F81</f>
        <v>0</v>
      </c>
      <c r="F359">
        <f>EPD!G81</f>
        <v>0</v>
      </c>
      <c r="G359" s="334" t="str">
        <f>EPD!J81</f>
        <v>-</v>
      </c>
      <c r="H359" s="334" t="str">
        <f>EPD!L81</f>
        <v>-</v>
      </c>
      <c r="I359">
        <f>EPD!M81</f>
        <v>0</v>
      </c>
      <c r="J359" s="311" t="str">
        <f>EPD!N81</f>
        <v>-</v>
      </c>
    </row>
    <row r="360" spans="1:10" x14ac:dyDescent="0.3">
      <c r="A360" t="str">
        <f>EPD!B82</f>
        <v>User input EPD80</v>
      </c>
      <c r="B360">
        <f>EPD!D82</f>
        <v>0</v>
      </c>
      <c r="C360">
        <f>EPD!C82</f>
        <v>0</v>
      </c>
      <c r="D360">
        <f>EPD!E82</f>
        <v>0</v>
      </c>
      <c r="E360">
        <f>EPD!F82</f>
        <v>0</v>
      </c>
      <c r="F360">
        <f>EPD!G82</f>
        <v>0</v>
      </c>
      <c r="G360" s="334" t="str">
        <f>EPD!J82</f>
        <v>-</v>
      </c>
      <c r="H360" s="334" t="str">
        <f>EPD!L82</f>
        <v>-</v>
      </c>
      <c r="I360">
        <f>EPD!M82</f>
        <v>0</v>
      </c>
      <c r="J360" s="311" t="str">
        <f>EPD!N82</f>
        <v>-</v>
      </c>
    </row>
    <row r="361" spans="1:10" x14ac:dyDescent="0.3">
      <c r="A361" t="str">
        <f>EPD!B83</f>
        <v>User input EPD81</v>
      </c>
      <c r="B361">
        <f>EPD!D83</f>
        <v>0</v>
      </c>
      <c r="C361">
        <f>EPD!C83</f>
        <v>0</v>
      </c>
      <c r="D361">
        <f>EPD!E83</f>
        <v>0</v>
      </c>
      <c r="E361">
        <f>EPD!F83</f>
        <v>0</v>
      </c>
      <c r="F361">
        <f>EPD!G83</f>
        <v>0</v>
      </c>
      <c r="G361" s="334" t="str">
        <f>EPD!J83</f>
        <v>-</v>
      </c>
      <c r="H361" s="334" t="str">
        <f>EPD!L83</f>
        <v>-</v>
      </c>
      <c r="I361">
        <f>EPD!M83</f>
        <v>0</v>
      </c>
      <c r="J361" s="311" t="str">
        <f>EPD!N83</f>
        <v>-</v>
      </c>
    </row>
    <row r="362" spans="1:10" x14ac:dyDescent="0.3">
      <c r="A362" t="str">
        <f>EPD!B84</f>
        <v>User input EPD82</v>
      </c>
      <c r="B362">
        <f>EPD!D84</f>
        <v>0</v>
      </c>
      <c r="C362">
        <f>EPD!C84</f>
        <v>0</v>
      </c>
      <c r="D362">
        <f>EPD!E84</f>
        <v>0</v>
      </c>
      <c r="E362">
        <f>EPD!F84</f>
        <v>0</v>
      </c>
      <c r="F362">
        <f>EPD!G84</f>
        <v>0</v>
      </c>
      <c r="G362" s="334" t="str">
        <f>EPD!J84</f>
        <v>-</v>
      </c>
      <c r="H362" s="334" t="str">
        <f>EPD!L84</f>
        <v>-</v>
      </c>
      <c r="I362">
        <f>EPD!M84</f>
        <v>0</v>
      </c>
      <c r="J362" s="311" t="str">
        <f>EPD!N84</f>
        <v>-</v>
      </c>
    </row>
    <row r="363" spans="1:10" x14ac:dyDescent="0.3">
      <c r="A363" t="str">
        <f>EPD!B85</f>
        <v>User input EPD83</v>
      </c>
      <c r="B363">
        <f>EPD!D85</f>
        <v>0</v>
      </c>
      <c r="C363">
        <f>EPD!C85</f>
        <v>0</v>
      </c>
      <c r="D363">
        <f>EPD!E85</f>
        <v>0</v>
      </c>
      <c r="E363">
        <f>EPD!F85</f>
        <v>0</v>
      </c>
      <c r="F363">
        <f>EPD!G85</f>
        <v>0</v>
      </c>
      <c r="G363" s="334" t="str">
        <f>EPD!J85</f>
        <v>-</v>
      </c>
      <c r="H363" s="334" t="str">
        <f>EPD!L85</f>
        <v>-</v>
      </c>
      <c r="I363">
        <f>EPD!M85</f>
        <v>0</v>
      </c>
      <c r="J363" s="311" t="str">
        <f>EPD!N85</f>
        <v>-</v>
      </c>
    </row>
    <row r="364" spans="1:10" x14ac:dyDescent="0.3">
      <c r="A364" t="str">
        <f>EPD!B86</f>
        <v>User input EPD84</v>
      </c>
      <c r="B364">
        <f>EPD!D86</f>
        <v>0</v>
      </c>
      <c r="C364">
        <f>EPD!C86</f>
        <v>0</v>
      </c>
      <c r="D364">
        <f>EPD!E86</f>
        <v>0</v>
      </c>
      <c r="E364">
        <f>EPD!F86</f>
        <v>0</v>
      </c>
      <c r="F364">
        <f>EPD!G86</f>
        <v>0</v>
      </c>
      <c r="G364" s="334" t="str">
        <f>EPD!J86</f>
        <v>-</v>
      </c>
      <c r="H364" s="334" t="str">
        <f>EPD!L86</f>
        <v>-</v>
      </c>
      <c r="I364">
        <f>EPD!M86</f>
        <v>0</v>
      </c>
      <c r="J364" s="311" t="str">
        <f>EPD!N86</f>
        <v>-</v>
      </c>
    </row>
    <row r="365" spans="1:10" x14ac:dyDescent="0.3">
      <c r="A365" t="str">
        <f>EPD!B87</f>
        <v>User input EPD85</v>
      </c>
      <c r="B365">
        <f>EPD!D87</f>
        <v>0</v>
      </c>
      <c r="C365">
        <f>EPD!C87</f>
        <v>0</v>
      </c>
      <c r="D365">
        <f>EPD!E87</f>
        <v>0</v>
      </c>
      <c r="E365">
        <f>EPD!F87</f>
        <v>0</v>
      </c>
      <c r="F365">
        <f>EPD!G87</f>
        <v>0</v>
      </c>
      <c r="G365" s="334" t="str">
        <f>EPD!J87</f>
        <v>-</v>
      </c>
      <c r="H365" s="334" t="str">
        <f>EPD!L87</f>
        <v>-</v>
      </c>
      <c r="I365">
        <f>EPD!M87</f>
        <v>0</v>
      </c>
      <c r="J365" s="311" t="str">
        <f>EPD!N87</f>
        <v>-</v>
      </c>
    </row>
    <row r="366" spans="1:10" x14ac:dyDescent="0.3">
      <c r="A366" t="str">
        <f>EPD!B88</f>
        <v>User input EPD86</v>
      </c>
      <c r="B366">
        <f>EPD!D88</f>
        <v>0</v>
      </c>
      <c r="C366">
        <f>EPD!C88</f>
        <v>0</v>
      </c>
      <c r="D366">
        <f>EPD!E88</f>
        <v>0</v>
      </c>
      <c r="E366">
        <f>EPD!F88</f>
        <v>0</v>
      </c>
      <c r="F366">
        <f>EPD!G88</f>
        <v>0</v>
      </c>
      <c r="G366" s="334" t="str">
        <f>EPD!J88</f>
        <v>-</v>
      </c>
      <c r="H366" s="334" t="str">
        <f>EPD!L88</f>
        <v>-</v>
      </c>
      <c r="I366">
        <f>EPD!M88</f>
        <v>0</v>
      </c>
      <c r="J366" s="311" t="str">
        <f>EPD!N88</f>
        <v>-</v>
      </c>
    </row>
    <row r="367" spans="1:10" x14ac:dyDescent="0.3">
      <c r="A367" t="str">
        <f>EPD!B89</f>
        <v>User input EPD87</v>
      </c>
      <c r="B367">
        <f>EPD!D89</f>
        <v>0</v>
      </c>
      <c r="C367">
        <f>EPD!C89</f>
        <v>0</v>
      </c>
      <c r="D367">
        <f>EPD!E89</f>
        <v>0</v>
      </c>
      <c r="E367">
        <f>EPD!F89</f>
        <v>0</v>
      </c>
      <c r="F367">
        <f>EPD!G89</f>
        <v>0</v>
      </c>
      <c r="G367" s="334" t="str">
        <f>EPD!J89</f>
        <v>-</v>
      </c>
      <c r="H367" s="334" t="str">
        <f>EPD!L89</f>
        <v>-</v>
      </c>
      <c r="I367">
        <f>EPD!M89</f>
        <v>0</v>
      </c>
      <c r="J367" s="311" t="str">
        <f>EPD!N89</f>
        <v>-</v>
      </c>
    </row>
    <row r="368" spans="1:10" x14ac:dyDescent="0.3">
      <c r="A368" t="str">
        <f>EPD!B90</f>
        <v>User input EPD88</v>
      </c>
      <c r="B368">
        <f>EPD!D90</f>
        <v>0</v>
      </c>
      <c r="C368">
        <f>EPD!C90</f>
        <v>0</v>
      </c>
      <c r="D368">
        <f>EPD!E90</f>
        <v>0</v>
      </c>
      <c r="E368">
        <f>EPD!F90</f>
        <v>0</v>
      </c>
      <c r="F368">
        <f>EPD!G90</f>
        <v>0</v>
      </c>
      <c r="G368" s="334" t="str">
        <f>EPD!J90</f>
        <v>-</v>
      </c>
      <c r="H368" s="334" t="str">
        <f>EPD!L90</f>
        <v>-</v>
      </c>
      <c r="I368">
        <f>EPD!M90</f>
        <v>0</v>
      </c>
      <c r="J368" s="311" t="str">
        <f>EPD!N90</f>
        <v>-</v>
      </c>
    </row>
    <row r="369" spans="1:10" x14ac:dyDescent="0.3">
      <c r="A369" t="str">
        <f>EPD!B91</f>
        <v>User input EPD89</v>
      </c>
      <c r="B369">
        <f>EPD!D91</f>
        <v>0</v>
      </c>
      <c r="C369">
        <f>EPD!C91</f>
        <v>0</v>
      </c>
      <c r="D369">
        <f>EPD!E91</f>
        <v>0</v>
      </c>
      <c r="E369">
        <f>EPD!F91</f>
        <v>0</v>
      </c>
      <c r="F369">
        <f>EPD!G91</f>
        <v>0</v>
      </c>
      <c r="G369" s="334" t="str">
        <f>EPD!J91</f>
        <v>-</v>
      </c>
      <c r="H369" s="334" t="str">
        <f>EPD!L91</f>
        <v>-</v>
      </c>
      <c r="I369">
        <f>EPD!M91</f>
        <v>0</v>
      </c>
      <c r="J369" s="311" t="str">
        <f>EPD!N91</f>
        <v>-</v>
      </c>
    </row>
    <row r="370" spans="1:10" x14ac:dyDescent="0.3">
      <c r="A370" t="str">
        <f>EPD!B92</f>
        <v>User input EPD90</v>
      </c>
      <c r="B370">
        <f>EPD!D92</f>
        <v>0</v>
      </c>
      <c r="C370">
        <f>EPD!C92</f>
        <v>0</v>
      </c>
      <c r="D370">
        <f>EPD!E92</f>
        <v>0</v>
      </c>
      <c r="E370">
        <f>EPD!F92</f>
        <v>0</v>
      </c>
      <c r="F370">
        <f>EPD!G92</f>
        <v>0</v>
      </c>
      <c r="G370" s="334" t="str">
        <f>EPD!J92</f>
        <v>-</v>
      </c>
      <c r="H370" s="334" t="str">
        <f>EPD!L92</f>
        <v>-</v>
      </c>
      <c r="I370">
        <f>EPD!M92</f>
        <v>0</v>
      </c>
      <c r="J370" s="311" t="str">
        <f>EPD!N92</f>
        <v>-</v>
      </c>
    </row>
    <row r="371" spans="1:10" x14ac:dyDescent="0.3">
      <c r="A371" t="str">
        <f>EPD!B93</f>
        <v>User input EPD91</v>
      </c>
      <c r="B371">
        <f>EPD!D93</f>
        <v>0</v>
      </c>
      <c r="C371">
        <f>EPD!C93</f>
        <v>0</v>
      </c>
      <c r="D371">
        <f>EPD!E93</f>
        <v>0</v>
      </c>
      <c r="E371">
        <f>EPD!F93</f>
        <v>0</v>
      </c>
      <c r="F371">
        <f>EPD!G93</f>
        <v>0</v>
      </c>
      <c r="G371" s="334" t="str">
        <f>EPD!J93</f>
        <v>-</v>
      </c>
      <c r="H371" s="334" t="str">
        <f>EPD!L93</f>
        <v>-</v>
      </c>
      <c r="I371">
        <f>EPD!M93</f>
        <v>0</v>
      </c>
      <c r="J371" s="311" t="str">
        <f>EPD!N93</f>
        <v>-</v>
      </c>
    </row>
    <row r="372" spans="1:10" x14ac:dyDescent="0.3">
      <c r="A372" t="str">
        <f>EPD!B94</f>
        <v>User input EPD92</v>
      </c>
      <c r="B372">
        <f>EPD!D94</f>
        <v>0</v>
      </c>
      <c r="C372">
        <f>EPD!C94</f>
        <v>0</v>
      </c>
      <c r="D372">
        <f>EPD!E94</f>
        <v>0</v>
      </c>
      <c r="E372">
        <f>EPD!F94</f>
        <v>0</v>
      </c>
      <c r="F372">
        <f>EPD!G94</f>
        <v>0</v>
      </c>
      <c r="G372" s="334" t="str">
        <f>EPD!J94</f>
        <v>-</v>
      </c>
      <c r="H372" s="334" t="str">
        <f>EPD!L94</f>
        <v>-</v>
      </c>
      <c r="I372">
        <f>EPD!M94</f>
        <v>0</v>
      </c>
      <c r="J372" s="311" t="str">
        <f>EPD!N94</f>
        <v>-</v>
      </c>
    </row>
    <row r="373" spans="1:10" x14ac:dyDescent="0.3">
      <c r="A373" t="str">
        <f>EPD!B95</f>
        <v>User input EPD93</v>
      </c>
      <c r="B373">
        <f>EPD!D95</f>
        <v>0</v>
      </c>
      <c r="C373">
        <f>EPD!C95</f>
        <v>0</v>
      </c>
      <c r="D373">
        <f>EPD!E95</f>
        <v>0</v>
      </c>
      <c r="E373">
        <f>EPD!F95</f>
        <v>0</v>
      </c>
      <c r="F373">
        <f>EPD!G95</f>
        <v>0</v>
      </c>
      <c r="G373" s="334" t="str">
        <f>EPD!J95</f>
        <v>-</v>
      </c>
      <c r="H373" s="334" t="str">
        <f>EPD!L95</f>
        <v>-</v>
      </c>
      <c r="I373">
        <f>EPD!M95</f>
        <v>0</v>
      </c>
      <c r="J373" s="311" t="str">
        <f>EPD!N95</f>
        <v>-</v>
      </c>
    </row>
    <row r="374" spans="1:10" x14ac:dyDescent="0.3">
      <c r="A374" t="str">
        <f>EPD!B96</f>
        <v>User input EPD94</v>
      </c>
      <c r="B374">
        <f>EPD!D96</f>
        <v>0</v>
      </c>
      <c r="C374">
        <f>EPD!C96</f>
        <v>0</v>
      </c>
      <c r="D374">
        <f>EPD!E96</f>
        <v>0</v>
      </c>
      <c r="E374">
        <f>EPD!F96</f>
        <v>0</v>
      </c>
      <c r="F374">
        <f>EPD!G96</f>
        <v>0</v>
      </c>
      <c r="G374" s="334" t="str">
        <f>EPD!J96</f>
        <v>-</v>
      </c>
      <c r="H374" s="334" t="str">
        <f>EPD!L96</f>
        <v>-</v>
      </c>
      <c r="I374">
        <f>EPD!M96</f>
        <v>0</v>
      </c>
      <c r="J374" s="311" t="str">
        <f>EPD!N96</f>
        <v>-</v>
      </c>
    </row>
    <row r="375" spans="1:10" x14ac:dyDescent="0.3">
      <c r="A375" t="str">
        <f>EPD!B97</f>
        <v>User input EPD95</v>
      </c>
      <c r="B375">
        <f>EPD!D97</f>
        <v>0</v>
      </c>
      <c r="C375">
        <f>EPD!C97</f>
        <v>0</v>
      </c>
      <c r="D375">
        <f>EPD!E97</f>
        <v>0</v>
      </c>
      <c r="E375">
        <f>EPD!F97</f>
        <v>0</v>
      </c>
      <c r="F375">
        <f>EPD!G97</f>
        <v>0</v>
      </c>
      <c r="G375" s="334" t="str">
        <f>EPD!J97</f>
        <v>-</v>
      </c>
      <c r="H375" s="334" t="str">
        <f>EPD!L97</f>
        <v>-</v>
      </c>
      <c r="I375">
        <f>EPD!M97</f>
        <v>0</v>
      </c>
      <c r="J375" s="311" t="str">
        <f>EPD!N97</f>
        <v>-</v>
      </c>
    </row>
    <row r="376" spans="1:10" x14ac:dyDescent="0.3">
      <c r="A376" t="str">
        <f>EPD!B98</f>
        <v>User input EPD96</v>
      </c>
      <c r="B376">
        <f>EPD!D98</f>
        <v>0</v>
      </c>
      <c r="C376">
        <f>EPD!C98</f>
        <v>0</v>
      </c>
      <c r="D376">
        <f>EPD!E98</f>
        <v>0</v>
      </c>
      <c r="E376">
        <f>EPD!F98</f>
        <v>0</v>
      </c>
      <c r="F376">
        <f>EPD!G98</f>
        <v>0</v>
      </c>
      <c r="G376" s="334" t="str">
        <f>EPD!J98</f>
        <v>-</v>
      </c>
      <c r="H376" s="334" t="str">
        <f>EPD!L98</f>
        <v>-</v>
      </c>
      <c r="I376">
        <f>EPD!M98</f>
        <v>0</v>
      </c>
      <c r="J376" s="311" t="str">
        <f>EPD!N98</f>
        <v>-</v>
      </c>
    </row>
    <row r="377" spans="1:10" x14ac:dyDescent="0.3">
      <c r="A377" t="str">
        <f>EPD!B99</f>
        <v>User input EPD97</v>
      </c>
      <c r="B377">
        <f>EPD!D99</f>
        <v>0</v>
      </c>
      <c r="C377">
        <f>EPD!C99</f>
        <v>0</v>
      </c>
      <c r="D377">
        <f>EPD!E99</f>
        <v>0</v>
      </c>
      <c r="E377">
        <f>EPD!F99</f>
        <v>0</v>
      </c>
      <c r="F377">
        <f>EPD!G99</f>
        <v>0</v>
      </c>
      <c r="G377" s="334" t="str">
        <f>EPD!J99</f>
        <v>-</v>
      </c>
      <c r="H377" s="334" t="str">
        <f>EPD!L99</f>
        <v>-</v>
      </c>
      <c r="I377">
        <f>EPD!M99</f>
        <v>0</v>
      </c>
      <c r="J377" s="311" t="str">
        <f>EPD!N99</f>
        <v>-</v>
      </c>
    </row>
    <row r="378" spans="1:10" x14ac:dyDescent="0.3">
      <c r="A378" t="str">
        <f>EPD!B100</f>
        <v>User input EPD98</v>
      </c>
      <c r="B378">
        <f>EPD!D100</f>
        <v>0</v>
      </c>
      <c r="C378">
        <f>EPD!C100</f>
        <v>0</v>
      </c>
      <c r="D378">
        <f>EPD!E100</f>
        <v>0</v>
      </c>
      <c r="E378">
        <f>EPD!F100</f>
        <v>0</v>
      </c>
      <c r="F378">
        <f>EPD!G100</f>
        <v>0</v>
      </c>
      <c r="G378" s="334" t="str">
        <f>EPD!J100</f>
        <v>-</v>
      </c>
      <c r="H378" s="334" t="str">
        <f>EPD!L100</f>
        <v>-</v>
      </c>
      <c r="I378">
        <f>EPD!M100</f>
        <v>0</v>
      </c>
      <c r="J378" s="311" t="str">
        <f>EPD!N100</f>
        <v>-</v>
      </c>
    </row>
    <row r="379" spans="1:10" x14ac:dyDescent="0.3">
      <c r="A379" t="str">
        <f>EPD!B101</f>
        <v>User input EPD99</v>
      </c>
      <c r="B379">
        <f>EPD!D101</f>
        <v>0</v>
      </c>
      <c r="C379">
        <f>EPD!C101</f>
        <v>0</v>
      </c>
      <c r="D379">
        <f>EPD!E101</f>
        <v>0</v>
      </c>
      <c r="E379">
        <f>EPD!F101</f>
        <v>0</v>
      </c>
      <c r="F379">
        <f>EPD!G101</f>
        <v>0</v>
      </c>
      <c r="G379" s="334" t="str">
        <f>EPD!J101</f>
        <v>-</v>
      </c>
      <c r="H379" s="334" t="str">
        <f>EPD!L101</f>
        <v>-</v>
      </c>
      <c r="I379">
        <f>EPD!M101</f>
        <v>0</v>
      </c>
      <c r="J379" s="311" t="str">
        <f>EPD!N101</f>
        <v>-</v>
      </c>
    </row>
    <row r="380" spans="1:10" x14ac:dyDescent="0.3">
      <c r="A380" t="str">
        <f>EPD!B102</f>
        <v>User input EPD100</v>
      </c>
      <c r="B380">
        <f>EPD!D102</f>
        <v>0</v>
      </c>
      <c r="C380">
        <f>EPD!C102</f>
        <v>0</v>
      </c>
      <c r="D380">
        <f>EPD!E102</f>
        <v>0</v>
      </c>
      <c r="E380">
        <f>EPD!F102</f>
        <v>0</v>
      </c>
      <c r="F380">
        <f>EPD!G102</f>
        <v>0</v>
      </c>
      <c r="G380" s="334" t="str">
        <f>EPD!J102</f>
        <v>-</v>
      </c>
      <c r="H380" s="334" t="str">
        <f>EPD!L102</f>
        <v>-</v>
      </c>
      <c r="I380">
        <f>EPD!M102</f>
        <v>0</v>
      </c>
      <c r="J380" s="311" t="str">
        <f>EPD!N102</f>
        <v>-</v>
      </c>
    </row>
    <row r="381" spans="1:10" x14ac:dyDescent="0.3">
      <c r="A381" t="str">
        <f>EPD!B103</f>
        <v>User input EPD101</v>
      </c>
      <c r="B381">
        <f>EPD!D103</f>
        <v>0</v>
      </c>
      <c r="C381">
        <f>EPD!C103</f>
        <v>0</v>
      </c>
      <c r="D381">
        <f>EPD!E103</f>
        <v>0</v>
      </c>
      <c r="E381">
        <f>EPD!F103</f>
        <v>0</v>
      </c>
      <c r="F381">
        <f>EPD!G103</f>
        <v>0</v>
      </c>
      <c r="G381" s="334" t="str">
        <f>EPD!J103</f>
        <v>-</v>
      </c>
      <c r="H381" s="334" t="str">
        <f>EPD!L103</f>
        <v>-</v>
      </c>
      <c r="I381">
        <f>EPD!M103</f>
        <v>0</v>
      </c>
      <c r="J381" s="311" t="str">
        <f>EPD!N103</f>
        <v>-</v>
      </c>
    </row>
    <row r="382" spans="1:10" x14ac:dyDescent="0.3">
      <c r="A382" t="str">
        <f>EPD!B104</f>
        <v>User input EPD102</v>
      </c>
      <c r="B382">
        <f>EPD!D104</f>
        <v>0</v>
      </c>
      <c r="C382">
        <f>EPD!C104</f>
        <v>0</v>
      </c>
      <c r="D382">
        <f>EPD!E104</f>
        <v>0</v>
      </c>
      <c r="E382">
        <f>EPD!F104</f>
        <v>0</v>
      </c>
      <c r="F382">
        <f>EPD!G104</f>
        <v>0</v>
      </c>
      <c r="G382" s="334" t="str">
        <f>EPD!J104</f>
        <v>-</v>
      </c>
      <c r="H382" s="334" t="str">
        <f>EPD!L104</f>
        <v>-</v>
      </c>
      <c r="I382">
        <f>EPD!M104</f>
        <v>0</v>
      </c>
      <c r="J382" s="311" t="str">
        <f>EPD!N104</f>
        <v>-</v>
      </c>
    </row>
    <row r="383" spans="1:10" x14ac:dyDescent="0.3">
      <c r="A383" t="str">
        <f>EPD!B105</f>
        <v>User input EPD103</v>
      </c>
      <c r="B383">
        <f>EPD!D105</f>
        <v>0</v>
      </c>
      <c r="C383">
        <f>EPD!C105</f>
        <v>0</v>
      </c>
      <c r="D383">
        <f>EPD!E105</f>
        <v>0</v>
      </c>
      <c r="E383">
        <f>EPD!F105</f>
        <v>0</v>
      </c>
      <c r="F383">
        <f>EPD!G105</f>
        <v>0</v>
      </c>
      <c r="G383" s="334" t="str">
        <f>EPD!J105</f>
        <v>-</v>
      </c>
      <c r="H383" s="334" t="str">
        <f>EPD!L105</f>
        <v>-</v>
      </c>
      <c r="I383">
        <f>EPD!M105</f>
        <v>0</v>
      </c>
      <c r="J383" s="311" t="str">
        <f>EPD!N105</f>
        <v>-</v>
      </c>
    </row>
    <row r="384" spans="1:10" x14ac:dyDescent="0.3">
      <c r="A384" t="str">
        <f>EPD!B106</f>
        <v>User input EPD104</v>
      </c>
      <c r="B384">
        <f>EPD!D106</f>
        <v>0</v>
      </c>
      <c r="C384">
        <f>EPD!C106</f>
        <v>0</v>
      </c>
      <c r="D384">
        <f>EPD!E106</f>
        <v>0</v>
      </c>
      <c r="E384">
        <f>EPD!F106</f>
        <v>0</v>
      </c>
      <c r="F384">
        <f>EPD!G106</f>
        <v>0</v>
      </c>
      <c r="G384" s="334" t="str">
        <f>EPD!J106</f>
        <v>-</v>
      </c>
      <c r="H384" s="334" t="str">
        <f>EPD!L106</f>
        <v>-</v>
      </c>
      <c r="I384">
        <f>EPD!M106</f>
        <v>0</v>
      </c>
      <c r="J384" s="311" t="str">
        <f>EPD!N106</f>
        <v>-</v>
      </c>
    </row>
    <row r="385" spans="1:10" x14ac:dyDescent="0.3">
      <c r="A385" t="str">
        <f>EPD!B107</f>
        <v>User input EPD105</v>
      </c>
      <c r="B385">
        <f>EPD!D107</f>
        <v>0</v>
      </c>
      <c r="C385">
        <f>EPD!C107</f>
        <v>0</v>
      </c>
      <c r="D385">
        <f>EPD!E107</f>
        <v>0</v>
      </c>
      <c r="E385">
        <f>EPD!F107</f>
        <v>0</v>
      </c>
      <c r="F385">
        <f>EPD!G107</f>
        <v>0</v>
      </c>
      <c r="G385" s="334" t="str">
        <f>EPD!J107</f>
        <v>-</v>
      </c>
      <c r="H385" s="334" t="str">
        <f>EPD!L107</f>
        <v>-</v>
      </c>
      <c r="I385">
        <f>EPD!M107</f>
        <v>0</v>
      </c>
      <c r="J385" s="311" t="str">
        <f>EPD!N107</f>
        <v>-</v>
      </c>
    </row>
    <row r="386" spans="1:10" x14ac:dyDescent="0.3">
      <c r="A386" t="str">
        <f>EPD!B108</f>
        <v>User input EPD106</v>
      </c>
      <c r="B386">
        <f>EPD!D108</f>
        <v>0</v>
      </c>
      <c r="C386">
        <f>EPD!C108</f>
        <v>0</v>
      </c>
      <c r="D386">
        <f>EPD!E108</f>
        <v>0</v>
      </c>
      <c r="E386">
        <f>EPD!F108</f>
        <v>0</v>
      </c>
      <c r="F386">
        <f>EPD!G108</f>
        <v>0</v>
      </c>
      <c r="G386" s="334" t="str">
        <f>EPD!J108</f>
        <v>-</v>
      </c>
      <c r="H386" s="334" t="str">
        <f>EPD!L108</f>
        <v>-</v>
      </c>
      <c r="I386">
        <f>EPD!M108</f>
        <v>0</v>
      </c>
      <c r="J386" s="311" t="str">
        <f>EPD!N108</f>
        <v>-</v>
      </c>
    </row>
    <row r="387" spans="1:10" x14ac:dyDescent="0.3">
      <c r="A387" t="str">
        <f>EPD!B109</f>
        <v>User input EPD107</v>
      </c>
      <c r="B387">
        <f>EPD!D109</f>
        <v>0</v>
      </c>
      <c r="C387">
        <f>EPD!C109</f>
        <v>0</v>
      </c>
      <c r="D387">
        <f>EPD!E109</f>
        <v>0</v>
      </c>
      <c r="E387">
        <f>EPD!F109</f>
        <v>0</v>
      </c>
      <c r="F387">
        <f>EPD!G109</f>
        <v>0</v>
      </c>
      <c r="G387" s="334" t="str">
        <f>EPD!J109</f>
        <v>-</v>
      </c>
      <c r="H387" s="334" t="str">
        <f>EPD!L109</f>
        <v>-</v>
      </c>
      <c r="I387">
        <f>EPD!M109</f>
        <v>0</v>
      </c>
      <c r="J387" s="311" t="str">
        <f>EPD!N109</f>
        <v>-</v>
      </c>
    </row>
    <row r="388" spans="1:10" x14ac:dyDescent="0.3">
      <c r="A388" t="str">
        <f>EPD!B110</f>
        <v>User input EPD108</v>
      </c>
      <c r="B388">
        <f>EPD!D110</f>
        <v>0</v>
      </c>
      <c r="C388">
        <f>EPD!C110</f>
        <v>0</v>
      </c>
      <c r="D388">
        <f>EPD!E110</f>
        <v>0</v>
      </c>
      <c r="E388">
        <f>EPD!F110</f>
        <v>0</v>
      </c>
      <c r="F388">
        <f>EPD!G110</f>
        <v>0</v>
      </c>
      <c r="G388" s="334" t="str">
        <f>EPD!J110</f>
        <v>-</v>
      </c>
      <c r="H388" s="334" t="str">
        <f>EPD!L110</f>
        <v>-</v>
      </c>
      <c r="I388">
        <f>EPD!M110</f>
        <v>0</v>
      </c>
      <c r="J388" s="311" t="str">
        <f>EPD!N110</f>
        <v>-</v>
      </c>
    </row>
    <row r="389" spans="1:10" x14ac:dyDescent="0.3">
      <c r="A389" t="str">
        <f>EPD!B111</f>
        <v>User input EPD109</v>
      </c>
      <c r="B389">
        <f>EPD!D111</f>
        <v>0</v>
      </c>
      <c r="C389">
        <f>EPD!C111</f>
        <v>0</v>
      </c>
      <c r="D389">
        <f>EPD!E111</f>
        <v>0</v>
      </c>
      <c r="E389">
        <f>EPD!F111</f>
        <v>0</v>
      </c>
      <c r="F389">
        <f>EPD!G111</f>
        <v>0</v>
      </c>
      <c r="G389" s="334" t="str">
        <f>EPD!J111</f>
        <v>-</v>
      </c>
      <c r="H389" s="334" t="str">
        <f>EPD!L111</f>
        <v>-</v>
      </c>
      <c r="I389">
        <f>EPD!M111</f>
        <v>0</v>
      </c>
      <c r="J389" s="311" t="str">
        <f>EPD!N111</f>
        <v>-</v>
      </c>
    </row>
    <row r="390" spans="1:10" x14ac:dyDescent="0.3">
      <c r="A390" t="str">
        <f>EPD!B112</f>
        <v>User input EPD110</v>
      </c>
      <c r="B390">
        <f>EPD!D112</f>
        <v>0</v>
      </c>
      <c r="C390">
        <f>EPD!C112</f>
        <v>0</v>
      </c>
      <c r="D390">
        <f>EPD!E112</f>
        <v>0</v>
      </c>
      <c r="E390">
        <f>EPD!F112</f>
        <v>0</v>
      </c>
      <c r="F390">
        <f>EPD!G112</f>
        <v>0</v>
      </c>
      <c r="G390" s="334" t="str">
        <f>EPD!J112</f>
        <v>-</v>
      </c>
      <c r="H390" s="334" t="str">
        <f>EPD!L112</f>
        <v>-</v>
      </c>
      <c r="I390">
        <f>EPD!M112</f>
        <v>0</v>
      </c>
      <c r="J390" s="311" t="str">
        <f>EPD!N112</f>
        <v>-</v>
      </c>
    </row>
    <row r="391" spans="1:10" x14ac:dyDescent="0.3">
      <c r="A391" t="str">
        <f>EPD!B113</f>
        <v>User input EPD111</v>
      </c>
      <c r="B391">
        <f>EPD!D113</f>
        <v>0</v>
      </c>
      <c r="C391">
        <f>EPD!C113</f>
        <v>0</v>
      </c>
      <c r="D391">
        <f>EPD!E113</f>
        <v>0</v>
      </c>
      <c r="E391">
        <f>EPD!F113</f>
        <v>0</v>
      </c>
      <c r="F391">
        <f>EPD!G113</f>
        <v>0</v>
      </c>
      <c r="G391" s="334" t="str">
        <f>EPD!J113</f>
        <v>-</v>
      </c>
      <c r="H391" s="334" t="str">
        <f>EPD!L113</f>
        <v>-</v>
      </c>
      <c r="I391">
        <f>EPD!M113</f>
        <v>0</v>
      </c>
      <c r="J391" s="311" t="str">
        <f>EPD!N113</f>
        <v>-</v>
      </c>
    </row>
    <row r="392" spans="1:10" x14ac:dyDescent="0.3">
      <c r="A392" t="str">
        <f>EPD!B114</f>
        <v>User input EPD112</v>
      </c>
      <c r="B392">
        <f>EPD!D114</f>
        <v>0</v>
      </c>
      <c r="C392">
        <f>EPD!C114</f>
        <v>0</v>
      </c>
      <c r="D392">
        <f>EPD!E114</f>
        <v>0</v>
      </c>
      <c r="E392">
        <f>EPD!F114</f>
        <v>0</v>
      </c>
      <c r="F392">
        <f>EPD!G114</f>
        <v>0</v>
      </c>
      <c r="G392" s="334" t="str">
        <f>EPD!J114</f>
        <v>-</v>
      </c>
      <c r="H392" s="334" t="str">
        <f>EPD!L114</f>
        <v>-</v>
      </c>
      <c r="I392">
        <f>EPD!M114</f>
        <v>0</v>
      </c>
      <c r="J392" s="311" t="str">
        <f>EPD!N114</f>
        <v>-</v>
      </c>
    </row>
    <row r="393" spans="1:10" x14ac:dyDescent="0.3">
      <c r="A393" t="str">
        <f>EPD!B115</f>
        <v>User input EPD113</v>
      </c>
      <c r="B393">
        <f>EPD!D115</f>
        <v>0</v>
      </c>
      <c r="C393">
        <f>EPD!C115</f>
        <v>0</v>
      </c>
      <c r="D393">
        <f>EPD!E115</f>
        <v>0</v>
      </c>
      <c r="E393">
        <f>EPD!F115</f>
        <v>0</v>
      </c>
      <c r="F393">
        <f>EPD!G115</f>
        <v>0</v>
      </c>
      <c r="G393" s="334" t="str">
        <f>EPD!J115</f>
        <v>-</v>
      </c>
      <c r="H393" s="334" t="str">
        <f>EPD!L115</f>
        <v>-</v>
      </c>
      <c r="I393">
        <f>EPD!M115</f>
        <v>0</v>
      </c>
      <c r="J393" s="311" t="str">
        <f>EPD!N115</f>
        <v>-</v>
      </c>
    </row>
    <row r="394" spans="1:10" x14ac:dyDescent="0.3">
      <c r="A394" t="str">
        <f>EPD!B116</f>
        <v>User input EPD114</v>
      </c>
      <c r="B394">
        <f>EPD!D116</f>
        <v>0</v>
      </c>
      <c r="C394">
        <f>EPD!C116</f>
        <v>0</v>
      </c>
      <c r="D394">
        <f>EPD!E116</f>
        <v>0</v>
      </c>
      <c r="E394">
        <f>EPD!F116</f>
        <v>0</v>
      </c>
      <c r="F394">
        <f>EPD!G116</f>
        <v>0</v>
      </c>
      <c r="G394" s="334" t="str">
        <f>EPD!J116</f>
        <v>-</v>
      </c>
      <c r="H394" s="334" t="str">
        <f>EPD!L116</f>
        <v>-</v>
      </c>
      <c r="I394">
        <f>EPD!M116</f>
        <v>0</v>
      </c>
      <c r="J394" s="311" t="str">
        <f>EPD!N116</f>
        <v>-</v>
      </c>
    </row>
    <row r="395" spans="1:10" x14ac:dyDescent="0.3">
      <c r="A395" t="str">
        <f>EPD!B117</f>
        <v>User input EPD115</v>
      </c>
      <c r="B395">
        <f>EPD!D117</f>
        <v>0</v>
      </c>
      <c r="C395">
        <f>EPD!C117</f>
        <v>0</v>
      </c>
      <c r="D395">
        <f>EPD!E117</f>
        <v>0</v>
      </c>
      <c r="E395">
        <f>EPD!F117</f>
        <v>0</v>
      </c>
      <c r="F395">
        <f>EPD!G117</f>
        <v>0</v>
      </c>
      <c r="G395" s="334" t="str">
        <f>EPD!J117</f>
        <v>-</v>
      </c>
      <c r="H395" s="334" t="str">
        <f>EPD!L117</f>
        <v>-</v>
      </c>
      <c r="I395">
        <f>EPD!M117</f>
        <v>0</v>
      </c>
      <c r="J395" s="311" t="str">
        <f>EPD!N117</f>
        <v>-</v>
      </c>
    </row>
    <row r="396" spans="1:10" x14ac:dyDescent="0.3">
      <c r="A396" t="str">
        <f>EPD!B118</f>
        <v>User input EPD116</v>
      </c>
      <c r="B396">
        <f>EPD!D118</f>
        <v>0</v>
      </c>
      <c r="C396">
        <f>EPD!C118</f>
        <v>0</v>
      </c>
      <c r="D396">
        <f>EPD!E118</f>
        <v>0</v>
      </c>
      <c r="E396">
        <f>EPD!F118</f>
        <v>0</v>
      </c>
      <c r="F396">
        <f>EPD!G118</f>
        <v>0</v>
      </c>
      <c r="G396" s="334" t="str">
        <f>EPD!J118</f>
        <v>-</v>
      </c>
      <c r="H396" s="334" t="str">
        <f>EPD!L118</f>
        <v>-</v>
      </c>
      <c r="I396">
        <f>EPD!M118</f>
        <v>0</v>
      </c>
      <c r="J396" s="311" t="str">
        <f>EPD!N118</f>
        <v>-</v>
      </c>
    </row>
    <row r="397" spans="1:10" x14ac:dyDescent="0.3">
      <c r="A397" t="str">
        <f>EPD!B119</f>
        <v>User input EPD117</v>
      </c>
      <c r="B397">
        <f>EPD!D119</f>
        <v>0</v>
      </c>
      <c r="C397">
        <f>EPD!C119</f>
        <v>0</v>
      </c>
      <c r="D397">
        <f>EPD!E119</f>
        <v>0</v>
      </c>
      <c r="E397">
        <f>EPD!F119</f>
        <v>0</v>
      </c>
      <c r="F397">
        <f>EPD!G119</f>
        <v>0</v>
      </c>
      <c r="G397" s="334" t="str">
        <f>EPD!J119</f>
        <v>-</v>
      </c>
      <c r="H397" s="334" t="str">
        <f>EPD!L119</f>
        <v>-</v>
      </c>
      <c r="I397">
        <f>EPD!M119</f>
        <v>0</v>
      </c>
      <c r="J397" s="311" t="str">
        <f>EPD!N119</f>
        <v>-</v>
      </c>
    </row>
    <row r="398" spans="1:10" x14ac:dyDescent="0.3">
      <c r="A398" t="str">
        <f>EPD!B120</f>
        <v>User input EPD118</v>
      </c>
      <c r="B398">
        <f>EPD!D120</f>
        <v>0</v>
      </c>
      <c r="C398">
        <f>EPD!C120</f>
        <v>0</v>
      </c>
      <c r="D398">
        <f>EPD!E120</f>
        <v>0</v>
      </c>
      <c r="E398">
        <f>EPD!F120</f>
        <v>0</v>
      </c>
      <c r="F398">
        <f>EPD!G120</f>
        <v>0</v>
      </c>
      <c r="G398" s="334" t="str">
        <f>EPD!J120</f>
        <v>-</v>
      </c>
      <c r="H398" s="334" t="str">
        <f>EPD!L120</f>
        <v>-</v>
      </c>
      <c r="I398">
        <f>EPD!M120</f>
        <v>0</v>
      </c>
      <c r="J398" s="311" t="str">
        <f>EPD!N120</f>
        <v>-</v>
      </c>
    </row>
    <row r="399" spans="1:10" x14ac:dyDescent="0.3">
      <c r="A399" t="str">
        <f>EPD!B121</f>
        <v>User input EPD119</v>
      </c>
      <c r="B399">
        <f>EPD!D121</f>
        <v>0</v>
      </c>
      <c r="C399">
        <f>EPD!C121</f>
        <v>0</v>
      </c>
      <c r="D399">
        <f>EPD!E121</f>
        <v>0</v>
      </c>
      <c r="E399">
        <f>EPD!F121</f>
        <v>0</v>
      </c>
      <c r="F399">
        <f>EPD!G121</f>
        <v>0</v>
      </c>
      <c r="G399" s="334" t="str">
        <f>EPD!J121</f>
        <v>-</v>
      </c>
      <c r="H399" s="334" t="str">
        <f>EPD!L121</f>
        <v>-</v>
      </c>
      <c r="I399">
        <f>EPD!M121</f>
        <v>0</v>
      </c>
      <c r="J399" s="311" t="str">
        <f>EPD!N121</f>
        <v>-</v>
      </c>
    </row>
    <row r="400" spans="1:10" x14ac:dyDescent="0.3">
      <c r="A400" t="str">
        <f>EPD!B122</f>
        <v>User input EPD120</v>
      </c>
      <c r="B400">
        <f>EPD!D122</f>
        <v>0</v>
      </c>
      <c r="C400">
        <f>EPD!C122</f>
        <v>0</v>
      </c>
      <c r="D400">
        <f>EPD!E122</f>
        <v>0</v>
      </c>
      <c r="E400">
        <f>EPD!F122</f>
        <v>0</v>
      </c>
      <c r="F400">
        <f>EPD!G122</f>
        <v>0</v>
      </c>
      <c r="G400" s="334" t="str">
        <f>EPD!J122</f>
        <v>-</v>
      </c>
      <c r="H400" s="334" t="str">
        <f>EPD!L122</f>
        <v>-</v>
      </c>
      <c r="I400">
        <f>EPD!M122</f>
        <v>0</v>
      </c>
      <c r="J400" s="311" t="str">
        <f>EPD!N122</f>
        <v>-</v>
      </c>
    </row>
    <row r="401" spans="1:10" x14ac:dyDescent="0.3">
      <c r="A401" t="str">
        <f>EPD!B123</f>
        <v>User input EPD121</v>
      </c>
      <c r="B401">
        <f>EPD!D123</f>
        <v>0</v>
      </c>
      <c r="C401">
        <f>EPD!C123</f>
        <v>0</v>
      </c>
      <c r="D401">
        <f>EPD!E123</f>
        <v>0</v>
      </c>
      <c r="E401">
        <f>EPD!F123</f>
        <v>0</v>
      </c>
      <c r="F401">
        <f>EPD!G123</f>
        <v>0</v>
      </c>
      <c r="G401" s="334" t="str">
        <f>EPD!J123</f>
        <v>-</v>
      </c>
      <c r="H401" s="334" t="str">
        <f>EPD!L123</f>
        <v>-</v>
      </c>
      <c r="I401">
        <f>EPD!M123</f>
        <v>0</v>
      </c>
      <c r="J401" s="311" t="str">
        <f>EPD!N123</f>
        <v>-</v>
      </c>
    </row>
    <row r="402" spans="1:10" x14ac:dyDescent="0.3">
      <c r="A402" t="str">
        <f>EPD!B124</f>
        <v>User input EPD122</v>
      </c>
      <c r="B402">
        <f>EPD!D124</f>
        <v>0</v>
      </c>
      <c r="C402">
        <f>EPD!C124</f>
        <v>0</v>
      </c>
      <c r="D402">
        <f>EPD!E124</f>
        <v>0</v>
      </c>
      <c r="E402">
        <f>EPD!F124</f>
        <v>0</v>
      </c>
      <c r="F402">
        <f>EPD!G124</f>
        <v>0</v>
      </c>
      <c r="G402" s="334" t="str">
        <f>EPD!J124</f>
        <v>-</v>
      </c>
      <c r="H402" s="334" t="str">
        <f>EPD!L124</f>
        <v>-</v>
      </c>
      <c r="I402">
        <f>EPD!M124</f>
        <v>0</v>
      </c>
      <c r="J402" s="311" t="str">
        <f>EPD!N124</f>
        <v>-</v>
      </c>
    </row>
    <row r="403" spans="1:10" x14ac:dyDescent="0.3">
      <c r="A403" t="str">
        <f>EPD!B125</f>
        <v>User input EPD123</v>
      </c>
      <c r="B403">
        <f>EPD!D125</f>
        <v>0</v>
      </c>
      <c r="C403">
        <f>EPD!C125</f>
        <v>0</v>
      </c>
      <c r="D403">
        <f>EPD!E125</f>
        <v>0</v>
      </c>
      <c r="E403">
        <f>EPD!F125</f>
        <v>0</v>
      </c>
      <c r="F403">
        <f>EPD!G125</f>
        <v>0</v>
      </c>
      <c r="G403" s="334" t="str">
        <f>EPD!J125</f>
        <v>-</v>
      </c>
      <c r="H403" s="334" t="str">
        <f>EPD!L125</f>
        <v>-</v>
      </c>
      <c r="I403">
        <f>EPD!M125</f>
        <v>0</v>
      </c>
      <c r="J403" s="311" t="str">
        <f>EPD!N125</f>
        <v>-</v>
      </c>
    </row>
    <row r="404" spans="1:10" x14ac:dyDescent="0.3">
      <c r="A404" t="str">
        <f>EPD!B126</f>
        <v>User input EPD124</v>
      </c>
      <c r="B404">
        <f>EPD!D126</f>
        <v>0</v>
      </c>
      <c r="C404">
        <f>EPD!C126</f>
        <v>0</v>
      </c>
      <c r="D404">
        <f>EPD!E126</f>
        <v>0</v>
      </c>
      <c r="E404">
        <f>EPD!F126</f>
        <v>0</v>
      </c>
      <c r="F404">
        <f>EPD!G126</f>
        <v>0</v>
      </c>
      <c r="G404" s="334" t="str">
        <f>EPD!J126</f>
        <v>-</v>
      </c>
      <c r="H404" s="334" t="str">
        <f>EPD!L126</f>
        <v>-</v>
      </c>
      <c r="I404">
        <f>EPD!M126</f>
        <v>0</v>
      </c>
      <c r="J404" s="311" t="str">
        <f>EPD!N126</f>
        <v>-</v>
      </c>
    </row>
    <row r="405" spans="1:10" x14ac:dyDescent="0.3">
      <c r="A405" t="str">
        <f>EPD!B127</f>
        <v>User input EPD125</v>
      </c>
      <c r="B405">
        <f>EPD!D127</f>
        <v>0</v>
      </c>
      <c r="C405">
        <f>EPD!C127</f>
        <v>0</v>
      </c>
      <c r="D405">
        <f>EPD!E127</f>
        <v>0</v>
      </c>
      <c r="E405">
        <f>EPD!F127</f>
        <v>0</v>
      </c>
      <c r="F405">
        <f>EPD!G127</f>
        <v>0</v>
      </c>
      <c r="G405" s="334" t="str">
        <f>EPD!J127</f>
        <v>-</v>
      </c>
      <c r="H405" s="334" t="str">
        <f>EPD!L127</f>
        <v>-</v>
      </c>
      <c r="I405">
        <f>EPD!M127</f>
        <v>0</v>
      </c>
      <c r="J405" s="311" t="str">
        <f>EPD!N127</f>
        <v>-</v>
      </c>
    </row>
    <row r="406" spans="1:10" x14ac:dyDescent="0.3">
      <c r="A406" t="str">
        <f>EPD!B128</f>
        <v>User input EPD126</v>
      </c>
      <c r="B406">
        <f>EPD!D128</f>
        <v>0</v>
      </c>
      <c r="C406">
        <f>EPD!C128</f>
        <v>0</v>
      </c>
      <c r="D406">
        <f>EPD!E128</f>
        <v>0</v>
      </c>
      <c r="E406">
        <f>EPD!F128</f>
        <v>0</v>
      </c>
      <c r="F406">
        <f>EPD!G128</f>
        <v>0</v>
      </c>
      <c r="G406" s="334" t="str">
        <f>EPD!J128</f>
        <v>-</v>
      </c>
      <c r="H406" s="334" t="str">
        <f>EPD!L128</f>
        <v>-</v>
      </c>
      <c r="I406">
        <f>EPD!M128</f>
        <v>0</v>
      </c>
      <c r="J406" s="311" t="str">
        <f>EPD!N128</f>
        <v>-</v>
      </c>
    </row>
    <row r="407" spans="1:10" x14ac:dyDescent="0.3">
      <c r="A407" t="str">
        <f>EPD!B129</f>
        <v>User input EPD127</v>
      </c>
      <c r="B407">
        <f>EPD!D129</f>
        <v>0</v>
      </c>
      <c r="C407">
        <f>EPD!C129</f>
        <v>0</v>
      </c>
      <c r="D407">
        <f>EPD!E129</f>
        <v>0</v>
      </c>
      <c r="E407">
        <f>EPD!F129</f>
        <v>0</v>
      </c>
      <c r="F407">
        <f>EPD!G129</f>
        <v>0</v>
      </c>
      <c r="G407" s="334" t="str">
        <f>EPD!J129</f>
        <v>-</v>
      </c>
      <c r="H407" s="334" t="str">
        <f>EPD!L129</f>
        <v>-</v>
      </c>
      <c r="I407">
        <f>EPD!M129</f>
        <v>0</v>
      </c>
      <c r="J407" s="311" t="str">
        <f>EPD!N129</f>
        <v>-</v>
      </c>
    </row>
    <row r="408" spans="1:10" x14ac:dyDescent="0.3">
      <c r="A408" t="str">
        <f>EPD!B130</f>
        <v>User input EPD128</v>
      </c>
      <c r="B408">
        <f>EPD!D130</f>
        <v>0</v>
      </c>
      <c r="C408">
        <f>EPD!C130</f>
        <v>0</v>
      </c>
      <c r="D408">
        <f>EPD!E130</f>
        <v>0</v>
      </c>
      <c r="E408">
        <f>EPD!F130</f>
        <v>0</v>
      </c>
      <c r="F408">
        <f>EPD!G130</f>
        <v>0</v>
      </c>
      <c r="G408" s="334" t="str">
        <f>EPD!J130</f>
        <v>-</v>
      </c>
      <c r="H408" s="334" t="str">
        <f>EPD!L130</f>
        <v>-</v>
      </c>
      <c r="I408">
        <f>EPD!M130</f>
        <v>0</v>
      </c>
      <c r="J408" s="311" t="str">
        <f>EPD!N130</f>
        <v>-</v>
      </c>
    </row>
    <row r="409" spans="1:10" x14ac:dyDescent="0.3">
      <c r="A409" t="str">
        <f>EPD!B131</f>
        <v>User input EPD129</v>
      </c>
      <c r="B409">
        <f>EPD!D131</f>
        <v>0</v>
      </c>
      <c r="C409">
        <f>EPD!C131</f>
        <v>0</v>
      </c>
      <c r="D409">
        <f>EPD!E131</f>
        <v>0</v>
      </c>
      <c r="E409">
        <f>EPD!F131</f>
        <v>0</v>
      </c>
      <c r="F409">
        <f>EPD!G131</f>
        <v>0</v>
      </c>
      <c r="G409" s="334" t="str">
        <f>EPD!J131</f>
        <v>-</v>
      </c>
      <c r="H409" s="334" t="str">
        <f>EPD!L131</f>
        <v>-</v>
      </c>
      <c r="I409">
        <f>EPD!M131</f>
        <v>0</v>
      </c>
      <c r="J409" s="311" t="str">
        <f>EPD!N131</f>
        <v>-</v>
      </c>
    </row>
    <row r="410" spans="1:10" x14ac:dyDescent="0.3">
      <c r="A410" t="str">
        <f>EPD!B132</f>
        <v>User input EPD130</v>
      </c>
      <c r="B410">
        <f>EPD!D132</f>
        <v>0</v>
      </c>
      <c r="C410">
        <f>EPD!C132</f>
        <v>0</v>
      </c>
      <c r="D410">
        <f>EPD!E132</f>
        <v>0</v>
      </c>
      <c r="E410">
        <f>EPD!F132</f>
        <v>0</v>
      </c>
      <c r="F410">
        <f>EPD!G132</f>
        <v>0</v>
      </c>
      <c r="G410" s="334" t="str">
        <f>EPD!J132</f>
        <v>-</v>
      </c>
      <c r="H410" s="334" t="str">
        <f>EPD!L132</f>
        <v>-</v>
      </c>
      <c r="I410">
        <f>EPD!M132</f>
        <v>0</v>
      </c>
      <c r="J410" s="311" t="str">
        <f>EPD!N132</f>
        <v>-</v>
      </c>
    </row>
    <row r="411" spans="1:10" x14ac:dyDescent="0.3">
      <c r="A411" t="str">
        <f>EPD!B133</f>
        <v>User input EPD131</v>
      </c>
      <c r="B411">
        <f>EPD!D133</f>
        <v>0</v>
      </c>
      <c r="C411">
        <f>EPD!C133</f>
        <v>0</v>
      </c>
      <c r="D411">
        <f>EPD!E133</f>
        <v>0</v>
      </c>
      <c r="E411">
        <f>EPD!F133</f>
        <v>0</v>
      </c>
      <c r="F411">
        <f>EPD!G133</f>
        <v>0</v>
      </c>
      <c r="G411" s="334" t="str">
        <f>EPD!J133</f>
        <v>-</v>
      </c>
      <c r="H411" s="334" t="str">
        <f>EPD!L133</f>
        <v>-</v>
      </c>
      <c r="I411">
        <f>EPD!M133</f>
        <v>0</v>
      </c>
      <c r="J411" s="311" t="str">
        <f>EPD!N133</f>
        <v>-</v>
      </c>
    </row>
    <row r="412" spans="1:10" x14ac:dyDescent="0.3">
      <c r="A412" t="str">
        <f>EPD!B134</f>
        <v>User input EPD132</v>
      </c>
      <c r="B412">
        <f>EPD!D134</f>
        <v>0</v>
      </c>
      <c r="C412">
        <f>EPD!C134</f>
        <v>0</v>
      </c>
      <c r="D412">
        <f>EPD!E134</f>
        <v>0</v>
      </c>
      <c r="E412">
        <f>EPD!F134</f>
        <v>0</v>
      </c>
      <c r="F412">
        <f>EPD!G134</f>
        <v>0</v>
      </c>
      <c r="G412" s="334" t="str">
        <f>EPD!J134</f>
        <v>-</v>
      </c>
      <c r="H412" s="334" t="str">
        <f>EPD!L134</f>
        <v>-</v>
      </c>
      <c r="I412">
        <f>EPD!M134</f>
        <v>0</v>
      </c>
      <c r="J412" s="311" t="str">
        <f>EPD!N134</f>
        <v>-</v>
      </c>
    </row>
    <row r="413" spans="1:10" x14ac:dyDescent="0.3">
      <c r="A413" t="str">
        <f>EPD!B135</f>
        <v>User input EPD133</v>
      </c>
      <c r="B413">
        <f>EPD!D135</f>
        <v>0</v>
      </c>
      <c r="C413">
        <f>EPD!C135</f>
        <v>0</v>
      </c>
      <c r="D413">
        <f>EPD!E135</f>
        <v>0</v>
      </c>
      <c r="E413">
        <f>EPD!F135</f>
        <v>0</v>
      </c>
      <c r="F413">
        <f>EPD!G135</f>
        <v>0</v>
      </c>
      <c r="G413" s="334" t="str">
        <f>EPD!J135</f>
        <v>-</v>
      </c>
      <c r="H413" s="334" t="str">
        <f>EPD!L135</f>
        <v>-</v>
      </c>
      <c r="I413">
        <f>EPD!M135</f>
        <v>0</v>
      </c>
      <c r="J413" s="311" t="str">
        <f>EPD!N135</f>
        <v>-</v>
      </c>
    </row>
    <row r="414" spans="1:10" x14ac:dyDescent="0.3">
      <c r="A414" t="str">
        <f>EPD!B136</f>
        <v>User input EPD134</v>
      </c>
      <c r="B414">
        <f>EPD!D136</f>
        <v>0</v>
      </c>
      <c r="C414">
        <f>EPD!C136</f>
        <v>0</v>
      </c>
      <c r="D414">
        <f>EPD!E136</f>
        <v>0</v>
      </c>
      <c r="E414">
        <f>EPD!F136</f>
        <v>0</v>
      </c>
      <c r="F414">
        <f>EPD!G136</f>
        <v>0</v>
      </c>
      <c r="G414" s="334" t="str">
        <f>EPD!J136</f>
        <v>-</v>
      </c>
      <c r="H414" s="334" t="str">
        <f>EPD!L136</f>
        <v>-</v>
      </c>
      <c r="I414">
        <f>EPD!M136</f>
        <v>0</v>
      </c>
      <c r="J414" s="311" t="str">
        <f>EPD!N136</f>
        <v>-</v>
      </c>
    </row>
    <row r="415" spans="1:10" x14ac:dyDescent="0.3">
      <c r="A415" t="str">
        <f>EPD!B137</f>
        <v>User input EPD135</v>
      </c>
      <c r="B415">
        <f>EPD!D137</f>
        <v>0</v>
      </c>
      <c r="C415">
        <f>EPD!C137</f>
        <v>0</v>
      </c>
      <c r="D415">
        <f>EPD!E137</f>
        <v>0</v>
      </c>
      <c r="E415">
        <f>EPD!F137</f>
        <v>0</v>
      </c>
      <c r="F415">
        <f>EPD!G137</f>
        <v>0</v>
      </c>
      <c r="G415" s="334" t="str">
        <f>EPD!J137</f>
        <v>-</v>
      </c>
      <c r="H415" s="334" t="str">
        <f>EPD!L137</f>
        <v>-</v>
      </c>
      <c r="I415">
        <f>EPD!M137</f>
        <v>0</v>
      </c>
      <c r="J415" s="311" t="str">
        <f>EPD!N137</f>
        <v>-</v>
      </c>
    </row>
    <row r="416" spans="1:10" x14ac:dyDescent="0.3">
      <c r="A416" t="str">
        <f>EPD!B138</f>
        <v>User input EPD136</v>
      </c>
      <c r="B416">
        <f>EPD!D138</f>
        <v>0</v>
      </c>
      <c r="C416">
        <f>EPD!C138</f>
        <v>0</v>
      </c>
      <c r="D416">
        <f>EPD!E138</f>
        <v>0</v>
      </c>
      <c r="E416">
        <f>EPD!F138</f>
        <v>0</v>
      </c>
      <c r="F416">
        <f>EPD!G138</f>
        <v>0</v>
      </c>
      <c r="G416" s="334" t="str">
        <f>EPD!J138</f>
        <v>-</v>
      </c>
      <c r="H416" s="334" t="str">
        <f>EPD!L138</f>
        <v>-</v>
      </c>
      <c r="I416">
        <f>EPD!M138</f>
        <v>0</v>
      </c>
      <c r="J416" s="311" t="str">
        <f>EPD!N138</f>
        <v>-</v>
      </c>
    </row>
    <row r="417" spans="1:10" x14ac:dyDescent="0.3">
      <c r="A417" t="str">
        <f>EPD!B139</f>
        <v>User input EPD137</v>
      </c>
      <c r="B417">
        <f>EPD!D139</f>
        <v>0</v>
      </c>
      <c r="C417">
        <f>EPD!C139</f>
        <v>0</v>
      </c>
      <c r="D417">
        <f>EPD!E139</f>
        <v>0</v>
      </c>
      <c r="E417">
        <f>EPD!F139</f>
        <v>0</v>
      </c>
      <c r="F417">
        <f>EPD!G139</f>
        <v>0</v>
      </c>
      <c r="G417" s="334" t="str">
        <f>EPD!J139</f>
        <v>-</v>
      </c>
      <c r="H417" s="334" t="str">
        <f>EPD!L139</f>
        <v>-</v>
      </c>
      <c r="I417">
        <f>EPD!M139</f>
        <v>0</v>
      </c>
      <c r="J417" s="311" t="str">
        <f>EPD!N139</f>
        <v>-</v>
      </c>
    </row>
    <row r="418" spans="1:10" x14ac:dyDescent="0.3">
      <c r="A418" t="str">
        <f>EPD!B140</f>
        <v>User input EPD138</v>
      </c>
      <c r="B418">
        <f>EPD!D140</f>
        <v>0</v>
      </c>
      <c r="C418">
        <f>EPD!C140</f>
        <v>0</v>
      </c>
      <c r="D418">
        <f>EPD!E140</f>
        <v>0</v>
      </c>
      <c r="E418">
        <f>EPD!F140</f>
        <v>0</v>
      </c>
      <c r="F418">
        <f>EPD!G140</f>
        <v>0</v>
      </c>
      <c r="G418" s="334" t="str">
        <f>EPD!J140</f>
        <v>-</v>
      </c>
      <c r="H418" s="334" t="str">
        <f>EPD!L140</f>
        <v>-</v>
      </c>
      <c r="I418">
        <f>EPD!M140</f>
        <v>0</v>
      </c>
      <c r="J418" s="311" t="str">
        <f>EPD!N140</f>
        <v>-</v>
      </c>
    </row>
    <row r="419" spans="1:10" x14ac:dyDescent="0.3">
      <c r="A419" t="str">
        <f>EPD!B141</f>
        <v>User input EPD139</v>
      </c>
      <c r="B419">
        <f>EPD!D141</f>
        <v>0</v>
      </c>
      <c r="C419">
        <f>EPD!C141</f>
        <v>0</v>
      </c>
      <c r="D419">
        <f>EPD!E141</f>
        <v>0</v>
      </c>
      <c r="E419">
        <f>EPD!F141</f>
        <v>0</v>
      </c>
      <c r="F419">
        <f>EPD!G141</f>
        <v>0</v>
      </c>
      <c r="G419" s="334" t="str">
        <f>EPD!J141</f>
        <v>-</v>
      </c>
      <c r="H419" s="334" t="str">
        <f>EPD!L141</f>
        <v>-</v>
      </c>
      <c r="I419">
        <f>EPD!M141</f>
        <v>0</v>
      </c>
      <c r="J419" s="311" t="str">
        <f>EPD!N141</f>
        <v>-</v>
      </c>
    </row>
    <row r="420" spans="1:10" x14ac:dyDescent="0.3">
      <c r="A420" t="str">
        <f>EPD!B142</f>
        <v>User input EPD140</v>
      </c>
      <c r="B420">
        <f>EPD!D142</f>
        <v>0</v>
      </c>
      <c r="C420">
        <f>EPD!C142</f>
        <v>0</v>
      </c>
      <c r="D420">
        <f>EPD!E142</f>
        <v>0</v>
      </c>
      <c r="E420">
        <f>EPD!F142</f>
        <v>0</v>
      </c>
      <c r="F420">
        <f>EPD!G142</f>
        <v>0</v>
      </c>
      <c r="G420" s="334" t="str">
        <f>EPD!J142</f>
        <v>-</v>
      </c>
      <c r="H420" s="334" t="str">
        <f>EPD!L142</f>
        <v>-</v>
      </c>
      <c r="I420">
        <f>EPD!M142</f>
        <v>0</v>
      </c>
      <c r="J420" s="311" t="str">
        <f>EPD!N142</f>
        <v>-</v>
      </c>
    </row>
    <row r="421" spans="1:10" x14ac:dyDescent="0.3">
      <c r="A421" t="str">
        <f>EPD!B143</f>
        <v>User input EPD141</v>
      </c>
      <c r="B421">
        <f>EPD!D143</f>
        <v>0</v>
      </c>
      <c r="C421">
        <f>EPD!C143</f>
        <v>0</v>
      </c>
      <c r="D421">
        <f>EPD!E143</f>
        <v>0</v>
      </c>
      <c r="E421">
        <f>EPD!F143</f>
        <v>0</v>
      </c>
      <c r="F421">
        <f>EPD!G143</f>
        <v>0</v>
      </c>
      <c r="G421" s="334" t="str">
        <f>EPD!J143</f>
        <v>-</v>
      </c>
      <c r="H421" s="334" t="str">
        <f>EPD!L143</f>
        <v>-</v>
      </c>
      <c r="I421">
        <f>EPD!M143</f>
        <v>0</v>
      </c>
      <c r="J421" s="311" t="str">
        <f>EPD!N143</f>
        <v>-</v>
      </c>
    </row>
    <row r="422" spans="1:10" x14ac:dyDescent="0.3">
      <c r="A422" t="str">
        <f>EPD!B144</f>
        <v>User input EPD142</v>
      </c>
      <c r="B422">
        <f>EPD!D144</f>
        <v>0</v>
      </c>
      <c r="C422">
        <f>EPD!C144</f>
        <v>0</v>
      </c>
      <c r="D422">
        <f>EPD!E144</f>
        <v>0</v>
      </c>
      <c r="E422">
        <f>EPD!F144</f>
        <v>0</v>
      </c>
      <c r="F422">
        <f>EPD!G144</f>
        <v>0</v>
      </c>
      <c r="G422" s="334" t="str">
        <f>EPD!J144</f>
        <v>-</v>
      </c>
      <c r="H422" s="334" t="str">
        <f>EPD!L144</f>
        <v>-</v>
      </c>
      <c r="I422">
        <f>EPD!M144</f>
        <v>0</v>
      </c>
      <c r="J422" s="311" t="str">
        <f>EPD!N144</f>
        <v>-</v>
      </c>
    </row>
    <row r="423" spans="1:10" x14ac:dyDescent="0.3">
      <c r="A423" t="str">
        <f>EPD!B145</f>
        <v>User input EPD143</v>
      </c>
      <c r="B423">
        <f>EPD!D145</f>
        <v>0</v>
      </c>
      <c r="C423">
        <f>EPD!C145</f>
        <v>0</v>
      </c>
      <c r="D423">
        <f>EPD!E145</f>
        <v>0</v>
      </c>
      <c r="E423">
        <f>EPD!F145</f>
        <v>0</v>
      </c>
      <c r="F423">
        <f>EPD!G145</f>
        <v>0</v>
      </c>
      <c r="G423" s="334" t="str">
        <f>EPD!J145</f>
        <v>-</v>
      </c>
      <c r="H423" s="334" t="str">
        <f>EPD!L145</f>
        <v>-</v>
      </c>
      <c r="I423">
        <f>EPD!M145</f>
        <v>0</v>
      </c>
      <c r="J423" s="311" t="str">
        <f>EPD!N145</f>
        <v>-</v>
      </c>
    </row>
    <row r="424" spans="1:10" x14ac:dyDescent="0.3">
      <c r="A424" t="str">
        <f>EPD!B146</f>
        <v>User input EPD144</v>
      </c>
      <c r="B424">
        <f>EPD!D146</f>
        <v>0</v>
      </c>
      <c r="C424">
        <f>EPD!C146</f>
        <v>0</v>
      </c>
      <c r="D424">
        <f>EPD!E146</f>
        <v>0</v>
      </c>
      <c r="E424">
        <f>EPD!F146</f>
        <v>0</v>
      </c>
      <c r="F424">
        <f>EPD!G146</f>
        <v>0</v>
      </c>
      <c r="G424" s="334" t="str">
        <f>EPD!J146</f>
        <v>-</v>
      </c>
      <c r="H424" s="334" t="str">
        <f>EPD!L146</f>
        <v>-</v>
      </c>
      <c r="I424">
        <f>EPD!M146</f>
        <v>0</v>
      </c>
      <c r="J424" s="311" t="str">
        <f>EPD!N146</f>
        <v>-</v>
      </c>
    </row>
    <row r="425" spans="1:10" x14ac:dyDescent="0.3">
      <c r="A425" t="str">
        <f>EPD!B147</f>
        <v>User input EPD145</v>
      </c>
      <c r="B425">
        <f>EPD!D147</f>
        <v>0</v>
      </c>
      <c r="C425">
        <f>EPD!C147</f>
        <v>0</v>
      </c>
      <c r="D425">
        <f>EPD!E147</f>
        <v>0</v>
      </c>
      <c r="E425">
        <f>EPD!F147</f>
        <v>0</v>
      </c>
      <c r="F425">
        <f>EPD!G147</f>
        <v>0</v>
      </c>
      <c r="G425" s="334" t="str">
        <f>EPD!J147</f>
        <v>-</v>
      </c>
      <c r="H425" s="334" t="str">
        <f>EPD!L147</f>
        <v>-</v>
      </c>
      <c r="I425">
        <f>EPD!M147</f>
        <v>0</v>
      </c>
      <c r="J425" s="311" t="str">
        <f>EPD!N147</f>
        <v>-</v>
      </c>
    </row>
    <row r="426" spans="1:10" x14ac:dyDescent="0.3">
      <c r="A426" t="str">
        <f>EPD!B148</f>
        <v>User input EPD146</v>
      </c>
      <c r="B426">
        <f>EPD!D148</f>
        <v>0</v>
      </c>
      <c r="C426">
        <f>EPD!C148</f>
        <v>0</v>
      </c>
      <c r="D426">
        <f>EPD!E148</f>
        <v>0</v>
      </c>
      <c r="E426">
        <f>EPD!F148</f>
        <v>0</v>
      </c>
      <c r="F426">
        <f>EPD!G148</f>
        <v>0</v>
      </c>
      <c r="G426" s="334" t="str">
        <f>EPD!J148</f>
        <v>-</v>
      </c>
      <c r="H426" s="334" t="str">
        <f>EPD!L148</f>
        <v>-</v>
      </c>
      <c r="I426">
        <f>EPD!M148</f>
        <v>0</v>
      </c>
      <c r="J426" s="311" t="str">
        <f>EPD!N148</f>
        <v>-</v>
      </c>
    </row>
    <row r="427" spans="1:10" x14ac:dyDescent="0.3">
      <c r="A427" t="str">
        <f>EPD!B149</f>
        <v>User input EPD147</v>
      </c>
      <c r="B427">
        <f>EPD!D149</f>
        <v>0</v>
      </c>
      <c r="C427">
        <f>EPD!C149</f>
        <v>0</v>
      </c>
      <c r="D427">
        <f>EPD!E149</f>
        <v>0</v>
      </c>
      <c r="E427">
        <f>EPD!F149</f>
        <v>0</v>
      </c>
      <c r="F427">
        <f>EPD!G149</f>
        <v>0</v>
      </c>
      <c r="G427" s="334" t="str">
        <f>EPD!J149</f>
        <v>-</v>
      </c>
      <c r="H427" s="334" t="str">
        <f>EPD!L149</f>
        <v>-</v>
      </c>
      <c r="I427">
        <f>EPD!M149</f>
        <v>0</v>
      </c>
      <c r="J427" s="311" t="str">
        <f>EPD!N149</f>
        <v>-</v>
      </c>
    </row>
    <row r="428" spans="1:10" x14ac:dyDescent="0.3">
      <c r="A428" t="str">
        <f>EPD!B150</f>
        <v>User input EPD148</v>
      </c>
      <c r="B428">
        <f>EPD!D150</f>
        <v>0</v>
      </c>
      <c r="C428">
        <f>EPD!C150</f>
        <v>0</v>
      </c>
      <c r="D428">
        <f>EPD!E150</f>
        <v>0</v>
      </c>
      <c r="E428">
        <f>EPD!F150</f>
        <v>0</v>
      </c>
      <c r="F428">
        <f>EPD!G150</f>
        <v>0</v>
      </c>
      <c r="G428" s="334" t="str">
        <f>EPD!J150</f>
        <v>-</v>
      </c>
      <c r="H428" s="334" t="str">
        <f>EPD!L150</f>
        <v>-</v>
      </c>
      <c r="I428">
        <f>EPD!M150</f>
        <v>0</v>
      </c>
      <c r="J428" s="311" t="str">
        <f>EPD!N150</f>
        <v>-</v>
      </c>
    </row>
    <row r="429" spans="1:10" x14ac:dyDescent="0.3">
      <c r="A429" t="str">
        <f>EPD!B151</f>
        <v>User input EPD149</v>
      </c>
      <c r="B429">
        <f>EPD!D151</f>
        <v>0</v>
      </c>
      <c r="C429">
        <f>EPD!C151</f>
        <v>0</v>
      </c>
      <c r="D429">
        <f>EPD!E151</f>
        <v>0</v>
      </c>
      <c r="E429">
        <f>EPD!F151</f>
        <v>0</v>
      </c>
      <c r="F429">
        <f>EPD!G151</f>
        <v>0</v>
      </c>
      <c r="G429" s="334" t="str">
        <f>EPD!J151</f>
        <v>-</v>
      </c>
      <c r="H429" s="334" t="str">
        <f>EPD!L151</f>
        <v>-</v>
      </c>
      <c r="I429">
        <f>EPD!M151</f>
        <v>0</v>
      </c>
      <c r="J429" s="311" t="str">
        <f>EPD!N151</f>
        <v>-</v>
      </c>
    </row>
    <row r="432" spans="1:10" x14ac:dyDescent="0.3">
      <c r="J432" s="311"/>
    </row>
    <row r="433" spans="10:10" x14ac:dyDescent="0.3">
      <c r="J433" s="311"/>
    </row>
    <row r="434" spans="10:10" x14ac:dyDescent="0.3">
      <c r="J434" s="311"/>
    </row>
    <row r="435" spans="10:10" x14ac:dyDescent="0.3">
      <c r="J435" s="311"/>
    </row>
    <row r="436" spans="10:10" x14ac:dyDescent="0.3">
      <c r="J436" s="311"/>
    </row>
    <row r="437" spans="10:10" x14ac:dyDescent="0.3">
      <c r="J437" s="311"/>
    </row>
    <row r="438" spans="10:10" x14ac:dyDescent="0.3">
      <c r="J438" s="311"/>
    </row>
    <row r="439" spans="10:10" x14ac:dyDescent="0.3">
      <c r="J439" s="311"/>
    </row>
    <row r="440" spans="10:10" x14ac:dyDescent="0.3">
      <c r="J440" s="311"/>
    </row>
    <row r="441" spans="10:10" x14ac:dyDescent="0.3">
      <c r="J441" s="311"/>
    </row>
    <row r="442" spans="10:10" x14ac:dyDescent="0.3">
      <c r="J442" s="311"/>
    </row>
    <row r="443" spans="10:10" x14ac:dyDescent="0.3">
      <c r="J443" s="311"/>
    </row>
    <row r="444" spans="10:10" x14ac:dyDescent="0.3">
      <c r="J444" s="311"/>
    </row>
    <row r="445" spans="10:10" x14ac:dyDescent="0.3">
      <c r="J445" s="311"/>
    </row>
    <row r="446" spans="10:10" x14ac:dyDescent="0.3">
      <c r="J446" s="311"/>
    </row>
    <row r="447" spans="10:10" x14ac:dyDescent="0.3">
      <c r="J447" s="311"/>
    </row>
    <row r="448" spans="10:10" x14ac:dyDescent="0.3">
      <c r="J448" s="311"/>
    </row>
    <row r="449" spans="10:10" x14ac:dyDescent="0.3">
      <c r="J449" s="311"/>
    </row>
    <row r="450" spans="10:10" x14ac:dyDescent="0.3">
      <c r="J450" s="311"/>
    </row>
    <row r="451" spans="10:10" x14ac:dyDescent="0.3">
      <c r="J451" s="311"/>
    </row>
    <row r="452" spans="10:10" x14ac:dyDescent="0.3">
      <c r="J452" s="311"/>
    </row>
    <row r="453" spans="10:10" x14ac:dyDescent="0.3">
      <c r="J453" s="311"/>
    </row>
    <row r="454" spans="10:10" x14ac:dyDescent="0.3">
      <c r="J454" s="311"/>
    </row>
    <row r="455" spans="10:10" x14ac:dyDescent="0.3">
      <c r="J455" s="311"/>
    </row>
    <row r="456" spans="10:10" x14ac:dyDescent="0.3">
      <c r="J456" s="311"/>
    </row>
    <row r="457" spans="10:10" x14ac:dyDescent="0.3">
      <c r="J457" s="311"/>
    </row>
    <row r="458" spans="10:10" x14ac:dyDescent="0.3">
      <c r="J458" s="311"/>
    </row>
    <row r="459" spans="10:10" x14ac:dyDescent="0.3">
      <c r="J459" s="311"/>
    </row>
    <row r="460" spans="10:10" x14ac:dyDescent="0.3">
      <c r="J460" s="311"/>
    </row>
    <row r="461" spans="10:10" x14ac:dyDescent="0.3">
      <c r="J461" s="311"/>
    </row>
    <row r="462" spans="10:10" x14ac:dyDescent="0.3">
      <c r="J462" s="311"/>
    </row>
    <row r="463" spans="10:10" x14ac:dyDescent="0.3">
      <c r="J463" s="311"/>
    </row>
    <row r="464" spans="10:10" x14ac:dyDescent="0.3">
      <c r="J464" s="311"/>
    </row>
    <row r="465" spans="10:10" x14ac:dyDescent="0.3">
      <c r="J465" s="311"/>
    </row>
    <row r="466" spans="10:10" x14ac:dyDescent="0.3">
      <c r="J466" s="311"/>
    </row>
    <row r="467" spans="10:10" x14ac:dyDescent="0.3">
      <c r="J467" s="311"/>
    </row>
    <row r="468" spans="10:10" x14ac:dyDescent="0.3">
      <c r="J468" s="311"/>
    </row>
    <row r="469" spans="10:10" x14ac:dyDescent="0.3">
      <c r="J469" s="311"/>
    </row>
    <row r="470" spans="10:10" x14ac:dyDescent="0.3">
      <c r="J470" s="311"/>
    </row>
    <row r="471" spans="10:10" x14ac:dyDescent="0.3">
      <c r="J471" s="311"/>
    </row>
    <row r="472" spans="10:10" x14ac:dyDescent="0.3">
      <c r="J472" s="311"/>
    </row>
    <row r="473" spans="10:10" x14ac:dyDescent="0.3">
      <c r="J473" s="311"/>
    </row>
    <row r="474" spans="10:10" x14ac:dyDescent="0.3">
      <c r="J474" s="311"/>
    </row>
    <row r="475" spans="10:10" x14ac:dyDescent="0.3">
      <c r="J475" s="311"/>
    </row>
    <row r="476" spans="10:10" x14ac:dyDescent="0.3">
      <c r="J476" s="311"/>
    </row>
    <row r="477" spans="10:10" x14ac:dyDescent="0.3">
      <c r="J477" s="311"/>
    </row>
    <row r="478" spans="10:10" x14ac:dyDescent="0.3">
      <c r="J478" s="311"/>
    </row>
    <row r="479" spans="10:10" x14ac:dyDescent="0.3">
      <c r="J479" s="311"/>
    </row>
    <row r="480" spans="10:10" x14ac:dyDescent="0.3">
      <c r="J480" s="311"/>
    </row>
    <row r="481" spans="10:10" x14ac:dyDescent="0.3">
      <c r="J481" s="311"/>
    </row>
    <row r="482" spans="10:10" x14ac:dyDescent="0.3">
      <c r="J482" s="311"/>
    </row>
    <row r="483" spans="10:10" x14ac:dyDescent="0.3">
      <c r="J483" s="311"/>
    </row>
    <row r="484" spans="10:10" x14ac:dyDescent="0.3">
      <c r="J484" s="311"/>
    </row>
    <row r="485" spans="10:10" x14ac:dyDescent="0.3">
      <c r="J485" s="311"/>
    </row>
    <row r="486" spans="10:10" x14ac:dyDescent="0.3">
      <c r="J486" s="311"/>
    </row>
    <row r="487" spans="10:10" x14ac:dyDescent="0.3">
      <c r="J487" s="311"/>
    </row>
    <row r="488" spans="10:10" x14ac:dyDescent="0.3">
      <c r="J488" s="311"/>
    </row>
    <row r="489" spans="10:10" x14ac:dyDescent="0.3">
      <c r="J489" s="311"/>
    </row>
    <row r="490" spans="10:10" x14ac:dyDescent="0.3">
      <c r="J490" s="311"/>
    </row>
    <row r="491" spans="10:10" x14ac:dyDescent="0.3">
      <c r="J491" s="311"/>
    </row>
    <row r="492" spans="10:10" x14ac:dyDescent="0.3">
      <c r="J492" s="311"/>
    </row>
    <row r="493" spans="10:10" x14ac:dyDescent="0.3">
      <c r="J493" s="311"/>
    </row>
    <row r="494" spans="10:10" x14ac:dyDescent="0.3">
      <c r="J494" s="311"/>
    </row>
    <row r="495" spans="10:10" x14ac:dyDescent="0.3">
      <c r="J495" s="311"/>
    </row>
    <row r="496" spans="10:10" x14ac:dyDescent="0.3">
      <c r="J496" s="311"/>
    </row>
    <row r="497" spans="10:10" x14ac:dyDescent="0.3">
      <c r="J497" s="311"/>
    </row>
    <row r="498" spans="10:10" x14ac:dyDescent="0.3">
      <c r="J498" s="311"/>
    </row>
    <row r="499" spans="10:10" x14ac:dyDescent="0.3">
      <c r="J499" s="311"/>
    </row>
    <row r="500" spans="10:10" x14ac:dyDescent="0.3">
      <c r="J500" s="311"/>
    </row>
    <row r="501" spans="10:10" x14ac:dyDescent="0.3">
      <c r="J501" s="311"/>
    </row>
    <row r="502" spans="10:10" x14ac:dyDescent="0.3">
      <c r="J502" s="311"/>
    </row>
    <row r="503" spans="10:10" x14ac:dyDescent="0.3">
      <c r="J503" s="311"/>
    </row>
    <row r="504" spans="10:10" x14ac:dyDescent="0.3">
      <c r="J504" s="311"/>
    </row>
    <row r="505" spans="10:10" x14ac:dyDescent="0.3">
      <c r="J505" s="311"/>
    </row>
    <row r="506" spans="10:10" x14ac:dyDescent="0.3">
      <c r="J506" s="311"/>
    </row>
    <row r="507" spans="10:10" x14ac:dyDescent="0.3">
      <c r="J507" s="311"/>
    </row>
    <row r="508" spans="10:10" x14ac:dyDescent="0.3">
      <c r="J508" s="311"/>
    </row>
    <row r="509" spans="10:10" x14ac:dyDescent="0.3">
      <c r="J509" s="311"/>
    </row>
    <row r="510" spans="10:10" x14ac:dyDescent="0.3">
      <c r="J510" s="311"/>
    </row>
    <row r="511" spans="10:10" x14ac:dyDescent="0.3">
      <c r="J511" s="311"/>
    </row>
    <row r="512" spans="10:10" x14ac:dyDescent="0.3">
      <c r="J512" s="311"/>
    </row>
    <row r="513" spans="10:10" x14ac:dyDescent="0.3">
      <c r="J513" s="311"/>
    </row>
    <row r="514" spans="10:10" x14ac:dyDescent="0.3">
      <c r="J514" s="311"/>
    </row>
    <row r="515" spans="10:10" x14ac:dyDescent="0.3">
      <c r="J515" s="311"/>
    </row>
    <row r="516" spans="10:10" x14ac:dyDescent="0.3">
      <c r="J516" s="311"/>
    </row>
    <row r="517" spans="10:10" x14ac:dyDescent="0.3">
      <c r="J517" s="311"/>
    </row>
    <row r="518" spans="10:10" x14ac:dyDescent="0.3">
      <c r="J518" s="311"/>
    </row>
    <row r="519" spans="10:10" x14ac:dyDescent="0.3">
      <c r="J519" s="311"/>
    </row>
    <row r="520" spans="10:10" x14ac:dyDescent="0.3">
      <c r="J520" s="311"/>
    </row>
    <row r="521" spans="10:10" x14ac:dyDescent="0.3">
      <c r="J521" s="311"/>
    </row>
    <row r="522" spans="10:10" x14ac:dyDescent="0.3">
      <c r="J522" s="311"/>
    </row>
    <row r="523" spans="10:10" x14ac:dyDescent="0.3">
      <c r="J523" s="311"/>
    </row>
    <row r="524" spans="10:10" x14ac:dyDescent="0.3">
      <c r="J524" s="311"/>
    </row>
    <row r="525" spans="10:10" x14ac:dyDescent="0.3">
      <c r="J525" s="311"/>
    </row>
    <row r="526" spans="10:10" x14ac:dyDescent="0.3">
      <c r="J526" s="311"/>
    </row>
    <row r="527" spans="10:10" x14ac:dyDescent="0.3">
      <c r="J527" s="311"/>
    </row>
    <row r="528" spans="10:10" x14ac:dyDescent="0.3">
      <c r="J528" s="311"/>
    </row>
    <row r="529" spans="10:10" x14ac:dyDescent="0.3">
      <c r="J529" s="311"/>
    </row>
    <row r="530" spans="10:10" x14ac:dyDescent="0.3">
      <c r="J530" s="311"/>
    </row>
    <row r="531" spans="10:10" x14ac:dyDescent="0.3">
      <c r="J531" s="311"/>
    </row>
    <row r="532" spans="10:10" x14ac:dyDescent="0.3">
      <c r="J532" s="311"/>
    </row>
    <row r="533" spans="10:10" x14ac:dyDescent="0.3">
      <c r="J533" s="311"/>
    </row>
    <row r="534" spans="10:10" x14ac:dyDescent="0.3">
      <c r="J534" s="311"/>
    </row>
    <row r="535" spans="10:10" x14ac:dyDescent="0.3">
      <c r="J535" s="311"/>
    </row>
    <row r="536" spans="10:10" x14ac:dyDescent="0.3">
      <c r="J536" s="311"/>
    </row>
    <row r="537" spans="10:10" x14ac:dyDescent="0.3">
      <c r="J537" s="311"/>
    </row>
    <row r="538" spans="10:10" x14ac:dyDescent="0.3">
      <c r="J538" s="311"/>
    </row>
    <row r="539" spans="10:10" x14ac:dyDescent="0.3">
      <c r="J539" s="311"/>
    </row>
    <row r="540" spans="10:10" x14ac:dyDescent="0.3">
      <c r="J540" s="311"/>
    </row>
    <row r="541" spans="10:10" x14ac:dyDescent="0.3">
      <c r="J541" s="311"/>
    </row>
    <row r="542" spans="10:10" x14ac:dyDescent="0.3">
      <c r="J542" s="311"/>
    </row>
    <row r="543" spans="10:10" x14ac:dyDescent="0.3">
      <c r="J543" s="311"/>
    </row>
    <row r="544" spans="10:10" x14ac:dyDescent="0.3">
      <c r="J544" s="311"/>
    </row>
    <row r="545" spans="10:10" x14ac:dyDescent="0.3">
      <c r="J545" s="311"/>
    </row>
    <row r="546" spans="10:10" x14ac:dyDescent="0.3">
      <c r="J546" s="311"/>
    </row>
    <row r="547" spans="10:10" x14ac:dyDescent="0.3">
      <c r="J547" s="311"/>
    </row>
    <row r="548" spans="10:10" x14ac:dyDescent="0.3">
      <c r="J548" s="311"/>
    </row>
    <row r="549" spans="10:10" x14ac:dyDescent="0.3">
      <c r="J549" s="311"/>
    </row>
    <row r="550" spans="10:10" x14ac:dyDescent="0.3">
      <c r="J550" s="311"/>
    </row>
    <row r="551" spans="10:10" x14ac:dyDescent="0.3">
      <c r="J551" s="311"/>
    </row>
    <row r="552" spans="10:10" x14ac:dyDescent="0.3">
      <c r="J552" s="311"/>
    </row>
    <row r="553" spans="10:10" x14ac:dyDescent="0.3">
      <c r="J553" s="311"/>
    </row>
    <row r="554" spans="10:10" x14ac:dyDescent="0.3">
      <c r="J554" s="311"/>
    </row>
    <row r="555" spans="10:10" x14ac:dyDescent="0.3">
      <c r="J555" s="311"/>
    </row>
    <row r="556" spans="10:10" x14ac:dyDescent="0.3">
      <c r="J556" s="311"/>
    </row>
    <row r="557" spans="10:10" x14ac:dyDescent="0.3">
      <c r="J557" s="311"/>
    </row>
    <row r="558" spans="10:10" x14ac:dyDescent="0.3">
      <c r="J558" s="311"/>
    </row>
    <row r="559" spans="10:10" x14ac:dyDescent="0.3">
      <c r="J559" s="311"/>
    </row>
    <row r="560" spans="10:10" x14ac:dyDescent="0.3">
      <c r="J560" s="311"/>
    </row>
    <row r="561" spans="10:10" x14ac:dyDescent="0.3">
      <c r="J561" s="311"/>
    </row>
    <row r="562" spans="10:10" x14ac:dyDescent="0.3">
      <c r="J562" s="311"/>
    </row>
    <row r="563" spans="10:10" x14ac:dyDescent="0.3">
      <c r="J563" s="311"/>
    </row>
    <row r="564" spans="10:10" x14ac:dyDescent="0.3">
      <c r="J564" s="311"/>
    </row>
    <row r="565" spans="10:10" x14ac:dyDescent="0.3">
      <c r="J565" s="311"/>
    </row>
    <row r="566" spans="10:10" x14ac:dyDescent="0.3">
      <c r="J566" s="311"/>
    </row>
    <row r="567" spans="10:10" x14ac:dyDescent="0.3">
      <c r="J567" s="311"/>
    </row>
    <row r="568" spans="10:10" x14ac:dyDescent="0.3">
      <c r="J568" s="311"/>
    </row>
    <row r="569" spans="10:10" x14ac:dyDescent="0.3">
      <c r="J569" s="311"/>
    </row>
    <row r="570" spans="10:10" x14ac:dyDescent="0.3">
      <c r="J570" s="311"/>
    </row>
    <row r="571" spans="10:10" x14ac:dyDescent="0.3">
      <c r="J571" s="311"/>
    </row>
    <row r="572" spans="10:10" x14ac:dyDescent="0.3">
      <c r="J572" s="311"/>
    </row>
    <row r="573" spans="10:10" x14ac:dyDescent="0.3">
      <c r="J573" s="311"/>
    </row>
    <row r="574" spans="10:10" x14ac:dyDescent="0.3">
      <c r="J574" s="311"/>
    </row>
    <row r="575" spans="10:10" x14ac:dyDescent="0.3">
      <c r="J575" s="311"/>
    </row>
    <row r="576" spans="10:10" x14ac:dyDescent="0.3">
      <c r="J576" s="311"/>
    </row>
    <row r="577" spans="10:10" x14ac:dyDescent="0.3">
      <c r="J577" s="311"/>
    </row>
    <row r="578" spans="10:10" x14ac:dyDescent="0.3">
      <c r="J578" s="311"/>
    </row>
    <row r="579" spans="10:10" x14ac:dyDescent="0.3">
      <c r="J579" s="311"/>
    </row>
    <row r="580" spans="10:10" x14ac:dyDescent="0.3">
      <c r="J580" s="311"/>
    </row>
    <row r="581" spans="10:10" x14ac:dyDescent="0.3">
      <c r="J581" s="311"/>
    </row>
    <row r="582" spans="10:10" x14ac:dyDescent="0.3">
      <c r="J582" s="311"/>
    </row>
    <row r="583" spans="10:10" x14ac:dyDescent="0.3">
      <c r="J583" s="311"/>
    </row>
    <row r="584" spans="10:10" x14ac:dyDescent="0.3">
      <c r="J584" s="311"/>
    </row>
    <row r="585" spans="10:10" x14ac:dyDescent="0.3">
      <c r="J585" s="311"/>
    </row>
    <row r="586" spans="10:10" x14ac:dyDescent="0.3">
      <c r="J586" s="311"/>
    </row>
    <row r="587" spans="10:10" x14ac:dyDescent="0.3">
      <c r="J587" s="311"/>
    </row>
    <row r="588" spans="10:10" x14ac:dyDescent="0.3">
      <c r="J588" s="311"/>
    </row>
    <row r="589" spans="10:10" x14ac:dyDescent="0.3">
      <c r="J589" s="311"/>
    </row>
    <row r="590" spans="10:10" x14ac:dyDescent="0.3">
      <c r="J590" s="311"/>
    </row>
    <row r="591" spans="10:10" x14ac:dyDescent="0.3">
      <c r="J591" s="311"/>
    </row>
    <row r="592" spans="10:10" x14ac:dyDescent="0.3">
      <c r="J592" s="311"/>
    </row>
    <row r="593" spans="10:10" x14ac:dyDescent="0.3">
      <c r="J593" s="311"/>
    </row>
    <row r="594" spans="10:10" x14ac:dyDescent="0.3">
      <c r="J594" s="311"/>
    </row>
    <row r="595" spans="10:10" x14ac:dyDescent="0.3">
      <c r="J595" s="311"/>
    </row>
    <row r="596" spans="10:10" x14ac:dyDescent="0.3">
      <c r="J596" s="311"/>
    </row>
    <row r="597" spans="10:10" x14ac:dyDescent="0.3">
      <c r="J597" s="311"/>
    </row>
    <row r="598" spans="10:10" x14ac:dyDescent="0.3">
      <c r="J598" s="311"/>
    </row>
    <row r="599" spans="10:10" x14ac:dyDescent="0.3">
      <c r="J599" s="311"/>
    </row>
    <row r="600" spans="10:10" x14ac:dyDescent="0.3">
      <c r="J600" s="311"/>
    </row>
    <row r="601" spans="10:10" x14ac:dyDescent="0.3">
      <c r="J601" s="311"/>
    </row>
    <row r="602" spans="10:10" x14ac:dyDescent="0.3">
      <c r="J602" s="311"/>
    </row>
    <row r="603" spans="10:10" x14ac:dyDescent="0.3">
      <c r="J603" s="311"/>
    </row>
    <row r="604" spans="10:10" x14ac:dyDescent="0.3">
      <c r="J604" s="311"/>
    </row>
    <row r="605" spans="10:10" x14ac:dyDescent="0.3">
      <c r="J605" s="311"/>
    </row>
    <row r="606" spans="10:10" x14ac:dyDescent="0.3">
      <c r="J606" s="311"/>
    </row>
    <row r="607" spans="10:10" x14ac:dyDescent="0.3">
      <c r="J607" s="311"/>
    </row>
    <row r="608" spans="10:10" x14ac:dyDescent="0.3">
      <c r="J608" s="311"/>
    </row>
    <row r="609" spans="10:10" x14ac:dyDescent="0.3">
      <c r="J609" s="311"/>
    </row>
    <row r="610" spans="10:10" x14ac:dyDescent="0.3">
      <c r="J610" s="311"/>
    </row>
    <row r="611" spans="10:10" x14ac:dyDescent="0.3">
      <c r="J611" s="311"/>
    </row>
    <row r="612" spans="10:10" x14ac:dyDescent="0.3">
      <c r="J612" s="311"/>
    </row>
    <row r="613" spans="10:10" x14ac:dyDescent="0.3">
      <c r="J613" s="311"/>
    </row>
    <row r="614" spans="10:10" x14ac:dyDescent="0.3">
      <c r="J614" s="311"/>
    </row>
    <row r="615" spans="10:10" x14ac:dyDescent="0.3">
      <c r="J615" s="311"/>
    </row>
    <row r="616" spans="10:10" x14ac:dyDescent="0.3">
      <c r="J616" s="311"/>
    </row>
    <row r="617" spans="10:10" x14ac:dyDescent="0.3">
      <c r="J617" s="311"/>
    </row>
    <row r="618" spans="10:10" x14ac:dyDescent="0.3">
      <c r="J618" s="311"/>
    </row>
    <row r="619" spans="10:10" x14ac:dyDescent="0.3">
      <c r="J619" s="311"/>
    </row>
    <row r="620" spans="10:10" x14ac:dyDescent="0.3">
      <c r="J620" s="311"/>
    </row>
    <row r="621" spans="10:10" x14ac:dyDescent="0.3">
      <c r="J621" s="311"/>
    </row>
    <row r="622" spans="10:10" x14ac:dyDescent="0.3">
      <c r="J622" s="311"/>
    </row>
    <row r="623" spans="10:10" x14ac:dyDescent="0.3">
      <c r="J623" s="311"/>
    </row>
    <row r="624" spans="10:10" x14ac:dyDescent="0.3">
      <c r="J624" s="311"/>
    </row>
    <row r="625" spans="10:10" x14ac:dyDescent="0.3">
      <c r="J625" s="311"/>
    </row>
    <row r="626" spans="10:10" x14ac:dyDescent="0.3">
      <c r="J626" s="311"/>
    </row>
    <row r="627" spans="10:10" x14ac:dyDescent="0.3">
      <c r="J627" s="311"/>
    </row>
    <row r="628" spans="10:10" x14ac:dyDescent="0.3">
      <c r="J628" s="311"/>
    </row>
    <row r="629" spans="10:10" x14ac:dyDescent="0.3">
      <c r="J629" s="311"/>
    </row>
    <row r="630" spans="10:10" x14ac:dyDescent="0.3">
      <c r="J630" s="311"/>
    </row>
    <row r="631" spans="10:10" x14ac:dyDescent="0.3">
      <c r="J631" s="311"/>
    </row>
    <row r="632" spans="10:10" x14ac:dyDescent="0.3">
      <c r="J632" s="311"/>
    </row>
    <row r="633" spans="10:10" x14ac:dyDescent="0.3">
      <c r="J633" s="311"/>
    </row>
    <row r="634" spans="10:10" x14ac:dyDescent="0.3">
      <c r="J634" s="311"/>
    </row>
    <row r="635" spans="10:10" x14ac:dyDescent="0.3">
      <c r="J635" s="311"/>
    </row>
    <row r="636" spans="10:10" x14ac:dyDescent="0.3">
      <c r="J636" s="311"/>
    </row>
    <row r="637" spans="10:10" x14ac:dyDescent="0.3">
      <c r="J637" s="311"/>
    </row>
    <row r="638" spans="10:10" x14ac:dyDescent="0.3">
      <c r="J638" s="311"/>
    </row>
    <row r="639" spans="10:10" x14ac:dyDescent="0.3">
      <c r="J639" s="311"/>
    </row>
    <row r="640" spans="10:10" x14ac:dyDescent="0.3">
      <c r="J640" s="311"/>
    </row>
    <row r="641" spans="10:10" x14ac:dyDescent="0.3">
      <c r="J641" s="311"/>
    </row>
    <row r="642" spans="10:10" x14ac:dyDescent="0.3">
      <c r="J642" s="311"/>
    </row>
    <row r="643" spans="10:10" x14ac:dyDescent="0.3">
      <c r="J643" s="311"/>
    </row>
    <row r="644" spans="10:10" x14ac:dyDescent="0.3">
      <c r="J644" s="311"/>
    </row>
    <row r="645" spans="10:10" x14ac:dyDescent="0.3">
      <c r="J645" s="311"/>
    </row>
    <row r="646" spans="10:10" x14ac:dyDescent="0.3">
      <c r="J646" s="311"/>
    </row>
    <row r="647" spans="10:10" x14ac:dyDescent="0.3">
      <c r="J647" s="311"/>
    </row>
    <row r="648" spans="10:10" x14ac:dyDescent="0.3">
      <c r="J648" s="311"/>
    </row>
    <row r="649" spans="10:10" x14ac:dyDescent="0.3">
      <c r="J649" s="311"/>
    </row>
    <row r="650" spans="10:10" x14ac:dyDescent="0.3">
      <c r="J650" s="311"/>
    </row>
    <row r="651" spans="10:10" x14ac:dyDescent="0.3">
      <c r="J651" s="311"/>
    </row>
    <row r="652" spans="10:10" x14ac:dyDescent="0.3">
      <c r="J652" s="311"/>
    </row>
    <row r="653" spans="10:10" x14ac:dyDescent="0.3">
      <c r="J653" s="311"/>
    </row>
    <row r="654" spans="10:10" x14ac:dyDescent="0.3">
      <c r="J654" s="311"/>
    </row>
    <row r="655" spans="10:10" x14ac:dyDescent="0.3">
      <c r="J655" s="311"/>
    </row>
    <row r="656" spans="10:10" x14ac:dyDescent="0.3">
      <c r="J656" s="311"/>
    </row>
    <row r="657" spans="10:10" x14ac:dyDescent="0.3">
      <c r="J657" s="311"/>
    </row>
    <row r="658" spans="10:10" x14ac:dyDescent="0.3">
      <c r="J658" s="311"/>
    </row>
    <row r="659" spans="10:10" x14ac:dyDescent="0.3">
      <c r="J659" s="311"/>
    </row>
    <row r="660" spans="10:10" x14ac:dyDescent="0.3">
      <c r="J660" s="311"/>
    </row>
    <row r="661" spans="10:10" x14ac:dyDescent="0.3">
      <c r="J661" s="311"/>
    </row>
    <row r="662" spans="10:10" x14ac:dyDescent="0.3">
      <c r="J662" s="311"/>
    </row>
    <row r="663" spans="10:10" x14ac:dyDescent="0.3">
      <c r="J663" s="311"/>
    </row>
    <row r="664" spans="10:10" x14ac:dyDescent="0.3">
      <c r="J664" s="311"/>
    </row>
    <row r="665" spans="10:10" x14ac:dyDescent="0.3">
      <c r="J665" s="311"/>
    </row>
    <row r="666" spans="10:10" x14ac:dyDescent="0.3">
      <c r="J666" s="311"/>
    </row>
    <row r="667" spans="10:10" x14ac:dyDescent="0.3">
      <c r="J667" s="311"/>
    </row>
    <row r="668" spans="10:10" x14ac:dyDescent="0.3">
      <c r="J668" s="311"/>
    </row>
    <row r="669" spans="10:10" x14ac:dyDescent="0.3">
      <c r="J669" s="311"/>
    </row>
    <row r="670" spans="10:10" x14ac:dyDescent="0.3">
      <c r="J670" s="311"/>
    </row>
    <row r="671" spans="10:10" x14ac:dyDescent="0.3">
      <c r="J671" s="311"/>
    </row>
    <row r="672" spans="10:10" x14ac:dyDescent="0.3">
      <c r="J672" s="311"/>
    </row>
    <row r="673" spans="10:10" x14ac:dyDescent="0.3">
      <c r="J673" s="311"/>
    </row>
    <row r="674" spans="10:10" x14ac:dyDescent="0.3">
      <c r="J674" s="311"/>
    </row>
    <row r="675" spans="10:10" x14ac:dyDescent="0.3">
      <c r="J675" s="311"/>
    </row>
    <row r="676" spans="10:10" x14ac:dyDescent="0.3">
      <c r="J676" s="311"/>
    </row>
    <row r="677" spans="10:10" x14ac:dyDescent="0.3">
      <c r="J677" s="311"/>
    </row>
    <row r="678" spans="10:10" x14ac:dyDescent="0.3">
      <c r="J678" s="311"/>
    </row>
    <row r="679" spans="10:10" x14ac:dyDescent="0.3">
      <c r="J679" s="311"/>
    </row>
    <row r="680" spans="10:10" x14ac:dyDescent="0.3">
      <c r="J680" s="311"/>
    </row>
    <row r="681" spans="10:10" x14ac:dyDescent="0.3">
      <c r="J681" s="311"/>
    </row>
    <row r="682" spans="10:10" x14ac:dyDescent="0.3">
      <c r="J682" s="311"/>
    </row>
    <row r="683" spans="10:10" x14ac:dyDescent="0.3">
      <c r="J683" s="311"/>
    </row>
    <row r="684" spans="10:10" x14ac:dyDescent="0.3">
      <c r="J684" s="311"/>
    </row>
    <row r="685" spans="10:10" x14ac:dyDescent="0.3">
      <c r="J685" s="311"/>
    </row>
    <row r="686" spans="10:10" x14ac:dyDescent="0.3">
      <c r="J686" s="311"/>
    </row>
    <row r="687" spans="10:10" x14ac:dyDescent="0.3">
      <c r="J687" s="311"/>
    </row>
    <row r="688" spans="10:10" x14ac:dyDescent="0.3">
      <c r="J688" s="311"/>
    </row>
    <row r="689" spans="10:10" x14ac:dyDescent="0.3">
      <c r="J689" s="311"/>
    </row>
    <row r="690" spans="10:10" x14ac:dyDescent="0.3">
      <c r="J690" s="311"/>
    </row>
    <row r="691" spans="10:10" x14ac:dyDescent="0.3">
      <c r="J691" s="311"/>
    </row>
    <row r="692" spans="10:10" x14ac:dyDescent="0.3">
      <c r="J692" s="311"/>
    </row>
    <row r="693" spans="10:10" x14ac:dyDescent="0.3">
      <c r="J693" s="311"/>
    </row>
    <row r="694" spans="10:10" x14ac:dyDescent="0.3">
      <c r="J694" s="311"/>
    </row>
    <row r="695" spans="10:10" x14ac:dyDescent="0.3">
      <c r="J695" s="311"/>
    </row>
    <row r="696" spans="10:10" x14ac:dyDescent="0.3">
      <c r="J696" s="311"/>
    </row>
    <row r="697" spans="10:10" x14ac:dyDescent="0.3">
      <c r="J697" s="311"/>
    </row>
    <row r="698" spans="10:10" x14ac:dyDescent="0.3">
      <c r="J698" s="311"/>
    </row>
    <row r="699" spans="10:10" x14ac:dyDescent="0.3">
      <c r="J699" s="311"/>
    </row>
    <row r="700" spans="10:10" x14ac:dyDescent="0.3">
      <c r="J700" s="311"/>
    </row>
    <row r="701" spans="10:10" x14ac:dyDescent="0.3">
      <c r="J701" s="311"/>
    </row>
    <row r="702" spans="10:10" x14ac:dyDescent="0.3">
      <c r="J702" s="311"/>
    </row>
    <row r="703" spans="10:10" x14ac:dyDescent="0.3">
      <c r="J703" s="311"/>
    </row>
    <row r="704" spans="10:10" x14ac:dyDescent="0.3">
      <c r="J704" s="311"/>
    </row>
    <row r="705" spans="10:10" x14ac:dyDescent="0.3">
      <c r="J705" s="311"/>
    </row>
    <row r="706" spans="10:10" x14ac:dyDescent="0.3">
      <c r="J706" s="311"/>
    </row>
    <row r="707" spans="10:10" x14ac:dyDescent="0.3">
      <c r="J707" s="311"/>
    </row>
    <row r="708" spans="10:10" x14ac:dyDescent="0.3">
      <c r="J708" s="311"/>
    </row>
    <row r="709" spans="10:10" x14ac:dyDescent="0.3">
      <c r="J709" s="311"/>
    </row>
    <row r="710" spans="10:10" x14ac:dyDescent="0.3">
      <c r="J710" s="311"/>
    </row>
    <row r="711" spans="10:10" x14ac:dyDescent="0.3">
      <c r="J711" s="311"/>
    </row>
    <row r="712" spans="10:10" x14ac:dyDescent="0.3">
      <c r="J712" s="311"/>
    </row>
    <row r="713" spans="10:10" x14ac:dyDescent="0.3">
      <c r="J713" s="311"/>
    </row>
    <row r="714" spans="10:10" x14ac:dyDescent="0.3">
      <c r="J714" s="311"/>
    </row>
    <row r="715" spans="10:10" x14ac:dyDescent="0.3">
      <c r="J715" s="311"/>
    </row>
    <row r="716" spans="10:10" x14ac:dyDescent="0.3">
      <c r="J716" s="311"/>
    </row>
    <row r="717" spans="10:10" x14ac:dyDescent="0.3">
      <c r="J717" s="311"/>
    </row>
    <row r="718" spans="10:10" x14ac:dyDescent="0.3">
      <c r="J718" s="311"/>
    </row>
    <row r="719" spans="10:10" x14ac:dyDescent="0.3">
      <c r="J719" s="311"/>
    </row>
    <row r="720" spans="10:10" x14ac:dyDescent="0.3">
      <c r="J720" s="311"/>
    </row>
    <row r="721" spans="10:10" x14ac:dyDescent="0.3">
      <c r="J721" s="311"/>
    </row>
    <row r="722" spans="10:10" x14ac:dyDescent="0.3">
      <c r="J722" s="311"/>
    </row>
    <row r="723" spans="10:10" x14ac:dyDescent="0.3">
      <c r="J723" s="311"/>
    </row>
    <row r="724" spans="10:10" x14ac:dyDescent="0.3">
      <c r="J724" s="311"/>
    </row>
    <row r="725" spans="10:10" x14ac:dyDescent="0.3">
      <c r="J725" s="311"/>
    </row>
    <row r="726" spans="10:10" x14ac:dyDescent="0.3">
      <c r="J726" s="311"/>
    </row>
    <row r="727" spans="10:10" x14ac:dyDescent="0.3">
      <c r="J727" s="311"/>
    </row>
    <row r="728" spans="10:10" x14ac:dyDescent="0.3">
      <c r="J728" s="311"/>
    </row>
    <row r="729" spans="10:10" x14ac:dyDescent="0.3">
      <c r="J729" s="311"/>
    </row>
    <row r="730" spans="10:10" x14ac:dyDescent="0.3">
      <c r="J730" s="311"/>
    </row>
    <row r="731" spans="10:10" x14ac:dyDescent="0.3">
      <c r="J731" s="311"/>
    </row>
    <row r="732" spans="10:10" x14ac:dyDescent="0.3">
      <c r="J732" s="311"/>
    </row>
    <row r="733" spans="10:10" x14ac:dyDescent="0.3">
      <c r="J733" s="311"/>
    </row>
    <row r="734" spans="10:10" x14ac:dyDescent="0.3">
      <c r="J734" s="311"/>
    </row>
    <row r="735" spans="10:10" x14ac:dyDescent="0.3">
      <c r="J735" s="311"/>
    </row>
    <row r="736" spans="10:10" x14ac:dyDescent="0.3">
      <c r="J736" s="311"/>
    </row>
    <row r="737" spans="10:10" x14ac:dyDescent="0.3">
      <c r="J737" s="311"/>
    </row>
    <row r="738" spans="10:10" x14ac:dyDescent="0.3">
      <c r="J738" s="311"/>
    </row>
    <row r="739" spans="10:10" x14ac:dyDescent="0.3">
      <c r="J739" s="311"/>
    </row>
    <row r="740" spans="10:10" x14ac:dyDescent="0.3">
      <c r="J740" s="311"/>
    </row>
    <row r="741" spans="10:10" x14ac:dyDescent="0.3">
      <c r="J741" s="311"/>
    </row>
    <row r="742" spans="10:10" x14ac:dyDescent="0.3">
      <c r="J742" s="311"/>
    </row>
    <row r="743" spans="10:10" x14ac:dyDescent="0.3">
      <c r="J743" s="311"/>
    </row>
    <row r="744" spans="10:10" x14ac:dyDescent="0.3">
      <c r="J744" s="311"/>
    </row>
    <row r="745" spans="10:10" x14ac:dyDescent="0.3">
      <c r="J745" s="311"/>
    </row>
    <row r="746" spans="10:10" x14ac:dyDescent="0.3">
      <c r="J746" s="311"/>
    </row>
    <row r="747" spans="10:10" x14ac:dyDescent="0.3">
      <c r="J747" s="311"/>
    </row>
    <row r="748" spans="10:10" x14ac:dyDescent="0.3">
      <c r="J748" s="311"/>
    </row>
    <row r="749" spans="10:10" x14ac:dyDescent="0.3">
      <c r="J749" s="311"/>
    </row>
    <row r="750" spans="10:10" x14ac:dyDescent="0.3">
      <c r="J750" s="311"/>
    </row>
    <row r="751" spans="10:10" x14ac:dyDescent="0.3">
      <c r="J751" s="311"/>
    </row>
    <row r="752" spans="10:10" x14ac:dyDescent="0.3">
      <c r="J752" s="311"/>
    </row>
    <row r="753" spans="10:10" x14ac:dyDescent="0.3">
      <c r="J753" s="311"/>
    </row>
    <row r="754" spans="10:10" x14ac:dyDescent="0.3">
      <c r="J754" s="311"/>
    </row>
    <row r="755" spans="10:10" x14ac:dyDescent="0.3">
      <c r="J755" s="311"/>
    </row>
    <row r="756" spans="10:10" x14ac:dyDescent="0.3">
      <c r="J756" s="311"/>
    </row>
    <row r="757" spans="10:10" x14ac:dyDescent="0.3">
      <c r="J757" s="311"/>
    </row>
    <row r="758" spans="10:10" x14ac:dyDescent="0.3">
      <c r="J758" s="311"/>
    </row>
    <row r="759" spans="10:10" x14ac:dyDescent="0.3">
      <c r="J759" s="311"/>
    </row>
    <row r="760" spans="10:10" x14ac:dyDescent="0.3">
      <c r="J760" s="311"/>
    </row>
    <row r="761" spans="10:10" x14ac:dyDescent="0.3">
      <c r="J761" s="311"/>
    </row>
    <row r="762" spans="10:10" x14ac:dyDescent="0.3">
      <c r="J762" s="311"/>
    </row>
    <row r="763" spans="10:10" x14ac:dyDescent="0.3">
      <c r="J763" s="311"/>
    </row>
    <row r="764" spans="10:10" x14ac:dyDescent="0.3">
      <c r="J764" s="311"/>
    </row>
    <row r="765" spans="10:10" x14ac:dyDescent="0.3">
      <c r="J765" s="311"/>
    </row>
    <row r="766" spans="10:10" x14ac:dyDescent="0.3">
      <c r="J766" s="311"/>
    </row>
    <row r="767" spans="10:10" x14ac:dyDescent="0.3">
      <c r="J767" s="311"/>
    </row>
    <row r="768" spans="10:10" x14ac:dyDescent="0.3">
      <c r="J768" s="311"/>
    </row>
    <row r="769" spans="10:10" x14ac:dyDescent="0.3">
      <c r="J769" s="311"/>
    </row>
    <row r="770" spans="10:10" x14ac:dyDescent="0.3">
      <c r="J770" s="311"/>
    </row>
    <row r="771" spans="10:10" x14ac:dyDescent="0.3">
      <c r="J771" s="311"/>
    </row>
    <row r="772" spans="10:10" x14ac:dyDescent="0.3">
      <c r="J772" s="311"/>
    </row>
    <row r="773" spans="10:10" x14ac:dyDescent="0.3">
      <c r="J773" s="311"/>
    </row>
    <row r="774" spans="10:10" x14ac:dyDescent="0.3">
      <c r="J774" s="311"/>
    </row>
    <row r="775" spans="10:10" x14ac:dyDescent="0.3">
      <c r="J775" s="311"/>
    </row>
    <row r="776" spans="10:10" x14ac:dyDescent="0.3">
      <c r="J776" s="311"/>
    </row>
    <row r="777" spans="10:10" x14ac:dyDescent="0.3">
      <c r="J777" s="311"/>
    </row>
    <row r="778" spans="10:10" x14ac:dyDescent="0.3">
      <c r="J778" s="311"/>
    </row>
    <row r="779" spans="10:10" x14ac:dyDescent="0.3">
      <c r="J779" s="311"/>
    </row>
    <row r="780" spans="10:10" x14ac:dyDescent="0.3">
      <c r="J780" s="311"/>
    </row>
    <row r="781" spans="10:10" x14ac:dyDescent="0.3">
      <c r="J781" s="311"/>
    </row>
    <row r="782" spans="10:10" x14ac:dyDescent="0.3">
      <c r="J782" s="311"/>
    </row>
    <row r="783" spans="10:10" x14ac:dyDescent="0.3">
      <c r="J783" s="311"/>
    </row>
    <row r="784" spans="10:10" x14ac:dyDescent="0.3">
      <c r="J784" s="311"/>
    </row>
    <row r="785" spans="10:10" x14ac:dyDescent="0.3">
      <c r="J785" s="311"/>
    </row>
    <row r="786" spans="10:10" x14ac:dyDescent="0.3">
      <c r="J786" s="311"/>
    </row>
    <row r="787" spans="10:10" x14ac:dyDescent="0.3">
      <c r="J787" s="311"/>
    </row>
    <row r="788" spans="10:10" x14ac:dyDescent="0.3">
      <c r="J788" s="311"/>
    </row>
    <row r="789" spans="10:10" x14ac:dyDescent="0.3">
      <c r="J789" s="311"/>
    </row>
    <row r="790" spans="10:10" x14ac:dyDescent="0.3">
      <c r="J790" s="311"/>
    </row>
    <row r="791" spans="10:10" x14ac:dyDescent="0.3">
      <c r="J791" s="311"/>
    </row>
    <row r="792" spans="10:10" x14ac:dyDescent="0.3">
      <c r="J792" s="311"/>
    </row>
    <row r="793" spans="10:10" x14ac:dyDescent="0.3">
      <c r="J793" s="311"/>
    </row>
    <row r="794" spans="10:10" x14ac:dyDescent="0.3">
      <c r="J794" s="311"/>
    </row>
    <row r="795" spans="10:10" x14ac:dyDescent="0.3">
      <c r="J795" s="311"/>
    </row>
    <row r="796" spans="10:10" x14ac:dyDescent="0.3">
      <c r="J796" s="311"/>
    </row>
    <row r="797" spans="10:10" x14ac:dyDescent="0.3">
      <c r="J797" s="311"/>
    </row>
    <row r="798" spans="10:10" x14ac:dyDescent="0.3">
      <c r="J798" s="311"/>
    </row>
    <row r="799" spans="10:10" x14ac:dyDescent="0.3">
      <c r="J799" s="311"/>
    </row>
    <row r="800" spans="10:10" x14ac:dyDescent="0.3">
      <c r="J800" s="311"/>
    </row>
    <row r="801" spans="10:10" x14ac:dyDescent="0.3">
      <c r="J801" s="311"/>
    </row>
    <row r="802" spans="10:10" x14ac:dyDescent="0.3">
      <c r="J802" s="311"/>
    </row>
    <row r="803" spans="10:10" x14ac:dyDescent="0.3">
      <c r="J803" s="311"/>
    </row>
    <row r="804" spans="10:10" x14ac:dyDescent="0.3">
      <c r="J804" s="311"/>
    </row>
    <row r="805" spans="10:10" x14ac:dyDescent="0.3">
      <c r="J805" s="311"/>
    </row>
    <row r="806" spans="10:10" x14ac:dyDescent="0.3">
      <c r="J806" s="311"/>
    </row>
    <row r="807" spans="10:10" x14ac:dyDescent="0.3">
      <c r="J807" s="311"/>
    </row>
    <row r="808" spans="10:10" x14ac:dyDescent="0.3">
      <c r="J808" s="311"/>
    </row>
    <row r="809" spans="10:10" x14ac:dyDescent="0.3">
      <c r="J809" s="311"/>
    </row>
    <row r="810" spans="10:10" x14ac:dyDescent="0.3">
      <c r="J810" s="311"/>
    </row>
    <row r="811" spans="10:10" x14ac:dyDescent="0.3">
      <c r="J811" s="311"/>
    </row>
    <row r="812" spans="10:10" x14ac:dyDescent="0.3">
      <c r="J812" s="311"/>
    </row>
    <row r="813" spans="10:10" x14ac:dyDescent="0.3">
      <c r="J813" s="311"/>
    </row>
    <row r="814" spans="10:10" x14ac:dyDescent="0.3">
      <c r="J814" s="311"/>
    </row>
    <row r="815" spans="10:10" x14ac:dyDescent="0.3">
      <c r="J815" s="311"/>
    </row>
    <row r="816" spans="10:10" x14ac:dyDescent="0.3">
      <c r="J816" s="311"/>
    </row>
    <row r="817" spans="10:10" x14ac:dyDescent="0.3">
      <c r="J817" s="311"/>
    </row>
    <row r="818" spans="10:10" x14ac:dyDescent="0.3">
      <c r="J818" s="311"/>
    </row>
    <row r="819" spans="10:10" x14ac:dyDescent="0.3">
      <c r="J819" s="311"/>
    </row>
    <row r="820" spans="10:10" x14ac:dyDescent="0.3">
      <c r="J820" s="311"/>
    </row>
    <row r="821" spans="10:10" x14ac:dyDescent="0.3">
      <c r="J821" s="311"/>
    </row>
    <row r="822" spans="10:10" x14ac:dyDescent="0.3">
      <c r="J822" s="311"/>
    </row>
    <row r="823" spans="10:10" x14ac:dyDescent="0.3">
      <c r="J823" s="311"/>
    </row>
    <row r="824" spans="10:10" x14ac:dyDescent="0.3">
      <c r="J824" s="311"/>
    </row>
    <row r="825" spans="10:10" x14ac:dyDescent="0.3">
      <c r="J825" s="311"/>
    </row>
    <row r="826" spans="10:10" x14ac:dyDescent="0.3">
      <c r="J826" s="311"/>
    </row>
    <row r="827" spans="10:10" x14ac:dyDescent="0.3">
      <c r="J827" s="311"/>
    </row>
    <row r="828" spans="10:10" x14ac:dyDescent="0.3">
      <c r="J828" s="311"/>
    </row>
    <row r="829" spans="10:10" x14ac:dyDescent="0.3">
      <c r="J829" s="311"/>
    </row>
    <row r="830" spans="10:10" x14ac:dyDescent="0.3">
      <c r="J830" s="311"/>
    </row>
    <row r="831" spans="10:10" x14ac:dyDescent="0.3">
      <c r="J831" s="311"/>
    </row>
    <row r="832" spans="10:10" x14ac:dyDescent="0.3">
      <c r="J832" s="311"/>
    </row>
    <row r="833" spans="10:10" x14ac:dyDescent="0.3">
      <c r="J833" s="311"/>
    </row>
    <row r="834" spans="10:10" x14ac:dyDescent="0.3">
      <c r="J834" s="311"/>
    </row>
    <row r="835" spans="10:10" x14ac:dyDescent="0.3">
      <c r="J835" s="311"/>
    </row>
    <row r="836" spans="10:10" x14ac:dyDescent="0.3">
      <c r="J836" s="311"/>
    </row>
    <row r="837" spans="10:10" x14ac:dyDescent="0.3">
      <c r="J837" s="311"/>
    </row>
    <row r="838" spans="10:10" x14ac:dyDescent="0.3">
      <c r="J838" s="311"/>
    </row>
    <row r="839" spans="10:10" x14ac:dyDescent="0.3">
      <c r="J839" s="311"/>
    </row>
    <row r="840" spans="10:10" x14ac:dyDescent="0.3">
      <c r="J840" s="311"/>
    </row>
    <row r="841" spans="10:10" x14ac:dyDescent="0.3">
      <c r="J841" s="311"/>
    </row>
    <row r="842" spans="10:10" x14ac:dyDescent="0.3">
      <c r="J842" s="311"/>
    </row>
    <row r="843" spans="10:10" x14ac:dyDescent="0.3">
      <c r="J843" s="311"/>
    </row>
    <row r="844" spans="10:10" x14ac:dyDescent="0.3">
      <c r="J844" s="311"/>
    </row>
    <row r="845" spans="10:10" x14ac:dyDescent="0.3">
      <c r="J845" s="311"/>
    </row>
    <row r="846" spans="10:10" x14ac:dyDescent="0.3">
      <c r="J846" s="311"/>
    </row>
    <row r="847" spans="10:10" x14ac:dyDescent="0.3">
      <c r="J847" s="311"/>
    </row>
    <row r="848" spans="10:10" x14ac:dyDescent="0.3">
      <c r="J848" s="311"/>
    </row>
    <row r="849" spans="10:10" x14ac:dyDescent="0.3">
      <c r="J849" s="311"/>
    </row>
    <row r="850" spans="10:10" x14ac:dyDescent="0.3">
      <c r="J850" s="311"/>
    </row>
    <row r="851" spans="10:10" x14ac:dyDescent="0.3">
      <c r="J851" s="311"/>
    </row>
    <row r="852" spans="10:10" x14ac:dyDescent="0.3">
      <c r="J852" s="311"/>
    </row>
    <row r="853" spans="10:10" x14ac:dyDescent="0.3">
      <c r="J853" s="311"/>
    </row>
    <row r="854" spans="10:10" x14ac:dyDescent="0.3">
      <c r="J854" s="311"/>
    </row>
    <row r="855" spans="10:10" x14ac:dyDescent="0.3">
      <c r="J855" s="311"/>
    </row>
    <row r="856" spans="10:10" x14ac:dyDescent="0.3">
      <c r="J856" s="311"/>
    </row>
    <row r="857" spans="10:10" x14ac:dyDescent="0.3">
      <c r="J857" s="311"/>
    </row>
    <row r="858" spans="10:10" x14ac:dyDescent="0.3">
      <c r="J858" s="311"/>
    </row>
    <row r="859" spans="10:10" x14ac:dyDescent="0.3">
      <c r="J859" s="311"/>
    </row>
    <row r="860" spans="10:10" x14ac:dyDescent="0.3">
      <c r="J860" s="311"/>
    </row>
    <row r="861" spans="10:10" x14ac:dyDescent="0.3">
      <c r="J861" s="311"/>
    </row>
    <row r="862" spans="10:10" x14ac:dyDescent="0.3">
      <c r="J862" s="311"/>
    </row>
    <row r="863" spans="10:10" x14ac:dyDescent="0.3">
      <c r="J863" s="311"/>
    </row>
    <row r="864" spans="10:10" x14ac:dyDescent="0.3">
      <c r="J864" s="311"/>
    </row>
    <row r="865" spans="10:10" x14ac:dyDescent="0.3">
      <c r="J865" s="311"/>
    </row>
    <row r="866" spans="10:10" x14ac:dyDescent="0.3">
      <c r="J866" s="311"/>
    </row>
    <row r="867" spans="10:10" x14ac:dyDescent="0.3">
      <c r="J867" s="311"/>
    </row>
    <row r="868" spans="10:10" x14ac:dyDescent="0.3">
      <c r="J868" s="311"/>
    </row>
    <row r="869" spans="10:10" x14ac:dyDescent="0.3">
      <c r="J869" s="311"/>
    </row>
    <row r="870" spans="10:10" x14ac:dyDescent="0.3">
      <c r="J870" s="311"/>
    </row>
    <row r="871" spans="10:10" x14ac:dyDescent="0.3">
      <c r="J871" s="311"/>
    </row>
    <row r="872" spans="10:10" x14ac:dyDescent="0.3">
      <c r="J872" s="311"/>
    </row>
    <row r="873" spans="10:10" x14ac:dyDescent="0.3">
      <c r="J873" s="311"/>
    </row>
    <row r="874" spans="10:10" x14ac:dyDescent="0.3">
      <c r="J874" s="311"/>
    </row>
    <row r="875" spans="10:10" x14ac:dyDescent="0.3">
      <c r="J875" s="311"/>
    </row>
    <row r="876" spans="10:10" x14ac:dyDescent="0.3">
      <c r="J876" s="311"/>
    </row>
    <row r="877" spans="10:10" x14ac:dyDescent="0.3">
      <c r="J877" s="311"/>
    </row>
    <row r="878" spans="10:10" x14ac:dyDescent="0.3">
      <c r="J878" s="311"/>
    </row>
    <row r="879" spans="10:10" x14ac:dyDescent="0.3">
      <c r="J879" s="311"/>
    </row>
    <row r="880" spans="10:10" x14ac:dyDescent="0.3">
      <c r="J880" s="311"/>
    </row>
    <row r="881" spans="10:10" x14ac:dyDescent="0.3">
      <c r="J881" s="311"/>
    </row>
    <row r="882" spans="10:10" x14ac:dyDescent="0.3">
      <c r="J882" s="311"/>
    </row>
    <row r="883" spans="10:10" x14ac:dyDescent="0.3">
      <c r="J883" s="311"/>
    </row>
    <row r="884" spans="10:10" x14ac:dyDescent="0.3">
      <c r="J884" s="311"/>
    </row>
    <row r="885" spans="10:10" x14ac:dyDescent="0.3">
      <c r="J885" s="311"/>
    </row>
    <row r="886" spans="10:10" x14ac:dyDescent="0.3">
      <c r="J886" s="311"/>
    </row>
    <row r="887" spans="10:10" x14ac:dyDescent="0.3">
      <c r="J887" s="311"/>
    </row>
    <row r="888" spans="10:10" x14ac:dyDescent="0.3">
      <c r="J888" s="311"/>
    </row>
    <row r="889" spans="10:10" x14ac:dyDescent="0.3">
      <c r="J889" s="311"/>
    </row>
    <row r="890" spans="10:10" x14ac:dyDescent="0.3">
      <c r="J890" s="311"/>
    </row>
    <row r="891" spans="10:10" x14ac:dyDescent="0.3">
      <c r="J891" s="311"/>
    </row>
    <row r="892" spans="10:10" x14ac:dyDescent="0.3">
      <c r="J892" s="311"/>
    </row>
    <row r="893" spans="10:10" x14ac:dyDescent="0.3">
      <c r="J893" s="311"/>
    </row>
    <row r="894" spans="10:10" x14ac:dyDescent="0.3">
      <c r="J894" s="311"/>
    </row>
    <row r="895" spans="10:10" x14ac:dyDescent="0.3">
      <c r="J895" s="311"/>
    </row>
    <row r="896" spans="10:10" x14ac:dyDescent="0.3">
      <c r="J896" s="311"/>
    </row>
    <row r="897" spans="10:10" x14ac:dyDescent="0.3">
      <c r="J897" s="311"/>
    </row>
    <row r="898" spans="10:10" x14ac:dyDescent="0.3">
      <c r="J898" s="311"/>
    </row>
    <row r="899" spans="10:10" x14ac:dyDescent="0.3">
      <c r="J899" s="311"/>
    </row>
    <row r="900" spans="10:10" x14ac:dyDescent="0.3">
      <c r="J900" s="311"/>
    </row>
    <row r="901" spans="10:10" x14ac:dyDescent="0.3">
      <c r="J901" s="311"/>
    </row>
    <row r="902" spans="10:10" x14ac:dyDescent="0.3">
      <c r="J902" s="311"/>
    </row>
    <row r="903" spans="10:10" x14ac:dyDescent="0.3">
      <c r="J903" s="311"/>
    </row>
    <row r="904" spans="10:10" x14ac:dyDescent="0.3">
      <c r="J904" s="311"/>
    </row>
    <row r="905" spans="10:10" x14ac:dyDescent="0.3">
      <c r="J905" s="311"/>
    </row>
    <row r="906" spans="10:10" x14ac:dyDescent="0.3">
      <c r="J906" s="311"/>
    </row>
    <row r="907" spans="10:10" x14ac:dyDescent="0.3">
      <c r="J907" s="311"/>
    </row>
    <row r="908" spans="10:10" x14ac:dyDescent="0.3">
      <c r="J908" s="311"/>
    </row>
    <row r="909" spans="10:10" x14ac:dyDescent="0.3">
      <c r="J909" s="311"/>
    </row>
    <row r="910" spans="10:10" x14ac:dyDescent="0.3">
      <c r="J910" s="311"/>
    </row>
    <row r="911" spans="10:10" x14ac:dyDescent="0.3">
      <c r="J911" s="311"/>
    </row>
    <row r="912" spans="10:10" x14ac:dyDescent="0.3">
      <c r="J912" s="311"/>
    </row>
    <row r="913" spans="10:10" x14ac:dyDescent="0.3">
      <c r="J913" s="311"/>
    </row>
    <row r="914" spans="10:10" x14ac:dyDescent="0.3">
      <c r="J914" s="311"/>
    </row>
    <row r="915" spans="10:10" x14ac:dyDescent="0.3">
      <c r="J915" s="311"/>
    </row>
    <row r="916" spans="10:10" x14ac:dyDescent="0.3">
      <c r="J916" s="311"/>
    </row>
    <row r="917" spans="10:10" x14ac:dyDescent="0.3">
      <c r="J917" s="311"/>
    </row>
    <row r="918" spans="10:10" x14ac:dyDescent="0.3">
      <c r="J918" s="311"/>
    </row>
    <row r="919" spans="10:10" x14ac:dyDescent="0.3">
      <c r="J919" s="311"/>
    </row>
    <row r="920" spans="10:10" x14ac:dyDescent="0.3">
      <c r="J920" s="311"/>
    </row>
    <row r="921" spans="10:10" x14ac:dyDescent="0.3">
      <c r="J921" s="311"/>
    </row>
    <row r="922" spans="10:10" x14ac:dyDescent="0.3">
      <c r="J922" s="311"/>
    </row>
    <row r="923" spans="10:10" x14ac:dyDescent="0.3">
      <c r="J923" s="311"/>
    </row>
    <row r="924" spans="10:10" x14ac:dyDescent="0.3">
      <c r="J924" s="311"/>
    </row>
    <row r="925" spans="10:10" x14ac:dyDescent="0.3">
      <c r="J925" s="311"/>
    </row>
    <row r="926" spans="10:10" x14ac:dyDescent="0.3">
      <c r="J926" s="311"/>
    </row>
    <row r="927" spans="10:10" x14ac:dyDescent="0.3">
      <c r="J927" s="311"/>
    </row>
    <row r="928" spans="10:10" x14ac:dyDescent="0.3">
      <c r="J928" s="311"/>
    </row>
    <row r="929" spans="10:10" x14ac:dyDescent="0.3">
      <c r="J929" s="311"/>
    </row>
    <row r="930" spans="10:10" x14ac:dyDescent="0.3">
      <c r="J930" s="311"/>
    </row>
    <row r="931" spans="10:10" x14ac:dyDescent="0.3">
      <c r="J931" s="311"/>
    </row>
    <row r="932" spans="10:10" x14ac:dyDescent="0.3">
      <c r="J932" s="311"/>
    </row>
    <row r="933" spans="10:10" x14ac:dyDescent="0.3">
      <c r="J933" s="311"/>
    </row>
    <row r="934" spans="10:10" x14ac:dyDescent="0.3">
      <c r="J934" s="311"/>
    </row>
    <row r="935" spans="10:10" x14ac:dyDescent="0.3">
      <c r="J935" s="311"/>
    </row>
    <row r="936" spans="10:10" x14ac:dyDescent="0.3">
      <c r="J936" s="311"/>
    </row>
    <row r="937" spans="10:10" x14ac:dyDescent="0.3">
      <c r="J937" s="311"/>
    </row>
    <row r="938" spans="10:10" x14ac:dyDescent="0.3">
      <c r="J938" s="311"/>
    </row>
    <row r="939" spans="10:10" x14ac:dyDescent="0.3">
      <c r="J939" s="311"/>
    </row>
    <row r="940" spans="10:10" x14ac:dyDescent="0.3">
      <c r="J940" s="311"/>
    </row>
    <row r="941" spans="10:10" x14ac:dyDescent="0.3">
      <c r="J941" s="311"/>
    </row>
    <row r="942" spans="10:10" x14ac:dyDescent="0.3">
      <c r="J942" s="311"/>
    </row>
    <row r="943" spans="10:10" x14ac:dyDescent="0.3">
      <c r="J943" s="311"/>
    </row>
    <row r="944" spans="10:10" x14ac:dyDescent="0.3">
      <c r="J944" s="311"/>
    </row>
    <row r="945" spans="10:10" x14ac:dyDescent="0.3">
      <c r="J945" s="311"/>
    </row>
    <row r="946" spans="10:10" x14ac:dyDescent="0.3">
      <c r="J946" s="311"/>
    </row>
    <row r="947" spans="10:10" x14ac:dyDescent="0.3">
      <c r="J947" s="311"/>
    </row>
    <row r="948" spans="10:10" x14ac:dyDescent="0.3">
      <c r="J948" s="311"/>
    </row>
    <row r="949" spans="10:10" x14ac:dyDescent="0.3">
      <c r="J949" s="311"/>
    </row>
    <row r="950" spans="10:10" x14ac:dyDescent="0.3">
      <c r="J950" s="311"/>
    </row>
    <row r="951" spans="10:10" x14ac:dyDescent="0.3">
      <c r="J951" s="311"/>
    </row>
    <row r="952" spans="10:10" x14ac:dyDescent="0.3">
      <c r="J952" s="311"/>
    </row>
    <row r="953" spans="10:10" x14ac:dyDescent="0.3">
      <c r="J953" s="311"/>
    </row>
    <row r="954" spans="10:10" x14ac:dyDescent="0.3">
      <c r="J954" s="311"/>
    </row>
    <row r="955" spans="10:10" x14ac:dyDescent="0.3">
      <c r="J955" s="311"/>
    </row>
    <row r="956" spans="10:10" x14ac:dyDescent="0.3">
      <c r="J956" s="311"/>
    </row>
    <row r="957" spans="10:10" x14ac:dyDescent="0.3">
      <c r="J957" s="311"/>
    </row>
    <row r="958" spans="10:10" x14ac:dyDescent="0.3">
      <c r="J958" s="311"/>
    </row>
    <row r="959" spans="10:10" x14ac:dyDescent="0.3">
      <c r="J959" s="311"/>
    </row>
    <row r="960" spans="10:10" x14ac:dyDescent="0.3">
      <c r="J960" s="311"/>
    </row>
    <row r="961" spans="10:10" x14ac:dyDescent="0.3">
      <c r="J961" s="311"/>
    </row>
    <row r="962" spans="10:10" x14ac:dyDescent="0.3">
      <c r="J962" s="311"/>
    </row>
    <row r="963" spans="10:10" x14ac:dyDescent="0.3">
      <c r="J963" s="311"/>
    </row>
    <row r="964" spans="10:10" x14ac:dyDescent="0.3">
      <c r="J964" s="311"/>
    </row>
    <row r="965" spans="10:10" x14ac:dyDescent="0.3">
      <c r="J965" s="311"/>
    </row>
    <row r="966" spans="10:10" x14ac:dyDescent="0.3">
      <c r="J966" s="311"/>
    </row>
    <row r="967" spans="10:10" x14ac:dyDescent="0.3">
      <c r="J967" s="311"/>
    </row>
    <row r="968" spans="10:10" x14ac:dyDescent="0.3">
      <c r="J968" s="311"/>
    </row>
    <row r="969" spans="10:10" x14ac:dyDescent="0.3">
      <c r="J969" s="311"/>
    </row>
    <row r="970" spans="10:10" x14ac:dyDescent="0.3">
      <c r="J970" s="311"/>
    </row>
    <row r="971" spans="10:10" x14ac:dyDescent="0.3">
      <c r="J971" s="311"/>
    </row>
    <row r="972" spans="10:10" x14ac:dyDescent="0.3">
      <c r="J972" s="311"/>
    </row>
    <row r="973" spans="10:10" x14ac:dyDescent="0.3">
      <c r="J973" s="311"/>
    </row>
    <row r="974" spans="10:10" x14ac:dyDescent="0.3">
      <c r="J974" s="311"/>
    </row>
    <row r="975" spans="10:10" x14ac:dyDescent="0.3">
      <c r="J975" s="311"/>
    </row>
    <row r="976" spans="10:10" x14ac:dyDescent="0.3">
      <c r="J976" s="311"/>
    </row>
    <row r="977" spans="10:10" x14ac:dyDescent="0.3">
      <c r="J977" s="311"/>
    </row>
    <row r="978" spans="10:10" x14ac:dyDescent="0.3">
      <c r="J978" s="311"/>
    </row>
    <row r="979" spans="10:10" x14ac:dyDescent="0.3">
      <c r="J979" s="311"/>
    </row>
    <row r="980" spans="10:10" x14ac:dyDescent="0.3">
      <c r="J980" s="311"/>
    </row>
    <row r="981" spans="10:10" x14ac:dyDescent="0.3">
      <c r="J981" s="311"/>
    </row>
    <row r="982" spans="10:10" x14ac:dyDescent="0.3">
      <c r="J982" s="311"/>
    </row>
    <row r="983" spans="10:10" x14ac:dyDescent="0.3">
      <c r="J983" s="311"/>
    </row>
    <row r="984" spans="10:10" x14ac:dyDescent="0.3">
      <c r="J984" s="311"/>
    </row>
    <row r="985" spans="10:10" x14ac:dyDescent="0.3">
      <c r="J985" s="311"/>
    </row>
    <row r="986" spans="10:10" x14ac:dyDescent="0.3">
      <c r="J986" s="311"/>
    </row>
    <row r="987" spans="10:10" x14ac:dyDescent="0.3">
      <c r="J987" s="311"/>
    </row>
    <row r="988" spans="10:10" x14ac:dyDescent="0.3">
      <c r="J988" s="311"/>
    </row>
    <row r="989" spans="10:10" x14ac:dyDescent="0.3">
      <c r="J989" s="311"/>
    </row>
    <row r="990" spans="10:10" x14ac:dyDescent="0.3">
      <c r="J990" s="311"/>
    </row>
    <row r="991" spans="10:10" x14ac:dyDescent="0.3">
      <c r="J991" s="311"/>
    </row>
    <row r="992" spans="10:10" x14ac:dyDescent="0.3">
      <c r="J992" s="311"/>
    </row>
    <row r="993" spans="10:10" x14ac:dyDescent="0.3">
      <c r="J993" s="311"/>
    </row>
    <row r="994" spans="10:10" x14ac:dyDescent="0.3">
      <c r="J994" s="311"/>
    </row>
    <row r="995" spans="10:10" x14ac:dyDescent="0.3">
      <c r="J995" s="311"/>
    </row>
    <row r="996" spans="10:10" x14ac:dyDescent="0.3">
      <c r="J996" s="311"/>
    </row>
    <row r="997" spans="10:10" x14ac:dyDescent="0.3">
      <c r="J997" s="311"/>
    </row>
    <row r="998" spans="10:10" x14ac:dyDescent="0.3">
      <c r="J998" s="311"/>
    </row>
    <row r="999" spans="10:10" x14ac:dyDescent="0.3">
      <c r="J999" s="311"/>
    </row>
    <row r="1000" spans="10:10" x14ac:dyDescent="0.3">
      <c r="J1000" s="311"/>
    </row>
    <row r="1001" spans="10:10" x14ac:dyDescent="0.3">
      <c r="J1001" s="311"/>
    </row>
    <row r="1002" spans="10:10" x14ac:dyDescent="0.3">
      <c r="J1002" s="311"/>
    </row>
    <row r="1003" spans="10:10" x14ac:dyDescent="0.3">
      <c r="J1003" s="311"/>
    </row>
    <row r="1004" spans="10:10" x14ac:dyDescent="0.3">
      <c r="J1004" s="311"/>
    </row>
    <row r="1005" spans="10:10" x14ac:dyDescent="0.3">
      <c r="J1005" s="311"/>
    </row>
    <row r="1006" spans="10:10" x14ac:dyDescent="0.3">
      <c r="J1006" s="311"/>
    </row>
    <row r="1007" spans="10:10" x14ac:dyDescent="0.3">
      <c r="J1007" s="311"/>
    </row>
    <row r="1008" spans="10:10" x14ac:dyDescent="0.3">
      <c r="J1008" s="311"/>
    </row>
    <row r="1009" spans="10:10" x14ac:dyDescent="0.3">
      <c r="J1009" s="311"/>
    </row>
    <row r="1010" spans="10:10" x14ac:dyDescent="0.3">
      <c r="J1010" s="311"/>
    </row>
    <row r="1011" spans="10:10" x14ac:dyDescent="0.3">
      <c r="J1011" s="311"/>
    </row>
    <row r="1012" spans="10:10" x14ac:dyDescent="0.3">
      <c r="J1012" s="311"/>
    </row>
    <row r="1013" spans="10:10" x14ac:dyDescent="0.3">
      <c r="J1013" s="311"/>
    </row>
    <row r="1014" spans="10:10" x14ac:dyDescent="0.3">
      <c r="J1014" s="311"/>
    </row>
    <row r="1015" spans="10:10" x14ac:dyDescent="0.3">
      <c r="J1015" s="311"/>
    </row>
    <row r="1016" spans="10:10" x14ac:dyDescent="0.3">
      <c r="J1016" s="311"/>
    </row>
    <row r="1017" spans="10:10" x14ac:dyDescent="0.3">
      <c r="J1017" s="311"/>
    </row>
    <row r="1018" spans="10:10" x14ac:dyDescent="0.3">
      <c r="J1018" s="311"/>
    </row>
    <row r="1019" spans="10:10" x14ac:dyDescent="0.3">
      <c r="J1019" s="311"/>
    </row>
    <row r="1020" spans="10:10" x14ac:dyDescent="0.3">
      <c r="J1020" s="311"/>
    </row>
    <row r="1021" spans="10:10" x14ac:dyDescent="0.3">
      <c r="J1021" s="311"/>
    </row>
    <row r="1022" spans="10:10" x14ac:dyDescent="0.3">
      <c r="J1022" s="311"/>
    </row>
    <row r="1023" spans="10:10" x14ac:dyDescent="0.3">
      <c r="J1023" s="311"/>
    </row>
    <row r="1024" spans="10:10" x14ac:dyDescent="0.3">
      <c r="J1024" s="311"/>
    </row>
    <row r="1025" spans="10:10" x14ac:dyDescent="0.3">
      <c r="J1025" s="311"/>
    </row>
    <row r="1026" spans="10:10" x14ac:dyDescent="0.3">
      <c r="J1026" s="311"/>
    </row>
    <row r="1027" spans="10:10" x14ac:dyDescent="0.3">
      <c r="J1027" s="311"/>
    </row>
    <row r="1028" spans="10:10" x14ac:dyDescent="0.3">
      <c r="J1028" s="311"/>
    </row>
    <row r="1029" spans="10:10" x14ac:dyDescent="0.3">
      <c r="J1029" s="311"/>
    </row>
    <row r="1030" spans="10:10" x14ac:dyDescent="0.3">
      <c r="J1030" s="311"/>
    </row>
    <row r="1031" spans="10:10" x14ac:dyDescent="0.3">
      <c r="J1031" s="311"/>
    </row>
    <row r="1032" spans="10:10" x14ac:dyDescent="0.3">
      <c r="J1032" s="311"/>
    </row>
    <row r="1033" spans="10:10" x14ac:dyDescent="0.3">
      <c r="J1033" s="311"/>
    </row>
    <row r="1034" spans="10:10" x14ac:dyDescent="0.3">
      <c r="J1034" s="311"/>
    </row>
    <row r="1035" spans="10:10" x14ac:dyDescent="0.3">
      <c r="J1035" s="311"/>
    </row>
    <row r="1036" spans="10:10" x14ac:dyDescent="0.3">
      <c r="J1036" s="311"/>
    </row>
    <row r="1037" spans="10:10" x14ac:dyDescent="0.3">
      <c r="J1037" s="311"/>
    </row>
    <row r="1038" spans="10:10" x14ac:dyDescent="0.3">
      <c r="J1038" s="311"/>
    </row>
    <row r="1039" spans="10:10" x14ac:dyDescent="0.3">
      <c r="J1039" s="311"/>
    </row>
    <row r="1040" spans="10:10" x14ac:dyDescent="0.3">
      <c r="J1040" s="311"/>
    </row>
    <row r="1041" spans="10:10" x14ac:dyDescent="0.3">
      <c r="J1041" s="311"/>
    </row>
    <row r="1042" spans="10:10" x14ac:dyDescent="0.3">
      <c r="J1042" s="311"/>
    </row>
    <row r="1043" spans="10:10" x14ac:dyDescent="0.3">
      <c r="J1043" s="311"/>
    </row>
    <row r="1044" spans="10:10" x14ac:dyDescent="0.3">
      <c r="J1044" s="311"/>
    </row>
    <row r="1045" spans="10:10" x14ac:dyDescent="0.3">
      <c r="J1045" s="311"/>
    </row>
    <row r="1046" spans="10:10" x14ac:dyDescent="0.3">
      <c r="J1046" s="311"/>
    </row>
    <row r="1047" spans="10:10" x14ac:dyDescent="0.3">
      <c r="J1047" s="311"/>
    </row>
    <row r="1048" spans="10:10" x14ac:dyDescent="0.3">
      <c r="J1048" s="311"/>
    </row>
    <row r="1049" spans="10:10" x14ac:dyDescent="0.3">
      <c r="J1049" s="311"/>
    </row>
    <row r="1050" spans="10:10" x14ac:dyDescent="0.3">
      <c r="J1050" s="311"/>
    </row>
    <row r="1051" spans="10:10" x14ac:dyDescent="0.3">
      <c r="J1051" s="311"/>
    </row>
    <row r="1052" spans="10:10" x14ac:dyDescent="0.3">
      <c r="J1052" s="311"/>
    </row>
    <row r="1053" spans="10:10" x14ac:dyDescent="0.3">
      <c r="J1053" s="311"/>
    </row>
    <row r="1054" spans="10:10" x14ac:dyDescent="0.3">
      <c r="J1054" s="311"/>
    </row>
    <row r="1055" spans="10:10" x14ac:dyDescent="0.3">
      <c r="J1055" s="311"/>
    </row>
    <row r="1056" spans="10:10" x14ac:dyDescent="0.3">
      <c r="J1056" s="311"/>
    </row>
    <row r="1057" spans="10:10" x14ac:dyDescent="0.3">
      <c r="J1057" s="311"/>
    </row>
    <row r="1058" spans="10:10" x14ac:dyDescent="0.3">
      <c r="J1058" s="311"/>
    </row>
    <row r="1059" spans="10:10" x14ac:dyDescent="0.3">
      <c r="J1059" s="311"/>
    </row>
    <row r="1060" spans="10:10" x14ac:dyDescent="0.3">
      <c r="J1060" s="311"/>
    </row>
    <row r="1061" spans="10:10" x14ac:dyDescent="0.3">
      <c r="J1061" s="311"/>
    </row>
    <row r="1062" spans="10:10" x14ac:dyDescent="0.3">
      <c r="J1062" s="311"/>
    </row>
    <row r="1063" spans="10:10" x14ac:dyDescent="0.3">
      <c r="J1063" s="311"/>
    </row>
    <row r="1064" spans="10:10" x14ac:dyDescent="0.3">
      <c r="J1064" s="311"/>
    </row>
    <row r="1065" spans="10:10" x14ac:dyDescent="0.3">
      <c r="J1065" s="311"/>
    </row>
    <row r="1066" spans="10:10" x14ac:dyDescent="0.3">
      <c r="J1066" s="311"/>
    </row>
    <row r="1067" spans="10:10" x14ac:dyDescent="0.3">
      <c r="J1067" s="311"/>
    </row>
    <row r="1068" spans="10:10" x14ac:dyDescent="0.3">
      <c r="J1068" s="311"/>
    </row>
    <row r="1069" spans="10:10" x14ac:dyDescent="0.3">
      <c r="J1069" s="311"/>
    </row>
    <row r="1070" spans="10:10" x14ac:dyDescent="0.3">
      <c r="J1070" s="311"/>
    </row>
    <row r="1071" spans="10:10" x14ac:dyDescent="0.3">
      <c r="J1071" s="311"/>
    </row>
    <row r="1072" spans="10:10" x14ac:dyDescent="0.3">
      <c r="J1072" s="311"/>
    </row>
    <row r="1073" spans="10:10" x14ac:dyDescent="0.3">
      <c r="J1073" s="311"/>
    </row>
    <row r="1074" spans="10:10" x14ac:dyDescent="0.3">
      <c r="J1074" s="311"/>
    </row>
    <row r="1075" spans="10:10" x14ac:dyDescent="0.3">
      <c r="J1075" s="311"/>
    </row>
    <row r="1076" spans="10:10" x14ac:dyDescent="0.3">
      <c r="J1076" s="311"/>
    </row>
    <row r="1077" spans="10:10" x14ac:dyDescent="0.3">
      <c r="J1077" s="311"/>
    </row>
    <row r="1078" spans="10:10" x14ac:dyDescent="0.3">
      <c r="J1078" s="311"/>
    </row>
    <row r="1079" spans="10:10" x14ac:dyDescent="0.3">
      <c r="J1079" s="311"/>
    </row>
    <row r="1080" spans="10:10" x14ac:dyDescent="0.3">
      <c r="J1080" s="311"/>
    </row>
    <row r="1081" spans="10:10" x14ac:dyDescent="0.3">
      <c r="J1081" s="311"/>
    </row>
    <row r="1082" spans="10:10" x14ac:dyDescent="0.3">
      <c r="J1082" s="311"/>
    </row>
    <row r="1083" spans="10:10" x14ac:dyDescent="0.3">
      <c r="J1083" s="311"/>
    </row>
    <row r="1084" spans="10:10" x14ac:dyDescent="0.3">
      <c r="J1084" s="311"/>
    </row>
    <row r="1085" spans="10:10" x14ac:dyDescent="0.3">
      <c r="J1085" s="311"/>
    </row>
    <row r="1086" spans="10:10" x14ac:dyDescent="0.3">
      <c r="J1086" s="311"/>
    </row>
    <row r="1087" spans="10:10" x14ac:dyDescent="0.3">
      <c r="J1087" s="311"/>
    </row>
    <row r="1088" spans="10:10" x14ac:dyDescent="0.3">
      <c r="J1088" s="311"/>
    </row>
    <row r="1089" spans="10:10" x14ac:dyDescent="0.3">
      <c r="J1089" s="311"/>
    </row>
    <row r="1090" spans="10:10" x14ac:dyDescent="0.3">
      <c r="J1090" s="311"/>
    </row>
    <row r="1091" spans="10:10" x14ac:dyDescent="0.3">
      <c r="J1091" s="311"/>
    </row>
    <row r="1092" spans="10:10" x14ac:dyDescent="0.3">
      <c r="J1092" s="311"/>
    </row>
    <row r="1093" spans="10:10" x14ac:dyDescent="0.3">
      <c r="J1093" s="311"/>
    </row>
    <row r="1094" spans="10:10" x14ac:dyDescent="0.3">
      <c r="J1094" s="311"/>
    </row>
    <row r="1095" spans="10:10" x14ac:dyDescent="0.3">
      <c r="J1095" s="311"/>
    </row>
    <row r="1096" spans="10:10" x14ac:dyDescent="0.3">
      <c r="J1096" s="311"/>
    </row>
    <row r="1097" spans="10:10" x14ac:dyDescent="0.3">
      <c r="J1097" s="311"/>
    </row>
    <row r="1098" spans="10:10" x14ac:dyDescent="0.3">
      <c r="J1098" s="311"/>
    </row>
    <row r="1099" spans="10:10" x14ac:dyDescent="0.3">
      <c r="J1099" s="311"/>
    </row>
    <row r="1100" spans="10:10" x14ac:dyDescent="0.3">
      <c r="J1100" s="311"/>
    </row>
    <row r="1101" spans="10:10" x14ac:dyDescent="0.3">
      <c r="J1101" s="311"/>
    </row>
    <row r="1102" spans="10:10" x14ac:dyDescent="0.3">
      <c r="J1102" s="311"/>
    </row>
    <row r="1103" spans="10:10" x14ac:dyDescent="0.3">
      <c r="J1103" s="311"/>
    </row>
    <row r="1104" spans="10:10" x14ac:dyDescent="0.3">
      <c r="J1104" s="311"/>
    </row>
    <row r="1105" spans="10:10" x14ac:dyDescent="0.3">
      <c r="J1105" s="311"/>
    </row>
    <row r="1106" spans="10:10" x14ac:dyDescent="0.3">
      <c r="J1106" s="311"/>
    </row>
    <row r="1107" spans="10:10" x14ac:dyDescent="0.3">
      <c r="J1107" s="311"/>
    </row>
    <row r="1108" spans="10:10" x14ac:dyDescent="0.3">
      <c r="J1108" s="311"/>
    </row>
    <row r="1109" spans="10:10" x14ac:dyDescent="0.3">
      <c r="J1109" s="311"/>
    </row>
    <row r="1110" spans="10:10" x14ac:dyDescent="0.3">
      <c r="J1110" s="311"/>
    </row>
    <row r="1111" spans="10:10" x14ac:dyDescent="0.3">
      <c r="J1111" s="311"/>
    </row>
    <row r="1112" spans="10:10" x14ac:dyDescent="0.3">
      <c r="J1112" s="311"/>
    </row>
    <row r="1113" spans="10:10" x14ac:dyDescent="0.3">
      <c r="J1113" s="311"/>
    </row>
    <row r="1114" spans="10:10" x14ac:dyDescent="0.3">
      <c r="J1114" s="311"/>
    </row>
    <row r="1115" spans="10:10" x14ac:dyDescent="0.3">
      <c r="J1115" s="311"/>
    </row>
    <row r="1116" spans="10:10" x14ac:dyDescent="0.3">
      <c r="J1116" s="311"/>
    </row>
    <row r="1117" spans="10:10" x14ac:dyDescent="0.3">
      <c r="J1117" s="311"/>
    </row>
    <row r="1118" spans="10:10" x14ac:dyDescent="0.3">
      <c r="J1118" s="311"/>
    </row>
    <row r="1119" spans="10:10" x14ac:dyDescent="0.3">
      <c r="J1119" s="311"/>
    </row>
    <row r="1120" spans="10:10" x14ac:dyDescent="0.3">
      <c r="J1120" s="311"/>
    </row>
    <row r="1121" spans="10:10" x14ac:dyDescent="0.3">
      <c r="J1121" s="311"/>
    </row>
    <row r="1122" spans="10:10" x14ac:dyDescent="0.3">
      <c r="J1122" s="311"/>
    </row>
    <row r="1123" spans="10:10" x14ac:dyDescent="0.3">
      <c r="J1123" s="311"/>
    </row>
    <row r="1124" spans="10:10" x14ac:dyDescent="0.3">
      <c r="J1124" s="311"/>
    </row>
    <row r="1125" spans="10:10" x14ac:dyDescent="0.3">
      <c r="J1125" s="311"/>
    </row>
    <row r="1126" spans="10:10" x14ac:dyDescent="0.3">
      <c r="J1126" s="311"/>
    </row>
    <row r="1127" spans="10:10" x14ac:dyDescent="0.3">
      <c r="J1127" s="311"/>
    </row>
    <row r="1128" spans="10:10" x14ac:dyDescent="0.3">
      <c r="J1128" s="311"/>
    </row>
    <row r="1129" spans="10:10" x14ac:dyDescent="0.3">
      <c r="J1129" s="311"/>
    </row>
    <row r="1130" spans="10:10" x14ac:dyDescent="0.3">
      <c r="J1130" s="311"/>
    </row>
    <row r="1131" spans="10:10" x14ac:dyDescent="0.3">
      <c r="J1131" s="311"/>
    </row>
    <row r="1132" spans="10:10" x14ac:dyDescent="0.3">
      <c r="J1132" s="311"/>
    </row>
    <row r="1133" spans="10:10" x14ac:dyDescent="0.3">
      <c r="J1133" s="311"/>
    </row>
    <row r="1134" spans="10:10" x14ac:dyDescent="0.3">
      <c r="J1134" s="311"/>
    </row>
    <row r="1135" spans="10:10" x14ac:dyDescent="0.3">
      <c r="J1135" s="311"/>
    </row>
    <row r="1136" spans="10:10" x14ac:dyDescent="0.3">
      <c r="J1136" s="311"/>
    </row>
    <row r="1137" spans="10:10" x14ac:dyDescent="0.3">
      <c r="J1137" s="311"/>
    </row>
    <row r="1138" spans="10:10" x14ac:dyDescent="0.3">
      <c r="J1138" s="311"/>
    </row>
    <row r="1139" spans="10:10" x14ac:dyDescent="0.3">
      <c r="J1139" s="311"/>
    </row>
    <row r="1140" spans="10:10" x14ac:dyDescent="0.3">
      <c r="J1140" s="311"/>
    </row>
    <row r="1141" spans="10:10" x14ac:dyDescent="0.3">
      <c r="J1141" s="311"/>
    </row>
    <row r="1142" spans="10:10" x14ac:dyDescent="0.3">
      <c r="J1142" s="311"/>
    </row>
    <row r="1143" spans="10:10" x14ac:dyDescent="0.3">
      <c r="J1143" s="311"/>
    </row>
    <row r="1144" spans="10:10" x14ac:dyDescent="0.3">
      <c r="J1144" s="311"/>
    </row>
    <row r="1145" spans="10:10" x14ac:dyDescent="0.3">
      <c r="J1145" s="311"/>
    </row>
    <row r="1146" spans="10:10" x14ac:dyDescent="0.3">
      <c r="J1146" s="311"/>
    </row>
    <row r="1147" spans="10:10" x14ac:dyDescent="0.3">
      <c r="J1147" s="311"/>
    </row>
    <row r="1148" spans="10:10" x14ac:dyDescent="0.3">
      <c r="J1148" s="311"/>
    </row>
    <row r="1149" spans="10:10" x14ac:dyDescent="0.3">
      <c r="J1149" s="311"/>
    </row>
    <row r="1150" spans="10:10" x14ac:dyDescent="0.3">
      <c r="J1150" s="311"/>
    </row>
    <row r="1151" spans="10:10" x14ac:dyDescent="0.3">
      <c r="J1151" s="311"/>
    </row>
    <row r="1152" spans="10:10" x14ac:dyDescent="0.3">
      <c r="J1152" s="311"/>
    </row>
    <row r="1153" spans="10:10" x14ac:dyDescent="0.3">
      <c r="J1153" s="311"/>
    </row>
    <row r="1154" spans="10:10" x14ac:dyDescent="0.3">
      <c r="J1154" s="311"/>
    </row>
    <row r="1155" spans="10:10" x14ac:dyDescent="0.3">
      <c r="J1155" s="311"/>
    </row>
    <row r="1156" spans="10:10" x14ac:dyDescent="0.3">
      <c r="J1156" s="311"/>
    </row>
    <row r="1157" spans="10:10" x14ac:dyDescent="0.3">
      <c r="J1157" s="311"/>
    </row>
    <row r="1158" spans="10:10" x14ac:dyDescent="0.3">
      <c r="J1158" s="311"/>
    </row>
    <row r="1159" spans="10:10" x14ac:dyDescent="0.3">
      <c r="J1159" s="311"/>
    </row>
    <row r="1160" spans="10:10" x14ac:dyDescent="0.3">
      <c r="J1160" s="311"/>
    </row>
    <row r="1161" spans="10:10" x14ac:dyDescent="0.3">
      <c r="J1161" s="311"/>
    </row>
    <row r="1162" spans="10:10" x14ac:dyDescent="0.3">
      <c r="J1162" s="311"/>
    </row>
    <row r="1163" spans="10:10" x14ac:dyDescent="0.3">
      <c r="J1163" s="311"/>
    </row>
    <row r="1164" spans="10:10" x14ac:dyDescent="0.3">
      <c r="J1164" s="311"/>
    </row>
    <row r="1165" spans="10:10" x14ac:dyDescent="0.3">
      <c r="J1165" s="311"/>
    </row>
    <row r="1166" spans="10:10" x14ac:dyDescent="0.3">
      <c r="J1166" s="311"/>
    </row>
    <row r="1167" spans="10:10" x14ac:dyDescent="0.3">
      <c r="J1167" s="311"/>
    </row>
    <row r="1168" spans="10:10" x14ac:dyDescent="0.3">
      <c r="J1168" s="311"/>
    </row>
    <row r="1169" spans="10:10" x14ac:dyDescent="0.3">
      <c r="J1169" s="311"/>
    </row>
    <row r="1170" spans="10:10" x14ac:dyDescent="0.3">
      <c r="J1170" s="311"/>
    </row>
    <row r="1171" spans="10:10" x14ac:dyDescent="0.3">
      <c r="J1171" s="311"/>
    </row>
    <row r="1172" spans="10:10" x14ac:dyDescent="0.3">
      <c r="J1172" s="311"/>
    </row>
    <row r="1173" spans="10:10" x14ac:dyDescent="0.3">
      <c r="J1173" s="311"/>
    </row>
    <row r="1174" spans="10:10" x14ac:dyDescent="0.3">
      <c r="J1174" s="311"/>
    </row>
    <row r="1175" spans="10:10" x14ac:dyDescent="0.3">
      <c r="J1175" s="311"/>
    </row>
    <row r="1176" spans="10:10" x14ac:dyDescent="0.3">
      <c r="J1176" s="311"/>
    </row>
    <row r="1177" spans="10:10" x14ac:dyDescent="0.3">
      <c r="J1177" s="311"/>
    </row>
    <row r="1178" spans="10:10" x14ac:dyDescent="0.3">
      <c r="J1178" s="311"/>
    </row>
    <row r="1179" spans="10:10" x14ac:dyDescent="0.3">
      <c r="J1179" s="311"/>
    </row>
    <row r="1180" spans="10:10" x14ac:dyDescent="0.3">
      <c r="J1180" s="311"/>
    </row>
    <row r="1181" spans="10:10" x14ac:dyDescent="0.3">
      <c r="J1181" s="311"/>
    </row>
    <row r="1182" spans="10:10" x14ac:dyDescent="0.3">
      <c r="J1182" s="311"/>
    </row>
    <row r="1183" spans="10:10" x14ac:dyDescent="0.3">
      <c r="J1183" s="311"/>
    </row>
    <row r="1184" spans="10:10" x14ac:dyDescent="0.3">
      <c r="J1184" s="311"/>
    </row>
    <row r="1185" spans="10:10" x14ac:dyDescent="0.3">
      <c r="J1185" s="311"/>
    </row>
    <row r="1186" spans="10:10" x14ac:dyDescent="0.3">
      <c r="J1186" s="311"/>
    </row>
    <row r="1187" spans="10:10" x14ac:dyDescent="0.3">
      <c r="J1187" s="311"/>
    </row>
    <row r="1188" spans="10:10" x14ac:dyDescent="0.3">
      <c r="J1188" s="311"/>
    </row>
    <row r="1189" spans="10:10" x14ac:dyDescent="0.3">
      <c r="J1189" s="311"/>
    </row>
    <row r="1190" spans="10:10" x14ac:dyDescent="0.3">
      <c r="J1190" s="311"/>
    </row>
    <row r="1191" spans="10:10" x14ac:dyDescent="0.3">
      <c r="J1191" s="311"/>
    </row>
    <row r="1192" spans="10:10" x14ac:dyDescent="0.3">
      <c r="J1192" s="311"/>
    </row>
    <row r="1193" spans="10:10" x14ac:dyDescent="0.3">
      <c r="J1193" s="311"/>
    </row>
    <row r="1194" spans="10:10" x14ac:dyDescent="0.3">
      <c r="J1194" s="311"/>
    </row>
    <row r="1195" spans="10:10" x14ac:dyDescent="0.3">
      <c r="J1195" s="311"/>
    </row>
    <row r="1196" spans="10:10" x14ac:dyDescent="0.3">
      <c r="J1196" s="311"/>
    </row>
    <row r="1197" spans="10:10" x14ac:dyDescent="0.3">
      <c r="J1197" s="311"/>
    </row>
    <row r="1198" spans="10:10" x14ac:dyDescent="0.3">
      <c r="J1198" s="311"/>
    </row>
    <row r="1199" spans="10:10" x14ac:dyDescent="0.3">
      <c r="J1199" s="311"/>
    </row>
    <row r="1200" spans="10:10" x14ac:dyDescent="0.3">
      <c r="J1200" s="311"/>
    </row>
    <row r="1201" spans="10:10" x14ac:dyDescent="0.3">
      <c r="J1201" s="311"/>
    </row>
    <row r="1202" spans="10:10" x14ac:dyDescent="0.3">
      <c r="J1202" s="311"/>
    </row>
    <row r="1203" spans="10:10" x14ac:dyDescent="0.3">
      <c r="J1203" s="311"/>
    </row>
    <row r="1204" spans="10:10" x14ac:dyDescent="0.3">
      <c r="J1204" s="311"/>
    </row>
    <row r="1205" spans="10:10" x14ac:dyDescent="0.3">
      <c r="J1205" s="311"/>
    </row>
    <row r="1206" spans="10:10" x14ac:dyDescent="0.3">
      <c r="J1206" s="311"/>
    </row>
    <row r="1207" spans="10:10" x14ac:dyDescent="0.3">
      <c r="J1207" s="311"/>
    </row>
    <row r="1208" spans="10:10" x14ac:dyDescent="0.3">
      <c r="J1208" s="311"/>
    </row>
    <row r="1209" spans="10:10" x14ac:dyDescent="0.3">
      <c r="J1209" s="311"/>
    </row>
    <row r="1210" spans="10:10" x14ac:dyDescent="0.3">
      <c r="J1210" s="311"/>
    </row>
    <row r="1211" spans="10:10" x14ac:dyDescent="0.3">
      <c r="J1211" s="311"/>
    </row>
    <row r="1212" spans="10:10" x14ac:dyDescent="0.3">
      <c r="J1212" s="311"/>
    </row>
    <row r="1213" spans="10:10" x14ac:dyDescent="0.3">
      <c r="J1213" s="311"/>
    </row>
    <row r="1214" spans="10:10" x14ac:dyDescent="0.3">
      <c r="J1214" s="311"/>
    </row>
    <row r="1215" spans="10:10" x14ac:dyDescent="0.3">
      <c r="J1215" s="311"/>
    </row>
    <row r="1216" spans="10:10" x14ac:dyDescent="0.3">
      <c r="J1216" s="311"/>
    </row>
    <row r="1217" spans="10:10" x14ac:dyDescent="0.3">
      <c r="J1217" s="311"/>
    </row>
    <row r="1218" spans="10:10" x14ac:dyDescent="0.3">
      <c r="J1218" s="311"/>
    </row>
    <row r="1219" spans="10:10" x14ac:dyDescent="0.3">
      <c r="J1219" s="311"/>
    </row>
    <row r="1220" spans="10:10" x14ac:dyDescent="0.3">
      <c r="J1220" s="311"/>
    </row>
    <row r="1221" spans="10:10" x14ac:dyDescent="0.3">
      <c r="J1221" s="311"/>
    </row>
    <row r="1222" spans="10:10" x14ac:dyDescent="0.3">
      <c r="J1222" s="311"/>
    </row>
    <row r="1223" spans="10:10" x14ac:dyDescent="0.3">
      <c r="J1223" s="311"/>
    </row>
    <row r="1224" spans="10:10" x14ac:dyDescent="0.3">
      <c r="J1224" s="311"/>
    </row>
    <row r="1225" spans="10:10" x14ac:dyDescent="0.3">
      <c r="J1225" s="311"/>
    </row>
    <row r="1226" spans="10:10" x14ac:dyDescent="0.3">
      <c r="J1226" s="311"/>
    </row>
    <row r="1227" spans="10:10" x14ac:dyDescent="0.3">
      <c r="J1227" s="311"/>
    </row>
    <row r="1228" spans="10:10" x14ac:dyDescent="0.3">
      <c r="J1228" s="311"/>
    </row>
    <row r="1229" spans="10:10" x14ac:dyDescent="0.3">
      <c r="J1229" s="311"/>
    </row>
    <row r="1230" spans="10:10" x14ac:dyDescent="0.3">
      <c r="J1230" s="311"/>
    </row>
    <row r="1231" spans="10:10" x14ac:dyDescent="0.3">
      <c r="J1231" s="311"/>
    </row>
    <row r="1232" spans="10:10" x14ac:dyDescent="0.3">
      <c r="J1232" s="311"/>
    </row>
    <row r="1233" spans="10:10" x14ac:dyDescent="0.3">
      <c r="J1233" s="311"/>
    </row>
    <row r="1234" spans="10:10" x14ac:dyDescent="0.3">
      <c r="J1234" s="311"/>
    </row>
    <row r="1235" spans="10:10" x14ac:dyDescent="0.3">
      <c r="J1235" s="311"/>
    </row>
    <row r="1236" spans="10:10" x14ac:dyDescent="0.3">
      <c r="J1236" s="311"/>
    </row>
    <row r="1237" spans="10:10" x14ac:dyDescent="0.3">
      <c r="J1237" s="311"/>
    </row>
    <row r="1238" spans="10:10" x14ac:dyDescent="0.3">
      <c r="J1238" s="311"/>
    </row>
    <row r="1239" spans="10:10" x14ac:dyDescent="0.3">
      <c r="J1239" s="311"/>
    </row>
    <row r="1240" spans="10:10" x14ac:dyDescent="0.3">
      <c r="J1240" s="311"/>
    </row>
    <row r="1241" spans="10:10" x14ac:dyDescent="0.3">
      <c r="J1241" s="311"/>
    </row>
    <row r="1242" spans="10:10" x14ac:dyDescent="0.3">
      <c r="J1242" s="311"/>
    </row>
    <row r="1243" spans="10:10" x14ac:dyDescent="0.3">
      <c r="J1243" s="311"/>
    </row>
    <row r="1244" spans="10:10" x14ac:dyDescent="0.3">
      <c r="J1244" s="311"/>
    </row>
    <row r="1245" spans="10:10" x14ac:dyDescent="0.3">
      <c r="J1245" s="311"/>
    </row>
    <row r="1246" spans="10:10" x14ac:dyDescent="0.3">
      <c r="J1246" s="311"/>
    </row>
    <row r="1247" spans="10:10" x14ac:dyDescent="0.3">
      <c r="J1247" s="311"/>
    </row>
    <row r="1248" spans="10:10" x14ac:dyDescent="0.3">
      <c r="J1248" s="311"/>
    </row>
    <row r="1249" spans="10:10" x14ac:dyDescent="0.3">
      <c r="J1249" s="311"/>
    </row>
    <row r="1250" spans="10:10" x14ac:dyDescent="0.3">
      <c r="J1250" s="311"/>
    </row>
    <row r="1251" spans="10:10" x14ac:dyDescent="0.3">
      <c r="J1251" s="311"/>
    </row>
    <row r="1252" spans="10:10" x14ac:dyDescent="0.3">
      <c r="J1252" s="311"/>
    </row>
    <row r="1253" spans="10:10" x14ac:dyDescent="0.3">
      <c r="J1253" s="311"/>
    </row>
    <row r="1254" spans="10:10" x14ac:dyDescent="0.3">
      <c r="J1254" s="311"/>
    </row>
    <row r="1255" spans="10:10" x14ac:dyDescent="0.3">
      <c r="J1255" s="311"/>
    </row>
    <row r="1256" spans="10:10" x14ac:dyDescent="0.3">
      <c r="J1256" s="311"/>
    </row>
    <row r="1257" spans="10:10" x14ac:dyDescent="0.3">
      <c r="J1257" s="311"/>
    </row>
    <row r="1258" spans="10:10" x14ac:dyDescent="0.3">
      <c r="J1258" s="311"/>
    </row>
    <row r="1259" spans="10:10" x14ac:dyDescent="0.3">
      <c r="J1259" s="311"/>
    </row>
    <row r="1260" spans="10:10" x14ac:dyDescent="0.3">
      <c r="J1260" s="311"/>
    </row>
    <row r="1261" spans="10:10" x14ac:dyDescent="0.3">
      <c r="J1261" s="311"/>
    </row>
    <row r="1262" spans="10:10" x14ac:dyDescent="0.3">
      <c r="J1262" s="311"/>
    </row>
    <row r="1263" spans="10:10" x14ac:dyDescent="0.3">
      <c r="J1263" s="311"/>
    </row>
    <row r="1264" spans="10:10" x14ac:dyDescent="0.3">
      <c r="J1264" s="311"/>
    </row>
    <row r="1265" spans="10:10" x14ac:dyDescent="0.3">
      <c r="J1265" s="311"/>
    </row>
    <row r="1266" spans="10:10" x14ac:dyDescent="0.3">
      <c r="J1266" s="311"/>
    </row>
    <row r="1267" spans="10:10" x14ac:dyDescent="0.3">
      <c r="J1267" s="311"/>
    </row>
    <row r="1268" spans="10:10" x14ac:dyDescent="0.3">
      <c r="J1268" s="311"/>
    </row>
    <row r="1269" spans="10:10" x14ac:dyDescent="0.3">
      <c r="J1269" s="311"/>
    </row>
    <row r="1270" spans="10:10" x14ac:dyDescent="0.3">
      <c r="J1270" s="311"/>
    </row>
    <row r="1271" spans="10:10" x14ac:dyDescent="0.3">
      <c r="J1271" s="311"/>
    </row>
    <row r="1272" spans="10:10" x14ac:dyDescent="0.3">
      <c r="J1272" s="311"/>
    </row>
    <row r="1273" spans="10:10" x14ac:dyDescent="0.3">
      <c r="J1273" s="311"/>
    </row>
    <row r="1274" spans="10:10" x14ac:dyDescent="0.3">
      <c r="J1274" s="311"/>
    </row>
    <row r="1275" spans="10:10" x14ac:dyDescent="0.3">
      <c r="J1275" s="311"/>
    </row>
    <row r="1276" spans="10:10" x14ac:dyDescent="0.3">
      <c r="J1276" s="311"/>
    </row>
    <row r="1277" spans="10:10" x14ac:dyDescent="0.3">
      <c r="J1277" s="311"/>
    </row>
    <row r="1278" spans="10:10" x14ac:dyDescent="0.3">
      <c r="J1278" s="311"/>
    </row>
    <row r="1279" spans="10:10" x14ac:dyDescent="0.3">
      <c r="J1279" s="311"/>
    </row>
    <row r="1280" spans="10:10" x14ac:dyDescent="0.3">
      <c r="J1280" s="311"/>
    </row>
    <row r="1281" spans="10:10" x14ac:dyDescent="0.3">
      <c r="J1281" s="311"/>
    </row>
    <row r="1282" spans="10:10" x14ac:dyDescent="0.3">
      <c r="J1282" s="311"/>
    </row>
    <row r="1283" spans="10:10" x14ac:dyDescent="0.3">
      <c r="J1283" s="311"/>
    </row>
    <row r="1284" spans="10:10" x14ac:dyDescent="0.3">
      <c r="J1284" s="311"/>
    </row>
    <row r="1285" spans="10:10" x14ac:dyDescent="0.3">
      <c r="J1285" s="311"/>
    </row>
    <row r="1286" spans="10:10" x14ac:dyDescent="0.3">
      <c r="J1286" s="311"/>
    </row>
    <row r="1287" spans="10:10" x14ac:dyDescent="0.3">
      <c r="J1287" s="311"/>
    </row>
    <row r="1288" spans="10:10" x14ac:dyDescent="0.3">
      <c r="J1288" s="311"/>
    </row>
    <row r="1289" spans="10:10" x14ac:dyDescent="0.3">
      <c r="J1289" s="311"/>
    </row>
    <row r="1290" spans="10:10" x14ac:dyDescent="0.3">
      <c r="J1290" s="311"/>
    </row>
    <row r="1291" spans="10:10" x14ac:dyDescent="0.3">
      <c r="J1291" s="311"/>
    </row>
    <row r="1292" spans="10:10" x14ac:dyDescent="0.3">
      <c r="J1292" s="311"/>
    </row>
    <row r="1293" spans="10:10" x14ac:dyDescent="0.3">
      <c r="J1293" s="311"/>
    </row>
    <row r="1294" spans="10:10" x14ac:dyDescent="0.3">
      <c r="J1294" s="311"/>
    </row>
    <row r="1295" spans="10:10" x14ac:dyDescent="0.3">
      <c r="J1295" s="311"/>
    </row>
    <row r="1296" spans="10:10" x14ac:dyDescent="0.3">
      <c r="J1296" s="311"/>
    </row>
    <row r="1297" spans="10:10" x14ac:dyDescent="0.3">
      <c r="J1297" s="311"/>
    </row>
    <row r="1298" spans="10:10" x14ac:dyDescent="0.3">
      <c r="J1298" s="311"/>
    </row>
    <row r="1299" spans="10:10" x14ac:dyDescent="0.3">
      <c r="J1299" s="311"/>
    </row>
    <row r="1300" spans="10:10" x14ac:dyDescent="0.3">
      <c r="J1300" s="311"/>
    </row>
    <row r="1301" spans="10:10" x14ac:dyDescent="0.3">
      <c r="J1301" s="311"/>
    </row>
    <row r="1302" spans="10:10" x14ac:dyDescent="0.3">
      <c r="J1302" s="311"/>
    </row>
    <row r="1303" spans="10:10" x14ac:dyDescent="0.3">
      <c r="J1303" s="311"/>
    </row>
    <row r="1304" spans="10:10" x14ac:dyDescent="0.3">
      <c r="J1304" s="311"/>
    </row>
    <row r="1305" spans="10:10" x14ac:dyDescent="0.3">
      <c r="J1305" s="311"/>
    </row>
    <row r="1306" spans="10:10" x14ac:dyDescent="0.3">
      <c r="J1306" s="311"/>
    </row>
    <row r="1307" spans="10:10" x14ac:dyDescent="0.3">
      <c r="J1307" s="311"/>
    </row>
    <row r="1308" spans="10:10" x14ac:dyDescent="0.3">
      <c r="J1308" s="311"/>
    </row>
    <row r="1309" spans="10:10" x14ac:dyDescent="0.3">
      <c r="J1309" s="311"/>
    </row>
    <row r="1310" spans="10:10" x14ac:dyDescent="0.3">
      <c r="J1310" s="311"/>
    </row>
    <row r="1311" spans="10:10" x14ac:dyDescent="0.3">
      <c r="J1311" s="311"/>
    </row>
    <row r="1312" spans="10:10" x14ac:dyDescent="0.3">
      <c r="J1312" s="311"/>
    </row>
    <row r="1313" spans="10:10" x14ac:dyDescent="0.3">
      <c r="J1313" s="311"/>
    </row>
    <row r="1314" spans="10:10" x14ac:dyDescent="0.3">
      <c r="J1314" s="311"/>
    </row>
    <row r="1315" spans="10:10" x14ac:dyDescent="0.3">
      <c r="J1315" s="311"/>
    </row>
    <row r="1316" spans="10:10" x14ac:dyDescent="0.3">
      <c r="J1316" s="311"/>
    </row>
    <row r="1317" spans="10:10" x14ac:dyDescent="0.3">
      <c r="J1317" s="311"/>
    </row>
    <row r="1318" spans="10:10" x14ac:dyDescent="0.3">
      <c r="J1318" s="311"/>
    </row>
    <row r="1319" spans="10:10" x14ac:dyDescent="0.3">
      <c r="J1319" s="311"/>
    </row>
    <row r="1320" spans="10:10" x14ac:dyDescent="0.3">
      <c r="J1320" s="311"/>
    </row>
    <row r="1321" spans="10:10" x14ac:dyDescent="0.3">
      <c r="J1321" s="311"/>
    </row>
    <row r="1322" spans="10:10" x14ac:dyDescent="0.3">
      <c r="J1322" s="311"/>
    </row>
    <row r="1323" spans="10:10" x14ac:dyDescent="0.3">
      <c r="J1323" s="311"/>
    </row>
    <row r="1324" spans="10:10" x14ac:dyDescent="0.3">
      <c r="J1324" s="311"/>
    </row>
    <row r="1325" spans="10:10" x14ac:dyDescent="0.3">
      <c r="J1325" s="311"/>
    </row>
    <row r="1326" spans="10:10" x14ac:dyDescent="0.3">
      <c r="J1326" s="311"/>
    </row>
    <row r="1327" spans="10:10" x14ac:dyDescent="0.3">
      <c r="J1327" s="311"/>
    </row>
    <row r="1328" spans="10:10" x14ac:dyDescent="0.3">
      <c r="J1328" s="311"/>
    </row>
    <row r="1329" spans="10:10" x14ac:dyDescent="0.3">
      <c r="J1329" s="311"/>
    </row>
    <row r="1330" spans="10:10" x14ac:dyDescent="0.3">
      <c r="J1330" s="311"/>
    </row>
    <row r="1331" spans="10:10" x14ac:dyDescent="0.3">
      <c r="J1331" s="311"/>
    </row>
    <row r="1332" spans="10:10" x14ac:dyDescent="0.3">
      <c r="J1332" s="311"/>
    </row>
    <row r="1333" spans="10:10" x14ac:dyDescent="0.3">
      <c r="J1333" s="311"/>
    </row>
    <row r="1334" spans="10:10" x14ac:dyDescent="0.3">
      <c r="J1334" s="311"/>
    </row>
    <row r="1335" spans="10:10" x14ac:dyDescent="0.3">
      <c r="J1335" s="311"/>
    </row>
    <row r="1336" spans="10:10" x14ac:dyDescent="0.3">
      <c r="J1336" s="311"/>
    </row>
    <row r="1337" spans="10:10" x14ac:dyDescent="0.3">
      <c r="J1337" s="311"/>
    </row>
    <row r="1338" spans="10:10" x14ac:dyDescent="0.3">
      <c r="J1338" s="311"/>
    </row>
    <row r="1339" spans="10:10" x14ac:dyDescent="0.3">
      <c r="J1339" s="311"/>
    </row>
    <row r="1340" spans="10:10" x14ac:dyDescent="0.3">
      <c r="J1340" s="311"/>
    </row>
    <row r="1341" spans="10:10" x14ac:dyDescent="0.3">
      <c r="J1341" s="311"/>
    </row>
    <row r="1342" spans="10:10" x14ac:dyDescent="0.3">
      <c r="J1342" s="311"/>
    </row>
    <row r="1343" spans="10:10" x14ac:dyDescent="0.3">
      <c r="J1343" s="311"/>
    </row>
    <row r="1344" spans="10:10" x14ac:dyDescent="0.3">
      <c r="J1344" s="311"/>
    </row>
    <row r="1345" spans="10:10" x14ac:dyDescent="0.3">
      <c r="J1345" s="311"/>
    </row>
    <row r="1346" spans="10:10" x14ac:dyDescent="0.3">
      <c r="J1346" s="311"/>
    </row>
    <row r="1347" spans="10:10" x14ac:dyDescent="0.3">
      <c r="J1347" s="311"/>
    </row>
    <row r="1348" spans="10:10" x14ac:dyDescent="0.3">
      <c r="J1348" s="311"/>
    </row>
    <row r="1349" spans="10:10" x14ac:dyDescent="0.3">
      <c r="J1349" s="311"/>
    </row>
    <row r="1350" spans="10:10" x14ac:dyDescent="0.3">
      <c r="J1350" s="311"/>
    </row>
    <row r="1351" spans="10:10" x14ac:dyDescent="0.3">
      <c r="J1351" s="311"/>
    </row>
    <row r="1352" spans="10:10" x14ac:dyDescent="0.3">
      <c r="J1352" s="311"/>
    </row>
    <row r="1353" spans="10:10" x14ac:dyDescent="0.3">
      <c r="J1353" s="311"/>
    </row>
    <row r="1354" spans="10:10" x14ac:dyDescent="0.3">
      <c r="J1354" s="311"/>
    </row>
    <row r="1355" spans="10:10" x14ac:dyDescent="0.3">
      <c r="J1355" s="311"/>
    </row>
    <row r="1356" spans="10:10" x14ac:dyDescent="0.3">
      <c r="J1356" s="311"/>
    </row>
    <row r="1357" spans="10:10" x14ac:dyDescent="0.3">
      <c r="J1357" s="311"/>
    </row>
    <row r="1358" spans="10:10" x14ac:dyDescent="0.3">
      <c r="J1358" s="311"/>
    </row>
    <row r="1359" spans="10:10" x14ac:dyDescent="0.3">
      <c r="J1359" s="311"/>
    </row>
    <row r="1360" spans="10:10" x14ac:dyDescent="0.3">
      <c r="J1360" s="311"/>
    </row>
    <row r="1361" spans="10:10" x14ac:dyDescent="0.3">
      <c r="J1361" s="311"/>
    </row>
    <row r="1362" spans="10:10" x14ac:dyDescent="0.3">
      <c r="J1362" s="311"/>
    </row>
    <row r="1363" spans="10:10" x14ac:dyDescent="0.3">
      <c r="J1363" s="311"/>
    </row>
    <row r="1364" spans="10:10" x14ac:dyDescent="0.3">
      <c r="J1364" s="311"/>
    </row>
    <row r="1365" spans="10:10" x14ac:dyDescent="0.3">
      <c r="J1365" s="311"/>
    </row>
    <row r="1366" spans="10:10" x14ac:dyDescent="0.3">
      <c r="J1366" s="311"/>
    </row>
    <row r="1367" spans="10:10" x14ac:dyDescent="0.3">
      <c r="J1367" s="311"/>
    </row>
    <row r="1368" spans="10:10" x14ac:dyDescent="0.3">
      <c r="J1368" s="311"/>
    </row>
    <row r="1369" spans="10:10" x14ac:dyDescent="0.3">
      <c r="J1369" s="311"/>
    </row>
    <row r="1370" spans="10:10" x14ac:dyDescent="0.3">
      <c r="J1370" s="311"/>
    </row>
    <row r="1371" spans="10:10" x14ac:dyDescent="0.3">
      <c r="J1371" s="311"/>
    </row>
    <row r="1372" spans="10:10" x14ac:dyDescent="0.3">
      <c r="J1372" s="311"/>
    </row>
    <row r="1373" spans="10:10" x14ac:dyDescent="0.3">
      <c r="J1373" s="311"/>
    </row>
    <row r="1374" spans="10:10" x14ac:dyDescent="0.3">
      <c r="J1374" s="311"/>
    </row>
    <row r="1375" spans="10:10" x14ac:dyDescent="0.3">
      <c r="J1375" s="311"/>
    </row>
    <row r="1376" spans="10:10" x14ac:dyDescent="0.3">
      <c r="J1376" s="311"/>
    </row>
    <row r="1377" spans="10:10" x14ac:dyDescent="0.3">
      <c r="J1377" s="311"/>
    </row>
    <row r="1378" spans="10:10" x14ac:dyDescent="0.3">
      <c r="J1378" s="311"/>
    </row>
    <row r="1379" spans="10:10" x14ac:dyDescent="0.3">
      <c r="J1379" s="311"/>
    </row>
    <row r="1380" spans="10:10" x14ac:dyDescent="0.3">
      <c r="J1380" s="311"/>
    </row>
    <row r="1381" spans="10:10" x14ac:dyDescent="0.3">
      <c r="J1381" s="311"/>
    </row>
    <row r="1382" spans="10:10" x14ac:dyDescent="0.3">
      <c r="J1382" s="311"/>
    </row>
    <row r="1383" spans="10:10" x14ac:dyDescent="0.3">
      <c r="J1383" s="311"/>
    </row>
    <row r="1384" spans="10:10" x14ac:dyDescent="0.3">
      <c r="J1384" s="311"/>
    </row>
    <row r="1385" spans="10:10" x14ac:dyDescent="0.3">
      <c r="J1385" s="311"/>
    </row>
    <row r="1386" spans="10:10" x14ac:dyDescent="0.3">
      <c r="J1386" s="311"/>
    </row>
    <row r="1387" spans="10:10" x14ac:dyDescent="0.3">
      <c r="J1387" s="311"/>
    </row>
    <row r="1388" spans="10:10" x14ac:dyDescent="0.3">
      <c r="J1388" s="311"/>
    </row>
    <row r="1389" spans="10:10" x14ac:dyDescent="0.3">
      <c r="J1389" s="311"/>
    </row>
    <row r="1390" spans="10:10" x14ac:dyDescent="0.3">
      <c r="J1390" s="311"/>
    </row>
    <row r="1391" spans="10:10" x14ac:dyDescent="0.3">
      <c r="J1391" s="311"/>
    </row>
    <row r="1392" spans="10:10" x14ac:dyDescent="0.3">
      <c r="J1392" s="311"/>
    </row>
    <row r="1393" spans="10:10" x14ac:dyDescent="0.3">
      <c r="J1393" s="311"/>
    </row>
    <row r="1394" spans="10:10" x14ac:dyDescent="0.3">
      <c r="J1394" s="311"/>
    </row>
    <row r="1395" spans="10:10" x14ac:dyDescent="0.3">
      <c r="J1395" s="311"/>
    </row>
    <row r="1396" spans="10:10" x14ac:dyDescent="0.3">
      <c r="J1396" s="311"/>
    </row>
    <row r="1397" spans="10:10" x14ac:dyDescent="0.3">
      <c r="J1397" s="311"/>
    </row>
    <row r="1398" spans="10:10" x14ac:dyDescent="0.3">
      <c r="J1398" s="311"/>
    </row>
    <row r="1399" spans="10:10" x14ac:dyDescent="0.3">
      <c r="J1399" s="311"/>
    </row>
    <row r="1400" spans="10:10" x14ac:dyDescent="0.3">
      <c r="J1400" s="311"/>
    </row>
    <row r="1401" spans="10:10" x14ac:dyDescent="0.3">
      <c r="J1401" s="311"/>
    </row>
    <row r="1402" spans="10:10" x14ac:dyDescent="0.3">
      <c r="J1402" s="311"/>
    </row>
    <row r="1403" spans="10:10" x14ac:dyDescent="0.3">
      <c r="J1403" s="311"/>
    </row>
    <row r="1404" spans="10:10" x14ac:dyDescent="0.3">
      <c r="J1404" s="311"/>
    </row>
    <row r="1405" spans="10:10" x14ac:dyDescent="0.3">
      <c r="J1405" s="311"/>
    </row>
    <row r="1406" spans="10:10" x14ac:dyDescent="0.3">
      <c r="J1406" s="311"/>
    </row>
    <row r="1407" spans="10:10" x14ac:dyDescent="0.3">
      <c r="J1407" s="311"/>
    </row>
    <row r="1408" spans="10:10" x14ac:dyDescent="0.3">
      <c r="J1408" s="311"/>
    </row>
    <row r="1409" spans="10:10" x14ac:dyDescent="0.3">
      <c r="J1409" s="311"/>
    </row>
    <row r="1410" spans="10:10" x14ac:dyDescent="0.3">
      <c r="J1410" s="311"/>
    </row>
    <row r="1411" spans="10:10" x14ac:dyDescent="0.3">
      <c r="J1411" s="311"/>
    </row>
    <row r="1412" spans="10:10" x14ac:dyDescent="0.3">
      <c r="J1412" s="311"/>
    </row>
    <row r="1413" spans="10:10" x14ac:dyDescent="0.3">
      <c r="J1413" s="311"/>
    </row>
    <row r="1414" spans="10:10" x14ac:dyDescent="0.3">
      <c r="J1414" s="311"/>
    </row>
    <row r="1415" spans="10:10" x14ac:dyDescent="0.3">
      <c r="J1415" s="311"/>
    </row>
    <row r="1416" spans="10:10" x14ac:dyDescent="0.3">
      <c r="J1416" s="311"/>
    </row>
    <row r="1417" spans="10:10" x14ac:dyDescent="0.3">
      <c r="J1417" s="311"/>
    </row>
    <row r="1418" spans="10:10" x14ac:dyDescent="0.3">
      <c r="J1418" s="311"/>
    </row>
    <row r="1419" spans="10:10" x14ac:dyDescent="0.3">
      <c r="J1419" s="311"/>
    </row>
    <row r="1420" spans="10:10" x14ac:dyDescent="0.3">
      <c r="J1420" s="311"/>
    </row>
    <row r="1421" spans="10:10" x14ac:dyDescent="0.3">
      <c r="J1421" s="311"/>
    </row>
    <row r="1422" spans="10:10" x14ac:dyDescent="0.3">
      <c r="J1422" s="311"/>
    </row>
    <row r="1423" spans="10:10" x14ac:dyDescent="0.3">
      <c r="J1423" s="311"/>
    </row>
    <row r="1424" spans="10:10" x14ac:dyDescent="0.3">
      <c r="J1424" s="311"/>
    </row>
    <row r="1425" spans="10:10" x14ac:dyDescent="0.3">
      <c r="J1425" s="311"/>
    </row>
    <row r="1426" spans="10:10" x14ac:dyDescent="0.3">
      <c r="J1426" s="311"/>
    </row>
    <row r="1427" spans="10:10" x14ac:dyDescent="0.3">
      <c r="J1427" s="311"/>
    </row>
    <row r="1428" spans="10:10" x14ac:dyDescent="0.3">
      <c r="J1428" s="311"/>
    </row>
    <row r="1429" spans="10:10" x14ac:dyDescent="0.3">
      <c r="J1429" s="311"/>
    </row>
    <row r="1430" spans="10:10" x14ac:dyDescent="0.3">
      <c r="J1430" s="311"/>
    </row>
    <row r="1431" spans="10:10" x14ac:dyDescent="0.3">
      <c r="J1431" s="311"/>
    </row>
    <row r="1432" spans="10:10" x14ac:dyDescent="0.3">
      <c r="J1432" s="311"/>
    </row>
    <row r="1433" spans="10:10" x14ac:dyDescent="0.3">
      <c r="J1433" s="311"/>
    </row>
    <row r="1434" spans="10:10" x14ac:dyDescent="0.3">
      <c r="J1434" s="311"/>
    </row>
    <row r="1435" spans="10:10" x14ac:dyDescent="0.3">
      <c r="J1435" s="311"/>
    </row>
    <row r="1436" spans="10:10" x14ac:dyDescent="0.3">
      <c r="J1436" s="311"/>
    </row>
    <row r="1437" spans="10:10" x14ac:dyDescent="0.3">
      <c r="J1437" s="311"/>
    </row>
    <row r="1438" spans="10:10" x14ac:dyDescent="0.3">
      <c r="J1438" s="311"/>
    </row>
    <row r="1439" spans="10:10" x14ac:dyDescent="0.3">
      <c r="J1439" s="311"/>
    </row>
    <row r="1440" spans="10:10" x14ac:dyDescent="0.3">
      <c r="J1440" s="311"/>
    </row>
    <row r="1441" spans="10:10" x14ac:dyDescent="0.3">
      <c r="J1441" s="311"/>
    </row>
    <row r="1442" spans="10:10" x14ac:dyDescent="0.3">
      <c r="J1442" s="311"/>
    </row>
    <row r="1443" spans="10:10" x14ac:dyDescent="0.3">
      <c r="J1443" s="311"/>
    </row>
    <row r="1444" spans="10:10" x14ac:dyDescent="0.3">
      <c r="J1444" s="311"/>
    </row>
    <row r="1445" spans="10:10" x14ac:dyDescent="0.3">
      <c r="J1445" s="311"/>
    </row>
    <row r="1446" spans="10:10" x14ac:dyDescent="0.3">
      <c r="J1446" s="311"/>
    </row>
    <row r="1447" spans="10:10" x14ac:dyDescent="0.3">
      <c r="J1447" s="311"/>
    </row>
    <row r="1448" spans="10:10" x14ac:dyDescent="0.3">
      <c r="J1448" s="311"/>
    </row>
    <row r="1449" spans="10:10" x14ac:dyDescent="0.3">
      <c r="J1449" s="311"/>
    </row>
    <row r="1450" spans="10:10" x14ac:dyDescent="0.3">
      <c r="J1450" s="311"/>
    </row>
    <row r="1451" spans="10:10" x14ac:dyDescent="0.3">
      <c r="J1451" s="311"/>
    </row>
    <row r="1452" spans="10:10" x14ac:dyDescent="0.3">
      <c r="J1452" s="311"/>
    </row>
    <row r="1453" spans="10:10" x14ac:dyDescent="0.3">
      <c r="J1453" s="311"/>
    </row>
    <row r="1454" spans="10:10" x14ac:dyDescent="0.3">
      <c r="J1454" s="311"/>
    </row>
    <row r="1455" spans="10:10" x14ac:dyDescent="0.3">
      <c r="J1455" s="311"/>
    </row>
    <row r="1456" spans="10:10" x14ac:dyDescent="0.3">
      <c r="J1456" s="311"/>
    </row>
    <row r="1457" spans="10:10" x14ac:dyDescent="0.3">
      <c r="J1457" s="311"/>
    </row>
    <row r="1458" spans="10:10" x14ac:dyDescent="0.3">
      <c r="J1458" s="311"/>
    </row>
    <row r="1459" spans="10:10" x14ac:dyDescent="0.3">
      <c r="J1459" s="311"/>
    </row>
    <row r="1460" spans="10:10" x14ac:dyDescent="0.3">
      <c r="J1460" s="311"/>
    </row>
    <row r="1461" spans="10:10" x14ac:dyDescent="0.3">
      <c r="J1461" s="311"/>
    </row>
    <row r="1462" spans="10:10" x14ac:dyDescent="0.3">
      <c r="J1462" s="311"/>
    </row>
    <row r="1463" spans="10:10" x14ac:dyDescent="0.3">
      <c r="J1463" s="311"/>
    </row>
    <row r="1464" spans="10:10" x14ac:dyDescent="0.3">
      <c r="J1464" s="311"/>
    </row>
    <row r="1465" spans="10:10" x14ac:dyDescent="0.3">
      <c r="J1465" s="311"/>
    </row>
    <row r="1466" spans="10:10" x14ac:dyDescent="0.3">
      <c r="J1466" s="311"/>
    </row>
    <row r="1467" spans="10:10" x14ac:dyDescent="0.3">
      <c r="J1467" s="311"/>
    </row>
    <row r="1468" spans="10:10" x14ac:dyDescent="0.3">
      <c r="J1468" s="311"/>
    </row>
    <row r="1469" spans="10:10" x14ac:dyDescent="0.3">
      <c r="J1469" s="311"/>
    </row>
    <row r="1470" spans="10:10" x14ac:dyDescent="0.3">
      <c r="J1470" s="311"/>
    </row>
    <row r="1471" spans="10:10" x14ac:dyDescent="0.3">
      <c r="J1471" s="311"/>
    </row>
    <row r="1472" spans="10:10" x14ac:dyDescent="0.3">
      <c r="J1472" s="311"/>
    </row>
    <row r="1473" spans="10:10" x14ac:dyDescent="0.3">
      <c r="J1473" s="311"/>
    </row>
    <row r="1474" spans="10:10" x14ac:dyDescent="0.3">
      <c r="J1474" s="311"/>
    </row>
    <row r="1475" spans="10:10" x14ac:dyDescent="0.3">
      <c r="J1475" s="311"/>
    </row>
    <row r="1476" spans="10:10" x14ac:dyDescent="0.3">
      <c r="J1476" s="311"/>
    </row>
    <row r="1477" spans="10:10" x14ac:dyDescent="0.3">
      <c r="J1477" s="311"/>
    </row>
    <row r="1478" spans="10:10" x14ac:dyDescent="0.3">
      <c r="J1478" s="311"/>
    </row>
    <row r="1479" spans="10:10" x14ac:dyDescent="0.3">
      <c r="J1479" s="311"/>
    </row>
    <row r="1480" spans="10:10" x14ac:dyDescent="0.3">
      <c r="J1480" s="311"/>
    </row>
    <row r="1481" spans="10:10" x14ac:dyDescent="0.3">
      <c r="J1481" s="311"/>
    </row>
    <row r="1482" spans="10:10" x14ac:dyDescent="0.3">
      <c r="J1482" s="311"/>
    </row>
    <row r="1483" spans="10:10" x14ac:dyDescent="0.3">
      <c r="J1483" s="311"/>
    </row>
    <row r="1484" spans="10:10" x14ac:dyDescent="0.3">
      <c r="J1484" s="311"/>
    </row>
    <row r="1485" spans="10:10" x14ac:dyDescent="0.3">
      <c r="J1485" s="311"/>
    </row>
    <row r="1486" spans="10:10" x14ac:dyDescent="0.3">
      <c r="J1486" s="311"/>
    </row>
    <row r="1487" spans="10:10" x14ac:dyDescent="0.3">
      <c r="J1487" s="311"/>
    </row>
    <row r="1488" spans="10:10" x14ac:dyDescent="0.3">
      <c r="J1488" s="311"/>
    </row>
    <row r="1489" spans="7:10" x14ac:dyDescent="0.3">
      <c r="J1489" s="311"/>
    </row>
    <row r="1490" spans="7:10" x14ac:dyDescent="0.3">
      <c r="J1490" s="311"/>
    </row>
    <row r="1491" spans="7:10" x14ac:dyDescent="0.3">
      <c r="J1491" s="311"/>
    </row>
    <row r="1492" spans="7:10" x14ac:dyDescent="0.3">
      <c r="J1492" s="311"/>
    </row>
    <row r="1493" spans="7:10" x14ac:dyDescent="0.3">
      <c r="J1493" s="311"/>
    </row>
    <row r="1494" spans="7:10" x14ac:dyDescent="0.3">
      <c r="G1494" s="747"/>
      <c r="H1494" s="747"/>
      <c r="J1494" s="311"/>
    </row>
  </sheetData>
  <hyperlinks>
    <hyperlink ref="K24" r:id="rId1" xr:uid="{D64ECF7D-8160-434D-9A61-D4B9A14E6708}"/>
    <hyperlink ref="K26" r:id="rId2" xr:uid="{04C50E38-60E5-4EF3-9581-CEFD46450378}"/>
    <hyperlink ref="K15" r:id="rId3" xr:uid="{ACACBA98-ED6D-48C3-908D-D2A8EF6BA649}"/>
    <hyperlink ref="K16" r:id="rId4" xr:uid="{A38260DB-B7EF-4514-8000-F6D1D8101D0C}"/>
    <hyperlink ref="K17" r:id="rId5" xr:uid="{2A24F7CD-5C01-4ED5-B978-2FADCB1C4671}"/>
  </hyperlinks>
  <pageMargins left="0.7" right="0.7" top="0.75" bottom="0.75" header="0.3" footer="0.3"/>
  <tableParts count="1">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76F3D-82BC-4741-B9A0-251CE736FA4E}">
  <sheetPr codeName="Sheet11">
    <tabColor rgb="FFFF0000"/>
  </sheetPr>
  <dimension ref="B1:F58"/>
  <sheetViews>
    <sheetView showGridLines="0" zoomScale="95" zoomScaleNormal="95" workbookViewId="0">
      <selection activeCell="F12" sqref="F12"/>
    </sheetView>
  </sheetViews>
  <sheetFormatPr defaultColWidth="8.88671875" defaultRowHeight="13.8" x14ac:dyDescent="0.25"/>
  <cols>
    <col min="1" max="1" width="2.5546875" style="85" customWidth="1"/>
    <col min="2" max="3" width="50.109375" style="85" customWidth="1"/>
    <col min="4" max="4" width="5.5546875" style="85" customWidth="1"/>
    <col min="5" max="9" width="14.5546875" style="85" customWidth="1"/>
    <col min="10" max="16384" width="8.88671875" style="85"/>
  </cols>
  <sheetData>
    <row r="1" spans="2:6" ht="14.4" thickBot="1" x14ac:dyDescent="0.3"/>
    <row r="2" spans="2:6" ht="28.2" customHeight="1" thickBot="1" x14ac:dyDescent="0.3">
      <c r="B2" s="568" t="s">
        <v>1307</v>
      </c>
      <c r="E2" s="85" t="s">
        <v>1497</v>
      </c>
    </row>
    <row r="3" spans="2:6" ht="13.95" customHeight="1" x14ac:dyDescent="0.25">
      <c r="B3" s="792" t="s">
        <v>1476</v>
      </c>
      <c r="C3" s="793"/>
      <c r="E3" s="567"/>
      <c r="F3" s="8" t="s">
        <v>1309</v>
      </c>
    </row>
    <row r="4" spans="2:6" x14ac:dyDescent="0.25">
      <c r="B4" s="794"/>
      <c r="C4" s="795"/>
      <c r="E4" s="348"/>
      <c r="F4" s="8" t="s">
        <v>1310</v>
      </c>
    </row>
    <row r="5" spans="2:6" ht="14.4" x14ac:dyDescent="0.3">
      <c r="B5" s="794"/>
      <c r="C5" s="795"/>
      <c r="E5" s="684"/>
      <c r="F5" s="8" t="s">
        <v>1319</v>
      </c>
    </row>
    <row r="6" spans="2:6" ht="13.2" customHeight="1" x14ac:dyDescent="0.25">
      <c r="B6" s="794"/>
      <c r="C6" s="795"/>
    </row>
    <row r="7" spans="2:6" ht="14.4" customHeight="1" x14ac:dyDescent="0.25">
      <c r="B7" s="794"/>
      <c r="C7" s="795"/>
    </row>
    <row r="8" spans="2:6" ht="14.4" customHeight="1" x14ac:dyDescent="0.25">
      <c r="B8" s="794"/>
      <c r="C8" s="795"/>
    </row>
    <row r="9" spans="2:6" ht="14.4" customHeight="1" x14ac:dyDescent="0.25">
      <c r="B9" s="794"/>
      <c r="C9" s="795"/>
    </row>
    <row r="10" spans="2:6" ht="14.4" customHeight="1" x14ac:dyDescent="0.25">
      <c r="B10" s="794"/>
      <c r="C10" s="795"/>
    </row>
    <row r="11" spans="2:6" ht="14.4" customHeight="1" x14ac:dyDescent="0.25">
      <c r="B11" s="794"/>
      <c r="C11" s="795"/>
    </row>
    <row r="12" spans="2:6" ht="14.4" customHeight="1" x14ac:dyDescent="0.25">
      <c r="B12" s="794"/>
      <c r="C12" s="795"/>
    </row>
    <row r="13" spans="2:6" ht="14.4" customHeight="1" x14ac:dyDescent="0.25">
      <c r="B13" s="794"/>
      <c r="C13" s="795"/>
    </row>
    <row r="14" spans="2:6" ht="14.4" customHeight="1" x14ac:dyDescent="0.25">
      <c r="B14" s="794"/>
      <c r="C14" s="795"/>
    </row>
    <row r="15" spans="2:6" ht="14.4" customHeight="1" x14ac:dyDescent="0.25">
      <c r="B15" s="794"/>
      <c r="C15" s="795"/>
    </row>
    <row r="16" spans="2:6" ht="14.4" customHeight="1" x14ac:dyDescent="0.25">
      <c r="B16" s="794"/>
      <c r="C16" s="795"/>
    </row>
    <row r="17" spans="2:3" ht="14.4" customHeight="1" x14ac:dyDescent="0.25">
      <c r="B17" s="794"/>
      <c r="C17" s="795"/>
    </row>
    <row r="18" spans="2:3" ht="14.4" customHeight="1" x14ac:dyDescent="0.25">
      <c r="B18" s="794"/>
      <c r="C18" s="795"/>
    </row>
    <row r="19" spans="2:3" ht="14.4" customHeight="1" x14ac:dyDescent="0.25">
      <c r="B19" s="794"/>
      <c r="C19" s="795"/>
    </row>
    <row r="20" spans="2:3" ht="14.4" customHeight="1" x14ac:dyDescent="0.25">
      <c r="B20" s="794"/>
      <c r="C20" s="795"/>
    </row>
    <row r="21" spans="2:3" ht="14.4" customHeight="1" x14ac:dyDescent="0.25">
      <c r="B21" s="794"/>
      <c r="C21" s="795"/>
    </row>
    <row r="22" spans="2:3" ht="14.4" customHeight="1" x14ac:dyDescent="0.25">
      <c r="B22" s="794"/>
      <c r="C22" s="795"/>
    </row>
    <row r="23" spans="2:3" ht="14.4" customHeight="1" x14ac:dyDescent="0.25">
      <c r="B23" s="794"/>
      <c r="C23" s="795"/>
    </row>
    <row r="24" spans="2:3" ht="14.4" customHeight="1" x14ac:dyDescent="0.25">
      <c r="B24" s="794"/>
      <c r="C24" s="795"/>
    </row>
    <row r="25" spans="2:3" ht="14.4" customHeight="1" x14ac:dyDescent="0.25">
      <c r="B25" s="794"/>
      <c r="C25" s="795"/>
    </row>
    <row r="26" spans="2:3" ht="14.4" customHeight="1" x14ac:dyDescent="0.25">
      <c r="B26" s="794"/>
      <c r="C26" s="795"/>
    </row>
    <row r="27" spans="2:3" ht="14.4" customHeight="1" x14ac:dyDescent="0.25">
      <c r="B27" s="794"/>
      <c r="C27" s="795"/>
    </row>
    <row r="28" spans="2:3" ht="14.4" customHeight="1" x14ac:dyDescent="0.25">
      <c r="B28" s="794"/>
      <c r="C28" s="795"/>
    </row>
    <row r="29" spans="2:3" ht="14.4" customHeight="1" x14ac:dyDescent="0.25">
      <c r="B29" s="794"/>
      <c r="C29" s="795"/>
    </row>
    <row r="30" spans="2:3" ht="14.4" customHeight="1" x14ac:dyDescent="0.25">
      <c r="B30" s="794"/>
      <c r="C30" s="795"/>
    </row>
    <row r="31" spans="2:3" ht="14.4" customHeight="1" x14ac:dyDescent="0.25">
      <c r="B31" s="794"/>
      <c r="C31" s="795"/>
    </row>
    <row r="32" spans="2:3" ht="14.4" customHeight="1" x14ac:dyDescent="0.25">
      <c r="B32" s="794"/>
      <c r="C32" s="795"/>
    </row>
    <row r="33" spans="2:3" ht="14.4" customHeight="1" x14ac:dyDescent="0.25">
      <c r="B33" s="794"/>
      <c r="C33" s="795"/>
    </row>
    <row r="34" spans="2:3" ht="14.4" customHeight="1" x14ac:dyDescent="0.25">
      <c r="B34" s="794"/>
      <c r="C34" s="795"/>
    </row>
    <row r="35" spans="2:3" ht="14.4" customHeight="1" x14ac:dyDescent="0.25">
      <c r="B35" s="794"/>
      <c r="C35" s="795"/>
    </row>
    <row r="36" spans="2:3" ht="14.4" customHeight="1" x14ac:dyDescent="0.25">
      <c r="B36" s="794"/>
      <c r="C36" s="795"/>
    </row>
    <row r="37" spans="2:3" ht="14.4" customHeight="1" x14ac:dyDescent="0.25">
      <c r="B37" s="794"/>
      <c r="C37" s="795"/>
    </row>
    <row r="38" spans="2:3" ht="14.4" customHeight="1" x14ac:dyDescent="0.25">
      <c r="B38" s="794"/>
      <c r="C38" s="795"/>
    </row>
    <row r="39" spans="2:3" ht="14.4" customHeight="1" x14ac:dyDescent="0.25">
      <c r="B39" s="794"/>
      <c r="C39" s="795"/>
    </row>
    <row r="40" spans="2:3" ht="14.4" customHeight="1" x14ac:dyDescent="0.25">
      <c r="B40" s="794"/>
      <c r="C40" s="795"/>
    </row>
    <row r="41" spans="2:3" ht="14.4" customHeight="1" x14ac:dyDescent="0.25">
      <c r="B41" s="794"/>
      <c r="C41" s="795"/>
    </row>
    <row r="42" spans="2:3" ht="14.4" customHeight="1" x14ac:dyDescent="0.25">
      <c r="B42" s="794"/>
      <c r="C42" s="795"/>
    </row>
    <row r="43" spans="2:3" ht="14.4" customHeight="1" x14ac:dyDescent="0.25">
      <c r="B43" s="794"/>
      <c r="C43" s="795"/>
    </row>
    <row r="44" spans="2:3" ht="14.4" customHeight="1" x14ac:dyDescent="0.25">
      <c r="B44" s="794"/>
      <c r="C44" s="795"/>
    </row>
    <row r="45" spans="2:3" ht="14.4" customHeight="1" x14ac:dyDescent="0.25">
      <c r="B45" s="794"/>
      <c r="C45" s="795"/>
    </row>
    <row r="46" spans="2:3" x14ac:dyDescent="0.25">
      <c r="B46" s="794"/>
      <c r="C46" s="795"/>
    </row>
    <row r="47" spans="2:3" x14ac:dyDescent="0.25">
      <c r="B47" s="794"/>
      <c r="C47" s="795"/>
    </row>
    <row r="48" spans="2:3" x14ac:dyDescent="0.25">
      <c r="B48" s="794"/>
      <c r="C48" s="795"/>
    </row>
    <row r="49" spans="2:3" x14ac:dyDescent="0.25">
      <c r="B49" s="794"/>
      <c r="C49" s="795"/>
    </row>
    <row r="50" spans="2:3" x14ac:dyDescent="0.25">
      <c r="B50" s="794"/>
      <c r="C50" s="795"/>
    </row>
    <row r="51" spans="2:3" ht="13.2" customHeight="1" thickBot="1" x14ac:dyDescent="0.3">
      <c r="B51" s="796"/>
      <c r="C51" s="797"/>
    </row>
    <row r="53" spans="2:3" x14ac:dyDescent="0.25">
      <c r="B53" s="8" t="s">
        <v>790</v>
      </c>
    </row>
    <row r="54" spans="2:3" ht="14.4" x14ac:dyDescent="0.3">
      <c r="B54" s="5" t="s">
        <v>1308</v>
      </c>
    </row>
    <row r="56" spans="2:3" x14ac:dyDescent="0.25">
      <c r="B56" s="8" t="s">
        <v>787</v>
      </c>
    </row>
    <row r="57" spans="2:3" x14ac:dyDescent="0.25">
      <c r="B57" s="8" t="s">
        <v>788</v>
      </c>
    </row>
    <row r="58" spans="2:3" x14ac:dyDescent="0.25">
      <c r="B58" s="8" t="s">
        <v>789</v>
      </c>
    </row>
  </sheetData>
  <sheetProtection algorithmName="SHA-512" hashValue="2uxjLD4xSZgzqZWNU140pACHzsDrLWPIqayMsQ6A1uZmpDPauUombykOGwI6XvSaihkJ3RyEDOvTZmewQ0DB/A==" saltValue="h9VJYfDP17PkFm151lHMag==" spinCount="100000" sheet="1" objects="1" scenarios="1"/>
  <dataConsolidate/>
  <mergeCells count="1">
    <mergeCell ref="B3:C51"/>
  </mergeCells>
  <hyperlinks>
    <hyperlink ref="B58" r:id="rId1" xr:uid="{4996915D-7466-419A-BC3B-18176CF713C5}"/>
    <hyperlink ref="B54" r:id="rId2" xr:uid="{1548D990-DEA2-4038-8F7D-DFA2D629DFA1}"/>
  </hyperlinks>
  <pageMargins left="0.7" right="0.7" top="0.75" bottom="0.75" header="0.3" footer="0.3"/>
  <pageSetup paperSize="11" scale="53"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489DC-CCE2-4F4C-9278-66465322C83E}">
  <sheetPr codeName="Sheet19"/>
  <dimension ref="A1:K19"/>
  <sheetViews>
    <sheetView workbookViewId="0">
      <selection activeCell="C4" sqref="B4:C4"/>
    </sheetView>
  </sheetViews>
  <sheetFormatPr defaultRowHeight="14.4" x14ac:dyDescent="0.3"/>
  <sheetData>
    <row r="1" spans="1:11" x14ac:dyDescent="0.3">
      <c r="A1" t="s">
        <v>1098</v>
      </c>
    </row>
    <row r="3" spans="1:11" x14ac:dyDescent="0.3">
      <c r="B3" s="317" t="s">
        <v>1100</v>
      </c>
      <c r="C3" s="317" t="s">
        <v>1101</v>
      </c>
    </row>
    <row r="4" spans="1:11" x14ac:dyDescent="0.3">
      <c r="B4">
        <v>2.1800000000000002</v>
      </c>
      <c r="C4" t="s">
        <v>1521</v>
      </c>
    </row>
    <row r="5" spans="1:11" x14ac:dyDescent="0.3">
      <c r="B5">
        <v>2.17</v>
      </c>
      <c r="C5" t="s">
        <v>1514</v>
      </c>
    </row>
    <row r="6" spans="1:11" x14ac:dyDescent="0.3">
      <c r="B6">
        <v>2.16</v>
      </c>
      <c r="C6" t="s">
        <v>1507</v>
      </c>
    </row>
    <row r="7" spans="1:11" x14ac:dyDescent="0.3">
      <c r="B7">
        <v>2.15</v>
      </c>
      <c r="C7" t="s">
        <v>1508</v>
      </c>
    </row>
    <row r="8" spans="1:11" x14ac:dyDescent="0.3">
      <c r="B8">
        <v>2.14</v>
      </c>
      <c r="C8" t="s">
        <v>1506</v>
      </c>
    </row>
    <row r="9" spans="1:11" x14ac:dyDescent="0.3">
      <c r="B9">
        <v>2.13</v>
      </c>
      <c r="C9" t="s">
        <v>1269</v>
      </c>
    </row>
    <row r="10" spans="1:11" x14ac:dyDescent="0.3">
      <c r="B10">
        <v>2.12</v>
      </c>
      <c r="C10" t="s">
        <v>1263</v>
      </c>
    </row>
    <row r="11" spans="1:11" x14ac:dyDescent="0.3">
      <c r="B11">
        <v>2.11</v>
      </c>
      <c r="C11" t="s">
        <v>1126</v>
      </c>
    </row>
    <row r="12" spans="1:11" x14ac:dyDescent="0.3">
      <c r="B12" s="3">
        <v>2.1</v>
      </c>
      <c r="C12" t="s">
        <v>1125</v>
      </c>
    </row>
    <row r="13" spans="1:11" ht="60.6" customHeight="1" x14ac:dyDescent="0.3">
      <c r="B13" s="321">
        <v>2.9</v>
      </c>
      <c r="C13" s="862" t="s">
        <v>1123</v>
      </c>
      <c r="D13" s="862"/>
      <c r="E13" s="862"/>
      <c r="F13" s="862"/>
      <c r="G13" s="862"/>
      <c r="H13" s="862"/>
      <c r="I13" s="862"/>
      <c r="J13" s="862"/>
      <c r="K13" s="862"/>
    </row>
    <row r="14" spans="1:11" x14ac:dyDescent="0.3">
      <c r="B14">
        <v>2.8</v>
      </c>
      <c r="C14" t="s">
        <v>1127</v>
      </c>
    </row>
    <row r="15" spans="1:11" x14ac:dyDescent="0.3">
      <c r="B15">
        <v>2.7</v>
      </c>
      <c r="C15" t="s">
        <v>1107</v>
      </c>
    </row>
    <row r="16" spans="1:11" x14ac:dyDescent="0.3">
      <c r="B16">
        <v>2.6</v>
      </c>
      <c r="C16" t="s">
        <v>1106</v>
      </c>
    </row>
    <row r="17" spans="2:3" x14ac:dyDescent="0.3">
      <c r="B17">
        <v>2.5</v>
      </c>
      <c r="C17" t="s">
        <v>1102</v>
      </c>
    </row>
    <row r="18" spans="2:3" x14ac:dyDescent="0.3">
      <c r="B18">
        <v>2.4</v>
      </c>
      <c r="C18" t="s">
        <v>1128</v>
      </c>
    </row>
    <row r="19" spans="2:3" x14ac:dyDescent="0.3">
      <c r="B19">
        <v>2.2999999999999998</v>
      </c>
      <c r="C19" t="s">
        <v>1099</v>
      </c>
    </row>
  </sheetData>
  <mergeCells count="1">
    <mergeCell ref="C13:K1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6E623-2DD4-4CBC-88B2-9A091C12F054}">
  <sheetPr codeName="Sheet9"/>
  <dimension ref="A1:S138"/>
  <sheetViews>
    <sheetView zoomScale="95" zoomScaleNormal="95" workbookViewId="0">
      <selection activeCell="F34" sqref="F34"/>
    </sheetView>
  </sheetViews>
  <sheetFormatPr defaultColWidth="8.88671875" defaultRowHeight="13.2" x14ac:dyDescent="0.25"/>
  <cols>
    <col min="1" max="1" width="30.5546875" style="8" customWidth="1"/>
    <col min="2" max="2" width="14" style="8" customWidth="1"/>
    <col min="3" max="3" width="9" style="8" bestFit="1" customWidth="1"/>
    <col min="4" max="4" width="11.5546875" style="8" customWidth="1"/>
    <col min="5" max="5" width="9" style="8" bestFit="1" customWidth="1"/>
    <col min="6" max="6" width="19.5546875" style="8" bestFit="1" customWidth="1"/>
    <col min="7" max="7" width="17.33203125" style="8" customWidth="1"/>
    <col min="8" max="8" width="19.109375" style="8" customWidth="1"/>
    <col min="9" max="9" width="26.6640625" style="8" customWidth="1"/>
    <col min="10" max="11" width="15.44140625" style="8" customWidth="1"/>
    <col min="12" max="12" width="12.33203125" style="8" customWidth="1"/>
    <col min="13" max="16384" width="8.88671875" style="8"/>
  </cols>
  <sheetData>
    <row r="1" spans="1:19" s="9" customFormat="1" x14ac:dyDescent="0.25">
      <c r="A1" s="9" t="s">
        <v>651</v>
      </c>
    </row>
    <row r="2" spans="1:19" ht="58.2" customHeight="1" x14ac:dyDescent="0.25">
      <c r="A2" s="753" t="s">
        <v>650</v>
      </c>
      <c r="B2" s="753"/>
      <c r="C2" s="753"/>
      <c r="D2" s="753"/>
      <c r="E2" s="753"/>
      <c r="F2" s="753"/>
      <c r="G2" s="753"/>
      <c r="H2" s="753"/>
      <c r="I2" s="753"/>
      <c r="J2" s="753"/>
      <c r="K2" s="753"/>
      <c r="L2" s="753"/>
      <c r="M2" s="753"/>
      <c r="N2" s="753"/>
      <c r="O2" s="753"/>
      <c r="P2" s="753"/>
      <c r="Q2" s="753"/>
      <c r="R2" s="753"/>
      <c r="S2" s="753"/>
    </row>
    <row r="3" spans="1:19" ht="24.6" customHeight="1" x14ac:dyDescent="0.25">
      <c r="A3" s="309" t="s">
        <v>867</v>
      </c>
      <c r="B3" s="310">
        <v>50</v>
      </c>
      <c r="C3" s="21"/>
      <c r="D3" s="21"/>
      <c r="E3" s="21"/>
      <c r="F3" s="21"/>
      <c r="G3" s="21"/>
      <c r="H3" s="21"/>
      <c r="I3" s="21"/>
      <c r="J3" s="21"/>
      <c r="K3" s="21"/>
      <c r="L3" s="21"/>
      <c r="M3" s="21"/>
      <c r="N3" s="21"/>
      <c r="O3" s="21"/>
      <c r="P3" s="21"/>
      <c r="Q3" s="21"/>
      <c r="R3" s="21"/>
      <c r="S3" s="21"/>
    </row>
    <row r="4" spans="1:19" ht="52.8" x14ac:dyDescent="0.25">
      <c r="A4" s="81"/>
      <c r="B4" s="72" t="s">
        <v>38</v>
      </c>
      <c r="C4" s="82" t="s">
        <v>39</v>
      </c>
      <c r="D4" s="82" t="s">
        <v>40</v>
      </c>
      <c r="E4" s="82" t="s">
        <v>41</v>
      </c>
      <c r="F4" s="81" t="s">
        <v>649</v>
      </c>
      <c r="G4" s="82" t="s">
        <v>648</v>
      </c>
      <c r="H4" s="81" t="s">
        <v>647</v>
      </c>
      <c r="I4" s="863" t="s">
        <v>646</v>
      </c>
      <c r="J4" s="863"/>
      <c r="K4" s="21"/>
      <c r="L4" s="21"/>
      <c r="M4" s="21"/>
      <c r="N4" s="21"/>
      <c r="O4" s="21"/>
      <c r="P4" s="21"/>
      <c r="Q4" s="21"/>
      <c r="R4" s="21"/>
    </row>
    <row r="5" spans="1:19" ht="14.4" customHeight="1" x14ac:dyDescent="0.25">
      <c r="A5" s="8" t="s">
        <v>42</v>
      </c>
      <c r="B5" s="71">
        <f>Energy!C4</f>
        <v>0</v>
      </c>
      <c r="C5" s="63">
        <v>1.1000000000000001</v>
      </c>
      <c r="D5" s="64">
        <f t="shared" ref="D5:D15" si="0">B5*C5</f>
        <v>0</v>
      </c>
      <c r="E5" s="62">
        <v>263.89999999999998</v>
      </c>
      <c r="F5" s="62">
        <v>50</v>
      </c>
      <c r="G5" s="74">
        <f t="shared" ref="G5:G15" si="1">D5*E5*F5/1000</f>
        <v>0</v>
      </c>
      <c r="H5" s="57">
        <f t="shared" ref="H5:H15" si="2">G5/$I$5</f>
        <v>0</v>
      </c>
      <c r="I5" s="864">
        <f>J25+G16</f>
        <v>5.9872463535433766</v>
      </c>
      <c r="J5" s="865" t="s">
        <v>645</v>
      </c>
      <c r="K5" s="80" t="s">
        <v>644</v>
      </c>
      <c r="L5" s="21"/>
      <c r="M5" s="21"/>
      <c r="N5" s="21"/>
      <c r="O5" s="21"/>
      <c r="P5" s="21"/>
      <c r="Q5" s="21"/>
      <c r="R5" s="21"/>
    </row>
    <row r="6" spans="1:19" ht="14.4" x14ac:dyDescent="0.3">
      <c r="A6" s="8" t="s">
        <v>43</v>
      </c>
      <c r="B6" s="71">
        <f>Energy!C5</f>
        <v>0</v>
      </c>
      <c r="C6" s="63">
        <v>1.1000000000000001</v>
      </c>
      <c r="D6" s="64">
        <f t="shared" si="0"/>
        <v>0</v>
      </c>
      <c r="E6" s="62">
        <v>273.60000000000002</v>
      </c>
      <c r="F6" s="62">
        <v>50</v>
      </c>
      <c r="G6" s="74">
        <f t="shared" si="1"/>
        <v>0</v>
      </c>
      <c r="H6" s="57">
        <f t="shared" si="2"/>
        <v>0</v>
      </c>
      <c r="I6" s="864"/>
      <c r="J6" s="865"/>
      <c r="K6" s="79" t="s">
        <v>410</v>
      </c>
      <c r="L6" s="21"/>
      <c r="M6" s="21"/>
      <c r="N6" s="21"/>
      <c r="O6" s="21"/>
      <c r="P6" s="21"/>
      <c r="Q6" s="21"/>
      <c r="R6" s="21"/>
    </row>
    <row r="7" spans="1:19" x14ac:dyDescent="0.25">
      <c r="A7" s="8" t="s">
        <v>44</v>
      </c>
      <c r="B7" s="71">
        <f>Energy!C6</f>
        <v>0</v>
      </c>
      <c r="C7" s="63">
        <v>1.1000000000000001</v>
      </c>
      <c r="D7" s="64">
        <f t="shared" si="0"/>
        <v>0</v>
      </c>
      <c r="E7" s="62">
        <v>229.3</v>
      </c>
      <c r="F7" s="62">
        <v>50</v>
      </c>
      <c r="G7" s="74">
        <f t="shared" si="1"/>
        <v>0</v>
      </c>
      <c r="H7" s="57">
        <f t="shared" si="2"/>
        <v>0</v>
      </c>
      <c r="I7" s="864"/>
      <c r="J7" s="865"/>
      <c r="K7" s="78" t="s">
        <v>643</v>
      </c>
      <c r="L7" s="21"/>
      <c r="M7" s="21"/>
      <c r="N7" s="21"/>
      <c r="O7" s="21"/>
      <c r="P7" s="21"/>
      <c r="Q7" s="21"/>
      <c r="R7" s="21"/>
    </row>
    <row r="8" spans="1:19" x14ac:dyDescent="0.25">
      <c r="A8" s="8" t="s">
        <v>45</v>
      </c>
      <c r="B8" s="71">
        <f>Energy!C7</f>
        <v>0</v>
      </c>
      <c r="C8" s="63">
        <v>1.1000000000000001</v>
      </c>
      <c r="D8" s="64">
        <f t="shared" si="0"/>
        <v>0</v>
      </c>
      <c r="E8" s="62">
        <v>264</v>
      </c>
      <c r="F8" s="62">
        <v>50</v>
      </c>
      <c r="G8" s="74">
        <f t="shared" si="1"/>
        <v>0</v>
      </c>
      <c r="H8" s="57">
        <f t="shared" si="2"/>
        <v>0</v>
      </c>
      <c r="I8" s="864"/>
      <c r="J8" s="865"/>
      <c r="K8" s="77" t="s">
        <v>642</v>
      </c>
      <c r="L8" s="21"/>
      <c r="M8" s="21"/>
      <c r="N8" s="21"/>
      <c r="O8" s="21"/>
      <c r="P8" s="21"/>
      <c r="Q8" s="21"/>
      <c r="R8" s="21"/>
    </row>
    <row r="9" spans="1:19" x14ac:dyDescent="0.25">
      <c r="A9" s="8" t="s">
        <v>46</v>
      </c>
      <c r="B9" s="71">
        <f>Energy!C8</f>
        <v>0</v>
      </c>
      <c r="C9" s="63">
        <v>1.1000000000000001</v>
      </c>
      <c r="D9" s="64">
        <f t="shared" si="0"/>
        <v>0</v>
      </c>
      <c r="E9" s="62">
        <v>337.5</v>
      </c>
      <c r="F9" s="62">
        <v>50</v>
      </c>
      <c r="G9" s="74">
        <f t="shared" si="1"/>
        <v>0</v>
      </c>
      <c r="H9" s="57">
        <f t="shared" si="2"/>
        <v>0</v>
      </c>
      <c r="I9" s="76">
        <f>I5/1000</f>
        <v>5.9872463535433768E-3</v>
      </c>
      <c r="J9" s="75" t="s">
        <v>641</v>
      </c>
      <c r="K9" s="21"/>
      <c r="L9" s="21"/>
      <c r="M9" s="21"/>
      <c r="N9" s="21"/>
      <c r="O9" s="21"/>
      <c r="P9" s="21"/>
      <c r="Q9" s="21"/>
      <c r="R9" s="21"/>
    </row>
    <row r="10" spans="1:19" x14ac:dyDescent="0.25">
      <c r="A10" s="8" t="s">
        <v>47</v>
      </c>
      <c r="B10" s="71">
        <f>Energy!C9</f>
        <v>0</v>
      </c>
      <c r="C10" s="63">
        <v>1.1000000000000001</v>
      </c>
      <c r="D10" s="64">
        <f t="shared" si="0"/>
        <v>0</v>
      </c>
      <c r="E10" s="62">
        <v>340.6</v>
      </c>
      <c r="F10" s="62">
        <v>50</v>
      </c>
      <c r="G10" s="74">
        <f t="shared" si="1"/>
        <v>0</v>
      </c>
      <c r="H10" s="57">
        <f t="shared" si="2"/>
        <v>0</v>
      </c>
      <c r="I10" s="21"/>
      <c r="J10" s="21"/>
      <c r="K10" s="21"/>
      <c r="L10" s="21"/>
      <c r="M10" s="21"/>
      <c r="N10" s="21"/>
      <c r="O10" s="21"/>
      <c r="P10" s="21"/>
      <c r="Q10" s="21"/>
      <c r="R10" s="21"/>
    </row>
    <row r="11" spans="1:19" x14ac:dyDescent="0.25">
      <c r="A11" s="8" t="s">
        <v>48</v>
      </c>
      <c r="B11" s="71">
        <f>Energy!C10</f>
        <v>0</v>
      </c>
      <c r="C11" s="63">
        <v>1.1000000000000001</v>
      </c>
      <c r="D11" s="64">
        <f t="shared" si="0"/>
        <v>0</v>
      </c>
      <c r="E11" s="62">
        <v>418.1</v>
      </c>
      <c r="F11" s="62">
        <v>50</v>
      </c>
      <c r="G11" s="74">
        <f t="shared" si="1"/>
        <v>0</v>
      </c>
      <c r="H11" s="57">
        <f t="shared" si="2"/>
        <v>0</v>
      </c>
      <c r="I11" s="21"/>
      <c r="J11" s="21"/>
      <c r="K11" s="21"/>
      <c r="L11" s="21"/>
      <c r="M11" s="21"/>
      <c r="N11" s="21"/>
      <c r="O11" s="21"/>
      <c r="P11" s="21"/>
      <c r="Q11" s="21"/>
      <c r="R11" s="21"/>
    </row>
    <row r="12" spans="1:19" x14ac:dyDescent="0.25">
      <c r="A12" s="8" t="s">
        <v>49</v>
      </c>
      <c r="B12" s="71">
        <f>Energy!C11</f>
        <v>0</v>
      </c>
      <c r="C12" s="63">
        <v>1.1000000000000001</v>
      </c>
      <c r="D12" s="64">
        <f t="shared" si="0"/>
        <v>0</v>
      </c>
      <c r="E12" s="62">
        <v>374.4</v>
      </c>
      <c r="F12" s="62">
        <v>50</v>
      </c>
      <c r="G12" s="74">
        <f t="shared" si="1"/>
        <v>0</v>
      </c>
      <c r="H12" s="57">
        <f t="shared" si="2"/>
        <v>0</v>
      </c>
      <c r="I12" s="21"/>
      <c r="J12" s="21"/>
      <c r="K12" s="21"/>
      <c r="L12" s="21"/>
      <c r="M12" s="21"/>
      <c r="N12" s="21"/>
      <c r="O12" s="21"/>
      <c r="P12" s="21"/>
      <c r="Q12" s="21"/>
      <c r="R12" s="21"/>
    </row>
    <row r="13" spans="1:19" x14ac:dyDescent="0.25">
      <c r="A13" s="8" t="s">
        <v>50</v>
      </c>
      <c r="B13" s="71">
        <f>Energy!C12</f>
        <v>0</v>
      </c>
      <c r="C13" s="63">
        <v>1.1000000000000001</v>
      </c>
      <c r="D13" s="64">
        <f t="shared" si="0"/>
        <v>0</v>
      </c>
      <c r="E13" s="62">
        <v>355.9</v>
      </c>
      <c r="F13" s="62">
        <v>50</v>
      </c>
      <c r="G13" s="74">
        <f t="shared" si="1"/>
        <v>0</v>
      </c>
      <c r="H13" s="57">
        <f t="shared" si="2"/>
        <v>0</v>
      </c>
      <c r="I13" s="21"/>
      <c r="J13" s="21"/>
      <c r="K13" s="21"/>
      <c r="L13" s="21"/>
      <c r="M13" s="21"/>
      <c r="N13" s="21"/>
      <c r="O13" s="21"/>
      <c r="P13" s="21"/>
      <c r="Q13" s="21"/>
      <c r="R13" s="21"/>
    </row>
    <row r="14" spans="1:19" x14ac:dyDescent="0.25">
      <c r="A14" s="12" t="s">
        <v>51</v>
      </c>
      <c r="B14" s="71">
        <f>Energy!C13</f>
        <v>0</v>
      </c>
      <c r="C14" s="63">
        <v>1.1000000000000001</v>
      </c>
      <c r="D14" s="64">
        <f t="shared" si="0"/>
        <v>0</v>
      </c>
      <c r="E14" s="63">
        <v>202.9</v>
      </c>
      <c r="F14" s="62">
        <v>50</v>
      </c>
      <c r="G14" s="73">
        <f t="shared" si="1"/>
        <v>0</v>
      </c>
      <c r="H14" s="57">
        <f t="shared" si="2"/>
        <v>0</v>
      </c>
      <c r="I14" s="21"/>
      <c r="J14" s="21"/>
      <c r="K14" s="21"/>
      <c r="L14" s="21"/>
      <c r="M14" s="21"/>
      <c r="N14" s="21"/>
      <c r="O14" s="21"/>
      <c r="P14" s="21"/>
      <c r="Q14" s="21"/>
      <c r="R14" s="21"/>
    </row>
    <row r="15" spans="1:19" x14ac:dyDescent="0.25">
      <c r="A15" s="72" t="s">
        <v>52</v>
      </c>
      <c r="B15" s="71">
        <f>Energy!C14</f>
        <v>0</v>
      </c>
      <c r="C15" s="69">
        <v>1.1000000000000001</v>
      </c>
      <c r="D15" s="70">
        <f t="shared" si="0"/>
        <v>0</v>
      </c>
      <c r="E15" s="69">
        <v>91</v>
      </c>
      <c r="F15" s="68">
        <v>50</v>
      </c>
      <c r="G15" s="67">
        <f t="shared" si="1"/>
        <v>0</v>
      </c>
      <c r="H15" s="66">
        <f t="shared" si="2"/>
        <v>0</v>
      </c>
      <c r="I15" s="21"/>
      <c r="J15" s="21"/>
      <c r="K15" s="21"/>
      <c r="L15" s="21"/>
      <c r="M15" s="21"/>
      <c r="N15" s="21"/>
      <c r="O15" s="21"/>
      <c r="P15" s="21"/>
      <c r="Q15" s="21"/>
      <c r="R15" s="21"/>
    </row>
    <row r="16" spans="1:19" x14ac:dyDescent="0.25">
      <c r="A16" s="12" t="s">
        <v>627</v>
      </c>
      <c r="B16" s="65">
        <f>SUM(B5:B15)</f>
        <v>0</v>
      </c>
      <c r="C16" s="63"/>
      <c r="D16" s="64"/>
      <c r="E16" s="63"/>
      <c r="F16" s="62"/>
      <c r="G16" s="61">
        <f>SUM(G5:G15)</f>
        <v>0</v>
      </c>
      <c r="H16" s="60">
        <f>SUM(H5:H15)</f>
        <v>0</v>
      </c>
      <c r="I16" s="21"/>
      <c r="J16" s="21"/>
      <c r="K16" s="21"/>
      <c r="L16" s="21"/>
      <c r="M16" s="21"/>
      <c r="N16" s="21"/>
      <c r="O16" s="21"/>
      <c r="P16" s="21"/>
      <c r="Q16" s="21"/>
      <c r="R16" s="21"/>
    </row>
    <row r="17" spans="1:18" x14ac:dyDescent="0.25">
      <c r="A17" s="8" t="s">
        <v>640</v>
      </c>
      <c r="B17" s="59"/>
      <c r="G17" s="58">
        <f>J25</f>
        <v>5.9872463535433766</v>
      </c>
      <c r="H17" s="57">
        <f>J25/$I$5</f>
        <v>1</v>
      </c>
      <c r="I17" s="21"/>
      <c r="J17" s="21"/>
      <c r="K17" s="21"/>
      <c r="L17" s="21"/>
      <c r="M17" s="21"/>
      <c r="N17" s="21"/>
      <c r="O17" s="21"/>
      <c r="P17" s="21"/>
      <c r="Q17" s="21"/>
      <c r="R17" s="21"/>
    </row>
    <row r="18" spans="1:18" x14ac:dyDescent="0.25">
      <c r="A18" s="56" t="s">
        <v>639</v>
      </c>
      <c r="B18" s="55">
        <f>Energy!C3</f>
        <v>1</v>
      </c>
      <c r="C18" s="54" t="s">
        <v>638</v>
      </c>
      <c r="E18" s="53" t="s">
        <v>637</v>
      </c>
      <c r="F18" s="52"/>
      <c r="G18" s="52"/>
      <c r="H18" s="52"/>
      <c r="I18" s="52"/>
    </row>
    <row r="19" spans="1:18" x14ac:dyDescent="0.25">
      <c r="B19" s="42">
        <f>B18/'Project Details'!C16</f>
        <v>3.125E-2</v>
      </c>
      <c r="C19" s="8" t="s">
        <v>636</v>
      </c>
      <c r="E19" s="51" t="s">
        <v>635</v>
      </c>
      <c r="F19" s="50"/>
      <c r="G19" s="50"/>
      <c r="H19" s="50"/>
      <c r="I19" s="50"/>
      <c r="J19" s="50"/>
      <c r="K19" s="50"/>
      <c r="L19" s="50"/>
    </row>
    <row r="21" spans="1:18" s="12" customFormat="1" ht="50.4" customHeight="1" x14ac:dyDescent="0.3">
      <c r="A21" s="49" t="s">
        <v>56</v>
      </c>
      <c r="B21" s="49" t="s">
        <v>57</v>
      </c>
      <c r="C21" s="48" t="s">
        <v>39</v>
      </c>
      <c r="D21" s="48" t="s">
        <v>40</v>
      </c>
      <c r="E21" s="48" t="s">
        <v>58</v>
      </c>
      <c r="F21" s="48" t="s">
        <v>1487</v>
      </c>
      <c r="G21" s="34"/>
      <c r="H21" s="47" t="s">
        <v>634</v>
      </c>
      <c r="I21" s="46">
        <f>F81/1000</f>
        <v>5.9872463535433768E-3</v>
      </c>
      <c r="J21" s="45" t="s">
        <v>633</v>
      </c>
    </row>
    <row r="22" spans="1:18" x14ac:dyDescent="0.25">
      <c r="A22" s="8">
        <v>2022</v>
      </c>
      <c r="B22" s="39">
        <f t="shared" ref="B22:B53" si="3">$B$18</f>
        <v>1</v>
      </c>
      <c r="C22" s="42">
        <v>1.830257</v>
      </c>
      <c r="D22" s="38">
        <f t="shared" ref="D22:D53" si="4">B22*C22</f>
        <v>1.830257</v>
      </c>
      <c r="E22" s="43">
        <v>339.16966779147106</v>
      </c>
      <c r="F22" s="40">
        <f t="shared" ref="F22:F53" si="5">(B22*C22*E22)/1000</f>
        <v>0.62076765866301442</v>
      </c>
      <c r="H22" s="8" t="s">
        <v>632</v>
      </c>
      <c r="J22" s="44">
        <f>B81</f>
        <v>50</v>
      </c>
    </row>
    <row r="23" spans="1:18" x14ac:dyDescent="0.25">
      <c r="A23" s="8">
        <v>2023</v>
      </c>
      <c r="B23" s="39">
        <f t="shared" si="3"/>
        <v>1</v>
      </c>
      <c r="C23" s="42">
        <v>1.830257</v>
      </c>
      <c r="D23" s="38">
        <f t="shared" si="4"/>
        <v>1.830257</v>
      </c>
      <c r="E23" s="43">
        <v>314.37089849864714</v>
      </c>
      <c r="F23" s="40">
        <f t="shared" si="5"/>
        <v>0.5753795375734384</v>
      </c>
      <c r="H23" s="8" t="s">
        <v>631</v>
      </c>
      <c r="J23" s="44">
        <f>SUM(D22:D80)</f>
        <v>67.70064766230908</v>
      </c>
    </row>
    <row r="24" spans="1:18" ht="15.6" x14ac:dyDescent="0.25">
      <c r="A24" s="8">
        <v>2024</v>
      </c>
      <c r="B24" s="39">
        <f t="shared" si="3"/>
        <v>1</v>
      </c>
      <c r="C24" s="42">
        <v>1.8172890766198602</v>
      </c>
      <c r="D24" s="38">
        <f t="shared" si="4"/>
        <v>1.8172890766198602</v>
      </c>
      <c r="E24" s="43">
        <v>255.59572890288828</v>
      </c>
      <c r="F24" s="40">
        <f t="shared" si="5"/>
        <v>0.46449132616590993</v>
      </c>
      <c r="H24" s="8" t="s">
        <v>630</v>
      </c>
      <c r="J24" s="44">
        <f>J23/'Project Details'!C16</f>
        <v>2.1156452394471588</v>
      </c>
    </row>
    <row r="25" spans="1:18" ht="15.6" x14ac:dyDescent="0.35">
      <c r="A25" s="8">
        <v>2025</v>
      </c>
      <c r="B25" s="39">
        <f t="shared" si="3"/>
        <v>1</v>
      </c>
      <c r="C25" s="42">
        <v>1.7656240795697244</v>
      </c>
      <c r="D25" s="38">
        <f t="shared" si="4"/>
        <v>1.7656240795697244</v>
      </c>
      <c r="E25" s="43">
        <v>238.76043880560457</v>
      </c>
      <c r="F25" s="40">
        <f t="shared" si="5"/>
        <v>0.42156118000380904</v>
      </c>
      <c r="H25" s="8" t="s">
        <v>629</v>
      </c>
      <c r="J25" s="44">
        <f>F81</f>
        <v>5.9872463535433766</v>
      </c>
    </row>
    <row r="26" spans="1:18" ht="16.8" x14ac:dyDescent="0.35">
      <c r="A26" s="8">
        <v>2026</v>
      </c>
      <c r="B26" s="39">
        <f t="shared" si="3"/>
        <v>1</v>
      </c>
      <c r="C26" s="42">
        <v>1.6469708600751447</v>
      </c>
      <c r="D26" s="38">
        <f t="shared" si="4"/>
        <v>1.6469708600751447</v>
      </c>
      <c r="E26" s="43">
        <v>191.23965811754431</v>
      </c>
      <c r="F26" s="40">
        <f t="shared" si="5"/>
        <v>0.31496614421032859</v>
      </c>
      <c r="H26" s="8" t="s">
        <v>628</v>
      </c>
      <c r="J26" s="44">
        <f>J25/'Project Details'!C16</f>
        <v>0.18710144854823052</v>
      </c>
    </row>
    <row r="27" spans="1:18" x14ac:dyDescent="0.25">
      <c r="A27" s="8">
        <v>2027</v>
      </c>
      <c r="B27" s="39">
        <f t="shared" si="3"/>
        <v>1</v>
      </c>
      <c r="C27" s="42">
        <v>1.5587640360561514</v>
      </c>
      <c r="D27" s="38">
        <f t="shared" si="4"/>
        <v>1.5587640360561514</v>
      </c>
      <c r="E27" s="43">
        <v>159.08201801234017</v>
      </c>
      <c r="F27" s="40">
        <f t="shared" si="5"/>
        <v>0.24797132846087275</v>
      </c>
    </row>
    <row r="28" spans="1:18" x14ac:dyDescent="0.25">
      <c r="A28" s="8">
        <v>2028</v>
      </c>
      <c r="B28" s="39">
        <f t="shared" si="3"/>
        <v>1</v>
      </c>
      <c r="C28" s="42">
        <v>1.4925675361323245</v>
      </c>
      <c r="D28" s="38">
        <f t="shared" si="4"/>
        <v>1.4925675361323245</v>
      </c>
      <c r="E28" s="43">
        <v>134.08753434988068</v>
      </c>
      <c r="F28" s="40">
        <f t="shared" si="5"/>
        <v>0.20013470077065984</v>
      </c>
    </row>
    <row r="29" spans="1:18" x14ac:dyDescent="0.25">
      <c r="A29" s="8">
        <v>2029</v>
      </c>
      <c r="B29" s="39">
        <f t="shared" si="3"/>
        <v>1</v>
      </c>
      <c r="C29" s="42">
        <v>1.4325544090237581</v>
      </c>
      <c r="D29" s="38">
        <f t="shared" si="4"/>
        <v>1.4325544090237581</v>
      </c>
      <c r="E29" s="43">
        <v>112.21128977427914</v>
      </c>
      <c r="F29" s="40">
        <f t="shared" si="5"/>
        <v>0.16074877790838613</v>
      </c>
    </row>
    <row r="30" spans="1:18" x14ac:dyDescent="0.25">
      <c r="A30" s="8">
        <v>2030</v>
      </c>
      <c r="B30" s="39">
        <f t="shared" si="3"/>
        <v>1</v>
      </c>
      <c r="C30" s="42">
        <v>1.3918315840407829</v>
      </c>
      <c r="D30" s="38">
        <f t="shared" si="4"/>
        <v>1.3918315840407829</v>
      </c>
      <c r="E30" s="43">
        <v>97.918770362675005</v>
      </c>
      <c r="F30" s="40">
        <f t="shared" si="5"/>
        <v>0.13628643726120762</v>
      </c>
    </row>
    <row r="31" spans="1:18" x14ac:dyDescent="0.25">
      <c r="A31" s="8">
        <v>2031</v>
      </c>
      <c r="B31" s="39">
        <f t="shared" si="3"/>
        <v>1</v>
      </c>
      <c r="C31" s="42">
        <v>1.3825760678949581</v>
      </c>
      <c r="D31" s="38">
        <f t="shared" si="4"/>
        <v>1.3825760678949581</v>
      </c>
      <c r="E31" s="43">
        <v>94.814323249292286</v>
      </c>
      <c r="F31" s="40">
        <f t="shared" si="5"/>
        <v>0.13108801421812805</v>
      </c>
    </row>
    <row r="32" spans="1:18" x14ac:dyDescent="0.25">
      <c r="A32" s="8">
        <v>2032</v>
      </c>
      <c r="B32" s="39">
        <f t="shared" si="3"/>
        <v>1</v>
      </c>
      <c r="C32" s="42">
        <v>1.3409709707248239</v>
      </c>
      <c r="D32" s="38">
        <f t="shared" si="4"/>
        <v>1.3409709707248239</v>
      </c>
      <c r="E32" s="43">
        <v>80.352250731460629</v>
      </c>
      <c r="F32" s="40">
        <f t="shared" si="5"/>
        <v>0.10775003566329119</v>
      </c>
    </row>
    <row r="33" spans="1:6" x14ac:dyDescent="0.25">
      <c r="A33" s="8">
        <v>2033</v>
      </c>
      <c r="B33" s="39">
        <f t="shared" si="3"/>
        <v>1</v>
      </c>
      <c r="C33" s="42">
        <v>1.33476263881135</v>
      </c>
      <c r="D33" s="38">
        <f t="shared" si="4"/>
        <v>1.33476263881135</v>
      </c>
      <c r="E33" s="43">
        <v>78.679774151332566</v>
      </c>
      <c r="F33" s="40">
        <f t="shared" si="5"/>
        <v>0.10501882296731371</v>
      </c>
    </row>
    <row r="34" spans="1:6" x14ac:dyDescent="0.25">
      <c r="A34" s="8">
        <v>2034</v>
      </c>
      <c r="B34" s="39">
        <f t="shared" si="3"/>
        <v>1</v>
      </c>
      <c r="C34" s="42">
        <v>1.3412031060381173</v>
      </c>
      <c r="D34" s="38">
        <f t="shared" si="4"/>
        <v>1.3412031060381173</v>
      </c>
      <c r="E34" s="43">
        <v>81.921063706336071</v>
      </c>
      <c r="F34" s="40">
        <f t="shared" si="5"/>
        <v>0.10987278509288442</v>
      </c>
    </row>
    <row r="35" spans="1:6" x14ac:dyDescent="0.25">
      <c r="A35" s="8">
        <v>2035</v>
      </c>
      <c r="B35" s="39">
        <f t="shared" si="3"/>
        <v>1</v>
      </c>
      <c r="C35" s="42">
        <v>1.3363059189462005</v>
      </c>
      <c r="D35" s="38">
        <f t="shared" si="4"/>
        <v>1.3363059189462005</v>
      </c>
      <c r="E35" s="43">
        <v>81.948018199274259</v>
      </c>
      <c r="F35" s="40">
        <f t="shared" si="5"/>
        <v>0.10950762176560115</v>
      </c>
    </row>
    <row r="36" spans="1:6" x14ac:dyDescent="0.25">
      <c r="A36" s="8">
        <v>2036</v>
      </c>
      <c r="B36" s="39">
        <f t="shared" si="3"/>
        <v>1</v>
      </c>
      <c r="C36" s="42">
        <v>1.3035591376335454</v>
      </c>
      <c r="D36" s="38">
        <f t="shared" si="4"/>
        <v>1.3035591376335454</v>
      </c>
      <c r="E36" s="43">
        <v>69.198542332607502</v>
      </c>
      <c r="F36" s="40">
        <f t="shared" si="5"/>
        <v>9.0204392168592218E-2</v>
      </c>
    </row>
    <row r="37" spans="1:6" x14ac:dyDescent="0.25">
      <c r="A37" s="8">
        <v>2037</v>
      </c>
      <c r="B37" s="39">
        <f t="shared" si="3"/>
        <v>1</v>
      </c>
      <c r="C37" s="42">
        <v>1.2902765589965368</v>
      </c>
      <c r="D37" s="38">
        <f t="shared" si="4"/>
        <v>1.2902765589965368</v>
      </c>
      <c r="E37" s="43">
        <v>64.763133125501227</v>
      </c>
      <c r="F37" s="40">
        <f t="shared" si="5"/>
        <v>8.3562352559006361E-2</v>
      </c>
    </row>
    <row r="38" spans="1:6" x14ac:dyDescent="0.25">
      <c r="A38" s="8">
        <v>2038</v>
      </c>
      <c r="B38" s="39">
        <f t="shared" si="3"/>
        <v>1</v>
      </c>
      <c r="C38" s="42">
        <v>1.3037246386566366</v>
      </c>
      <c r="D38" s="38">
        <f t="shared" si="4"/>
        <v>1.3037246386566366</v>
      </c>
      <c r="E38" s="43">
        <v>70.674293676951407</v>
      </c>
      <c r="F38" s="40">
        <f t="shared" si="5"/>
        <v>9.2139817986296488E-2</v>
      </c>
    </row>
    <row r="39" spans="1:6" x14ac:dyDescent="0.25">
      <c r="A39" s="8">
        <v>2039</v>
      </c>
      <c r="B39" s="39">
        <f t="shared" si="3"/>
        <v>1</v>
      </c>
      <c r="C39" s="42">
        <v>1.2940960482322565</v>
      </c>
      <c r="D39" s="38">
        <f t="shared" si="4"/>
        <v>1.2940960482322565</v>
      </c>
      <c r="E39" s="43">
        <v>67.146143156589744</v>
      </c>
      <c r="F39" s="40">
        <f t="shared" si="5"/>
        <v>8.6893558512980168E-2</v>
      </c>
    </row>
    <row r="40" spans="1:6" x14ac:dyDescent="0.25">
      <c r="A40" s="8">
        <v>2040</v>
      </c>
      <c r="B40" s="39">
        <f t="shared" si="3"/>
        <v>1</v>
      </c>
      <c r="C40" s="42">
        <v>1.2612451432741454</v>
      </c>
      <c r="D40" s="38">
        <f t="shared" si="4"/>
        <v>1.2612451432741454</v>
      </c>
      <c r="E40" s="43">
        <v>58.447031782942766</v>
      </c>
      <c r="F40" s="40">
        <f t="shared" si="5"/>
        <v>7.3716034975026171E-2</v>
      </c>
    </row>
    <row r="41" spans="1:6" x14ac:dyDescent="0.25">
      <c r="A41" s="8">
        <v>2041</v>
      </c>
      <c r="B41" s="39">
        <f t="shared" si="3"/>
        <v>1</v>
      </c>
      <c r="C41" s="42">
        <v>1.2573078202371384</v>
      </c>
      <c r="D41" s="38">
        <f t="shared" si="4"/>
        <v>1.2573078202371384</v>
      </c>
      <c r="E41" s="43">
        <v>57.068782923499334</v>
      </c>
      <c r="F41" s="40">
        <f t="shared" si="5"/>
        <v>7.1753027061131375E-2</v>
      </c>
    </row>
    <row r="42" spans="1:6" x14ac:dyDescent="0.25">
      <c r="A42" s="8">
        <v>2042</v>
      </c>
      <c r="B42" s="39">
        <f t="shared" si="3"/>
        <v>1</v>
      </c>
      <c r="C42" s="42">
        <v>1.2526085745912876</v>
      </c>
      <c r="D42" s="38">
        <f t="shared" si="4"/>
        <v>1.2526085745912876</v>
      </c>
      <c r="E42" s="43">
        <v>55.634060891698873</v>
      </c>
      <c r="F42" s="40">
        <f t="shared" si="5"/>
        <v>6.9687701712275826E-2</v>
      </c>
    </row>
    <row r="43" spans="1:6" x14ac:dyDescent="0.25">
      <c r="A43" s="8">
        <v>2043</v>
      </c>
      <c r="B43" s="39">
        <f t="shared" si="3"/>
        <v>1</v>
      </c>
      <c r="C43" s="42">
        <v>1.2629532704902517</v>
      </c>
      <c r="D43" s="38">
        <f t="shared" si="4"/>
        <v>1.2629532704902517</v>
      </c>
      <c r="E43" s="43">
        <v>59.509515452201505</v>
      </c>
      <c r="F43" s="40">
        <f t="shared" si="5"/>
        <v>7.5157737165648053E-2</v>
      </c>
    </row>
    <row r="44" spans="1:6" x14ac:dyDescent="0.25">
      <c r="A44" s="8">
        <v>2044</v>
      </c>
      <c r="B44" s="39">
        <f t="shared" si="3"/>
        <v>1</v>
      </c>
      <c r="C44" s="42">
        <v>1.2567678088175185</v>
      </c>
      <c r="D44" s="38">
        <f t="shared" si="4"/>
        <v>1.2567678088175185</v>
      </c>
      <c r="E44" s="43">
        <v>57.990223390250826</v>
      </c>
      <c r="F44" s="40">
        <f t="shared" si="5"/>
        <v>7.2880245983003938E-2</v>
      </c>
    </row>
    <row r="45" spans="1:6" x14ac:dyDescent="0.25">
      <c r="A45" s="8">
        <v>2045</v>
      </c>
      <c r="B45" s="39">
        <f t="shared" si="3"/>
        <v>1</v>
      </c>
      <c r="C45" s="42">
        <v>1.2714379899171999</v>
      </c>
      <c r="D45" s="38">
        <f t="shared" si="4"/>
        <v>1.2714379899171999</v>
      </c>
      <c r="E45" s="43">
        <v>64.446800536494152</v>
      </c>
      <c r="F45" s="40">
        <f t="shared" si="5"/>
        <v>8.1940110530714844E-2</v>
      </c>
    </row>
    <row r="46" spans="1:6" x14ac:dyDescent="0.25">
      <c r="A46" s="8">
        <v>2046</v>
      </c>
      <c r="B46" s="39">
        <f t="shared" si="3"/>
        <v>1</v>
      </c>
      <c r="C46" s="42">
        <v>1.2383108439250934</v>
      </c>
      <c r="D46" s="38">
        <f t="shared" si="4"/>
        <v>1.2383108439250934</v>
      </c>
      <c r="E46" s="43">
        <v>50.73599562734119</v>
      </c>
      <c r="F46" s="40">
        <f t="shared" si="5"/>
        <v>6.2826933562672715E-2</v>
      </c>
    </row>
    <row r="47" spans="1:6" x14ac:dyDescent="0.25">
      <c r="A47" s="8">
        <v>2047</v>
      </c>
      <c r="B47" s="39">
        <f t="shared" si="3"/>
        <v>1</v>
      </c>
      <c r="C47" s="42">
        <v>1.2484918905203322</v>
      </c>
      <c r="D47" s="38">
        <f t="shared" si="4"/>
        <v>1.2484918905203322</v>
      </c>
      <c r="E47" s="43">
        <v>54.467712094513288</v>
      </c>
      <c r="F47" s="40">
        <f t="shared" si="5"/>
        <v>6.8002496845196062E-2</v>
      </c>
    </row>
    <row r="48" spans="1:6" x14ac:dyDescent="0.25">
      <c r="A48" s="8">
        <v>2048</v>
      </c>
      <c r="B48" s="39">
        <f t="shared" si="3"/>
        <v>1</v>
      </c>
      <c r="C48" s="42">
        <v>1.242220191996672</v>
      </c>
      <c r="D48" s="38">
        <f t="shared" si="4"/>
        <v>1.242220191996672</v>
      </c>
      <c r="E48" s="43">
        <v>52.805264178961544</v>
      </c>
      <c r="F48" s="40">
        <f t="shared" si="5"/>
        <v>6.5595765406824602E-2</v>
      </c>
    </row>
    <row r="49" spans="1:8" x14ac:dyDescent="0.25">
      <c r="A49" s="8">
        <v>2049</v>
      </c>
      <c r="B49" s="39">
        <f t="shared" si="3"/>
        <v>1</v>
      </c>
      <c r="C49" s="42">
        <v>1.2447593692870571</v>
      </c>
      <c r="D49" s="38">
        <f t="shared" si="4"/>
        <v>1.2447593692870571</v>
      </c>
      <c r="E49" s="43">
        <v>53.993388149952452</v>
      </c>
      <c r="F49" s="40">
        <f t="shared" si="5"/>
        <v>6.7208775779206073E-2</v>
      </c>
    </row>
    <row r="50" spans="1:8" x14ac:dyDescent="0.25">
      <c r="A50" s="8">
        <v>2050</v>
      </c>
      <c r="B50" s="39">
        <f t="shared" si="3"/>
        <v>1</v>
      </c>
      <c r="C50" s="42">
        <v>1.2423576813809649</v>
      </c>
      <c r="D50" s="38">
        <f t="shared" si="4"/>
        <v>1.2423576813809649</v>
      </c>
      <c r="E50" s="41">
        <f t="shared" ref="E50:E72" si="6">E49-(E$44-E$49)/5</f>
        <v>53.19402110189278</v>
      </c>
      <c r="F50" s="40">
        <f t="shared" si="5"/>
        <v>6.6086000719477636E-2</v>
      </c>
    </row>
    <row r="51" spans="1:8" x14ac:dyDescent="0.25">
      <c r="A51" s="8">
        <v>2051</v>
      </c>
      <c r="B51" s="39">
        <f t="shared" si="3"/>
        <v>1</v>
      </c>
      <c r="C51" s="42">
        <v>1.2399559934748727</v>
      </c>
      <c r="D51" s="38">
        <f t="shared" si="4"/>
        <v>1.2399559934748727</v>
      </c>
      <c r="E51" s="41">
        <f t="shared" si="6"/>
        <v>52.394654053833108</v>
      </c>
      <c r="F51" s="40">
        <f t="shared" si="5"/>
        <v>6.4967065320092901E-2</v>
      </c>
    </row>
    <row r="52" spans="1:8" x14ac:dyDescent="0.25">
      <c r="A52" s="8">
        <v>2052</v>
      </c>
      <c r="B52" s="39">
        <f t="shared" si="3"/>
        <v>1</v>
      </c>
      <c r="C52" s="42">
        <v>1.2375543055687805</v>
      </c>
      <c r="D52" s="38">
        <f t="shared" si="4"/>
        <v>1.2375543055687805</v>
      </c>
      <c r="E52" s="41">
        <f t="shared" si="6"/>
        <v>51.595287005773436</v>
      </c>
      <c r="F52" s="40">
        <f t="shared" si="5"/>
        <v>6.3851969581051868E-2</v>
      </c>
      <c r="G52" s="42"/>
    </row>
    <row r="53" spans="1:8" x14ac:dyDescent="0.25">
      <c r="A53" s="8">
        <v>2053</v>
      </c>
      <c r="B53" s="39">
        <f t="shared" si="3"/>
        <v>1</v>
      </c>
      <c r="C53" s="42">
        <v>1.2375543055687805</v>
      </c>
      <c r="D53" s="38">
        <f t="shared" si="4"/>
        <v>1.2375543055687805</v>
      </c>
      <c r="E53" s="41">
        <f t="shared" si="6"/>
        <v>50.795919957713764</v>
      </c>
      <c r="F53" s="40">
        <f t="shared" si="5"/>
        <v>6.2862709448995815E-2</v>
      </c>
      <c r="G53" s="42"/>
    </row>
    <row r="54" spans="1:8" x14ac:dyDescent="0.25">
      <c r="A54" s="8">
        <v>2054</v>
      </c>
      <c r="B54" s="39">
        <f t="shared" ref="B54:B72" si="7">$B$18</f>
        <v>1</v>
      </c>
      <c r="C54" s="42">
        <v>1.2375543055687805</v>
      </c>
      <c r="D54" s="38">
        <f t="shared" ref="D54:D80" si="8">B54*C54</f>
        <v>1.2375543055687805</v>
      </c>
      <c r="E54" s="41">
        <f t="shared" si="6"/>
        <v>49.996552909654092</v>
      </c>
      <c r="F54" s="40">
        <f t="shared" ref="F54:F72" si="9">(B54*C54*E54)/1000</f>
        <v>6.1873449316939763E-2</v>
      </c>
      <c r="G54" s="42"/>
      <c r="H54" s="42"/>
    </row>
    <row r="55" spans="1:8" x14ac:dyDescent="0.25">
      <c r="A55" s="8">
        <v>2055</v>
      </c>
      <c r="B55" s="39">
        <f t="shared" si="7"/>
        <v>1</v>
      </c>
      <c r="C55" s="42">
        <v>1.2375543055687805</v>
      </c>
      <c r="D55" s="38">
        <f t="shared" si="8"/>
        <v>1.2375543055687805</v>
      </c>
      <c r="E55" s="41">
        <f t="shared" si="6"/>
        <v>49.19718586159442</v>
      </c>
      <c r="F55" s="40">
        <f t="shared" si="9"/>
        <v>6.0884189184883711E-2</v>
      </c>
      <c r="G55" s="42"/>
    </row>
    <row r="56" spans="1:8" x14ac:dyDescent="0.25">
      <c r="A56" s="8">
        <v>2056</v>
      </c>
      <c r="B56" s="39">
        <f t="shared" si="7"/>
        <v>1</v>
      </c>
      <c r="C56" s="42">
        <v>1.2375543055687805</v>
      </c>
      <c r="D56" s="38">
        <f t="shared" si="8"/>
        <v>1.2375543055687805</v>
      </c>
      <c r="E56" s="41">
        <f t="shared" si="6"/>
        <v>48.397818813534748</v>
      </c>
      <c r="F56" s="40">
        <f t="shared" si="9"/>
        <v>5.9894929052827658E-2</v>
      </c>
      <c r="G56" s="42"/>
    </row>
    <row r="57" spans="1:8" x14ac:dyDescent="0.25">
      <c r="A57" s="8">
        <v>2057</v>
      </c>
      <c r="B57" s="39">
        <f t="shared" si="7"/>
        <v>1</v>
      </c>
      <c r="C57" s="42">
        <v>1.2375543055687805</v>
      </c>
      <c r="D57" s="38">
        <f t="shared" si="8"/>
        <v>1.2375543055687805</v>
      </c>
      <c r="E57" s="41">
        <f t="shared" si="6"/>
        <v>47.598451765475076</v>
      </c>
      <c r="F57" s="40">
        <f t="shared" si="9"/>
        <v>5.8905668920771606E-2</v>
      </c>
      <c r="G57" s="42"/>
    </row>
    <row r="58" spans="1:8" x14ac:dyDescent="0.25">
      <c r="A58" s="8">
        <v>2058</v>
      </c>
      <c r="B58" s="39">
        <f t="shared" si="7"/>
        <v>1</v>
      </c>
      <c r="C58" s="42">
        <v>1.2375543055687805</v>
      </c>
      <c r="D58" s="38">
        <f t="shared" si="8"/>
        <v>1.2375543055687805</v>
      </c>
      <c r="E58" s="41">
        <f t="shared" si="6"/>
        <v>46.799084717415404</v>
      </c>
      <c r="F58" s="40">
        <f t="shared" si="9"/>
        <v>5.7916408788715554E-2</v>
      </c>
      <c r="G58" s="42"/>
    </row>
    <row r="59" spans="1:8" x14ac:dyDescent="0.25">
      <c r="A59" s="8">
        <v>2059</v>
      </c>
      <c r="B59" s="39">
        <f t="shared" si="7"/>
        <v>1</v>
      </c>
      <c r="C59" s="42">
        <v>1.2375543055687805</v>
      </c>
      <c r="D59" s="38">
        <f t="shared" si="8"/>
        <v>1.2375543055687805</v>
      </c>
      <c r="E59" s="41">
        <f t="shared" si="6"/>
        <v>45.999717669355732</v>
      </c>
      <c r="F59" s="40">
        <f t="shared" si="9"/>
        <v>5.6927148656659494E-2</v>
      </c>
      <c r="G59" s="42"/>
    </row>
    <row r="60" spans="1:8" x14ac:dyDescent="0.25">
      <c r="A60" s="8">
        <v>2060</v>
      </c>
      <c r="B60" s="39">
        <f t="shared" si="7"/>
        <v>1</v>
      </c>
      <c r="C60" s="42">
        <v>1.2375543055687805</v>
      </c>
      <c r="D60" s="38">
        <f t="shared" si="8"/>
        <v>1.2375543055687805</v>
      </c>
      <c r="E60" s="41">
        <f t="shared" si="6"/>
        <v>45.20035062129606</v>
      </c>
      <c r="F60" s="40">
        <f t="shared" si="9"/>
        <v>5.5937888524603442E-2</v>
      </c>
      <c r="G60" s="42"/>
    </row>
    <row r="61" spans="1:8" x14ac:dyDescent="0.25">
      <c r="A61" s="8">
        <v>2061</v>
      </c>
      <c r="B61" s="39">
        <f t="shared" si="7"/>
        <v>1</v>
      </c>
      <c r="C61" s="42">
        <v>1.2375543055687805</v>
      </c>
      <c r="D61" s="38">
        <f t="shared" si="8"/>
        <v>1.2375543055687805</v>
      </c>
      <c r="E61" s="41">
        <f t="shared" si="6"/>
        <v>44.400983573236388</v>
      </c>
      <c r="F61" s="40">
        <f t="shared" si="9"/>
        <v>5.494862839254739E-2</v>
      </c>
    </row>
    <row r="62" spans="1:8" x14ac:dyDescent="0.25">
      <c r="A62" s="8">
        <v>2062</v>
      </c>
      <c r="B62" s="39">
        <f t="shared" si="7"/>
        <v>1</v>
      </c>
      <c r="C62" s="42">
        <v>1.2375543055687805</v>
      </c>
      <c r="D62" s="38">
        <f t="shared" si="8"/>
        <v>1.2375543055687805</v>
      </c>
      <c r="E62" s="41">
        <f t="shared" si="6"/>
        <v>43.601616525176716</v>
      </c>
      <c r="F62" s="40">
        <f t="shared" si="9"/>
        <v>5.3959368260491337E-2</v>
      </c>
    </row>
    <row r="63" spans="1:8" x14ac:dyDescent="0.25">
      <c r="A63" s="8">
        <v>2063</v>
      </c>
      <c r="B63" s="39">
        <f t="shared" si="7"/>
        <v>1</v>
      </c>
      <c r="C63" s="42">
        <v>1.2375543055687805</v>
      </c>
      <c r="D63" s="38">
        <f t="shared" si="8"/>
        <v>1.2375543055687805</v>
      </c>
      <c r="E63" s="41">
        <f t="shared" si="6"/>
        <v>42.802249477117044</v>
      </c>
      <c r="F63" s="40">
        <f t="shared" si="9"/>
        <v>5.2970108128435285E-2</v>
      </c>
    </row>
    <row r="64" spans="1:8" x14ac:dyDescent="0.25">
      <c r="A64" s="8">
        <v>2064</v>
      </c>
      <c r="B64" s="39">
        <f t="shared" si="7"/>
        <v>1</v>
      </c>
      <c r="C64" s="42">
        <v>1.2375543055687805</v>
      </c>
      <c r="D64" s="38">
        <f t="shared" si="8"/>
        <v>1.2375543055687805</v>
      </c>
      <c r="E64" s="41">
        <f t="shared" si="6"/>
        <v>42.002882429057372</v>
      </c>
      <c r="F64" s="40">
        <f t="shared" si="9"/>
        <v>5.1980847996379233E-2</v>
      </c>
    </row>
    <row r="65" spans="1:6" x14ac:dyDescent="0.25">
      <c r="A65" s="8">
        <v>2065</v>
      </c>
      <c r="B65" s="39">
        <f t="shared" si="7"/>
        <v>1</v>
      </c>
      <c r="C65" s="42">
        <v>1.2375543055687805</v>
      </c>
      <c r="D65" s="38">
        <f t="shared" si="8"/>
        <v>1.2375543055687805</v>
      </c>
      <c r="E65" s="41">
        <f t="shared" si="6"/>
        <v>41.2035153809977</v>
      </c>
      <c r="F65" s="40">
        <f t="shared" si="9"/>
        <v>5.099158786432318E-2</v>
      </c>
    </row>
    <row r="66" spans="1:6" x14ac:dyDescent="0.25">
      <c r="A66" s="8">
        <v>2066</v>
      </c>
      <c r="B66" s="39">
        <f t="shared" si="7"/>
        <v>1</v>
      </c>
      <c r="C66" s="42">
        <v>1.2375543055687805</v>
      </c>
      <c r="D66" s="38">
        <f t="shared" si="8"/>
        <v>1.2375543055687805</v>
      </c>
      <c r="E66" s="41">
        <f t="shared" si="6"/>
        <v>40.404148332938028</v>
      </c>
      <c r="F66" s="40">
        <f t="shared" si="9"/>
        <v>5.0002327732267128E-2</v>
      </c>
    </row>
    <row r="67" spans="1:6" x14ac:dyDescent="0.25">
      <c r="A67" s="8">
        <v>2067</v>
      </c>
      <c r="B67" s="39">
        <f t="shared" si="7"/>
        <v>1</v>
      </c>
      <c r="C67" s="42">
        <v>1.2375543055687805</v>
      </c>
      <c r="D67" s="38">
        <f t="shared" si="8"/>
        <v>1.2375543055687805</v>
      </c>
      <c r="E67" s="41">
        <f t="shared" si="6"/>
        <v>39.604781284878356</v>
      </c>
      <c r="F67" s="40">
        <f t="shared" si="9"/>
        <v>4.9013067600211076E-2</v>
      </c>
    </row>
    <row r="68" spans="1:6" x14ac:dyDescent="0.25">
      <c r="A68" s="8">
        <v>2068</v>
      </c>
      <c r="B68" s="39">
        <f t="shared" si="7"/>
        <v>1</v>
      </c>
      <c r="C68" s="42">
        <v>1.2375543055687805</v>
      </c>
      <c r="D68" s="38">
        <f t="shared" si="8"/>
        <v>1.2375543055687805</v>
      </c>
      <c r="E68" s="41">
        <f t="shared" si="6"/>
        <v>38.805414236818685</v>
      </c>
      <c r="F68" s="40">
        <f t="shared" si="9"/>
        <v>4.8023807468155023E-2</v>
      </c>
    </row>
    <row r="69" spans="1:6" x14ac:dyDescent="0.25">
      <c r="A69" s="8">
        <v>2069</v>
      </c>
      <c r="B69" s="39">
        <f t="shared" si="7"/>
        <v>1</v>
      </c>
      <c r="C69" s="42">
        <v>1.2375543055687805</v>
      </c>
      <c r="D69" s="38">
        <f t="shared" si="8"/>
        <v>1.2375543055687805</v>
      </c>
      <c r="E69" s="41">
        <f t="shared" si="6"/>
        <v>38.006047188759013</v>
      </c>
      <c r="F69" s="40">
        <f t="shared" si="9"/>
        <v>4.7034547336098964E-2</v>
      </c>
    </row>
    <row r="70" spans="1:6" x14ac:dyDescent="0.25">
      <c r="A70" s="8">
        <v>2070</v>
      </c>
      <c r="B70" s="39">
        <f t="shared" si="7"/>
        <v>1</v>
      </c>
      <c r="C70" s="42">
        <v>1.2375543055687805</v>
      </c>
      <c r="D70" s="38">
        <f t="shared" si="8"/>
        <v>1.2375543055687805</v>
      </c>
      <c r="E70" s="41">
        <f t="shared" si="6"/>
        <v>37.206680140699341</v>
      </c>
      <c r="F70" s="40">
        <f t="shared" si="9"/>
        <v>4.6045287204042905E-2</v>
      </c>
    </row>
    <row r="71" spans="1:6" x14ac:dyDescent="0.25">
      <c r="A71" s="8">
        <v>2071</v>
      </c>
      <c r="B71" s="39">
        <f t="shared" si="7"/>
        <v>1</v>
      </c>
      <c r="C71" s="42">
        <v>1.2375543055687805</v>
      </c>
      <c r="D71" s="38">
        <f t="shared" si="8"/>
        <v>1.2375543055687805</v>
      </c>
      <c r="E71" s="41">
        <f t="shared" si="6"/>
        <v>36.407313092639669</v>
      </c>
      <c r="F71" s="40">
        <f t="shared" si="9"/>
        <v>4.5056027071986852E-2</v>
      </c>
    </row>
    <row r="72" spans="1:6" x14ac:dyDescent="0.25">
      <c r="A72" s="8">
        <v>2072</v>
      </c>
      <c r="B72" s="39">
        <f t="shared" si="7"/>
        <v>1</v>
      </c>
      <c r="C72" s="42">
        <v>1.2375543055687801</v>
      </c>
      <c r="D72" s="38">
        <f t="shared" si="8"/>
        <v>1.2375543055687801</v>
      </c>
      <c r="E72" s="41">
        <f t="shared" si="6"/>
        <v>35.607946044579997</v>
      </c>
      <c r="F72" s="40">
        <f t="shared" si="9"/>
        <v>4.4066766939930786E-2</v>
      </c>
    </row>
    <row r="73" spans="1:6" x14ac:dyDescent="0.25">
      <c r="A73" s="8">
        <v>2073</v>
      </c>
      <c r="B73" s="39"/>
      <c r="C73" s="39"/>
      <c r="D73" s="38">
        <f t="shared" si="8"/>
        <v>0</v>
      </c>
      <c r="E73" s="39"/>
      <c r="F73" s="38"/>
    </row>
    <row r="74" spans="1:6" x14ac:dyDescent="0.25">
      <c r="A74" s="8">
        <v>2074</v>
      </c>
      <c r="B74" s="39"/>
      <c r="C74" s="39"/>
      <c r="D74" s="38">
        <f t="shared" si="8"/>
        <v>0</v>
      </c>
      <c r="E74" s="39"/>
      <c r="F74" s="38"/>
    </row>
    <row r="75" spans="1:6" x14ac:dyDescent="0.25">
      <c r="A75" s="8">
        <v>2075</v>
      </c>
      <c r="B75" s="39"/>
      <c r="C75" s="39"/>
      <c r="D75" s="38">
        <f t="shared" si="8"/>
        <v>0</v>
      </c>
      <c r="E75" s="39"/>
      <c r="F75" s="38"/>
    </row>
    <row r="76" spans="1:6" x14ac:dyDescent="0.25">
      <c r="A76" s="8">
        <v>2076</v>
      </c>
      <c r="B76" s="39"/>
      <c r="C76" s="39"/>
      <c r="D76" s="38">
        <f t="shared" si="8"/>
        <v>0</v>
      </c>
      <c r="E76" s="39"/>
      <c r="F76" s="38"/>
    </row>
    <row r="77" spans="1:6" x14ac:dyDescent="0.25">
      <c r="A77" s="8">
        <v>2077</v>
      </c>
      <c r="B77" s="39"/>
      <c r="C77" s="39"/>
      <c r="D77" s="38">
        <f t="shared" si="8"/>
        <v>0</v>
      </c>
      <c r="E77" s="39"/>
      <c r="F77" s="38"/>
    </row>
    <row r="78" spans="1:6" x14ac:dyDescent="0.25">
      <c r="A78" s="8">
        <v>2078</v>
      </c>
      <c r="B78" s="39"/>
      <c r="C78" s="39"/>
      <c r="D78" s="38">
        <f t="shared" si="8"/>
        <v>0</v>
      </c>
      <c r="E78" s="39"/>
      <c r="F78" s="38"/>
    </row>
    <row r="79" spans="1:6" x14ac:dyDescent="0.25">
      <c r="A79" s="8">
        <v>2079</v>
      </c>
      <c r="B79" s="39"/>
      <c r="C79" s="39"/>
      <c r="D79" s="38">
        <f t="shared" si="8"/>
        <v>0</v>
      </c>
      <c r="E79" s="39"/>
      <c r="F79" s="38"/>
    </row>
    <row r="80" spans="1:6" x14ac:dyDescent="0.25">
      <c r="A80" s="8">
        <v>2080</v>
      </c>
      <c r="B80" s="39"/>
      <c r="C80" s="39"/>
      <c r="D80" s="38">
        <f t="shared" si="8"/>
        <v>0</v>
      </c>
      <c r="E80" s="39"/>
      <c r="F80" s="38"/>
    </row>
    <row r="81" spans="1:12" x14ac:dyDescent="0.25">
      <c r="A81" s="37" t="s">
        <v>627</v>
      </c>
      <c r="B81" s="36">
        <f>SUM(B22:B71)</f>
        <v>50</v>
      </c>
      <c r="C81" s="36"/>
      <c r="D81" s="36">
        <f>SUM(D22:D71)</f>
        <v>66.463093356740302</v>
      </c>
      <c r="E81" s="36"/>
      <c r="F81" s="36">
        <f>SUM(F22:F71)</f>
        <v>5.9872463535433766</v>
      </c>
    </row>
    <row r="86" spans="1:12" x14ac:dyDescent="0.25">
      <c r="A86" s="8" t="s">
        <v>626</v>
      </c>
    </row>
    <row r="87" spans="1:12" x14ac:dyDescent="0.25">
      <c r="A87" s="35" t="s">
        <v>56</v>
      </c>
      <c r="B87" s="35" t="s">
        <v>42</v>
      </c>
      <c r="C87" s="35" t="s">
        <v>43</v>
      </c>
      <c r="D87" s="35" t="s">
        <v>44</v>
      </c>
      <c r="E87" s="35" t="s">
        <v>45</v>
      </c>
      <c r="F87" s="35" t="s">
        <v>46</v>
      </c>
      <c r="G87" s="35" t="s">
        <v>47</v>
      </c>
      <c r="H87" s="35" t="s">
        <v>48</v>
      </c>
      <c r="I87" s="35" t="s">
        <v>49</v>
      </c>
      <c r="J87" s="35" t="s">
        <v>50</v>
      </c>
      <c r="K87" s="34" t="s">
        <v>51</v>
      </c>
      <c r="L87" s="8" t="s">
        <v>625</v>
      </c>
    </row>
    <row r="88" spans="1:12" x14ac:dyDescent="0.25">
      <c r="A88" s="8">
        <v>2022</v>
      </c>
      <c r="B88" s="33">
        <f>$B$5*$C$5*$E$5/1000</f>
        <v>0</v>
      </c>
      <c r="C88" s="33">
        <f t="shared" ref="C88:C119" si="10">$D$6*$E$6*$F$6/50000</f>
        <v>0</v>
      </c>
      <c r="D88" s="33">
        <f t="shared" ref="D88:D119" si="11">$D$7*$E$7*$F$7/50000</f>
        <v>0</v>
      </c>
      <c r="E88" s="33">
        <f t="shared" ref="E88:E119" si="12">$D$8*$E$8*$F$8/50000</f>
        <v>0</v>
      </c>
      <c r="F88" s="33">
        <f t="shared" ref="F88:F119" si="13">$D$9*$E$9*$F$9/50000</f>
        <v>0</v>
      </c>
      <c r="G88" s="33">
        <f t="shared" ref="G88:G119" si="14">$D$10*$E$10*$F$10/50000</f>
        <v>0</v>
      </c>
      <c r="H88" s="33">
        <f t="shared" ref="H88:H119" si="15">$D$11*$E$11*$F$11/50000</f>
        <v>0</v>
      </c>
      <c r="I88" s="33">
        <f t="shared" ref="I88:I119" si="16">$D$12*$E$12*$F$12/50000</f>
        <v>0</v>
      </c>
      <c r="J88" s="33">
        <f t="shared" ref="J88:J119" si="17">$D$13*$E$13*$F$13/50000</f>
        <v>0</v>
      </c>
      <c r="K88" s="33">
        <f t="shared" ref="K88:K119" si="18">$D$14*$E$14*$F$14/50000</f>
        <v>0</v>
      </c>
      <c r="L88" s="33">
        <f t="shared" ref="L88:L119" si="19">$D$15*$E$15*$F$15/50000</f>
        <v>0</v>
      </c>
    </row>
    <row r="89" spans="1:12" x14ac:dyDescent="0.25">
      <c r="A89" s="8">
        <v>2023</v>
      </c>
      <c r="B89" s="33">
        <f t="shared" ref="B89:B120" si="20">$D$5*$E$5*$F$5/50000</f>
        <v>0</v>
      </c>
      <c r="C89" s="33">
        <f t="shared" si="10"/>
        <v>0</v>
      </c>
      <c r="D89" s="33">
        <f t="shared" si="11"/>
        <v>0</v>
      </c>
      <c r="E89" s="33">
        <f t="shared" si="12"/>
        <v>0</v>
      </c>
      <c r="F89" s="33">
        <f t="shared" si="13"/>
        <v>0</v>
      </c>
      <c r="G89" s="33">
        <f t="shared" si="14"/>
        <v>0</v>
      </c>
      <c r="H89" s="33">
        <f t="shared" si="15"/>
        <v>0</v>
      </c>
      <c r="I89" s="33">
        <f t="shared" si="16"/>
        <v>0</v>
      </c>
      <c r="J89" s="33">
        <f t="shared" si="17"/>
        <v>0</v>
      </c>
      <c r="K89" s="33">
        <f t="shared" si="18"/>
        <v>0</v>
      </c>
      <c r="L89" s="33">
        <f t="shared" si="19"/>
        <v>0</v>
      </c>
    </row>
    <row r="90" spans="1:12" x14ac:dyDescent="0.25">
      <c r="A90" s="8">
        <v>2024</v>
      </c>
      <c r="B90" s="33">
        <f t="shared" si="20"/>
        <v>0</v>
      </c>
      <c r="C90" s="33">
        <f t="shared" si="10"/>
        <v>0</v>
      </c>
      <c r="D90" s="33">
        <f t="shared" si="11"/>
        <v>0</v>
      </c>
      <c r="E90" s="33">
        <f t="shared" si="12"/>
        <v>0</v>
      </c>
      <c r="F90" s="33">
        <f t="shared" si="13"/>
        <v>0</v>
      </c>
      <c r="G90" s="33">
        <f t="shared" si="14"/>
        <v>0</v>
      </c>
      <c r="H90" s="33">
        <f t="shared" si="15"/>
        <v>0</v>
      </c>
      <c r="I90" s="33">
        <f t="shared" si="16"/>
        <v>0</v>
      </c>
      <c r="J90" s="33">
        <f t="shared" si="17"/>
        <v>0</v>
      </c>
      <c r="K90" s="33">
        <f t="shared" si="18"/>
        <v>0</v>
      </c>
      <c r="L90" s="33">
        <f t="shared" si="19"/>
        <v>0</v>
      </c>
    </row>
    <row r="91" spans="1:12" x14ac:dyDescent="0.25">
      <c r="A91" s="8">
        <v>2025</v>
      </c>
      <c r="B91" s="33">
        <f t="shared" si="20"/>
        <v>0</v>
      </c>
      <c r="C91" s="33">
        <f t="shared" si="10"/>
        <v>0</v>
      </c>
      <c r="D91" s="33">
        <f t="shared" si="11"/>
        <v>0</v>
      </c>
      <c r="E91" s="33">
        <f t="shared" si="12"/>
        <v>0</v>
      </c>
      <c r="F91" s="33">
        <f t="shared" si="13"/>
        <v>0</v>
      </c>
      <c r="G91" s="33">
        <f t="shared" si="14"/>
        <v>0</v>
      </c>
      <c r="H91" s="33">
        <f t="shared" si="15"/>
        <v>0</v>
      </c>
      <c r="I91" s="33">
        <f t="shared" si="16"/>
        <v>0</v>
      </c>
      <c r="J91" s="33">
        <f t="shared" si="17"/>
        <v>0</v>
      </c>
      <c r="K91" s="33">
        <f t="shared" si="18"/>
        <v>0</v>
      </c>
      <c r="L91" s="33">
        <f t="shared" si="19"/>
        <v>0</v>
      </c>
    </row>
    <row r="92" spans="1:12" x14ac:dyDescent="0.25">
      <c r="A92" s="8">
        <v>2026</v>
      </c>
      <c r="B92" s="33">
        <f t="shared" si="20"/>
        <v>0</v>
      </c>
      <c r="C92" s="33">
        <f t="shared" si="10"/>
        <v>0</v>
      </c>
      <c r="D92" s="33">
        <f t="shared" si="11"/>
        <v>0</v>
      </c>
      <c r="E92" s="33">
        <f t="shared" si="12"/>
        <v>0</v>
      </c>
      <c r="F92" s="33">
        <f t="shared" si="13"/>
        <v>0</v>
      </c>
      <c r="G92" s="33">
        <f t="shared" si="14"/>
        <v>0</v>
      </c>
      <c r="H92" s="33">
        <f t="shared" si="15"/>
        <v>0</v>
      </c>
      <c r="I92" s="33">
        <f t="shared" si="16"/>
        <v>0</v>
      </c>
      <c r="J92" s="33">
        <f t="shared" si="17"/>
        <v>0</v>
      </c>
      <c r="K92" s="33">
        <f t="shared" si="18"/>
        <v>0</v>
      </c>
      <c r="L92" s="33">
        <f t="shared" si="19"/>
        <v>0</v>
      </c>
    </row>
    <row r="93" spans="1:12" x14ac:dyDescent="0.25">
      <c r="A93" s="8">
        <v>2027</v>
      </c>
      <c r="B93" s="33">
        <f t="shared" si="20"/>
        <v>0</v>
      </c>
      <c r="C93" s="33">
        <f t="shared" si="10"/>
        <v>0</v>
      </c>
      <c r="D93" s="33">
        <f t="shared" si="11"/>
        <v>0</v>
      </c>
      <c r="E93" s="33">
        <f t="shared" si="12"/>
        <v>0</v>
      </c>
      <c r="F93" s="33">
        <f t="shared" si="13"/>
        <v>0</v>
      </c>
      <c r="G93" s="33">
        <f t="shared" si="14"/>
        <v>0</v>
      </c>
      <c r="H93" s="33">
        <f t="shared" si="15"/>
        <v>0</v>
      </c>
      <c r="I93" s="33">
        <f t="shared" si="16"/>
        <v>0</v>
      </c>
      <c r="J93" s="33">
        <f t="shared" si="17"/>
        <v>0</v>
      </c>
      <c r="K93" s="33">
        <f t="shared" si="18"/>
        <v>0</v>
      </c>
      <c r="L93" s="33">
        <f t="shared" si="19"/>
        <v>0</v>
      </c>
    </row>
    <row r="94" spans="1:12" x14ac:dyDescent="0.25">
      <c r="A94" s="8">
        <v>2028</v>
      </c>
      <c r="B94" s="33">
        <f t="shared" si="20"/>
        <v>0</v>
      </c>
      <c r="C94" s="33">
        <f t="shared" si="10"/>
        <v>0</v>
      </c>
      <c r="D94" s="33">
        <f t="shared" si="11"/>
        <v>0</v>
      </c>
      <c r="E94" s="33">
        <f t="shared" si="12"/>
        <v>0</v>
      </c>
      <c r="F94" s="33">
        <f t="shared" si="13"/>
        <v>0</v>
      </c>
      <c r="G94" s="33">
        <f t="shared" si="14"/>
        <v>0</v>
      </c>
      <c r="H94" s="33">
        <f t="shared" si="15"/>
        <v>0</v>
      </c>
      <c r="I94" s="33">
        <f t="shared" si="16"/>
        <v>0</v>
      </c>
      <c r="J94" s="33">
        <f t="shared" si="17"/>
        <v>0</v>
      </c>
      <c r="K94" s="33">
        <f t="shared" si="18"/>
        <v>0</v>
      </c>
      <c r="L94" s="33">
        <f t="shared" si="19"/>
        <v>0</v>
      </c>
    </row>
    <row r="95" spans="1:12" x14ac:dyDescent="0.25">
      <c r="A95" s="8">
        <v>2029</v>
      </c>
      <c r="B95" s="33">
        <f t="shared" si="20"/>
        <v>0</v>
      </c>
      <c r="C95" s="33">
        <f t="shared" si="10"/>
        <v>0</v>
      </c>
      <c r="D95" s="33">
        <f t="shared" si="11"/>
        <v>0</v>
      </c>
      <c r="E95" s="33">
        <f t="shared" si="12"/>
        <v>0</v>
      </c>
      <c r="F95" s="33">
        <f t="shared" si="13"/>
        <v>0</v>
      </c>
      <c r="G95" s="33">
        <f t="shared" si="14"/>
        <v>0</v>
      </c>
      <c r="H95" s="33">
        <f t="shared" si="15"/>
        <v>0</v>
      </c>
      <c r="I95" s="33">
        <f t="shared" si="16"/>
        <v>0</v>
      </c>
      <c r="J95" s="33">
        <f t="shared" si="17"/>
        <v>0</v>
      </c>
      <c r="K95" s="33">
        <f t="shared" si="18"/>
        <v>0</v>
      </c>
      <c r="L95" s="33">
        <f t="shared" si="19"/>
        <v>0</v>
      </c>
    </row>
    <row r="96" spans="1:12" x14ac:dyDescent="0.25">
      <c r="A96" s="8">
        <v>2030</v>
      </c>
      <c r="B96" s="33">
        <f t="shared" si="20"/>
        <v>0</v>
      </c>
      <c r="C96" s="33">
        <f t="shared" si="10"/>
        <v>0</v>
      </c>
      <c r="D96" s="33">
        <f t="shared" si="11"/>
        <v>0</v>
      </c>
      <c r="E96" s="33">
        <f t="shared" si="12"/>
        <v>0</v>
      </c>
      <c r="F96" s="33">
        <f t="shared" si="13"/>
        <v>0</v>
      </c>
      <c r="G96" s="33">
        <f t="shared" si="14"/>
        <v>0</v>
      </c>
      <c r="H96" s="33">
        <f t="shared" si="15"/>
        <v>0</v>
      </c>
      <c r="I96" s="33">
        <f t="shared" si="16"/>
        <v>0</v>
      </c>
      <c r="J96" s="33">
        <f t="shared" si="17"/>
        <v>0</v>
      </c>
      <c r="K96" s="33">
        <f t="shared" si="18"/>
        <v>0</v>
      </c>
      <c r="L96" s="33">
        <f t="shared" si="19"/>
        <v>0</v>
      </c>
    </row>
    <row r="97" spans="1:12" x14ac:dyDescent="0.25">
      <c r="A97" s="8">
        <v>2031</v>
      </c>
      <c r="B97" s="33">
        <f t="shared" si="20"/>
        <v>0</v>
      </c>
      <c r="C97" s="33">
        <f t="shared" si="10"/>
        <v>0</v>
      </c>
      <c r="D97" s="33">
        <f t="shared" si="11"/>
        <v>0</v>
      </c>
      <c r="E97" s="33">
        <f t="shared" si="12"/>
        <v>0</v>
      </c>
      <c r="F97" s="33">
        <f t="shared" si="13"/>
        <v>0</v>
      </c>
      <c r="G97" s="33">
        <f t="shared" si="14"/>
        <v>0</v>
      </c>
      <c r="H97" s="33">
        <f t="shared" si="15"/>
        <v>0</v>
      </c>
      <c r="I97" s="33">
        <f t="shared" si="16"/>
        <v>0</v>
      </c>
      <c r="J97" s="33">
        <f t="shared" si="17"/>
        <v>0</v>
      </c>
      <c r="K97" s="33">
        <f t="shared" si="18"/>
        <v>0</v>
      </c>
      <c r="L97" s="33">
        <f t="shared" si="19"/>
        <v>0</v>
      </c>
    </row>
    <row r="98" spans="1:12" x14ac:dyDescent="0.25">
      <c r="A98" s="8">
        <v>2032</v>
      </c>
      <c r="B98" s="33">
        <f t="shared" si="20"/>
        <v>0</v>
      </c>
      <c r="C98" s="33">
        <f t="shared" si="10"/>
        <v>0</v>
      </c>
      <c r="D98" s="33">
        <f t="shared" si="11"/>
        <v>0</v>
      </c>
      <c r="E98" s="33">
        <f t="shared" si="12"/>
        <v>0</v>
      </c>
      <c r="F98" s="33">
        <f t="shared" si="13"/>
        <v>0</v>
      </c>
      <c r="G98" s="33">
        <f t="shared" si="14"/>
        <v>0</v>
      </c>
      <c r="H98" s="33">
        <f t="shared" si="15"/>
        <v>0</v>
      </c>
      <c r="I98" s="33">
        <f t="shared" si="16"/>
        <v>0</v>
      </c>
      <c r="J98" s="33">
        <f t="shared" si="17"/>
        <v>0</v>
      </c>
      <c r="K98" s="33">
        <f t="shared" si="18"/>
        <v>0</v>
      </c>
      <c r="L98" s="33">
        <f t="shared" si="19"/>
        <v>0</v>
      </c>
    </row>
    <row r="99" spans="1:12" x14ac:dyDescent="0.25">
      <c r="A99" s="8">
        <v>2033</v>
      </c>
      <c r="B99" s="33">
        <f t="shared" si="20"/>
        <v>0</v>
      </c>
      <c r="C99" s="33">
        <f t="shared" si="10"/>
        <v>0</v>
      </c>
      <c r="D99" s="33">
        <f t="shared" si="11"/>
        <v>0</v>
      </c>
      <c r="E99" s="33">
        <f t="shared" si="12"/>
        <v>0</v>
      </c>
      <c r="F99" s="33">
        <f t="shared" si="13"/>
        <v>0</v>
      </c>
      <c r="G99" s="33">
        <f t="shared" si="14"/>
        <v>0</v>
      </c>
      <c r="H99" s="33">
        <f t="shared" si="15"/>
        <v>0</v>
      </c>
      <c r="I99" s="33">
        <f t="shared" si="16"/>
        <v>0</v>
      </c>
      <c r="J99" s="33">
        <f t="shared" si="17"/>
        <v>0</v>
      </c>
      <c r="K99" s="33">
        <f t="shared" si="18"/>
        <v>0</v>
      </c>
      <c r="L99" s="33">
        <f t="shared" si="19"/>
        <v>0</v>
      </c>
    </row>
    <row r="100" spans="1:12" x14ac:dyDescent="0.25">
      <c r="A100" s="8">
        <v>2034</v>
      </c>
      <c r="B100" s="33">
        <f t="shared" si="20"/>
        <v>0</v>
      </c>
      <c r="C100" s="33">
        <f t="shared" si="10"/>
        <v>0</v>
      </c>
      <c r="D100" s="33">
        <f t="shared" si="11"/>
        <v>0</v>
      </c>
      <c r="E100" s="33">
        <f t="shared" si="12"/>
        <v>0</v>
      </c>
      <c r="F100" s="33">
        <f t="shared" si="13"/>
        <v>0</v>
      </c>
      <c r="G100" s="33">
        <f t="shared" si="14"/>
        <v>0</v>
      </c>
      <c r="H100" s="33">
        <f t="shared" si="15"/>
        <v>0</v>
      </c>
      <c r="I100" s="33">
        <f t="shared" si="16"/>
        <v>0</v>
      </c>
      <c r="J100" s="33">
        <f t="shared" si="17"/>
        <v>0</v>
      </c>
      <c r="K100" s="33">
        <f t="shared" si="18"/>
        <v>0</v>
      </c>
      <c r="L100" s="33">
        <f t="shared" si="19"/>
        <v>0</v>
      </c>
    </row>
    <row r="101" spans="1:12" x14ac:dyDescent="0.25">
      <c r="A101" s="8">
        <v>2035</v>
      </c>
      <c r="B101" s="33">
        <f t="shared" si="20"/>
        <v>0</v>
      </c>
      <c r="C101" s="33">
        <f t="shared" si="10"/>
        <v>0</v>
      </c>
      <c r="D101" s="33">
        <f t="shared" si="11"/>
        <v>0</v>
      </c>
      <c r="E101" s="33">
        <f t="shared" si="12"/>
        <v>0</v>
      </c>
      <c r="F101" s="33">
        <f t="shared" si="13"/>
        <v>0</v>
      </c>
      <c r="G101" s="33">
        <f t="shared" si="14"/>
        <v>0</v>
      </c>
      <c r="H101" s="33">
        <f t="shared" si="15"/>
        <v>0</v>
      </c>
      <c r="I101" s="33">
        <f t="shared" si="16"/>
        <v>0</v>
      </c>
      <c r="J101" s="33">
        <f t="shared" si="17"/>
        <v>0</v>
      </c>
      <c r="K101" s="33">
        <f t="shared" si="18"/>
        <v>0</v>
      </c>
      <c r="L101" s="33">
        <f t="shared" si="19"/>
        <v>0</v>
      </c>
    </row>
    <row r="102" spans="1:12" x14ac:dyDescent="0.25">
      <c r="A102" s="8">
        <v>2036</v>
      </c>
      <c r="B102" s="33">
        <f t="shared" si="20"/>
        <v>0</v>
      </c>
      <c r="C102" s="33">
        <f t="shared" si="10"/>
        <v>0</v>
      </c>
      <c r="D102" s="33">
        <f t="shared" si="11"/>
        <v>0</v>
      </c>
      <c r="E102" s="33">
        <f t="shared" si="12"/>
        <v>0</v>
      </c>
      <c r="F102" s="33">
        <f t="shared" si="13"/>
        <v>0</v>
      </c>
      <c r="G102" s="33">
        <f t="shared" si="14"/>
        <v>0</v>
      </c>
      <c r="H102" s="33">
        <f t="shared" si="15"/>
        <v>0</v>
      </c>
      <c r="I102" s="33">
        <f t="shared" si="16"/>
        <v>0</v>
      </c>
      <c r="J102" s="33">
        <f t="shared" si="17"/>
        <v>0</v>
      </c>
      <c r="K102" s="33">
        <f t="shared" si="18"/>
        <v>0</v>
      </c>
      <c r="L102" s="33">
        <f t="shared" si="19"/>
        <v>0</v>
      </c>
    </row>
    <row r="103" spans="1:12" x14ac:dyDescent="0.25">
      <c r="A103" s="8">
        <v>2037</v>
      </c>
      <c r="B103" s="33">
        <f t="shared" si="20"/>
        <v>0</v>
      </c>
      <c r="C103" s="33">
        <f t="shared" si="10"/>
        <v>0</v>
      </c>
      <c r="D103" s="33">
        <f t="shared" si="11"/>
        <v>0</v>
      </c>
      <c r="E103" s="33">
        <f t="shared" si="12"/>
        <v>0</v>
      </c>
      <c r="F103" s="33">
        <f t="shared" si="13"/>
        <v>0</v>
      </c>
      <c r="G103" s="33">
        <f t="shared" si="14"/>
        <v>0</v>
      </c>
      <c r="H103" s="33">
        <f t="shared" si="15"/>
        <v>0</v>
      </c>
      <c r="I103" s="33">
        <f t="shared" si="16"/>
        <v>0</v>
      </c>
      <c r="J103" s="33">
        <f t="shared" si="17"/>
        <v>0</v>
      </c>
      <c r="K103" s="33">
        <f t="shared" si="18"/>
        <v>0</v>
      </c>
      <c r="L103" s="33">
        <f t="shared" si="19"/>
        <v>0</v>
      </c>
    </row>
    <row r="104" spans="1:12" x14ac:dyDescent="0.25">
      <c r="A104" s="8">
        <v>2038</v>
      </c>
      <c r="B104" s="33">
        <f t="shared" si="20"/>
        <v>0</v>
      </c>
      <c r="C104" s="33">
        <f t="shared" si="10"/>
        <v>0</v>
      </c>
      <c r="D104" s="33">
        <f t="shared" si="11"/>
        <v>0</v>
      </c>
      <c r="E104" s="33">
        <f t="shared" si="12"/>
        <v>0</v>
      </c>
      <c r="F104" s="33">
        <f t="shared" si="13"/>
        <v>0</v>
      </c>
      <c r="G104" s="33">
        <f t="shared" si="14"/>
        <v>0</v>
      </c>
      <c r="H104" s="33">
        <f t="shared" si="15"/>
        <v>0</v>
      </c>
      <c r="I104" s="33">
        <f t="shared" si="16"/>
        <v>0</v>
      </c>
      <c r="J104" s="33">
        <f t="shared" si="17"/>
        <v>0</v>
      </c>
      <c r="K104" s="33">
        <f t="shared" si="18"/>
        <v>0</v>
      </c>
      <c r="L104" s="33">
        <f t="shared" si="19"/>
        <v>0</v>
      </c>
    </row>
    <row r="105" spans="1:12" x14ac:dyDescent="0.25">
      <c r="A105" s="8">
        <v>2039</v>
      </c>
      <c r="B105" s="33">
        <f t="shared" si="20"/>
        <v>0</v>
      </c>
      <c r="C105" s="33">
        <f t="shared" si="10"/>
        <v>0</v>
      </c>
      <c r="D105" s="33">
        <f t="shared" si="11"/>
        <v>0</v>
      </c>
      <c r="E105" s="33">
        <f t="shared" si="12"/>
        <v>0</v>
      </c>
      <c r="F105" s="33">
        <f t="shared" si="13"/>
        <v>0</v>
      </c>
      <c r="G105" s="33">
        <f t="shared" si="14"/>
        <v>0</v>
      </c>
      <c r="H105" s="33">
        <f t="shared" si="15"/>
        <v>0</v>
      </c>
      <c r="I105" s="33">
        <f t="shared" si="16"/>
        <v>0</v>
      </c>
      <c r="J105" s="33">
        <f t="shared" si="17"/>
        <v>0</v>
      </c>
      <c r="K105" s="33">
        <f t="shared" si="18"/>
        <v>0</v>
      </c>
      <c r="L105" s="33">
        <f t="shared" si="19"/>
        <v>0</v>
      </c>
    </row>
    <row r="106" spans="1:12" x14ac:dyDescent="0.25">
      <c r="A106" s="8">
        <v>2040</v>
      </c>
      <c r="B106" s="33">
        <f t="shared" si="20"/>
        <v>0</v>
      </c>
      <c r="C106" s="33">
        <f t="shared" si="10"/>
        <v>0</v>
      </c>
      <c r="D106" s="33">
        <f t="shared" si="11"/>
        <v>0</v>
      </c>
      <c r="E106" s="33">
        <f t="shared" si="12"/>
        <v>0</v>
      </c>
      <c r="F106" s="33">
        <f t="shared" si="13"/>
        <v>0</v>
      </c>
      <c r="G106" s="33">
        <f t="shared" si="14"/>
        <v>0</v>
      </c>
      <c r="H106" s="33">
        <f t="shared" si="15"/>
        <v>0</v>
      </c>
      <c r="I106" s="33">
        <f t="shared" si="16"/>
        <v>0</v>
      </c>
      <c r="J106" s="33">
        <f t="shared" si="17"/>
        <v>0</v>
      </c>
      <c r="K106" s="33">
        <f t="shared" si="18"/>
        <v>0</v>
      </c>
      <c r="L106" s="33">
        <f t="shared" si="19"/>
        <v>0</v>
      </c>
    </row>
    <row r="107" spans="1:12" x14ac:dyDescent="0.25">
      <c r="A107" s="8">
        <v>2041</v>
      </c>
      <c r="B107" s="33">
        <f t="shared" si="20"/>
        <v>0</v>
      </c>
      <c r="C107" s="33">
        <f t="shared" si="10"/>
        <v>0</v>
      </c>
      <c r="D107" s="33">
        <f t="shared" si="11"/>
        <v>0</v>
      </c>
      <c r="E107" s="33">
        <f t="shared" si="12"/>
        <v>0</v>
      </c>
      <c r="F107" s="33">
        <f t="shared" si="13"/>
        <v>0</v>
      </c>
      <c r="G107" s="33">
        <f t="shared" si="14"/>
        <v>0</v>
      </c>
      <c r="H107" s="33">
        <f t="shared" si="15"/>
        <v>0</v>
      </c>
      <c r="I107" s="33">
        <f t="shared" si="16"/>
        <v>0</v>
      </c>
      <c r="J107" s="33">
        <f t="shared" si="17"/>
        <v>0</v>
      </c>
      <c r="K107" s="33">
        <f t="shared" si="18"/>
        <v>0</v>
      </c>
      <c r="L107" s="33">
        <f t="shared" si="19"/>
        <v>0</v>
      </c>
    </row>
    <row r="108" spans="1:12" x14ac:dyDescent="0.25">
      <c r="A108" s="8">
        <v>2042</v>
      </c>
      <c r="B108" s="33">
        <f t="shared" si="20"/>
        <v>0</v>
      </c>
      <c r="C108" s="33">
        <f t="shared" si="10"/>
        <v>0</v>
      </c>
      <c r="D108" s="33">
        <f t="shared" si="11"/>
        <v>0</v>
      </c>
      <c r="E108" s="33">
        <f t="shared" si="12"/>
        <v>0</v>
      </c>
      <c r="F108" s="33">
        <f t="shared" si="13"/>
        <v>0</v>
      </c>
      <c r="G108" s="33">
        <f t="shared" si="14"/>
        <v>0</v>
      </c>
      <c r="H108" s="33">
        <f t="shared" si="15"/>
        <v>0</v>
      </c>
      <c r="I108" s="33">
        <f t="shared" si="16"/>
        <v>0</v>
      </c>
      <c r="J108" s="33">
        <f t="shared" si="17"/>
        <v>0</v>
      </c>
      <c r="K108" s="33">
        <f t="shared" si="18"/>
        <v>0</v>
      </c>
      <c r="L108" s="33">
        <f t="shared" si="19"/>
        <v>0</v>
      </c>
    </row>
    <row r="109" spans="1:12" x14ac:dyDescent="0.25">
      <c r="A109" s="8">
        <v>2043</v>
      </c>
      <c r="B109" s="33">
        <f t="shared" si="20"/>
        <v>0</v>
      </c>
      <c r="C109" s="33">
        <f t="shared" si="10"/>
        <v>0</v>
      </c>
      <c r="D109" s="33">
        <f t="shared" si="11"/>
        <v>0</v>
      </c>
      <c r="E109" s="33">
        <f t="shared" si="12"/>
        <v>0</v>
      </c>
      <c r="F109" s="33">
        <f t="shared" si="13"/>
        <v>0</v>
      </c>
      <c r="G109" s="33">
        <f t="shared" si="14"/>
        <v>0</v>
      </c>
      <c r="H109" s="33">
        <f t="shared" si="15"/>
        <v>0</v>
      </c>
      <c r="I109" s="33">
        <f t="shared" si="16"/>
        <v>0</v>
      </c>
      <c r="J109" s="33">
        <f t="shared" si="17"/>
        <v>0</v>
      </c>
      <c r="K109" s="33">
        <f t="shared" si="18"/>
        <v>0</v>
      </c>
      <c r="L109" s="33">
        <f t="shared" si="19"/>
        <v>0</v>
      </c>
    </row>
    <row r="110" spans="1:12" x14ac:dyDescent="0.25">
      <c r="A110" s="8">
        <v>2044</v>
      </c>
      <c r="B110" s="33">
        <f t="shared" si="20"/>
        <v>0</v>
      </c>
      <c r="C110" s="33">
        <f t="shared" si="10"/>
        <v>0</v>
      </c>
      <c r="D110" s="33">
        <f t="shared" si="11"/>
        <v>0</v>
      </c>
      <c r="E110" s="33">
        <f t="shared" si="12"/>
        <v>0</v>
      </c>
      <c r="F110" s="33">
        <f t="shared" si="13"/>
        <v>0</v>
      </c>
      <c r="G110" s="33">
        <f t="shared" si="14"/>
        <v>0</v>
      </c>
      <c r="H110" s="33">
        <f t="shared" si="15"/>
        <v>0</v>
      </c>
      <c r="I110" s="33">
        <f t="shared" si="16"/>
        <v>0</v>
      </c>
      <c r="J110" s="33">
        <f t="shared" si="17"/>
        <v>0</v>
      </c>
      <c r="K110" s="33">
        <f t="shared" si="18"/>
        <v>0</v>
      </c>
      <c r="L110" s="33">
        <f t="shared" si="19"/>
        <v>0</v>
      </c>
    </row>
    <row r="111" spans="1:12" x14ac:dyDescent="0.25">
      <c r="A111" s="8">
        <v>2045</v>
      </c>
      <c r="B111" s="33">
        <f t="shared" si="20"/>
        <v>0</v>
      </c>
      <c r="C111" s="33">
        <f t="shared" si="10"/>
        <v>0</v>
      </c>
      <c r="D111" s="33">
        <f t="shared" si="11"/>
        <v>0</v>
      </c>
      <c r="E111" s="33">
        <f t="shared" si="12"/>
        <v>0</v>
      </c>
      <c r="F111" s="33">
        <f t="shared" si="13"/>
        <v>0</v>
      </c>
      <c r="G111" s="33">
        <f t="shared" si="14"/>
        <v>0</v>
      </c>
      <c r="H111" s="33">
        <f t="shared" si="15"/>
        <v>0</v>
      </c>
      <c r="I111" s="33">
        <f t="shared" si="16"/>
        <v>0</v>
      </c>
      <c r="J111" s="33">
        <f t="shared" si="17"/>
        <v>0</v>
      </c>
      <c r="K111" s="33">
        <f t="shared" si="18"/>
        <v>0</v>
      </c>
      <c r="L111" s="33">
        <f t="shared" si="19"/>
        <v>0</v>
      </c>
    </row>
    <row r="112" spans="1:12" x14ac:dyDescent="0.25">
      <c r="A112" s="8">
        <v>2046</v>
      </c>
      <c r="B112" s="33">
        <f t="shared" si="20"/>
        <v>0</v>
      </c>
      <c r="C112" s="33">
        <f t="shared" si="10"/>
        <v>0</v>
      </c>
      <c r="D112" s="33">
        <f t="shared" si="11"/>
        <v>0</v>
      </c>
      <c r="E112" s="33">
        <f t="shared" si="12"/>
        <v>0</v>
      </c>
      <c r="F112" s="33">
        <f t="shared" si="13"/>
        <v>0</v>
      </c>
      <c r="G112" s="33">
        <f t="shared" si="14"/>
        <v>0</v>
      </c>
      <c r="H112" s="33">
        <f t="shared" si="15"/>
        <v>0</v>
      </c>
      <c r="I112" s="33">
        <f t="shared" si="16"/>
        <v>0</v>
      </c>
      <c r="J112" s="33">
        <f t="shared" si="17"/>
        <v>0</v>
      </c>
      <c r="K112" s="33">
        <f t="shared" si="18"/>
        <v>0</v>
      </c>
      <c r="L112" s="33">
        <f t="shared" si="19"/>
        <v>0</v>
      </c>
    </row>
    <row r="113" spans="1:12" x14ac:dyDescent="0.25">
      <c r="A113" s="8">
        <v>2047</v>
      </c>
      <c r="B113" s="33">
        <f t="shared" si="20"/>
        <v>0</v>
      </c>
      <c r="C113" s="33">
        <f t="shared" si="10"/>
        <v>0</v>
      </c>
      <c r="D113" s="33">
        <f t="shared" si="11"/>
        <v>0</v>
      </c>
      <c r="E113" s="33">
        <f t="shared" si="12"/>
        <v>0</v>
      </c>
      <c r="F113" s="33">
        <f t="shared" si="13"/>
        <v>0</v>
      </c>
      <c r="G113" s="33">
        <f t="shared" si="14"/>
        <v>0</v>
      </c>
      <c r="H113" s="33">
        <f t="shared" si="15"/>
        <v>0</v>
      </c>
      <c r="I113" s="33">
        <f t="shared" si="16"/>
        <v>0</v>
      </c>
      <c r="J113" s="33">
        <f t="shared" si="17"/>
        <v>0</v>
      </c>
      <c r="K113" s="33">
        <f t="shared" si="18"/>
        <v>0</v>
      </c>
      <c r="L113" s="33">
        <f t="shared" si="19"/>
        <v>0</v>
      </c>
    </row>
    <row r="114" spans="1:12" x14ac:dyDescent="0.25">
      <c r="A114" s="8">
        <v>2048</v>
      </c>
      <c r="B114" s="33">
        <f t="shared" si="20"/>
        <v>0</v>
      </c>
      <c r="C114" s="33">
        <f t="shared" si="10"/>
        <v>0</v>
      </c>
      <c r="D114" s="33">
        <f t="shared" si="11"/>
        <v>0</v>
      </c>
      <c r="E114" s="33">
        <f t="shared" si="12"/>
        <v>0</v>
      </c>
      <c r="F114" s="33">
        <f t="shared" si="13"/>
        <v>0</v>
      </c>
      <c r="G114" s="33">
        <f t="shared" si="14"/>
        <v>0</v>
      </c>
      <c r="H114" s="33">
        <f t="shared" si="15"/>
        <v>0</v>
      </c>
      <c r="I114" s="33">
        <f t="shared" si="16"/>
        <v>0</v>
      </c>
      <c r="J114" s="33">
        <f t="shared" si="17"/>
        <v>0</v>
      </c>
      <c r="K114" s="33">
        <f t="shared" si="18"/>
        <v>0</v>
      </c>
      <c r="L114" s="33">
        <f t="shared" si="19"/>
        <v>0</v>
      </c>
    </row>
    <row r="115" spans="1:12" x14ac:dyDescent="0.25">
      <c r="A115" s="8">
        <v>2049</v>
      </c>
      <c r="B115" s="33">
        <f t="shared" si="20"/>
        <v>0</v>
      </c>
      <c r="C115" s="33">
        <f t="shared" si="10"/>
        <v>0</v>
      </c>
      <c r="D115" s="33">
        <f t="shared" si="11"/>
        <v>0</v>
      </c>
      <c r="E115" s="33">
        <f t="shared" si="12"/>
        <v>0</v>
      </c>
      <c r="F115" s="33">
        <f t="shared" si="13"/>
        <v>0</v>
      </c>
      <c r="G115" s="33">
        <f t="shared" si="14"/>
        <v>0</v>
      </c>
      <c r="H115" s="33">
        <f t="shared" si="15"/>
        <v>0</v>
      </c>
      <c r="I115" s="33">
        <f t="shared" si="16"/>
        <v>0</v>
      </c>
      <c r="J115" s="33">
        <f t="shared" si="17"/>
        <v>0</v>
      </c>
      <c r="K115" s="33">
        <f t="shared" si="18"/>
        <v>0</v>
      </c>
      <c r="L115" s="33">
        <f t="shared" si="19"/>
        <v>0</v>
      </c>
    </row>
    <row r="116" spans="1:12" x14ac:dyDescent="0.25">
      <c r="A116" s="8">
        <v>2050</v>
      </c>
      <c r="B116" s="33">
        <f t="shared" si="20"/>
        <v>0</v>
      </c>
      <c r="C116" s="33">
        <f t="shared" si="10"/>
        <v>0</v>
      </c>
      <c r="D116" s="33">
        <f t="shared" si="11"/>
        <v>0</v>
      </c>
      <c r="E116" s="33">
        <f t="shared" si="12"/>
        <v>0</v>
      </c>
      <c r="F116" s="33">
        <f t="shared" si="13"/>
        <v>0</v>
      </c>
      <c r="G116" s="33">
        <f t="shared" si="14"/>
        <v>0</v>
      </c>
      <c r="H116" s="33">
        <f t="shared" si="15"/>
        <v>0</v>
      </c>
      <c r="I116" s="33">
        <f t="shared" si="16"/>
        <v>0</v>
      </c>
      <c r="J116" s="33">
        <f t="shared" si="17"/>
        <v>0</v>
      </c>
      <c r="K116" s="33">
        <f t="shared" si="18"/>
        <v>0</v>
      </c>
      <c r="L116" s="33">
        <f t="shared" si="19"/>
        <v>0</v>
      </c>
    </row>
    <row r="117" spans="1:12" x14ac:dyDescent="0.25">
      <c r="A117" s="8">
        <v>2051</v>
      </c>
      <c r="B117" s="33">
        <f t="shared" si="20"/>
        <v>0</v>
      </c>
      <c r="C117" s="33">
        <f t="shared" si="10"/>
        <v>0</v>
      </c>
      <c r="D117" s="33">
        <f t="shared" si="11"/>
        <v>0</v>
      </c>
      <c r="E117" s="33">
        <f t="shared" si="12"/>
        <v>0</v>
      </c>
      <c r="F117" s="33">
        <f t="shared" si="13"/>
        <v>0</v>
      </c>
      <c r="G117" s="33">
        <f t="shared" si="14"/>
        <v>0</v>
      </c>
      <c r="H117" s="33">
        <f t="shared" si="15"/>
        <v>0</v>
      </c>
      <c r="I117" s="33">
        <f t="shared" si="16"/>
        <v>0</v>
      </c>
      <c r="J117" s="33">
        <f t="shared" si="17"/>
        <v>0</v>
      </c>
      <c r="K117" s="33">
        <f t="shared" si="18"/>
        <v>0</v>
      </c>
      <c r="L117" s="33">
        <f t="shared" si="19"/>
        <v>0</v>
      </c>
    </row>
    <row r="118" spans="1:12" x14ac:dyDescent="0.25">
      <c r="A118" s="8">
        <v>2052</v>
      </c>
      <c r="B118" s="33">
        <f t="shared" si="20"/>
        <v>0</v>
      </c>
      <c r="C118" s="33">
        <f t="shared" si="10"/>
        <v>0</v>
      </c>
      <c r="D118" s="33">
        <f t="shared" si="11"/>
        <v>0</v>
      </c>
      <c r="E118" s="33">
        <f t="shared" si="12"/>
        <v>0</v>
      </c>
      <c r="F118" s="33">
        <f t="shared" si="13"/>
        <v>0</v>
      </c>
      <c r="G118" s="33">
        <f t="shared" si="14"/>
        <v>0</v>
      </c>
      <c r="H118" s="33">
        <f t="shared" si="15"/>
        <v>0</v>
      </c>
      <c r="I118" s="33">
        <f t="shared" si="16"/>
        <v>0</v>
      </c>
      <c r="J118" s="33">
        <f t="shared" si="17"/>
        <v>0</v>
      </c>
      <c r="K118" s="33">
        <f t="shared" si="18"/>
        <v>0</v>
      </c>
      <c r="L118" s="33">
        <f t="shared" si="19"/>
        <v>0</v>
      </c>
    </row>
    <row r="119" spans="1:12" x14ac:dyDescent="0.25">
      <c r="A119" s="8">
        <v>2053</v>
      </c>
      <c r="B119" s="33">
        <f t="shared" si="20"/>
        <v>0</v>
      </c>
      <c r="C119" s="33">
        <f t="shared" si="10"/>
        <v>0</v>
      </c>
      <c r="D119" s="33">
        <f t="shared" si="11"/>
        <v>0</v>
      </c>
      <c r="E119" s="33">
        <f t="shared" si="12"/>
        <v>0</v>
      </c>
      <c r="F119" s="33">
        <f t="shared" si="13"/>
        <v>0</v>
      </c>
      <c r="G119" s="33">
        <f t="shared" si="14"/>
        <v>0</v>
      </c>
      <c r="H119" s="33">
        <f t="shared" si="15"/>
        <v>0</v>
      </c>
      <c r="I119" s="33">
        <f t="shared" si="16"/>
        <v>0</v>
      </c>
      <c r="J119" s="33">
        <f t="shared" si="17"/>
        <v>0</v>
      </c>
      <c r="K119" s="33">
        <f t="shared" si="18"/>
        <v>0</v>
      </c>
      <c r="L119" s="33">
        <f t="shared" si="19"/>
        <v>0</v>
      </c>
    </row>
    <row r="120" spans="1:12" x14ac:dyDescent="0.25">
      <c r="A120" s="8">
        <v>2054</v>
      </c>
      <c r="B120" s="33">
        <f t="shared" si="20"/>
        <v>0</v>
      </c>
      <c r="C120" s="33">
        <f t="shared" ref="C120:C138" si="21">$D$6*$E$6*$F$6/50000</f>
        <v>0</v>
      </c>
      <c r="D120" s="33">
        <f t="shared" ref="D120:D138" si="22">$D$7*$E$7*$F$7/50000</f>
        <v>0</v>
      </c>
      <c r="E120" s="33">
        <f t="shared" ref="E120:E138" si="23">$D$8*$E$8*$F$8/50000</f>
        <v>0</v>
      </c>
      <c r="F120" s="33">
        <f t="shared" ref="F120:F138" si="24">$D$9*$E$9*$F$9/50000</f>
        <v>0</v>
      </c>
      <c r="G120" s="33">
        <f t="shared" ref="G120:G138" si="25">$D$10*$E$10*$F$10/50000</f>
        <v>0</v>
      </c>
      <c r="H120" s="33">
        <f t="shared" ref="H120:H138" si="26">$D$11*$E$11*$F$11/50000</f>
        <v>0</v>
      </c>
      <c r="I120" s="33">
        <f t="shared" ref="I120:I138" si="27">$D$12*$E$12*$F$12/50000</f>
        <v>0</v>
      </c>
      <c r="J120" s="33">
        <f t="shared" ref="J120:J138" si="28">$D$13*$E$13*$F$13/50000</f>
        <v>0</v>
      </c>
      <c r="K120" s="33">
        <f t="shared" ref="K120:K138" si="29">$D$14*$E$14*$F$14/50000</f>
        <v>0</v>
      </c>
      <c r="L120" s="33">
        <f t="shared" ref="L120:L138" si="30">$D$15*$E$15*$F$15/50000</f>
        <v>0</v>
      </c>
    </row>
    <row r="121" spans="1:12" x14ac:dyDescent="0.25">
      <c r="A121" s="8">
        <v>2055</v>
      </c>
      <c r="B121" s="33">
        <f t="shared" ref="B121:B138" si="31">$D$5*$E$5*$F$5/50000</f>
        <v>0</v>
      </c>
      <c r="C121" s="33">
        <f t="shared" si="21"/>
        <v>0</v>
      </c>
      <c r="D121" s="33">
        <f t="shared" si="22"/>
        <v>0</v>
      </c>
      <c r="E121" s="33">
        <f t="shared" si="23"/>
        <v>0</v>
      </c>
      <c r="F121" s="33">
        <f t="shared" si="24"/>
        <v>0</v>
      </c>
      <c r="G121" s="33">
        <f t="shared" si="25"/>
        <v>0</v>
      </c>
      <c r="H121" s="33">
        <f t="shared" si="26"/>
        <v>0</v>
      </c>
      <c r="I121" s="33">
        <f t="shared" si="27"/>
        <v>0</v>
      </c>
      <c r="J121" s="33">
        <f t="shared" si="28"/>
        <v>0</v>
      </c>
      <c r="K121" s="33">
        <f t="shared" si="29"/>
        <v>0</v>
      </c>
      <c r="L121" s="33">
        <f t="shared" si="30"/>
        <v>0</v>
      </c>
    </row>
    <row r="122" spans="1:12" x14ac:dyDescent="0.25">
      <c r="A122" s="8">
        <v>2056</v>
      </c>
      <c r="B122" s="33">
        <f t="shared" si="31"/>
        <v>0</v>
      </c>
      <c r="C122" s="33">
        <f t="shared" si="21"/>
        <v>0</v>
      </c>
      <c r="D122" s="33">
        <f t="shared" si="22"/>
        <v>0</v>
      </c>
      <c r="E122" s="33">
        <f t="shared" si="23"/>
        <v>0</v>
      </c>
      <c r="F122" s="33">
        <f t="shared" si="24"/>
        <v>0</v>
      </c>
      <c r="G122" s="33">
        <f t="shared" si="25"/>
        <v>0</v>
      </c>
      <c r="H122" s="33">
        <f t="shared" si="26"/>
        <v>0</v>
      </c>
      <c r="I122" s="33">
        <f t="shared" si="27"/>
        <v>0</v>
      </c>
      <c r="J122" s="33">
        <f t="shared" si="28"/>
        <v>0</v>
      </c>
      <c r="K122" s="33">
        <f t="shared" si="29"/>
        <v>0</v>
      </c>
      <c r="L122" s="33">
        <f t="shared" si="30"/>
        <v>0</v>
      </c>
    </row>
    <row r="123" spans="1:12" x14ac:dyDescent="0.25">
      <c r="A123" s="8">
        <v>2057</v>
      </c>
      <c r="B123" s="33">
        <f t="shared" si="31"/>
        <v>0</v>
      </c>
      <c r="C123" s="33">
        <f t="shared" si="21"/>
        <v>0</v>
      </c>
      <c r="D123" s="33">
        <f t="shared" si="22"/>
        <v>0</v>
      </c>
      <c r="E123" s="33">
        <f t="shared" si="23"/>
        <v>0</v>
      </c>
      <c r="F123" s="33">
        <f t="shared" si="24"/>
        <v>0</v>
      </c>
      <c r="G123" s="33">
        <f t="shared" si="25"/>
        <v>0</v>
      </c>
      <c r="H123" s="33">
        <f t="shared" si="26"/>
        <v>0</v>
      </c>
      <c r="I123" s="33">
        <f t="shared" si="27"/>
        <v>0</v>
      </c>
      <c r="J123" s="33">
        <f t="shared" si="28"/>
        <v>0</v>
      </c>
      <c r="K123" s="33">
        <f t="shared" si="29"/>
        <v>0</v>
      </c>
      <c r="L123" s="33">
        <f t="shared" si="30"/>
        <v>0</v>
      </c>
    </row>
    <row r="124" spans="1:12" x14ac:dyDescent="0.25">
      <c r="A124" s="8">
        <v>2058</v>
      </c>
      <c r="B124" s="33">
        <f t="shared" si="31"/>
        <v>0</v>
      </c>
      <c r="C124" s="33">
        <f t="shared" si="21"/>
        <v>0</v>
      </c>
      <c r="D124" s="33">
        <f t="shared" si="22"/>
        <v>0</v>
      </c>
      <c r="E124" s="33">
        <f t="shared" si="23"/>
        <v>0</v>
      </c>
      <c r="F124" s="33">
        <f t="shared" si="24"/>
        <v>0</v>
      </c>
      <c r="G124" s="33">
        <f t="shared" si="25"/>
        <v>0</v>
      </c>
      <c r="H124" s="33">
        <f t="shared" si="26"/>
        <v>0</v>
      </c>
      <c r="I124" s="33">
        <f t="shared" si="27"/>
        <v>0</v>
      </c>
      <c r="J124" s="33">
        <f t="shared" si="28"/>
        <v>0</v>
      </c>
      <c r="K124" s="33">
        <f t="shared" si="29"/>
        <v>0</v>
      </c>
      <c r="L124" s="33">
        <f t="shared" si="30"/>
        <v>0</v>
      </c>
    </row>
    <row r="125" spans="1:12" x14ac:dyDescent="0.25">
      <c r="A125" s="8">
        <v>2059</v>
      </c>
      <c r="B125" s="33">
        <f t="shared" si="31"/>
        <v>0</v>
      </c>
      <c r="C125" s="33">
        <f t="shared" si="21"/>
        <v>0</v>
      </c>
      <c r="D125" s="33">
        <f t="shared" si="22"/>
        <v>0</v>
      </c>
      <c r="E125" s="33">
        <f t="shared" si="23"/>
        <v>0</v>
      </c>
      <c r="F125" s="33">
        <f t="shared" si="24"/>
        <v>0</v>
      </c>
      <c r="G125" s="33">
        <f t="shared" si="25"/>
        <v>0</v>
      </c>
      <c r="H125" s="33">
        <f t="shared" si="26"/>
        <v>0</v>
      </c>
      <c r="I125" s="33">
        <f t="shared" si="27"/>
        <v>0</v>
      </c>
      <c r="J125" s="33">
        <f t="shared" si="28"/>
        <v>0</v>
      </c>
      <c r="K125" s="33">
        <f t="shared" si="29"/>
        <v>0</v>
      </c>
      <c r="L125" s="33">
        <f t="shared" si="30"/>
        <v>0</v>
      </c>
    </row>
    <row r="126" spans="1:12" x14ac:dyDescent="0.25">
      <c r="A126" s="8">
        <v>2060</v>
      </c>
      <c r="B126" s="33">
        <f t="shared" si="31"/>
        <v>0</v>
      </c>
      <c r="C126" s="33">
        <f t="shared" si="21"/>
        <v>0</v>
      </c>
      <c r="D126" s="33">
        <f t="shared" si="22"/>
        <v>0</v>
      </c>
      <c r="E126" s="33">
        <f t="shared" si="23"/>
        <v>0</v>
      </c>
      <c r="F126" s="33">
        <f t="shared" si="24"/>
        <v>0</v>
      </c>
      <c r="G126" s="33">
        <f t="shared" si="25"/>
        <v>0</v>
      </c>
      <c r="H126" s="33">
        <f t="shared" si="26"/>
        <v>0</v>
      </c>
      <c r="I126" s="33">
        <f t="shared" si="27"/>
        <v>0</v>
      </c>
      <c r="J126" s="33">
        <f t="shared" si="28"/>
        <v>0</v>
      </c>
      <c r="K126" s="33">
        <f t="shared" si="29"/>
        <v>0</v>
      </c>
      <c r="L126" s="33">
        <f t="shared" si="30"/>
        <v>0</v>
      </c>
    </row>
    <row r="127" spans="1:12" x14ac:dyDescent="0.25">
      <c r="A127" s="8">
        <v>2061</v>
      </c>
      <c r="B127" s="33">
        <f t="shared" si="31"/>
        <v>0</v>
      </c>
      <c r="C127" s="33">
        <f t="shared" si="21"/>
        <v>0</v>
      </c>
      <c r="D127" s="33">
        <f t="shared" si="22"/>
        <v>0</v>
      </c>
      <c r="E127" s="33">
        <f t="shared" si="23"/>
        <v>0</v>
      </c>
      <c r="F127" s="33">
        <f t="shared" si="24"/>
        <v>0</v>
      </c>
      <c r="G127" s="33">
        <f t="shared" si="25"/>
        <v>0</v>
      </c>
      <c r="H127" s="33">
        <f t="shared" si="26"/>
        <v>0</v>
      </c>
      <c r="I127" s="33">
        <f t="shared" si="27"/>
        <v>0</v>
      </c>
      <c r="J127" s="33">
        <f t="shared" si="28"/>
        <v>0</v>
      </c>
      <c r="K127" s="33">
        <f t="shared" si="29"/>
        <v>0</v>
      </c>
      <c r="L127" s="33">
        <f t="shared" si="30"/>
        <v>0</v>
      </c>
    </row>
    <row r="128" spans="1:12" x14ac:dyDescent="0.25">
      <c r="A128" s="8">
        <v>2062</v>
      </c>
      <c r="B128" s="33">
        <f t="shared" si="31"/>
        <v>0</v>
      </c>
      <c r="C128" s="33">
        <f t="shared" si="21"/>
        <v>0</v>
      </c>
      <c r="D128" s="33">
        <f t="shared" si="22"/>
        <v>0</v>
      </c>
      <c r="E128" s="33">
        <f t="shared" si="23"/>
        <v>0</v>
      </c>
      <c r="F128" s="33">
        <f t="shared" si="24"/>
        <v>0</v>
      </c>
      <c r="G128" s="33">
        <f t="shared" si="25"/>
        <v>0</v>
      </c>
      <c r="H128" s="33">
        <f t="shared" si="26"/>
        <v>0</v>
      </c>
      <c r="I128" s="33">
        <f t="shared" si="27"/>
        <v>0</v>
      </c>
      <c r="J128" s="33">
        <f t="shared" si="28"/>
        <v>0</v>
      </c>
      <c r="K128" s="33">
        <f t="shared" si="29"/>
        <v>0</v>
      </c>
      <c r="L128" s="33">
        <f t="shared" si="30"/>
        <v>0</v>
      </c>
    </row>
    <row r="129" spans="1:12" x14ac:dyDescent="0.25">
      <c r="A129" s="8">
        <v>2063</v>
      </c>
      <c r="B129" s="33">
        <f t="shared" si="31"/>
        <v>0</v>
      </c>
      <c r="C129" s="33">
        <f t="shared" si="21"/>
        <v>0</v>
      </c>
      <c r="D129" s="33">
        <f t="shared" si="22"/>
        <v>0</v>
      </c>
      <c r="E129" s="33">
        <f t="shared" si="23"/>
        <v>0</v>
      </c>
      <c r="F129" s="33">
        <f t="shared" si="24"/>
        <v>0</v>
      </c>
      <c r="G129" s="33">
        <f t="shared" si="25"/>
        <v>0</v>
      </c>
      <c r="H129" s="33">
        <f t="shared" si="26"/>
        <v>0</v>
      </c>
      <c r="I129" s="33">
        <f t="shared" si="27"/>
        <v>0</v>
      </c>
      <c r="J129" s="33">
        <f t="shared" si="28"/>
        <v>0</v>
      </c>
      <c r="K129" s="33">
        <f t="shared" si="29"/>
        <v>0</v>
      </c>
      <c r="L129" s="33">
        <f t="shared" si="30"/>
        <v>0</v>
      </c>
    </row>
    <row r="130" spans="1:12" x14ac:dyDescent="0.25">
      <c r="A130" s="8">
        <v>2064</v>
      </c>
      <c r="B130" s="33">
        <f t="shared" si="31"/>
        <v>0</v>
      </c>
      <c r="C130" s="33">
        <f t="shared" si="21"/>
        <v>0</v>
      </c>
      <c r="D130" s="33">
        <f t="shared" si="22"/>
        <v>0</v>
      </c>
      <c r="E130" s="33">
        <f t="shared" si="23"/>
        <v>0</v>
      </c>
      <c r="F130" s="33">
        <f t="shared" si="24"/>
        <v>0</v>
      </c>
      <c r="G130" s="33">
        <f t="shared" si="25"/>
        <v>0</v>
      </c>
      <c r="H130" s="33">
        <f t="shared" si="26"/>
        <v>0</v>
      </c>
      <c r="I130" s="33">
        <f t="shared" si="27"/>
        <v>0</v>
      </c>
      <c r="J130" s="33">
        <f t="shared" si="28"/>
        <v>0</v>
      </c>
      <c r="K130" s="33">
        <f t="shared" si="29"/>
        <v>0</v>
      </c>
      <c r="L130" s="33">
        <f t="shared" si="30"/>
        <v>0</v>
      </c>
    </row>
    <row r="131" spans="1:12" x14ac:dyDescent="0.25">
      <c r="A131" s="8">
        <v>2065</v>
      </c>
      <c r="B131" s="33">
        <f t="shared" si="31"/>
        <v>0</v>
      </c>
      <c r="C131" s="33">
        <f t="shared" si="21"/>
        <v>0</v>
      </c>
      <c r="D131" s="33">
        <f t="shared" si="22"/>
        <v>0</v>
      </c>
      <c r="E131" s="33">
        <f t="shared" si="23"/>
        <v>0</v>
      </c>
      <c r="F131" s="33">
        <f t="shared" si="24"/>
        <v>0</v>
      </c>
      <c r="G131" s="33">
        <f t="shared" si="25"/>
        <v>0</v>
      </c>
      <c r="H131" s="33">
        <f t="shared" si="26"/>
        <v>0</v>
      </c>
      <c r="I131" s="33">
        <f t="shared" si="27"/>
        <v>0</v>
      </c>
      <c r="J131" s="33">
        <f t="shared" si="28"/>
        <v>0</v>
      </c>
      <c r="K131" s="33">
        <f t="shared" si="29"/>
        <v>0</v>
      </c>
      <c r="L131" s="33">
        <f t="shared" si="30"/>
        <v>0</v>
      </c>
    </row>
    <row r="132" spans="1:12" x14ac:dyDescent="0.25">
      <c r="A132" s="8">
        <v>2066</v>
      </c>
      <c r="B132" s="33">
        <f t="shared" si="31"/>
        <v>0</v>
      </c>
      <c r="C132" s="33">
        <f t="shared" si="21"/>
        <v>0</v>
      </c>
      <c r="D132" s="33">
        <f t="shared" si="22"/>
        <v>0</v>
      </c>
      <c r="E132" s="33">
        <f t="shared" si="23"/>
        <v>0</v>
      </c>
      <c r="F132" s="33">
        <f t="shared" si="24"/>
        <v>0</v>
      </c>
      <c r="G132" s="33">
        <f t="shared" si="25"/>
        <v>0</v>
      </c>
      <c r="H132" s="33">
        <f t="shared" si="26"/>
        <v>0</v>
      </c>
      <c r="I132" s="33">
        <f t="shared" si="27"/>
        <v>0</v>
      </c>
      <c r="J132" s="33">
        <f t="shared" si="28"/>
        <v>0</v>
      </c>
      <c r="K132" s="33">
        <f t="shared" si="29"/>
        <v>0</v>
      </c>
      <c r="L132" s="33">
        <f t="shared" si="30"/>
        <v>0</v>
      </c>
    </row>
    <row r="133" spans="1:12" x14ac:dyDescent="0.25">
      <c r="A133" s="8">
        <v>2067</v>
      </c>
      <c r="B133" s="33">
        <f t="shared" si="31"/>
        <v>0</v>
      </c>
      <c r="C133" s="33">
        <f t="shared" si="21"/>
        <v>0</v>
      </c>
      <c r="D133" s="33">
        <f t="shared" si="22"/>
        <v>0</v>
      </c>
      <c r="E133" s="33">
        <f t="shared" si="23"/>
        <v>0</v>
      </c>
      <c r="F133" s="33">
        <f t="shared" si="24"/>
        <v>0</v>
      </c>
      <c r="G133" s="33">
        <f t="shared" si="25"/>
        <v>0</v>
      </c>
      <c r="H133" s="33">
        <f t="shared" si="26"/>
        <v>0</v>
      </c>
      <c r="I133" s="33">
        <f t="shared" si="27"/>
        <v>0</v>
      </c>
      <c r="J133" s="33">
        <f t="shared" si="28"/>
        <v>0</v>
      </c>
      <c r="K133" s="33">
        <f t="shared" si="29"/>
        <v>0</v>
      </c>
      <c r="L133" s="33">
        <f t="shared" si="30"/>
        <v>0</v>
      </c>
    </row>
    <row r="134" spans="1:12" x14ac:dyDescent="0.25">
      <c r="A134" s="8">
        <v>2068</v>
      </c>
      <c r="B134" s="33">
        <f t="shared" si="31"/>
        <v>0</v>
      </c>
      <c r="C134" s="33">
        <f t="shared" si="21"/>
        <v>0</v>
      </c>
      <c r="D134" s="33">
        <f t="shared" si="22"/>
        <v>0</v>
      </c>
      <c r="E134" s="33">
        <f t="shared" si="23"/>
        <v>0</v>
      </c>
      <c r="F134" s="33">
        <f t="shared" si="24"/>
        <v>0</v>
      </c>
      <c r="G134" s="33">
        <f t="shared" si="25"/>
        <v>0</v>
      </c>
      <c r="H134" s="33">
        <f t="shared" si="26"/>
        <v>0</v>
      </c>
      <c r="I134" s="33">
        <f t="shared" si="27"/>
        <v>0</v>
      </c>
      <c r="J134" s="33">
        <f t="shared" si="28"/>
        <v>0</v>
      </c>
      <c r="K134" s="33">
        <f t="shared" si="29"/>
        <v>0</v>
      </c>
      <c r="L134" s="33">
        <f t="shared" si="30"/>
        <v>0</v>
      </c>
    </row>
    <row r="135" spans="1:12" x14ac:dyDescent="0.25">
      <c r="A135" s="8">
        <v>2069</v>
      </c>
      <c r="B135" s="33">
        <f t="shared" si="31"/>
        <v>0</v>
      </c>
      <c r="C135" s="33">
        <f t="shared" si="21"/>
        <v>0</v>
      </c>
      <c r="D135" s="33">
        <f t="shared" si="22"/>
        <v>0</v>
      </c>
      <c r="E135" s="33">
        <f t="shared" si="23"/>
        <v>0</v>
      </c>
      <c r="F135" s="33">
        <f t="shared" si="24"/>
        <v>0</v>
      </c>
      <c r="G135" s="33">
        <f t="shared" si="25"/>
        <v>0</v>
      </c>
      <c r="H135" s="33">
        <f t="shared" si="26"/>
        <v>0</v>
      </c>
      <c r="I135" s="33">
        <f t="shared" si="27"/>
        <v>0</v>
      </c>
      <c r="J135" s="33">
        <f t="shared" si="28"/>
        <v>0</v>
      </c>
      <c r="K135" s="33">
        <f t="shared" si="29"/>
        <v>0</v>
      </c>
      <c r="L135" s="33">
        <f t="shared" si="30"/>
        <v>0</v>
      </c>
    </row>
    <row r="136" spans="1:12" x14ac:dyDescent="0.25">
      <c r="A136" s="8">
        <v>2070</v>
      </c>
      <c r="B136" s="33">
        <f t="shared" si="31"/>
        <v>0</v>
      </c>
      <c r="C136" s="33">
        <f t="shared" si="21"/>
        <v>0</v>
      </c>
      <c r="D136" s="33">
        <f t="shared" si="22"/>
        <v>0</v>
      </c>
      <c r="E136" s="33">
        <f t="shared" si="23"/>
        <v>0</v>
      </c>
      <c r="F136" s="33">
        <f t="shared" si="24"/>
        <v>0</v>
      </c>
      <c r="G136" s="33">
        <f t="shared" si="25"/>
        <v>0</v>
      </c>
      <c r="H136" s="33">
        <f t="shared" si="26"/>
        <v>0</v>
      </c>
      <c r="I136" s="33">
        <f t="shared" si="27"/>
        <v>0</v>
      </c>
      <c r="J136" s="33">
        <f t="shared" si="28"/>
        <v>0</v>
      </c>
      <c r="K136" s="33">
        <f t="shared" si="29"/>
        <v>0</v>
      </c>
      <c r="L136" s="33">
        <f t="shared" si="30"/>
        <v>0</v>
      </c>
    </row>
    <row r="137" spans="1:12" x14ac:dyDescent="0.25">
      <c r="A137" s="8">
        <v>2071</v>
      </c>
      <c r="B137" s="33">
        <f t="shared" si="31"/>
        <v>0</v>
      </c>
      <c r="C137" s="33">
        <f t="shared" si="21"/>
        <v>0</v>
      </c>
      <c r="D137" s="33">
        <f t="shared" si="22"/>
        <v>0</v>
      </c>
      <c r="E137" s="33">
        <f t="shared" si="23"/>
        <v>0</v>
      </c>
      <c r="F137" s="33">
        <f t="shared" si="24"/>
        <v>0</v>
      </c>
      <c r="G137" s="33">
        <f t="shared" si="25"/>
        <v>0</v>
      </c>
      <c r="H137" s="33">
        <f t="shared" si="26"/>
        <v>0</v>
      </c>
      <c r="I137" s="33">
        <f t="shared" si="27"/>
        <v>0</v>
      </c>
      <c r="J137" s="33">
        <f t="shared" si="28"/>
        <v>0</v>
      </c>
      <c r="K137" s="33">
        <f t="shared" si="29"/>
        <v>0</v>
      </c>
      <c r="L137" s="33">
        <f t="shared" si="30"/>
        <v>0</v>
      </c>
    </row>
    <row r="138" spans="1:12" x14ac:dyDescent="0.25">
      <c r="A138" s="8">
        <v>2072</v>
      </c>
      <c r="B138" s="33">
        <f t="shared" si="31"/>
        <v>0</v>
      </c>
      <c r="C138" s="33">
        <f t="shared" si="21"/>
        <v>0</v>
      </c>
      <c r="D138" s="33">
        <f t="shared" si="22"/>
        <v>0</v>
      </c>
      <c r="E138" s="33">
        <f t="shared" si="23"/>
        <v>0</v>
      </c>
      <c r="F138" s="33">
        <f t="shared" si="24"/>
        <v>0</v>
      </c>
      <c r="G138" s="33">
        <f t="shared" si="25"/>
        <v>0</v>
      </c>
      <c r="H138" s="33">
        <f t="shared" si="26"/>
        <v>0</v>
      </c>
      <c r="I138" s="33">
        <f t="shared" si="27"/>
        <v>0</v>
      </c>
      <c r="J138" s="33">
        <f t="shared" si="28"/>
        <v>0</v>
      </c>
      <c r="K138" s="33">
        <f t="shared" si="29"/>
        <v>0</v>
      </c>
      <c r="L138" s="33">
        <f t="shared" si="30"/>
        <v>0</v>
      </c>
    </row>
  </sheetData>
  <mergeCells count="4">
    <mergeCell ref="A2:S2"/>
    <mergeCell ref="I4:J4"/>
    <mergeCell ref="I5:I8"/>
    <mergeCell ref="J5:J8"/>
  </mergeCells>
  <hyperlinks>
    <hyperlink ref="K6" r:id="rId1" xr:uid="{3D37251F-B752-4F7E-B018-76ACDC44B9FC}"/>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6EF2E-790E-477E-8378-9FC565169410}">
  <sheetPr codeName="Sheet16"/>
  <dimension ref="A1:S112"/>
  <sheetViews>
    <sheetView topLeftCell="A3" zoomScale="96" zoomScaleNormal="96" zoomScaleSheetLayoutView="75" workbookViewId="0">
      <selection activeCell="B29" sqref="B29"/>
    </sheetView>
  </sheetViews>
  <sheetFormatPr defaultColWidth="9.109375" defaultRowHeight="13.8" x14ac:dyDescent="0.25"/>
  <cols>
    <col min="1" max="1" width="22.109375" style="85" customWidth="1"/>
    <col min="2" max="2" width="17.109375" style="85" customWidth="1"/>
    <col min="3" max="3" width="21.5546875" style="85" customWidth="1"/>
    <col min="4" max="4" width="35.44140625" style="85" customWidth="1"/>
    <col min="5" max="5" width="7.88671875" style="85" customWidth="1"/>
    <col min="6" max="6" width="20.88671875" style="85" customWidth="1"/>
    <col min="7" max="7" width="17.33203125" style="85" customWidth="1"/>
    <col min="8" max="8" width="16" style="85" customWidth="1"/>
    <col min="9" max="9" width="11.109375" style="85" customWidth="1"/>
    <col min="10" max="10" width="15.44140625" style="85" customWidth="1"/>
    <col min="11" max="11" width="18.5546875" style="85" customWidth="1"/>
    <col min="12" max="12" width="12.44140625" style="85" customWidth="1"/>
    <col min="13" max="13" width="26" style="85" customWidth="1"/>
    <col min="14" max="14" width="32.109375" style="85" customWidth="1"/>
    <col min="15" max="15" width="34" style="85" customWidth="1"/>
    <col min="16" max="16" width="8.6640625" style="85" customWidth="1"/>
    <col min="17" max="17" width="25.5546875" style="85" customWidth="1"/>
    <col min="18" max="18" width="13.6640625" style="85" customWidth="1"/>
    <col min="19" max="19" width="21.5546875" style="85" customWidth="1"/>
    <col min="20" max="20" width="22.44140625" style="85" bestFit="1" customWidth="1"/>
    <col min="21" max="21" width="21.5546875" style="85" customWidth="1"/>
    <col min="22" max="22" width="22.44140625" style="85" customWidth="1"/>
    <col min="23" max="23" width="21.5546875" style="85" customWidth="1"/>
    <col min="24" max="24" width="22.44140625" style="85" customWidth="1"/>
    <col min="25" max="25" width="21.5546875" style="85" customWidth="1"/>
    <col min="26" max="26" width="22.44140625" style="85" bestFit="1" customWidth="1"/>
    <col min="27" max="27" width="21.5546875" style="85" customWidth="1"/>
    <col min="28" max="28" width="22.44140625" style="85" customWidth="1"/>
    <col min="29" max="29" width="21.5546875" style="85" customWidth="1"/>
    <col min="30" max="30" width="22.44140625" style="85" customWidth="1"/>
    <col min="31" max="31" width="21.5546875" style="85" customWidth="1"/>
    <col min="32" max="32" width="22.44140625" style="85" customWidth="1"/>
    <col min="33" max="33" width="21.5546875" style="85" customWidth="1"/>
    <col min="34" max="34" width="22.44140625" style="85" customWidth="1"/>
    <col min="35" max="35" width="21.5546875" style="85" customWidth="1"/>
    <col min="36" max="36" width="22.44140625" style="85" customWidth="1"/>
    <col min="37" max="37" width="21.5546875" style="85" customWidth="1"/>
    <col min="38" max="38" width="22.44140625" style="85" bestFit="1" customWidth="1"/>
    <col min="39" max="39" width="21.5546875" style="85" customWidth="1"/>
    <col min="40" max="40" width="22.44140625" style="85" customWidth="1"/>
    <col min="41" max="41" width="21.5546875" style="85" customWidth="1"/>
    <col min="42" max="42" width="22.44140625" style="85" customWidth="1"/>
    <col min="43" max="43" width="21.5546875" style="85" customWidth="1"/>
    <col min="44" max="44" width="22.44140625" style="85" bestFit="1" customWidth="1"/>
    <col min="45" max="45" width="21.5546875" style="85" customWidth="1"/>
    <col min="46" max="46" width="22.44140625" style="85" customWidth="1"/>
    <col min="47" max="47" width="21.5546875" style="85" customWidth="1"/>
    <col min="48" max="48" width="22.44140625" style="85" customWidth="1"/>
    <col min="49" max="49" width="21.5546875" style="85" customWidth="1"/>
    <col min="50" max="50" width="22.44140625" style="85" bestFit="1" customWidth="1"/>
    <col min="51" max="51" width="21.5546875" style="85" customWidth="1"/>
    <col min="52" max="52" width="22.44140625" style="85" customWidth="1"/>
    <col min="53" max="53" width="21.5546875" style="85" customWidth="1"/>
    <col min="54" max="54" width="22.44140625" style="85" customWidth="1"/>
    <col min="55" max="55" width="21.5546875" style="85" customWidth="1"/>
    <col min="56" max="56" width="22.44140625" style="85" bestFit="1" customWidth="1"/>
    <col min="57" max="57" width="21.5546875" style="85" customWidth="1"/>
    <col min="58" max="58" width="22.44140625" style="85" customWidth="1"/>
    <col min="59" max="59" width="21.5546875" style="85" customWidth="1"/>
    <col min="60" max="60" width="22.44140625" style="85" customWidth="1"/>
    <col min="61" max="61" width="21.5546875" style="85" customWidth="1"/>
    <col min="62" max="62" width="22.44140625" style="85" bestFit="1" customWidth="1"/>
    <col min="63" max="63" width="21.5546875" style="85" customWidth="1"/>
    <col min="64" max="64" width="22.44140625" style="85" customWidth="1"/>
    <col min="65" max="65" width="21.5546875" style="85" customWidth="1"/>
    <col min="66" max="66" width="22.44140625" style="85" customWidth="1"/>
    <col min="67" max="67" width="21.5546875" style="85" customWidth="1"/>
    <col min="68" max="68" width="22.44140625" style="85" bestFit="1" customWidth="1"/>
    <col min="69" max="69" width="21.5546875" style="85" customWidth="1"/>
    <col min="70" max="70" width="22.44140625" style="85" customWidth="1"/>
    <col min="71" max="71" width="21.5546875" style="85" customWidth="1"/>
    <col min="72" max="72" width="22.44140625" style="85" customWidth="1"/>
    <col min="73" max="73" width="21.5546875" style="85" customWidth="1"/>
    <col min="74" max="74" width="22.44140625" style="85" bestFit="1" customWidth="1"/>
    <col min="75" max="75" width="21.5546875" style="85" customWidth="1"/>
    <col min="76" max="76" width="22.44140625" style="85" customWidth="1"/>
    <col min="77" max="77" width="21.5546875" style="85" customWidth="1"/>
    <col min="78" max="78" width="22.44140625" style="85" customWidth="1"/>
    <col min="79" max="79" width="21.5546875" style="85" customWidth="1"/>
    <col min="80" max="80" width="22.44140625" style="85" bestFit="1" customWidth="1"/>
    <col min="81" max="81" width="21.5546875" style="85" customWidth="1"/>
    <col min="82" max="82" width="22.44140625" style="85" customWidth="1"/>
    <col min="83" max="83" width="21.5546875" style="85" customWidth="1"/>
    <col min="84" max="84" width="22.44140625" style="85" customWidth="1"/>
    <col min="85" max="85" width="21.5546875" style="85" customWidth="1"/>
    <col min="86" max="86" width="22.44140625" style="85" bestFit="1" customWidth="1"/>
    <col min="87" max="87" width="21.5546875" style="85" customWidth="1"/>
    <col min="88" max="88" width="22.44140625" style="85" customWidth="1"/>
    <col min="89" max="89" width="21.5546875" style="85" customWidth="1"/>
    <col min="90" max="90" width="22.44140625" style="85" customWidth="1"/>
    <col min="91" max="91" width="21.5546875" style="85" customWidth="1"/>
    <col min="92" max="92" width="22.44140625" style="85" customWidth="1"/>
    <col min="93" max="93" width="21.5546875" style="85" customWidth="1"/>
    <col min="94" max="94" width="22.44140625" style="85" customWidth="1"/>
    <col min="95" max="95" width="21.5546875" style="85" customWidth="1"/>
    <col min="96" max="96" width="22.44140625" style="85" customWidth="1"/>
    <col min="97" max="97" width="21.5546875" style="85" customWidth="1"/>
    <col min="98" max="98" width="22.44140625" style="85" bestFit="1" customWidth="1"/>
    <col min="99" max="99" width="21.5546875" style="85" customWidth="1"/>
    <col min="100" max="100" width="22.44140625" style="85" customWidth="1"/>
    <col min="101" max="101" width="21.5546875" style="85" customWidth="1"/>
    <col min="102" max="102" width="22.44140625" style="85" customWidth="1"/>
    <col min="103" max="103" width="21.5546875" style="85" customWidth="1"/>
    <col min="104" max="104" width="22.44140625" style="85" bestFit="1" customWidth="1"/>
    <col min="105" max="105" width="21.5546875" style="85" customWidth="1"/>
    <col min="106" max="106" width="22.44140625" style="85" customWidth="1"/>
    <col min="107" max="107" width="21.5546875" style="85" customWidth="1"/>
    <col min="108" max="108" width="22.44140625" style="85" customWidth="1"/>
    <col min="109" max="109" width="21.5546875" style="85" customWidth="1"/>
    <col min="110" max="110" width="22.44140625" style="85" bestFit="1" customWidth="1"/>
    <col min="111" max="111" width="21.5546875" style="85" customWidth="1"/>
    <col min="112" max="112" width="22.44140625" style="85" customWidth="1"/>
    <col min="113" max="113" width="21.5546875" style="85" customWidth="1"/>
    <col min="114" max="114" width="22.44140625" style="85" customWidth="1"/>
    <col min="115" max="115" width="21.5546875" style="85" customWidth="1"/>
    <col min="116" max="116" width="22.44140625" style="85" bestFit="1" customWidth="1"/>
    <col min="117" max="117" width="21.5546875" style="85" customWidth="1"/>
    <col min="118" max="118" width="22.44140625" style="85" customWidth="1"/>
    <col min="119" max="119" width="21.5546875" style="85" customWidth="1"/>
    <col min="120" max="120" width="22.44140625" style="85" customWidth="1"/>
    <col min="121" max="121" width="21.5546875" style="85" customWidth="1"/>
    <col min="122" max="122" width="22.44140625" style="85" bestFit="1" customWidth="1"/>
    <col min="123" max="123" width="21.5546875" style="85" customWidth="1"/>
    <col min="124" max="124" width="22.44140625" style="85" customWidth="1"/>
    <col min="125" max="125" width="21.5546875" style="85" customWidth="1"/>
    <col min="126" max="126" width="22.44140625" style="85" customWidth="1"/>
    <col min="127" max="127" width="21.5546875" style="85" customWidth="1"/>
    <col min="128" max="128" width="22.44140625" style="85" bestFit="1" customWidth="1"/>
    <col min="129" max="129" width="21.5546875" style="85" customWidth="1"/>
    <col min="130" max="130" width="22.44140625" style="85" customWidth="1"/>
    <col min="131" max="131" width="21.5546875" style="85" customWidth="1"/>
    <col min="132" max="132" width="22.44140625" style="85" customWidth="1"/>
    <col min="133" max="133" width="21.5546875" style="85" customWidth="1"/>
    <col min="134" max="134" width="22.44140625" style="85" bestFit="1" customWidth="1"/>
    <col min="135" max="135" width="21.5546875" style="85" customWidth="1"/>
    <col min="136" max="136" width="22.44140625" style="85" customWidth="1"/>
    <col min="137" max="137" width="21.5546875" style="85" customWidth="1"/>
    <col min="138" max="138" width="22.44140625" style="85" customWidth="1"/>
    <col min="139" max="139" width="21.5546875" style="85" customWidth="1"/>
    <col min="140" max="140" width="22.44140625" style="85" customWidth="1"/>
    <col min="141" max="141" width="21.5546875" style="85" customWidth="1"/>
    <col min="142" max="142" width="22.44140625" style="85" customWidth="1"/>
    <col min="143" max="143" width="21.5546875" style="85" customWidth="1"/>
    <col min="144" max="144" width="22.44140625" style="85" customWidth="1"/>
    <col min="145" max="145" width="21.5546875" style="85" customWidth="1"/>
    <col min="146" max="146" width="22.44140625" style="85" bestFit="1" customWidth="1"/>
    <col min="147" max="147" width="21.5546875" style="85" customWidth="1"/>
    <col min="148" max="148" width="22.44140625" style="85" customWidth="1"/>
    <col min="149" max="149" width="21.5546875" style="85" customWidth="1"/>
    <col min="150" max="150" width="22.44140625" style="85" customWidth="1"/>
    <col min="151" max="151" width="21.5546875" style="85" customWidth="1"/>
    <col min="152" max="152" width="22.44140625" style="85" customWidth="1"/>
    <col min="153" max="153" width="21.5546875" style="85" customWidth="1"/>
    <col min="154" max="154" width="22.44140625" style="85" customWidth="1"/>
    <col min="155" max="155" width="21.5546875" style="85" customWidth="1"/>
    <col min="156" max="156" width="22.44140625" style="85" customWidth="1"/>
    <col min="157" max="157" width="21.5546875" style="85" customWidth="1"/>
    <col min="158" max="158" width="22.44140625" style="85" bestFit="1" customWidth="1"/>
    <col min="159" max="159" width="21.5546875" style="85" customWidth="1"/>
    <col min="160" max="160" width="22.44140625" style="85" customWidth="1"/>
    <col min="161" max="161" width="21.5546875" style="85" customWidth="1"/>
    <col min="162" max="162" width="22.44140625" style="85" customWidth="1"/>
    <col min="163" max="163" width="21.5546875" style="85" customWidth="1"/>
    <col min="164" max="164" width="22.44140625" style="85" bestFit="1" customWidth="1"/>
    <col min="165" max="165" width="21.5546875" style="85" customWidth="1"/>
    <col min="166" max="166" width="22.44140625" style="85" customWidth="1"/>
    <col min="167" max="167" width="21.5546875" style="85" customWidth="1"/>
    <col min="168" max="168" width="22.44140625" style="85" customWidth="1"/>
    <col min="169" max="169" width="21.5546875" style="85" customWidth="1"/>
    <col min="170" max="170" width="22.44140625" style="85" bestFit="1" customWidth="1"/>
    <col min="171" max="171" width="21.5546875" style="85" customWidth="1"/>
    <col min="172" max="172" width="22.44140625" style="85" customWidth="1"/>
    <col min="173" max="173" width="21.5546875" style="85" customWidth="1"/>
    <col min="174" max="174" width="22.44140625" style="85" customWidth="1"/>
    <col min="175" max="175" width="21.5546875" style="85" customWidth="1"/>
    <col min="176" max="176" width="22.44140625" style="85" bestFit="1" customWidth="1"/>
    <col min="177" max="177" width="21.5546875" style="85" customWidth="1"/>
    <col min="178" max="178" width="22.44140625" style="85" customWidth="1"/>
    <col min="179" max="179" width="21.5546875" style="85" customWidth="1"/>
    <col min="180" max="180" width="22.44140625" style="85" customWidth="1"/>
    <col min="181" max="181" width="21.5546875" style="85" customWidth="1"/>
    <col min="182" max="182" width="22.44140625" style="85" bestFit="1" customWidth="1"/>
    <col min="183" max="183" width="21.5546875" style="85" customWidth="1"/>
    <col min="184" max="184" width="22.44140625" style="85" customWidth="1"/>
    <col min="185" max="185" width="21.5546875" style="85" customWidth="1"/>
    <col min="186" max="186" width="22.44140625" style="85" customWidth="1"/>
    <col min="187" max="187" width="21.5546875" style="85" customWidth="1"/>
    <col min="188" max="188" width="22.44140625" style="85" bestFit="1" customWidth="1"/>
    <col min="189" max="189" width="21.5546875" style="85" customWidth="1"/>
    <col min="190" max="190" width="22.44140625" style="85" customWidth="1"/>
    <col min="191" max="191" width="21.5546875" style="85" customWidth="1"/>
    <col min="192" max="192" width="22.44140625" style="85" customWidth="1"/>
    <col min="193" max="193" width="21.5546875" style="85" customWidth="1"/>
    <col min="194" max="194" width="22.44140625" style="85" bestFit="1" customWidth="1"/>
    <col min="195" max="195" width="21.5546875" style="85" customWidth="1"/>
    <col min="196" max="196" width="22.44140625" style="85" customWidth="1"/>
    <col min="197" max="197" width="21.5546875" style="85" customWidth="1"/>
    <col min="198" max="198" width="22.44140625" style="85" customWidth="1"/>
    <col min="199" max="199" width="21.5546875" style="85" customWidth="1"/>
    <col min="200" max="200" width="22.44140625" style="85" bestFit="1" customWidth="1"/>
    <col min="201" max="201" width="21.5546875" style="85" customWidth="1"/>
    <col min="202" max="202" width="22.44140625" style="85" customWidth="1"/>
    <col min="203" max="203" width="21.5546875" style="85" customWidth="1"/>
    <col min="204" max="204" width="22.44140625" style="85" customWidth="1"/>
    <col min="205" max="205" width="21.5546875" style="85" customWidth="1"/>
    <col min="206" max="206" width="22.44140625" style="85" customWidth="1"/>
    <col min="207" max="207" width="21.5546875" style="85" customWidth="1"/>
    <col min="208" max="208" width="22.44140625" style="85" customWidth="1"/>
    <col min="209" max="209" width="21.5546875" style="85" customWidth="1"/>
    <col min="210" max="210" width="22.44140625" style="85" customWidth="1"/>
    <col min="211" max="211" width="21.5546875" style="85" customWidth="1"/>
    <col min="212" max="212" width="22.44140625" style="85" customWidth="1"/>
    <col min="213" max="213" width="21.5546875" style="85" customWidth="1"/>
    <col min="214" max="214" width="22.44140625" style="85" customWidth="1"/>
    <col min="215" max="215" width="21.5546875" style="85" customWidth="1"/>
    <col min="216" max="216" width="22.44140625" style="85" customWidth="1"/>
    <col min="217" max="217" width="21.5546875" style="85" customWidth="1"/>
    <col min="218" max="218" width="22.44140625" style="85" bestFit="1" customWidth="1"/>
    <col min="219" max="219" width="21.5546875" style="85" customWidth="1"/>
    <col min="220" max="220" width="22.44140625" style="85" customWidth="1"/>
    <col min="221" max="221" width="21.5546875" style="85" customWidth="1"/>
    <col min="222" max="222" width="22.44140625" style="85" customWidth="1"/>
    <col min="223" max="223" width="21.5546875" style="85" customWidth="1"/>
    <col min="224" max="224" width="22.44140625" style="85" bestFit="1" customWidth="1"/>
    <col min="225" max="225" width="21.5546875" style="85" customWidth="1"/>
    <col min="226" max="226" width="22.44140625" style="85" customWidth="1"/>
    <col min="227" max="227" width="21.5546875" style="85" customWidth="1"/>
    <col min="228" max="228" width="22.44140625" style="85" customWidth="1"/>
    <col min="229" max="229" width="21.5546875" style="85" customWidth="1"/>
    <col min="230" max="230" width="22.44140625" style="85" bestFit="1" customWidth="1"/>
    <col min="231" max="231" width="21.5546875" style="85" customWidth="1"/>
    <col min="232" max="232" width="22.44140625" style="85" customWidth="1"/>
    <col min="233" max="233" width="21.5546875" style="85" customWidth="1"/>
    <col min="234" max="234" width="22.44140625" style="85" customWidth="1"/>
    <col min="235" max="235" width="21.5546875" style="85" customWidth="1"/>
    <col min="236" max="236" width="22.44140625" style="85" customWidth="1"/>
    <col min="237" max="237" width="21.5546875" style="85" customWidth="1"/>
    <col min="238" max="238" width="22.44140625" style="85" customWidth="1"/>
    <col min="239" max="239" width="21.5546875" style="85" customWidth="1"/>
    <col min="240" max="240" width="22.44140625" style="85" customWidth="1"/>
    <col min="241" max="241" width="21.5546875" style="85" customWidth="1"/>
    <col min="242" max="242" width="22.44140625" style="85" bestFit="1" customWidth="1"/>
    <col min="243" max="243" width="21.5546875" style="85" customWidth="1"/>
    <col min="244" max="244" width="22.44140625" style="85" customWidth="1"/>
    <col min="245" max="245" width="21.5546875" style="85" customWidth="1"/>
    <col min="246" max="246" width="22.44140625" style="85" customWidth="1"/>
    <col min="247" max="247" width="21.5546875" style="85" customWidth="1"/>
    <col min="248" max="248" width="22.44140625" style="85" bestFit="1" customWidth="1"/>
    <col min="249" max="249" width="21.5546875" style="85" customWidth="1"/>
    <col min="250" max="250" width="22.44140625" style="85" customWidth="1"/>
    <col min="251" max="251" width="21.5546875" style="85" customWidth="1"/>
    <col min="252" max="252" width="22.44140625" style="85" customWidth="1"/>
    <col min="253" max="253" width="21.5546875" style="85" customWidth="1"/>
    <col min="254" max="254" width="22.44140625" style="85" bestFit="1" customWidth="1"/>
    <col min="255" max="255" width="21.5546875" style="85" customWidth="1"/>
    <col min="256" max="256" width="22.44140625" style="85" customWidth="1"/>
    <col min="257" max="257" width="21.5546875" style="85" customWidth="1"/>
    <col min="258" max="258" width="22.44140625" style="85" customWidth="1"/>
    <col min="259" max="259" width="21.5546875" style="85" customWidth="1"/>
    <col min="260" max="260" width="22.44140625" style="85" bestFit="1" customWidth="1"/>
    <col min="261" max="261" width="21.5546875" style="85" customWidth="1"/>
    <col min="262" max="262" width="22.44140625" style="85" customWidth="1"/>
    <col min="263" max="263" width="21.5546875" style="85" customWidth="1"/>
    <col min="264" max="264" width="22.44140625" style="85" customWidth="1"/>
    <col min="265" max="265" width="21.5546875" style="85" customWidth="1"/>
    <col min="266" max="266" width="22.44140625" style="85" bestFit="1" customWidth="1"/>
    <col min="267" max="267" width="21.5546875" style="85" customWidth="1"/>
    <col min="268" max="268" width="22.44140625" style="85" customWidth="1"/>
    <col min="269" max="269" width="21.5546875" style="85" customWidth="1"/>
    <col min="270" max="270" width="22.44140625" style="85" customWidth="1"/>
    <col min="271" max="271" width="21.5546875" style="85" customWidth="1"/>
    <col min="272" max="272" width="22.44140625" style="85" bestFit="1" customWidth="1"/>
    <col min="273" max="273" width="21.5546875" style="85" customWidth="1"/>
    <col min="274" max="274" width="22.44140625" style="85" customWidth="1"/>
    <col min="275" max="275" width="21.5546875" style="85" customWidth="1"/>
    <col min="276" max="276" width="22.44140625" style="85" customWidth="1"/>
    <col min="277" max="277" width="21.5546875" style="85" customWidth="1"/>
    <col min="278" max="278" width="22.44140625" style="85" bestFit="1" customWidth="1"/>
    <col min="279" max="279" width="21.5546875" style="85" customWidth="1"/>
    <col min="280" max="280" width="22.44140625" style="85" customWidth="1"/>
    <col min="281" max="281" width="21.5546875" style="85" customWidth="1"/>
    <col min="282" max="282" width="22.44140625" style="85" customWidth="1"/>
    <col min="283" max="283" width="21.5546875" style="85" customWidth="1"/>
    <col min="284" max="284" width="22.44140625" style="85" bestFit="1" customWidth="1"/>
    <col min="285" max="285" width="21.5546875" style="85" customWidth="1"/>
    <col min="286" max="286" width="22.44140625" style="85" customWidth="1"/>
    <col min="287" max="287" width="21.5546875" style="85" customWidth="1"/>
    <col min="288" max="288" width="22.44140625" style="85" customWidth="1"/>
    <col min="289" max="289" width="21.5546875" style="85" customWidth="1"/>
    <col min="290" max="290" width="22.44140625" style="85" bestFit="1" customWidth="1"/>
    <col min="291" max="291" width="21.5546875" style="85" customWidth="1"/>
    <col min="292" max="292" width="22.44140625" style="85" customWidth="1"/>
    <col min="293" max="293" width="21.5546875" style="85" customWidth="1"/>
    <col min="294" max="294" width="22.44140625" style="85" customWidth="1"/>
    <col min="295" max="295" width="21.5546875" style="85" customWidth="1"/>
    <col min="296" max="296" width="22.44140625" style="85" bestFit="1" customWidth="1"/>
    <col min="297" max="297" width="21.5546875" style="85" customWidth="1"/>
    <col min="298" max="298" width="22.44140625" style="85" customWidth="1"/>
    <col min="299" max="299" width="21.5546875" style="85" customWidth="1"/>
    <col min="300" max="300" width="22.44140625" style="85" customWidth="1"/>
    <col min="301" max="301" width="21.5546875" style="85" customWidth="1"/>
    <col min="302" max="302" width="22.44140625" style="85" bestFit="1" customWidth="1"/>
    <col min="303" max="303" width="21.5546875" style="85" customWidth="1"/>
    <col min="304" max="304" width="22.44140625" style="85" customWidth="1"/>
    <col min="305" max="305" width="21.5546875" style="85" customWidth="1"/>
    <col min="306" max="306" width="22.44140625" style="85" customWidth="1"/>
    <col min="307" max="307" width="21.5546875" style="85" customWidth="1"/>
    <col min="308" max="308" width="22.44140625" style="85" bestFit="1" customWidth="1"/>
    <col min="309" max="309" width="21.5546875" style="85" customWidth="1"/>
    <col min="310" max="310" width="22.44140625" style="85" customWidth="1"/>
    <col min="311" max="311" width="21.5546875" style="85" customWidth="1"/>
    <col min="312" max="312" width="22.44140625" style="85" customWidth="1"/>
    <col min="313" max="313" width="21.5546875" style="85" customWidth="1"/>
    <col min="314" max="314" width="22.44140625" style="85" bestFit="1" customWidth="1"/>
    <col min="315" max="315" width="21.5546875" style="85" customWidth="1"/>
    <col min="316" max="316" width="22.44140625" style="85" customWidth="1"/>
    <col min="317" max="317" width="21.5546875" style="85" customWidth="1"/>
    <col min="318" max="318" width="22.44140625" style="85" customWidth="1"/>
    <col min="319" max="319" width="21.5546875" style="85" customWidth="1"/>
    <col min="320" max="320" width="22.44140625" style="85" bestFit="1" customWidth="1"/>
    <col min="321" max="321" width="21.5546875" style="85" customWidth="1"/>
    <col min="322" max="322" width="22.44140625" style="85" customWidth="1"/>
    <col min="323" max="323" width="21.5546875" style="85" customWidth="1"/>
    <col min="324" max="324" width="22.44140625" style="85" customWidth="1"/>
    <col min="325" max="325" width="21.5546875" style="85" customWidth="1"/>
    <col min="326" max="326" width="22.44140625" style="85" bestFit="1" customWidth="1"/>
    <col min="327" max="327" width="21.5546875" style="85" customWidth="1"/>
    <col min="328" max="328" width="22.44140625" style="85" customWidth="1"/>
    <col min="329" max="329" width="21.5546875" style="85" customWidth="1"/>
    <col min="330" max="330" width="22.44140625" style="85" customWidth="1"/>
    <col min="331" max="331" width="21.5546875" style="85" customWidth="1"/>
    <col min="332" max="332" width="22.44140625" style="85" bestFit="1" customWidth="1"/>
    <col min="333" max="333" width="21.5546875" style="85" customWidth="1"/>
    <col min="334" max="334" width="22.44140625" style="85" customWidth="1"/>
    <col min="335" max="335" width="21.5546875" style="85" customWidth="1"/>
    <col min="336" max="336" width="22.44140625" style="85" customWidth="1"/>
    <col min="337" max="337" width="21.5546875" style="85" customWidth="1"/>
    <col min="338" max="338" width="22.44140625" style="85" bestFit="1" customWidth="1"/>
    <col min="339" max="339" width="21.5546875" style="85" customWidth="1"/>
    <col min="340" max="340" width="22.44140625" style="85" customWidth="1"/>
    <col min="341" max="341" width="21.5546875" style="85" customWidth="1"/>
    <col min="342" max="342" width="22.44140625" style="85" customWidth="1"/>
    <col min="343" max="343" width="21.5546875" style="85" customWidth="1"/>
    <col min="344" max="344" width="22.44140625" style="85" bestFit="1" customWidth="1"/>
    <col min="345" max="345" width="21.5546875" style="85" customWidth="1"/>
    <col min="346" max="346" width="22.44140625" style="85" customWidth="1"/>
    <col min="347" max="347" width="21.5546875" style="85" customWidth="1"/>
    <col min="348" max="348" width="22.44140625" style="85" customWidth="1"/>
    <col min="349" max="349" width="21.5546875" style="85" customWidth="1"/>
    <col min="350" max="350" width="22.44140625" style="85" bestFit="1" customWidth="1"/>
    <col min="351" max="351" width="21.5546875" style="85" customWidth="1"/>
    <col min="352" max="352" width="22.44140625" style="85" customWidth="1"/>
    <col min="353" max="353" width="21.5546875" style="85" customWidth="1"/>
    <col min="354" max="354" width="22.44140625" style="85" customWidth="1"/>
    <col min="355" max="355" width="21.5546875" style="85" customWidth="1"/>
    <col min="356" max="356" width="22.44140625" style="85" customWidth="1"/>
    <col min="357" max="357" width="21.5546875" style="85" customWidth="1"/>
    <col min="358" max="358" width="22.44140625" style="85" customWidth="1"/>
    <col min="359" max="359" width="21.5546875" style="85" customWidth="1"/>
    <col min="360" max="360" width="22.44140625" style="85" customWidth="1"/>
    <col min="361" max="361" width="21.5546875" style="85" customWidth="1"/>
    <col min="362" max="362" width="22.44140625" style="85" bestFit="1" customWidth="1"/>
    <col min="363" max="363" width="21.5546875" style="85" customWidth="1"/>
    <col min="364" max="364" width="22.44140625" style="85" customWidth="1"/>
    <col min="365" max="365" width="21.5546875" style="85" customWidth="1"/>
    <col min="366" max="366" width="22.44140625" style="85" customWidth="1"/>
    <col min="367" max="367" width="21.5546875" style="85" customWidth="1"/>
    <col min="368" max="368" width="22.44140625" style="85" bestFit="1" customWidth="1"/>
    <col min="369" max="369" width="21.5546875" style="85" customWidth="1"/>
    <col min="370" max="370" width="22.44140625" style="85" customWidth="1"/>
    <col min="371" max="371" width="21.5546875" style="85" customWidth="1"/>
    <col min="372" max="372" width="22.44140625" style="85" customWidth="1"/>
    <col min="373" max="373" width="21.5546875" style="85" customWidth="1"/>
    <col min="374" max="374" width="22.44140625" style="85" bestFit="1" customWidth="1"/>
    <col min="375" max="375" width="21.5546875" style="85" customWidth="1"/>
    <col min="376" max="376" width="22.44140625" style="85" customWidth="1"/>
    <col min="377" max="377" width="21.5546875" style="85" customWidth="1"/>
    <col min="378" max="378" width="22.44140625" style="85" customWidth="1"/>
    <col min="379" max="379" width="21.5546875" style="85" customWidth="1"/>
    <col min="380" max="380" width="22.44140625" style="85" bestFit="1" customWidth="1"/>
    <col min="381" max="381" width="21.5546875" style="85" customWidth="1"/>
    <col min="382" max="382" width="22.44140625" style="85" customWidth="1"/>
    <col min="383" max="383" width="21.5546875" style="85" customWidth="1"/>
    <col min="384" max="384" width="22.44140625" style="85" customWidth="1"/>
    <col min="385" max="385" width="21.5546875" style="85" customWidth="1"/>
    <col min="386" max="386" width="22.44140625" style="85" customWidth="1"/>
    <col min="387" max="387" width="21.5546875" style="85" customWidth="1"/>
    <col min="388" max="388" width="22.44140625" style="85" customWidth="1"/>
    <col min="389" max="389" width="21.5546875" style="85" customWidth="1"/>
    <col min="390" max="390" width="22.44140625" style="85" customWidth="1"/>
    <col min="391" max="391" width="21.5546875" style="85" customWidth="1"/>
    <col min="392" max="392" width="22.44140625" style="85" bestFit="1" customWidth="1"/>
    <col min="393" max="393" width="21.5546875" style="85" customWidth="1"/>
    <col min="394" max="394" width="22.44140625" style="85" customWidth="1"/>
    <col min="395" max="395" width="21.5546875" style="85" customWidth="1"/>
    <col min="396" max="396" width="22.44140625" style="85" customWidth="1"/>
    <col min="397" max="397" width="21.5546875" style="85" customWidth="1"/>
    <col min="398" max="398" width="22.44140625" style="85" bestFit="1" customWidth="1"/>
    <col min="399" max="399" width="21.5546875" style="85" customWidth="1"/>
    <col min="400" max="400" width="22.44140625" style="85" customWidth="1"/>
    <col min="401" max="401" width="21.5546875" style="85" customWidth="1"/>
    <col min="402" max="402" width="22.44140625" style="85" customWidth="1"/>
    <col min="403" max="403" width="21.5546875" style="85" customWidth="1"/>
    <col min="404" max="404" width="27.44140625" style="85" customWidth="1"/>
    <col min="405" max="405" width="26.5546875" style="85" bestFit="1" customWidth="1"/>
    <col min="406" max="406" width="21.88671875" style="85" bestFit="1" customWidth="1"/>
    <col min="407" max="407" width="13.88671875" style="85" bestFit="1" customWidth="1"/>
    <col min="408" max="409" width="21.88671875" style="85" bestFit="1" customWidth="1"/>
    <col min="410" max="410" width="13.88671875" style="85" bestFit="1" customWidth="1"/>
    <col min="411" max="412" width="21.88671875" style="85" bestFit="1" customWidth="1"/>
    <col min="413" max="413" width="13.88671875" style="85" bestFit="1" customWidth="1"/>
    <col min="414" max="415" width="21.88671875" style="85" bestFit="1" customWidth="1"/>
    <col min="416" max="416" width="13.88671875" style="85" bestFit="1" customWidth="1"/>
    <col min="417" max="418" width="21.88671875" style="85" bestFit="1" customWidth="1"/>
    <col min="419" max="419" width="13.88671875" style="85" bestFit="1" customWidth="1"/>
    <col min="420" max="421" width="21.88671875" style="85" bestFit="1" customWidth="1"/>
    <col min="422" max="422" width="13.88671875" style="85" bestFit="1" customWidth="1"/>
    <col min="423" max="424" width="21.88671875" style="85" bestFit="1" customWidth="1"/>
    <col min="425" max="425" width="13.88671875" style="85" bestFit="1" customWidth="1"/>
    <col min="426" max="427" width="21.88671875" style="85" bestFit="1" customWidth="1"/>
    <col min="428" max="428" width="13.88671875" style="85" bestFit="1" customWidth="1"/>
    <col min="429" max="430" width="21.88671875" style="85" bestFit="1" customWidth="1"/>
    <col min="431" max="431" width="13.88671875" style="85" bestFit="1" customWidth="1"/>
    <col min="432" max="433" width="21.88671875" style="85" bestFit="1" customWidth="1"/>
    <col min="434" max="434" width="13.88671875" style="85" bestFit="1" customWidth="1"/>
    <col min="435" max="436" width="21.88671875" style="85" bestFit="1" customWidth="1"/>
    <col min="437" max="437" width="13.88671875" style="85" bestFit="1" customWidth="1"/>
    <col min="438" max="439" width="21.88671875" style="85" bestFit="1" customWidth="1"/>
    <col min="440" max="440" width="13.88671875" style="85" bestFit="1" customWidth="1"/>
    <col min="441" max="441" width="21.88671875" style="85" bestFit="1" customWidth="1"/>
    <col min="442" max="442" width="19.6640625" style="85" bestFit="1" customWidth="1"/>
    <col min="443" max="443" width="13.88671875" style="85" bestFit="1" customWidth="1"/>
    <col min="444" max="445" width="21.88671875" style="85" bestFit="1" customWidth="1"/>
    <col min="446" max="446" width="13.88671875" style="85" bestFit="1" customWidth="1"/>
    <col min="447" max="447" width="21.88671875" style="85" bestFit="1" customWidth="1"/>
    <col min="448" max="448" width="20.6640625" style="85" bestFit="1" customWidth="1"/>
    <col min="449" max="449" width="13.88671875" style="85" bestFit="1" customWidth="1"/>
    <col min="450" max="451" width="21.88671875" style="85" bestFit="1" customWidth="1"/>
    <col min="452" max="452" width="13.88671875" style="85" bestFit="1" customWidth="1"/>
    <col min="453" max="454" width="21.88671875" style="85" bestFit="1" customWidth="1"/>
    <col min="455" max="455" width="13.88671875" style="85" bestFit="1" customWidth="1"/>
    <col min="456" max="457" width="20.6640625" style="85" bestFit="1" customWidth="1"/>
    <col min="458" max="458" width="13.88671875" style="85" bestFit="1" customWidth="1"/>
    <col min="459" max="460" width="21.88671875" style="85" bestFit="1" customWidth="1"/>
    <col min="461" max="461" width="13.88671875" style="85" bestFit="1" customWidth="1"/>
    <col min="462" max="463" width="21.88671875" style="85" bestFit="1" customWidth="1"/>
    <col min="464" max="464" width="13.88671875" style="85" bestFit="1" customWidth="1"/>
    <col min="465" max="466" width="21.88671875" style="85" bestFit="1" customWidth="1"/>
    <col min="467" max="467" width="13.88671875" style="85" bestFit="1" customWidth="1"/>
    <col min="468" max="469" width="21.88671875" style="85" bestFit="1" customWidth="1"/>
    <col min="470" max="470" width="13.88671875" style="85" bestFit="1" customWidth="1"/>
    <col min="471" max="472" width="21.88671875" style="85" bestFit="1" customWidth="1"/>
    <col min="473" max="473" width="13.88671875" style="85" bestFit="1" customWidth="1"/>
    <col min="474" max="475" width="21.88671875" style="85" bestFit="1" customWidth="1"/>
    <col min="476" max="476" width="13.88671875" style="85" bestFit="1" customWidth="1"/>
    <col min="477" max="477" width="20.6640625" style="85" bestFit="1" customWidth="1"/>
    <col min="478" max="478" width="21.88671875" style="85" bestFit="1" customWidth="1"/>
    <col min="479" max="479" width="13.88671875" style="85" bestFit="1" customWidth="1"/>
    <col min="480" max="481" width="21.88671875" style="85" bestFit="1" customWidth="1"/>
    <col min="482" max="482" width="13.88671875" style="85" bestFit="1" customWidth="1"/>
    <col min="483" max="484" width="21.88671875" style="85" bestFit="1" customWidth="1"/>
    <col min="485" max="485" width="13.88671875" style="85" bestFit="1" customWidth="1"/>
    <col min="486" max="487" width="21.88671875" style="85" bestFit="1" customWidth="1"/>
    <col min="488" max="488" width="13.88671875" style="85" bestFit="1" customWidth="1"/>
    <col min="489" max="489" width="21.88671875" style="85" bestFit="1" customWidth="1"/>
    <col min="490" max="490" width="20.6640625" style="85" bestFit="1" customWidth="1"/>
    <col min="491" max="491" width="13.88671875" style="85" bestFit="1" customWidth="1"/>
    <col min="492" max="493" width="21.88671875" style="85" bestFit="1" customWidth="1"/>
    <col min="494" max="494" width="13.88671875" style="85" bestFit="1" customWidth="1"/>
    <col min="495" max="496" width="21.88671875" style="85" bestFit="1" customWidth="1"/>
    <col min="497" max="497" width="13.88671875" style="85" bestFit="1" customWidth="1"/>
    <col min="498" max="499" width="21.88671875" style="85" bestFit="1" customWidth="1"/>
    <col min="500" max="500" width="13.88671875" style="85" bestFit="1" customWidth="1"/>
    <col min="501" max="502" width="21.88671875" style="85" bestFit="1" customWidth="1"/>
    <col min="503" max="503" width="13.88671875" style="85" bestFit="1" customWidth="1"/>
    <col min="504" max="505" width="21.88671875" style="85" bestFit="1" customWidth="1"/>
    <col min="506" max="506" width="13.88671875" style="85" bestFit="1" customWidth="1"/>
    <col min="507" max="507" width="20.6640625" style="85" bestFit="1" customWidth="1"/>
    <col min="508" max="508" width="21.88671875" style="85" bestFit="1" customWidth="1"/>
    <col min="509" max="509" width="13.88671875" style="85" bestFit="1" customWidth="1"/>
    <col min="510" max="510" width="21.88671875" style="85" bestFit="1" customWidth="1"/>
    <col min="511" max="511" width="20.6640625" style="85" bestFit="1" customWidth="1"/>
    <col min="512" max="512" width="13.88671875" style="85" bestFit="1" customWidth="1"/>
    <col min="513" max="514" width="21.88671875" style="85" bestFit="1" customWidth="1"/>
    <col min="515" max="515" width="13.88671875" style="85" bestFit="1" customWidth="1"/>
    <col min="516" max="516" width="20.6640625" style="85" bestFit="1" customWidth="1"/>
    <col min="517" max="517" width="21.88671875" style="85" bestFit="1" customWidth="1"/>
    <col min="518" max="518" width="13.88671875" style="85" bestFit="1" customWidth="1"/>
    <col min="519" max="520" width="21.88671875" style="85" bestFit="1" customWidth="1"/>
    <col min="521" max="521" width="13.88671875" style="85" bestFit="1" customWidth="1"/>
    <col min="522" max="522" width="20.6640625" style="85" bestFit="1" customWidth="1"/>
    <col min="523" max="523" width="21.88671875" style="85" bestFit="1" customWidth="1"/>
    <col min="524" max="524" width="13.88671875" style="85" bestFit="1" customWidth="1"/>
    <col min="525" max="526" width="21.88671875" style="85" bestFit="1" customWidth="1"/>
    <col min="527" max="527" width="13.88671875" style="85" bestFit="1" customWidth="1"/>
    <col min="528" max="529" width="21.88671875" style="85" bestFit="1" customWidth="1"/>
    <col min="530" max="530" width="13.88671875" style="85" bestFit="1" customWidth="1"/>
    <col min="531" max="532" width="21.88671875" style="85" bestFit="1" customWidth="1"/>
    <col min="533" max="533" width="13.88671875" style="85" bestFit="1" customWidth="1"/>
    <col min="534" max="535" width="21.88671875" style="85" bestFit="1" customWidth="1"/>
    <col min="536" max="536" width="13.88671875" style="85" bestFit="1" customWidth="1"/>
    <col min="537" max="538" width="21.88671875" style="85" bestFit="1" customWidth="1"/>
    <col min="539" max="539" width="13.88671875" style="85" bestFit="1" customWidth="1"/>
    <col min="540" max="541" width="21.88671875" style="85" bestFit="1" customWidth="1"/>
    <col min="542" max="542" width="13.88671875" style="85" bestFit="1" customWidth="1"/>
    <col min="543" max="544" width="21.88671875" style="85" bestFit="1" customWidth="1"/>
    <col min="545" max="545" width="13.88671875" style="85" bestFit="1" customWidth="1"/>
    <col min="546" max="547" width="21.88671875" style="85" bestFit="1" customWidth="1"/>
    <col min="548" max="548" width="13.88671875" style="85" bestFit="1" customWidth="1"/>
    <col min="549" max="550" width="21.88671875" style="85" bestFit="1" customWidth="1"/>
    <col min="551" max="551" width="13.88671875" style="85" bestFit="1" customWidth="1"/>
    <col min="552" max="553" width="21.88671875" style="85" bestFit="1" customWidth="1"/>
    <col min="554" max="554" width="13.88671875" style="85" bestFit="1" customWidth="1"/>
    <col min="555" max="556" width="21.88671875" style="85" bestFit="1" customWidth="1"/>
    <col min="557" max="557" width="13.88671875" style="85" bestFit="1" customWidth="1"/>
    <col min="558" max="559" width="20.6640625" style="85" bestFit="1" customWidth="1"/>
    <col min="560" max="560" width="13.88671875" style="85" bestFit="1" customWidth="1"/>
    <col min="561" max="562" width="21.88671875" style="85" bestFit="1" customWidth="1"/>
    <col min="563" max="563" width="13.88671875" style="85" bestFit="1" customWidth="1"/>
    <col min="564" max="565" width="21.88671875" style="85" bestFit="1" customWidth="1"/>
    <col min="566" max="566" width="13.88671875" style="85" bestFit="1" customWidth="1"/>
    <col min="567" max="568" width="21.88671875" style="85" bestFit="1" customWidth="1"/>
    <col min="569" max="569" width="13.88671875" style="85" bestFit="1" customWidth="1"/>
    <col min="570" max="571" width="21.88671875" style="85" bestFit="1" customWidth="1"/>
    <col min="572" max="572" width="13.88671875" style="85" bestFit="1" customWidth="1"/>
    <col min="573" max="574" width="21.88671875" style="85" bestFit="1" customWidth="1"/>
    <col min="575" max="575" width="13.88671875" style="85" bestFit="1" customWidth="1"/>
    <col min="576" max="577" width="21.88671875" style="85" bestFit="1" customWidth="1"/>
    <col min="578" max="578" width="13.88671875" style="85" bestFit="1" customWidth="1"/>
    <col min="579" max="580" width="21.88671875" style="85" bestFit="1" customWidth="1"/>
    <col min="581" max="581" width="13.88671875" style="85" bestFit="1" customWidth="1"/>
    <col min="582" max="583" width="21.88671875" style="85" bestFit="1" customWidth="1"/>
    <col min="584" max="584" width="13.88671875" style="85" bestFit="1" customWidth="1"/>
    <col min="585" max="586" width="21.88671875" style="85" bestFit="1" customWidth="1"/>
    <col min="587" max="587" width="13.88671875" style="85" bestFit="1" customWidth="1"/>
    <col min="588" max="589" width="21.88671875" style="85" bestFit="1" customWidth="1"/>
    <col min="590" max="590" width="13.88671875" style="85" bestFit="1" customWidth="1"/>
    <col min="591" max="592" width="21.88671875" style="85" bestFit="1" customWidth="1"/>
    <col min="593" max="593" width="13.88671875" style="85" bestFit="1" customWidth="1"/>
    <col min="594" max="594" width="20.6640625" style="85" bestFit="1" customWidth="1"/>
    <col min="595" max="595" width="21.88671875" style="85" bestFit="1" customWidth="1"/>
    <col min="596" max="596" width="13.88671875" style="85" bestFit="1" customWidth="1"/>
    <col min="597" max="598" width="21.88671875" style="85" bestFit="1" customWidth="1"/>
    <col min="599" max="599" width="13.88671875" style="85" bestFit="1" customWidth="1"/>
    <col min="600" max="601" width="21.88671875" style="85" bestFit="1" customWidth="1"/>
    <col min="602" max="602" width="13.88671875" style="85" bestFit="1" customWidth="1"/>
    <col min="603" max="603" width="21.88671875" style="85" bestFit="1" customWidth="1"/>
    <col min="604" max="604" width="20.6640625" style="85" bestFit="1" customWidth="1"/>
    <col min="605" max="605" width="13.88671875" style="85" bestFit="1" customWidth="1"/>
    <col min="606" max="607" width="21.88671875" style="85" bestFit="1" customWidth="1"/>
    <col min="608" max="608" width="11.33203125" style="85" bestFit="1" customWidth="1"/>
    <col min="609" max="16384" width="9.109375" style="85"/>
  </cols>
  <sheetData>
    <row r="1" spans="1:19" ht="14.4" thickBot="1" x14ac:dyDescent="0.3">
      <c r="A1" s="9" t="s">
        <v>653</v>
      </c>
      <c r="B1" s="83" t="s">
        <v>654</v>
      </c>
      <c r="C1" s="9"/>
      <c r="D1" s="9"/>
      <c r="E1" s="84"/>
    </row>
    <row r="2" spans="1:19" x14ac:dyDescent="0.25">
      <c r="A2" s="9" t="s">
        <v>655</v>
      </c>
      <c r="B2" s="882" t="s">
        <v>656</v>
      </c>
      <c r="C2" s="882"/>
      <c r="D2" s="86"/>
      <c r="E2" s="86"/>
      <c r="F2" s="87"/>
      <c r="G2" s="87"/>
      <c r="H2" s="87"/>
      <c r="I2" s="87"/>
      <c r="J2" s="87"/>
      <c r="K2" s="87"/>
      <c r="L2" s="87"/>
      <c r="M2" s="87"/>
      <c r="N2" s="87"/>
      <c r="O2" s="87"/>
      <c r="P2" s="87"/>
      <c r="Q2" s="87"/>
      <c r="R2" s="88"/>
    </row>
    <row r="3" spans="1:19" ht="22.8" x14ac:dyDescent="0.4">
      <c r="A3" s="9" t="s">
        <v>657</v>
      </c>
      <c r="B3" s="89">
        <v>0.60000000000000009</v>
      </c>
      <c r="C3" s="883" t="s">
        <v>658</v>
      </c>
      <c r="D3" s="884"/>
      <c r="E3" s="90"/>
      <c r="F3" s="91" t="s">
        <v>659</v>
      </c>
      <c r="G3" s="92"/>
      <c r="H3" s="92"/>
      <c r="I3" s="92"/>
      <c r="J3" s="92"/>
      <c r="K3" s="92"/>
      <c r="L3" s="92"/>
      <c r="M3" s="91" t="s">
        <v>659</v>
      </c>
      <c r="R3" s="93"/>
    </row>
    <row r="4" spans="1:19" ht="18" thickBot="1" x14ac:dyDescent="0.35">
      <c r="A4" s="9" t="s">
        <v>660</v>
      </c>
      <c r="B4" s="94">
        <v>86</v>
      </c>
      <c r="C4" s="9" t="s">
        <v>661</v>
      </c>
      <c r="D4" s="95"/>
      <c r="E4" s="90"/>
      <c r="F4" s="96"/>
      <c r="G4" s="97"/>
      <c r="H4" s="96"/>
      <c r="R4" s="93"/>
    </row>
    <row r="5" spans="1:19" ht="14.4" thickBot="1" x14ac:dyDescent="0.3">
      <c r="A5" s="8"/>
      <c r="B5" s="8"/>
      <c r="C5" s="8"/>
      <c r="D5" s="8"/>
      <c r="F5" s="98" t="s">
        <v>662</v>
      </c>
      <c r="G5" s="99">
        <v>335</v>
      </c>
      <c r="H5" s="100" t="s">
        <v>663</v>
      </c>
      <c r="I5" s="8"/>
      <c r="J5" s="8"/>
      <c r="K5" s="8"/>
      <c r="L5" s="8"/>
      <c r="M5" s="8"/>
      <c r="N5" s="8"/>
      <c r="O5" s="8"/>
      <c r="P5" s="8"/>
      <c r="Q5" s="8"/>
      <c r="R5" s="101"/>
      <c r="S5" s="8"/>
    </row>
    <row r="6" spans="1:19" ht="14.4" thickBot="1" x14ac:dyDescent="0.3">
      <c r="A6" s="80" t="s">
        <v>664</v>
      </c>
      <c r="B6" s="8"/>
      <c r="C6" s="8"/>
      <c r="D6" s="8"/>
      <c r="F6" s="102" t="s">
        <v>459</v>
      </c>
      <c r="G6" s="885" t="s">
        <v>665</v>
      </c>
      <c r="H6" s="872"/>
      <c r="I6" s="873" t="s">
        <v>666</v>
      </c>
      <c r="J6" s="874"/>
      <c r="K6" s="873" t="s">
        <v>667</v>
      </c>
      <c r="L6" s="874"/>
      <c r="M6" s="104" t="s">
        <v>668</v>
      </c>
      <c r="N6" s="105" t="s">
        <v>669</v>
      </c>
      <c r="O6" s="106" t="s">
        <v>670</v>
      </c>
      <c r="P6" s="8"/>
      <c r="Q6" s="106" t="s">
        <v>671</v>
      </c>
      <c r="R6" s="101"/>
      <c r="S6" s="8"/>
    </row>
    <row r="7" spans="1:19" ht="14.4" thickBot="1" x14ac:dyDescent="0.3">
      <c r="A7" s="8" t="s">
        <v>672</v>
      </c>
      <c r="B7" s="8"/>
      <c r="C7" s="8"/>
      <c r="D7" s="8"/>
      <c r="F7" s="107" t="s">
        <v>673</v>
      </c>
      <c r="G7" s="14">
        <v>7.5</v>
      </c>
      <c r="H7" s="8" t="s">
        <v>674</v>
      </c>
      <c r="I7" s="108">
        <f>Water!C3</f>
        <v>0</v>
      </c>
      <c r="J7" s="101" t="s">
        <v>675</v>
      </c>
      <c r="K7" s="109">
        <f>G7*I7</f>
        <v>0</v>
      </c>
      <c r="L7" s="101" t="s">
        <v>676</v>
      </c>
      <c r="M7" s="110" t="s">
        <v>677</v>
      </c>
      <c r="N7" s="111" t="s">
        <v>678</v>
      </c>
      <c r="O7" s="112" t="e">
        <f t="shared" ref="O7:O12" si="0">IF(N7="Yes",K7*$N$21,0)</f>
        <v>#DIV/0!</v>
      </c>
      <c r="P7" s="8" t="s">
        <v>676</v>
      </c>
      <c r="Q7" s="113" t="s">
        <v>679</v>
      </c>
      <c r="R7" s="101"/>
      <c r="S7" s="8"/>
    </row>
    <row r="8" spans="1:19" ht="14.4" thickBot="1" x14ac:dyDescent="0.3">
      <c r="A8" s="80" t="s">
        <v>680</v>
      </c>
      <c r="B8" s="8"/>
      <c r="C8" s="8"/>
      <c r="D8" s="8"/>
      <c r="F8" s="107" t="s">
        <v>681</v>
      </c>
      <c r="G8" s="14">
        <v>4.5</v>
      </c>
      <c r="H8" s="8" t="s">
        <v>682</v>
      </c>
      <c r="I8" s="108">
        <f>Water!C4</f>
        <v>0</v>
      </c>
      <c r="J8" s="101" t="s">
        <v>675</v>
      </c>
      <c r="K8" s="109">
        <f>G8*I8</f>
        <v>0</v>
      </c>
      <c r="L8" s="101" t="s">
        <v>676</v>
      </c>
      <c r="M8" s="114" t="s">
        <v>677</v>
      </c>
      <c r="N8" s="115" t="s">
        <v>678</v>
      </c>
      <c r="O8" s="112" t="e">
        <f t="shared" si="0"/>
        <v>#DIV/0!</v>
      </c>
      <c r="P8" s="8" t="s">
        <v>676</v>
      </c>
      <c r="Q8" s="106" t="s">
        <v>683</v>
      </c>
      <c r="R8" s="101"/>
      <c r="S8" s="8"/>
    </row>
    <row r="9" spans="1:19" ht="14.4" thickBot="1" x14ac:dyDescent="0.3">
      <c r="A9" s="8"/>
      <c r="B9" s="8"/>
      <c r="C9" s="8"/>
      <c r="D9" s="8"/>
      <c r="F9" s="107" t="s">
        <v>684</v>
      </c>
      <c r="G9" s="14">
        <v>10</v>
      </c>
      <c r="H9" s="8" t="s">
        <v>685</v>
      </c>
      <c r="I9" s="108">
        <f>Water!C5</f>
        <v>0</v>
      </c>
      <c r="J9" s="101" t="s">
        <v>686</v>
      </c>
      <c r="K9" s="109">
        <f>G9*(I9/60)</f>
        <v>0</v>
      </c>
      <c r="L9" s="101" t="s">
        <v>676</v>
      </c>
      <c r="M9" s="116" t="s">
        <v>678</v>
      </c>
      <c r="N9" s="115" t="s">
        <v>679</v>
      </c>
      <c r="O9" s="112">
        <f t="shared" si="0"/>
        <v>0</v>
      </c>
      <c r="P9" s="8" t="s">
        <v>676</v>
      </c>
      <c r="Q9" s="117">
        <v>566.4176188837846</v>
      </c>
      <c r="R9" s="101" t="s">
        <v>687</v>
      </c>
      <c r="S9" s="8"/>
    </row>
    <row r="10" spans="1:19" ht="14.4" thickBot="1" x14ac:dyDescent="0.3">
      <c r="A10" s="118" t="s">
        <v>688</v>
      </c>
      <c r="B10" s="8"/>
      <c r="C10" s="8"/>
      <c r="D10" s="8"/>
      <c r="F10" s="107" t="s">
        <v>689</v>
      </c>
      <c r="G10" s="14">
        <v>12</v>
      </c>
      <c r="H10" s="8" t="s">
        <v>685</v>
      </c>
      <c r="I10" s="108">
        <f>Water!C6</f>
        <v>0</v>
      </c>
      <c r="J10" s="101" t="s">
        <v>686</v>
      </c>
      <c r="K10" s="109">
        <f>G10*(I10/60)</f>
        <v>0</v>
      </c>
      <c r="L10" s="101" t="s">
        <v>676</v>
      </c>
      <c r="M10" s="116" t="s">
        <v>678</v>
      </c>
      <c r="N10" s="115" t="s">
        <v>679</v>
      </c>
      <c r="O10" s="112">
        <f t="shared" si="0"/>
        <v>0</v>
      </c>
      <c r="P10" s="8" t="s">
        <v>676</v>
      </c>
      <c r="Q10" s="106" t="s">
        <v>690</v>
      </c>
      <c r="R10" s="101"/>
      <c r="S10" s="8"/>
    </row>
    <row r="11" spans="1:19" ht="14.4" thickBot="1" x14ac:dyDescent="0.3">
      <c r="A11" s="8" t="s">
        <v>691</v>
      </c>
      <c r="B11" s="8"/>
      <c r="C11" s="8"/>
      <c r="D11" s="8"/>
      <c r="F11" s="107" t="s">
        <v>692</v>
      </c>
      <c r="G11" s="14">
        <v>185</v>
      </c>
      <c r="H11" s="8" t="s">
        <v>693</v>
      </c>
      <c r="I11" s="108">
        <f>Water!C7</f>
        <v>0</v>
      </c>
      <c r="J11" s="101" t="s">
        <v>694</v>
      </c>
      <c r="K11" s="109">
        <f>G11*I11</f>
        <v>0</v>
      </c>
      <c r="L11" s="101" t="s">
        <v>676</v>
      </c>
      <c r="M11" s="116" t="s">
        <v>678</v>
      </c>
      <c r="N11" s="115" t="s">
        <v>679</v>
      </c>
      <c r="O11" s="112">
        <f t="shared" si="0"/>
        <v>0</v>
      </c>
      <c r="P11" s="8" t="s">
        <v>676</v>
      </c>
      <c r="Q11" s="119">
        <v>100</v>
      </c>
      <c r="R11" s="101" t="s">
        <v>485</v>
      </c>
      <c r="S11" s="8"/>
    </row>
    <row r="12" spans="1:19" ht="14.4" thickBot="1" x14ac:dyDescent="0.3">
      <c r="A12" s="8"/>
      <c r="B12" s="8"/>
      <c r="C12" s="8"/>
      <c r="D12" s="8"/>
      <c r="F12" s="107" t="s">
        <v>695</v>
      </c>
      <c r="G12" s="14">
        <v>12</v>
      </c>
      <c r="H12" s="8" t="s">
        <v>685</v>
      </c>
      <c r="I12" s="108">
        <f>Water!C8</f>
        <v>0</v>
      </c>
      <c r="J12" s="101" t="s">
        <v>686</v>
      </c>
      <c r="K12" s="109">
        <f>G12*(I12/60)</f>
        <v>0</v>
      </c>
      <c r="L12" s="101" t="s">
        <v>676</v>
      </c>
      <c r="M12" s="116" t="s">
        <v>679</v>
      </c>
      <c r="N12" s="115" t="s">
        <v>679</v>
      </c>
      <c r="O12" s="120">
        <f t="shared" si="0"/>
        <v>0</v>
      </c>
      <c r="P12" s="8" t="s">
        <v>676</v>
      </c>
      <c r="Q12" s="106" t="s">
        <v>696</v>
      </c>
      <c r="R12" s="101"/>
      <c r="S12" s="8"/>
    </row>
    <row r="13" spans="1:19" ht="14.4" thickBot="1" x14ac:dyDescent="0.3">
      <c r="A13" s="8"/>
      <c r="B13" s="8"/>
      <c r="C13" s="8"/>
      <c r="D13" s="8"/>
      <c r="F13" s="866" t="s">
        <v>697</v>
      </c>
      <c r="G13" s="867"/>
      <c r="H13" s="867"/>
      <c r="I13" s="867"/>
      <c r="J13" s="867"/>
      <c r="K13" s="121">
        <f>SUM(K7:K12)</f>
        <v>0</v>
      </c>
      <c r="L13" s="122" t="s">
        <v>676</v>
      </c>
      <c r="M13" s="104"/>
      <c r="N13" s="123"/>
      <c r="O13" s="42"/>
      <c r="P13" s="8"/>
      <c r="Q13" s="124">
        <f>IF(Q7="Yes",(Q9/1000)*Q11,0)</f>
        <v>0</v>
      </c>
      <c r="R13" s="101" t="s">
        <v>698</v>
      </c>
      <c r="S13" s="8"/>
    </row>
    <row r="14" spans="1:19" ht="14.4" thickBot="1" x14ac:dyDescent="0.3">
      <c r="A14" s="8"/>
      <c r="B14" s="8"/>
      <c r="C14" s="8"/>
      <c r="D14" s="8"/>
      <c r="F14" s="106" t="s">
        <v>699</v>
      </c>
      <c r="G14" s="878" t="s">
        <v>665</v>
      </c>
      <c r="H14" s="878"/>
      <c r="I14" s="873" t="s">
        <v>666</v>
      </c>
      <c r="J14" s="874"/>
      <c r="K14" s="873" t="s">
        <v>667</v>
      </c>
      <c r="L14" s="874"/>
      <c r="M14" s="125"/>
      <c r="N14" s="103"/>
      <c r="O14" s="42"/>
      <c r="P14" s="8"/>
      <c r="Q14" s="124">
        <f>(Q13*1000)/365</f>
        <v>0</v>
      </c>
      <c r="R14" s="101" t="s">
        <v>700</v>
      </c>
      <c r="S14" s="8"/>
    </row>
    <row r="15" spans="1:19" ht="14.4" thickBot="1" x14ac:dyDescent="0.3">
      <c r="A15" s="8"/>
      <c r="B15" s="8"/>
      <c r="C15" s="8"/>
      <c r="D15" s="8"/>
      <c r="F15" s="107" t="s">
        <v>701</v>
      </c>
      <c r="G15" s="14">
        <v>11.5</v>
      </c>
      <c r="H15" s="8" t="s">
        <v>702</v>
      </c>
      <c r="I15" s="108">
        <f>Water!C9</f>
        <v>0</v>
      </c>
      <c r="J15" s="101" t="s">
        <v>703</v>
      </c>
      <c r="K15" s="126">
        <f>G15*I15</f>
        <v>0</v>
      </c>
      <c r="L15" s="101" t="s">
        <v>676</v>
      </c>
      <c r="M15" s="116" t="s">
        <v>679</v>
      </c>
      <c r="N15" s="127" t="s">
        <v>679</v>
      </c>
      <c r="O15" s="128">
        <f>IF(N15="Yes",K15*$N$21,0)</f>
        <v>0</v>
      </c>
      <c r="P15" s="8" t="s">
        <v>676</v>
      </c>
      <c r="Q15" s="106" t="s">
        <v>704</v>
      </c>
      <c r="R15" s="101"/>
      <c r="S15" s="8"/>
    </row>
    <row r="16" spans="1:19" ht="14.4" thickBot="1" x14ac:dyDescent="0.3">
      <c r="A16" s="8"/>
      <c r="B16" s="8"/>
      <c r="C16" s="8"/>
      <c r="D16" s="8"/>
      <c r="F16" s="107" t="s">
        <v>705</v>
      </c>
      <c r="G16" s="14">
        <v>43.5</v>
      </c>
      <c r="H16" s="8" t="s">
        <v>702</v>
      </c>
      <c r="I16" s="108">
        <f>Water!C10</f>
        <v>0</v>
      </c>
      <c r="J16" s="101" t="s">
        <v>703</v>
      </c>
      <c r="K16" s="126">
        <f>G16*I16</f>
        <v>0</v>
      </c>
      <c r="L16" s="101" t="s">
        <v>676</v>
      </c>
      <c r="M16" s="129" t="s">
        <v>679</v>
      </c>
      <c r="N16" s="130" t="s">
        <v>679</v>
      </c>
      <c r="O16" s="120">
        <f>IF(N16="Yes",K16*$N$21,0)</f>
        <v>0</v>
      </c>
      <c r="P16" s="8" t="s">
        <v>676</v>
      </c>
      <c r="Q16" s="131">
        <f>Q14*Q18</f>
        <v>0</v>
      </c>
      <c r="R16" s="101" t="s">
        <v>700</v>
      </c>
      <c r="S16" s="8"/>
    </row>
    <row r="17" spans="1:19" ht="14.4" thickBot="1" x14ac:dyDescent="0.3">
      <c r="A17" s="8"/>
      <c r="B17" s="8"/>
      <c r="C17" s="8"/>
      <c r="D17" s="8"/>
      <c r="F17" s="866" t="s">
        <v>706</v>
      </c>
      <c r="G17" s="867"/>
      <c r="H17" s="867"/>
      <c r="I17" s="867"/>
      <c r="J17" s="867"/>
      <c r="K17" s="121">
        <f>SUM(K15:K16)</f>
        <v>0</v>
      </c>
      <c r="L17" s="122" t="s">
        <v>676</v>
      </c>
      <c r="M17" s="132"/>
      <c r="N17" s="133"/>
      <c r="O17" s="8"/>
      <c r="P17" s="8"/>
      <c r="Q17" s="106" t="s">
        <v>707</v>
      </c>
      <c r="R17" s="101"/>
      <c r="S17" s="8"/>
    </row>
    <row r="18" spans="1:19" ht="14.4" thickBot="1" x14ac:dyDescent="0.3">
      <c r="A18" s="8"/>
      <c r="B18" s="8"/>
      <c r="C18" s="8"/>
      <c r="D18" s="8"/>
      <c r="F18" s="107" t="s">
        <v>708</v>
      </c>
      <c r="G18" s="134">
        <f>Water!C11</f>
        <v>0</v>
      </c>
      <c r="H18" s="8" t="s">
        <v>709</v>
      </c>
      <c r="I18" s="135"/>
      <c r="J18" s="135"/>
      <c r="K18" s="136">
        <f>G18</f>
        <v>0</v>
      </c>
      <c r="L18" s="101" t="s">
        <v>676</v>
      </c>
      <c r="M18" s="137" t="s">
        <v>677</v>
      </c>
      <c r="N18" s="127" t="s">
        <v>678</v>
      </c>
      <c r="O18" s="138" t="e">
        <f>IF(N18="Yes",K18*$N$21,0)</f>
        <v>#DIV/0!</v>
      </c>
      <c r="P18" s="8" t="s">
        <v>676</v>
      </c>
      <c r="Q18" s="139">
        <v>0.7</v>
      </c>
      <c r="R18" s="101"/>
      <c r="S18" s="8"/>
    </row>
    <row r="19" spans="1:19" ht="14.4" thickBot="1" x14ac:dyDescent="0.3">
      <c r="A19" s="8"/>
      <c r="B19" s="8"/>
      <c r="C19" s="8"/>
      <c r="D19" s="8"/>
      <c r="F19" s="140" t="s">
        <v>710</v>
      </c>
      <c r="G19" s="141"/>
      <c r="H19" s="141"/>
      <c r="I19" s="142"/>
      <c r="J19" s="143"/>
      <c r="K19" s="144">
        <f>K13+K17+K18</f>
        <v>0</v>
      </c>
      <c r="L19" s="143" t="s">
        <v>676</v>
      </c>
      <c r="M19" s="145">
        <f>SUMIF(M9:M18,"Yes",K9:K18)</f>
        <v>0</v>
      </c>
      <c r="N19" s="146">
        <f>SUMIF(N7:N18,"Yes",K7:K18)</f>
        <v>0</v>
      </c>
      <c r="O19" s="8"/>
      <c r="P19" s="8"/>
      <c r="Q19" s="8"/>
      <c r="R19" s="101"/>
      <c r="S19" s="8"/>
    </row>
    <row r="20" spans="1:19" ht="14.4" thickBot="1" x14ac:dyDescent="0.3">
      <c r="A20" s="8"/>
      <c r="B20" s="8"/>
      <c r="C20" s="8"/>
      <c r="D20" s="8"/>
      <c r="F20" s="147"/>
      <c r="G20" s="147"/>
      <c r="H20" s="147"/>
      <c r="I20" s="147"/>
      <c r="J20" s="147"/>
      <c r="K20" s="147"/>
      <c r="L20" s="147"/>
      <c r="M20" s="148" t="s">
        <v>711</v>
      </c>
      <c r="N20" s="149" t="e">
        <f>(M19+Q16)/N19</f>
        <v>#DIV/0!</v>
      </c>
      <c r="O20" s="8"/>
      <c r="P20" s="8"/>
      <c r="Q20" s="8"/>
      <c r="R20" s="101"/>
      <c r="S20" s="8"/>
    </row>
    <row r="21" spans="1:19" ht="47.25" customHeight="1" thickBot="1" x14ac:dyDescent="0.3">
      <c r="A21" s="150" t="s">
        <v>60</v>
      </c>
      <c r="B21" s="151" cm="1">
        <f t="array" ref="B21">WaterCarbonFactor[kgCO2e/m3 ]</f>
        <v>0.1517</v>
      </c>
      <c r="C21" s="152" t="s">
        <v>61</v>
      </c>
      <c r="D21" s="153" t="s">
        <v>62</v>
      </c>
      <c r="F21" s="154" t="s">
        <v>712</v>
      </c>
      <c r="G21" s="155">
        <f>$B$3</f>
        <v>0.60000000000000009</v>
      </c>
      <c r="H21" s="156" t="s">
        <v>713</v>
      </c>
      <c r="I21" s="157" t="s">
        <v>714</v>
      </c>
      <c r="J21" s="158" t="s">
        <v>715</v>
      </c>
      <c r="K21" s="147"/>
      <c r="L21" s="147"/>
      <c r="M21" s="159" t="s">
        <v>716</v>
      </c>
      <c r="N21" s="160" t="e">
        <f>IF(N20&gt;1,1,N20)</f>
        <v>#DIV/0!</v>
      </c>
      <c r="O21" s="8"/>
      <c r="P21" s="8"/>
      <c r="Q21" s="8"/>
      <c r="R21" s="101"/>
      <c r="S21" s="8"/>
    </row>
    <row r="22" spans="1:19" ht="15" customHeight="1" thickBot="1" x14ac:dyDescent="0.3">
      <c r="A22" s="161"/>
      <c r="B22" s="9"/>
      <c r="C22" s="8"/>
      <c r="D22" s="162"/>
      <c r="F22" s="869" t="s">
        <v>717</v>
      </c>
      <c r="G22" s="163" t="s">
        <v>718</v>
      </c>
      <c r="H22" s="164">
        <f>((K7+K8)/1000)*$G$5</f>
        <v>0</v>
      </c>
      <c r="I22" s="165" t="e">
        <f>H22-J22</f>
        <v>#DIV/0!</v>
      </c>
      <c r="J22" s="166" t="e">
        <f>((O7+O8)/1000)*$G$5</f>
        <v>#DIV/0!</v>
      </c>
      <c r="K22" s="147"/>
      <c r="L22" s="147"/>
      <c r="M22" s="8"/>
      <c r="N22" s="8"/>
      <c r="O22" s="8"/>
      <c r="P22" s="8"/>
      <c r="Q22" s="8"/>
      <c r="R22" s="101"/>
      <c r="S22" s="8"/>
    </row>
    <row r="23" spans="1:19" ht="14.4" thickBot="1" x14ac:dyDescent="0.3">
      <c r="A23" s="167" t="s">
        <v>719</v>
      </c>
      <c r="B23" s="168">
        <f>B21*H32</f>
        <v>0</v>
      </c>
      <c r="C23" s="8" t="s">
        <v>720</v>
      </c>
      <c r="D23" s="101"/>
      <c r="F23" s="879"/>
      <c r="G23" s="163" t="s">
        <v>721</v>
      </c>
      <c r="H23" s="169">
        <f>(K9/1000)*$G$5</f>
        <v>0</v>
      </c>
      <c r="I23" s="170">
        <f>H23-J23</f>
        <v>0</v>
      </c>
      <c r="J23" s="171">
        <f>(O9/1000)*$G$5</f>
        <v>0</v>
      </c>
      <c r="K23" s="147"/>
      <c r="L23" s="147"/>
      <c r="M23" s="172"/>
      <c r="N23" s="173" t="s">
        <v>722</v>
      </c>
      <c r="O23" s="174" t="s">
        <v>723</v>
      </c>
      <c r="P23" s="173" t="s">
        <v>724</v>
      </c>
      <c r="Q23" s="174" t="s">
        <v>725</v>
      </c>
      <c r="R23" s="101"/>
      <c r="S23" s="8"/>
    </row>
    <row r="24" spans="1:19" x14ac:dyDescent="0.25">
      <c r="A24" s="175" t="s">
        <v>1581</v>
      </c>
      <c r="B24" s="39">
        <f>B23*50</f>
        <v>0</v>
      </c>
      <c r="C24" s="8"/>
      <c r="D24" s="101"/>
      <c r="F24" s="879"/>
      <c r="G24" s="163" t="s">
        <v>726</v>
      </c>
      <c r="H24" s="169">
        <f>(K10/1000)*$G$5</f>
        <v>0</v>
      </c>
      <c r="I24" s="170">
        <f>H24-J24</f>
        <v>0</v>
      </c>
      <c r="J24" s="171">
        <f>(O10/1000)*$G$5</f>
        <v>0</v>
      </c>
      <c r="K24" s="147"/>
      <c r="L24" s="147"/>
      <c r="M24" s="177" t="s">
        <v>718</v>
      </c>
      <c r="N24" s="178">
        <f t="shared" ref="N24:O28" si="1">H22</f>
        <v>0</v>
      </c>
      <c r="O24" s="178" t="e">
        <f t="shared" si="1"/>
        <v>#DIV/0!</v>
      </c>
      <c r="P24" s="179" t="e">
        <f t="shared" ref="P24:Q31" si="2">N24/SUM(N$24:N$31)</f>
        <v>#DIV/0!</v>
      </c>
      <c r="Q24" s="180" t="e">
        <f t="shared" si="2"/>
        <v>#DIV/0!</v>
      </c>
      <c r="R24" s="101"/>
      <c r="S24" s="8"/>
    </row>
    <row r="25" spans="1:19" x14ac:dyDescent="0.25">
      <c r="A25" s="181" t="s">
        <v>727</v>
      </c>
      <c r="B25" s="182">
        <f>B23*50</f>
        <v>0</v>
      </c>
      <c r="C25" s="147" t="s">
        <v>728</v>
      </c>
      <c r="D25" s="101"/>
      <c r="F25" s="879"/>
      <c r="G25" s="163" t="s">
        <v>692</v>
      </c>
      <c r="H25" s="169">
        <f>(K11/1000)*$G$5</f>
        <v>0</v>
      </c>
      <c r="I25" s="170">
        <f>H25-J25</f>
        <v>0</v>
      </c>
      <c r="J25" s="171">
        <f>(O11/1000)*$G$5</f>
        <v>0</v>
      </c>
      <c r="K25" s="147"/>
      <c r="L25" s="147"/>
      <c r="M25" s="183" t="s">
        <v>721</v>
      </c>
      <c r="N25" s="184">
        <f t="shared" si="1"/>
        <v>0</v>
      </c>
      <c r="O25" s="184">
        <f t="shared" si="1"/>
        <v>0</v>
      </c>
      <c r="P25" s="179" t="e">
        <f t="shared" si="2"/>
        <v>#DIV/0!</v>
      </c>
      <c r="Q25" s="180" t="e">
        <f t="shared" si="2"/>
        <v>#DIV/0!</v>
      </c>
      <c r="R25" s="101"/>
      <c r="S25" s="8"/>
    </row>
    <row r="26" spans="1:19" ht="14.4" thickBot="1" x14ac:dyDescent="0.3">
      <c r="A26" s="185"/>
      <c r="B26" s="186"/>
      <c r="C26" s="186"/>
      <c r="D26" s="187"/>
      <c r="F26" s="879"/>
      <c r="G26" s="163" t="s">
        <v>729</v>
      </c>
      <c r="H26" s="169">
        <f>(K12/1000)*$G$5</f>
        <v>0</v>
      </c>
      <c r="I26" s="170">
        <f>H26-J26</f>
        <v>0</v>
      </c>
      <c r="J26" s="171">
        <f>(O12/1000)*$G$5</f>
        <v>0</v>
      </c>
      <c r="K26" s="147"/>
      <c r="L26" s="147"/>
      <c r="M26" s="183" t="s">
        <v>726</v>
      </c>
      <c r="N26" s="184">
        <f t="shared" si="1"/>
        <v>0</v>
      </c>
      <c r="O26" s="184">
        <f t="shared" si="1"/>
        <v>0</v>
      </c>
      <c r="P26" s="179" t="e">
        <f t="shared" si="2"/>
        <v>#DIV/0!</v>
      </c>
      <c r="Q26" s="180" t="e">
        <f t="shared" si="2"/>
        <v>#DIV/0!</v>
      </c>
      <c r="R26" s="101"/>
      <c r="S26" s="8"/>
    </row>
    <row r="27" spans="1:19" ht="14.4" thickBot="1" x14ac:dyDescent="0.3">
      <c r="A27" s="8"/>
      <c r="B27" s="8"/>
      <c r="C27" s="8"/>
      <c r="D27" s="8"/>
      <c r="F27" s="880"/>
      <c r="G27" s="189" t="s">
        <v>730</v>
      </c>
      <c r="H27" s="190">
        <f>SUM(H22:H26)</f>
        <v>0</v>
      </c>
      <c r="I27" s="191" t="e">
        <f>SUM(I22:I26)</f>
        <v>#DIV/0!</v>
      </c>
      <c r="J27" s="192" t="e">
        <f>SUM(J22:J26)</f>
        <v>#DIV/0!</v>
      </c>
      <c r="K27" s="147"/>
      <c r="L27" s="147"/>
      <c r="M27" s="183" t="s">
        <v>692</v>
      </c>
      <c r="N27" s="184">
        <f t="shared" si="1"/>
        <v>0</v>
      </c>
      <c r="O27" s="184">
        <f t="shared" si="1"/>
        <v>0</v>
      </c>
      <c r="P27" s="179" t="e">
        <f t="shared" si="2"/>
        <v>#DIV/0!</v>
      </c>
      <c r="Q27" s="180" t="e">
        <f t="shared" si="2"/>
        <v>#DIV/0!</v>
      </c>
      <c r="R27" s="101"/>
      <c r="S27" s="8"/>
    </row>
    <row r="28" spans="1:19" ht="15" customHeight="1" thickBot="1" x14ac:dyDescent="0.3">
      <c r="F28" s="869" t="s">
        <v>731</v>
      </c>
      <c r="G28" s="163" t="s">
        <v>732</v>
      </c>
      <c r="H28" s="169">
        <f>(K15/1000)*$G$5</f>
        <v>0</v>
      </c>
      <c r="I28" s="170">
        <f>H28-J28</f>
        <v>0</v>
      </c>
      <c r="J28" s="171">
        <f>(O15/1000)*$G$5</f>
        <v>0</v>
      </c>
      <c r="K28" s="147"/>
      <c r="L28" s="147"/>
      <c r="M28" s="183" t="s">
        <v>729</v>
      </c>
      <c r="N28" s="184">
        <f t="shared" si="1"/>
        <v>0</v>
      </c>
      <c r="O28" s="184">
        <f t="shared" si="1"/>
        <v>0</v>
      </c>
      <c r="P28" s="179" t="e">
        <f t="shared" si="2"/>
        <v>#DIV/0!</v>
      </c>
      <c r="Q28" s="180" t="e">
        <f t="shared" si="2"/>
        <v>#DIV/0!</v>
      </c>
      <c r="R28" s="101"/>
      <c r="S28" s="8"/>
    </row>
    <row r="29" spans="1:19" ht="14.4" thickBot="1" x14ac:dyDescent="0.3">
      <c r="F29" s="881"/>
      <c r="G29" s="163" t="s">
        <v>733</v>
      </c>
      <c r="H29" s="169">
        <f>(K16/1000)*$G$5</f>
        <v>0</v>
      </c>
      <c r="I29" s="170">
        <f>H29-J29</f>
        <v>0</v>
      </c>
      <c r="J29" s="171">
        <f>(O16/1000)*$G$5</f>
        <v>0</v>
      </c>
      <c r="K29" s="147"/>
      <c r="L29" s="147"/>
      <c r="M29" s="177" t="s">
        <v>732</v>
      </c>
      <c r="N29" s="178">
        <f>H28</f>
        <v>0</v>
      </c>
      <c r="O29" s="178">
        <f>I28</f>
        <v>0</v>
      </c>
      <c r="P29" s="193" t="e">
        <f t="shared" si="2"/>
        <v>#DIV/0!</v>
      </c>
      <c r="Q29" s="194" t="e">
        <f t="shared" si="2"/>
        <v>#DIV/0!</v>
      </c>
      <c r="R29" s="101"/>
      <c r="S29" s="8"/>
    </row>
    <row r="30" spans="1:19" ht="14.4" thickBot="1" x14ac:dyDescent="0.3">
      <c r="F30" s="880"/>
      <c r="G30" s="189" t="s">
        <v>730</v>
      </c>
      <c r="H30" s="195">
        <f>SUM(H28:H29)</f>
        <v>0</v>
      </c>
      <c r="I30" s="196">
        <f>SUM(I28:I29)</f>
        <v>0</v>
      </c>
      <c r="J30" s="197">
        <f>SUM(J28:J29)</f>
        <v>0</v>
      </c>
      <c r="K30" s="147"/>
      <c r="L30" s="147"/>
      <c r="M30" s="198" t="s">
        <v>733</v>
      </c>
      <c r="N30" s="199">
        <f>H29</f>
        <v>0</v>
      </c>
      <c r="O30" s="199">
        <f>I29</f>
        <v>0</v>
      </c>
      <c r="P30" s="200" t="e">
        <f t="shared" si="2"/>
        <v>#DIV/0!</v>
      </c>
      <c r="Q30" s="201" t="e">
        <f t="shared" si="2"/>
        <v>#DIV/0!</v>
      </c>
      <c r="R30" s="101"/>
      <c r="S30" s="8"/>
    </row>
    <row r="31" spans="1:19" ht="14.4" thickBot="1" x14ac:dyDescent="0.3">
      <c r="F31" s="202" t="s">
        <v>708</v>
      </c>
      <c r="G31" s="203" t="s">
        <v>708</v>
      </c>
      <c r="H31" s="204">
        <f>(K18/1000)*365</f>
        <v>0</v>
      </c>
      <c r="I31" s="205" t="e">
        <f>H31-J31</f>
        <v>#DIV/0!</v>
      </c>
      <c r="J31" s="206" t="e">
        <f>(O18/1000)*365</f>
        <v>#DIV/0!</v>
      </c>
      <c r="K31" s="147"/>
      <c r="L31" s="147"/>
      <c r="M31" s="198" t="s">
        <v>708</v>
      </c>
      <c r="N31" s="199">
        <f>H31</f>
        <v>0</v>
      </c>
      <c r="O31" s="199" t="e">
        <f>I31</f>
        <v>#DIV/0!</v>
      </c>
      <c r="P31" s="200" t="e">
        <f t="shared" si="2"/>
        <v>#DIV/0!</v>
      </c>
      <c r="Q31" s="201" t="e">
        <f t="shared" si="2"/>
        <v>#DIV/0!</v>
      </c>
      <c r="R31" s="101"/>
      <c r="S31" s="8"/>
    </row>
    <row r="32" spans="1:19" ht="16.2" thickBot="1" x14ac:dyDescent="0.3">
      <c r="F32" s="207"/>
      <c r="G32" s="140" t="s">
        <v>734</v>
      </c>
      <c r="H32" s="208">
        <f>H27+H30+H31</f>
        <v>0</v>
      </c>
      <c r="I32" s="208" t="e">
        <f>I27+I30+I31</f>
        <v>#DIV/0!</v>
      </c>
      <c r="J32" s="209" t="e">
        <f>J27+J30+J31</f>
        <v>#DIV/0!</v>
      </c>
      <c r="K32" s="147"/>
      <c r="L32" s="147"/>
      <c r="M32" s="8"/>
      <c r="N32" s="8"/>
      <c r="O32" s="8"/>
      <c r="P32" s="8"/>
      <c r="Q32" s="8"/>
      <c r="R32" s="101"/>
      <c r="S32" s="8"/>
    </row>
    <row r="33" spans="6:19" ht="14.4" thickBot="1" x14ac:dyDescent="0.3">
      <c r="F33" s="207"/>
      <c r="G33" s="210" t="s">
        <v>735</v>
      </c>
      <c r="H33" s="211" t="e">
        <f>(H32/H32)*100</f>
        <v>#DIV/0!</v>
      </c>
      <c r="I33" s="212" t="e">
        <f>(I32/H32)*100</f>
        <v>#DIV/0!</v>
      </c>
      <c r="J33" s="213" t="e">
        <f>(J32/H32)*100</f>
        <v>#DIV/0!</v>
      </c>
      <c r="K33" s="56"/>
      <c r="L33" s="56"/>
      <c r="M33" s="8"/>
      <c r="N33" s="8"/>
      <c r="O33" s="8"/>
      <c r="P33" s="8"/>
      <c r="Q33" s="8"/>
      <c r="R33" s="101"/>
      <c r="S33" s="8"/>
    </row>
    <row r="34" spans="6:19" x14ac:dyDescent="0.25">
      <c r="F34" s="207"/>
      <c r="G34" s="56"/>
      <c r="H34" s="56"/>
      <c r="I34" s="56"/>
      <c r="J34" s="56"/>
      <c r="K34" s="56"/>
      <c r="L34" s="56"/>
      <c r="M34" s="8"/>
      <c r="N34" s="8"/>
      <c r="O34" s="8"/>
      <c r="P34" s="8"/>
      <c r="Q34" s="8"/>
      <c r="R34" s="101"/>
      <c r="S34" s="8"/>
    </row>
    <row r="35" spans="6:19" x14ac:dyDescent="0.25">
      <c r="F35" s="214"/>
      <c r="G35" s="215"/>
      <c r="H35" s="215"/>
      <c r="I35" s="215"/>
      <c r="J35" s="215"/>
      <c r="K35" s="215"/>
      <c r="L35" s="215"/>
      <c r="R35" s="93"/>
    </row>
    <row r="36" spans="6:19" x14ac:dyDescent="0.25">
      <c r="F36" s="214"/>
      <c r="G36" s="215"/>
      <c r="H36" s="215"/>
      <c r="I36" s="215"/>
      <c r="J36" s="215"/>
      <c r="K36" s="215"/>
      <c r="L36" s="215"/>
      <c r="R36" s="93"/>
    </row>
    <row r="37" spans="6:19" x14ac:dyDescent="0.25">
      <c r="F37" s="214"/>
      <c r="G37" s="215"/>
      <c r="H37" s="215"/>
      <c r="I37" s="215"/>
      <c r="J37" s="215"/>
      <c r="K37" s="215"/>
      <c r="L37" s="215"/>
      <c r="R37" s="93"/>
    </row>
    <row r="38" spans="6:19" x14ac:dyDescent="0.25">
      <c r="F38" s="214"/>
      <c r="G38" s="215"/>
      <c r="H38" s="215"/>
      <c r="I38" s="215"/>
      <c r="J38" s="215"/>
      <c r="K38" s="215"/>
      <c r="L38" s="215"/>
      <c r="R38" s="93"/>
    </row>
    <row r="39" spans="6:19" x14ac:dyDescent="0.25">
      <c r="F39" s="214"/>
      <c r="G39" s="215"/>
      <c r="H39" s="215"/>
      <c r="I39" s="215"/>
      <c r="J39" s="215"/>
      <c r="K39" s="215"/>
      <c r="L39" s="215"/>
      <c r="R39" s="93"/>
    </row>
    <row r="40" spans="6:19" x14ac:dyDescent="0.25">
      <c r="F40" s="214"/>
      <c r="G40" s="215"/>
      <c r="H40" s="215"/>
      <c r="I40" s="215"/>
      <c r="J40" s="215"/>
      <c r="K40" s="215"/>
      <c r="L40" s="215"/>
      <c r="R40" s="93"/>
    </row>
    <row r="41" spans="6:19" x14ac:dyDescent="0.25">
      <c r="F41" s="214"/>
      <c r="G41" s="215"/>
      <c r="H41" s="215"/>
      <c r="I41" s="215"/>
      <c r="J41" s="215"/>
      <c r="K41" s="215"/>
      <c r="L41" s="215"/>
    </row>
    <row r="42" spans="6:19" x14ac:dyDescent="0.25">
      <c r="F42" s="214"/>
      <c r="G42" s="215"/>
      <c r="H42" s="215"/>
      <c r="I42" s="215"/>
      <c r="J42" s="215"/>
      <c r="K42" s="215"/>
      <c r="L42" s="215"/>
    </row>
    <row r="51" spans="1:18" ht="22.8" x14ac:dyDescent="0.4">
      <c r="F51" s="91" t="s">
        <v>736</v>
      </c>
      <c r="G51" s="92"/>
      <c r="H51" s="92"/>
      <c r="I51" s="92"/>
      <c r="J51" s="92"/>
      <c r="K51" s="92"/>
      <c r="L51" s="92"/>
      <c r="M51" s="91" t="s">
        <v>736</v>
      </c>
      <c r="R51" s="93"/>
    </row>
    <row r="52" spans="1:18" ht="18" thickBot="1" x14ac:dyDescent="0.35">
      <c r="F52" s="96"/>
      <c r="G52" s="97"/>
      <c r="H52" s="96"/>
      <c r="R52" s="93"/>
    </row>
    <row r="53" spans="1:18" ht="14.4" thickBot="1" x14ac:dyDescent="0.3">
      <c r="F53" s="98" t="s">
        <v>737</v>
      </c>
      <c r="G53" s="216">
        <v>0.5</v>
      </c>
      <c r="H53" s="217" t="s">
        <v>738</v>
      </c>
      <c r="I53" s="218">
        <f>L53-G53</f>
        <v>0.5</v>
      </c>
      <c r="J53" s="219"/>
      <c r="K53" s="220" t="s">
        <v>739</v>
      </c>
      <c r="L53" s="221">
        <v>1</v>
      </c>
      <c r="M53" s="8"/>
      <c r="N53" s="8"/>
      <c r="O53" s="8"/>
      <c r="P53" s="8"/>
      <c r="Q53" s="8"/>
      <c r="R53" s="101"/>
    </row>
    <row r="54" spans="1:18" ht="14.4" thickBot="1" x14ac:dyDescent="0.3">
      <c r="A54" s="84"/>
      <c r="B54" s="222"/>
      <c r="C54" s="222"/>
      <c r="D54" s="222"/>
      <c r="F54" s="188" t="s">
        <v>662</v>
      </c>
      <c r="G54" s="223">
        <v>250</v>
      </c>
      <c r="H54" s="186" t="s">
        <v>663</v>
      </c>
      <c r="I54" s="135"/>
      <c r="J54" s="8"/>
      <c r="K54" s="224" t="s">
        <v>740</v>
      </c>
      <c r="L54" s="225">
        <v>0.05</v>
      </c>
      <c r="M54" s="8"/>
      <c r="N54" s="8"/>
      <c r="O54" s="8"/>
      <c r="P54" s="8"/>
      <c r="Q54" s="8"/>
      <c r="R54" s="101"/>
    </row>
    <row r="55" spans="1:18" ht="14.4" thickBot="1" x14ac:dyDescent="0.3">
      <c r="A55" s="84"/>
      <c r="B55" s="222"/>
      <c r="C55" s="222"/>
      <c r="D55" s="222"/>
      <c r="F55" s="102" t="s">
        <v>459</v>
      </c>
      <c r="G55" s="871" t="s">
        <v>665</v>
      </c>
      <c r="H55" s="872"/>
      <c r="I55" s="873" t="s">
        <v>666</v>
      </c>
      <c r="J55" s="874"/>
      <c r="K55" s="871" t="s">
        <v>667</v>
      </c>
      <c r="L55" s="872"/>
      <c r="M55" s="104" t="s">
        <v>668</v>
      </c>
      <c r="N55" s="105" t="s">
        <v>669</v>
      </c>
      <c r="O55" s="123" t="s">
        <v>670</v>
      </c>
      <c r="P55" s="8"/>
      <c r="Q55" s="106" t="s">
        <v>671</v>
      </c>
      <c r="R55" s="101"/>
    </row>
    <row r="56" spans="1:18" ht="14.4" thickBot="1" x14ac:dyDescent="0.3">
      <c r="A56" s="84"/>
      <c r="B56" s="222"/>
      <c r="C56" s="222"/>
      <c r="D56" s="222"/>
      <c r="F56" s="226" t="s">
        <v>673</v>
      </c>
      <c r="G56" s="227">
        <v>7.5</v>
      </c>
      <c r="H56" s="152" t="s">
        <v>674</v>
      </c>
      <c r="I56" s="227">
        <v>1</v>
      </c>
      <c r="J56" s="228" t="s">
        <v>675</v>
      </c>
      <c r="K56" s="229">
        <f>G56*I56</f>
        <v>7.5</v>
      </c>
      <c r="L56" s="152" t="s">
        <v>676</v>
      </c>
      <c r="M56" s="110" t="s">
        <v>677</v>
      </c>
      <c r="N56" s="111" t="s">
        <v>678</v>
      </c>
      <c r="O56" s="128">
        <f t="shared" ref="O56:O61" si="3">IF(N56="Yes",K56*$N$73,0)</f>
        <v>7.5</v>
      </c>
      <c r="P56" s="8" t="s">
        <v>676</v>
      </c>
      <c r="Q56" s="113" t="s">
        <v>678</v>
      </c>
      <c r="R56" s="101"/>
    </row>
    <row r="57" spans="1:18" ht="14.4" thickBot="1" x14ac:dyDescent="0.3">
      <c r="A57" s="84"/>
      <c r="B57" s="222"/>
      <c r="C57" s="222"/>
      <c r="D57" s="222"/>
      <c r="F57" s="107" t="s">
        <v>681</v>
      </c>
      <c r="G57" s="230">
        <v>4.5</v>
      </c>
      <c r="H57" s="8" t="s">
        <v>682</v>
      </c>
      <c r="I57" s="230">
        <v>2</v>
      </c>
      <c r="J57" s="101" t="s">
        <v>675</v>
      </c>
      <c r="K57" s="109">
        <f>G57*I57*I53</f>
        <v>4.5</v>
      </c>
      <c r="L57" s="8" t="s">
        <v>676</v>
      </c>
      <c r="M57" s="114" t="s">
        <v>677</v>
      </c>
      <c r="N57" s="115" t="s">
        <v>678</v>
      </c>
      <c r="O57" s="112">
        <f t="shared" si="3"/>
        <v>4.5</v>
      </c>
      <c r="P57" s="8" t="s">
        <v>676</v>
      </c>
      <c r="Q57" s="106" t="s">
        <v>683</v>
      </c>
      <c r="R57" s="101"/>
    </row>
    <row r="58" spans="1:18" ht="14.4" thickBot="1" x14ac:dyDescent="0.3">
      <c r="A58" s="84"/>
      <c r="B58" s="222"/>
      <c r="C58" s="222"/>
      <c r="D58" s="222"/>
      <c r="F58" s="107" t="s">
        <v>741</v>
      </c>
      <c r="G58" s="230">
        <v>3</v>
      </c>
      <c r="H58" s="8" t="s">
        <v>742</v>
      </c>
      <c r="I58" s="230">
        <v>2</v>
      </c>
      <c r="J58" s="101" t="s">
        <v>675</v>
      </c>
      <c r="K58" s="109">
        <f>G58*I58*G53</f>
        <v>3</v>
      </c>
      <c r="L58" s="8" t="s">
        <v>676</v>
      </c>
      <c r="M58" s="116" t="s">
        <v>679</v>
      </c>
      <c r="N58" s="115" t="s">
        <v>678</v>
      </c>
      <c r="O58" s="112">
        <f t="shared" si="3"/>
        <v>3</v>
      </c>
      <c r="P58" s="8" t="s">
        <v>676</v>
      </c>
      <c r="Q58" s="117">
        <v>566.4176188837846</v>
      </c>
      <c r="R58" s="101" t="s">
        <v>687</v>
      </c>
    </row>
    <row r="59" spans="1:18" ht="14.4" thickBot="1" x14ac:dyDescent="0.3">
      <c r="A59" s="84"/>
      <c r="B59" s="222"/>
      <c r="C59" s="222"/>
      <c r="D59" s="222"/>
      <c r="F59" s="107" t="s">
        <v>684</v>
      </c>
      <c r="G59" s="230">
        <v>10</v>
      </c>
      <c r="H59" s="8" t="s">
        <v>685</v>
      </c>
      <c r="I59" s="230">
        <v>45</v>
      </c>
      <c r="J59" s="101" t="s">
        <v>686</v>
      </c>
      <c r="K59" s="109">
        <f>G59*(I59/60)</f>
        <v>7.5</v>
      </c>
      <c r="L59" s="8" t="s">
        <v>676</v>
      </c>
      <c r="M59" s="116" t="s">
        <v>679</v>
      </c>
      <c r="N59" s="115" t="s">
        <v>679</v>
      </c>
      <c r="O59" s="112">
        <f t="shared" si="3"/>
        <v>0</v>
      </c>
      <c r="P59" s="8" t="s">
        <v>676</v>
      </c>
      <c r="Q59" s="106" t="s">
        <v>690</v>
      </c>
      <c r="R59" s="101"/>
    </row>
    <row r="60" spans="1:18" ht="14.4" customHeight="1" thickBot="1" x14ac:dyDescent="0.3">
      <c r="A60" s="84"/>
      <c r="B60" s="222"/>
      <c r="C60" s="222"/>
      <c r="D60" s="222"/>
      <c r="F60" s="107" t="s">
        <v>689</v>
      </c>
      <c r="G60" s="230">
        <v>12</v>
      </c>
      <c r="H60" s="8" t="s">
        <v>685</v>
      </c>
      <c r="I60" s="230">
        <v>600</v>
      </c>
      <c r="J60" s="101" t="s">
        <v>743</v>
      </c>
      <c r="K60" s="109">
        <f>(G60*(I60/60))*L54</f>
        <v>6</v>
      </c>
      <c r="L60" s="8" t="s">
        <v>676</v>
      </c>
      <c r="M60" s="116" t="s">
        <v>679</v>
      </c>
      <c r="N60" s="115" t="s">
        <v>679</v>
      </c>
      <c r="O60" s="112">
        <f t="shared" si="3"/>
        <v>0</v>
      </c>
      <c r="P60" s="8" t="s">
        <v>676</v>
      </c>
      <c r="Q60" s="119">
        <v>50</v>
      </c>
      <c r="R60" s="101" t="s">
        <v>485</v>
      </c>
    </row>
    <row r="61" spans="1:18" ht="14.4" thickBot="1" x14ac:dyDescent="0.3">
      <c r="A61" s="84"/>
      <c r="B61" s="222"/>
      <c r="C61" s="222"/>
      <c r="D61" s="222"/>
      <c r="E61" s="231"/>
      <c r="F61" s="107" t="s">
        <v>744</v>
      </c>
      <c r="G61" s="230">
        <v>12</v>
      </c>
      <c r="H61" s="8" t="s">
        <v>685</v>
      </c>
      <c r="I61" s="230">
        <v>30</v>
      </c>
      <c r="J61" s="101" t="s">
        <v>686</v>
      </c>
      <c r="K61" s="109">
        <f>G61*(I61/60)</f>
        <v>6</v>
      </c>
      <c r="L61" s="8" t="s">
        <v>676</v>
      </c>
      <c r="M61" s="116" t="s">
        <v>679</v>
      </c>
      <c r="N61" s="115" t="s">
        <v>679</v>
      </c>
      <c r="O61" s="120">
        <f t="shared" si="3"/>
        <v>0</v>
      </c>
      <c r="P61" s="8" t="s">
        <v>676</v>
      </c>
      <c r="Q61" s="106" t="s">
        <v>696</v>
      </c>
      <c r="R61" s="101"/>
    </row>
    <row r="62" spans="1:18" ht="14.4" thickBot="1" x14ac:dyDescent="0.3">
      <c r="A62" s="84"/>
      <c r="B62" s="222"/>
      <c r="C62" s="222"/>
      <c r="D62" s="222"/>
      <c r="F62" s="866" t="s">
        <v>697</v>
      </c>
      <c r="G62" s="867"/>
      <c r="H62" s="867"/>
      <c r="I62" s="867"/>
      <c r="J62" s="867"/>
      <c r="K62" s="121">
        <f>SUM(K56:K61)</f>
        <v>34.5</v>
      </c>
      <c r="L62" s="121" t="s">
        <v>676</v>
      </c>
      <c r="M62" s="232"/>
      <c r="N62" s="233"/>
      <c r="O62" s="234"/>
      <c r="P62" s="8"/>
      <c r="Q62" s="124">
        <f>IF(Q56="Yes",(Q58/1000)*Q60,0)</f>
        <v>28.320880944189231</v>
      </c>
      <c r="R62" s="101" t="s">
        <v>698</v>
      </c>
    </row>
    <row r="63" spans="1:18" ht="17.25" customHeight="1" thickBot="1" x14ac:dyDescent="0.3">
      <c r="A63" s="84"/>
      <c r="B63" s="222"/>
      <c r="C63" s="222"/>
      <c r="D63" s="222"/>
      <c r="F63" s="98" t="s">
        <v>708</v>
      </c>
      <c r="G63" s="235">
        <v>94.461102990316078</v>
      </c>
      <c r="H63" s="217" t="s">
        <v>709</v>
      </c>
      <c r="I63" s="224"/>
      <c r="J63" s="236"/>
      <c r="K63" s="237">
        <v>31.487034330105363</v>
      </c>
      <c r="L63" s="238" t="s">
        <v>676</v>
      </c>
      <c r="M63" s="239" t="s">
        <v>677</v>
      </c>
      <c r="N63" s="115" t="s">
        <v>678</v>
      </c>
      <c r="O63" s="138">
        <f>IF(N63="Yes",K63*$N$73,0)</f>
        <v>31.487034330105363</v>
      </c>
      <c r="P63" s="8" t="s">
        <v>676</v>
      </c>
      <c r="Q63" s="124">
        <f>(Q62*1000)/365</f>
        <v>77.591454641614334</v>
      </c>
      <c r="R63" s="101" t="s">
        <v>700</v>
      </c>
    </row>
    <row r="64" spans="1:18" ht="15" customHeight="1" thickBot="1" x14ac:dyDescent="0.3">
      <c r="A64" s="84"/>
      <c r="B64" s="222"/>
      <c r="C64" s="222"/>
      <c r="D64" s="222"/>
      <c r="F64" s="107" t="s">
        <v>745</v>
      </c>
      <c r="G64" s="240">
        <v>100</v>
      </c>
      <c r="H64" s="8" t="s">
        <v>746</v>
      </c>
      <c r="I64" s="241"/>
      <c r="J64" s="242"/>
      <c r="K64" s="241"/>
      <c r="L64" s="135"/>
      <c r="M64" s="232"/>
      <c r="N64" s="233"/>
      <c r="O64" s="243"/>
      <c r="P64" s="8"/>
      <c r="Q64" s="106" t="s">
        <v>704</v>
      </c>
      <c r="R64" s="101"/>
    </row>
    <row r="65" spans="1:18" ht="14.4" thickBot="1" x14ac:dyDescent="0.3">
      <c r="A65" s="84"/>
      <c r="B65" s="222"/>
      <c r="C65" s="222"/>
      <c r="D65" s="222"/>
      <c r="F65" s="107" t="s">
        <v>747</v>
      </c>
      <c r="G65" s="240">
        <v>2500</v>
      </c>
      <c r="H65" s="8" t="s">
        <v>748</v>
      </c>
      <c r="I65" s="244">
        <f>((G65*6.25)/365)</f>
        <v>42.80821917808219</v>
      </c>
      <c r="J65" s="101" t="s">
        <v>749</v>
      </c>
      <c r="K65" s="245">
        <f>I65/G64</f>
        <v>0.42808219178082191</v>
      </c>
      <c r="L65" s="8" t="s">
        <v>676</v>
      </c>
      <c r="M65" s="116" t="s">
        <v>679</v>
      </c>
      <c r="N65" s="115" t="s">
        <v>679</v>
      </c>
      <c r="O65" s="128">
        <f>IF(N65="Yes",K65*$N$73,0)</f>
        <v>0</v>
      </c>
      <c r="P65" s="8" t="s">
        <v>676</v>
      </c>
      <c r="Q65" s="131">
        <f>Q63*Q67</f>
        <v>54.314018249130029</v>
      </c>
      <c r="R65" s="101" t="s">
        <v>700</v>
      </c>
    </row>
    <row r="66" spans="1:18" ht="14.4" thickBot="1" x14ac:dyDescent="0.3">
      <c r="A66" s="84"/>
      <c r="B66" s="84"/>
      <c r="C66" s="84"/>
      <c r="D66" s="246"/>
      <c r="F66" s="107" t="s">
        <v>750</v>
      </c>
      <c r="G66" s="240">
        <v>1500</v>
      </c>
      <c r="H66" s="8" t="s">
        <v>751</v>
      </c>
      <c r="I66" s="244">
        <f>((G66*1.2)/365)</f>
        <v>4.9315068493150687</v>
      </c>
      <c r="J66" s="101" t="s">
        <v>749</v>
      </c>
      <c r="K66" s="245">
        <f>I66/G64</f>
        <v>4.9315068493150684E-2</v>
      </c>
      <c r="L66" s="8" t="s">
        <v>676</v>
      </c>
      <c r="M66" s="116" t="s">
        <v>679</v>
      </c>
      <c r="N66" s="115" t="s">
        <v>679</v>
      </c>
      <c r="O66" s="120">
        <f>IF(N66="Yes",K66*$N$73,0)</f>
        <v>0</v>
      </c>
      <c r="P66" s="8" t="s">
        <v>676</v>
      </c>
      <c r="Q66" s="106" t="s">
        <v>707</v>
      </c>
      <c r="R66" s="247"/>
    </row>
    <row r="67" spans="1:18" ht="14.4" thickBot="1" x14ac:dyDescent="0.3">
      <c r="F67" s="866" t="s">
        <v>752</v>
      </c>
      <c r="G67" s="867"/>
      <c r="H67" s="867"/>
      <c r="I67" s="867"/>
      <c r="J67" s="867"/>
      <c r="K67" s="248">
        <f>K65+K66</f>
        <v>0.47739726027397261</v>
      </c>
      <c r="L67" s="121" t="s">
        <v>676</v>
      </c>
      <c r="M67" s="232"/>
      <c r="N67" s="233"/>
      <c r="O67" s="249"/>
      <c r="P67" s="8"/>
      <c r="Q67" s="139">
        <v>0.7</v>
      </c>
      <c r="R67" s="247"/>
    </row>
    <row r="68" spans="1:18" x14ac:dyDescent="0.25">
      <c r="F68" s="226" t="s">
        <v>753</v>
      </c>
      <c r="G68" s="250"/>
      <c r="H68" s="8" t="s">
        <v>709</v>
      </c>
      <c r="I68" s="875" t="s">
        <v>754</v>
      </c>
      <c r="J68" s="251">
        <v>1</v>
      </c>
      <c r="K68" s="109">
        <f>G68/J68</f>
        <v>0</v>
      </c>
      <c r="L68" s="220" t="s">
        <v>676</v>
      </c>
      <c r="M68" s="116" t="s">
        <v>679</v>
      </c>
      <c r="N68" s="115" t="s">
        <v>679</v>
      </c>
      <c r="O68" s="128">
        <f>IF(N68="Yes",K68*$N$73,0)</f>
        <v>0</v>
      </c>
      <c r="P68" s="8" t="s">
        <v>676</v>
      </c>
      <c r="Q68" s="8"/>
      <c r="R68" s="101"/>
    </row>
    <row r="69" spans="1:18" x14ac:dyDescent="0.25">
      <c r="F69" s="107" t="s">
        <v>755</v>
      </c>
      <c r="G69" s="250"/>
      <c r="H69" s="8" t="s">
        <v>709</v>
      </c>
      <c r="I69" s="876"/>
      <c r="J69" s="250">
        <v>1</v>
      </c>
      <c r="K69" s="109">
        <f>G69/J69</f>
        <v>0</v>
      </c>
      <c r="L69" s="175" t="s">
        <v>676</v>
      </c>
      <c r="M69" s="116" t="s">
        <v>679</v>
      </c>
      <c r="N69" s="115" t="s">
        <v>679</v>
      </c>
      <c r="O69" s="112">
        <f>IF(N69="Yes",K69*$N$73,0)</f>
        <v>0</v>
      </c>
      <c r="P69" s="8" t="s">
        <v>676</v>
      </c>
      <c r="Q69" s="8"/>
      <c r="R69" s="101"/>
    </row>
    <row r="70" spans="1:18" ht="14.4" thickBot="1" x14ac:dyDescent="0.3">
      <c r="F70" s="188" t="s">
        <v>756</v>
      </c>
      <c r="G70" s="250"/>
      <c r="H70" s="8" t="s">
        <v>709</v>
      </c>
      <c r="I70" s="877"/>
      <c r="J70" s="252">
        <v>1</v>
      </c>
      <c r="K70" s="109">
        <f>G70/J70</f>
        <v>0</v>
      </c>
      <c r="L70" s="175" t="s">
        <v>676</v>
      </c>
      <c r="M70" s="116" t="s">
        <v>679</v>
      </c>
      <c r="N70" s="115" t="s">
        <v>679</v>
      </c>
      <c r="O70" s="120">
        <f>IF(N70="Yes",K70*$N$73,0)</f>
        <v>0</v>
      </c>
      <c r="P70" s="8" t="s">
        <v>676</v>
      </c>
      <c r="Q70" s="8"/>
      <c r="R70" s="101"/>
    </row>
    <row r="71" spans="1:18" ht="14.4" thickBot="1" x14ac:dyDescent="0.3">
      <c r="F71" s="866" t="s">
        <v>757</v>
      </c>
      <c r="G71" s="867"/>
      <c r="H71" s="867"/>
      <c r="I71" s="867"/>
      <c r="J71" s="867"/>
      <c r="K71" s="248">
        <f>K68+K69+K70</f>
        <v>0</v>
      </c>
      <c r="L71" s="253" t="s">
        <v>676</v>
      </c>
      <c r="M71" s="145">
        <f>SUMIF(M58:M70,"Yes",K58:K70)</f>
        <v>0</v>
      </c>
      <c r="N71" s="254">
        <f>SUMIF(N56:N70,"Yes",K56:K70)</f>
        <v>46.487034330105359</v>
      </c>
      <c r="O71" s="8"/>
      <c r="P71" s="8"/>
      <c r="Q71" s="8"/>
      <c r="R71" s="101"/>
    </row>
    <row r="72" spans="1:18" ht="14.4" thickBot="1" x14ac:dyDescent="0.3">
      <c r="F72" s="140" t="s">
        <v>710</v>
      </c>
      <c r="G72" s="255"/>
      <c r="H72" s="255"/>
      <c r="I72" s="256"/>
      <c r="J72" s="257"/>
      <c r="K72" s="144">
        <f>K62+K63+K67+K71</f>
        <v>66.464431590379334</v>
      </c>
      <c r="L72" s="140" t="s">
        <v>676</v>
      </c>
      <c r="M72" s="258" t="s">
        <v>711</v>
      </c>
      <c r="N72" s="149">
        <f>(M71+Q65)/N71</f>
        <v>1.1683691814677852</v>
      </c>
      <c r="O72" s="8"/>
      <c r="P72" s="8"/>
      <c r="Q72" s="8"/>
      <c r="R72" s="101"/>
    </row>
    <row r="73" spans="1:18" ht="15.75" customHeight="1" thickBot="1" x14ac:dyDescent="0.3">
      <c r="F73" s="8"/>
      <c r="G73" s="8"/>
      <c r="H73" s="8"/>
      <c r="I73" s="8"/>
      <c r="J73" s="8"/>
      <c r="K73" s="176"/>
      <c r="L73" s="8"/>
      <c r="M73" s="259" t="s">
        <v>716</v>
      </c>
      <c r="N73" s="160">
        <f>IF(N72&gt;1,1,N72)</f>
        <v>1</v>
      </c>
      <c r="O73" s="8"/>
      <c r="P73" s="8"/>
      <c r="Q73" s="8"/>
      <c r="R73" s="101"/>
    </row>
    <row r="74" spans="1:18" ht="15.75" customHeight="1" thickBot="1" x14ac:dyDescent="0.3">
      <c r="F74" s="8"/>
      <c r="G74" s="8"/>
      <c r="H74" s="8"/>
      <c r="I74" s="8"/>
      <c r="J74" s="8"/>
      <c r="K74" s="176"/>
      <c r="L74" s="9"/>
      <c r="M74" s="8"/>
      <c r="N74" s="8"/>
      <c r="O74" s="8"/>
      <c r="P74" s="8"/>
      <c r="Q74" s="8"/>
      <c r="R74" s="101"/>
    </row>
    <row r="75" spans="1:18" ht="45.9" customHeight="1" thickBot="1" x14ac:dyDescent="0.3">
      <c r="F75" s="154" t="s">
        <v>712</v>
      </c>
      <c r="G75" s="155">
        <f>$B$3</f>
        <v>0.60000000000000009</v>
      </c>
      <c r="H75" s="156" t="s">
        <v>713</v>
      </c>
      <c r="I75" s="157" t="s">
        <v>714</v>
      </c>
      <c r="J75" s="158" t="s">
        <v>715</v>
      </c>
      <c r="K75" s="176"/>
      <c r="L75" s="147"/>
      <c r="M75" s="8"/>
      <c r="N75" s="8"/>
      <c r="O75" s="8"/>
      <c r="P75" s="8"/>
      <c r="Q75" s="8"/>
      <c r="R75" s="101"/>
    </row>
    <row r="76" spans="1:18" ht="14.4" thickBot="1" x14ac:dyDescent="0.3">
      <c r="F76" s="868" t="s">
        <v>717</v>
      </c>
      <c r="G76" s="163" t="s">
        <v>758</v>
      </c>
      <c r="H76" s="164">
        <f>((K56+K57+K58)/1000)*$G$54</f>
        <v>3.75</v>
      </c>
      <c r="I76" s="165">
        <f>H76-J76</f>
        <v>0</v>
      </c>
      <c r="J76" s="166">
        <f>((O56+O57+O58)/1000)*$G$54</f>
        <v>3.75</v>
      </c>
      <c r="K76" s="176"/>
      <c r="L76" s="8"/>
      <c r="M76" s="8"/>
      <c r="N76" s="8"/>
      <c r="O76" s="8"/>
      <c r="P76" s="8"/>
      <c r="Q76" s="8"/>
      <c r="R76" s="101"/>
    </row>
    <row r="77" spans="1:18" ht="17.25" customHeight="1" thickBot="1" x14ac:dyDescent="0.3">
      <c r="F77" s="869"/>
      <c r="G77" s="163" t="s">
        <v>721</v>
      </c>
      <c r="H77" s="169">
        <f>(K59/1000)*$G$54</f>
        <v>1.875</v>
      </c>
      <c r="I77" s="170">
        <f>H77-J77</f>
        <v>1.875</v>
      </c>
      <c r="J77" s="171">
        <f>(O59/1000)*$G$54</f>
        <v>0</v>
      </c>
      <c r="K77" s="176"/>
      <c r="L77" s="8"/>
      <c r="M77" s="8"/>
      <c r="N77" s="173" t="s">
        <v>722</v>
      </c>
      <c r="O77" s="174" t="s">
        <v>723</v>
      </c>
      <c r="P77" s="260" t="s">
        <v>724</v>
      </c>
      <c r="Q77" s="261" t="s">
        <v>725</v>
      </c>
      <c r="R77" s="101"/>
    </row>
    <row r="78" spans="1:18" ht="14.4" customHeight="1" x14ac:dyDescent="0.25">
      <c r="F78" s="869"/>
      <c r="G78" s="163" t="s">
        <v>726</v>
      </c>
      <c r="H78" s="169">
        <f>(K60/1000)*$G$54</f>
        <v>1.5</v>
      </c>
      <c r="I78" s="170">
        <f>H78-J78</f>
        <v>1.5</v>
      </c>
      <c r="J78" s="171">
        <f>(O60/1000)*$G$54</f>
        <v>0</v>
      </c>
      <c r="K78" s="176"/>
      <c r="L78" s="8"/>
      <c r="M78" s="262" t="s">
        <v>758</v>
      </c>
      <c r="N78" s="178">
        <f t="shared" ref="N78:O81" si="4">H76</f>
        <v>3.75</v>
      </c>
      <c r="O78" s="263">
        <f t="shared" si="4"/>
        <v>0</v>
      </c>
      <c r="P78" s="264">
        <f t="shared" ref="P78:Q87" si="5">N78/SUM(N$78:N$87)</f>
        <v>0.18480173271906947</v>
      </c>
      <c r="Q78" s="194">
        <f t="shared" si="5"/>
        <v>0</v>
      </c>
      <c r="R78" s="101"/>
    </row>
    <row r="79" spans="1:18" ht="15" customHeight="1" thickBot="1" x14ac:dyDescent="0.3">
      <c r="F79" s="869"/>
      <c r="G79" s="163" t="s">
        <v>759</v>
      </c>
      <c r="H79" s="169">
        <f>(K61/1000)*$G$54</f>
        <v>1.5</v>
      </c>
      <c r="I79" s="170">
        <f>H79-J79</f>
        <v>1.5</v>
      </c>
      <c r="J79" s="171">
        <f>(O61/1000)*$G$54</f>
        <v>0</v>
      </c>
      <c r="K79" s="176"/>
      <c r="L79" s="8"/>
      <c r="M79" s="265" t="s">
        <v>721</v>
      </c>
      <c r="N79" s="184">
        <f t="shared" si="4"/>
        <v>1.875</v>
      </c>
      <c r="O79" s="266">
        <f t="shared" si="4"/>
        <v>1.875</v>
      </c>
      <c r="P79" s="267">
        <f t="shared" si="5"/>
        <v>9.2400866359534733E-2</v>
      </c>
      <c r="Q79" s="180">
        <f t="shared" si="5"/>
        <v>0.37134227855622126</v>
      </c>
      <c r="R79" s="101"/>
    </row>
    <row r="80" spans="1:18" ht="14.4" thickBot="1" x14ac:dyDescent="0.3">
      <c r="F80" s="870"/>
      <c r="G80" s="189" t="s">
        <v>730</v>
      </c>
      <c r="H80" s="190">
        <f>SUM(H76:H79)</f>
        <v>8.625</v>
      </c>
      <c r="I80" s="191">
        <f>SUM(I76:I79)</f>
        <v>4.875</v>
      </c>
      <c r="J80" s="192">
        <f>SUM(J76:J79)</f>
        <v>3.75</v>
      </c>
      <c r="K80" s="176"/>
      <c r="L80" s="8"/>
      <c r="M80" s="265" t="s">
        <v>726</v>
      </c>
      <c r="N80" s="184">
        <f t="shared" si="4"/>
        <v>1.5</v>
      </c>
      <c r="O80" s="266">
        <f t="shared" si="4"/>
        <v>1.5</v>
      </c>
      <c r="P80" s="267">
        <f t="shared" si="5"/>
        <v>7.392069308762779E-2</v>
      </c>
      <c r="Q80" s="180">
        <f t="shared" si="5"/>
        <v>0.29707382284497696</v>
      </c>
      <c r="R80" s="101"/>
    </row>
    <row r="81" spans="6:18" ht="14.4" thickBot="1" x14ac:dyDescent="0.3">
      <c r="F81" s="868" t="s">
        <v>760</v>
      </c>
      <c r="G81" s="163" t="s">
        <v>761</v>
      </c>
      <c r="H81" s="169">
        <f>(K65/1000)*365</f>
        <v>0.15625</v>
      </c>
      <c r="I81" s="170">
        <f>H81-J81</f>
        <v>0.15625</v>
      </c>
      <c r="J81" s="171">
        <f>(O65/1000)*$G$54</f>
        <v>0</v>
      </c>
      <c r="K81" s="176"/>
      <c r="L81" s="8"/>
      <c r="M81" s="265" t="s">
        <v>759</v>
      </c>
      <c r="N81" s="184">
        <f t="shared" si="4"/>
        <v>1.5</v>
      </c>
      <c r="O81" s="266">
        <f t="shared" si="4"/>
        <v>1.5</v>
      </c>
      <c r="P81" s="267">
        <f t="shared" si="5"/>
        <v>7.392069308762779E-2</v>
      </c>
      <c r="Q81" s="180">
        <f t="shared" si="5"/>
        <v>0.29707382284497696</v>
      </c>
      <c r="R81" s="101"/>
    </row>
    <row r="82" spans="6:18" ht="14.4" thickBot="1" x14ac:dyDescent="0.3">
      <c r="F82" s="869"/>
      <c r="G82" s="163" t="s">
        <v>762</v>
      </c>
      <c r="H82" s="169">
        <f>(K66/1000)*365</f>
        <v>1.7999999999999999E-2</v>
      </c>
      <c r="I82" s="170">
        <f>H82-J82</f>
        <v>1.7999999999999999E-2</v>
      </c>
      <c r="J82" s="171">
        <f>(O66/1000)*$G$54</f>
        <v>0</v>
      </c>
      <c r="K82" s="176"/>
      <c r="L82" s="8"/>
      <c r="M82" s="262" t="s">
        <v>761</v>
      </c>
      <c r="N82" s="178">
        <f>H81</f>
        <v>0.15625</v>
      </c>
      <c r="O82" s="263">
        <f>I81</f>
        <v>0.15625</v>
      </c>
      <c r="P82" s="264">
        <f t="shared" si="5"/>
        <v>7.7000721966278942E-3</v>
      </c>
      <c r="Q82" s="194">
        <f t="shared" si="5"/>
        <v>3.0945189879685104E-2</v>
      </c>
      <c r="R82" s="101"/>
    </row>
    <row r="83" spans="6:18" ht="14.4" thickBot="1" x14ac:dyDescent="0.3">
      <c r="F83" s="870"/>
      <c r="G83" s="189" t="s">
        <v>730</v>
      </c>
      <c r="H83" s="195">
        <f>SUM(H81:H82)</f>
        <v>0.17424999999999999</v>
      </c>
      <c r="I83" s="196">
        <f>SUM(I81:I82)</f>
        <v>0.17424999999999999</v>
      </c>
      <c r="J83" s="197">
        <f>SUM(J81:J82)</f>
        <v>0</v>
      </c>
      <c r="K83" s="8"/>
      <c r="L83" s="8"/>
      <c r="M83" s="268" t="s">
        <v>762</v>
      </c>
      <c r="N83" s="199">
        <f>H82</f>
        <v>1.7999999999999999E-2</v>
      </c>
      <c r="O83" s="269">
        <f>I82</f>
        <v>1.7999999999999999E-2</v>
      </c>
      <c r="P83" s="270">
        <f t="shared" si="5"/>
        <v>8.8704831705153334E-4</v>
      </c>
      <c r="Q83" s="201">
        <f t="shared" si="5"/>
        <v>3.5648858741397236E-3</v>
      </c>
      <c r="R83" s="101"/>
    </row>
    <row r="84" spans="6:18" ht="14.4" thickBot="1" x14ac:dyDescent="0.3">
      <c r="F84" s="202" t="s">
        <v>708</v>
      </c>
      <c r="G84" s="203" t="s">
        <v>708</v>
      </c>
      <c r="H84" s="271">
        <f>(K63/1000)*365</f>
        <v>11.492767530488457</v>
      </c>
      <c r="I84" s="272">
        <f>H84-J84</f>
        <v>0</v>
      </c>
      <c r="J84" s="273">
        <f>(O63/1000)*365</f>
        <v>11.492767530488457</v>
      </c>
      <c r="K84" s="8"/>
      <c r="L84" s="8"/>
      <c r="M84" s="268" t="s">
        <v>708</v>
      </c>
      <c r="N84" s="199">
        <f t="shared" ref="N84:O87" si="6">H84</f>
        <v>11.492767530488457</v>
      </c>
      <c r="O84" s="269">
        <f t="shared" si="6"/>
        <v>0</v>
      </c>
      <c r="P84" s="274">
        <f t="shared" si="5"/>
        <v>0.56636889423246073</v>
      </c>
      <c r="Q84" s="275">
        <f t="shared" si="5"/>
        <v>0</v>
      </c>
      <c r="R84" s="101"/>
    </row>
    <row r="85" spans="6:18" ht="14.4" customHeight="1" x14ac:dyDescent="0.25">
      <c r="F85" s="868" t="s">
        <v>763</v>
      </c>
      <c r="G85" s="276" t="str">
        <f>F68</f>
        <v>Other-1 (please specify)</v>
      </c>
      <c r="H85" s="277">
        <f>(K68/1000)*$G$54</f>
        <v>0</v>
      </c>
      <c r="I85" s="278">
        <f>H85-J85</f>
        <v>0</v>
      </c>
      <c r="J85" s="149">
        <f>(O68/1000)*$G$54</f>
        <v>0</v>
      </c>
      <c r="K85" s="8"/>
      <c r="L85" s="8"/>
      <c r="M85" s="260" t="str">
        <f>F68</f>
        <v>Other-1 (please specify)</v>
      </c>
      <c r="N85" s="279">
        <f t="shared" si="6"/>
        <v>0</v>
      </c>
      <c r="O85" s="280">
        <f t="shared" si="6"/>
        <v>0</v>
      </c>
      <c r="P85" s="267">
        <f t="shared" si="5"/>
        <v>0</v>
      </c>
      <c r="Q85" s="180">
        <f t="shared" si="5"/>
        <v>0</v>
      </c>
      <c r="R85" s="101"/>
    </row>
    <row r="86" spans="6:18" ht="14.4" customHeight="1" x14ac:dyDescent="0.25">
      <c r="F86" s="869"/>
      <c r="G86" s="281" t="str">
        <f>F69</f>
        <v>Other-2 (please specify)</v>
      </c>
      <c r="H86" s="282">
        <f>(K69/1000)*$G$54</f>
        <v>0</v>
      </c>
      <c r="I86" s="283">
        <f>H86-J86</f>
        <v>0</v>
      </c>
      <c r="J86" s="284">
        <f>(O69/1000)*$G$54</f>
        <v>0</v>
      </c>
      <c r="K86" s="8"/>
      <c r="L86" s="8"/>
      <c r="M86" s="285" t="str">
        <f>F69</f>
        <v>Other-2 (please specify)</v>
      </c>
      <c r="N86" s="279">
        <f t="shared" si="6"/>
        <v>0</v>
      </c>
      <c r="O86" s="280">
        <f t="shared" si="6"/>
        <v>0</v>
      </c>
      <c r="P86" s="267">
        <f t="shared" si="5"/>
        <v>0</v>
      </c>
      <c r="Q86" s="180">
        <f t="shared" si="5"/>
        <v>0</v>
      </c>
      <c r="R86" s="101"/>
    </row>
    <row r="87" spans="6:18" ht="15" customHeight="1" thickBot="1" x14ac:dyDescent="0.3">
      <c r="F87" s="869"/>
      <c r="G87" s="286" t="str">
        <f>F70</f>
        <v>Other-3 (please specify)</v>
      </c>
      <c r="H87" s="287">
        <f>(K70/1000)*$G$54</f>
        <v>0</v>
      </c>
      <c r="I87" s="288">
        <f>H87-J87</f>
        <v>0</v>
      </c>
      <c r="J87" s="160">
        <f>(O70/1000)*$G$54</f>
        <v>0</v>
      </c>
      <c r="K87" s="8"/>
      <c r="L87" s="8"/>
      <c r="M87" s="289" t="str">
        <f>F70</f>
        <v>Other-3 (please specify)</v>
      </c>
      <c r="N87" s="290">
        <f t="shared" si="6"/>
        <v>0</v>
      </c>
      <c r="O87" s="291">
        <f t="shared" si="6"/>
        <v>0</v>
      </c>
      <c r="P87" s="270">
        <f t="shared" si="5"/>
        <v>0</v>
      </c>
      <c r="Q87" s="201">
        <f t="shared" si="5"/>
        <v>0</v>
      </c>
      <c r="R87" s="101"/>
    </row>
    <row r="88" spans="6:18" ht="14.4" thickBot="1" x14ac:dyDescent="0.3">
      <c r="F88" s="870"/>
      <c r="G88" s="253" t="s">
        <v>730</v>
      </c>
      <c r="H88" s="292">
        <f>SUM(H85:H87)</f>
        <v>0</v>
      </c>
      <c r="I88" s="293">
        <f>SUM(I85:I87)</f>
        <v>0</v>
      </c>
      <c r="J88" s="192">
        <f>SUM(J85:J87)</f>
        <v>0</v>
      </c>
      <c r="K88" s="8"/>
      <c r="L88" s="8"/>
      <c r="M88" s="8"/>
      <c r="N88" s="8"/>
      <c r="O88" s="8"/>
      <c r="P88" s="8"/>
      <c r="Q88" s="8"/>
      <c r="R88" s="101"/>
    </row>
    <row r="89" spans="6:18" ht="16.2" thickBot="1" x14ac:dyDescent="0.3">
      <c r="F89" s="8"/>
      <c r="G89" s="140" t="s">
        <v>734</v>
      </c>
      <c r="H89" s="208">
        <f>H80+H83+H84+H88</f>
        <v>20.292017530488458</v>
      </c>
      <c r="I89" s="208">
        <f>I80+I83+I84+I88</f>
        <v>5.0492499999999998</v>
      </c>
      <c r="J89" s="209">
        <f>J80+J83+J84+J88</f>
        <v>15.242767530488457</v>
      </c>
      <c r="K89" s="8"/>
      <c r="L89" s="8"/>
      <c r="M89" s="8"/>
      <c r="N89" s="8"/>
      <c r="O89" s="8"/>
      <c r="P89" s="8"/>
      <c r="Q89" s="8"/>
      <c r="R89" s="101"/>
    </row>
    <row r="90" spans="6:18" ht="14.4" thickBot="1" x14ac:dyDescent="0.3">
      <c r="F90" s="8"/>
      <c r="G90" s="210" t="s">
        <v>735</v>
      </c>
      <c r="H90" s="211">
        <f>((I89+J89)/H89)*100</f>
        <v>100</v>
      </c>
      <c r="I90" s="212">
        <f>(I89/H89)*100</f>
        <v>24.882937304846973</v>
      </c>
      <c r="J90" s="213">
        <f>(J89/H89)*100</f>
        <v>75.117062695153024</v>
      </c>
      <c r="K90" s="8"/>
      <c r="L90" s="8"/>
      <c r="M90" s="8"/>
      <c r="N90" s="8"/>
      <c r="O90" s="8"/>
      <c r="P90" s="8"/>
      <c r="Q90" s="8"/>
      <c r="R90" s="101"/>
    </row>
    <row r="91" spans="6:18" x14ac:dyDescent="0.25">
      <c r="F91" s="8"/>
      <c r="G91" s="8"/>
      <c r="H91" s="8"/>
      <c r="I91" s="8"/>
      <c r="J91" s="8"/>
      <c r="K91" s="8"/>
      <c r="L91" s="8"/>
      <c r="M91" s="8"/>
      <c r="N91" s="8"/>
      <c r="O91" s="8"/>
      <c r="P91" s="8"/>
      <c r="Q91" s="8"/>
      <c r="R91" s="101"/>
    </row>
    <row r="92" spans="6:18" x14ac:dyDescent="0.25">
      <c r="F92" s="8"/>
      <c r="G92" s="8"/>
      <c r="H92" s="8"/>
      <c r="I92" s="8"/>
      <c r="J92" s="8"/>
      <c r="K92" s="8"/>
      <c r="L92" s="8"/>
      <c r="M92" s="8"/>
      <c r="N92" s="8"/>
      <c r="O92" s="8"/>
      <c r="P92" s="8"/>
      <c r="Q92" s="8"/>
      <c r="R92" s="101"/>
    </row>
    <row r="93" spans="6:18" x14ac:dyDescent="0.25">
      <c r="F93" s="8"/>
      <c r="G93" s="8"/>
      <c r="H93" s="8"/>
      <c r="I93" s="8"/>
      <c r="J93" s="8"/>
      <c r="K93" s="8"/>
      <c r="L93" s="8"/>
      <c r="M93" s="8"/>
      <c r="N93" s="8"/>
      <c r="O93" s="8"/>
      <c r="P93" s="8"/>
      <c r="Q93" s="8"/>
      <c r="R93" s="101"/>
    </row>
    <row r="94" spans="6:18" ht="14.4" thickBot="1" x14ac:dyDescent="0.3">
      <c r="F94" s="186"/>
      <c r="G94" s="186"/>
      <c r="H94" s="186"/>
      <c r="I94" s="186"/>
      <c r="J94" s="186"/>
      <c r="K94" s="186"/>
      <c r="L94" s="186"/>
      <c r="M94" s="186"/>
      <c r="N94" s="186"/>
      <c r="O94" s="186"/>
      <c r="P94" s="186"/>
      <c r="Q94" s="186"/>
      <c r="R94" s="187"/>
    </row>
    <row r="95" spans="6:18" x14ac:dyDescent="0.25">
      <c r="F95" s="8"/>
      <c r="G95" s="8"/>
      <c r="H95" s="8"/>
      <c r="I95" s="8"/>
      <c r="J95" s="8"/>
      <c r="K95" s="8"/>
      <c r="L95" s="8"/>
      <c r="M95" s="8"/>
      <c r="N95" s="8"/>
      <c r="O95" s="8"/>
      <c r="P95" s="8"/>
      <c r="Q95" s="8"/>
      <c r="R95" s="8"/>
    </row>
    <row r="96" spans="6:18" x14ac:dyDescent="0.25">
      <c r="F96" s="8"/>
      <c r="G96" s="8"/>
      <c r="H96" s="8"/>
      <c r="I96" s="8"/>
      <c r="J96" s="8"/>
      <c r="K96" s="8"/>
      <c r="L96" s="8"/>
      <c r="M96" s="8"/>
      <c r="N96" s="8"/>
      <c r="O96" s="8"/>
      <c r="P96" s="8"/>
      <c r="Q96" s="8"/>
      <c r="R96" s="8"/>
    </row>
    <row r="97" spans="6:18" x14ac:dyDescent="0.25">
      <c r="F97" s="8"/>
      <c r="G97" s="8"/>
      <c r="H97" s="8"/>
      <c r="I97" s="8"/>
      <c r="J97" s="8"/>
      <c r="K97" s="8"/>
      <c r="L97" s="8"/>
      <c r="M97" s="8"/>
      <c r="N97" s="8"/>
      <c r="O97" s="8"/>
      <c r="P97" s="8"/>
      <c r="Q97" s="8"/>
      <c r="R97" s="8"/>
    </row>
    <row r="98" spans="6:18" x14ac:dyDescent="0.25">
      <c r="F98" s="8"/>
      <c r="G98" s="8"/>
      <c r="H98" s="8"/>
      <c r="I98" s="8"/>
      <c r="J98" s="8"/>
      <c r="K98" s="8"/>
      <c r="L98" s="8"/>
      <c r="M98" s="8"/>
      <c r="N98" s="8"/>
      <c r="O98" s="8"/>
      <c r="P98" s="8"/>
      <c r="Q98" s="8"/>
      <c r="R98" s="8"/>
    </row>
    <row r="99" spans="6:18" x14ac:dyDescent="0.25">
      <c r="F99" s="8"/>
      <c r="G99" s="8"/>
      <c r="H99" s="8"/>
      <c r="I99" s="8"/>
      <c r="J99" s="8"/>
      <c r="K99" s="8"/>
      <c r="L99" s="8"/>
      <c r="M99" s="8"/>
      <c r="N99" s="8"/>
      <c r="O99" s="8"/>
      <c r="P99" s="8"/>
      <c r="Q99" s="8"/>
      <c r="R99" s="8"/>
    </row>
    <row r="100" spans="6:18" x14ac:dyDescent="0.25">
      <c r="F100" s="8"/>
      <c r="G100" s="8"/>
      <c r="H100" s="8"/>
      <c r="I100" s="8"/>
      <c r="J100" s="8"/>
      <c r="K100" s="8"/>
      <c r="L100" s="8"/>
      <c r="M100" s="8"/>
      <c r="N100" s="8"/>
      <c r="O100" s="8"/>
      <c r="P100" s="8"/>
      <c r="Q100" s="8"/>
      <c r="R100" s="8"/>
    </row>
    <row r="101" spans="6:18" x14ac:dyDescent="0.25">
      <c r="F101" s="8"/>
      <c r="G101" s="8"/>
      <c r="H101" s="8"/>
      <c r="I101" s="8"/>
      <c r="J101" s="8"/>
      <c r="K101" s="8"/>
      <c r="L101" s="8"/>
      <c r="M101" s="8"/>
      <c r="N101" s="8"/>
      <c r="O101" s="8"/>
      <c r="P101" s="8"/>
      <c r="Q101" s="8"/>
      <c r="R101" s="8"/>
    </row>
    <row r="102" spans="6:18" x14ac:dyDescent="0.25">
      <c r="F102" s="8"/>
      <c r="G102" s="8"/>
      <c r="H102" s="8"/>
      <c r="I102" s="8"/>
      <c r="J102" s="8"/>
      <c r="K102" s="8"/>
      <c r="L102" s="8"/>
      <c r="M102" s="8"/>
      <c r="N102" s="8"/>
      <c r="O102" s="8"/>
      <c r="P102" s="8"/>
      <c r="Q102" s="8"/>
      <c r="R102" s="8"/>
    </row>
    <row r="103" spans="6:18" x14ac:dyDescent="0.25">
      <c r="F103" s="8"/>
      <c r="G103" s="8"/>
      <c r="H103" s="8"/>
      <c r="I103" s="8"/>
      <c r="J103" s="8"/>
      <c r="K103" s="8"/>
      <c r="L103" s="8"/>
      <c r="M103" s="8"/>
      <c r="N103" s="8"/>
      <c r="O103" s="8"/>
      <c r="P103" s="8"/>
      <c r="Q103" s="8"/>
      <c r="R103" s="8"/>
    </row>
    <row r="104" spans="6:18" x14ac:dyDescent="0.25">
      <c r="F104" s="8"/>
      <c r="G104" s="8"/>
      <c r="H104" s="8"/>
      <c r="I104" s="8"/>
      <c r="J104" s="8"/>
      <c r="K104" s="8"/>
      <c r="L104" s="8"/>
      <c r="M104" s="8"/>
      <c r="N104" s="8"/>
      <c r="O104" s="8"/>
      <c r="P104" s="8"/>
      <c r="Q104" s="8"/>
      <c r="R104" s="8"/>
    </row>
    <row r="105" spans="6:18" x14ac:dyDescent="0.25">
      <c r="F105" s="8"/>
      <c r="G105" s="8"/>
      <c r="H105" s="8"/>
      <c r="I105" s="8"/>
      <c r="J105" s="8"/>
      <c r="K105" s="8"/>
      <c r="L105" s="8"/>
      <c r="M105" s="8"/>
      <c r="N105" s="8"/>
      <c r="O105" s="8"/>
      <c r="P105" s="8"/>
      <c r="Q105" s="8"/>
      <c r="R105" s="8"/>
    </row>
    <row r="106" spans="6:18" x14ac:dyDescent="0.25">
      <c r="F106" s="8"/>
      <c r="G106" s="8"/>
      <c r="H106" s="8"/>
      <c r="I106" s="8"/>
      <c r="J106" s="8"/>
      <c r="K106" s="8"/>
      <c r="L106" s="8"/>
      <c r="M106" s="8"/>
      <c r="N106" s="8"/>
      <c r="O106" s="8"/>
      <c r="P106" s="8"/>
      <c r="Q106" s="8"/>
      <c r="R106" s="8"/>
    </row>
    <row r="107" spans="6:18" x14ac:dyDescent="0.25">
      <c r="F107" s="8"/>
      <c r="G107" s="8"/>
      <c r="H107" s="8"/>
      <c r="I107" s="8"/>
      <c r="J107" s="8"/>
      <c r="K107" s="8"/>
      <c r="L107" s="8"/>
      <c r="M107" s="8"/>
      <c r="N107" s="8"/>
      <c r="O107" s="8"/>
      <c r="P107" s="8"/>
      <c r="Q107" s="8"/>
      <c r="R107" s="8"/>
    </row>
    <row r="108" spans="6:18" x14ac:dyDescent="0.25">
      <c r="F108" s="8"/>
      <c r="G108" s="8"/>
      <c r="H108" s="8"/>
      <c r="I108" s="8"/>
      <c r="J108" s="8"/>
      <c r="K108" s="8"/>
      <c r="L108" s="8"/>
      <c r="M108" s="8"/>
      <c r="N108" s="8"/>
      <c r="O108" s="8"/>
      <c r="P108" s="8"/>
      <c r="Q108" s="8"/>
      <c r="R108" s="8"/>
    </row>
    <row r="109" spans="6:18" x14ac:dyDescent="0.25">
      <c r="F109" s="8"/>
      <c r="G109" s="8"/>
      <c r="H109" s="8"/>
      <c r="I109" s="8"/>
      <c r="J109" s="8"/>
      <c r="K109" s="8"/>
      <c r="L109" s="8"/>
      <c r="M109" s="8"/>
      <c r="N109" s="8"/>
      <c r="O109" s="8"/>
      <c r="P109" s="8"/>
      <c r="Q109" s="8"/>
      <c r="R109" s="8"/>
    </row>
    <row r="110" spans="6:18" x14ac:dyDescent="0.25">
      <c r="F110" s="8"/>
      <c r="G110" s="8"/>
      <c r="H110" s="8"/>
      <c r="I110" s="8"/>
      <c r="J110" s="8"/>
      <c r="K110" s="8"/>
      <c r="L110" s="8"/>
      <c r="M110" s="8"/>
      <c r="N110" s="8"/>
      <c r="O110" s="8"/>
      <c r="P110" s="8"/>
      <c r="Q110" s="8"/>
      <c r="R110" s="8"/>
    </row>
    <row r="111" spans="6:18" x14ac:dyDescent="0.25">
      <c r="F111" s="8"/>
      <c r="G111" s="8"/>
      <c r="H111" s="8"/>
      <c r="I111" s="8"/>
      <c r="J111" s="8"/>
      <c r="K111" s="8"/>
      <c r="L111" s="8"/>
      <c r="M111" s="8"/>
      <c r="N111" s="8"/>
      <c r="O111" s="8"/>
      <c r="P111" s="8"/>
      <c r="Q111" s="8"/>
      <c r="R111" s="8"/>
    </row>
    <row r="112" spans="6:18" x14ac:dyDescent="0.25">
      <c r="F112" s="8"/>
      <c r="G112" s="8"/>
      <c r="H112" s="8"/>
      <c r="I112" s="8"/>
      <c r="J112" s="8"/>
      <c r="K112" s="8"/>
      <c r="L112" s="8"/>
      <c r="M112" s="8"/>
      <c r="N112" s="8"/>
      <c r="O112" s="8"/>
      <c r="P112" s="8"/>
      <c r="Q112" s="8"/>
      <c r="R112" s="8"/>
    </row>
  </sheetData>
  <mergeCells count="22">
    <mergeCell ref="B2:C2"/>
    <mergeCell ref="C3:D3"/>
    <mergeCell ref="G6:H6"/>
    <mergeCell ref="I6:J6"/>
    <mergeCell ref="K6:L6"/>
    <mergeCell ref="K55:L55"/>
    <mergeCell ref="F62:J62"/>
    <mergeCell ref="F67:J67"/>
    <mergeCell ref="I68:I70"/>
    <mergeCell ref="G14:H14"/>
    <mergeCell ref="I14:J14"/>
    <mergeCell ref="K14:L14"/>
    <mergeCell ref="F17:J17"/>
    <mergeCell ref="F22:F27"/>
    <mergeCell ref="F28:F30"/>
    <mergeCell ref="F13:J13"/>
    <mergeCell ref="F71:J71"/>
    <mergeCell ref="F76:F80"/>
    <mergeCell ref="F81:F83"/>
    <mergeCell ref="F85:F88"/>
    <mergeCell ref="G55:H55"/>
    <mergeCell ref="I55:J55"/>
  </mergeCells>
  <conditionalFormatting sqref="B3">
    <cfRule type="cellIs" dxfId="16" priority="20" operator="greaterThan">
      <formula>40</formula>
    </cfRule>
    <cfRule type="cellIs" dxfId="15" priority="21" operator="between">
      <formula>30</formula>
      <formula>39.99</formula>
    </cfRule>
    <cfRule type="cellIs" dxfId="14" priority="22" operator="between">
      <formula>20</formula>
      <formula>29.99</formula>
    </cfRule>
    <cfRule type="cellIs" dxfId="13" priority="23" operator="between">
      <formula>10</formula>
      <formula>19.99</formula>
    </cfRule>
    <cfRule type="cellIs" dxfId="12" priority="24" operator="between">
      <formula>0</formula>
      <formula>9.99</formula>
    </cfRule>
  </conditionalFormatting>
  <conditionalFormatting sqref="D54:D65">
    <cfRule type="cellIs" dxfId="11" priority="19" operator="greaterThan">
      <formula>0</formula>
    </cfRule>
  </conditionalFormatting>
  <conditionalFormatting sqref="D54:D66">
    <cfRule type="cellIs" dxfId="10" priority="17" operator="lessThan">
      <formula>0</formula>
    </cfRule>
  </conditionalFormatting>
  <conditionalFormatting sqref="M65:N66">
    <cfRule type="containsText" dxfId="9" priority="9" operator="containsText" text="No">
      <formula>NOT(ISERROR(SEARCH("No",M65)))</formula>
    </cfRule>
    <cfRule type="containsText" dxfId="8" priority="10" operator="containsText" text="Yes">
      <formula>NOT(ISERROR(SEARCH("Yes",M65)))</formula>
    </cfRule>
  </conditionalFormatting>
  <conditionalFormatting sqref="M68:N70">
    <cfRule type="containsText" dxfId="7" priority="3" operator="containsText" text="No">
      <formula>NOT(ISERROR(SEARCH("No",M68)))</formula>
    </cfRule>
    <cfRule type="containsText" dxfId="6" priority="4" operator="containsText" text="Yes">
      <formula>NOT(ISERROR(SEARCH("Yes",M68)))</formula>
    </cfRule>
  </conditionalFormatting>
  <conditionalFormatting sqref="N56:N61 M58:M61">
    <cfRule type="containsText" dxfId="5" priority="13" operator="containsText" text="No">
      <formula>NOT(ISERROR(SEARCH("No",M56)))</formula>
    </cfRule>
    <cfRule type="containsText" dxfId="4" priority="14" operator="containsText" text="Yes">
      <formula>NOT(ISERROR(SEARCH("Yes",M56)))</formula>
    </cfRule>
  </conditionalFormatting>
  <conditionalFormatting sqref="N63">
    <cfRule type="containsText" dxfId="3" priority="1" operator="containsText" text="No">
      <formula>NOT(ISERROR(SEARCH("No",N63)))</formula>
    </cfRule>
    <cfRule type="containsText" dxfId="2" priority="2" operator="containsText" text="Yes">
      <formula>NOT(ISERROR(SEARCH("Yes",N63)))</formula>
    </cfRule>
  </conditionalFormatting>
  <conditionalFormatting sqref="Q7 N7:N12 M9:M12 M15:N16 N18 Q56">
    <cfRule type="containsText" dxfId="1" priority="15" operator="containsText" text="No">
      <formula>NOT(ISERROR(SEARCH("No",M7)))</formula>
    </cfRule>
    <cfRule type="containsText" dxfId="0" priority="16" operator="containsText" text="Yes">
      <formula>NOT(ISERROR(SEARCH("Yes",M7)))</formula>
    </cfRule>
  </conditionalFormatting>
  <dataValidations count="4">
    <dataValidation type="list" allowBlank="1" showInputMessage="1" showErrorMessage="1" sqref="N7:N12 Q56 N63 M68:N70 M65:N66 M58:M61 N56:N61 Q7 N18 M15:N16 M9:M12" xr:uid="{FA681577-FDC8-4787-A4E1-0AF0CD292990}">
      <formula1>#REF!</formula1>
    </dataValidation>
    <dataValidation type="whole" showDropDown="1" showInputMessage="1" showErrorMessage="1" sqref="E3:E4 D4" xr:uid="{9AF09A43-E006-4539-8D0A-443E4DB1AC41}">
      <formula1>INDIRECT($B$2)</formula1>
      <formula2>INDIRECT($B$2)</formula2>
    </dataValidation>
    <dataValidation type="decimal" operator="greaterThan" showInputMessage="1" showErrorMessage="1" errorTitle="Invalid value" error="Input value must be &gt;0" promptTitle="Value" prompt="Input value must be &gt;0" sqref="G64" xr:uid="{2C42563D-DB5A-4744-9823-91090DED3D18}">
      <formula1>0</formula1>
    </dataValidation>
    <dataValidation type="decimal" allowBlank="1" showInputMessage="1" showErrorMessage="1" sqref="Q67 Q18" xr:uid="{E7BDCE5C-A26F-4B0A-B4F1-DE45BB8C53CA}">
      <formula1>0.01</formula1>
      <formula2>1</formula2>
    </dataValidation>
  </dataValidations>
  <hyperlinks>
    <hyperlink ref="A10" r:id="rId1" xr:uid="{D03289A1-BC18-4D3B-AD89-8C2A264E9FF5}"/>
  </hyperlinks>
  <pageMargins left="0.7" right="0.7" top="0.75" bottom="0.75" header="0.3" footer="0.3"/>
  <pageSetup paperSize="9" scale="54" orientation="portrait" verticalDpi="599" r:id="rId2"/>
  <rowBreaks count="1" manualBreakCount="1">
    <brk id="50" max="16383" man="1"/>
  </rowBreaks>
  <colBreaks count="3" manualBreakCount="3">
    <brk id="5" max="105" man="1"/>
    <brk id="12" max="1048575" man="1"/>
    <brk id="18" max="1048575" man="1"/>
  </colBreaks>
  <drawing r:id="rId3"/>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03135-AF51-4E6D-8EAE-9E5E32D92A08}">
  <sheetPr codeName="Sheet3"/>
  <dimension ref="A1:F10"/>
  <sheetViews>
    <sheetView workbookViewId="0">
      <selection activeCell="I26" sqref="I26"/>
    </sheetView>
  </sheetViews>
  <sheetFormatPr defaultRowHeight="14.4" x14ac:dyDescent="0.3"/>
  <cols>
    <col min="1" max="2" width="22.33203125" customWidth="1"/>
    <col min="3" max="3" width="52.5546875" customWidth="1"/>
    <col min="4" max="4" width="12.109375" customWidth="1"/>
    <col min="5" max="5" width="22.5546875" customWidth="1"/>
    <col min="6" max="6" width="21.33203125" style="4" customWidth="1"/>
  </cols>
  <sheetData>
    <row r="1" spans="1:6" x14ac:dyDescent="0.3">
      <c r="A1" t="s">
        <v>415</v>
      </c>
      <c r="B1" t="s">
        <v>108</v>
      </c>
      <c r="C1" t="s">
        <v>416</v>
      </c>
      <c r="D1" t="s">
        <v>417</v>
      </c>
      <c r="E1" t="s">
        <v>418</v>
      </c>
      <c r="F1" s="4" t="s">
        <v>419</v>
      </c>
    </row>
    <row r="2" spans="1:6" x14ac:dyDescent="0.3">
      <c r="A2" t="s">
        <v>420</v>
      </c>
      <c r="B2" t="s">
        <v>7</v>
      </c>
      <c r="C2">
        <v>10</v>
      </c>
      <c r="D2" t="s">
        <v>119</v>
      </c>
      <c r="E2" t="s">
        <v>421</v>
      </c>
      <c r="F2" s="4">
        <v>0.2</v>
      </c>
    </row>
    <row r="3" spans="1:6" x14ac:dyDescent="0.3">
      <c r="A3" t="s">
        <v>422</v>
      </c>
      <c r="B3" t="s">
        <v>7</v>
      </c>
      <c r="C3">
        <v>9</v>
      </c>
      <c r="D3" t="s">
        <v>119</v>
      </c>
      <c r="E3" t="s">
        <v>421</v>
      </c>
      <c r="F3" s="4">
        <v>0.2</v>
      </c>
    </row>
    <row r="4" spans="1:6" x14ac:dyDescent="0.3">
      <c r="A4" t="s">
        <v>423</v>
      </c>
      <c r="B4" t="s">
        <v>7</v>
      </c>
      <c r="C4">
        <v>12</v>
      </c>
      <c r="D4" t="s">
        <v>119</v>
      </c>
      <c r="E4" t="s">
        <v>421</v>
      </c>
      <c r="F4" s="4">
        <v>0.2</v>
      </c>
    </row>
    <row r="5" spans="1:6" x14ac:dyDescent="0.3">
      <c r="A5" t="s">
        <v>424</v>
      </c>
      <c r="B5" t="s">
        <v>7</v>
      </c>
      <c r="C5">
        <v>6</v>
      </c>
      <c r="D5" t="s">
        <v>119</v>
      </c>
      <c r="E5" t="s">
        <v>421</v>
      </c>
      <c r="F5" s="4">
        <v>0.2</v>
      </c>
    </row>
    <row r="6" spans="1:6" x14ac:dyDescent="0.3">
      <c r="A6" t="s">
        <v>425</v>
      </c>
      <c r="B6" t="s">
        <v>7</v>
      </c>
      <c r="C6">
        <v>7</v>
      </c>
      <c r="D6" t="s">
        <v>119</v>
      </c>
      <c r="E6" t="s">
        <v>421</v>
      </c>
      <c r="F6" s="4">
        <v>0.2</v>
      </c>
    </row>
    <row r="7" spans="1:6" x14ac:dyDescent="0.3">
      <c r="A7" t="s">
        <v>426</v>
      </c>
      <c r="B7" t="s">
        <v>7</v>
      </c>
      <c r="C7">
        <v>9</v>
      </c>
      <c r="D7" t="s">
        <v>119</v>
      </c>
      <c r="E7" t="s">
        <v>421</v>
      </c>
      <c r="F7" s="4">
        <v>0.2</v>
      </c>
    </row>
    <row r="8" spans="1:6" x14ac:dyDescent="0.3">
      <c r="A8" t="s">
        <v>427</v>
      </c>
      <c r="B8" t="s">
        <v>7</v>
      </c>
      <c r="C8">
        <v>9</v>
      </c>
      <c r="D8" t="s">
        <v>119</v>
      </c>
      <c r="E8" t="s">
        <v>421</v>
      </c>
      <c r="F8" s="4">
        <v>0.2</v>
      </c>
    </row>
    <row r="10" spans="1:6" x14ac:dyDescent="0.3">
      <c r="A10" t="s">
        <v>428</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1BF6C-EF01-4032-BA92-D6F393BD014C}">
  <sheetPr codeName="Sheet7">
    <tabColor theme="2"/>
  </sheetPr>
  <dimension ref="A2:AC42"/>
  <sheetViews>
    <sheetView topLeftCell="A4" zoomScale="95" zoomScaleNormal="95" workbookViewId="0">
      <selection activeCell="P27" sqref="P27"/>
    </sheetView>
  </sheetViews>
  <sheetFormatPr defaultColWidth="8.88671875" defaultRowHeight="13.2" x14ac:dyDescent="0.25"/>
  <cols>
    <col min="1" max="1" width="8.88671875" style="8"/>
    <col min="2" max="2" width="20" style="8" customWidth="1"/>
    <col min="3" max="3" width="20.44140625" style="8" customWidth="1"/>
    <col min="4" max="4" width="8.88671875" style="8"/>
    <col min="5" max="6" width="13.109375" style="8" customWidth="1"/>
    <col min="7" max="7" width="12" style="8" customWidth="1"/>
    <col min="8" max="16384" width="8.88671875" style="8"/>
  </cols>
  <sheetData>
    <row r="2" spans="1:29" x14ac:dyDescent="0.25">
      <c r="B2" s="9" t="s">
        <v>560</v>
      </c>
    </row>
    <row r="3" spans="1:29" x14ac:dyDescent="0.25">
      <c r="B3" s="8" t="s">
        <v>597</v>
      </c>
    </row>
    <row r="4" spans="1:29" x14ac:dyDescent="0.25">
      <c r="B4" s="8" t="s">
        <v>598</v>
      </c>
    </row>
    <row r="5" spans="1:29" x14ac:dyDescent="0.25">
      <c r="B5" s="8" t="s">
        <v>599</v>
      </c>
    </row>
    <row r="7" spans="1:29" x14ac:dyDescent="0.25">
      <c r="A7" s="9" t="s">
        <v>481</v>
      </c>
      <c r="C7" s="8" t="s">
        <v>600</v>
      </c>
    </row>
    <row r="8" spans="1:29" ht="57" customHeight="1" x14ac:dyDescent="0.25">
      <c r="A8" s="13" t="s">
        <v>17</v>
      </c>
      <c r="B8" s="20" t="s">
        <v>18</v>
      </c>
      <c r="C8" s="13" t="s">
        <v>19</v>
      </c>
      <c r="D8" s="13" t="s">
        <v>601</v>
      </c>
      <c r="E8" s="13" t="s">
        <v>602</v>
      </c>
      <c r="F8" s="13" t="s">
        <v>579</v>
      </c>
      <c r="G8" s="13" t="s">
        <v>603</v>
      </c>
      <c r="N8" s="13"/>
      <c r="O8" s="13"/>
      <c r="P8" s="13"/>
      <c r="Q8" s="13"/>
      <c r="X8" s="753" t="s">
        <v>604</v>
      </c>
      <c r="Y8" s="753"/>
      <c r="Z8" s="753"/>
      <c r="AA8" s="753"/>
      <c r="AB8" s="753"/>
      <c r="AC8" s="753"/>
    </row>
    <row r="9" spans="1:29" x14ac:dyDescent="0.25">
      <c r="A9" s="22" t="s">
        <v>20</v>
      </c>
      <c r="B9" s="22" t="s">
        <v>21</v>
      </c>
      <c r="C9" s="22">
        <v>4750</v>
      </c>
      <c r="D9" s="23">
        <f>Refrigerants!C3</f>
        <v>0</v>
      </c>
      <c r="E9" s="24">
        <f>'Stage assumptions'!E49</f>
        <v>0.02</v>
      </c>
      <c r="F9" s="25">
        <v>50</v>
      </c>
      <c r="G9" s="26">
        <f>RefrigerantCalculation[[#This Row],[Global warming potential over 100 years (kg CO2eq) (Source:CIBSE TM65)]]*RefrigerantCalculation[[#This Row],[Charge (kg)]]*RefrigerantCalculation[[#This Row],[Leakage Rate (%p.a)]]*RefrigerantCalculation[[#This Row],[Years]]</f>
        <v>0</v>
      </c>
      <c r="H9" s="22"/>
      <c r="N9" s="13"/>
      <c r="O9" s="13"/>
      <c r="P9" s="13"/>
      <c r="Q9" s="13"/>
      <c r="X9" s="753"/>
      <c r="Y9" s="753"/>
      <c r="Z9" s="753"/>
      <c r="AA9" s="753"/>
      <c r="AB9" s="753"/>
      <c r="AC9" s="753"/>
    </row>
    <row r="10" spans="1:29" x14ac:dyDescent="0.25">
      <c r="A10" s="8" t="s">
        <v>22</v>
      </c>
      <c r="B10" s="8" t="s">
        <v>23</v>
      </c>
      <c r="C10" s="8">
        <v>1810</v>
      </c>
      <c r="D10" s="23">
        <f>Refrigerants!C4</f>
        <v>0</v>
      </c>
      <c r="E10" s="24">
        <f>'Stage assumptions'!E50</f>
        <v>0.02</v>
      </c>
      <c r="F10" s="13">
        <v>50</v>
      </c>
      <c r="G10" s="13">
        <f>RefrigerantCalculation[[#This Row],[Global warming potential over 100 years (kg CO2eq) (Source:CIBSE TM65)]]*RefrigerantCalculation[[#This Row],[Charge (kg)]]*RefrigerantCalculation[[#This Row],[Leakage Rate (%p.a)]]*RefrigerantCalculation[[#This Row],[Years]]</f>
        <v>0</v>
      </c>
      <c r="I10" s="27" t="s">
        <v>605</v>
      </c>
      <c r="N10" s="13"/>
      <c r="O10" s="13"/>
      <c r="P10" s="13"/>
      <c r="Q10" s="13"/>
      <c r="X10" s="753"/>
      <c r="Y10" s="753"/>
      <c r="Z10" s="753"/>
      <c r="AA10" s="753"/>
      <c r="AB10" s="753"/>
      <c r="AC10" s="753"/>
    </row>
    <row r="11" spans="1:29" x14ac:dyDescent="0.25">
      <c r="A11" s="28"/>
      <c r="B11" s="29" t="s">
        <v>24</v>
      </c>
      <c r="C11" s="29">
        <v>1774</v>
      </c>
      <c r="D11" s="23">
        <f>Refrigerants!C5</f>
        <v>0</v>
      </c>
      <c r="E11" s="24">
        <f>'Stage assumptions'!E51</f>
        <v>0.02</v>
      </c>
      <c r="F11" s="30">
        <v>50</v>
      </c>
      <c r="G11" s="31">
        <f>RefrigerantCalculation[[#This Row],[Global warming potential over 100 years (kg CO2eq) (Source:CIBSE TM65)]]*RefrigerantCalculation[[#This Row],[Charge (kg)]]*RefrigerantCalculation[[#This Row],[Leakage Rate (%p.a)]]*RefrigerantCalculation[[#This Row],[Years]]</f>
        <v>0</v>
      </c>
      <c r="N11" s="13"/>
      <c r="O11" s="13"/>
      <c r="P11" s="13"/>
      <c r="Q11" s="13"/>
      <c r="X11" s="753"/>
      <c r="Y11" s="753"/>
      <c r="Z11" s="753"/>
      <c r="AA11" s="753"/>
      <c r="AB11" s="753"/>
      <c r="AC11" s="753"/>
    </row>
    <row r="12" spans="1:29" x14ac:dyDescent="0.25">
      <c r="A12" s="8" t="s">
        <v>25</v>
      </c>
      <c r="B12" s="8" t="s">
        <v>26</v>
      </c>
      <c r="C12" s="8">
        <v>2088</v>
      </c>
      <c r="D12" s="23">
        <f>Refrigerants!C6</f>
        <v>0</v>
      </c>
      <c r="E12" s="24">
        <f>'Stage assumptions'!E52</f>
        <v>0.02</v>
      </c>
      <c r="F12" s="13">
        <v>50</v>
      </c>
      <c r="G12" s="13">
        <f>RefrigerantCalculation[[#This Row],[Global warming potential over 100 years (kg CO2eq) (Source:CIBSE TM65)]]*RefrigerantCalculation[[#This Row],[Charge (kg)]]*RefrigerantCalculation[[#This Row],[Leakage Rate (%p.a)]]*RefrigerantCalculation[[#This Row],[Years]]</f>
        <v>0</v>
      </c>
      <c r="N12" s="13"/>
      <c r="O12" s="13"/>
      <c r="P12" s="13"/>
      <c r="Q12" s="13"/>
      <c r="X12" s="753"/>
      <c r="Y12" s="753"/>
      <c r="Z12" s="753"/>
      <c r="AA12" s="753"/>
      <c r="AB12" s="753"/>
      <c r="AC12" s="753"/>
    </row>
    <row r="13" spans="1:29" x14ac:dyDescent="0.25">
      <c r="B13" s="8" t="s">
        <v>27</v>
      </c>
      <c r="C13" s="8">
        <v>1430</v>
      </c>
      <c r="D13" s="23">
        <f>Refrigerants!C7</f>
        <v>0</v>
      </c>
      <c r="E13" s="24">
        <f>'Stage assumptions'!E53</f>
        <v>0.02</v>
      </c>
      <c r="F13" s="13">
        <v>50</v>
      </c>
      <c r="G13" s="13">
        <f>RefrigerantCalculation[[#This Row],[Global warming potential over 100 years (kg CO2eq) (Source:CIBSE TM65)]]*RefrigerantCalculation[[#This Row],[Charge (kg)]]*RefrigerantCalculation[[#This Row],[Leakage Rate (%p.a)]]*RefrigerantCalculation[[#This Row],[Years]]</f>
        <v>0</v>
      </c>
      <c r="N13" s="13"/>
      <c r="O13" s="13"/>
      <c r="P13" s="13"/>
      <c r="Q13" s="13"/>
      <c r="X13" s="753"/>
      <c r="Y13" s="753"/>
      <c r="Z13" s="753"/>
      <c r="AA13" s="753"/>
      <c r="AB13" s="753"/>
      <c r="AC13" s="753"/>
    </row>
    <row r="14" spans="1:29" x14ac:dyDescent="0.25">
      <c r="A14" s="28"/>
      <c r="B14" s="29" t="s">
        <v>28</v>
      </c>
      <c r="C14" s="29">
        <v>677</v>
      </c>
      <c r="D14" s="23">
        <f>Refrigerants!C8</f>
        <v>0</v>
      </c>
      <c r="E14" s="24">
        <f>'Stage assumptions'!E54</f>
        <v>0.02</v>
      </c>
      <c r="F14" s="30">
        <v>50</v>
      </c>
      <c r="G14" s="31">
        <f>RefrigerantCalculation[[#This Row],[Global warming potential over 100 years (kg CO2eq) (Source:CIBSE TM65)]]*RefrigerantCalculation[[#This Row],[Charge (kg)]]*RefrigerantCalculation[[#This Row],[Leakage Rate (%p.a)]]*RefrigerantCalculation[[#This Row],[Years]]</f>
        <v>0</v>
      </c>
      <c r="N14" s="13"/>
      <c r="O14" s="13"/>
      <c r="P14" s="13"/>
      <c r="Q14" s="13"/>
      <c r="X14" s="753"/>
      <c r="Y14" s="753"/>
      <c r="Z14" s="753"/>
      <c r="AA14" s="753"/>
      <c r="AB14" s="753"/>
      <c r="AC14" s="753"/>
    </row>
    <row r="15" spans="1:29" x14ac:dyDescent="0.25">
      <c r="A15" s="8" t="s">
        <v>29</v>
      </c>
      <c r="B15" s="8" t="s">
        <v>30</v>
      </c>
      <c r="C15" s="8">
        <v>1</v>
      </c>
      <c r="D15" s="23">
        <f>Refrigerants!C9</f>
        <v>0</v>
      </c>
      <c r="E15" s="24">
        <f>'Stage assumptions'!E55</f>
        <v>0.02</v>
      </c>
      <c r="F15" s="13">
        <v>50</v>
      </c>
      <c r="G15" s="13">
        <f>RefrigerantCalculation[[#This Row],[Global warming potential over 100 years (kg CO2eq) (Source:CIBSE TM65)]]*RefrigerantCalculation[[#This Row],[Charge (kg)]]*RefrigerantCalculation[[#This Row],[Leakage Rate (%p.a)]]*RefrigerantCalculation[[#This Row],[Years]]</f>
        <v>0</v>
      </c>
      <c r="N15" s="13"/>
      <c r="O15" s="13"/>
      <c r="P15" s="13"/>
      <c r="Q15" s="13"/>
      <c r="X15" s="753"/>
      <c r="Y15" s="753"/>
      <c r="Z15" s="753"/>
      <c r="AA15" s="753"/>
      <c r="AB15" s="753"/>
      <c r="AC15" s="753"/>
    </row>
    <row r="16" spans="1:29" x14ac:dyDescent="0.25">
      <c r="A16" s="22"/>
      <c r="B16" s="22" t="s">
        <v>31</v>
      </c>
      <c r="C16" s="22">
        <v>1</v>
      </c>
      <c r="D16" s="23">
        <f>Refrigerants!C10</f>
        <v>0</v>
      </c>
      <c r="E16" s="24">
        <f>'Stage assumptions'!E56</f>
        <v>0.02</v>
      </c>
      <c r="F16" s="26">
        <v>50</v>
      </c>
      <c r="G16" s="26">
        <f>RefrigerantCalculation[[#This Row],[Global warming potential over 100 years (kg CO2eq) (Source:CIBSE TM65)]]*RefrigerantCalculation[[#This Row],[Charge (kg)]]*RefrigerantCalculation[[#This Row],[Leakage Rate (%p.a)]]*RefrigerantCalculation[[#This Row],[Years]]</f>
        <v>0</v>
      </c>
      <c r="N16" s="13"/>
      <c r="O16" s="13"/>
      <c r="P16" s="13"/>
      <c r="Q16" s="13"/>
      <c r="X16" s="753"/>
      <c r="Y16" s="753"/>
      <c r="Z16" s="753"/>
      <c r="AA16" s="753"/>
      <c r="AB16" s="753"/>
      <c r="AC16" s="753"/>
    </row>
    <row r="17" spans="1:29" x14ac:dyDescent="0.25">
      <c r="A17" s="22" t="s">
        <v>32</v>
      </c>
      <c r="B17" s="22" t="s">
        <v>33</v>
      </c>
      <c r="C17" s="22">
        <v>4</v>
      </c>
      <c r="D17" s="23">
        <f>Refrigerants!C11</f>
        <v>0</v>
      </c>
      <c r="E17" s="24">
        <f>'Stage assumptions'!E57</f>
        <v>0.02</v>
      </c>
      <c r="F17" s="22">
        <v>50</v>
      </c>
      <c r="G17" s="26">
        <f>RefrigerantCalculation[[#This Row],[Global warming potential over 100 years (kg CO2eq) (Source:CIBSE TM65)]]*RefrigerantCalculation[[#This Row],[Charge (kg)]]*RefrigerantCalculation[[#This Row],[Leakage Rate (%p.a)]]*RefrigerantCalculation[[#This Row],[Years]]</f>
        <v>0</v>
      </c>
      <c r="N17" s="13"/>
      <c r="O17" s="13"/>
      <c r="P17" s="13"/>
      <c r="Q17" s="13"/>
      <c r="X17" s="753"/>
      <c r="Y17" s="753"/>
      <c r="Z17" s="753"/>
      <c r="AA17" s="753"/>
      <c r="AB17" s="753"/>
      <c r="AC17" s="753"/>
    </row>
    <row r="18" spans="1:29" x14ac:dyDescent="0.25">
      <c r="A18" s="8" t="s">
        <v>34</v>
      </c>
      <c r="B18" s="8" t="s">
        <v>35</v>
      </c>
      <c r="C18" s="8">
        <v>1</v>
      </c>
      <c r="D18" s="23">
        <f>Refrigerants!C12</f>
        <v>0</v>
      </c>
      <c r="E18" s="24">
        <f>'Stage assumptions'!E58</f>
        <v>0.02</v>
      </c>
      <c r="F18" s="8">
        <v>50</v>
      </c>
      <c r="G18" s="8">
        <f>RefrigerantCalculation[[#This Row],[Global warming potential over 100 years (kg CO2eq) (Source:CIBSE TM65)]]*RefrigerantCalculation[[#This Row],[Charge (kg)]]*RefrigerantCalculation[[#This Row],[Leakage Rate (%p.a)]]*RefrigerantCalculation[[#This Row],[Years]]</f>
        <v>0</v>
      </c>
      <c r="X18" s="753"/>
      <c r="Y18" s="753"/>
      <c r="Z18" s="753"/>
      <c r="AA18" s="753"/>
      <c r="AB18" s="753"/>
      <c r="AC18" s="753"/>
    </row>
    <row r="19" spans="1:29" x14ac:dyDescent="0.25">
      <c r="A19" s="331"/>
      <c r="B19" s="331" t="s">
        <v>36</v>
      </c>
      <c r="C19" s="331">
        <v>0</v>
      </c>
      <c r="D19" s="332">
        <f>Refrigerants!C13</f>
        <v>0</v>
      </c>
      <c r="E19" s="333">
        <f>'Stage assumptions'!E59</f>
        <v>0.02</v>
      </c>
      <c r="F19" s="331">
        <v>50</v>
      </c>
      <c r="G19" s="331">
        <f>RefrigerantCalculation[[#This Row],[Global warming potential over 100 years (kg CO2eq) (Source:CIBSE TM65)]]*RefrigerantCalculation[[#This Row],[Charge (kg)]]*RefrigerantCalculation[[#This Row],[Leakage Rate (%p.a)]]*RefrigerantCalculation[[#This Row],[Years]]</f>
        <v>0</v>
      </c>
      <c r="X19" s="753"/>
      <c r="Y19" s="753"/>
      <c r="Z19" s="753"/>
      <c r="AA19" s="753"/>
      <c r="AB19" s="753"/>
      <c r="AC19" s="753"/>
    </row>
    <row r="20" spans="1:29" ht="14.4" x14ac:dyDescent="0.3">
      <c r="B20" s="8" t="s">
        <v>1131</v>
      </c>
      <c r="C20" s="8">
        <v>573</v>
      </c>
      <c r="D20" s="23">
        <f>Refrigerants!C15</f>
        <v>0</v>
      </c>
      <c r="E20" s="24">
        <f>'Stage assumptions'!E60</f>
        <v>0.02</v>
      </c>
      <c r="F20" s="331">
        <v>50</v>
      </c>
      <c r="G20" s="8">
        <f>RefrigerantCalculation[[#This Row],[Global warming potential over 100 years (kg CO2eq) (Source:CIBSE TM65)]]*RefrigerantCalculation[[#This Row],[Charge (kg)]]*RefrigerantCalculation[[#This Row],[Leakage Rate (%p.a)]]*RefrigerantCalculation[[#This Row],[Years]]</f>
        <v>0</v>
      </c>
      <c r="I20" s="8" t="s">
        <v>1132</v>
      </c>
      <c r="J20" s="5" t="s">
        <v>1135</v>
      </c>
      <c r="X20" s="753"/>
      <c r="Y20" s="753"/>
      <c r="Z20" s="753"/>
      <c r="AA20" s="753"/>
      <c r="AB20" s="753"/>
      <c r="AC20" s="753"/>
    </row>
    <row r="21" spans="1:29" ht="14.4" x14ac:dyDescent="0.3">
      <c r="B21" s="8" t="s">
        <v>1133</v>
      </c>
      <c r="C21" s="8">
        <v>3</v>
      </c>
      <c r="D21" s="23">
        <f>Refrigerants!C16</f>
        <v>0</v>
      </c>
      <c r="E21" s="24">
        <f>'Stage assumptions'!E61</f>
        <v>0.02</v>
      </c>
      <c r="F21" s="331">
        <v>50</v>
      </c>
      <c r="G21" s="8">
        <f>RefrigerantCalculation[[#This Row],[Global warming potential over 100 years (kg CO2eq) (Source:CIBSE TM65)]]*RefrigerantCalculation[[#This Row],[Charge (kg)]]*RefrigerantCalculation[[#This Row],[Leakage Rate (%p.a)]]*RefrigerantCalculation[[#This Row],[Years]]</f>
        <v>0</v>
      </c>
      <c r="I21" s="8" t="s">
        <v>1132</v>
      </c>
      <c r="J21" s="5" t="s">
        <v>1134</v>
      </c>
      <c r="X21" s="753"/>
      <c r="Y21" s="753"/>
      <c r="Z21" s="753"/>
      <c r="AA21" s="753"/>
      <c r="AB21" s="753"/>
      <c r="AC21" s="753"/>
    </row>
    <row r="22" spans="1:29" x14ac:dyDescent="0.25">
      <c r="B22" s="8" t="s">
        <v>37</v>
      </c>
      <c r="C22" s="8">
        <v>0</v>
      </c>
      <c r="D22" s="23">
        <f>Refrigerants!C14</f>
        <v>0</v>
      </c>
      <c r="E22" s="24">
        <f>'Stage assumptions'!E60</f>
        <v>0.02</v>
      </c>
      <c r="F22" s="8">
        <v>50</v>
      </c>
      <c r="G22" s="8">
        <f>RefrigerantCalculation[[#This Row],[Global warming potential over 100 years (kg CO2eq) (Source:CIBSE TM65)]]*RefrigerantCalculation[[#This Row],[Charge (kg)]]*RefrigerantCalculation[[#This Row],[Leakage Rate (%p.a)]]*RefrigerantCalculation[[#This Row],[Years]]</f>
        <v>0</v>
      </c>
      <c r="X22" s="753"/>
      <c r="Y22" s="753"/>
      <c r="Z22" s="753"/>
      <c r="AA22" s="753"/>
      <c r="AB22" s="753"/>
      <c r="AC22" s="753"/>
    </row>
    <row r="23" spans="1:29" x14ac:dyDescent="0.25">
      <c r="G23" s="8">
        <f>SUM(RefrigerantCalculation[B1 GWP (kgCO2e)])</f>
        <v>0</v>
      </c>
      <c r="X23" s="753"/>
      <c r="Y23" s="753"/>
      <c r="Z23" s="753"/>
      <c r="AA23" s="753"/>
      <c r="AB23" s="753"/>
      <c r="AC23" s="753"/>
    </row>
    <row r="24" spans="1:29" x14ac:dyDescent="0.25">
      <c r="X24" s="753"/>
      <c r="Y24" s="753"/>
      <c r="Z24" s="753"/>
      <c r="AA24" s="753"/>
      <c r="AB24" s="753"/>
      <c r="AC24" s="753"/>
    </row>
    <row r="25" spans="1:29" x14ac:dyDescent="0.25">
      <c r="A25" s="9" t="s">
        <v>606</v>
      </c>
      <c r="C25" s="27"/>
      <c r="X25" s="753"/>
      <c r="Y25" s="753"/>
      <c r="Z25" s="753"/>
      <c r="AA25" s="753"/>
      <c r="AB25" s="753"/>
      <c r="AC25" s="753"/>
    </row>
    <row r="26" spans="1:29" x14ac:dyDescent="0.25">
      <c r="A26" s="8" t="s">
        <v>607</v>
      </c>
      <c r="X26" s="753"/>
      <c r="Y26" s="753"/>
      <c r="Z26" s="753"/>
      <c r="AA26" s="753"/>
      <c r="AB26" s="753"/>
      <c r="AC26" s="753"/>
    </row>
    <row r="27" spans="1:29" x14ac:dyDescent="0.25">
      <c r="A27" s="8" t="s">
        <v>608</v>
      </c>
      <c r="X27" s="753"/>
      <c r="Y27" s="753"/>
      <c r="Z27" s="753"/>
      <c r="AA27" s="753"/>
      <c r="AB27" s="753"/>
      <c r="AC27" s="753"/>
    </row>
    <row r="28" spans="1:29" x14ac:dyDescent="0.25">
      <c r="A28" s="8" t="s">
        <v>609</v>
      </c>
      <c r="X28" s="753"/>
      <c r="Y28" s="753"/>
      <c r="Z28" s="753"/>
      <c r="AA28" s="753"/>
      <c r="AB28" s="753"/>
      <c r="AC28" s="753"/>
    </row>
    <row r="29" spans="1:29" x14ac:dyDescent="0.25">
      <c r="X29" s="753"/>
      <c r="Y29" s="753"/>
      <c r="Z29" s="753"/>
      <c r="AA29" s="753"/>
      <c r="AB29" s="753"/>
      <c r="AC29" s="753"/>
    </row>
    <row r="30" spans="1:29" x14ac:dyDescent="0.25">
      <c r="A30" s="9" t="s">
        <v>610</v>
      </c>
      <c r="C30" s="27" t="s">
        <v>611</v>
      </c>
      <c r="X30" s="753"/>
      <c r="Y30" s="753"/>
      <c r="Z30" s="753"/>
      <c r="AA30" s="753"/>
      <c r="AB30" s="753"/>
      <c r="AC30" s="753"/>
    </row>
    <row r="31" spans="1:29" x14ac:dyDescent="0.25">
      <c r="X31" s="753"/>
      <c r="Y31" s="753"/>
      <c r="Z31" s="753"/>
      <c r="AA31" s="753"/>
      <c r="AB31" s="753"/>
      <c r="AC31" s="753"/>
    </row>
    <row r="32" spans="1:29" x14ac:dyDescent="0.25">
      <c r="X32" s="753"/>
      <c r="Y32" s="753"/>
      <c r="Z32" s="753"/>
      <c r="AA32" s="753"/>
      <c r="AB32" s="753"/>
      <c r="AC32" s="753"/>
    </row>
    <row r="33" spans="2:29" x14ac:dyDescent="0.25">
      <c r="B33" s="8" t="s">
        <v>612</v>
      </c>
      <c r="X33" s="753"/>
      <c r="Y33" s="753"/>
      <c r="Z33" s="753"/>
      <c r="AA33" s="753"/>
      <c r="AB33" s="753"/>
      <c r="AC33" s="753"/>
    </row>
    <row r="34" spans="2:29" x14ac:dyDescent="0.25">
      <c r="X34" s="753"/>
      <c r="Y34" s="753"/>
      <c r="Z34" s="753"/>
      <c r="AA34" s="753"/>
      <c r="AB34" s="753"/>
      <c r="AC34" s="753"/>
    </row>
    <row r="35" spans="2:29" ht="14.4" x14ac:dyDescent="0.3">
      <c r="B35" s="32" t="s">
        <v>613</v>
      </c>
      <c r="X35" s="753"/>
      <c r="Y35" s="753"/>
      <c r="Z35" s="753"/>
      <c r="AA35" s="753"/>
      <c r="AB35" s="753"/>
      <c r="AC35" s="753"/>
    </row>
    <row r="36" spans="2:29" x14ac:dyDescent="0.25">
      <c r="B36" s="8" t="s">
        <v>614</v>
      </c>
      <c r="X36" s="753"/>
      <c r="Y36" s="753"/>
      <c r="Z36" s="753"/>
      <c r="AA36" s="753"/>
      <c r="AB36" s="753"/>
      <c r="AC36" s="753"/>
    </row>
    <row r="37" spans="2:29" ht="14.4" x14ac:dyDescent="0.3">
      <c r="B37"/>
    </row>
    <row r="38" spans="2:29" ht="14.4" x14ac:dyDescent="0.3">
      <c r="B38" s="1" t="s">
        <v>615</v>
      </c>
      <c r="C38" s="8" t="s">
        <v>616</v>
      </c>
    </row>
    <row r="39" spans="2:29" ht="14.4" x14ac:dyDescent="0.3">
      <c r="B39" s="1" t="s">
        <v>617</v>
      </c>
      <c r="D39" s="8" t="s">
        <v>618</v>
      </c>
      <c r="J39" s="8" t="s">
        <v>619</v>
      </c>
    </row>
    <row r="40" spans="2:29" ht="14.4" x14ac:dyDescent="0.3">
      <c r="B40" s="1" t="s">
        <v>620</v>
      </c>
      <c r="J40" s="8" t="s">
        <v>621</v>
      </c>
    </row>
    <row r="41" spans="2:29" x14ac:dyDescent="0.25">
      <c r="B41" s="8" t="s">
        <v>622</v>
      </c>
      <c r="J41" s="8" t="s">
        <v>623</v>
      </c>
    </row>
    <row r="42" spans="2:29" x14ac:dyDescent="0.25">
      <c r="B42" s="8" t="s">
        <v>624</v>
      </c>
    </row>
  </sheetData>
  <mergeCells count="1">
    <mergeCell ref="X8:AC36"/>
  </mergeCells>
  <hyperlinks>
    <hyperlink ref="J20" r:id="rId1" xr:uid="{8914E7D4-F06B-4B98-865D-FE27D3E2F7DE}"/>
    <hyperlink ref="J21" r:id="rId2" xr:uid="{47E257D1-193F-4C50-9EA4-CA9EC112D562}"/>
  </hyperlinks>
  <pageMargins left="0.7" right="0.7" top="0.75" bottom="0.75" header="0.3" footer="0.3"/>
  <pageSetup paperSize="9" orientation="portrait" horizontalDpi="300" verticalDpi="300" r:id="rId3"/>
  <drawing r:id="rId4"/>
  <legacyDrawing r:id="rId5"/>
  <tableParts count="1">
    <tablePart r:id="rId6"/>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46195-C9A3-45B8-AAB8-DD4186A0F25E}">
  <sheetPr codeName="Sheet10">
    <tabColor rgb="FFFFC000"/>
  </sheetPr>
  <dimension ref="B2:O41"/>
  <sheetViews>
    <sheetView showGridLines="0" topLeftCell="A2" zoomScale="95" zoomScaleNormal="95" workbookViewId="0">
      <selection activeCell="M13" sqref="M13"/>
    </sheetView>
  </sheetViews>
  <sheetFormatPr defaultColWidth="8.88671875" defaultRowHeight="13.2" x14ac:dyDescent="0.25"/>
  <cols>
    <col min="1" max="1" width="2.5546875" style="8" customWidth="1"/>
    <col min="2" max="2" width="19.88671875" style="8" customWidth="1"/>
    <col min="3" max="3" width="57.6640625" style="8" customWidth="1"/>
    <col min="4" max="14" width="8.88671875" style="8"/>
    <col min="15" max="15" width="10.44140625" style="8" customWidth="1"/>
    <col min="16" max="16384" width="8.88671875" style="8"/>
  </cols>
  <sheetData>
    <row r="2" spans="2:15" ht="28.2" customHeight="1" x14ac:dyDescent="0.25">
      <c r="B2" s="361" t="s">
        <v>765</v>
      </c>
      <c r="C2" s="361"/>
      <c r="D2" s="13"/>
      <c r="E2" s="13"/>
      <c r="F2" s="13"/>
      <c r="G2" s="13"/>
      <c r="H2" s="13"/>
    </row>
    <row r="3" spans="2:15" ht="97.95" customHeight="1" x14ac:dyDescent="0.25">
      <c r="B3" s="798" t="s">
        <v>766</v>
      </c>
      <c r="C3" s="798"/>
      <c r="D3" s="338"/>
      <c r="E3" s="8" t="s">
        <v>1496</v>
      </c>
      <c r="F3" s="338"/>
      <c r="G3" s="338"/>
      <c r="H3" s="338"/>
      <c r="I3" s="338"/>
      <c r="J3" s="338"/>
      <c r="K3" s="338"/>
      <c r="L3" s="338"/>
    </row>
    <row r="4" spans="2:15" ht="15.6" customHeight="1" x14ac:dyDescent="0.25">
      <c r="B4" s="383" t="s">
        <v>767</v>
      </c>
      <c r="C4" s="347"/>
      <c r="D4" s="13"/>
      <c r="E4" s="347"/>
      <c r="F4" s="8" t="s">
        <v>1309</v>
      </c>
      <c r="G4" s="13"/>
      <c r="H4" s="13"/>
    </row>
    <row r="5" spans="2:15" ht="15.6" customHeight="1" x14ac:dyDescent="0.25">
      <c r="B5" s="383" t="s">
        <v>768</v>
      </c>
      <c r="C5" s="348" t="s">
        <v>872</v>
      </c>
      <c r="E5" s="348"/>
      <c r="F5" s="8" t="s">
        <v>1310</v>
      </c>
      <c r="G5" s="13"/>
      <c r="H5" s="13"/>
    </row>
    <row r="6" spans="2:15" ht="15.6" customHeight="1" x14ac:dyDescent="0.25">
      <c r="B6" s="383" t="s">
        <v>1273</v>
      </c>
      <c r="C6" s="347" t="s">
        <v>1586</v>
      </c>
      <c r="E6" s="587"/>
      <c r="G6" s="13"/>
      <c r="H6" s="13"/>
    </row>
    <row r="7" spans="2:15" ht="15.6" customHeight="1" x14ac:dyDescent="0.25">
      <c r="B7" s="383" t="s">
        <v>1274</v>
      </c>
      <c r="C7" s="347"/>
      <c r="E7" s="587"/>
      <c r="G7" s="13"/>
      <c r="H7" s="13"/>
    </row>
    <row r="8" spans="2:15" ht="15.6" customHeight="1" x14ac:dyDescent="0.25">
      <c r="B8" s="383" t="s">
        <v>1481</v>
      </c>
      <c r="C8" s="347" t="s">
        <v>1527</v>
      </c>
      <c r="E8" s="587"/>
      <c r="G8" s="13"/>
      <c r="H8" s="13"/>
    </row>
    <row r="9" spans="2:15" ht="15.6" customHeight="1" x14ac:dyDescent="0.3">
      <c r="B9" s="383" t="s">
        <v>769</v>
      </c>
      <c r="C9" s="384"/>
      <c r="D9" s="13"/>
      <c r="E9"/>
      <c r="F9"/>
      <c r="H9" s="13"/>
    </row>
    <row r="10" spans="2:15" ht="30.6" customHeight="1" x14ac:dyDescent="0.25">
      <c r="B10" s="383" t="s">
        <v>1251</v>
      </c>
      <c r="C10" s="347"/>
      <c r="D10" s="13"/>
      <c r="E10" s="13"/>
      <c r="F10" s="13"/>
      <c r="G10" s="13"/>
      <c r="H10" s="13"/>
    </row>
    <row r="11" spans="2:15" ht="30.6" customHeight="1" x14ac:dyDescent="0.25">
      <c r="B11" s="383" t="s">
        <v>770</v>
      </c>
      <c r="C11" s="347"/>
      <c r="D11" s="13"/>
      <c r="E11" s="13"/>
      <c r="F11" s="13"/>
      <c r="G11" s="13"/>
      <c r="H11" s="13"/>
    </row>
    <row r="12" spans="2:15" ht="30" customHeight="1" x14ac:dyDescent="0.25">
      <c r="B12" s="383" t="s">
        <v>1252</v>
      </c>
      <c r="C12" s="347"/>
      <c r="D12" s="13"/>
      <c r="E12" s="13"/>
      <c r="F12" s="13"/>
      <c r="G12" s="13"/>
      <c r="H12" s="13"/>
    </row>
    <row r="13" spans="2:15" ht="30" customHeight="1" x14ac:dyDescent="0.25">
      <c r="B13" s="383" t="s">
        <v>1254</v>
      </c>
      <c r="C13" s="347" t="s">
        <v>1503</v>
      </c>
      <c r="D13" s="13"/>
      <c r="E13" s="13"/>
      <c r="F13" s="13"/>
      <c r="G13" s="13"/>
      <c r="H13" s="13"/>
    </row>
    <row r="14" spans="2:15" ht="135.6" customHeight="1" thickBot="1" x14ac:dyDescent="0.3">
      <c r="B14" s="383" t="s">
        <v>1311</v>
      </c>
      <c r="C14" s="347"/>
      <c r="D14" s="13"/>
      <c r="E14" s="77" t="s">
        <v>1454</v>
      </c>
      <c r="F14" s="13"/>
      <c r="G14" s="13"/>
      <c r="H14" s="13"/>
    </row>
    <row r="15" spans="2:15" ht="15.6" customHeight="1" x14ac:dyDescent="0.25">
      <c r="B15" s="383" t="s">
        <v>771</v>
      </c>
      <c r="C15" s="348" t="s">
        <v>1411</v>
      </c>
      <c r="D15" s="13"/>
      <c r="E15" s="510" t="s">
        <v>1112</v>
      </c>
      <c r="F15" s="511"/>
      <c r="G15" s="511"/>
      <c r="H15" s="511"/>
      <c r="I15" s="511"/>
      <c r="J15" s="511"/>
      <c r="K15" s="511"/>
      <c r="L15" s="511"/>
      <c r="M15" s="511"/>
      <c r="N15" s="511"/>
      <c r="O15" s="512"/>
    </row>
    <row r="16" spans="2:15" ht="30" customHeight="1" x14ac:dyDescent="0.25">
      <c r="B16" s="383" t="s">
        <v>1276</v>
      </c>
      <c r="C16" s="555">
        <v>32</v>
      </c>
      <c r="D16" s="13"/>
      <c r="E16" s="517" t="s">
        <v>1113</v>
      </c>
      <c r="F16" s="518" t="s">
        <v>1110</v>
      </c>
      <c r="G16" s="519"/>
      <c r="H16" s="519"/>
      <c r="I16" s="519"/>
      <c r="J16" s="519"/>
      <c r="K16" s="519" t="s">
        <v>1108</v>
      </c>
      <c r="L16" s="519"/>
      <c r="M16" s="519"/>
      <c r="N16" s="513"/>
      <c r="O16" s="514"/>
    </row>
    <row r="17" spans="2:15" ht="30" customHeight="1" x14ac:dyDescent="0.25">
      <c r="B17" s="383" t="s">
        <v>1576</v>
      </c>
      <c r="C17" s="555">
        <v>1</v>
      </c>
      <c r="D17" s="13"/>
      <c r="E17" s="517"/>
      <c r="F17" s="518"/>
      <c r="G17" s="519"/>
      <c r="H17" s="519"/>
      <c r="I17" s="519"/>
      <c r="J17" s="519"/>
      <c r="K17" s="519"/>
      <c r="L17" s="519"/>
      <c r="M17" s="519"/>
      <c r="N17" s="513"/>
      <c r="O17" s="514"/>
    </row>
    <row r="18" spans="2:15" ht="30" customHeight="1" thickBot="1" x14ac:dyDescent="0.3">
      <c r="B18" s="383" t="s">
        <v>772</v>
      </c>
      <c r="C18" s="386" t="s">
        <v>1528</v>
      </c>
      <c r="D18" s="13"/>
      <c r="E18" s="520" t="s">
        <v>1114</v>
      </c>
      <c r="F18" s="521" t="s">
        <v>1111</v>
      </c>
      <c r="G18" s="522"/>
      <c r="H18" s="522"/>
      <c r="I18" s="522"/>
      <c r="J18" s="522"/>
      <c r="K18" s="522"/>
      <c r="L18" s="522" t="s">
        <v>1109</v>
      </c>
      <c r="M18" s="522"/>
      <c r="N18" s="515"/>
      <c r="O18" s="516"/>
    </row>
    <row r="19" spans="2:15" ht="15.6" customHeight="1" x14ac:dyDescent="0.25">
      <c r="B19" s="383" t="s">
        <v>773</v>
      </c>
      <c r="C19" s="387" t="s">
        <v>1488</v>
      </c>
      <c r="D19" s="13"/>
      <c r="E19" s="13"/>
      <c r="F19" s="13"/>
      <c r="G19" s="13"/>
      <c r="H19" s="13"/>
    </row>
    <row r="20" spans="2:15" x14ac:dyDescent="0.25">
      <c r="B20" s="799" t="s">
        <v>1312</v>
      </c>
      <c r="C20" s="799"/>
      <c r="D20" s="13"/>
      <c r="E20" s="13"/>
      <c r="F20" s="13"/>
      <c r="G20" s="13"/>
      <c r="H20" s="13"/>
    </row>
    <row r="21" spans="2:15" ht="26.4" x14ac:dyDescent="0.25">
      <c r="B21" s="383" t="s">
        <v>775</v>
      </c>
      <c r="C21" s="347" t="s">
        <v>776</v>
      </c>
      <c r="D21" s="13"/>
      <c r="E21" s="13"/>
      <c r="F21" s="13"/>
      <c r="G21" s="13"/>
      <c r="H21" s="13"/>
    </row>
    <row r="22" spans="2:15" ht="13.2" customHeight="1" x14ac:dyDescent="0.25">
      <c r="B22" s="383" t="s">
        <v>777</v>
      </c>
      <c r="C22" s="347" t="s">
        <v>778</v>
      </c>
      <c r="D22" s="13"/>
      <c r="E22" s="13"/>
      <c r="F22" s="13"/>
      <c r="G22" s="13"/>
      <c r="H22" s="13"/>
    </row>
    <row r="23" spans="2:15" x14ac:dyDescent="0.25">
      <c r="B23" s="383" t="s">
        <v>779</v>
      </c>
      <c r="C23" s="347" t="s">
        <v>780</v>
      </c>
      <c r="D23" s="13"/>
      <c r="E23" s="13"/>
      <c r="F23" s="13"/>
      <c r="G23" s="13"/>
      <c r="H23" s="13"/>
    </row>
    <row r="24" spans="2:15" ht="13.2" customHeight="1" x14ac:dyDescent="0.25">
      <c r="B24" s="799" t="s">
        <v>1313</v>
      </c>
      <c r="C24" s="799"/>
      <c r="D24" s="13"/>
      <c r="E24" s="13"/>
      <c r="F24" s="13"/>
      <c r="G24" s="13"/>
      <c r="H24" s="13"/>
    </row>
    <row r="25" spans="2:15" ht="30" customHeight="1" x14ac:dyDescent="0.25">
      <c r="B25" s="383" t="s">
        <v>781</v>
      </c>
      <c r="C25" s="388" t="s">
        <v>1523</v>
      </c>
      <c r="D25" s="13"/>
      <c r="E25" s="13"/>
      <c r="F25" s="13"/>
      <c r="G25" s="13"/>
      <c r="H25" s="13"/>
    </row>
    <row r="26" spans="2:15" ht="42" customHeight="1" x14ac:dyDescent="0.25">
      <c r="B26" s="383" t="s">
        <v>1490</v>
      </c>
      <c r="C26" s="347"/>
      <c r="D26" s="13"/>
      <c r="E26" s="13"/>
      <c r="F26" s="13"/>
      <c r="G26" s="13"/>
      <c r="H26" s="13"/>
    </row>
    <row r="27" spans="2:15" ht="13.2" customHeight="1" x14ac:dyDescent="0.25">
      <c r="B27" s="799" t="s">
        <v>782</v>
      </c>
      <c r="C27" s="799"/>
      <c r="D27" s="13"/>
      <c r="E27" s="13"/>
      <c r="F27" s="13"/>
      <c r="G27" s="13"/>
      <c r="H27" s="13"/>
    </row>
    <row r="28" spans="2:15" ht="30" customHeight="1" x14ac:dyDescent="0.25">
      <c r="B28" s="383" t="s">
        <v>1314</v>
      </c>
      <c r="C28" s="385"/>
      <c r="D28" s="13"/>
      <c r="E28" s="13"/>
      <c r="F28" s="13"/>
      <c r="G28" s="13"/>
      <c r="H28" s="13"/>
    </row>
    <row r="29" spans="2:15" ht="30.6" customHeight="1" x14ac:dyDescent="0.25">
      <c r="B29" s="383" t="s">
        <v>1315</v>
      </c>
      <c r="C29" s="347"/>
      <c r="D29" s="13"/>
      <c r="E29" s="13"/>
      <c r="F29" s="13"/>
      <c r="G29" s="13"/>
      <c r="H29" s="13"/>
    </row>
    <row r="30" spans="2:15" ht="30" customHeight="1" x14ac:dyDescent="0.25">
      <c r="B30" s="383" t="s">
        <v>1316</v>
      </c>
      <c r="C30" s="347" t="s">
        <v>1418</v>
      </c>
      <c r="D30" s="13"/>
      <c r="E30" s="13"/>
      <c r="F30" s="13"/>
      <c r="G30" s="13"/>
      <c r="H30" s="13"/>
    </row>
    <row r="31" spans="2:15" ht="13.2" customHeight="1" x14ac:dyDescent="0.25">
      <c r="B31" s="800" t="s">
        <v>783</v>
      </c>
      <c r="C31" s="801"/>
      <c r="D31" s="13"/>
      <c r="E31" s="13"/>
      <c r="F31" s="13"/>
      <c r="G31" s="13"/>
      <c r="H31" s="13"/>
    </row>
    <row r="32" spans="2:15" ht="28.2" customHeight="1" x14ac:dyDescent="0.25">
      <c r="B32" s="383" t="s">
        <v>1270</v>
      </c>
      <c r="C32" s="357" t="s">
        <v>1491</v>
      </c>
      <c r="D32" s="13"/>
      <c r="E32" s="13"/>
      <c r="F32" s="13"/>
      <c r="G32" s="13"/>
      <c r="H32" s="13"/>
    </row>
    <row r="33" spans="2:8" ht="45" customHeight="1" x14ac:dyDescent="0.25">
      <c r="B33" s="383" t="s">
        <v>1317</v>
      </c>
      <c r="C33" s="347" t="s">
        <v>1419</v>
      </c>
      <c r="D33" s="13"/>
      <c r="E33" s="13"/>
      <c r="F33" s="13"/>
      <c r="G33" s="13"/>
      <c r="H33" s="13"/>
    </row>
    <row r="34" spans="2:8" ht="30" customHeight="1" x14ac:dyDescent="0.25">
      <c r="B34" s="383" t="s">
        <v>1505</v>
      </c>
      <c r="C34" s="347" t="s">
        <v>1504</v>
      </c>
      <c r="D34" s="13"/>
      <c r="E34" s="13"/>
      <c r="F34" s="13"/>
      <c r="G34" s="13"/>
      <c r="H34" s="13"/>
    </row>
    <row r="35" spans="2:8" ht="60.6" customHeight="1" x14ac:dyDescent="0.25">
      <c r="B35" s="383" t="s">
        <v>784</v>
      </c>
      <c r="C35" s="347" t="s">
        <v>1318</v>
      </c>
      <c r="D35" s="13"/>
      <c r="E35" s="13"/>
      <c r="F35" s="13"/>
      <c r="G35" s="13"/>
      <c r="H35" s="13"/>
    </row>
    <row r="36" spans="2:8" ht="155.4" customHeight="1" x14ac:dyDescent="0.25">
      <c r="B36" s="383" t="s">
        <v>785</v>
      </c>
      <c r="C36" s="347"/>
      <c r="D36" s="13"/>
      <c r="E36" s="13"/>
      <c r="F36" s="13"/>
      <c r="G36" s="13"/>
      <c r="H36" s="13"/>
    </row>
    <row r="37" spans="2:8" ht="13.8" thickBot="1" x14ac:dyDescent="0.3">
      <c r="B37" s="13"/>
      <c r="C37" s="13"/>
      <c r="D37" s="13"/>
      <c r="E37" s="13"/>
      <c r="F37" s="13"/>
      <c r="G37" s="13"/>
      <c r="H37" s="13"/>
    </row>
    <row r="38" spans="2:8" ht="93" thickBot="1" x14ac:dyDescent="0.3">
      <c r="B38" s="340" t="s">
        <v>1253</v>
      </c>
      <c r="C38" s="339" t="s">
        <v>1255</v>
      </c>
      <c r="D38" s="13"/>
      <c r="E38" s="13"/>
      <c r="F38" s="13"/>
      <c r="G38" s="13"/>
      <c r="H38" s="13"/>
    </row>
    <row r="39" spans="2:8" x14ac:dyDescent="0.25">
      <c r="B39" s="294"/>
      <c r="C39" s="802"/>
      <c r="D39" s="802"/>
      <c r="E39" s="13"/>
      <c r="F39" s="13"/>
      <c r="G39" s="13"/>
      <c r="H39" s="13"/>
    </row>
    <row r="40" spans="2:8" x14ac:dyDescent="0.25">
      <c r="B40" s="13"/>
      <c r="C40" s="13"/>
      <c r="D40" s="13"/>
      <c r="E40" s="13"/>
      <c r="F40" s="13"/>
      <c r="G40" s="13"/>
      <c r="H40" s="13"/>
    </row>
    <row r="41" spans="2:8" x14ac:dyDescent="0.25">
      <c r="B41" s="13"/>
      <c r="C41" s="13"/>
      <c r="D41" s="13"/>
      <c r="E41" s="13"/>
      <c r="F41" s="13"/>
      <c r="G41" s="13"/>
      <c r="H41" s="13"/>
    </row>
  </sheetData>
  <protectedRanges>
    <protectedRange sqref="B4:C36" name="Range1"/>
  </protectedRanges>
  <mergeCells count="6">
    <mergeCell ref="B3:C3"/>
    <mergeCell ref="B27:C27"/>
    <mergeCell ref="B31:C31"/>
    <mergeCell ref="C39:D39"/>
    <mergeCell ref="B20:C20"/>
    <mergeCell ref="B24:C24"/>
  </mergeCells>
  <dataValidations xWindow="473" yWindow="753" count="2">
    <dataValidation type="decimal" operator="greaterThan" allowBlank="1" showErrorMessage="1" errorTitle="Must be a number" error="Please input a number greater than 0, with no additional punctuation." promptTitle="Useful Floor Area" prompt="Please input the UFA in square metres. " sqref="C16:C17" xr:uid="{23EDEA19-37B6-43E2-AF4A-D09F7C0EAACE}">
      <formula1>0</formula1>
    </dataValidation>
    <dataValidation allowBlank="1" showInputMessage="1" showErrorMessage="1" promptTitle="Data Location" prompt="Please insert the location where this data will be hosted (such as a URL). It's important that we share the data to improve future benchmarks and monitor our progress to out zero carbon goals." sqref="C23 C19" xr:uid="{35EAB9A5-4284-4B89-8263-526280FA88CE}"/>
  </dataValidations>
  <hyperlinks>
    <hyperlink ref="F16" r:id="rId1" xr:uid="{A62773C1-E37F-47C5-A9E9-64ACA058DF3E}"/>
    <hyperlink ref="F18" r:id="rId2" xr:uid="{4A482B04-E3FC-4D56-941C-93B0C9459B18}"/>
  </hyperlinks>
  <pageMargins left="0.7" right="0.7" top="0.75" bottom="0.75" header="0.3" footer="0.3"/>
  <pageSetup paperSize="11" orientation="portrait" r:id="rId3"/>
  <drawing r:id="rId4"/>
  <legacyDrawing r:id="rId5"/>
  <extLst>
    <ext xmlns:x14="http://schemas.microsoft.com/office/spreadsheetml/2009/9/main" uri="{CCE6A557-97BC-4b89-ADB6-D9C93CAAB3DF}">
      <x14:dataValidations xmlns:xm="http://schemas.microsoft.com/office/excel/2006/main" xWindow="473" yWindow="753" count="3">
        <x14:dataValidation type="list" allowBlank="1" showInputMessage="1" showErrorMessage="1" promptTitle="RIBA Workstage" prompt="Please input the RIBA workstage for this analysis." xr:uid="{900AB2B5-5DA6-4C64-B107-465DD0B33F89}">
          <x14:formula1>
            <xm:f>Dropdowns!$D$1:$D$12</xm:f>
          </x14:formula1>
          <xm:sqref>C15</xm:sqref>
        </x14:dataValidation>
        <x14:dataValidation type="list" allowBlank="1" showInputMessage="1" showErrorMessage="1" xr:uid="{CF4BD7AF-1A4B-45EB-91AA-4DF1DFCA2D00}">
          <x14:formula1>
            <xm:f>Dropdowns!$J$2:$J$13</xm:f>
          </x14:formula1>
          <xm:sqref>C5</xm:sqref>
        </x14:dataValidation>
        <x14:dataValidation type="list" allowBlank="1" showInputMessage="1" showErrorMessage="1" xr:uid="{3A90C56F-F007-4090-ADF3-7EB59B4D6EDF}">
          <x14:formula1>
            <xm:f>Dropdowns!$H$1:$H$3</xm:f>
          </x14:formula1>
          <xm:sqref>C25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6E328-57D8-481C-AE45-4D3A76BEA639}">
  <sheetPr codeName="Sheet2">
    <tabColor rgb="FFFFC000"/>
  </sheetPr>
  <dimension ref="B2:R298"/>
  <sheetViews>
    <sheetView showGridLines="0" zoomScale="85" zoomScaleNormal="85" workbookViewId="0">
      <selection activeCell="E4" sqref="E4"/>
    </sheetView>
  </sheetViews>
  <sheetFormatPr defaultColWidth="8.88671875" defaultRowHeight="13.2" x14ac:dyDescent="0.25"/>
  <cols>
    <col min="1" max="1" width="2.6640625" style="8" customWidth="1"/>
    <col min="2" max="2" width="59.6640625" style="8" customWidth="1"/>
    <col min="3" max="3" width="16.6640625" style="42" customWidth="1"/>
    <col min="4" max="4" width="13.109375" style="8" customWidth="1"/>
    <col min="5" max="5" width="5.33203125" style="42" customWidth="1"/>
    <col min="6" max="6" width="11.109375" style="42" customWidth="1"/>
    <col min="7" max="7" width="16.6640625" style="320" customWidth="1"/>
    <col min="8" max="8" width="11" style="8" customWidth="1"/>
    <col min="9" max="9" width="66.88671875" style="8" customWidth="1"/>
    <col min="10" max="16384" width="8.88671875" style="8"/>
  </cols>
  <sheetData>
    <row r="2" spans="2:18" s="338" customFormat="1" ht="26.4" x14ac:dyDescent="0.3">
      <c r="B2" s="354" t="s">
        <v>1321</v>
      </c>
      <c r="C2" s="354" t="s">
        <v>532</v>
      </c>
      <c r="D2" s="355" t="s">
        <v>430</v>
      </c>
      <c r="E2" s="354" t="s">
        <v>64</v>
      </c>
      <c r="F2" s="355" t="s">
        <v>1322</v>
      </c>
      <c r="G2" s="355" t="s">
        <v>432</v>
      </c>
      <c r="H2" s="356" t="s">
        <v>1122</v>
      </c>
      <c r="I2" s="354" t="s">
        <v>1320</v>
      </c>
      <c r="K2" s="344" t="s">
        <v>1323</v>
      </c>
    </row>
    <row r="3" spans="2:18" ht="26.4" x14ac:dyDescent="0.25">
      <c r="B3" s="348" t="s">
        <v>218</v>
      </c>
      <c r="C3" s="348" t="s">
        <v>505</v>
      </c>
      <c r="D3" s="351">
        <v>1</v>
      </c>
      <c r="E3" s="352" t="s">
        <v>484</v>
      </c>
      <c r="F3" s="614">
        <v>2400</v>
      </c>
      <c r="G3" s="631">
        <f>IFERROR(MaterialsBoQ[[#This Row],[Number]]*MaterialsBoQ[[#This Row],[Kg per unit]],"")</f>
        <v>2400</v>
      </c>
      <c r="H3" s="632">
        <f>IFERROR(MaterialsBoQ[[#This Row],[Total Kg]]/SUM(MaterialsBoQ[Total Kg],MEPBoQ[Kg estimate]),0)</f>
        <v>1</v>
      </c>
      <c r="I3" s="347"/>
      <c r="K3" s="806" t="s">
        <v>1324</v>
      </c>
      <c r="L3" s="807"/>
      <c r="M3" s="807"/>
      <c r="N3" s="807"/>
      <c r="O3" s="807"/>
      <c r="P3" s="807"/>
      <c r="Q3" s="807"/>
      <c r="R3" s="808"/>
    </row>
    <row r="4" spans="2:18" x14ac:dyDescent="0.25">
      <c r="B4" s="348"/>
      <c r="C4" s="348"/>
      <c r="D4" s="351"/>
      <c r="E4" s="352"/>
      <c r="F4" s="351"/>
      <c r="G4" s="631">
        <f>IFERROR(MaterialsBoQ[[#This Row],[Number]]*MaterialsBoQ[[#This Row],[Kg per unit]],"")</f>
        <v>0</v>
      </c>
      <c r="H4" s="632">
        <f>IFERROR(MaterialsBoQ[[#This Row],[Total Kg]]/SUM(MaterialsBoQ[Total Kg],MEPBoQ[Kg estimate]),0)</f>
        <v>0</v>
      </c>
      <c r="I4" s="347"/>
      <c r="K4" s="809"/>
      <c r="L4" s="810"/>
      <c r="M4" s="810"/>
      <c r="N4" s="810"/>
      <c r="O4" s="810"/>
      <c r="P4" s="810"/>
      <c r="Q4" s="810"/>
      <c r="R4" s="811"/>
    </row>
    <row r="5" spans="2:18" x14ac:dyDescent="0.25">
      <c r="B5" s="348"/>
      <c r="C5" s="348"/>
      <c r="D5" s="614"/>
      <c r="E5" s="352"/>
      <c r="F5" s="614"/>
      <c r="G5" s="631">
        <f>IFERROR(MaterialsBoQ[[#This Row],[Number]]*MaterialsBoQ[[#This Row],[Kg per unit]],"")</f>
        <v>0</v>
      </c>
      <c r="H5" s="632">
        <f>IFERROR(MaterialsBoQ[[#This Row],[Total Kg]]/SUM(MaterialsBoQ[Total Kg],MEPBoQ[Kg estimate]),0)</f>
        <v>0</v>
      </c>
      <c r="I5" s="347"/>
      <c r="K5" s="809"/>
      <c r="L5" s="810"/>
      <c r="M5" s="810"/>
      <c r="N5" s="810"/>
      <c r="O5" s="810"/>
      <c r="P5" s="810"/>
      <c r="Q5" s="810"/>
      <c r="R5" s="811"/>
    </row>
    <row r="6" spans="2:18" x14ac:dyDescent="0.25">
      <c r="B6" s="348"/>
      <c r="C6" s="348"/>
      <c r="D6" s="351"/>
      <c r="E6" s="352"/>
      <c r="F6" s="614"/>
      <c r="G6" s="631">
        <f>IFERROR(MaterialsBoQ[[#This Row],[Number]]*MaterialsBoQ[[#This Row],[Kg per unit]],"")</f>
        <v>0</v>
      </c>
      <c r="H6" s="632">
        <f>IFERROR(MaterialsBoQ[[#This Row],[Total Kg]]/SUM(MaterialsBoQ[Total Kg],MEPBoQ[Kg estimate]),0)</f>
        <v>0</v>
      </c>
      <c r="I6" s="347"/>
      <c r="K6" s="812"/>
      <c r="L6" s="813"/>
      <c r="M6" s="813"/>
      <c r="N6" s="813"/>
      <c r="O6" s="813"/>
      <c r="P6" s="813"/>
      <c r="Q6" s="813"/>
      <c r="R6" s="814"/>
    </row>
    <row r="7" spans="2:18" x14ac:dyDescent="0.25">
      <c r="B7" s="348"/>
      <c r="C7" s="348"/>
      <c r="D7" s="351"/>
      <c r="E7" s="352"/>
      <c r="F7" s="614"/>
      <c r="G7" s="631">
        <f>IFERROR(MaterialsBoQ[[#This Row],[Number]]*MaterialsBoQ[[#This Row],[Kg per unit]],"")</f>
        <v>0</v>
      </c>
      <c r="H7" s="632">
        <f>IFERROR(MaterialsBoQ[[#This Row],[Total Kg]]/SUM(MaterialsBoQ[Total Kg],MEPBoQ[Kg estimate]),0)</f>
        <v>0</v>
      </c>
      <c r="I7" s="347"/>
      <c r="J7" s="350"/>
      <c r="K7" s="815" t="s">
        <v>1325</v>
      </c>
      <c r="L7" s="816"/>
      <c r="M7" s="816"/>
      <c r="N7" s="816"/>
      <c r="O7" s="816"/>
      <c r="P7" s="816"/>
      <c r="Q7" s="816"/>
      <c r="R7" s="817"/>
    </row>
    <row r="8" spans="2:18" ht="13.2" customHeight="1" x14ac:dyDescent="0.25">
      <c r="B8" s="348"/>
      <c r="C8" s="348"/>
      <c r="D8" s="614"/>
      <c r="E8" s="352"/>
      <c r="F8" s="614"/>
      <c r="G8" s="631">
        <f>IFERROR(MaterialsBoQ[[#This Row],[Number]]*MaterialsBoQ[[#This Row],[Kg per unit]],"")</f>
        <v>0</v>
      </c>
      <c r="H8" s="632">
        <f>IFERROR(MaterialsBoQ[[#This Row],[Total Kg]]/SUM(MaterialsBoQ[Total Kg],MEPBoQ[Kg estimate]),0)</f>
        <v>0</v>
      </c>
      <c r="I8" s="347"/>
      <c r="K8" s="818" t="s">
        <v>1326</v>
      </c>
      <c r="L8" s="819"/>
      <c r="M8" s="819"/>
      <c r="N8" s="819"/>
      <c r="O8" s="819"/>
      <c r="P8" s="819"/>
      <c r="Q8" s="819"/>
      <c r="R8" s="820"/>
    </row>
    <row r="9" spans="2:18" x14ac:dyDescent="0.25">
      <c r="B9" s="348"/>
      <c r="C9" s="348"/>
      <c r="D9" s="351"/>
      <c r="E9" s="352"/>
      <c r="F9" s="614"/>
      <c r="G9" s="631">
        <f>IFERROR(MaterialsBoQ[[#This Row],[Number]]*MaterialsBoQ[[#This Row],[Kg per unit]],"")</f>
        <v>0</v>
      </c>
      <c r="H9" s="632">
        <f>IFERROR(MaterialsBoQ[[#This Row],[Total Kg]]/SUM(MaterialsBoQ[Total Kg],MEPBoQ[Kg estimate]),0)</f>
        <v>0</v>
      </c>
      <c r="I9" s="347"/>
      <c r="K9" s="821"/>
      <c r="L9" s="753"/>
      <c r="M9" s="753"/>
      <c r="N9" s="753"/>
      <c r="O9" s="753"/>
      <c r="P9" s="753"/>
      <c r="Q9" s="753"/>
      <c r="R9" s="822"/>
    </row>
    <row r="10" spans="2:18" x14ac:dyDescent="0.25">
      <c r="B10" s="348"/>
      <c r="C10" s="348"/>
      <c r="D10" s="351"/>
      <c r="E10" s="352"/>
      <c r="F10" s="351"/>
      <c r="G10" s="631">
        <f>IFERROR(MaterialsBoQ[[#This Row],[Number]]*MaterialsBoQ[[#This Row],[Kg per unit]],"")</f>
        <v>0</v>
      </c>
      <c r="H10" s="632">
        <f>IFERROR(MaterialsBoQ[[#This Row],[Total Kg]]/SUM(MaterialsBoQ[Total Kg],MEPBoQ[Kg estimate]),0)</f>
        <v>0</v>
      </c>
      <c r="I10" s="347"/>
      <c r="K10" s="821"/>
      <c r="L10" s="753"/>
      <c r="M10" s="753"/>
      <c r="N10" s="753"/>
      <c r="O10" s="753"/>
      <c r="P10" s="753"/>
      <c r="Q10" s="753"/>
      <c r="R10" s="822"/>
    </row>
    <row r="11" spans="2:18" x14ac:dyDescent="0.25">
      <c r="B11" s="348"/>
      <c r="C11" s="348"/>
      <c r="D11" s="351"/>
      <c r="E11" s="352"/>
      <c r="F11" s="351"/>
      <c r="G11" s="631">
        <f>IFERROR(MaterialsBoQ[[#This Row],[Number]]*MaterialsBoQ[[#This Row],[Kg per unit]],"")</f>
        <v>0</v>
      </c>
      <c r="H11" s="632">
        <f>IFERROR(MaterialsBoQ[[#This Row],[Total Kg]]/SUM(MaterialsBoQ[Total Kg],MEPBoQ[Kg estimate]),0)</f>
        <v>0</v>
      </c>
      <c r="I11" s="347"/>
      <c r="K11" s="823"/>
      <c r="L11" s="824"/>
      <c r="M11" s="824"/>
      <c r="N11" s="824"/>
      <c r="O11" s="824"/>
      <c r="P11" s="824"/>
      <c r="Q11" s="824"/>
      <c r="R11" s="825"/>
    </row>
    <row r="12" spans="2:18" ht="13.8" customHeight="1" x14ac:dyDescent="0.25">
      <c r="B12" s="348"/>
      <c r="C12" s="348"/>
      <c r="D12" s="351"/>
      <c r="E12" s="352"/>
      <c r="F12" s="351"/>
      <c r="G12" s="631">
        <f>IFERROR(MaterialsBoQ[[#This Row],[Number]]*MaterialsBoQ[[#This Row],[Kg per unit]],"")</f>
        <v>0</v>
      </c>
      <c r="H12" s="632">
        <f>IFERROR(MaterialsBoQ[[#This Row],[Total Kg]]/SUM(MaterialsBoQ[Total Kg],MEPBoQ[Kg estimate]),0)</f>
        <v>0</v>
      </c>
      <c r="I12" s="347"/>
      <c r="K12" s="826" t="s">
        <v>1327</v>
      </c>
      <c r="L12" s="827"/>
      <c r="M12" s="827"/>
      <c r="N12" s="827"/>
      <c r="O12" s="827"/>
      <c r="P12" s="827"/>
      <c r="Q12" s="827"/>
      <c r="R12" s="828"/>
    </row>
    <row r="13" spans="2:18" x14ac:dyDescent="0.25">
      <c r="B13" s="348"/>
      <c r="C13" s="348"/>
      <c r="D13" s="614"/>
      <c r="E13" s="352"/>
      <c r="F13" s="614"/>
      <c r="G13" s="631">
        <f>IFERROR(MaterialsBoQ[[#This Row],[Number]]*MaterialsBoQ[[#This Row],[Kg per unit]],"")</f>
        <v>0</v>
      </c>
      <c r="H13" s="632">
        <f>IFERROR(MaterialsBoQ[[#This Row],[Total Kg]]/SUM(MaterialsBoQ[Total Kg],MEPBoQ[Kg estimate]),0)</f>
        <v>0</v>
      </c>
      <c r="I13" s="347"/>
      <c r="K13" s="821"/>
      <c r="L13" s="753"/>
      <c r="M13" s="753"/>
      <c r="N13" s="753"/>
      <c r="O13" s="753"/>
      <c r="P13" s="753"/>
      <c r="Q13" s="753"/>
      <c r="R13" s="822"/>
    </row>
    <row r="14" spans="2:18" x14ac:dyDescent="0.25">
      <c r="B14" s="348"/>
      <c r="C14" s="348"/>
      <c r="D14" s="614"/>
      <c r="E14" s="352"/>
      <c r="F14" s="614"/>
      <c r="G14" s="631">
        <f>IFERROR(MaterialsBoQ[[#This Row],[Number]]*MaterialsBoQ[[#This Row],[Kg per unit]],"")</f>
        <v>0</v>
      </c>
      <c r="H14" s="632">
        <f>IFERROR(MaterialsBoQ[[#This Row],[Total Kg]]/SUM(MaterialsBoQ[Total Kg],MEPBoQ[Kg estimate]),0)</f>
        <v>0</v>
      </c>
      <c r="I14" s="347"/>
      <c r="K14" s="821"/>
      <c r="L14" s="753"/>
      <c r="M14" s="753"/>
      <c r="N14" s="753"/>
      <c r="O14" s="753"/>
      <c r="P14" s="753"/>
      <c r="Q14" s="753"/>
      <c r="R14" s="822"/>
    </row>
    <row r="15" spans="2:18" x14ac:dyDescent="0.25">
      <c r="B15" s="348"/>
      <c r="C15" s="348"/>
      <c r="D15" s="351"/>
      <c r="E15" s="352"/>
      <c r="F15" s="351"/>
      <c r="G15" s="631">
        <f>IFERROR(MaterialsBoQ[[#This Row],[Number]]*MaterialsBoQ[[#This Row],[Kg per unit]],"")</f>
        <v>0</v>
      </c>
      <c r="H15" s="632">
        <f>IFERROR(MaterialsBoQ[[#This Row],[Total Kg]]/SUM(MaterialsBoQ[Total Kg],MEPBoQ[Kg estimate]),0)</f>
        <v>0</v>
      </c>
      <c r="I15" s="347"/>
      <c r="K15" s="823"/>
      <c r="L15" s="824"/>
      <c r="M15" s="824"/>
      <c r="N15" s="824"/>
      <c r="O15" s="824"/>
      <c r="P15" s="824"/>
      <c r="Q15" s="824"/>
      <c r="R15" s="825"/>
    </row>
    <row r="16" spans="2:18" x14ac:dyDescent="0.25">
      <c r="B16" s="348"/>
      <c r="C16" s="348"/>
      <c r="D16" s="614"/>
      <c r="E16" s="352"/>
      <c r="F16" s="351"/>
      <c r="G16" s="631">
        <f>IFERROR(MaterialsBoQ[[#This Row],[Number]]*MaterialsBoQ[[#This Row],[Kg per unit]],"")</f>
        <v>0</v>
      </c>
      <c r="H16" s="632">
        <f>IFERROR(MaterialsBoQ[[#This Row],[Total Kg]]/SUM(MaterialsBoQ[Total Kg],MEPBoQ[Kg estimate]),0)</f>
        <v>0</v>
      </c>
      <c r="I16" s="347"/>
      <c r="K16" s="803" t="s">
        <v>1328</v>
      </c>
      <c r="L16" s="804"/>
      <c r="M16" s="804"/>
      <c r="N16" s="804"/>
      <c r="O16" s="804"/>
      <c r="P16" s="804"/>
      <c r="Q16" s="804"/>
      <c r="R16" s="805"/>
    </row>
    <row r="17" spans="2:18" x14ac:dyDescent="0.25">
      <c r="B17" s="348"/>
      <c r="C17" s="348"/>
      <c r="D17" s="351"/>
      <c r="E17" s="352"/>
      <c r="F17" s="614"/>
      <c r="G17" s="631">
        <f>IFERROR(MaterialsBoQ[[#This Row],[Number]]*MaterialsBoQ[[#This Row],[Kg per unit]],"")</f>
        <v>0</v>
      </c>
      <c r="H17" s="632">
        <f>IFERROR(MaterialsBoQ[[#This Row],[Total Kg]]/SUM(MaterialsBoQ[Total Kg],MEPBoQ[Kg estimate]),0)</f>
        <v>0</v>
      </c>
      <c r="I17" s="347"/>
      <c r="K17" s="12"/>
      <c r="L17" s="12"/>
      <c r="M17" s="12"/>
      <c r="N17" s="12"/>
      <c r="O17" s="12"/>
      <c r="P17" s="12"/>
      <c r="Q17" s="12"/>
      <c r="R17" s="12"/>
    </row>
    <row r="18" spans="2:18" x14ac:dyDescent="0.25">
      <c r="B18" s="348"/>
      <c r="C18" s="348"/>
      <c r="D18" s="614"/>
      <c r="E18" s="352"/>
      <c r="F18" s="614"/>
      <c r="G18" s="631">
        <f>IFERROR(MaterialsBoQ[[#This Row],[Number]]*MaterialsBoQ[[#This Row],[Kg per unit]],"")</f>
        <v>0</v>
      </c>
      <c r="H18" s="632">
        <f>IFERROR(MaterialsBoQ[[#This Row],[Total Kg]]/SUM(MaterialsBoQ[Total Kg],MEPBoQ[Kg estimate]),0)</f>
        <v>0</v>
      </c>
      <c r="I18" s="347"/>
      <c r="K18" s="12"/>
      <c r="L18" s="12"/>
      <c r="M18" s="12"/>
      <c r="N18" s="12"/>
      <c r="O18" s="12"/>
      <c r="P18" s="12"/>
      <c r="Q18" s="12"/>
      <c r="R18" s="12"/>
    </row>
    <row r="19" spans="2:18" x14ac:dyDescent="0.25">
      <c r="B19" s="348"/>
      <c r="C19" s="348"/>
      <c r="D19" s="614"/>
      <c r="E19" s="352"/>
      <c r="F19" s="614"/>
      <c r="G19" s="631">
        <f>IFERROR(MaterialsBoQ[[#This Row],[Number]]*MaterialsBoQ[[#This Row],[Kg per unit]],"")</f>
        <v>0</v>
      </c>
      <c r="H19" s="632">
        <f>IFERROR(MaterialsBoQ[[#This Row],[Total Kg]]/SUM(MaterialsBoQ[Total Kg],MEPBoQ[Kg estimate]),0)</f>
        <v>0</v>
      </c>
      <c r="I19" s="347"/>
      <c r="K19" s="12"/>
      <c r="L19" s="12"/>
      <c r="M19" s="12"/>
      <c r="N19" s="12"/>
      <c r="O19" s="12"/>
      <c r="P19" s="12"/>
      <c r="Q19" s="12"/>
      <c r="R19" s="12"/>
    </row>
    <row r="20" spans="2:18" x14ac:dyDescent="0.25">
      <c r="B20" s="348"/>
      <c r="C20" s="348"/>
      <c r="D20" s="351"/>
      <c r="E20" s="352"/>
      <c r="F20" s="351"/>
      <c r="G20" s="631">
        <f>IFERROR(MaterialsBoQ[[#This Row],[Number]]*MaterialsBoQ[[#This Row],[Kg per unit]],"")</f>
        <v>0</v>
      </c>
      <c r="H20" s="632">
        <f>IFERROR(MaterialsBoQ[[#This Row],[Total Kg]]/SUM(MaterialsBoQ[Total Kg],MEPBoQ[Kg estimate]),0)</f>
        <v>0</v>
      </c>
      <c r="I20" s="347"/>
      <c r="K20" s="12"/>
      <c r="L20" s="12"/>
      <c r="M20" s="12"/>
      <c r="N20" s="12"/>
      <c r="O20" s="12"/>
      <c r="P20" s="12"/>
      <c r="Q20" s="12"/>
      <c r="R20" s="12"/>
    </row>
    <row r="21" spans="2:18" x14ac:dyDescent="0.25">
      <c r="B21" s="348"/>
      <c r="C21" s="348"/>
      <c r="D21" s="614"/>
      <c r="E21" s="352"/>
      <c r="F21" s="614"/>
      <c r="G21" s="631">
        <f>IFERROR(MaterialsBoQ[[#This Row],[Number]]*MaterialsBoQ[[#This Row],[Kg per unit]],"")</f>
        <v>0</v>
      </c>
      <c r="H21" s="632">
        <f>IFERROR(MaterialsBoQ[[#This Row],[Total Kg]]/SUM(MaterialsBoQ[Total Kg],MEPBoQ[Kg estimate]),0)</f>
        <v>0</v>
      </c>
      <c r="I21" s="347"/>
      <c r="K21" s="12"/>
      <c r="L21" s="12"/>
      <c r="M21" s="12"/>
      <c r="N21" s="12"/>
      <c r="O21" s="12"/>
      <c r="P21" s="12"/>
      <c r="Q21" s="12"/>
      <c r="R21" s="12"/>
    </row>
    <row r="22" spans="2:18" x14ac:dyDescent="0.25">
      <c r="B22" s="348"/>
      <c r="C22" s="348"/>
      <c r="D22" s="614"/>
      <c r="E22" s="352"/>
      <c r="F22" s="614"/>
      <c r="G22" s="631">
        <f>IFERROR(MaterialsBoQ[[#This Row],[Number]]*MaterialsBoQ[[#This Row],[Kg per unit]],"")</f>
        <v>0</v>
      </c>
      <c r="H22" s="632">
        <f>IFERROR(MaterialsBoQ[[#This Row],[Total Kg]]/SUM(MaterialsBoQ[Total Kg],MEPBoQ[Kg estimate]),0)</f>
        <v>0</v>
      </c>
      <c r="I22" s="347"/>
      <c r="K22" s="12"/>
      <c r="L22" s="12"/>
      <c r="M22" s="12"/>
      <c r="N22" s="12"/>
      <c r="O22" s="12"/>
      <c r="P22" s="12"/>
      <c r="Q22" s="12"/>
      <c r="R22" s="12"/>
    </row>
    <row r="23" spans="2:18" x14ac:dyDescent="0.25">
      <c r="B23" s="348"/>
      <c r="C23" s="348"/>
      <c r="D23" s="351"/>
      <c r="E23" s="352"/>
      <c r="F23" s="351"/>
      <c r="G23" s="631">
        <f>IFERROR(MaterialsBoQ[[#This Row],[Number]]*MaterialsBoQ[[#This Row],[Kg per unit]],"")</f>
        <v>0</v>
      </c>
      <c r="H23" s="632">
        <f>IFERROR(MaterialsBoQ[[#This Row],[Total Kg]]/SUM(MaterialsBoQ[Total Kg],MEPBoQ[Kg estimate]),0)</f>
        <v>0</v>
      </c>
      <c r="I23" s="347"/>
      <c r="K23" s="12"/>
      <c r="L23" s="12"/>
      <c r="M23" s="12"/>
      <c r="N23" s="12"/>
      <c r="O23" s="12"/>
      <c r="P23" s="12"/>
      <c r="Q23" s="12"/>
      <c r="R23" s="12"/>
    </row>
    <row r="24" spans="2:18" x14ac:dyDescent="0.25">
      <c r="B24" s="348"/>
      <c r="C24" s="348"/>
      <c r="D24" s="351"/>
      <c r="E24" s="352"/>
      <c r="F24" s="614"/>
      <c r="G24" s="631">
        <f>IFERROR(MaterialsBoQ[[#This Row],[Number]]*MaterialsBoQ[[#This Row],[Kg per unit]],"")</f>
        <v>0</v>
      </c>
      <c r="H24" s="632">
        <f>IFERROR(MaterialsBoQ[[#This Row],[Total Kg]]/SUM(MaterialsBoQ[Total Kg],MEPBoQ[Kg estimate]),0)</f>
        <v>0</v>
      </c>
      <c r="I24" s="347"/>
      <c r="K24" s="12"/>
      <c r="L24" s="12"/>
      <c r="M24" s="12"/>
      <c r="N24" s="12"/>
      <c r="O24" s="12"/>
      <c r="P24" s="12"/>
      <c r="Q24" s="12"/>
      <c r="R24" s="12"/>
    </row>
    <row r="25" spans="2:18" x14ac:dyDescent="0.25">
      <c r="B25" s="348"/>
      <c r="C25" s="348"/>
      <c r="D25" s="351"/>
      <c r="E25" s="352"/>
      <c r="F25" s="614"/>
      <c r="G25" s="631">
        <f>IFERROR(MaterialsBoQ[[#This Row],[Number]]*MaterialsBoQ[[#This Row],[Kg per unit]],"")</f>
        <v>0</v>
      </c>
      <c r="H25" s="632">
        <f>IFERROR(MaterialsBoQ[[#This Row],[Total Kg]]/SUM(MaterialsBoQ[Total Kg],MEPBoQ[Kg estimate]),0)</f>
        <v>0</v>
      </c>
      <c r="I25" s="347"/>
      <c r="K25" s="12"/>
      <c r="L25" s="12"/>
      <c r="M25" s="12"/>
      <c r="N25" s="12"/>
      <c r="O25" s="12"/>
      <c r="P25" s="12"/>
      <c r="Q25" s="12"/>
      <c r="R25" s="12"/>
    </row>
    <row r="26" spans="2:18" x14ac:dyDescent="0.25">
      <c r="B26" s="348"/>
      <c r="C26" s="348"/>
      <c r="D26" s="351"/>
      <c r="E26" s="352"/>
      <c r="F26" s="614"/>
      <c r="G26" s="631">
        <f>IFERROR(MaterialsBoQ[[#This Row],[Number]]*MaterialsBoQ[[#This Row],[Kg per unit]],"")</f>
        <v>0</v>
      </c>
      <c r="H26" s="632">
        <f>IFERROR(MaterialsBoQ[[#This Row],[Total Kg]]/SUM(MaterialsBoQ[Total Kg],MEPBoQ[Kg estimate]),0)</f>
        <v>0</v>
      </c>
      <c r="I26" s="347"/>
      <c r="K26" s="12"/>
      <c r="L26" s="12"/>
      <c r="M26" s="12"/>
      <c r="N26" s="12"/>
      <c r="O26" s="12"/>
      <c r="P26" s="12"/>
      <c r="Q26" s="12"/>
      <c r="R26" s="12"/>
    </row>
    <row r="27" spans="2:18" x14ac:dyDescent="0.25">
      <c r="B27" s="348"/>
      <c r="C27" s="348"/>
      <c r="D27" s="351"/>
      <c r="E27" s="352"/>
      <c r="F27" s="614"/>
      <c r="G27" s="631">
        <f>IFERROR(MaterialsBoQ[[#This Row],[Number]]*MaterialsBoQ[[#This Row],[Kg per unit]],"")</f>
        <v>0</v>
      </c>
      <c r="H27" s="632">
        <f>IFERROR(MaterialsBoQ[[#This Row],[Total Kg]]/SUM(MaterialsBoQ[Total Kg],MEPBoQ[Kg estimate]),0)</f>
        <v>0</v>
      </c>
      <c r="I27" s="347"/>
      <c r="K27" s="12"/>
      <c r="L27" s="12"/>
      <c r="M27" s="12"/>
      <c r="N27" s="12"/>
      <c r="O27" s="12"/>
      <c r="P27" s="12"/>
      <c r="Q27" s="12"/>
      <c r="R27" s="12"/>
    </row>
    <row r="28" spans="2:18" x14ac:dyDescent="0.25">
      <c r="B28" s="348"/>
      <c r="C28" s="348"/>
      <c r="D28" s="351"/>
      <c r="E28" s="352"/>
      <c r="F28" s="614"/>
      <c r="G28" s="631">
        <f>IFERROR(MaterialsBoQ[[#This Row],[Number]]*MaterialsBoQ[[#This Row],[Kg per unit]],"")</f>
        <v>0</v>
      </c>
      <c r="H28" s="632">
        <f>IFERROR(MaterialsBoQ[[#This Row],[Total Kg]]/SUM(MaterialsBoQ[Total Kg],MEPBoQ[Kg estimate]),0)</f>
        <v>0</v>
      </c>
      <c r="I28" s="347"/>
      <c r="K28" s="12"/>
      <c r="L28" s="12"/>
      <c r="M28" s="12"/>
      <c r="N28" s="12"/>
      <c r="O28" s="12"/>
      <c r="P28" s="12"/>
      <c r="Q28" s="12"/>
      <c r="R28" s="12"/>
    </row>
    <row r="29" spans="2:18" x14ac:dyDescent="0.25">
      <c r="B29" s="348"/>
      <c r="C29" s="348"/>
      <c r="D29" s="351"/>
      <c r="E29" s="352"/>
      <c r="F29" s="351"/>
      <c r="G29" s="631">
        <f>IFERROR(MaterialsBoQ[[#This Row],[Number]]*MaterialsBoQ[[#This Row],[Kg per unit]],"")</f>
        <v>0</v>
      </c>
      <c r="H29" s="632">
        <f>IFERROR(MaterialsBoQ[[#This Row],[Total Kg]]/SUM(MaterialsBoQ[Total Kg],MEPBoQ[Kg estimate]),0)</f>
        <v>0</v>
      </c>
      <c r="I29" s="347"/>
      <c r="K29" s="12"/>
      <c r="L29" s="12"/>
      <c r="M29" s="12"/>
      <c r="N29" s="12"/>
      <c r="O29" s="12"/>
      <c r="P29" s="12"/>
      <c r="Q29" s="12"/>
      <c r="R29" s="12"/>
    </row>
    <row r="30" spans="2:18" x14ac:dyDescent="0.25">
      <c r="B30" s="348"/>
      <c r="C30" s="348"/>
      <c r="D30" s="351"/>
      <c r="E30" s="352"/>
      <c r="F30" s="351"/>
      <c r="G30" s="631">
        <f>IFERROR(MaterialsBoQ[[#This Row],[Number]]*MaterialsBoQ[[#This Row],[Kg per unit]],"")</f>
        <v>0</v>
      </c>
      <c r="H30" s="632">
        <f>IFERROR(MaterialsBoQ[[#This Row],[Total Kg]]/SUM(MaterialsBoQ[Total Kg],MEPBoQ[Kg estimate]),0)</f>
        <v>0</v>
      </c>
      <c r="I30" s="347"/>
      <c r="K30" s="12"/>
      <c r="L30" s="12"/>
      <c r="M30" s="12"/>
      <c r="N30" s="12"/>
      <c r="O30" s="12"/>
      <c r="P30" s="12"/>
      <c r="Q30" s="12"/>
      <c r="R30" s="12"/>
    </row>
    <row r="31" spans="2:18" x14ac:dyDescent="0.25">
      <c r="B31" s="348"/>
      <c r="C31" s="348"/>
      <c r="D31" s="614"/>
      <c r="E31" s="352"/>
      <c r="F31" s="614"/>
      <c r="G31" s="631">
        <f>IFERROR(MaterialsBoQ[[#This Row],[Number]]*MaterialsBoQ[[#This Row],[Kg per unit]],"")</f>
        <v>0</v>
      </c>
      <c r="H31" s="632">
        <f>IFERROR(MaterialsBoQ[[#This Row],[Total Kg]]/SUM(MaterialsBoQ[Total Kg],MEPBoQ[Kg estimate]),0)</f>
        <v>0</v>
      </c>
      <c r="I31" s="347"/>
      <c r="K31" s="12"/>
      <c r="L31" s="12"/>
      <c r="M31" s="12"/>
      <c r="N31" s="12"/>
      <c r="O31" s="12"/>
      <c r="P31" s="12"/>
      <c r="Q31" s="12"/>
      <c r="R31" s="12"/>
    </row>
    <row r="32" spans="2:18" x14ac:dyDescent="0.25">
      <c r="B32" s="348"/>
      <c r="C32" s="348"/>
      <c r="D32" s="351"/>
      <c r="E32" s="352"/>
      <c r="F32" s="351"/>
      <c r="G32" s="631">
        <f>IFERROR(MaterialsBoQ[[#This Row],[Number]]*MaterialsBoQ[[#This Row],[Kg per unit]],"")</f>
        <v>0</v>
      </c>
      <c r="H32" s="632">
        <f>IFERROR(MaterialsBoQ[[#This Row],[Total Kg]]/SUM(MaterialsBoQ[Total Kg],MEPBoQ[Kg estimate]),0)</f>
        <v>0</v>
      </c>
      <c r="I32" s="347"/>
      <c r="K32" s="12"/>
      <c r="L32" s="12"/>
      <c r="M32" s="12"/>
      <c r="N32" s="12"/>
      <c r="O32" s="12"/>
      <c r="P32" s="12"/>
      <c r="Q32" s="12"/>
      <c r="R32" s="12"/>
    </row>
    <row r="33" spans="2:18" x14ac:dyDescent="0.25">
      <c r="B33" s="348"/>
      <c r="C33" s="348"/>
      <c r="D33" s="351"/>
      <c r="E33" s="352"/>
      <c r="F33" s="614"/>
      <c r="G33" s="631">
        <f>IFERROR(MaterialsBoQ[[#This Row],[Number]]*MaterialsBoQ[[#This Row],[Kg per unit]],"")</f>
        <v>0</v>
      </c>
      <c r="H33" s="632">
        <f>IFERROR(MaterialsBoQ[[#This Row],[Total Kg]]/SUM(MaterialsBoQ[Total Kg],MEPBoQ[Kg estimate]),0)</f>
        <v>0</v>
      </c>
      <c r="I33" s="347"/>
      <c r="K33" s="12"/>
      <c r="L33" s="12"/>
      <c r="M33" s="12"/>
      <c r="N33" s="12"/>
      <c r="O33" s="12"/>
      <c r="P33" s="12"/>
      <c r="Q33" s="12"/>
      <c r="R33" s="12"/>
    </row>
    <row r="34" spans="2:18" x14ac:dyDescent="0.25">
      <c r="B34" s="348"/>
      <c r="C34" s="348"/>
      <c r="D34" s="351"/>
      <c r="E34" s="352"/>
      <c r="F34" s="614"/>
      <c r="G34" s="631">
        <f>IFERROR(MaterialsBoQ[[#This Row],[Number]]*MaterialsBoQ[[#This Row],[Kg per unit]],"")</f>
        <v>0</v>
      </c>
      <c r="H34" s="632">
        <f>IFERROR(MaterialsBoQ[[#This Row],[Total Kg]]/SUM(MaterialsBoQ[Total Kg],MEPBoQ[Kg estimate]),0)</f>
        <v>0</v>
      </c>
      <c r="I34" s="347"/>
      <c r="K34" s="12"/>
      <c r="L34" s="12"/>
      <c r="M34" s="12"/>
      <c r="N34" s="12"/>
      <c r="O34" s="12"/>
      <c r="P34" s="12"/>
      <c r="Q34" s="12"/>
      <c r="R34" s="12"/>
    </row>
    <row r="35" spans="2:18" x14ac:dyDescent="0.25">
      <c r="B35" s="348"/>
      <c r="C35" s="348"/>
      <c r="D35" s="614"/>
      <c r="E35" s="352"/>
      <c r="F35" s="614"/>
      <c r="G35" s="631">
        <f>IFERROR(MaterialsBoQ[[#This Row],[Number]]*MaterialsBoQ[[#This Row],[Kg per unit]],"")</f>
        <v>0</v>
      </c>
      <c r="H35" s="632">
        <f>IFERROR(MaterialsBoQ[[#This Row],[Total Kg]]/SUM(MaterialsBoQ[Total Kg],MEPBoQ[Kg estimate]),0)</f>
        <v>0</v>
      </c>
      <c r="I35" s="347"/>
      <c r="K35" s="12"/>
      <c r="L35" s="12"/>
      <c r="M35" s="12"/>
      <c r="N35" s="12"/>
      <c r="O35" s="12"/>
      <c r="P35" s="12"/>
      <c r="Q35" s="12"/>
      <c r="R35" s="12"/>
    </row>
    <row r="36" spans="2:18" x14ac:dyDescent="0.25">
      <c r="B36" s="348"/>
      <c r="C36" s="348"/>
      <c r="D36" s="351"/>
      <c r="E36" s="352"/>
      <c r="F36" s="351"/>
      <c r="G36" s="631">
        <f>IFERROR(MaterialsBoQ[[#This Row],[Number]]*MaterialsBoQ[[#This Row],[Kg per unit]],"")</f>
        <v>0</v>
      </c>
      <c r="H36" s="632">
        <f>IFERROR(MaterialsBoQ[[#This Row],[Total Kg]]/SUM(MaterialsBoQ[Total Kg],MEPBoQ[Kg estimate]),0)</f>
        <v>0</v>
      </c>
      <c r="I36" s="347"/>
      <c r="K36" s="12"/>
      <c r="L36" s="12"/>
      <c r="M36" s="12"/>
      <c r="N36" s="12"/>
      <c r="O36" s="12"/>
      <c r="P36" s="12"/>
      <c r="Q36" s="12"/>
      <c r="R36" s="12"/>
    </row>
    <row r="37" spans="2:18" x14ac:dyDescent="0.25">
      <c r="B37" s="348"/>
      <c r="C37" s="348"/>
      <c r="D37" s="351"/>
      <c r="E37" s="352"/>
      <c r="F37" s="614"/>
      <c r="G37" s="631">
        <f>IFERROR(MaterialsBoQ[[#This Row],[Number]]*MaterialsBoQ[[#This Row],[Kg per unit]],"")</f>
        <v>0</v>
      </c>
      <c r="H37" s="632">
        <f>IFERROR(MaterialsBoQ[[#This Row],[Total Kg]]/SUM(MaterialsBoQ[Total Kg],MEPBoQ[Kg estimate]),0)</f>
        <v>0</v>
      </c>
      <c r="I37" s="347"/>
      <c r="K37" s="12"/>
      <c r="L37" s="12"/>
      <c r="M37" s="12"/>
      <c r="N37" s="12"/>
      <c r="O37" s="12"/>
      <c r="P37" s="12"/>
      <c r="Q37" s="12"/>
      <c r="R37" s="12"/>
    </row>
    <row r="38" spans="2:18" x14ac:dyDescent="0.25">
      <c r="B38" s="348"/>
      <c r="C38" s="348"/>
      <c r="D38" s="614"/>
      <c r="E38" s="352"/>
      <c r="F38" s="614"/>
      <c r="G38" s="631">
        <f>IFERROR(MaterialsBoQ[[#This Row],[Number]]*MaterialsBoQ[[#This Row],[Kg per unit]],"")</f>
        <v>0</v>
      </c>
      <c r="H38" s="632">
        <f>IFERROR(MaterialsBoQ[[#This Row],[Total Kg]]/SUM(MaterialsBoQ[Total Kg],MEPBoQ[Kg estimate]),0)</f>
        <v>0</v>
      </c>
      <c r="I38" s="347"/>
      <c r="K38" s="12"/>
      <c r="L38" s="12"/>
      <c r="M38" s="12"/>
      <c r="N38" s="12"/>
      <c r="O38" s="12"/>
      <c r="P38" s="12"/>
      <c r="Q38" s="12"/>
      <c r="R38" s="12"/>
    </row>
    <row r="39" spans="2:18" x14ac:dyDescent="0.25">
      <c r="B39" s="348"/>
      <c r="C39" s="348"/>
      <c r="D39" s="351"/>
      <c r="E39" s="352"/>
      <c r="F39" s="351"/>
      <c r="G39" s="631">
        <f>IFERROR(MaterialsBoQ[[#This Row],[Number]]*MaterialsBoQ[[#This Row],[Kg per unit]],"")</f>
        <v>0</v>
      </c>
      <c r="H39" s="632">
        <f>IFERROR(MaterialsBoQ[[#This Row],[Total Kg]]/SUM(MaterialsBoQ[Total Kg],MEPBoQ[Kg estimate]),0)</f>
        <v>0</v>
      </c>
      <c r="I39" s="347"/>
      <c r="K39" s="12"/>
      <c r="L39" s="12"/>
      <c r="M39" s="12"/>
      <c r="N39" s="12"/>
      <c r="O39" s="12"/>
      <c r="P39" s="12"/>
      <c r="Q39" s="12"/>
      <c r="R39" s="12"/>
    </row>
    <row r="40" spans="2:18" x14ac:dyDescent="0.25">
      <c r="B40" s="348"/>
      <c r="C40" s="348"/>
      <c r="D40" s="351"/>
      <c r="E40" s="352"/>
      <c r="F40" s="351"/>
      <c r="G40" s="631">
        <f>IFERROR(MaterialsBoQ[[#This Row],[Number]]*MaterialsBoQ[[#This Row],[Kg per unit]],"")</f>
        <v>0</v>
      </c>
      <c r="H40" s="632">
        <f>IFERROR(MaterialsBoQ[[#This Row],[Total Kg]]/SUM(MaterialsBoQ[Total Kg],MEPBoQ[Kg estimate]),0)</f>
        <v>0</v>
      </c>
      <c r="I40" s="347"/>
      <c r="K40" s="12"/>
      <c r="L40" s="12"/>
      <c r="M40" s="12"/>
      <c r="N40" s="12"/>
      <c r="O40" s="12"/>
      <c r="P40" s="12"/>
      <c r="Q40" s="12"/>
      <c r="R40" s="12"/>
    </row>
    <row r="41" spans="2:18" x14ac:dyDescent="0.25">
      <c r="B41" s="348"/>
      <c r="C41" s="348"/>
      <c r="D41" s="351"/>
      <c r="E41" s="352"/>
      <c r="F41" s="614"/>
      <c r="G41" s="631">
        <f>IFERROR(MaterialsBoQ[[#This Row],[Number]]*MaterialsBoQ[[#This Row],[Kg per unit]],"")</f>
        <v>0</v>
      </c>
      <c r="H41" s="632">
        <f>IFERROR(MaterialsBoQ[[#This Row],[Total Kg]]/SUM(MaterialsBoQ[Total Kg],MEPBoQ[Kg estimate]),0)</f>
        <v>0</v>
      </c>
      <c r="I41" s="347"/>
      <c r="K41" s="12"/>
      <c r="L41" s="12"/>
      <c r="M41" s="12"/>
      <c r="N41" s="12"/>
      <c r="O41" s="12"/>
      <c r="P41" s="12"/>
      <c r="Q41" s="12"/>
      <c r="R41" s="12"/>
    </row>
    <row r="42" spans="2:18" x14ac:dyDescent="0.25">
      <c r="B42" s="348"/>
      <c r="C42" s="348"/>
      <c r="D42" s="351"/>
      <c r="E42" s="352"/>
      <c r="F42" s="614"/>
      <c r="G42" s="631">
        <f>IFERROR(MaterialsBoQ[[#This Row],[Number]]*MaterialsBoQ[[#This Row],[Kg per unit]],"")</f>
        <v>0</v>
      </c>
      <c r="H42" s="632">
        <f>IFERROR(MaterialsBoQ[[#This Row],[Total Kg]]/SUM(MaterialsBoQ[Total Kg],MEPBoQ[Kg estimate]),0)</f>
        <v>0</v>
      </c>
      <c r="I42" s="347"/>
      <c r="K42" s="12"/>
      <c r="L42" s="12"/>
      <c r="M42" s="12"/>
      <c r="N42" s="12"/>
      <c r="O42" s="12"/>
      <c r="P42" s="12"/>
      <c r="Q42" s="12"/>
      <c r="R42" s="12"/>
    </row>
    <row r="43" spans="2:18" x14ac:dyDescent="0.25">
      <c r="B43" s="348"/>
      <c r="C43" s="348"/>
      <c r="D43" s="351"/>
      <c r="E43" s="352"/>
      <c r="F43" s="614"/>
      <c r="G43" s="631">
        <f>IFERROR(MaterialsBoQ[[#This Row],[Number]]*MaterialsBoQ[[#This Row],[Kg per unit]],"")</f>
        <v>0</v>
      </c>
      <c r="H43" s="632">
        <f>IFERROR(MaterialsBoQ[[#This Row],[Total Kg]]/SUM(MaterialsBoQ[Total Kg],MEPBoQ[Kg estimate]),0)</f>
        <v>0</v>
      </c>
      <c r="I43" s="347"/>
      <c r="K43" s="12"/>
      <c r="L43" s="12"/>
      <c r="M43" s="12"/>
      <c r="N43" s="12"/>
      <c r="O43" s="12"/>
      <c r="P43" s="12"/>
      <c r="Q43" s="12"/>
      <c r="R43" s="12"/>
    </row>
    <row r="44" spans="2:18" x14ac:dyDescent="0.25">
      <c r="B44" s="348"/>
      <c r="C44" s="348"/>
      <c r="D44" s="614"/>
      <c r="E44" s="352"/>
      <c r="F44" s="614"/>
      <c r="G44" s="631">
        <f>IFERROR(MaterialsBoQ[[#This Row],[Number]]*MaterialsBoQ[[#This Row],[Kg per unit]],"")</f>
        <v>0</v>
      </c>
      <c r="H44" s="632">
        <f>IFERROR(MaterialsBoQ[[#This Row],[Total Kg]]/SUM(MaterialsBoQ[Total Kg],MEPBoQ[Kg estimate]),0)</f>
        <v>0</v>
      </c>
      <c r="I44" s="347"/>
      <c r="K44" s="12"/>
      <c r="L44" s="12"/>
      <c r="M44" s="12"/>
      <c r="N44" s="12"/>
      <c r="O44" s="12"/>
      <c r="P44" s="12"/>
      <c r="Q44" s="12"/>
      <c r="R44" s="12"/>
    </row>
    <row r="45" spans="2:18" x14ac:dyDescent="0.25">
      <c r="B45" s="348"/>
      <c r="C45" s="348"/>
      <c r="D45" s="351"/>
      <c r="E45" s="352"/>
      <c r="F45" s="351"/>
      <c r="G45" s="631">
        <f>IFERROR(MaterialsBoQ[[#This Row],[Number]]*MaterialsBoQ[[#This Row],[Kg per unit]],"")</f>
        <v>0</v>
      </c>
      <c r="H45" s="632">
        <f>IFERROR(MaterialsBoQ[[#This Row],[Total Kg]]/SUM(MaterialsBoQ[Total Kg],MEPBoQ[Kg estimate]),0)</f>
        <v>0</v>
      </c>
      <c r="I45" s="347"/>
      <c r="K45" s="12"/>
      <c r="L45" s="12"/>
      <c r="M45" s="12"/>
      <c r="N45" s="12"/>
      <c r="O45" s="12"/>
      <c r="P45" s="12"/>
      <c r="Q45" s="12"/>
      <c r="R45" s="12"/>
    </row>
    <row r="46" spans="2:18" x14ac:dyDescent="0.25">
      <c r="B46" s="348"/>
      <c r="C46" s="348"/>
      <c r="D46" s="614"/>
      <c r="E46" s="352"/>
      <c r="F46" s="351"/>
      <c r="G46" s="631">
        <f>IFERROR(MaterialsBoQ[[#This Row],[Number]]*MaterialsBoQ[[#This Row],[Kg per unit]],"")</f>
        <v>0</v>
      </c>
      <c r="H46" s="632">
        <f>IFERROR(MaterialsBoQ[[#This Row],[Total Kg]]/SUM(MaterialsBoQ[Total Kg],MEPBoQ[Kg estimate]),0)</f>
        <v>0</v>
      </c>
      <c r="I46" s="347"/>
      <c r="K46" s="12"/>
      <c r="L46" s="12"/>
      <c r="M46" s="12"/>
      <c r="N46" s="12"/>
      <c r="O46" s="12"/>
      <c r="P46" s="12"/>
      <c r="Q46" s="12"/>
      <c r="R46" s="12"/>
    </row>
    <row r="47" spans="2:18" x14ac:dyDescent="0.25">
      <c r="B47" s="348"/>
      <c r="C47" s="348"/>
      <c r="D47" s="351"/>
      <c r="E47" s="352"/>
      <c r="F47" s="614"/>
      <c r="G47" s="631">
        <f>IFERROR(MaterialsBoQ[[#This Row],[Number]]*MaterialsBoQ[[#This Row],[Kg per unit]],"")</f>
        <v>0</v>
      </c>
      <c r="H47" s="632">
        <f>IFERROR(MaterialsBoQ[[#This Row],[Total Kg]]/SUM(MaterialsBoQ[Total Kg],MEPBoQ[Kg estimate]),0)</f>
        <v>0</v>
      </c>
      <c r="I47" s="347"/>
      <c r="K47" s="12"/>
      <c r="L47" s="12"/>
      <c r="M47" s="12"/>
      <c r="N47" s="12"/>
      <c r="O47" s="12"/>
      <c r="P47" s="12"/>
      <c r="Q47" s="12"/>
      <c r="R47" s="12"/>
    </row>
    <row r="48" spans="2:18" x14ac:dyDescent="0.25">
      <c r="B48" s="348"/>
      <c r="C48" s="348"/>
      <c r="D48" s="351"/>
      <c r="E48" s="352"/>
      <c r="F48" s="351"/>
      <c r="G48" s="631">
        <f>IFERROR(MaterialsBoQ[[#This Row],[Number]]*MaterialsBoQ[[#This Row],[Kg per unit]],"")</f>
        <v>0</v>
      </c>
      <c r="H48" s="632">
        <f>IFERROR(MaterialsBoQ[[#This Row],[Total Kg]]/SUM(MaterialsBoQ[Total Kg],MEPBoQ[Kg estimate]),0)</f>
        <v>0</v>
      </c>
      <c r="I48" s="347"/>
      <c r="J48" s="350"/>
    </row>
    <row r="49" spans="2:14" x14ac:dyDescent="0.25">
      <c r="B49" s="348"/>
      <c r="C49" s="348"/>
      <c r="D49" s="351"/>
      <c r="E49" s="352"/>
      <c r="F49" s="614"/>
      <c r="G49" s="631">
        <f>IFERROR(MaterialsBoQ[[#This Row],[Number]]*MaterialsBoQ[[#This Row],[Kg per unit]],"")</f>
        <v>0</v>
      </c>
      <c r="H49" s="632">
        <f>IFERROR(MaterialsBoQ[[#This Row],[Total Kg]]/SUM(MaterialsBoQ[Total Kg],MEPBoQ[Kg estimate]),0)</f>
        <v>0</v>
      </c>
      <c r="I49" s="347"/>
      <c r="N49" s="318"/>
    </row>
    <row r="50" spans="2:14" x14ac:dyDescent="0.25">
      <c r="B50" s="348"/>
      <c r="C50" s="348"/>
      <c r="D50" s="351"/>
      <c r="E50" s="352"/>
      <c r="F50" s="351"/>
      <c r="G50" s="631">
        <f>IFERROR(MaterialsBoQ[[#This Row],[Number]]*MaterialsBoQ[[#This Row],[Kg per unit]],"")</f>
        <v>0</v>
      </c>
      <c r="H50" s="632">
        <f>IFERROR(MaterialsBoQ[[#This Row],[Total Kg]]/SUM(MaterialsBoQ[Total Kg],MEPBoQ[Kg estimate]),0)</f>
        <v>0</v>
      </c>
      <c r="I50" s="347"/>
      <c r="K50" s="8" t="s">
        <v>1496</v>
      </c>
      <c r="N50" s="318"/>
    </row>
    <row r="51" spans="2:14" x14ac:dyDescent="0.25">
      <c r="B51" s="348"/>
      <c r="C51" s="348"/>
      <c r="D51" s="351"/>
      <c r="E51" s="352"/>
      <c r="F51" s="614"/>
      <c r="G51" s="631">
        <f>IFERROR(MaterialsBoQ[[#This Row],[Number]]*MaterialsBoQ[[#This Row],[Kg per unit]],"")</f>
        <v>0</v>
      </c>
      <c r="H51" s="632">
        <f>IFERROR(MaterialsBoQ[[#This Row],[Total Kg]]/SUM(MaterialsBoQ[Total Kg],MEPBoQ[Kg estimate]),0)</f>
        <v>0</v>
      </c>
      <c r="I51" s="347"/>
      <c r="K51" s="347"/>
      <c r="L51" s="8" t="s">
        <v>1309</v>
      </c>
    </row>
    <row r="52" spans="2:14" x14ac:dyDescent="0.25">
      <c r="B52" s="348"/>
      <c r="C52" s="348"/>
      <c r="D52" s="351"/>
      <c r="E52" s="352"/>
      <c r="F52" s="614"/>
      <c r="G52" s="631">
        <f>IFERROR(MaterialsBoQ[[#This Row],[Number]]*MaterialsBoQ[[#This Row],[Kg per unit]],"")</f>
        <v>0</v>
      </c>
      <c r="H52" s="632">
        <f>IFERROR(MaterialsBoQ[[#This Row],[Total Kg]]/SUM(MaterialsBoQ[Total Kg],MEPBoQ[Kg estimate]),0)</f>
        <v>0</v>
      </c>
      <c r="I52" s="347"/>
      <c r="K52" s="348"/>
      <c r="L52" s="8" t="s">
        <v>1310</v>
      </c>
      <c r="N52" s="318"/>
    </row>
    <row r="53" spans="2:14" ht="14.4" x14ac:dyDescent="0.3">
      <c r="B53" s="348"/>
      <c r="C53" s="348"/>
      <c r="D53" s="351"/>
      <c r="E53" s="352"/>
      <c r="F53" s="614"/>
      <c r="G53" s="631">
        <f>IFERROR(MaterialsBoQ[[#This Row],[Number]]*MaterialsBoQ[[#This Row],[Kg per unit]],"")</f>
        <v>0</v>
      </c>
      <c r="H53" s="632">
        <f>IFERROR(MaterialsBoQ[[#This Row],[Total Kg]]/SUM(MaterialsBoQ[Total Kg],MEPBoQ[Kg estimate]),0)</f>
        <v>0</v>
      </c>
      <c r="I53" s="347"/>
      <c r="K53" s="635"/>
      <c r="L53" s="8" t="s">
        <v>1319</v>
      </c>
    </row>
    <row r="54" spans="2:14" x14ac:dyDescent="0.25">
      <c r="B54" s="348"/>
      <c r="C54" s="348"/>
      <c r="D54" s="351"/>
      <c r="E54" s="352"/>
      <c r="F54" s="614"/>
      <c r="G54" s="631">
        <f>IFERROR(MaterialsBoQ[[#This Row],[Number]]*MaterialsBoQ[[#This Row],[Kg per unit]],"")</f>
        <v>0</v>
      </c>
      <c r="H54" s="632">
        <f>IFERROR(MaterialsBoQ[[#This Row],[Total Kg]]/SUM(MaterialsBoQ[Total Kg],MEPBoQ[Kg estimate]),0)</f>
        <v>0</v>
      </c>
      <c r="I54" s="347"/>
      <c r="N54" s="95"/>
    </row>
    <row r="55" spans="2:14" s="27" customFormat="1" x14ac:dyDescent="0.25">
      <c r="B55" s="348"/>
      <c r="C55" s="348"/>
      <c r="D55" s="614"/>
      <c r="E55" s="352"/>
      <c r="F55" s="614"/>
      <c r="G55" s="631">
        <f>IFERROR(MaterialsBoQ[[#This Row],[Number]]*MaterialsBoQ[[#This Row],[Kg per unit]],"")</f>
        <v>0</v>
      </c>
      <c r="H55" s="632">
        <f>IFERROR(MaterialsBoQ[[#This Row],[Total Kg]]/SUM(MaterialsBoQ[Total Kg],MEPBoQ[Kg estimate]),0)</f>
        <v>0</v>
      </c>
      <c r="I55" s="347"/>
      <c r="N55" s="337"/>
    </row>
    <row r="56" spans="2:14" x14ac:dyDescent="0.25">
      <c r="B56" s="348"/>
      <c r="C56" s="348"/>
      <c r="D56" s="351"/>
      <c r="E56" s="352"/>
      <c r="F56" s="614"/>
      <c r="G56" s="631">
        <f>IFERROR(MaterialsBoQ[[#This Row],[Number]]*MaterialsBoQ[[#This Row],[Kg per unit]],"")</f>
        <v>0</v>
      </c>
      <c r="H56" s="632">
        <f>IFERROR(MaterialsBoQ[[#This Row],[Total Kg]]/SUM(MaterialsBoQ[Total Kg],MEPBoQ[Kg estimate]),0)</f>
        <v>0</v>
      </c>
      <c r="I56" s="347"/>
      <c r="N56" s="318"/>
    </row>
    <row r="57" spans="2:14" x14ac:dyDescent="0.25">
      <c r="B57" s="348"/>
      <c r="C57" s="348"/>
      <c r="D57" s="351"/>
      <c r="E57" s="352"/>
      <c r="F57" s="614"/>
      <c r="G57" s="631">
        <f>IFERROR(MaterialsBoQ[[#This Row],[Number]]*MaterialsBoQ[[#This Row],[Kg per unit]],"")</f>
        <v>0</v>
      </c>
      <c r="H57" s="632">
        <f>IFERROR(MaterialsBoQ[[#This Row],[Total Kg]]/SUM(MaterialsBoQ[Total Kg],MEPBoQ[Kg estimate]),0)</f>
        <v>0</v>
      </c>
      <c r="I57" s="347"/>
      <c r="N57" s="318"/>
    </row>
    <row r="58" spans="2:14" x14ac:dyDescent="0.25">
      <c r="B58" s="348"/>
      <c r="C58" s="348"/>
      <c r="D58" s="351"/>
      <c r="E58" s="352"/>
      <c r="F58" s="614"/>
      <c r="G58" s="631">
        <f>IFERROR(MaterialsBoQ[[#This Row],[Number]]*MaterialsBoQ[[#This Row],[Kg per unit]],"")</f>
        <v>0</v>
      </c>
      <c r="H58" s="632">
        <f>IFERROR(MaterialsBoQ[[#This Row],[Total Kg]]/SUM(MaterialsBoQ[Total Kg],MEPBoQ[Kg estimate]),0)</f>
        <v>0</v>
      </c>
      <c r="I58" s="347"/>
      <c r="N58" s="318"/>
    </row>
    <row r="59" spans="2:14" x14ac:dyDescent="0.25">
      <c r="B59" s="348"/>
      <c r="C59" s="348"/>
      <c r="D59" s="351"/>
      <c r="E59" s="352"/>
      <c r="F59" s="614"/>
      <c r="G59" s="631">
        <f>IFERROR(MaterialsBoQ[[#This Row],[Number]]*MaterialsBoQ[[#This Row],[Kg per unit]],"")</f>
        <v>0</v>
      </c>
      <c r="H59" s="632">
        <f>IFERROR(MaterialsBoQ[[#This Row],[Total Kg]]/SUM(MaterialsBoQ[Total Kg],MEPBoQ[Kg estimate]),0)</f>
        <v>0</v>
      </c>
      <c r="I59" s="347"/>
      <c r="N59" s="318"/>
    </row>
    <row r="60" spans="2:14" x14ac:dyDescent="0.25">
      <c r="B60" s="348"/>
      <c r="C60" s="348"/>
      <c r="D60" s="614"/>
      <c r="E60" s="352"/>
      <c r="F60" s="351"/>
      <c r="G60" s="631">
        <f>IFERROR(MaterialsBoQ[[#This Row],[Number]]*MaterialsBoQ[[#This Row],[Kg per unit]],"")</f>
        <v>0</v>
      </c>
      <c r="H60" s="632">
        <f>IFERROR(MaterialsBoQ[[#This Row],[Total Kg]]/SUM(MaterialsBoQ[Total Kg],MEPBoQ[Kg estimate]),0)</f>
        <v>0</v>
      </c>
      <c r="I60" s="347"/>
      <c r="N60" s="318"/>
    </row>
    <row r="61" spans="2:14" x14ac:dyDescent="0.25">
      <c r="B61" s="348"/>
      <c r="C61" s="348"/>
      <c r="D61" s="614"/>
      <c r="E61" s="352"/>
      <c r="F61" s="351"/>
      <c r="G61" s="631">
        <f>IFERROR(MaterialsBoQ[[#This Row],[Number]]*MaterialsBoQ[[#This Row],[Kg per unit]],"")</f>
        <v>0</v>
      </c>
      <c r="H61" s="632">
        <f>IFERROR(MaterialsBoQ[[#This Row],[Total Kg]]/SUM(MaterialsBoQ[Total Kg],MEPBoQ[Kg estimate]),0)</f>
        <v>0</v>
      </c>
      <c r="I61" s="347"/>
      <c r="N61" s="318"/>
    </row>
    <row r="62" spans="2:14" x14ac:dyDescent="0.25">
      <c r="B62" s="348"/>
      <c r="C62" s="348"/>
      <c r="D62" s="351"/>
      <c r="E62" s="352"/>
      <c r="F62" s="614"/>
      <c r="G62" s="631">
        <f>IFERROR(MaterialsBoQ[[#This Row],[Number]]*MaterialsBoQ[[#This Row],[Kg per unit]],"")</f>
        <v>0</v>
      </c>
      <c r="H62" s="632">
        <f>IFERROR(MaterialsBoQ[[#This Row],[Total Kg]]/SUM(MaterialsBoQ[Total Kg],MEPBoQ[Kg estimate]),0)</f>
        <v>0</v>
      </c>
      <c r="I62" s="347"/>
      <c r="N62" s="318"/>
    </row>
    <row r="63" spans="2:14" x14ac:dyDescent="0.25">
      <c r="B63" s="348"/>
      <c r="C63" s="348"/>
      <c r="D63" s="351"/>
      <c r="E63" s="352"/>
      <c r="F63" s="614"/>
      <c r="G63" s="631">
        <f>IFERROR(MaterialsBoQ[[#This Row],[Number]]*MaterialsBoQ[[#This Row],[Kg per unit]],"")</f>
        <v>0</v>
      </c>
      <c r="H63" s="632">
        <f>IFERROR(MaterialsBoQ[[#This Row],[Total Kg]]/SUM(MaterialsBoQ[Total Kg],MEPBoQ[Kg estimate]),0)</f>
        <v>0</v>
      </c>
      <c r="I63" s="347"/>
      <c r="N63" s="318"/>
    </row>
    <row r="64" spans="2:14" x14ac:dyDescent="0.25">
      <c r="B64" s="348"/>
      <c r="C64" s="348"/>
      <c r="D64" s="351"/>
      <c r="E64" s="352"/>
      <c r="F64" s="351"/>
      <c r="G64" s="631">
        <f>IFERROR(MaterialsBoQ[[#This Row],[Number]]*MaterialsBoQ[[#This Row],[Kg per unit]],"")</f>
        <v>0</v>
      </c>
      <c r="H64" s="632">
        <f>IFERROR(MaterialsBoQ[[#This Row],[Total Kg]]/SUM(MaterialsBoQ[Total Kg],MEPBoQ[Kg estimate]),0)</f>
        <v>0</v>
      </c>
      <c r="I64" s="347"/>
      <c r="N64" s="318"/>
    </row>
    <row r="65" spans="2:14" x14ac:dyDescent="0.25">
      <c r="B65" s="348"/>
      <c r="C65" s="348"/>
      <c r="D65" s="351"/>
      <c r="E65" s="352"/>
      <c r="F65" s="614"/>
      <c r="G65" s="631">
        <f>IFERROR(MaterialsBoQ[[#This Row],[Number]]*MaterialsBoQ[[#This Row],[Kg per unit]],"")</f>
        <v>0</v>
      </c>
      <c r="H65" s="632">
        <f>IFERROR(MaterialsBoQ[[#This Row],[Total Kg]]/SUM(MaterialsBoQ[Total Kg],MEPBoQ[Kg estimate]),0)</f>
        <v>0</v>
      </c>
      <c r="I65" s="347"/>
      <c r="N65" s="318"/>
    </row>
    <row r="66" spans="2:14" x14ac:dyDescent="0.25">
      <c r="B66" s="348"/>
      <c r="C66" s="348"/>
      <c r="D66" s="351"/>
      <c r="E66" s="352"/>
      <c r="F66" s="614"/>
      <c r="G66" s="631">
        <f>IFERROR(MaterialsBoQ[[#This Row],[Number]]*MaterialsBoQ[[#This Row],[Kg per unit]],"")</f>
        <v>0</v>
      </c>
      <c r="H66" s="632">
        <f>IFERROR(MaterialsBoQ[[#This Row],[Total Kg]]/SUM(MaterialsBoQ[Total Kg],MEPBoQ[Kg estimate]),0)</f>
        <v>0</v>
      </c>
      <c r="I66" s="347"/>
      <c r="N66" s="318"/>
    </row>
    <row r="67" spans="2:14" x14ac:dyDescent="0.25">
      <c r="B67" s="348"/>
      <c r="C67" s="348"/>
      <c r="D67" s="351"/>
      <c r="E67" s="352"/>
      <c r="F67" s="614"/>
      <c r="G67" s="631">
        <f>IFERROR(MaterialsBoQ[[#This Row],[Number]]*MaterialsBoQ[[#This Row],[Kg per unit]],"")</f>
        <v>0</v>
      </c>
      <c r="H67" s="632">
        <f>IFERROR(MaterialsBoQ[[#This Row],[Total Kg]]/SUM(MaterialsBoQ[Total Kg],MEPBoQ[Kg estimate]),0)</f>
        <v>0</v>
      </c>
      <c r="I67" s="347"/>
      <c r="N67" s="318"/>
    </row>
    <row r="68" spans="2:14" x14ac:dyDescent="0.25">
      <c r="B68" s="348"/>
      <c r="C68" s="348"/>
      <c r="D68" s="351"/>
      <c r="E68" s="352"/>
      <c r="F68" s="351"/>
      <c r="G68" s="631">
        <f>IFERROR(MaterialsBoQ[[#This Row],[Number]]*MaterialsBoQ[[#This Row],[Kg per unit]],"")</f>
        <v>0</v>
      </c>
      <c r="H68" s="632">
        <f>IFERROR(MaterialsBoQ[[#This Row],[Total Kg]]/SUM(MaterialsBoQ[Total Kg],MEPBoQ[Kg estimate]),0)</f>
        <v>0</v>
      </c>
      <c r="I68" s="347"/>
      <c r="N68" s="318"/>
    </row>
    <row r="69" spans="2:14" x14ac:dyDescent="0.25">
      <c r="B69" s="348"/>
      <c r="C69" s="348"/>
      <c r="D69" s="351"/>
      <c r="E69" s="352"/>
      <c r="F69" s="614"/>
      <c r="G69" s="631">
        <f>IFERROR(MaterialsBoQ[[#This Row],[Number]]*MaterialsBoQ[[#This Row],[Kg per unit]],"")</f>
        <v>0</v>
      </c>
      <c r="H69" s="632">
        <f>IFERROR(MaterialsBoQ[[#This Row],[Total Kg]]/SUM(MaterialsBoQ[Total Kg],MEPBoQ[Kg estimate]),0)</f>
        <v>0</v>
      </c>
      <c r="I69" s="347"/>
      <c r="N69" s="318"/>
    </row>
    <row r="70" spans="2:14" x14ac:dyDescent="0.25">
      <c r="B70" s="348"/>
      <c r="C70" s="348"/>
      <c r="D70" s="614"/>
      <c r="E70" s="352"/>
      <c r="F70" s="351"/>
      <c r="G70" s="631">
        <f>IFERROR(MaterialsBoQ[[#This Row],[Number]]*MaterialsBoQ[[#This Row],[Kg per unit]],"")</f>
        <v>0</v>
      </c>
      <c r="H70" s="632">
        <f>IFERROR(MaterialsBoQ[[#This Row],[Total Kg]]/SUM(MaterialsBoQ[Total Kg],MEPBoQ[Kg estimate]),0)</f>
        <v>0</v>
      </c>
      <c r="I70" s="347"/>
      <c r="N70" s="318"/>
    </row>
    <row r="71" spans="2:14" x14ac:dyDescent="0.25">
      <c r="B71" s="348"/>
      <c r="C71" s="348"/>
      <c r="D71" s="351"/>
      <c r="E71" s="352"/>
      <c r="F71" s="614"/>
      <c r="G71" s="631">
        <f>IFERROR(MaterialsBoQ[[#This Row],[Number]]*MaterialsBoQ[[#This Row],[Kg per unit]],"")</f>
        <v>0</v>
      </c>
      <c r="H71" s="632">
        <f>IFERROR(MaterialsBoQ[[#This Row],[Total Kg]]/SUM(MaterialsBoQ[Total Kg],MEPBoQ[Kg estimate]),0)</f>
        <v>0</v>
      </c>
      <c r="I71" s="347"/>
      <c r="N71" s="318"/>
    </row>
    <row r="72" spans="2:14" x14ac:dyDescent="0.25">
      <c r="B72" s="348"/>
      <c r="C72" s="348"/>
      <c r="D72" s="614"/>
      <c r="E72" s="352"/>
      <c r="F72" s="614"/>
      <c r="G72" s="631">
        <f>IFERROR(MaterialsBoQ[[#This Row],[Number]]*MaterialsBoQ[[#This Row],[Kg per unit]],"")</f>
        <v>0</v>
      </c>
      <c r="H72" s="632">
        <f>IFERROR(MaterialsBoQ[[#This Row],[Total Kg]]/SUM(MaterialsBoQ[Total Kg],MEPBoQ[Kg estimate]),0)</f>
        <v>0</v>
      </c>
      <c r="I72" s="347"/>
      <c r="N72" s="318"/>
    </row>
    <row r="73" spans="2:14" x14ac:dyDescent="0.25">
      <c r="B73" s="348"/>
      <c r="C73" s="348"/>
      <c r="D73" s="351"/>
      <c r="E73" s="352"/>
      <c r="F73" s="614"/>
      <c r="G73" s="631">
        <f>IFERROR(MaterialsBoQ[[#This Row],[Number]]*MaterialsBoQ[[#This Row],[Kg per unit]],"")</f>
        <v>0</v>
      </c>
      <c r="H73" s="632">
        <f>IFERROR(MaterialsBoQ[[#This Row],[Total Kg]]/SUM(MaterialsBoQ[Total Kg],MEPBoQ[Kg estimate]),0)</f>
        <v>0</v>
      </c>
      <c r="I73" s="347"/>
      <c r="N73" s="318"/>
    </row>
    <row r="74" spans="2:14" x14ac:dyDescent="0.25">
      <c r="B74" s="348"/>
      <c r="C74" s="348"/>
      <c r="D74" s="351"/>
      <c r="E74" s="352"/>
      <c r="F74" s="614"/>
      <c r="G74" s="631">
        <f>IFERROR(MaterialsBoQ[[#This Row],[Number]]*MaterialsBoQ[[#This Row],[Kg per unit]],"")</f>
        <v>0</v>
      </c>
      <c r="H74" s="632">
        <f>IFERROR(MaterialsBoQ[[#This Row],[Total Kg]]/SUM(MaterialsBoQ[Total Kg],MEPBoQ[Kg estimate]),0)</f>
        <v>0</v>
      </c>
      <c r="I74" s="347"/>
      <c r="N74" s="318"/>
    </row>
    <row r="75" spans="2:14" x14ac:dyDescent="0.25">
      <c r="B75" s="348"/>
      <c r="C75" s="348"/>
      <c r="D75" s="351"/>
      <c r="E75" s="352"/>
      <c r="F75" s="614"/>
      <c r="G75" s="631">
        <f>IFERROR(MaterialsBoQ[[#This Row],[Number]]*MaterialsBoQ[[#This Row],[Kg per unit]],"")</f>
        <v>0</v>
      </c>
      <c r="H75" s="632">
        <f>IFERROR(MaterialsBoQ[[#This Row],[Total Kg]]/SUM(MaterialsBoQ[Total Kg],MEPBoQ[Kg estimate]),0)</f>
        <v>0</v>
      </c>
      <c r="I75" s="347"/>
      <c r="N75" s="318"/>
    </row>
    <row r="76" spans="2:14" x14ac:dyDescent="0.25">
      <c r="B76" s="348"/>
      <c r="C76" s="348"/>
      <c r="D76" s="351"/>
      <c r="E76" s="352"/>
      <c r="F76" s="351"/>
      <c r="G76" s="631">
        <f>IFERROR(MaterialsBoQ[[#This Row],[Number]]*MaterialsBoQ[[#This Row],[Kg per unit]],"")</f>
        <v>0</v>
      </c>
      <c r="H76" s="632">
        <f>IFERROR(MaterialsBoQ[[#This Row],[Total Kg]]/SUM(MaterialsBoQ[Total Kg],MEPBoQ[Kg estimate]),0)</f>
        <v>0</v>
      </c>
      <c r="I76" s="347"/>
      <c r="N76" s="318"/>
    </row>
    <row r="77" spans="2:14" x14ac:dyDescent="0.25">
      <c r="B77" s="348"/>
      <c r="C77" s="348"/>
      <c r="D77" s="351"/>
      <c r="E77" s="352"/>
      <c r="F77" s="614"/>
      <c r="G77" s="631">
        <f>IFERROR(MaterialsBoQ[[#This Row],[Number]]*MaterialsBoQ[[#This Row],[Kg per unit]],"")</f>
        <v>0</v>
      </c>
      <c r="H77" s="632">
        <f>IFERROR(MaterialsBoQ[[#This Row],[Total Kg]]/SUM(MaterialsBoQ[Total Kg],MEPBoQ[Kg estimate]),0)</f>
        <v>0</v>
      </c>
      <c r="I77" s="347"/>
      <c r="N77" s="318"/>
    </row>
    <row r="78" spans="2:14" x14ac:dyDescent="0.25">
      <c r="B78" s="348"/>
      <c r="C78" s="348"/>
      <c r="D78" s="351"/>
      <c r="E78" s="352"/>
      <c r="F78" s="351"/>
      <c r="G78" s="631">
        <f>IFERROR(MaterialsBoQ[[#This Row],[Number]]*MaterialsBoQ[[#This Row],[Kg per unit]],"")</f>
        <v>0</v>
      </c>
      <c r="H78" s="632">
        <f>IFERROR(MaterialsBoQ[[#This Row],[Total Kg]]/SUM(MaterialsBoQ[Total Kg],MEPBoQ[Kg estimate]),0)</f>
        <v>0</v>
      </c>
      <c r="I78" s="347"/>
      <c r="N78" s="318"/>
    </row>
    <row r="79" spans="2:14" x14ac:dyDescent="0.25">
      <c r="B79" s="348"/>
      <c r="C79" s="348"/>
      <c r="D79" s="351"/>
      <c r="E79" s="352"/>
      <c r="F79" s="614"/>
      <c r="G79" s="631">
        <f>IFERROR(MaterialsBoQ[[#This Row],[Number]]*MaterialsBoQ[[#This Row],[Kg per unit]],"")</f>
        <v>0</v>
      </c>
      <c r="H79" s="632">
        <f>IFERROR(MaterialsBoQ[[#This Row],[Total Kg]]/SUM(MaterialsBoQ[Total Kg],MEPBoQ[Kg estimate]),0)</f>
        <v>0</v>
      </c>
      <c r="I79" s="347"/>
      <c r="N79" s="318"/>
    </row>
    <row r="80" spans="2:14" x14ac:dyDescent="0.25">
      <c r="B80" s="348"/>
      <c r="C80" s="348"/>
      <c r="D80" s="614"/>
      <c r="E80" s="352"/>
      <c r="F80" s="614"/>
      <c r="G80" s="631">
        <f>IFERROR(MaterialsBoQ[[#This Row],[Number]]*MaterialsBoQ[[#This Row],[Kg per unit]],"")</f>
        <v>0</v>
      </c>
      <c r="H80" s="632">
        <f>IFERROR(MaterialsBoQ[[#This Row],[Total Kg]]/SUM(MaterialsBoQ[Total Kg],MEPBoQ[Kg estimate]),0)</f>
        <v>0</v>
      </c>
      <c r="I80" s="347"/>
      <c r="N80" s="318"/>
    </row>
    <row r="81" spans="2:14" x14ac:dyDescent="0.25">
      <c r="B81" s="348"/>
      <c r="C81" s="348"/>
      <c r="D81" s="351"/>
      <c r="E81" s="352"/>
      <c r="F81" s="614"/>
      <c r="G81" s="631">
        <f>IFERROR(MaterialsBoQ[[#This Row],[Number]]*MaterialsBoQ[[#This Row],[Kg per unit]],"")</f>
        <v>0</v>
      </c>
      <c r="H81" s="632">
        <f>IFERROR(MaterialsBoQ[[#This Row],[Total Kg]]/SUM(MaterialsBoQ[Total Kg],MEPBoQ[Kg estimate]),0)</f>
        <v>0</v>
      </c>
      <c r="I81" s="347"/>
      <c r="N81" s="318"/>
    </row>
    <row r="82" spans="2:14" x14ac:dyDescent="0.25">
      <c r="B82" s="348"/>
      <c r="C82" s="348"/>
      <c r="D82" s="614"/>
      <c r="E82" s="352"/>
      <c r="F82" s="614"/>
      <c r="G82" s="631">
        <f>IFERROR(MaterialsBoQ[[#This Row],[Number]]*MaterialsBoQ[[#This Row],[Kg per unit]],"")</f>
        <v>0</v>
      </c>
      <c r="H82" s="632">
        <f>IFERROR(MaterialsBoQ[[#This Row],[Total Kg]]/SUM(MaterialsBoQ[Total Kg],MEPBoQ[Kg estimate]),0)</f>
        <v>0</v>
      </c>
      <c r="I82" s="347"/>
      <c r="N82" s="318"/>
    </row>
    <row r="83" spans="2:14" x14ac:dyDescent="0.25">
      <c r="B83" s="348"/>
      <c r="C83" s="348"/>
      <c r="D83" s="351"/>
      <c r="E83" s="352"/>
      <c r="F83" s="614"/>
      <c r="G83" s="631">
        <f>IFERROR(MaterialsBoQ[[#This Row],[Number]]*MaterialsBoQ[[#This Row],[Kg per unit]],"")</f>
        <v>0</v>
      </c>
      <c r="H83" s="632">
        <f>IFERROR(MaterialsBoQ[[#This Row],[Total Kg]]/SUM(MaterialsBoQ[Total Kg],MEPBoQ[Kg estimate]),0)</f>
        <v>0</v>
      </c>
      <c r="I83" s="347"/>
      <c r="N83" s="318"/>
    </row>
    <row r="84" spans="2:14" x14ac:dyDescent="0.25">
      <c r="B84" s="348"/>
      <c r="C84" s="348"/>
      <c r="D84" s="351"/>
      <c r="E84" s="352"/>
      <c r="F84" s="614"/>
      <c r="G84" s="631">
        <f>IFERROR(MaterialsBoQ[[#This Row],[Number]]*MaterialsBoQ[[#This Row],[Kg per unit]],"")</f>
        <v>0</v>
      </c>
      <c r="H84" s="632">
        <f>IFERROR(MaterialsBoQ[[#This Row],[Total Kg]]/SUM(MaterialsBoQ[Total Kg],MEPBoQ[Kg estimate]),0)</f>
        <v>0</v>
      </c>
      <c r="I84" s="347"/>
      <c r="N84" s="318"/>
    </row>
    <row r="85" spans="2:14" x14ac:dyDescent="0.25">
      <c r="B85" s="348"/>
      <c r="C85" s="348"/>
      <c r="D85" s="351"/>
      <c r="E85" s="352"/>
      <c r="F85" s="614"/>
      <c r="G85" s="631">
        <f>IFERROR(MaterialsBoQ[[#This Row],[Number]]*MaterialsBoQ[[#This Row],[Kg per unit]],"")</f>
        <v>0</v>
      </c>
      <c r="H85" s="632">
        <f>IFERROR(MaterialsBoQ[[#This Row],[Total Kg]]/SUM(MaterialsBoQ[Total Kg],MEPBoQ[Kg estimate]),0)</f>
        <v>0</v>
      </c>
      <c r="I85" s="347"/>
      <c r="N85" s="318"/>
    </row>
    <row r="86" spans="2:14" x14ac:dyDescent="0.25">
      <c r="B86" s="348"/>
      <c r="C86" s="348"/>
      <c r="D86" s="351"/>
      <c r="E86" s="352"/>
      <c r="F86" s="614"/>
      <c r="G86" s="631">
        <f>IFERROR(MaterialsBoQ[[#This Row],[Number]]*MaterialsBoQ[[#This Row],[Kg per unit]],"")</f>
        <v>0</v>
      </c>
      <c r="H86" s="632">
        <f>IFERROR(MaterialsBoQ[[#This Row],[Total Kg]]/SUM(MaterialsBoQ[Total Kg],MEPBoQ[Kg estimate]),0)</f>
        <v>0</v>
      </c>
      <c r="I86" s="347"/>
      <c r="N86" s="318"/>
    </row>
    <row r="87" spans="2:14" x14ac:dyDescent="0.25">
      <c r="B87" s="348"/>
      <c r="C87" s="348"/>
      <c r="D87" s="351"/>
      <c r="E87" s="352"/>
      <c r="F87" s="614"/>
      <c r="G87" s="631">
        <f>IFERROR(MaterialsBoQ[[#This Row],[Number]]*MaterialsBoQ[[#This Row],[Kg per unit]],"")</f>
        <v>0</v>
      </c>
      <c r="H87" s="632">
        <f>IFERROR(MaterialsBoQ[[#This Row],[Total Kg]]/SUM(MaterialsBoQ[Total Kg],MEPBoQ[Kg estimate]),0)</f>
        <v>0</v>
      </c>
      <c r="I87" s="347"/>
      <c r="N87" s="318"/>
    </row>
    <row r="88" spans="2:14" x14ac:dyDescent="0.25">
      <c r="B88" s="348"/>
      <c r="C88" s="348"/>
      <c r="D88" s="351"/>
      <c r="E88" s="352"/>
      <c r="F88" s="614"/>
      <c r="G88" s="631">
        <f>IFERROR(MaterialsBoQ[[#This Row],[Number]]*MaterialsBoQ[[#This Row],[Kg per unit]],"")</f>
        <v>0</v>
      </c>
      <c r="H88" s="632">
        <f>IFERROR(MaterialsBoQ[[#This Row],[Total Kg]]/SUM(MaterialsBoQ[Total Kg],MEPBoQ[Kg estimate]),0)</f>
        <v>0</v>
      </c>
      <c r="I88" s="347"/>
      <c r="N88" s="318"/>
    </row>
    <row r="89" spans="2:14" x14ac:dyDescent="0.25">
      <c r="B89" s="348"/>
      <c r="C89" s="348"/>
      <c r="D89" s="351"/>
      <c r="E89" s="352"/>
      <c r="F89" s="614"/>
      <c r="G89" s="631">
        <f>IFERROR(MaterialsBoQ[[#This Row],[Number]]*MaterialsBoQ[[#This Row],[Kg per unit]],"")</f>
        <v>0</v>
      </c>
      <c r="H89" s="632">
        <f>IFERROR(MaterialsBoQ[[#This Row],[Total Kg]]/SUM(MaterialsBoQ[Total Kg],MEPBoQ[Kg estimate]),0)</f>
        <v>0</v>
      </c>
      <c r="I89" s="347"/>
      <c r="N89" s="318"/>
    </row>
    <row r="90" spans="2:14" x14ac:dyDescent="0.25">
      <c r="B90" s="348"/>
      <c r="C90" s="348"/>
      <c r="D90" s="351"/>
      <c r="E90" s="352"/>
      <c r="F90" s="614"/>
      <c r="G90" s="631">
        <f>IFERROR(MaterialsBoQ[[#This Row],[Number]]*MaterialsBoQ[[#This Row],[Kg per unit]],"")</f>
        <v>0</v>
      </c>
      <c r="H90" s="632">
        <f>IFERROR(MaterialsBoQ[[#This Row],[Total Kg]]/SUM(MaterialsBoQ[Total Kg],MEPBoQ[Kg estimate]),0)</f>
        <v>0</v>
      </c>
      <c r="I90" s="347"/>
      <c r="N90" s="318"/>
    </row>
    <row r="91" spans="2:14" x14ac:dyDescent="0.25">
      <c r="B91" s="348"/>
      <c r="C91" s="348"/>
      <c r="D91" s="351"/>
      <c r="E91" s="352"/>
      <c r="F91" s="614"/>
      <c r="G91" s="631">
        <f>IFERROR(MaterialsBoQ[[#This Row],[Number]]*MaterialsBoQ[[#This Row],[Kg per unit]],"")</f>
        <v>0</v>
      </c>
      <c r="H91" s="632">
        <f>IFERROR(MaterialsBoQ[[#This Row],[Total Kg]]/SUM(MaterialsBoQ[Total Kg],MEPBoQ[Kg estimate]),0)</f>
        <v>0</v>
      </c>
      <c r="I91" s="347"/>
      <c r="N91" s="318"/>
    </row>
    <row r="92" spans="2:14" x14ac:dyDescent="0.25">
      <c r="B92" s="348"/>
      <c r="C92" s="348"/>
      <c r="D92" s="351"/>
      <c r="E92" s="352"/>
      <c r="F92" s="614"/>
      <c r="G92" s="631">
        <f>IFERROR(MaterialsBoQ[[#This Row],[Number]]*MaterialsBoQ[[#This Row],[Kg per unit]],"")</f>
        <v>0</v>
      </c>
      <c r="H92" s="632">
        <f>IFERROR(MaterialsBoQ[[#This Row],[Total Kg]]/SUM(MaterialsBoQ[Total Kg],MEPBoQ[Kg estimate]),0)</f>
        <v>0</v>
      </c>
      <c r="I92" s="347"/>
      <c r="N92" s="318"/>
    </row>
    <row r="93" spans="2:14" x14ac:dyDescent="0.25">
      <c r="B93" s="348"/>
      <c r="C93" s="348"/>
      <c r="D93" s="351"/>
      <c r="E93" s="352"/>
      <c r="F93" s="614"/>
      <c r="G93" s="631">
        <f>IFERROR(MaterialsBoQ[[#This Row],[Number]]*MaterialsBoQ[[#This Row],[Kg per unit]],"")</f>
        <v>0</v>
      </c>
      <c r="H93" s="632">
        <f>IFERROR(MaterialsBoQ[[#This Row],[Total Kg]]/SUM(MaterialsBoQ[Total Kg],MEPBoQ[Kg estimate]),0)</f>
        <v>0</v>
      </c>
      <c r="I93" s="347"/>
      <c r="N93" s="318"/>
    </row>
    <row r="94" spans="2:14" x14ac:dyDescent="0.25">
      <c r="B94" s="348"/>
      <c r="C94" s="348"/>
      <c r="D94" s="351"/>
      <c r="E94" s="352"/>
      <c r="F94" s="614"/>
      <c r="G94" s="631">
        <f>IFERROR(MaterialsBoQ[[#This Row],[Number]]*MaterialsBoQ[[#This Row],[Kg per unit]],"")</f>
        <v>0</v>
      </c>
      <c r="H94" s="632">
        <f>IFERROR(MaterialsBoQ[[#This Row],[Total Kg]]/SUM(MaterialsBoQ[Total Kg],MEPBoQ[Kg estimate]),0)</f>
        <v>0</v>
      </c>
      <c r="I94" s="347"/>
      <c r="N94" s="318"/>
    </row>
    <row r="95" spans="2:14" x14ac:dyDescent="0.25">
      <c r="B95" s="348"/>
      <c r="C95" s="348"/>
      <c r="D95" s="351"/>
      <c r="E95" s="352"/>
      <c r="F95" s="614"/>
      <c r="G95" s="631">
        <f>IFERROR(MaterialsBoQ[[#This Row],[Number]]*MaterialsBoQ[[#This Row],[Kg per unit]],"")</f>
        <v>0</v>
      </c>
      <c r="H95" s="632">
        <f>IFERROR(MaterialsBoQ[[#This Row],[Total Kg]]/SUM(MaterialsBoQ[Total Kg],MEPBoQ[Kg estimate]),0)</f>
        <v>0</v>
      </c>
      <c r="I95" s="347"/>
      <c r="N95" s="318"/>
    </row>
    <row r="96" spans="2:14" x14ac:dyDescent="0.25">
      <c r="B96" s="348"/>
      <c r="C96" s="348"/>
      <c r="D96" s="351"/>
      <c r="E96" s="352"/>
      <c r="F96" s="614"/>
      <c r="G96" s="631">
        <f>IFERROR(MaterialsBoQ[[#This Row],[Number]]*MaterialsBoQ[[#This Row],[Kg per unit]],"")</f>
        <v>0</v>
      </c>
      <c r="H96" s="632">
        <f>IFERROR(MaterialsBoQ[[#This Row],[Total Kg]]/SUM(MaterialsBoQ[Total Kg],MEPBoQ[Kg estimate]),0)</f>
        <v>0</v>
      </c>
      <c r="I96" s="347"/>
      <c r="N96" s="318"/>
    </row>
    <row r="97" spans="2:9" x14ac:dyDescent="0.25">
      <c r="B97" s="348"/>
      <c r="C97" s="348"/>
      <c r="D97" s="351"/>
      <c r="E97" s="352"/>
      <c r="F97" s="614"/>
      <c r="G97" s="631">
        <f>IFERROR(MaterialsBoQ[[#This Row],[Number]]*MaterialsBoQ[[#This Row],[Kg per unit]],"")</f>
        <v>0</v>
      </c>
      <c r="H97" s="632">
        <f>IFERROR(MaterialsBoQ[[#This Row],[Total Kg]]/SUM(MaterialsBoQ[Total Kg],MEPBoQ[Kg estimate]),0)</f>
        <v>0</v>
      </c>
      <c r="I97" s="347"/>
    </row>
    <row r="98" spans="2:9" x14ac:dyDescent="0.25">
      <c r="B98" s="348"/>
      <c r="C98" s="348"/>
      <c r="D98" s="351"/>
      <c r="E98" s="352"/>
      <c r="F98" s="614"/>
      <c r="G98" s="631">
        <f>IFERROR(MaterialsBoQ[[#This Row],[Number]]*MaterialsBoQ[[#This Row],[Kg per unit]],"")</f>
        <v>0</v>
      </c>
      <c r="H98" s="632">
        <f>IFERROR(MaterialsBoQ[[#This Row],[Total Kg]]/SUM(MaterialsBoQ[Total Kg],MEPBoQ[Kg estimate]),0)</f>
        <v>0</v>
      </c>
      <c r="I98" s="347"/>
    </row>
    <row r="99" spans="2:9" x14ac:dyDescent="0.25">
      <c r="B99" s="348"/>
      <c r="C99" s="348"/>
      <c r="D99" s="351"/>
      <c r="E99" s="352"/>
      <c r="F99" s="614"/>
      <c r="G99" s="631">
        <f>IFERROR(MaterialsBoQ[[#This Row],[Number]]*MaterialsBoQ[[#This Row],[Kg per unit]],"")</f>
        <v>0</v>
      </c>
      <c r="H99" s="632">
        <f>IFERROR(MaterialsBoQ[[#This Row],[Total Kg]]/SUM(MaterialsBoQ[Total Kg],MEPBoQ[Kg estimate]),0)</f>
        <v>0</v>
      </c>
      <c r="I99" s="347"/>
    </row>
    <row r="100" spans="2:9" x14ac:dyDescent="0.25">
      <c r="B100" s="348"/>
      <c r="C100" s="348"/>
      <c r="D100" s="614"/>
      <c r="E100" s="352"/>
      <c r="F100" s="614"/>
      <c r="G100" s="631">
        <f>IFERROR(MaterialsBoQ[[#This Row],[Number]]*MaterialsBoQ[[#This Row],[Kg per unit]],"")</f>
        <v>0</v>
      </c>
      <c r="H100" s="632">
        <f>IFERROR(MaterialsBoQ[[#This Row],[Total Kg]]/SUM(MaterialsBoQ[Total Kg],MEPBoQ[Kg estimate]),0)</f>
        <v>0</v>
      </c>
      <c r="I100" s="347"/>
    </row>
    <row r="101" spans="2:9" x14ac:dyDescent="0.25">
      <c r="B101" s="348"/>
      <c r="C101" s="348"/>
      <c r="D101" s="351"/>
      <c r="E101" s="352"/>
      <c r="F101" s="614"/>
      <c r="G101" s="631">
        <f>IFERROR(MaterialsBoQ[[#This Row],[Number]]*MaterialsBoQ[[#This Row],[Kg per unit]],"")</f>
        <v>0</v>
      </c>
      <c r="H101" s="632">
        <f>IFERROR(MaterialsBoQ[[#This Row],[Total Kg]]/SUM(MaterialsBoQ[Total Kg],MEPBoQ[Kg estimate]),0)</f>
        <v>0</v>
      </c>
      <c r="I101" s="347"/>
    </row>
    <row r="102" spans="2:9" x14ac:dyDescent="0.25">
      <c r="B102" s="348"/>
      <c r="C102" s="348"/>
      <c r="D102" s="351"/>
      <c r="E102" s="352"/>
      <c r="F102" s="614"/>
      <c r="G102" s="631">
        <f>IFERROR(MaterialsBoQ[[#This Row],[Number]]*MaterialsBoQ[[#This Row],[Kg per unit]],"")</f>
        <v>0</v>
      </c>
      <c r="H102" s="632">
        <f>IFERROR(MaterialsBoQ[[#This Row],[Total Kg]]/SUM(MaterialsBoQ[Total Kg],MEPBoQ[Kg estimate]),0)</f>
        <v>0</v>
      </c>
      <c r="I102" s="347"/>
    </row>
    <row r="103" spans="2:9" x14ac:dyDescent="0.25">
      <c r="B103" s="348"/>
      <c r="C103" s="348"/>
      <c r="D103" s="351"/>
      <c r="E103" s="352"/>
      <c r="F103" s="614"/>
      <c r="G103" s="631">
        <f>IFERROR(MaterialsBoQ[[#This Row],[Number]]*MaterialsBoQ[[#This Row],[Kg per unit]],"")</f>
        <v>0</v>
      </c>
      <c r="H103" s="632">
        <f>IFERROR(MaterialsBoQ[[#This Row],[Total Kg]]/SUM(MaterialsBoQ[Total Kg],MEPBoQ[Kg estimate]),0)</f>
        <v>0</v>
      </c>
      <c r="I103" s="347"/>
    </row>
    <row r="104" spans="2:9" x14ac:dyDescent="0.25">
      <c r="B104" s="348"/>
      <c r="C104" s="348"/>
      <c r="D104" s="351"/>
      <c r="E104" s="352"/>
      <c r="F104" s="614"/>
      <c r="G104" s="631">
        <f>IFERROR(MaterialsBoQ[[#This Row],[Number]]*MaterialsBoQ[[#This Row],[Kg per unit]],"")</f>
        <v>0</v>
      </c>
      <c r="H104" s="632">
        <f>IFERROR(MaterialsBoQ[[#This Row],[Total Kg]]/SUM(MaterialsBoQ[Total Kg],MEPBoQ[Kg estimate]),0)</f>
        <v>0</v>
      </c>
      <c r="I104" s="347"/>
    </row>
    <row r="105" spans="2:9" x14ac:dyDescent="0.25">
      <c r="B105" s="348"/>
      <c r="C105" s="348"/>
      <c r="D105" s="351"/>
      <c r="E105" s="352"/>
      <c r="F105" s="614"/>
      <c r="G105" s="631">
        <f>IFERROR(MaterialsBoQ[[#This Row],[Number]]*MaterialsBoQ[[#This Row],[Kg per unit]],"")</f>
        <v>0</v>
      </c>
      <c r="H105" s="632">
        <f>IFERROR(MaterialsBoQ[[#This Row],[Total Kg]]/SUM(MaterialsBoQ[Total Kg],MEPBoQ[Kg estimate]),0)</f>
        <v>0</v>
      </c>
      <c r="I105" s="347"/>
    </row>
    <row r="106" spans="2:9" x14ac:dyDescent="0.25">
      <c r="B106" s="348"/>
      <c r="C106" s="348"/>
      <c r="D106" s="351"/>
      <c r="E106" s="352"/>
      <c r="F106" s="614"/>
      <c r="G106" s="631">
        <f>IFERROR(MaterialsBoQ[[#This Row],[Number]]*MaterialsBoQ[[#This Row],[Kg per unit]],"")</f>
        <v>0</v>
      </c>
      <c r="H106" s="632">
        <f>IFERROR(MaterialsBoQ[[#This Row],[Total Kg]]/SUM(MaterialsBoQ[Total Kg],MEPBoQ[Kg estimate]),0)</f>
        <v>0</v>
      </c>
      <c r="I106" s="347"/>
    </row>
    <row r="107" spans="2:9" x14ac:dyDescent="0.25">
      <c r="B107" s="348"/>
      <c r="C107" s="348"/>
      <c r="D107" s="351"/>
      <c r="E107" s="352"/>
      <c r="F107" s="614"/>
      <c r="G107" s="631">
        <f>IFERROR(MaterialsBoQ[[#This Row],[Number]]*MaterialsBoQ[[#This Row],[Kg per unit]],"")</f>
        <v>0</v>
      </c>
      <c r="H107" s="632">
        <f>IFERROR(MaterialsBoQ[[#This Row],[Total Kg]]/SUM(MaterialsBoQ[Total Kg],MEPBoQ[Kg estimate]),0)</f>
        <v>0</v>
      </c>
      <c r="I107" s="347"/>
    </row>
    <row r="108" spans="2:9" x14ac:dyDescent="0.25">
      <c r="B108" s="348"/>
      <c r="C108" s="348"/>
      <c r="D108" s="351"/>
      <c r="E108" s="352"/>
      <c r="F108" s="614"/>
      <c r="G108" s="631">
        <f>IFERROR(MaterialsBoQ[[#This Row],[Number]]*MaterialsBoQ[[#This Row],[Kg per unit]],"")</f>
        <v>0</v>
      </c>
      <c r="H108" s="632">
        <f>IFERROR(MaterialsBoQ[[#This Row],[Total Kg]]/SUM(MaterialsBoQ[Total Kg],MEPBoQ[Kg estimate]),0)</f>
        <v>0</v>
      </c>
      <c r="I108" s="347"/>
    </row>
    <row r="109" spans="2:9" x14ac:dyDescent="0.25">
      <c r="B109" s="348"/>
      <c r="C109" s="348"/>
      <c r="D109" s="351"/>
      <c r="E109" s="352"/>
      <c r="F109" s="351"/>
      <c r="G109" s="631">
        <f>IFERROR(MaterialsBoQ[[#This Row],[Number]]*MaterialsBoQ[[#This Row],[Kg per unit]],"")</f>
        <v>0</v>
      </c>
      <c r="H109" s="632">
        <f>IFERROR(MaterialsBoQ[[#This Row],[Total Kg]]/SUM(MaterialsBoQ[Total Kg],MEPBoQ[Kg estimate]),0)</f>
        <v>0</v>
      </c>
      <c r="I109" s="347"/>
    </row>
    <row r="110" spans="2:9" x14ac:dyDescent="0.25">
      <c r="B110" s="348"/>
      <c r="C110" s="348"/>
      <c r="D110" s="351"/>
      <c r="E110" s="352"/>
      <c r="F110" s="614"/>
      <c r="G110" s="631">
        <f>IFERROR(MaterialsBoQ[[#This Row],[Number]]*MaterialsBoQ[[#This Row],[Kg per unit]],"")</f>
        <v>0</v>
      </c>
      <c r="H110" s="632">
        <f>IFERROR(MaterialsBoQ[[#This Row],[Total Kg]]/SUM(MaterialsBoQ[Total Kg],MEPBoQ[Kg estimate]),0)</f>
        <v>0</v>
      </c>
      <c r="I110" s="347"/>
    </row>
    <row r="111" spans="2:9" x14ac:dyDescent="0.25">
      <c r="B111" s="348"/>
      <c r="C111" s="348"/>
      <c r="D111" s="351"/>
      <c r="E111" s="352"/>
      <c r="F111" s="351"/>
      <c r="G111" s="631">
        <f>IFERROR(MaterialsBoQ[[#This Row],[Number]]*MaterialsBoQ[[#This Row],[Kg per unit]],"")</f>
        <v>0</v>
      </c>
      <c r="H111" s="632">
        <f>IFERROR(MaterialsBoQ[[#This Row],[Total Kg]]/SUM(MaterialsBoQ[Total Kg],MEPBoQ[Kg estimate]),0)</f>
        <v>0</v>
      </c>
      <c r="I111" s="347"/>
    </row>
    <row r="112" spans="2:9" x14ac:dyDescent="0.25">
      <c r="B112" s="348"/>
      <c r="C112" s="348"/>
      <c r="D112" s="351"/>
      <c r="E112" s="352"/>
      <c r="F112" s="614"/>
      <c r="G112" s="631">
        <f>IFERROR(MaterialsBoQ[[#This Row],[Number]]*MaterialsBoQ[[#This Row],[Kg per unit]],"")</f>
        <v>0</v>
      </c>
      <c r="H112" s="632">
        <f>IFERROR(MaterialsBoQ[[#This Row],[Total Kg]]/SUM(MaterialsBoQ[Total Kg],MEPBoQ[Kg estimate]),0)</f>
        <v>0</v>
      </c>
      <c r="I112" s="347"/>
    </row>
    <row r="113" spans="2:9" x14ac:dyDescent="0.25">
      <c r="B113" s="348"/>
      <c r="C113" s="348"/>
      <c r="D113" s="351"/>
      <c r="E113" s="352"/>
      <c r="F113" s="614"/>
      <c r="G113" s="631">
        <f>IFERROR(MaterialsBoQ[[#This Row],[Number]]*MaterialsBoQ[[#This Row],[Kg per unit]],"")</f>
        <v>0</v>
      </c>
      <c r="H113" s="632">
        <f>IFERROR(MaterialsBoQ[[#This Row],[Total Kg]]/SUM(MaterialsBoQ[Total Kg],MEPBoQ[Kg estimate]),0)</f>
        <v>0</v>
      </c>
      <c r="I113" s="347"/>
    </row>
    <row r="114" spans="2:9" x14ac:dyDescent="0.25">
      <c r="B114" s="348"/>
      <c r="C114" s="348"/>
      <c r="D114" s="614"/>
      <c r="E114" s="352"/>
      <c r="F114" s="614"/>
      <c r="G114" s="631">
        <f>IFERROR(MaterialsBoQ[[#This Row],[Number]]*MaterialsBoQ[[#This Row],[Kg per unit]],"")</f>
        <v>0</v>
      </c>
      <c r="H114" s="632">
        <f>IFERROR(MaterialsBoQ[[#This Row],[Total Kg]]/SUM(MaterialsBoQ[Total Kg],MEPBoQ[Kg estimate]),0)</f>
        <v>0</v>
      </c>
      <c r="I114" s="347"/>
    </row>
    <row r="115" spans="2:9" x14ac:dyDescent="0.25">
      <c r="B115" s="348"/>
      <c r="C115" s="348"/>
      <c r="D115" s="614"/>
      <c r="E115" s="352"/>
      <c r="F115" s="614"/>
      <c r="G115" s="631">
        <f>IFERROR(MaterialsBoQ[[#This Row],[Number]]*MaterialsBoQ[[#This Row],[Kg per unit]],"")</f>
        <v>0</v>
      </c>
      <c r="H115" s="632">
        <f>IFERROR(MaterialsBoQ[[#This Row],[Total Kg]]/SUM(MaterialsBoQ[Total Kg],MEPBoQ[Kg estimate]),0)</f>
        <v>0</v>
      </c>
      <c r="I115" s="347"/>
    </row>
    <row r="116" spans="2:9" x14ac:dyDescent="0.25">
      <c r="B116" s="348"/>
      <c r="C116" s="348"/>
      <c r="D116" s="614"/>
      <c r="E116" s="352"/>
      <c r="F116" s="614"/>
      <c r="G116" s="631">
        <f>IFERROR(MaterialsBoQ[[#This Row],[Number]]*MaterialsBoQ[[#This Row],[Kg per unit]],"")</f>
        <v>0</v>
      </c>
      <c r="H116" s="632">
        <f>IFERROR(MaterialsBoQ[[#This Row],[Total Kg]]/SUM(MaterialsBoQ[Total Kg],MEPBoQ[Kg estimate]),0)</f>
        <v>0</v>
      </c>
      <c r="I116" s="347"/>
    </row>
    <row r="117" spans="2:9" x14ac:dyDescent="0.25">
      <c r="B117" s="348"/>
      <c r="C117" s="348"/>
      <c r="D117" s="351"/>
      <c r="E117" s="352"/>
      <c r="F117" s="614"/>
      <c r="G117" s="631">
        <f>IFERROR(MaterialsBoQ[[#This Row],[Number]]*MaterialsBoQ[[#This Row],[Kg per unit]],"")</f>
        <v>0</v>
      </c>
      <c r="H117" s="632">
        <f>IFERROR(MaterialsBoQ[[#This Row],[Total Kg]]/SUM(MaterialsBoQ[Total Kg],MEPBoQ[Kg estimate]),0)</f>
        <v>0</v>
      </c>
      <c r="I117" s="347"/>
    </row>
    <row r="118" spans="2:9" x14ac:dyDescent="0.25">
      <c r="B118" s="348"/>
      <c r="C118" s="348"/>
      <c r="D118" s="351"/>
      <c r="E118" s="352"/>
      <c r="F118" s="614"/>
      <c r="G118" s="631">
        <f>IFERROR(MaterialsBoQ[[#This Row],[Number]]*MaterialsBoQ[[#This Row],[Kg per unit]],"")</f>
        <v>0</v>
      </c>
      <c r="H118" s="632">
        <f>IFERROR(MaterialsBoQ[[#This Row],[Total Kg]]/SUM(MaterialsBoQ[Total Kg],MEPBoQ[Kg estimate]),0)</f>
        <v>0</v>
      </c>
      <c r="I118" s="347"/>
    </row>
    <row r="119" spans="2:9" x14ac:dyDescent="0.25">
      <c r="B119" s="348"/>
      <c r="C119" s="348"/>
      <c r="D119" s="351"/>
      <c r="E119" s="352"/>
      <c r="F119" s="614"/>
      <c r="G119" s="631">
        <f>IFERROR(MaterialsBoQ[[#This Row],[Number]]*MaterialsBoQ[[#This Row],[Kg per unit]],"")</f>
        <v>0</v>
      </c>
      <c r="H119" s="632">
        <f>IFERROR(MaterialsBoQ[[#This Row],[Total Kg]]/SUM(MaterialsBoQ[Total Kg],MEPBoQ[Kg estimate]),0)</f>
        <v>0</v>
      </c>
      <c r="I119" s="347"/>
    </row>
    <row r="120" spans="2:9" x14ac:dyDescent="0.25">
      <c r="B120" s="348"/>
      <c r="C120" s="348"/>
      <c r="D120" s="351"/>
      <c r="E120" s="352"/>
      <c r="F120" s="614"/>
      <c r="G120" s="631">
        <f>IFERROR(MaterialsBoQ[[#This Row],[Number]]*MaterialsBoQ[[#This Row],[Kg per unit]],"")</f>
        <v>0</v>
      </c>
      <c r="H120" s="632">
        <f>IFERROR(MaterialsBoQ[[#This Row],[Total Kg]]/SUM(MaterialsBoQ[Total Kg],MEPBoQ[Kg estimate]),0)</f>
        <v>0</v>
      </c>
      <c r="I120" s="347"/>
    </row>
    <row r="121" spans="2:9" x14ac:dyDescent="0.25">
      <c r="B121" s="348"/>
      <c r="C121" s="348"/>
      <c r="D121" s="351"/>
      <c r="E121" s="352"/>
      <c r="F121" s="614"/>
      <c r="G121" s="631">
        <f>IFERROR(MaterialsBoQ[[#This Row],[Number]]*MaterialsBoQ[[#This Row],[Kg per unit]],"")</f>
        <v>0</v>
      </c>
      <c r="H121" s="632">
        <f>IFERROR(MaterialsBoQ[[#This Row],[Total Kg]]/SUM(MaterialsBoQ[Total Kg],MEPBoQ[Kg estimate]),0)</f>
        <v>0</v>
      </c>
      <c r="I121" s="347"/>
    </row>
    <row r="122" spans="2:9" x14ac:dyDescent="0.25">
      <c r="B122" s="348"/>
      <c r="C122" s="348"/>
      <c r="D122" s="614"/>
      <c r="E122" s="352"/>
      <c r="F122" s="614"/>
      <c r="G122" s="631">
        <f>IFERROR(MaterialsBoQ[[#This Row],[Number]]*MaterialsBoQ[[#This Row],[Kg per unit]],"")</f>
        <v>0</v>
      </c>
      <c r="H122" s="632">
        <f>IFERROR(MaterialsBoQ[[#This Row],[Total Kg]]/SUM(MaterialsBoQ[Total Kg],MEPBoQ[Kg estimate]),0)</f>
        <v>0</v>
      </c>
      <c r="I122" s="347"/>
    </row>
    <row r="123" spans="2:9" x14ac:dyDescent="0.25">
      <c r="B123" s="348"/>
      <c r="C123" s="348"/>
      <c r="D123" s="351"/>
      <c r="E123" s="352"/>
      <c r="F123" s="614"/>
      <c r="G123" s="631">
        <f>IFERROR(MaterialsBoQ[[#This Row],[Number]]*MaterialsBoQ[[#This Row],[Kg per unit]],"")</f>
        <v>0</v>
      </c>
      <c r="H123" s="632">
        <f>IFERROR(MaterialsBoQ[[#This Row],[Total Kg]]/SUM(MaterialsBoQ[Total Kg],MEPBoQ[Kg estimate]),0)</f>
        <v>0</v>
      </c>
      <c r="I123" s="347"/>
    </row>
    <row r="124" spans="2:9" x14ac:dyDescent="0.25">
      <c r="B124" s="348"/>
      <c r="C124" s="348"/>
      <c r="D124" s="351"/>
      <c r="E124" s="352"/>
      <c r="F124" s="614"/>
      <c r="G124" s="631">
        <f>IFERROR(MaterialsBoQ[[#This Row],[Number]]*MaterialsBoQ[[#This Row],[Kg per unit]],"")</f>
        <v>0</v>
      </c>
      <c r="H124" s="632">
        <f>IFERROR(MaterialsBoQ[[#This Row],[Total Kg]]/SUM(MaterialsBoQ[Total Kg],MEPBoQ[Kg estimate]),0)</f>
        <v>0</v>
      </c>
      <c r="I124" s="347"/>
    </row>
    <row r="125" spans="2:9" x14ac:dyDescent="0.25">
      <c r="B125" s="348"/>
      <c r="C125" s="348"/>
      <c r="D125" s="614"/>
      <c r="E125" s="352"/>
      <c r="F125" s="614"/>
      <c r="G125" s="631">
        <f>IFERROR(MaterialsBoQ[[#This Row],[Number]]*MaterialsBoQ[[#This Row],[Kg per unit]],"")</f>
        <v>0</v>
      </c>
      <c r="H125" s="632">
        <f>IFERROR(MaterialsBoQ[[#This Row],[Total Kg]]/SUM(MaterialsBoQ[Total Kg],MEPBoQ[Kg estimate]),0)</f>
        <v>0</v>
      </c>
      <c r="I125" s="347"/>
    </row>
    <row r="126" spans="2:9" x14ac:dyDescent="0.25">
      <c r="B126" s="348"/>
      <c r="C126" s="348"/>
      <c r="D126" s="351"/>
      <c r="E126" s="352"/>
      <c r="F126" s="351"/>
      <c r="G126" s="631">
        <f>IFERROR(MaterialsBoQ[[#This Row],[Number]]*MaterialsBoQ[[#This Row],[Kg per unit]],"")</f>
        <v>0</v>
      </c>
      <c r="H126" s="632">
        <f>IFERROR(MaterialsBoQ[[#This Row],[Total Kg]]/SUM(MaterialsBoQ[Total Kg],MEPBoQ[Kg estimate]),0)</f>
        <v>0</v>
      </c>
      <c r="I126" s="347"/>
    </row>
    <row r="127" spans="2:9" x14ac:dyDescent="0.25">
      <c r="B127" s="348"/>
      <c r="C127" s="348"/>
      <c r="D127" s="614"/>
      <c r="E127" s="352"/>
      <c r="F127" s="614"/>
      <c r="G127" s="631">
        <f>IFERROR(MaterialsBoQ[[#This Row],[Number]]*MaterialsBoQ[[#This Row],[Kg per unit]],"")</f>
        <v>0</v>
      </c>
      <c r="H127" s="632">
        <f>IFERROR(MaterialsBoQ[[#This Row],[Total Kg]]/SUM(MaterialsBoQ[Total Kg],MEPBoQ[Kg estimate]),0)</f>
        <v>0</v>
      </c>
      <c r="I127" s="347"/>
    </row>
    <row r="128" spans="2:9" x14ac:dyDescent="0.25">
      <c r="B128" s="348"/>
      <c r="C128" s="348"/>
      <c r="D128" s="351"/>
      <c r="E128" s="352"/>
      <c r="F128" s="614"/>
      <c r="G128" s="631">
        <f>IFERROR(MaterialsBoQ[[#This Row],[Number]]*MaterialsBoQ[[#This Row],[Kg per unit]],"")</f>
        <v>0</v>
      </c>
      <c r="H128" s="632">
        <f>IFERROR(MaterialsBoQ[[#This Row],[Total Kg]]/SUM(MaterialsBoQ[Total Kg],MEPBoQ[Kg estimate]),0)</f>
        <v>0</v>
      </c>
      <c r="I128" s="347"/>
    </row>
    <row r="129" spans="2:9" x14ac:dyDescent="0.25">
      <c r="B129" s="348"/>
      <c r="C129" s="348"/>
      <c r="D129" s="614"/>
      <c r="E129" s="352"/>
      <c r="F129" s="614"/>
      <c r="G129" s="631">
        <f>IFERROR(MaterialsBoQ[[#This Row],[Number]]*MaterialsBoQ[[#This Row],[Kg per unit]],"")</f>
        <v>0</v>
      </c>
      <c r="H129" s="632">
        <f>IFERROR(MaterialsBoQ[[#This Row],[Total Kg]]/SUM(MaterialsBoQ[Total Kg],MEPBoQ[Kg estimate]),0)</f>
        <v>0</v>
      </c>
      <c r="I129" s="347"/>
    </row>
    <row r="130" spans="2:9" x14ac:dyDescent="0.25">
      <c r="B130" s="348"/>
      <c r="C130" s="348"/>
      <c r="D130" s="351"/>
      <c r="E130" s="352"/>
      <c r="F130" s="614"/>
      <c r="G130" s="631">
        <f>IFERROR(MaterialsBoQ[[#This Row],[Number]]*MaterialsBoQ[[#This Row],[Kg per unit]],"")</f>
        <v>0</v>
      </c>
      <c r="H130" s="632">
        <f>IFERROR(MaterialsBoQ[[#This Row],[Total Kg]]/SUM(MaterialsBoQ[Total Kg],MEPBoQ[Kg estimate]),0)</f>
        <v>0</v>
      </c>
      <c r="I130" s="347"/>
    </row>
    <row r="131" spans="2:9" x14ac:dyDescent="0.25">
      <c r="B131" s="348"/>
      <c r="C131" s="348"/>
      <c r="D131" s="614"/>
      <c r="E131" s="352"/>
      <c r="F131" s="614"/>
      <c r="G131" s="631">
        <f>IFERROR(MaterialsBoQ[[#This Row],[Number]]*MaterialsBoQ[[#This Row],[Kg per unit]],"")</f>
        <v>0</v>
      </c>
      <c r="H131" s="632">
        <f>IFERROR(MaterialsBoQ[[#This Row],[Total Kg]]/SUM(MaterialsBoQ[Total Kg],MEPBoQ[Kg estimate]),0)</f>
        <v>0</v>
      </c>
      <c r="I131" s="347"/>
    </row>
    <row r="132" spans="2:9" x14ac:dyDescent="0.25">
      <c r="B132" s="348"/>
      <c r="C132" s="348"/>
      <c r="D132" s="351"/>
      <c r="E132" s="352"/>
      <c r="F132" s="614"/>
      <c r="G132" s="631">
        <f>IFERROR(MaterialsBoQ[[#This Row],[Number]]*MaterialsBoQ[[#This Row],[Kg per unit]],"")</f>
        <v>0</v>
      </c>
      <c r="H132" s="632">
        <f>IFERROR(MaterialsBoQ[[#This Row],[Total Kg]]/SUM(MaterialsBoQ[Total Kg],MEPBoQ[Kg estimate]),0)</f>
        <v>0</v>
      </c>
      <c r="I132" s="347"/>
    </row>
    <row r="133" spans="2:9" x14ac:dyDescent="0.25">
      <c r="B133" s="348"/>
      <c r="C133" s="348"/>
      <c r="D133" s="351"/>
      <c r="E133" s="352"/>
      <c r="F133" s="614"/>
      <c r="G133" s="631">
        <f>IFERROR(MaterialsBoQ[[#This Row],[Number]]*MaterialsBoQ[[#This Row],[Kg per unit]],"")</f>
        <v>0</v>
      </c>
      <c r="H133" s="632">
        <f>IFERROR(MaterialsBoQ[[#This Row],[Total Kg]]/SUM(MaterialsBoQ[Total Kg],MEPBoQ[Kg estimate]),0)</f>
        <v>0</v>
      </c>
      <c r="I133" s="347"/>
    </row>
    <row r="134" spans="2:9" x14ac:dyDescent="0.25">
      <c r="B134" s="348"/>
      <c r="C134" s="348"/>
      <c r="D134" s="351"/>
      <c r="E134" s="352"/>
      <c r="F134" s="614"/>
      <c r="G134" s="631">
        <f>IFERROR(MaterialsBoQ[[#This Row],[Number]]*MaterialsBoQ[[#This Row],[Kg per unit]],"")</f>
        <v>0</v>
      </c>
      <c r="H134" s="632">
        <f>IFERROR(MaterialsBoQ[[#This Row],[Total Kg]]/SUM(MaterialsBoQ[Total Kg],MEPBoQ[Kg estimate]),0)</f>
        <v>0</v>
      </c>
      <c r="I134" s="347"/>
    </row>
    <row r="135" spans="2:9" x14ac:dyDescent="0.25">
      <c r="B135" s="348"/>
      <c r="C135" s="348"/>
      <c r="D135" s="351"/>
      <c r="E135" s="352"/>
      <c r="F135" s="614"/>
      <c r="G135" s="631">
        <f>IFERROR(MaterialsBoQ[[#This Row],[Number]]*MaterialsBoQ[[#This Row],[Kg per unit]],"")</f>
        <v>0</v>
      </c>
      <c r="H135" s="632">
        <f>IFERROR(MaterialsBoQ[[#This Row],[Total Kg]]/SUM(MaterialsBoQ[Total Kg],MEPBoQ[Kg estimate]),0)</f>
        <v>0</v>
      </c>
      <c r="I135" s="347"/>
    </row>
    <row r="136" spans="2:9" x14ac:dyDescent="0.25">
      <c r="B136" s="348"/>
      <c r="C136" s="348"/>
      <c r="D136" s="614"/>
      <c r="E136" s="352"/>
      <c r="F136" s="614"/>
      <c r="G136" s="631">
        <f>IFERROR(MaterialsBoQ[[#This Row],[Number]]*MaterialsBoQ[[#This Row],[Kg per unit]],"")</f>
        <v>0</v>
      </c>
      <c r="H136" s="632">
        <f>IFERROR(MaterialsBoQ[[#This Row],[Total Kg]]/SUM(MaterialsBoQ[Total Kg],MEPBoQ[Kg estimate]),0)</f>
        <v>0</v>
      </c>
      <c r="I136" s="347"/>
    </row>
    <row r="137" spans="2:9" x14ac:dyDescent="0.25">
      <c r="B137" s="348"/>
      <c r="C137" s="348"/>
      <c r="D137" s="614"/>
      <c r="E137" s="352"/>
      <c r="F137" s="614"/>
      <c r="G137" s="631">
        <f>IFERROR(MaterialsBoQ[[#This Row],[Number]]*MaterialsBoQ[[#This Row],[Kg per unit]],"")</f>
        <v>0</v>
      </c>
      <c r="H137" s="632">
        <f>IFERROR(MaterialsBoQ[[#This Row],[Total Kg]]/SUM(MaterialsBoQ[Total Kg],MEPBoQ[Kg estimate]),0)</f>
        <v>0</v>
      </c>
      <c r="I137" s="347"/>
    </row>
    <row r="138" spans="2:9" x14ac:dyDescent="0.25">
      <c r="B138" s="348"/>
      <c r="C138" s="348"/>
      <c r="D138" s="351"/>
      <c r="E138" s="352"/>
      <c r="F138" s="614"/>
      <c r="G138" s="631">
        <f>IFERROR(MaterialsBoQ[[#This Row],[Number]]*MaterialsBoQ[[#This Row],[Kg per unit]],"")</f>
        <v>0</v>
      </c>
      <c r="H138" s="632">
        <f>IFERROR(MaterialsBoQ[[#This Row],[Total Kg]]/SUM(MaterialsBoQ[Total Kg],MEPBoQ[Kg estimate]),0)</f>
        <v>0</v>
      </c>
      <c r="I138" s="347"/>
    </row>
    <row r="139" spans="2:9" x14ac:dyDescent="0.25">
      <c r="B139" s="348"/>
      <c r="C139" s="348"/>
      <c r="D139" s="351"/>
      <c r="E139" s="352"/>
      <c r="F139" s="614"/>
      <c r="G139" s="631">
        <f>IFERROR(MaterialsBoQ[[#This Row],[Number]]*MaterialsBoQ[[#This Row],[Kg per unit]],"")</f>
        <v>0</v>
      </c>
      <c r="H139" s="632">
        <f>IFERROR(MaterialsBoQ[[#This Row],[Total Kg]]/SUM(MaterialsBoQ[Total Kg],MEPBoQ[Kg estimate]),0)</f>
        <v>0</v>
      </c>
      <c r="I139" s="347"/>
    </row>
    <row r="140" spans="2:9" x14ac:dyDescent="0.25">
      <c r="B140" s="348"/>
      <c r="C140" s="348"/>
      <c r="D140" s="614"/>
      <c r="E140" s="352"/>
      <c r="F140" s="614"/>
      <c r="G140" s="631">
        <f>IFERROR(MaterialsBoQ[[#This Row],[Number]]*MaterialsBoQ[[#This Row],[Kg per unit]],"")</f>
        <v>0</v>
      </c>
      <c r="H140" s="632">
        <f>IFERROR(MaterialsBoQ[[#This Row],[Total Kg]]/SUM(MaterialsBoQ[Total Kg],MEPBoQ[Kg estimate]),0)</f>
        <v>0</v>
      </c>
      <c r="I140" s="347"/>
    </row>
    <row r="141" spans="2:9" x14ac:dyDescent="0.25">
      <c r="B141" s="348"/>
      <c r="C141" s="348"/>
      <c r="D141" s="351"/>
      <c r="E141" s="352"/>
      <c r="F141" s="614"/>
      <c r="G141" s="631">
        <f>IFERROR(MaterialsBoQ[[#This Row],[Number]]*MaterialsBoQ[[#This Row],[Kg per unit]],"")</f>
        <v>0</v>
      </c>
      <c r="H141" s="632">
        <f>IFERROR(MaterialsBoQ[[#This Row],[Total Kg]]/SUM(MaterialsBoQ[Total Kg],MEPBoQ[Kg estimate]),0)</f>
        <v>0</v>
      </c>
      <c r="I141" s="347"/>
    </row>
    <row r="142" spans="2:9" x14ac:dyDescent="0.25">
      <c r="B142" s="348"/>
      <c r="C142" s="348"/>
      <c r="D142" s="351"/>
      <c r="E142" s="352"/>
      <c r="F142" s="614"/>
      <c r="G142" s="631">
        <f>IFERROR(MaterialsBoQ[[#This Row],[Number]]*MaterialsBoQ[[#This Row],[Kg per unit]],"")</f>
        <v>0</v>
      </c>
      <c r="H142" s="632">
        <f>IFERROR(MaterialsBoQ[[#This Row],[Total Kg]]/SUM(MaterialsBoQ[Total Kg],MEPBoQ[Kg estimate]),0)</f>
        <v>0</v>
      </c>
      <c r="I142" s="347"/>
    </row>
    <row r="143" spans="2:9" x14ac:dyDescent="0.25">
      <c r="B143" s="348"/>
      <c r="C143" s="348"/>
      <c r="D143" s="351"/>
      <c r="E143" s="352"/>
      <c r="F143" s="614"/>
      <c r="G143" s="631">
        <f>IFERROR(MaterialsBoQ[[#This Row],[Number]]*MaterialsBoQ[[#This Row],[Kg per unit]],"")</f>
        <v>0</v>
      </c>
      <c r="H143" s="632">
        <f>IFERROR(MaterialsBoQ[[#This Row],[Total Kg]]/SUM(MaterialsBoQ[Total Kg],MEPBoQ[Kg estimate]),0)</f>
        <v>0</v>
      </c>
      <c r="I143" s="347"/>
    </row>
    <row r="144" spans="2:9" x14ac:dyDescent="0.25">
      <c r="B144" s="348"/>
      <c r="C144" s="348"/>
      <c r="D144" s="351"/>
      <c r="E144" s="352"/>
      <c r="F144" s="614"/>
      <c r="G144" s="631">
        <f>IFERROR(MaterialsBoQ[[#This Row],[Number]]*MaterialsBoQ[[#This Row],[Kg per unit]],"")</f>
        <v>0</v>
      </c>
      <c r="H144" s="632">
        <f>IFERROR(MaterialsBoQ[[#This Row],[Total Kg]]/SUM(MaterialsBoQ[Total Kg],MEPBoQ[Kg estimate]),0)</f>
        <v>0</v>
      </c>
      <c r="I144" s="347"/>
    </row>
    <row r="145" spans="2:9" x14ac:dyDescent="0.25">
      <c r="B145" s="348"/>
      <c r="C145" s="348"/>
      <c r="D145" s="614"/>
      <c r="E145" s="352"/>
      <c r="F145" s="614"/>
      <c r="G145" s="631">
        <f>IFERROR(MaterialsBoQ[[#This Row],[Number]]*MaterialsBoQ[[#This Row],[Kg per unit]],"")</f>
        <v>0</v>
      </c>
      <c r="H145" s="632">
        <f>IFERROR(MaterialsBoQ[[#This Row],[Total Kg]]/SUM(MaterialsBoQ[Total Kg],MEPBoQ[Kg estimate]),0)</f>
        <v>0</v>
      </c>
      <c r="I145" s="347"/>
    </row>
    <row r="146" spans="2:9" x14ac:dyDescent="0.25">
      <c r="B146" s="348"/>
      <c r="C146" s="348"/>
      <c r="D146" s="351"/>
      <c r="E146" s="352"/>
      <c r="F146" s="614"/>
      <c r="G146" s="631">
        <f>IFERROR(MaterialsBoQ[[#This Row],[Number]]*MaterialsBoQ[[#This Row],[Kg per unit]],"")</f>
        <v>0</v>
      </c>
      <c r="H146" s="632">
        <f>IFERROR(MaterialsBoQ[[#This Row],[Total Kg]]/SUM(MaterialsBoQ[Total Kg],MEPBoQ[Kg estimate]),0)</f>
        <v>0</v>
      </c>
      <c r="I146" s="347"/>
    </row>
    <row r="147" spans="2:9" x14ac:dyDescent="0.25">
      <c r="B147" s="348"/>
      <c r="C147" s="348"/>
      <c r="D147" s="351"/>
      <c r="E147" s="352"/>
      <c r="F147" s="614"/>
      <c r="G147" s="631">
        <f>IFERROR(MaterialsBoQ[[#This Row],[Number]]*MaterialsBoQ[[#This Row],[Kg per unit]],"")</f>
        <v>0</v>
      </c>
      <c r="H147" s="632">
        <f>IFERROR(MaterialsBoQ[[#This Row],[Total Kg]]/SUM(MaterialsBoQ[Total Kg],MEPBoQ[Kg estimate]),0)</f>
        <v>0</v>
      </c>
      <c r="I147" s="347"/>
    </row>
    <row r="148" spans="2:9" x14ac:dyDescent="0.25">
      <c r="B148" s="348"/>
      <c r="C148" s="348"/>
      <c r="D148" s="351"/>
      <c r="E148" s="352"/>
      <c r="F148" s="614"/>
      <c r="G148" s="631">
        <f>IFERROR(MaterialsBoQ[[#This Row],[Number]]*MaterialsBoQ[[#This Row],[Kg per unit]],"")</f>
        <v>0</v>
      </c>
      <c r="H148" s="632">
        <f>IFERROR(MaterialsBoQ[[#This Row],[Total Kg]]/SUM(MaterialsBoQ[Total Kg],MEPBoQ[Kg estimate]),0)</f>
        <v>0</v>
      </c>
      <c r="I148" s="347"/>
    </row>
    <row r="149" spans="2:9" x14ac:dyDescent="0.25">
      <c r="B149" s="348"/>
      <c r="C149" s="348"/>
      <c r="D149" s="614"/>
      <c r="E149" s="352"/>
      <c r="F149" s="614"/>
      <c r="G149" s="631">
        <f>IFERROR(MaterialsBoQ[[#This Row],[Number]]*MaterialsBoQ[[#This Row],[Kg per unit]],"")</f>
        <v>0</v>
      </c>
      <c r="H149" s="632">
        <f>IFERROR(MaterialsBoQ[[#This Row],[Total Kg]]/SUM(MaterialsBoQ[Total Kg],MEPBoQ[Kg estimate]),0)</f>
        <v>0</v>
      </c>
      <c r="I149" s="347"/>
    </row>
    <row r="150" spans="2:9" x14ac:dyDescent="0.25">
      <c r="B150" s="348"/>
      <c r="C150" s="348"/>
      <c r="D150" s="614"/>
      <c r="E150" s="352"/>
      <c r="F150" s="614"/>
      <c r="G150" s="631">
        <f>IFERROR(MaterialsBoQ[[#This Row],[Number]]*MaterialsBoQ[[#This Row],[Kg per unit]],"")</f>
        <v>0</v>
      </c>
      <c r="H150" s="632">
        <f>IFERROR(MaterialsBoQ[[#This Row],[Total Kg]]/SUM(MaterialsBoQ[Total Kg],MEPBoQ[Kg estimate]),0)</f>
        <v>0</v>
      </c>
      <c r="I150" s="347"/>
    </row>
    <row r="151" spans="2:9" x14ac:dyDescent="0.25">
      <c r="B151" s="348"/>
      <c r="C151" s="348"/>
      <c r="D151" s="351"/>
      <c r="E151" s="352"/>
      <c r="F151" s="351"/>
      <c r="G151" s="631">
        <f>IFERROR(MaterialsBoQ[[#This Row],[Number]]*MaterialsBoQ[[#This Row],[Kg per unit]],"")</f>
        <v>0</v>
      </c>
      <c r="H151" s="632">
        <f>IFERROR(MaterialsBoQ[[#This Row],[Total Kg]]/SUM(MaterialsBoQ[Total Kg],MEPBoQ[Kg estimate]),0)</f>
        <v>0</v>
      </c>
      <c r="I151" s="347"/>
    </row>
    <row r="152" spans="2:9" x14ac:dyDescent="0.25">
      <c r="B152" s="348"/>
      <c r="C152" s="348"/>
      <c r="D152" s="351"/>
      <c r="E152" s="352"/>
      <c r="F152" s="351"/>
      <c r="G152" s="631">
        <f>IFERROR(MaterialsBoQ[[#This Row],[Number]]*MaterialsBoQ[[#This Row],[Kg per unit]],"")</f>
        <v>0</v>
      </c>
      <c r="H152" s="632">
        <f>IFERROR(MaterialsBoQ[[#This Row],[Total Kg]]/SUM(MaterialsBoQ[Total Kg],MEPBoQ[Kg estimate]),0)</f>
        <v>0</v>
      </c>
      <c r="I152" s="347"/>
    </row>
    <row r="153" spans="2:9" x14ac:dyDescent="0.25">
      <c r="B153" s="348"/>
      <c r="C153" s="348"/>
      <c r="D153" s="351"/>
      <c r="E153" s="352"/>
      <c r="F153" s="351"/>
      <c r="G153" s="631">
        <f>IFERROR(MaterialsBoQ[[#This Row],[Number]]*MaterialsBoQ[[#This Row],[Kg per unit]],"")</f>
        <v>0</v>
      </c>
      <c r="H153" s="632">
        <f>IFERROR(MaterialsBoQ[[#This Row],[Total Kg]]/SUM(MaterialsBoQ[Total Kg],MEPBoQ[Kg estimate]),0)</f>
        <v>0</v>
      </c>
      <c r="I153" s="347"/>
    </row>
    <row r="154" spans="2:9" x14ac:dyDescent="0.25">
      <c r="B154" s="348"/>
      <c r="C154" s="348"/>
      <c r="D154" s="351"/>
      <c r="E154" s="352"/>
      <c r="F154" s="351"/>
      <c r="G154" s="631">
        <f>IFERROR(MaterialsBoQ[[#This Row],[Number]]*MaterialsBoQ[[#This Row],[Kg per unit]],"")</f>
        <v>0</v>
      </c>
      <c r="H154" s="632">
        <f>IFERROR(MaterialsBoQ[[#This Row],[Total Kg]]/SUM(MaterialsBoQ[Total Kg],MEPBoQ[Kg estimate]),0)</f>
        <v>0</v>
      </c>
      <c r="I154" s="347"/>
    </row>
    <row r="155" spans="2:9" x14ac:dyDescent="0.25">
      <c r="B155" s="348"/>
      <c r="C155" s="348"/>
      <c r="D155" s="351"/>
      <c r="E155" s="352"/>
      <c r="F155" s="614"/>
      <c r="G155" s="631">
        <f>IFERROR(MaterialsBoQ[[#This Row],[Number]]*MaterialsBoQ[[#This Row],[Kg per unit]],"")</f>
        <v>0</v>
      </c>
      <c r="H155" s="632">
        <f>IFERROR(MaterialsBoQ[[#This Row],[Total Kg]]/SUM(MaterialsBoQ[Total Kg],MEPBoQ[Kg estimate]),0)</f>
        <v>0</v>
      </c>
      <c r="I155" s="347"/>
    </row>
    <row r="156" spans="2:9" x14ac:dyDescent="0.25">
      <c r="B156" s="348"/>
      <c r="C156" s="348"/>
      <c r="D156" s="614"/>
      <c r="E156" s="352"/>
      <c r="F156" s="351"/>
      <c r="G156" s="631">
        <f>IFERROR(MaterialsBoQ[[#This Row],[Number]]*MaterialsBoQ[[#This Row],[Kg per unit]],"")</f>
        <v>0</v>
      </c>
      <c r="H156" s="632">
        <f>IFERROR(MaterialsBoQ[[#This Row],[Total Kg]]/SUM(MaterialsBoQ[Total Kg],MEPBoQ[Kg estimate]),0)</f>
        <v>0</v>
      </c>
      <c r="I156" s="347"/>
    </row>
    <row r="157" spans="2:9" x14ac:dyDescent="0.25">
      <c r="B157" s="348"/>
      <c r="C157" s="348"/>
      <c r="D157" s="351"/>
      <c r="E157" s="352"/>
      <c r="F157" s="614"/>
      <c r="G157" s="631">
        <f>IFERROR(MaterialsBoQ[[#This Row],[Number]]*MaterialsBoQ[[#This Row],[Kg per unit]],"")</f>
        <v>0</v>
      </c>
      <c r="H157" s="632">
        <f>IFERROR(MaterialsBoQ[[#This Row],[Total Kg]]/SUM(MaterialsBoQ[Total Kg],MEPBoQ[Kg estimate]),0)</f>
        <v>0</v>
      </c>
      <c r="I157" s="347"/>
    </row>
    <row r="158" spans="2:9" x14ac:dyDescent="0.25">
      <c r="B158" s="348"/>
      <c r="C158" s="348"/>
      <c r="D158" s="351"/>
      <c r="E158" s="352"/>
      <c r="F158" s="614"/>
      <c r="G158" s="631">
        <f>IFERROR(MaterialsBoQ[[#This Row],[Number]]*MaterialsBoQ[[#This Row],[Kg per unit]],"")</f>
        <v>0</v>
      </c>
      <c r="H158" s="632">
        <f>IFERROR(MaterialsBoQ[[#This Row],[Total Kg]]/SUM(MaterialsBoQ[Total Kg],MEPBoQ[Kg estimate]),0)</f>
        <v>0</v>
      </c>
      <c r="I158" s="347"/>
    </row>
    <row r="159" spans="2:9" x14ac:dyDescent="0.25">
      <c r="B159" s="348"/>
      <c r="C159" s="348"/>
      <c r="D159" s="351"/>
      <c r="E159" s="352"/>
      <c r="F159" s="614"/>
      <c r="G159" s="631">
        <f>IFERROR(MaterialsBoQ[[#This Row],[Number]]*MaterialsBoQ[[#This Row],[Kg per unit]],"")</f>
        <v>0</v>
      </c>
      <c r="H159" s="632">
        <f>IFERROR(MaterialsBoQ[[#This Row],[Total Kg]]/SUM(MaterialsBoQ[Total Kg],MEPBoQ[Kg estimate]),0)</f>
        <v>0</v>
      </c>
      <c r="I159" s="347"/>
    </row>
    <row r="160" spans="2:9" x14ac:dyDescent="0.25">
      <c r="B160" s="348"/>
      <c r="C160" s="348"/>
      <c r="D160" s="614"/>
      <c r="E160" s="352"/>
      <c r="F160" s="614"/>
      <c r="G160" s="631">
        <f>IFERROR(MaterialsBoQ[[#This Row],[Number]]*MaterialsBoQ[[#This Row],[Kg per unit]],"")</f>
        <v>0</v>
      </c>
      <c r="H160" s="632">
        <f>IFERROR(MaterialsBoQ[[#This Row],[Total Kg]]/SUM(MaterialsBoQ[Total Kg],MEPBoQ[Kg estimate]),0)</f>
        <v>0</v>
      </c>
      <c r="I160" s="347"/>
    </row>
    <row r="161" spans="2:9" x14ac:dyDescent="0.25">
      <c r="B161" s="348"/>
      <c r="C161" s="348"/>
      <c r="D161" s="614"/>
      <c r="E161" s="352"/>
      <c r="F161" s="614"/>
      <c r="G161" s="631">
        <f>IFERROR(MaterialsBoQ[[#This Row],[Number]]*MaterialsBoQ[[#This Row],[Kg per unit]],"")</f>
        <v>0</v>
      </c>
      <c r="H161" s="632">
        <f>IFERROR(MaterialsBoQ[[#This Row],[Total Kg]]/SUM(MaterialsBoQ[Total Kg],MEPBoQ[Kg estimate]),0)</f>
        <v>0</v>
      </c>
      <c r="I161" s="347"/>
    </row>
    <row r="162" spans="2:9" x14ac:dyDescent="0.25">
      <c r="B162" s="348"/>
      <c r="C162" s="348"/>
      <c r="D162" s="351"/>
      <c r="E162" s="352"/>
      <c r="F162" s="614"/>
      <c r="G162" s="631">
        <f>IFERROR(MaterialsBoQ[[#This Row],[Number]]*MaterialsBoQ[[#This Row],[Kg per unit]],"")</f>
        <v>0</v>
      </c>
      <c r="H162" s="632">
        <f>IFERROR(MaterialsBoQ[[#This Row],[Total Kg]]/SUM(MaterialsBoQ[Total Kg],MEPBoQ[Kg estimate]),0)</f>
        <v>0</v>
      </c>
      <c r="I162" s="347"/>
    </row>
    <row r="163" spans="2:9" x14ac:dyDescent="0.25">
      <c r="B163" s="348"/>
      <c r="C163" s="348"/>
      <c r="D163" s="351"/>
      <c r="E163" s="352"/>
      <c r="F163" s="614"/>
      <c r="G163" s="631">
        <f>IFERROR(MaterialsBoQ[[#This Row],[Number]]*MaterialsBoQ[[#This Row],[Kg per unit]],"")</f>
        <v>0</v>
      </c>
      <c r="H163" s="632">
        <f>IFERROR(MaterialsBoQ[[#This Row],[Total Kg]]/SUM(MaterialsBoQ[Total Kg],MEPBoQ[Kg estimate]),0)</f>
        <v>0</v>
      </c>
      <c r="I163" s="347"/>
    </row>
    <row r="164" spans="2:9" x14ac:dyDescent="0.25">
      <c r="B164" s="348"/>
      <c r="C164" s="348"/>
      <c r="D164" s="351"/>
      <c r="E164" s="352"/>
      <c r="F164" s="614"/>
      <c r="G164" s="631">
        <f>IFERROR(MaterialsBoQ[[#This Row],[Number]]*MaterialsBoQ[[#This Row],[Kg per unit]],"")</f>
        <v>0</v>
      </c>
      <c r="H164" s="632">
        <f>IFERROR(MaterialsBoQ[[#This Row],[Total Kg]]/SUM(MaterialsBoQ[Total Kg],MEPBoQ[Kg estimate]),0)</f>
        <v>0</v>
      </c>
      <c r="I164" s="347"/>
    </row>
    <row r="165" spans="2:9" x14ac:dyDescent="0.25">
      <c r="B165" s="348"/>
      <c r="C165" s="348"/>
      <c r="D165" s="351"/>
      <c r="E165" s="352"/>
      <c r="F165" s="614"/>
      <c r="G165" s="631">
        <f>IFERROR(MaterialsBoQ[[#This Row],[Number]]*MaterialsBoQ[[#This Row],[Kg per unit]],"")</f>
        <v>0</v>
      </c>
      <c r="H165" s="632">
        <f>IFERROR(MaterialsBoQ[[#This Row],[Total Kg]]/SUM(MaterialsBoQ[Total Kg],MEPBoQ[Kg estimate]),0)</f>
        <v>0</v>
      </c>
      <c r="I165" s="347"/>
    </row>
    <row r="166" spans="2:9" x14ac:dyDescent="0.25">
      <c r="B166" s="348"/>
      <c r="C166" s="348"/>
      <c r="D166" s="351"/>
      <c r="E166" s="352"/>
      <c r="F166" s="614"/>
      <c r="G166" s="631">
        <f>IFERROR(MaterialsBoQ[[#This Row],[Number]]*MaterialsBoQ[[#This Row],[Kg per unit]],"")</f>
        <v>0</v>
      </c>
      <c r="H166" s="632">
        <f>IFERROR(MaterialsBoQ[[#This Row],[Total Kg]]/SUM(MaterialsBoQ[Total Kg],MEPBoQ[Kg estimate]),0)</f>
        <v>0</v>
      </c>
      <c r="I166" s="347"/>
    </row>
    <row r="167" spans="2:9" x14ac:dyDescent="0.25">
      <c r="B167" s="348"/>
      <c r="C167" s="348"/>
      <c r="D167" s="351"/>
      <c r="E167" s="352"/>
      <c r="F167" s="614"/>
      <c r="G167" s="631">
        <f>IFERROR(MaterialsBoQ[[#This Row],[Number]]*MaterialsBoQ[[#This Row],[Kg per unit]],"")</f>
        <v>0</v>
      </c>
      <c r="H167" s="632">
        <f>IFERROR(MaterialsBoQ[[#This Row],[Total Kg]]/SUM(MaterialsBoQ[Total Kg],MEPBoQ[Kg estimate]),0)</f>
        <v>0</v>
      </c>
      <c r="I167" s="347"/>
    </row>
    <row r="168" spans="2:9" x14ac:dyDescent="0.25">
      <c r="B168" s="348"/>
      <c r="C168" s="348"/>
      <c r="D168" s="351"/>
      <c r="E168" s="352"/>
      <c r="F168" s="614"/>
      <c r="G168" s="631">
        <f>IFERROR(MaterialsBoQ[[#This Row],[Number]]*MaterialsBoQ[[#This Row],[Kg per unit]],"")</f>
        <v>0</v>
      </c>
      <c r="H168" s="632">
        <f>IFERROR(MaterialsBoQ[[#This Row],[Total Kg]]/SUM(MaterialsBoQ[Total Kg],MEPBoQ[Kg estimate]),0)</f>
        <v>0</v>
      </c>
      <c r="I168" s="347"/>
    </row>
    <row r="169" spans="2:9" x14ac:dyDescent="0.25">
      <c r="B169" s="348"/>
      <c r="C169" s="348"/>
      <c r="D169" s="614"/>
      <c r="E169" s="352"/>
      <c r="F169" s="614"/>
      <c r="G169" s="631">
        <f>IFERROR(MaterialsBoQ[[#This Row],[Number]]*MaterialsBoQ[[#This Row],[Kg per unit]],"")</f>
        <v>0</v>
      </c>
      <c r="H169" s="632">
        <f>IFERROR(MaterialsBoQ[[#This Row],[Total Kg]]/SUM(MaterialsBoQ[Total Kg],MEPBoQ[Kg estimate]),0)</f>
        <v>0</v>
      </c>
      <c r="I169" s="347"/>
    </row>
    <row r="170" spans="2:9" x14ac:dyDescent="0.25">
      <c r="B170" s="348"/>
      <c r="C170" s="348"/>
      <c r="D170" s="351"/>
      <c r="E170" s="352"/>
      <c r="F170" s="614"/>
      <c r="G170" s="631">
        <f>IFERROR(MaterialsBoQ[[#This Row],[Number]]*MaterialsBoQ[[#This Row],[Kg per unit]],"")</f>
        <v>0</v>
      </c>
      <c r="H170" s="632">
        <f>IFERROR(MaterialsBoQ[[#This Row],[Total Kg]]/SUM(MaterialsBoQ[Total Kg],MEPBoQ[Kg estimate]),0)</f>
        <v>0</v>
      </c>
      <c r="I170" s="347"/>
    </row>
    <row r="171" spans="2:9" x14ac:dyDescent="0.25">
      <c r="B171" s="348"/>
      <c r="C171" s="348"/>
      <c r="D171" s="351"/>
      <c r="E171" s="352"/>
      <c r="F171" s="351"/>
      <c r="G171" s="631">
        <f>IFERROR(MaterialsBoQ[[#This Row],[Number]]*MaterialsBoQ[[#This Row],[Kg per unit]],"")</f>
        <v>0</v>
      </c>
      <c r="H171" s="632">
        <f>IFERROR(MaterialsBoQ[[#This Row],[Total Kg]]/SUM(MaterialsBoQ[Total Kg],MEPBoQ[Kg estimate]),0)</f>
        <v>0</v>
      </c>
      <c r="I171" s="347"/>
    </row>
    <row r="172" spans="2:9" x14ac:dyDescent="0.25">
      <c r="B172" s="348"/>
      <c r="C172" s="348"/>
      <c r="D172" s="351"/>
      <c r="E172" s="352"/>
      <c r="F172" s="351"/>
      <c r="G172" s="631">
        <f>IFERROR(MaterialsBoQ[[#This Row],[Number]]*MaterialsBoQ[[#This Row],[Kg per unit]],"")</f>
        <v>0</v>
      </c>
      <c r="H172" s="632">
        <f>IFERROR(MaterialsBoQ[[#This Row],[Total Kg]]/SUM(MaterialsBoQ[Total Kg],MEPBoQ[Kg estimate]),0)</f>
        <v>0</v>
      </c>
      <c r="I172" s="347"/>
    </row>
    <row r="173" spans="2:9" x14ac:dyDescent="0.25">
      <c r="B173" s="348"/>
      <c r="C173" s="348"/>
      <c r="D173" s="351"/>
      <c r="E173" s="352"/>
      <c r="F173" s="614"/>
      <c r="G173" s="631">
        <f>IFERROR(MaterialsBoQ[[#This Row],[Number]]*MaterialsBoQ[[#This Row],[Kg per unit]],"")</f>
        <v>0</v>
      </c>
      <c r="H173" s="632">
        <f>IFERROR(MaterialsBoQ[[#This Row],[Total Kg]]/SUM(MaterialsBoQ[Total Kg],MEPBoQ[Kg estimate]),0)</f>
        <v>0</v>
      </c>
      <c r="I173" s="347"/>
    </row>
    <row r="174" spans="2:9" x14ac:dyDescent="0.25">
      <c r="B174" s="348"/>
      <c r="C174" s="348"/>
      <c r="D174" s="351"/>
      <c r="E174" s="352"/>
      <c r="F174" s="351"/>
      <c r="G174" s="631">
        <f>IFERROR(MaterialsBoQ[[#This Row],[Number]]*MaterialsBoQ[[#This Row],[Kg per unit]],"")</f>
        <v>0</v>
      </c>
      <c r="H174" s="632">
        <f>IFERROR(MaterialsBoQ[[#This Row],[Total Kg]]/SUM(MaterialsBoQ[Total Kg],MEPBoQ[Kg estimate]),0)</f>
        <v>0</v>
      </c>
      <c r="I174" s="347"/>
    </row>
    <row r="175" spans="2:9" x14ac:dyDescent="0.25">
      <c r="B175" s="348"/>
      <c r="C175" s="348"/>
      <c r="D175" s="351"/>
      <c r="E175" s="352"/>
      <c r="F175" s="614"/>
      <c r="G175" s="631">
        <f>IFERROR(MaterialsBoQ[[#This Row],[Number]]*MaterialsBoQ[[#This Row],[Kg per unit]],"")</f>
        <v>0</v>
      </c>
      <c r="H175" s="632">
        <f>IFERROR(MaterialsBoQ[[#This Row],[Total Kg]]/SUM(MaterialsBoQ[Total Kg],MEPBoQ[Kg estimate]),0)</f>
        <v>0</v>
      </c>
      <c r="I175" s="347"/>
    </row>
    <row r="176" spans="2:9" x14ac:dyDescent="0.25">
      <c r="B176" s="348"/>
      <c r="C176" s="348"/>
      <c r="D176" s="614"/>
      <c r="E176" s="352"/>
      <c r="F176" s="614"/>
      <c r="G176" s="631">
        <f>IFERROR(MaterialsBoQ[[#This Row],[Number]]*MaterialsBoQ[[#This Row],[Kg per unit]],"")</f>
        <v>0</v>
      </c>
      <c r="H176" s="632">
        <f>IFERROR(MaterialsBoQ[[#This Row],[Total Kg]]/SUM(MaterialsBoQ[Total Kg],MEPBoQ[Kg estimate]),0)</f>
        <v>0</v>
      </c>
      <c r="I176" s="347"/>
    </row>
    <row r="177" spans="2:9" x14ac:dyDescent="0.25">
      <c r="B177" s="348"/>
      <c r="C177" s="348"/>
      <c r="D177" s="614"/>
      <c r="E177" s="352"/>
      <c r="F177" s="614"/>
      <c r="G177" s="631">
        <f>IFERROR(MaterialsBoQ[[#This Row],[Number]]*MaterialsBoQ[[#This Row],[Kg per unit]],"")</f>
        <v>0</v>
      </c>
      <c r="H177" s="632">
        <f>IFERROR(MaterialsBoQ[[#This Row],[Total Kg]]/SUM(MaterialsBoQ[Total Kg],MEPBoQ[Kg estimate]),0)</f>
        <v>0</v>
      </c>
      <c r="I177" s="347"/>
    </row>
    <row r="178" spans="2:9" x14ac:dyDescent="0.25">
      <c r="B178" s="348"/>
      <c r="C178" s="348"/>
      <c r="D178" s="351"/>
      <c r="E178" s="352"/>
      <c r="F178" s="614"/>
      <c r="G178" s="631">
        <f>IFERROR(MaterialsBoQ[[#This Row],[Number]]*MaterialsBoQ[[#This Row],[Kg per unit]],"")</f>
        <v>0</v>
      </c>
      <c r="H178" s="632">
        <f>IFERROR(MaterialsBoQ[[#This Row],[Total Kg]]/SUM(MaterialsBoQ[Total Kg],MEPBoQ[Kg estimate]),0)</f>
        <v>0</v>
      </c>
      <c r="I178" s="347"/>
    </row>
    <row r="179" spans="2:9" x14ac:dyDescent="0.25">
      <c r="B179" s="348"/>
      <c r="C179" s="348"/>
      <c r="D179" s="351"/>
      <c r="E179" s="352"/>
      <c r="F179" s="614"/>
      <c r="G179" s="631">
        <f>IFERROR(MaterialsBoQ[[#This Row],[Number]]*MaterialsBoQ[[#This Row],[Kg per unit]],"")</f>
        <v>0</v>
      </c>
      <c r="H179" s="632">
        <f>IFERROR(MaterialsBoQ[[#This Row],[Total Kg]]/SUM(MaterialsBoQ[Total Kg],MEPBoQ[Kg estimate]),0)</f>
        <v>0</v>
      </c>
      <c r="I179" s="347"/>
    </row>
    <row r="180" spans="2:9" x14ac:dyDescent="0.25">
      <c r="B180" s="348"/>
      <c r="C180" s="348"/>
      <c r="D180" s="351"/>
      <c r="E180" s="352"/>
      <c r="F180" s="614"/>
      <c r="G180" s="631">
        <f>IFERROR(MaterialsBoQ[[#This Row],[Number]]*MaterialsBoQ[[#This Row],[Kg per unit]],"")</f>
        <v>0</v>
      </c>
      <c r="H180" s="632">
        <f>IFERROR(MaterialsBoQ[[#This Row],[Total Kg]]/SUM(MaterialsBoQ[Total Kg],MEPBoQ[Kg estimate]),0)</f>
        <v>0</v>
      </c>
      <c r="I180" s="347"/>
    </row>
    <row r="181" spans="2:9" x14ac:dyDescent="0.25">
      <c r="B181" s="348"/>
      <c r="C181" s="348"/>
      <c r="D181" s="351"/>
      <c r="E181" s="352"/>
      <c r="F181" s="614"/>
      <c r="G181" s="631">
        <f>IFERROR(MaterialsBoQ[[#This Row],[Number]]*MaterialsBoQ[[#This Row],[Kg per unit]],"")</f>
        <v>0</v>
      </c>
      <c r="H181" s="632">
        <f>IFERROR(MaterialsBoQ[[#This Row],[Total Kg]]/SUM(MaterialsBoQ[Total Kg],MEPBoQ[Kg estimate]),0)</f>
        <v>0</v>
      </c>
      <c r="I181" s="347"/>
    </row>
    <row r="182" spans="2:9" x14ac:dyDescent="0.25">
      <c r="B182" s="348"/>
      <c r="C182" s="348"/>
      <c r="D182" s="351"/>
      <c r="E182" s="352"/>
      <c r="F182" s="614"/>
      <c r="G182" s="631">
        <f>IFERROR(MaterialsBoQ[[#This Row],[Number]]*MaterialsBoQ[[#This Row],[Kg per unit]],"")</f>
        <v>0</v>
      </c>
      <c r="H182" s="632">
        <f>IFERROR(MaterialsBoQ[[#This Row],[Total Kg]]/SUM(MaterialsBoQ[Total Kg],MEPBoQ[Kg estimate]),0)</f>
        <v>0</v>
      </c>
      <c r="I182" s="347"/>
    </row>
    <row r="183" spans="2:9" x14ac:dyDescent="0.25">
      <c r="B183" s="348"/>
      <c r="C183" s="348"/>
      <c r="D183" s="351"/>
      <c r="E183" s="352"/>
      <c r="F183" s="614"/>
      <c r="G183" s="631">
        <f>IFERROR(MaterialsBoQ[[#This Row],[Number]]*MaterialsBoQ[[#This Row],[Kg per unit]],"")</f>
        <v>0</v>
      </c>
      <c r="H183" s="632">
        <f>IFERROR(MaterialsBoQ[[#This Row],[Total Kg]]/SUM(MaterialsBoQ[Total Kg],MEPBoQ[Kg estimate]),0)</f>
        <v>0</v>
      </c>
      <c r="I183" s="347"/>
    </row>
    <row r="184" spans="2:9" x14ac:dyDescent="0.25">
      <c r="B184" s="348"/>
      <c r="C184" s="348"/>
      <c r="D184" s="351"/>
      <c r="E184" s="352"/>
      <c r="F184" s="614"/>
      <c r="G184" s="631">
        <f>IFERROR(MaterialsBoQ[[#This Row],[Number]]*MaterialsBoQ[[#This Row],[Kg per unit]],"")</f>
        <v>0</v>
      </c>
      <c r="H184" s="632">
        <f>IFERROR(MaterialsBoQ[[#This Row],[Total Kg]]/SUM(MaterialsBoQ[Total Kg],MEPBoQ[Kg estimate]),0)</f>
        <v>0</v>
      </c>
      <c r="I184" s="347"/>
    </row>
    <row r="185" spans="2:9" x14ac:dyDescent="0.25">
      <c r="B185" s="348"/>
      <c r="C185" s="348"/>
      <c r="D185" s="351"/>
      <c r="E185" s="352"/>
      <c r="F185" s="614"/>
      <c r="G185" s="631">
        <f>IFERROR(MaterialsBoQ[[#This Row],[Number]]*MaterialsBoQ[[#This Row],[Kg per unit]],"")</f>
        <v>0</v>
      </c>
      <c r="H185" s="632">
        <f>IFERROR(MaterialsBoQ[[#This Row],[Total Kg]]/SUM(MaterialsBoQ[Total Kg],MEPBoQ[Kg estimate]),0)</f>
        <v>0</v>
      </c>
      <c r="I185" s="347"/>
    </row>
    <row r="186" spans="2:9" x14ac:dyDescent="0.25">
      <c r="B186" s="348"/>
      <c r="C186" s="348"/>
      <c r="D186" s="614"/>
      <c r="E186" s="352"/>
      <c r="F186" s="614"/>
      <c r="G186" s="631">
        <f>IFERROR(MaterialsBoQ[[#This Row],[Number]]*MaterialsBoQ[[#This Row],[Kg per unit]],"")</f>
        <v>0</v>
      </c>
      <c r="H186" s="632">
        <f>IFERROR(MaterialsBoQ[[#This Row],[Total Kg]]/SUM(MaterialsBoQ[Total Kg],MEPBoQ[Kg estimate]),0)</f>
        <v>0</v>
      </c>
      <c r="I186" s="347"/>
    </row>
    <row r="187" spans="2:9" x14ac:dyDescent="0.25">
      <c r="B187" s="348"/>
      <c r="C187" s="348"/>
      <c r="D187" s="614"/>
      <c r="E187" s="352"/>
      <c r="F187" s="614"/>
      <c r="G187" s="631">
        <f>IFERROR(MaterialsBoQ[[#This Row],[Number]]*MaterialsBoQ[[#This Row],[Kg per unit]],"")</f>
        <v>0</v>
      </c>
      <c r="H187" s="632">
        <f>IFERROR(MaterialsBoQ[[#This Row],[Total Kg]]/SUM(MaterialsBoQ[Total Kg],MEPBoQ[Kg estimate]),0)</f>
        <v>0</v>
      </c>
      <c r="I187" s="347"/>
    </row>
    <row r="188" spans="2:9" x14ac:dyDescent="0.25">
      <c r="B188" s="348"/>
      <c r="C188" s="348"/>
      <c r="D188" s="614"/>
      <c r="E188" s="352"/>
      <c r="F188" s="614"/>
      <c r="G188" s="631">
        <f>IFERROR(MaterialsBoQ[[#This Row],[Number]]*MaterialsBoQ[[#This Row],[Kg per unit]],"")</f>
        <v>0</v>
      </c>
      <c r="H188" s="632">
        <f>IFERROR(MaterialsBoQ[[#This Row],[Total Kg]]/SUM(MaterialsBoQ[Total Kg],MEPBoQ[Kg estimate]),0)</f>
        <v>0</v>
      </c>
      <c r="I188" s="347"/>
    </row>
    <row r="189" spans="2:9" x14ac:dyDescent="0.25">
      <c r="B189" s="348"/>
      <c r="C189" s="348"/>
      <c r="D189" s="614"/>
      <c r="E189" s="352"/>
      <c r="F189" s="351"/>
      <c r="G189" s="631">
        <f>IFERROR(MaterialsBoQ[[#This Row],[Number]]*MaterialsBoQ[[#This Row],[Kg per unit]],"")</f>
        <v>0</v>
      </c>
      <c r="H189" s="632">
        <f>IFERROR(MaterialsBoQ[[#This Row],[Total Kg]]/SUM(MaterialsBoQ[Total Kg],MEPBoQ[Kg estimate]),0)</f>
        <v>0</v>
      </c>
      <c r="I189" s="347"/>
    </row>
    <row r="190" spans="2:9" x14ac:dyDescent="0.25">
      <c r="B190" s="348"/>
      <c r="C190" s="348"/>
      <c r="D190" s="351"/>
      <c r="E190" s="352"/>
      <c r="F190" s="614"/>
      <c r="G190" s="631">
        <f>IFERROR(MaterialsBoQ[[#This Row],[Number]]*MaterialsBoQ[[#This Row],[Kg per unit]],"")</f>
        <v>0</v>
      </c>
      <c r="H190" s="632">
        <f>IFERROR(MaterialsBoQ[[#This Row],[Total Kg]]/SUM(MaterialsBoQ[Total Kg],MEPBoQ[Kg estimate]),0)</f>
        <v>0</v>
      </c>
      <c r="I190" s="347"/>
    </row>
    <row r="191" spans="2:9" x14ac:dyDescent="0.25">
      <c r="B191" s="348"/>
      <c r="C191" s="348"/>
      <c r="D191" s="614"/>
      <c r="E191" s="352"/>
      <c r="F191" s="614"/>
      <c r="G191" s="631">
        <f>IFERROR(MaterialsBoQ[[#This Row],[Number]]*MaterialsBoQ[[#This Row],[Kg per unit]],"")</f>
        <v>0</v>
      </c>
      <c r="H191" s="632">
        <f>IFERROR(MaterialsBoQ[[#This Row],[Total Kg]]/SUM(MaterialsBoQ[Total Kg],MEPBoQ[Kg estimate]),0)</f>
        <v>0</v>
      </c>
      <c r="I191" s="347"/>
    </row>
    <row r="192" spans="2:9" x14ac:dyDescent="0.25">
      <c r="B192" s="348"/>
      <c r="C192" s="348"/>
      <c r="D192" s="351"/>
      <c r="E192" s="352"/>
      <c r="F192" s="614"/>
      <c r="G192" s="631">
        <f>IFERROR(MaterialsBoQ[[#This Row],[Number]]*MaterialsBoQ[[#This Row],[Kg per unit]],"")</f>
        <v>0</v>
      </c>
      <c r="H192" s="632">
        <f>IFERROR(MaterialsBoQ[[#This Row],[Total Kg]]/SUM(MaterialsBoQ[Total Kg],MEPBoQ[Kg estimate]),0)</f>
        <v>0</v>
      </c>
      <c r="I192" s="347"/>
    </row>
    <row r="193" spans="2:9" x14ac:dyDescent="0.25">
      <c r="B193" s="348"/>
      <c r="C193" s="348"/>
      <c r="D193" s="351"/>
      <c r="E193" s="352"/>
      <c r="F193" s="351"/>
      <c r="G193" s="631">
        <f>IFERROR(MaterialsBoQ[[#This Row],[Number]]*MaterialsBoQ[[#This Row],[Kg per unit]],"")</f>
        <v>0</v>
      </c>
      <c r="H193" s="632">
        <f>IFERROR(MaterialsBoQ[[#This Row],[Total Kg]]/SUM(MaterialsBoQ[Total Kg],MEPBoQ[Kg estimate]),0)</f>
        <v>0</v>
      </c>
      <c r="I193" s="347"/>
    </row>
    <row r="194" spans="2:9" x14ac:dyDescent="0.25">
      <c r="B194" s="348"/>
      <c r="C194" s="348"/>
      <c r="D194" s="351"/>
      <c r="E194" s="352"/>
      <c r="F194" s="614"/>
      <c r="G194" s="631">
        <f>IFERROR(MaterialsBoQ[[#This Row],[Number]]*MaterialsBoQ[[#This Row],[Kg per unit]],"")</f>
        <v>0</v>
      </c>
      <c r="H194" s="632">
        <f>IFERROR(MaterialsBoQ[[#This Row],[Total Kg]]/SUM(MaterialsBoQ[Total Kg],MEPBoQ[Kg estimate]),0)</f>
        <v>0</v>
      </c>
      <c r="I194" s="347"/>
    </row>
    <row r="195" spans="2:9" x14ac:dyDescent="0.25">
      <c r="B195" s="348"/>
      <c r="C195" s="348"/>
      <c r="D195" s="614"/>
      <c r="E195" s="352"/>
      <c r="F195" s="614"/>
      <c r="G195" s="631">
        <f>IFERROR(MaterialsBoQ[[#This Row],[Number]]*MaterialsBoQ[[#This Row],[Kg per unit]],"")</f>
        <v>0</v>
      </c>
      <c r="H195" s="632">
        <f>IFERROR(MaterialsBoQ[[#This Row],[Total Kg]]/SUM(MaterialsBoQ[Total Kg],MEPBoQ[Kg estimate]),0)</f>
        <v>0</v>
      </c>
      <c r="I195" s="347"/>
    </row>
    <row r="196" spans="2:9" x14ac:dyDescent="0.25">
      <c r="B196" s="348"/>
      <c r="C196" s="348"/>
      <c r="D196" s="614"/>
      <c r="E196" s="352"/>
      <c r="F196" s="614"/>
      <c r="G196" s="631">
        <f>IFERROR(MaterialsBoQ[[#This Row],[Number]]*MaterialsBoQ[[#This Row],[Kg per unit]],"")</f>
        <v>0</v>
      </c>
      <c r="H196" s="632">
        <f>IFERROR(MaterialsBoQ[[#This Row],[Total Kg]]/SUM(MaterialsBoQ[Total Kg],MEPBoQ[Kg estimate]),0)</f>
        <v>0</v>
      </c>
      <c r="I196" s="347"/>
    </row>
    <row r="197" spans="2:9" x14ac:dyDescent="0.25">
      <c r="B197" s="348"/>
      <c r="C197" s="348"/>
      <c r="D197" s="614"/>
      <c r="E197" s="352"/>
      <c r="F197" s="614"/>
      <c r="G197" s="631">
        <f>IFERROR(MaterialsBoQ[[#This Row],[Number]]*MaterialsBoQ[[#This Row],[Kg per unit]],"")</f>
        <v>0</v>
      </c>
      <c r="H197" s="632">
        <f>IFERROR(MaterialsBoQ[[#This Row],[Total Kg]]/SUM(MaterialsBoQ[Total Kg],MEPBoQ[Kg estimate]),0)</f>
        <v>0</v>
      </c>
      <c r="I197" s="347"/>
    </row>
    <row r="198" spans="2:9" x14ac:dyDescent="0.25">
      <c r="B198" s="348"/>
      <c r="C198" s="348"/>
      <c r="D198" s="351"/>
      <c r="E198" s="352"/>
      <c r="F198" s="614"/>
      <c r="G198" s="631">
        <f>IFERROR(MaterialsBoQ[[#This Row],[Number]]*MaterialsBoQ[[#This Row],[Kg per unit]],"")</f>
        <v>0</v>
      </c>
      <c r="H198" s="632">
        <f>IFERROR(MaterialsBoQ[[#This Row],[Total Kg]]/SUM(MaterialsBoQ[Total Kg],MEPBoQ[Kg estimate]),0)</f>
        <v>0</v>
      </c>
      <c r="I198" s="347"/>
    </row>
    <row r="199" spans="2:9" x14ac:dyDescent="0.25">
      <c r="B199" s="348"/>
      <c r="C199" s="348"/>
      <c r="D199" s="614"/>
      <c r="E199" s="352"/>
      <c r="F199" s="614"/>
      <c r="G199" s="631">
        <f>IFERROR(MaterialsBoQ[[#This Row],[Number]]*MaterialsBoQ[[#This Row],[Kg per unit]],"")</f>
        <v>0</v>
      </c>
      <c r="H199" s="632">
        <f>IFERROR(MaterialsBoQ[[#This Row],[Total Kg]]/SUM(MaterialsBoQ[Total Kg],MEPBoQ[Kg estimate]),0)</f>
        <v>0</v>
      </c>
      <c r="I199" s="347"/>
    </row>
    <row r="200" spans="2:9" x14ac:dyDescent="0.25">
      <c r="B200" s="348"/>
      <c r="C200" s="348"/>
      <c r="D200" s="351"/>
      <c r="E200" s="352"/>
      <c r="F200" s="614"/>
      <c r="G200" s="631">
        <f>IFERROR(MaterialsBoQ[[#This Row],[Number]]*MaterialsBoQ[[#This Row],[Kg per unit]],"")</f>
        <v>0</v>
      </c>
      <c r="H200" s="632">
        <f>IFERROR(MaterialsBoQ[[#This Row],[Total Kg]]/SUM(MaterialsBoQ[Total Kg],MEPBoQ[Kg estimate]),0)</f>
        <v>0</v>
      </c>
      <c r="I200" s="347"/>
    </row>
    <row r="201" spans="2:9" x14ac:dyDescent="0.25">
      <c r="B201" s="348"/>
      <c r="C201" s="348"/>
      <c r="D201" s="614"/>
      <c r="E201" s="352"/>
      <c r="F201" s="614"/>
      <c r="G201" s="631">
        <f>IFERROR(MaterialsBoQ[[#This Row],[Number]]*MaterialsBoQ[[#This Row],[Kg per unit]],"")</f>
        <v>0</v>
      </c>
      <c r="H201" s="632">
        <f>IFERROR(MaterialsBoQ[[#This Row],[Total Kg]]/SUM(MaterialsBoQ[Total Kg],MEPBoQ[Kg estimate]),0)</f>
        <v>0</v>
      </c>
      <c r="I201" s="347"/>
    </row>
    <row r="202" spans="2:9" x14ac:dyDescent="0.25">
      <c r="B202" s="348"/>
      <c r="C202" s="348"/>
      <c r="D202" s="351"/>
      <c r="E202" s="352"/>
      <c r="F202" s="614"/>
      <c r="G202" s="631">
        <f>IFERROR(MaterialsBoQ[[#This Row],[Number]]*MaterialsBoQ[[#This Row],[Kg per unit]],"")</f>
        <v>0</v>
      </c>
      <c r="H202" s="632">
        <f>IFERROR(MaterialsBoQ[[#This Row],[Total Kg]]/SUM(MaterialsBoQ[Total Kg],MEPBoQ[Kg estimate]),0)</f>
        <v>0</v>
      </c>
      <c r="I202" s="347"/>
    </row>
    <row r="203" spans="2:9" x14ac:dyDescent="0.25">
      <c r="B203" s="348"/>
      <c r="C203" s="348"/>
      <c r="D203" s="351"/>
      <c r="E203" s="352"/>
      <c r="F203" s="614"/>
      <c r="G203" s="631">
        <f>IFERROR(MaterialsBoQ[[#This Row],[Number]]*MaterialsBoQ[[#This Row],[Kg per unit]],"")</f>
        <v>0</v>
      </c>
      <c r="H203" s="632">
        <f>IFERROR(MaterialsBoQ[[#This Row],[Total Kg]]/SUM(MaterialsBoQ[Total Kg],MEPBoQ[Kg estimate]),0)</f>
        <v>0</v>
      </c>
      <c r="I203" s="347"/>
    </row>
    <row r="204" spans="2:9" x14ac:dyDescent="0.25">
      <c r="B204" s="348"/>
      <c r="C204" s="348"/>
      <c r="D204" s="351"/>
      <c r="E204" s="352"/>
      <c r="F204" s="614"/>
      <c r="G204" s="631">
        <f>IFERROR(MaterialsBoQ[[#This Row],[Number]]*MaterialsBoQ[[#This Row],[Kg per unit]],"")</f>
        <v>0</v>
      </c>
      <c r="H204" s="632">
        <f>IFERROR(MaterialsBoQ[[#This Row],[Total Kg]]/SUM(MaterialsBoQ[Total Kg],MEPBoQ[Kg estimate]),0)</f>
        <v>0</v>
      </c>
      <c r="I204" s="347"/>
    </row>
    <row r="205" spans="2:9" x14ac:dyDescent="0.25">
      <c r="B205" s="348"/>
      <c r="C205" s="348"/>
      <c r="D205" s="351"/>
      <c r="E205" s="352"/>
      <c r="F205" s="614"/>
      <c r="G205" s="631">
        <f>IFERROR(MaterialsBoQ[[#This Row],[Number]]*MaterialsBoQ[[#This Row],[Kg per unit]],"")</f>
        <v>0</v>
      </c>
      <c r="H205" s="632">
        <f>IFERROR(MaterialsBoQ[[#This Row],[Total Kg]]/SUM(MaterialsBoQ[Total Kg],MEPBoQ[Kg estimate]),0)</f>
        <v>0</v>
      </c>
      <c r="I205" s="347"/>
    </row>
    <row r="206" spans="2:9" x14ac:dyDescent="0.25">
      <c r="B206" s="348"/>
      <c r="C206" s="348"/>
      <c r="D206" s="351"/>
      <c r="E206" s="352"/>
      <c r="F206" s="614"/>
      <c r="G206" s="631">
        <f>IFERROR(MaterialsBoQ[[#This Row],[Number]]*MaterialsBoQ[[#This Row],[Kg per unit]],"")</f>
        <v>0</v>
      </c>
      <c r="H206" s="632">
        <f>IFERROR(MaterialsBoQ[[#This Row],[Total Kg]]/SUM(MaterialsBoQ[Total Kg],MEPBoQ[Kg estimate]),0)</f>
        <v>0</v>
      </c>
      <c r="I206" s="347"/>
    </row>
    <row r="207" spans="2:9" x14ac:dyDescent="0.25">
      <c r="B207" s="348"/>
      <c r="C207" s="348"/>
      <c r="D207" s="614"/>
      <c r="E207" s="352"/>
      <c r="F207" s="614"/>
      <c r="G207" s="631">
        <f>IFERROR(MaterialsBoQ[[#This Row],[Number]]*MaterialsBoQ[[#This Row],[Kg per unit]],"")</f>
        <v>0</v>
      </c>
      <c r="H207" s="632">
        <f>IFERROR(MaterialsBoQ[[#This Row],[Total Kg]]/SUM(MaterialsBoQ[Total Kg],MEPBoQ[Kg estimate]),0)</f>
        <v>0</v>
      </c>
      <c r="I207" s="347"/>
    </row>
    <row r="208" spans="2:9" x14ac:dyDescent="0.25">
      <c r="B208" s="348"/>
      <c r="C208" s="348"/>
      <c r="D208" s="351"/>
      <c r="E208" s="352"/>
      <c r="F208" s="614"/>
      <c r="G208" s="631">
        <f>IFERROR(MaterialsBoQ[[#This Row],[Number]]*MaterialsBoQ[[#This Row],[Kg per unit]],"")</f>
        <v>0</v>
      </c>
      <c r="H208" s="632">
        <f>IFERROR(MaterialsBoQ[[#This Row],[Total Kg]]/SUM(MaterialsBoQ[Total Kg],MEPBoQ[Kg estimate]),0)</f>
        <v>0</v>
      </c>
      <c r="I208" s="347"/>
    </row>
    <row r="209" spans="2:9" x14ac:dyDescent="0.25">
      <c r="B209" s="348"/>
      <c r="C209" s="348"/>
      <c r="D209" s="351"/>
      <c r="E209" s="352"/>
      <c r="F209" s="614"/>
      <c r="G209" s="631">
        <f>IFERROR(MaterialsBoQ[[#This Row],[Number]]*MaterialsBoQ[[#This Row],[Kg per unit]],"")</f>
        <v>0</v>
      </c>
      <c r="H209" s="632">
        <f>IFERROR(MaterialsBoQ[[#This Row],[Total Kg]]/SUM(MaterialsBoQ[Total Kg],MEPBoQ[Kg estimate]),0)</f>
        <v>0</v>
      </c>
      <c r="I209" s="347"/>
    </row>
    <row r="210" spans="2:9" x14ac:dyDescent="0.25">
      <c r="B210" s="348"/>
      <c r="C210" s="348"/>
      <c r="D210" s="351"/>
      <c r="E210" s="352"/>
      <c r="F210" s="614"/>
      <c r="G210" s="631">
        <f>IFERROR(MaterialsBoQ[[#This Row],[Number]]*MaterialsBoQ[[#This Row],[Kg per unit]],"")</f>
        <v>0</v>
      </c>
      <c r="H210" s="632">
        <f>IFERROR(MaterialsBoQ[[#This Row],[Total Kg]]/SUM(MaterialsBoQ[Total Kg],MEPBoQ[Kg estimate]),0)</f>
        <v>0</v>
      </c>
      <c r="I210" s="347"/>
    </row>
    <row r="211" spans="2:9" x14ac:dyDescent="0.25">
      <c r="B211" s="348"/>
      <c r="C211" s="348"/>
      <c r="D211" s="351"/>
      <c r="E211" s="352"/>
      <c r="F211" s="614"/>
      <c r="G211" s="631">
        <f>IFERROR(MaterialsBoQ[[#This Row],[Number]]*MaterialsBoQ[[#This Row],[Kg per unit]],"")</f>
        <v>0</v>
      </c>
      <c r="H211" s="632">
        <f>IFERROR(MaterialsBoQ[[#This Row],[Total Kg]]/SUM(MaterialsBoQ[Total Kg],MEPBoQ[Kg estimate]),0)</f>
        <v>0</v>
      </c>
      <c r="I211" s="347"/>
    </row>
    <row r="212" spans="2:9" x14ac:dyDescent="0.25">
      <c r="B212" s="348"/>
      <c r="C212" s="348"/>
      <c r="D212" s="351"/>
      <c r="E212" s="352"/>
      <c r="F212" s="614"/>
      <c r="G212" s="631">
        <f>IFERROR(MaterialsBoQ[[#This Row],[Number]]*MaterialsBoQ[[#This Row],[Kg per unit]],"")</f>
        <v>0</v>
      </c>
      <c r="H212" s="632">
        <f>IFERROR(MaterialsBoQ[[#This Row],[Total Kg]]/SUM(MaterialsBoQ[Total Kg],MEPBoQ[Kg estimate]),0)</f>
        <v>0</v>
      </c>
      <c r="I212" s="347"/>
    </row>
    <row r="213" spans="2:9" x14ac:dyDescent="0.25">
      <c r="B213" s="348"/>
      <c r="C213" s="348"/>
      <c r="D213" s="614"/>
      <c r="E213" s="352"/>
      <c r="F213" s="614"/>
      <c r="G213" s="631">
        <f>IFERROR(MaterialsBoQ[[#This Row],[Number]]*MaterialsBoQ[[#This Row],[Kg per unit]],"")</f>
        <v>0</v>
      </c>
      <c r="H213" s="632">
        <f>IFERROR(MaterialsBoQ[[#This Row],[Total Kg]]/SUM(MaterialsBoQ[Total Kg],MEPBoQ[Kg estimate]),0)</f>
        <v>0</v>
      </c>
      <c r="I213" s="347"/>
    </row>
    <row r="214" spans="2:9" x14ac:dyDescent="0.25">
      <c r="B214" s="348"/>
      <c r="C214" s="348"/>
      <c r="D214" s="351"/>
      <c r="E214" s="352"/>
      <c r="F214" s="614"/>
      <c r="G214" s="631">
        <f>IFERROR(MaterialsBoQ[[#This Row],[Number]]*MaterialsBoQ[[#This Row],[Kg per unit]],"")</f>
        <v>0</v>
      </c>
      <c r="H214" s="632">
        <f>IFERROR(MaterialsBoQ[[#This Row],[Total Kg]]/SUM(MaterialsBoQ[Total Kg],MEPBoQ[Kg estimate]),0)</f>
        <v>0</v>
      </c>
      <c r="I214" s="347"/>
    </row>
    <row r="215" spans="2:9" x14ac:dyDescent="0.25">
      <c r="B215" s="348"/>
      <c r="C215" s="348"/>
      <c r="D215" s="351"/>
      <c r="E215" s="352"/>
      <c r="F215" s="614"/>
      <c r="G215" s="631">
        <f>IFERROR(MaterialsBoQ[[#This Row],[Number]]*MaterialsBoQ[[#This Row],[Kg per unit]],"")</f>
        <v>0</v>
      </c>
      <c r="H215" s="632">
        <f>IFERROR(MaterialsBoQ[[#This Row],[Total Kg]]/SUM(MaterialsBoQ[Total Kg],MEPBoQ[Kg estimate]),0)</f>
        <v>0</v>
      </c>
      <c r="I215" s="347"/>
    </row>
    <row r="216" spans="2:9" x14ac:dyDescent="0.25">
      <c r="B216" s="348"/>
      <c r="C216" s="348"/>
      <c r="D216" s="351"/>
      <c r="E216" s="352"/>
      <c r="F216" s="614"/>
      <c r="G216" s="631">
        <f>IFERROR(MaterialsBoQ[[#This Row],[Number]]*MaterialsBoQ[[#This Row],[Kg per unit]],"")</f>
        <v>0</v>
      </c>
      <c r="H216" s="632">
        <f>IFERROR(MaterialsBoQ[[#This Row],[Total Kg]]/SUM(MaterialsBoQ[Total Kg],MEPBoQ[Kg estimate]),0)</f>
        <v>0</v>
      </c>
      <c r="I216" s="347"/>
    </row>
    <row r="217" spans="2:9" x14ac:dyDescent="0.25">
      <c r="B217" s="348"/>
      <c r="C217" s="348"/>
      <c r="D217" s="351"/>
      <c r="E217" s="352"/>
      <c r="F217" s="614"/>
      <c r="G217" s="631">
        <f>IFERROR(MaterialsBoQ[[#This Row],[Number]]*MaterialsBoQ[[#This Row],[Kg per unit]],"")</f>
        <v>0</v>
      </c>
      <c r="H217" s="632">
        <f>IFERROR(MaterialsBoQ[[#This Row],[Total Kg]]/SUM(MaterialsBoQ[Total Kg],MEPBoQ[Kg estimate]),0)</f>
        <v>0</v>
      </c>
      <c r="I217" s="347"/>
    </row>
    <row r="218" spans="2:9" x14ac:dyDescent="0.25">
      <c r="B218" s="348"/>
      <c r="C218" s="348"/>
      <c r="D218" s="351"/>
      <c r="E218" s="352"/>
      <c r="F218" s="614"/>
      <c r="G218" s="631">
        <f>IFERROR(MaterialsBoQ[[#This Row],[Number]]*MaterialsBoQ[[#This Row],[Kg per unit]],"")</f>
        <v>0</v>
      </c>
      <c r="H218" s="632">
        <f>IFERROR(MaterialsBoQ[[#This Row],[Total Kg]]/SUM(MaterialsBoQ[Total Kg],MEPBoQ[Kg estimate]),0)</f>
        <v>0</v>
      </c>
      <c r="I218" s="347"/>
    </row>
    <row r="219" spans="2:9" x14ac:dyDescent="0.25">
      <c r="B219" s="348"/>
      <c r="C219" s="348"/>
      <c r="D219" s="351"/>
      <c r="E219" s="352"/>
      <c r="F219" s="614"/>
      <c r="G219" s="631">
        <f>IFERROR(MaterialsBoQ[[#This Row],[Number]]*MaterialsBoQ[[#This Row],[Kg per unit]],"")</f>
        <v>0</v>
      </c>
      <c r="H219" s="632">
        <f>IFERROR(MaterialsBoQ[[#This Row],[Total Kg]]/SUM(MaterialsBoQ[Total Kg],MEPBoQ[Kg estimate]),0)</f>
        <v>0</v>
      </c>
      <c r="I219" s="347"/>
    </row>
    <row r="220" spans="2:9" x14ac:dyDescent="0.25">
      <c r="B220" s="348"/>
      <c r="C220" s="348"/>
      <c r="D220" s="351"/>
      <c r="E220" s="352"/>
      <c r="F220" s="614"/>
      <c r="G220" s="631">
        <f>IFERROR(MaterialsBoQ[[#This Row],[Number]]*MaterialsBoQ[[#This Row],[Kg per unit]],"")</f>
        <v>0</v>
      </c>
      <c r="H220" s="632">
        <f>IFERROR(MaterialsBoQ[[#This Row],[Total Kg]]/SUM(MaterialsBoQ[Total Kg],MEPBoQ[Kg estimate]),0)</f>
        <v>0</v>
      </c>
      <c r="I220" s="347"/>
    </row>
    <row r="221" spans="2:9" x14ac:dyDescent="0.25">
      <c r="B221" s="348"/>
      <c r="C221" s="348"/>
      <c r="D221" s="351"/>
      <c r="E221" s="352"/>
      <c r="F221" s="614"/>
      <c r="G221" s="631">
        <f>IFERROR(MaterialsBoQ[[#This Row],[Number]]*MaterialsBoQ[[#This Row],[Kg per unit]],"")</f>
        <v>0</v>
      </c>
      <c r="H221" s="632">
        <f>IFERROR(MaterialsBoQ[[#This Row],[Total Kg]]/SUM(MaterialsBoQ[Total Kg],MEPBoQ[Kg estimate]),0)</f>
        <v>0</v>
      </c>
      <c r="I221" s="347"/>
    </row>
    <row r="222" spans="2:9" x14ac:dyDescent="0.25">
      <c r="B222" s="348"/>
      <c r="C222" s="348"/>
      <c r="D222" s="351"/>
      <c r="E222" s="352"/>
      <c r="F222" s="614"/>
      <c r="G222" s="631">
        <f>IFERROR(MaterialsBoQ[[#This Row],[Number]]*MaterialsBoQ[[#This Row],[Kg per unit]],"")</f>
        <v>0</v>
      </c>
      <c r="H222" s="632">
        <f>IFERROR(MaterialsBoQ[[#This Row],[Total Kg]]/SUM(MaterialsBoQ[Total Kg],MEPBoQ[Kg estimate]),0)</f>
        <v>0</v>
      </c>
      <c r="I222" s="347"/>
    </row>
    <row r="223" spans="2:9" x14ac:dyDescent="0.25">
      <c r="B223" s="348"/>
      <c r="C223" s="348"/>
      <c r="D223" s="614"/>
      <c r="E223" s="352"/>
      <c r="F223" s="614"/>
      <c r="G223" s="631">
        <f>IFERROR(MaterialsBoQ[[#This Row],[Number]]*MaterialsBoQ[[#This Row],[Kg per unit]],"")</f>
        <v>0</v>
      </c>
      <c r="H223" s="632">
        <f>IFERROR(MaterialsBoQ[[#This Row],[Total Kg]]/SUM(MaterialsBoQ[Total Kg],MEPBoQ[Kg estimate]),0)</f>
        <v>0</v>
      </c>
      <c r="I223" s="347"/>
    </row>
    <row r="224" spans="2:9" x14ac:dyDescent="0.25">
      <c r="B224" s="348"/>
      <c r="C224" s="348"/>
      <c r="D224" s="351"/>
      <c r="E224" s="352"/>
      <c r="F224" s="614"/>
      <c r="G224" s="631">
        <f>IFERROR(MaterialsBoQ[[#This Row],[Number]]*MaterialsBoQ[[#This Row],[Kg per unit]],"")</f>
        <v>0</v>
      </c>
      <c r="H224" s="632">
        <f>IFERROR(MaterialsBoQ[[#This Row],[Total Kg]]/SUM(MaterialsBoQ[Total Kg],MEPBoQ[Kg estimate]),0)</f>
        <v>0</v>
      </c>
      <c r="I224" s="347"/>
    </row>
    <row r="225" spans="2:9" x14ac:dyDescent="0.25">
      <c r="B225" s="348"/>
      <c r="C225" s="348"/>
      <c r="D225" s="351"/>
      <c r="E225" s="352"/>
      <c r="F225" s="614"/>
      <c r="G225" s="631">
        <f>IFERROR(MaterialsBoQ[[#This Row],[Number]]*MaterialsBoQ[[#This Row],[Kg per unit]],"")</f>
        <v>0</v>
      </c>
      <c r="H225" s="632">
        <f>IFERROR(MaterialsBoQ[[#This Row],[Total Kg]]/SUM(MaterialsBoQ[Total Kg],MEPBoQ[Kg estimate]),0)</f>
        <v>0</v>
      </c>
      <c r="I225" s="347"/>
    </row>
    <row r="226" spans="2:9" x14ac:dyDescent="0.25">
      <c r="B226" s="348"/>
      <c r="C226" s="348"/>
      <c r="D226" s="351"/>
      <c r="E226" s="352"/>
      <c r="F226" s="614"/>
      <c r="G226" s="631">
        <f>IFERROR(MaterialsBoQ[[#This Row],[Number]]*MaterialsBoQ[[#This Row],[Kg per unit]],"")</f>
        <v>0</v>
      </c>
      <c r="H226" s="632">
        <f>IFERROR(MaterialsBoQ[[#This Row],[Total Kg]]/SUM(MaterialsBoQ[Total Kg],MEPBoQ[Kg estimate]),0)</f>
        <v>0</v>
      </c>
      <c r="I226" s="347"/>
    </row>
    <row r="227" spans="2:9" x14ac:dyDescent="0.25">
      <c r="B227" s="348"/>
      <c r="C227" s="348"/>
      <c r="D227" s="614"/>
      <c r="E227" s="352"/>
      <c r="F227" s="614"/>
      <c r="G227" s="631">
        <f>IFERROR(MaterialsBoQ[[#This Row],[Number]]*MaterialsBoQ[[#This Row],[Kg per unit]],"")</f>
        <v>0</v>
      </c>
      <c r="H227" s="632">
        <f>IFERROR(MaterialsBoQ[[#This Row],[Total Kg]]/SUM(MaterialsBoQ[Total Kg],MEPBoQ[Kg estimate]),0)</f>
        <v>0</v>
      </c>
      <c r="I227" s="347"/>
    </row>
    <row r="228" spans="2:9" x14ac:dyDescent="0.25">
      <c r="B228" s="348"/>
      <c r="C228" s="348"/>
      <c r="D228" s="351"/>
      <c r="E228" s="352"/>
      <c r="F228" s="614"/>
      <c r="G228" s="631">
        <f>IFERROR(MaterialsBoQ[[#This Row],[Number]]*MaterialsBoQ[[#This Row],[Kg per unit]],"")</f>
        <v>0</v>
      </c>
      <c r="H228" s="632">
        <f>IFERROR(MaterialsBoQ[[#This Row],[Total Kg]]/SUM(MaterialsBoQ[Total Kg],MEPBoQ[Kg estimate]),0)</f>
        <v>0</v>
      </c>
      <c r="I228" s="347"/>
    </row>
    <row r="229" spans="2:9" x14ac:dyDescent="0.25">
      <c r="B229" s="348"/>
      <c r="C229" s="348"/>
      <c r="D229" s="351"/>
      <c r="E229" s="352"/>
      <c r="F229" s="614"/>
      <c r="G229" s="631">
        <f>IFERROR(MaterialsBoQ[[#This Row],[Number]]*MaterialsBoQ[[#This Row],[Kg per unit]],"")</f>
        <v>0</v>
      </c>
      <c r="H229" s="632">
        <f>IFERROR(MaterialsBoQ[[#This Row],[Total Kg]]/SUM(MaterialsBoQ[Total Kg],MEPBoQ[Kg estimate]),0)</f>
        <v>0</v>
      </c>
      <c r="I229" s="347"/>
    </row>
    <row r="230" spans="2:9" x14ac:dyDescent="0.25">
      <c r="B230" s="348"/>
      <c r="C230" s="348"/>
      <c r="D230" s="351"/>
      <c r="E230" s="352"/>
      <c r="F230" s="614"/>
      <c r="G230" s="631">
        <f>IFERROR(MaterialsBoQ[[#This Row],[Number]]*MaterialsBoQ[[#This Row],[Kg per unit]],"")</f>
        <v>0</v>
      </c>
      <c r="H230" s="632">
        <f>IFERROR(MaterialsBoQ[[#This Row],[Total Kg]]/SUM(MaterialsBoQ[Total Kg],MEPBoQ[Kg estimate]),0)</f>
        <v>0</v>
      </c>
      <c r="I230" s="347"/>
    </row>
    <row r="231" spans="2:9" x14ac:dyDescent="0.25">
      <c r="B231" s="348"/>
      <c r="C231" s="348"/>
      <c r="D231" s="614"/>
      <c r="E231" s="352"/>
      <c r="F231" s="614"/>
      <c r="G231" s="631">
        <f>IFERROR(MaterialsBoQ[[#This Row],[Number]]*MaterialsBoQ[[#This Row],[Kg per unit]],"")</f>
        <v>0</v>
      </c>
      <c r="H231" s="632">
        <f>IFERROR(MaterialsBoQ[[#This Row],[Total Kg]]/SUM(MaterialsBoQ[Total Kg],MEPBoQ[Kg estimate]),0)</f>
        <v>0</v>
      </c>
      <c r="I231" s="347"/>
    </row>
    <row r="232" spans="2:9" x14ac:dyDescent="0.25">
      <c r="B232" s="348"/>
      <c r="C232" s="348"/>
      <c r="D232" s="351"/>
      <c r="E232" s="352"/>
      <c r="F232" s="614"/>
      <c r="G232" s="631">
        <f>IFERROR(MaterialsBoQ[[#This Row],[Number]]*MaterialsBoQ[[#This Row],[Kg per unit]],"")</f>
        <v>0</v>
      </c>
      <c r="H232" s="632">
        <f>IFERROR(MaterialsBoQ[[#This Row],[Total Kg]]/SUM(MaterialsBoQ[Total Kg],MEPBoQ[Kg estimate]),0)</f>
        <v>0</v>
      </c>
      <c r="I232" s="347"/>
    </row>
    <row r="233" spans="2:9" x14ac:dyDescent="0.25">
      <c r="B233" s="348"/>
      <c r="C233" s="348"/>
      <c r="D233" s="351"/>
      <c r="E233" s="352"/>
      <c r="F233" s="614"/>
      <c r="G233" s="631">
        <f>IFERROR(MaterialsBoQ[[#This Row],[Number]]*MaterialsBoQ[[#This Row],[Kg per unit]],"")</f>
        <v>0</v>
      </c>
      <c r="H233" s="632">
        <f>IFERROR(MaterialsBoQ[[#This Row],[Total Kg]]/SUM(MaterialsBoQ[Total Kg],MEPBoQ[Kg estimate]),0)</f>
        <v>0</v>
      </c>
      <c r="I233" s="347"/>
    </row>
    <row r="234" spans="2:9" x14ac:dyDescent="0.25">
      <c r="B234" s="348"/>
      <c r="C234" s="348"/>
      <c r="D234" s="614"/>
      <c r="E234" s="352"/>
      <c r="F234" s="614"/>
      <c r="G234" s="631">
        <f>IFERROR(MaterialsBoQ[[#This Row],[Number]]*MaterialsBoQ[[#This Row],[Kg per unit]],"")</f>
        <v>0</v>
      </c>
      <c r="H234" s="632">
        <f>IFERROR(MaterialsBoQ[[#This Row],[Total Kg]]/SUM(MaterialsBoQ[Total Kg],MEPBoQ[Kg estimate]),0)</f>
        <v>0</v>
      </c>
      <c r="I234" s="347"/>
    </row>
    <row r="235" spans="2:9" x14ac:dyDescent="0.25">
      <c r="B235" s="348"/>
      <c r="C235" s="348"/>
      <c r="D235" s="351"/>
      <c r="E235" s="352"/>
      <c r="F235" s="614"/>
      <c r="G235" s="631">
        <f>IFERROR(MaterialsBoQ[[#This Row],[Number]]*MaterialsBoQ[[#This Row],[Kg per unit]],"")</f>
        <v>0</v>
      </c>
      <c r="H235" s="632">
        <f>IFERROR(MaterialsBoQ[[#This Row],[Total Kg]]/SUM(MaterialsBoQ[Total Kg],MEPBoQ[Kg estimate]),0)</f>
        <v>0</v>
      </c>
      <c r="I235" s="347"/>
    </row>
    <row r="236" spans="2:9" x14ac:dyDescent="0.25">
      <c r="B236" s="348"/>
      <c r="C236" s="348"/>
      <c r="D236" s="351"/>
      <c r="E236" s="352"/>
      <c r="F236" s="614"/>
      <c r="G236" s="631">
        <f>IFERROR(MaterialsBoQ[[#This Row],[Number]]*MaterialsBoQ[[#This Row],[Kg per unit]],"")</f>
        <v>0</v>
      </c>
      <c r="H236" s="632">
        <f>IFERROR(MaterialsBoQ[[#This Row],[Total Kg]]/SUM(MaterialsBoQ[Total Kg],MEPBoQ[Kg estimate]),0)</f>
        <v>0</v>
      </c>
      <c r="I236" s="347"/>
    </row>
    <row r="237" spans="2:9" x14ac:dyDescent="0.25">
      <c r="B237" s="348"/>
      <c r="C237" s="348"/>
      <c r="D237" s="351"/>
      <c r="E237" s="352"/>
      <c r="F237" s="614"/>
      <c r="G237" s="631">
        <f>IFERROR(MaterialsBoQ[[#This Row],[Number]]*MaterialsBoQ[[#This Row],[Kg per unit]],"")</f>
        <v>0</v>
      </c>
      <c r="H237" s="632">
        <f>IFERROR(MaterialsBoQ[[#This Row],[Total Kg]]/SUM(MaterialsBoQ[Total Kg],MEPBoQ[Kg estimate]),0)</f>
        <v>0</v>
      </c>
      <c r="I237" s="347"/>
    </row>
    <row r="238" spans="2:9" x14ac:dyDescent="0.25">
      <c r="B238" s="348"/>
      <c r="C238" s="348"/>
      <c r="D238" s="351"/>
      <c r="E238" s="352"/>
      <c r="F238" s="614"/>
      <c r="G238" s="631">
        <f>IFERROR(MaterialsBoQ[[#This Row],[Number]]*MaterialsBoQ[[#This Row],[Kg per unit]],"")</f>
        <v>0</v>
      </c>
      <c r="H238" s="632">
        <f>IFERROR(MaterialsBoQ[[#This Row],[Total Kg]]/SUM(MaterialsBoQ[Total Kg],MEPBoQ[Kg estimate]),0)</f>
        <v>0</v>
      </c>
      <c r="I238" s="347"/>
    </row>
    <row r="239" spans="2:9" x14ac:dyDescent="0.25">
      <c r="B239" s="348"/>
      <c r="C239" s="348"/>
      <c r="D239" s="614"/>
      <c r="E239" s="352"/>
      <c r="F239" s="614"/>
      <c r="G239" s="631">
        <f>IFERROR(MaterialsBoQ[[#This Row],[Number]]*MaterialsBoQ[[#This Row],[Kg per unit]],"")</f>
        <v>0</v>
      </c>
      <c r="H239" s="632">
        <f>IFERROR(MaterialsBoQ[[#This Row],[Total Kg]]/SUM(MaterialsBoQ[Total Kg],MEPBoQ[Kg estimate]),0)</f>
        <v>0</v>
      </c>
      <c r="I239" s="347"/>
    </row>
    <row r="240" spans="2:9" x14ac:dyDescent="0.25">
      <c r="B240" s="348"/>
      <c r="C240" s="348"/>
      <c r="D240" s="351"/>
      <c r="E240" s="352"/>
      <c r="F240" s="614"/>
      <c r="G240" s="631">
        <f>IFERROR(MaterialsBoQ[[#This Row],[Number]]*MaterialsBoQ[[#This Row],[Kg per unit]],"")</f>
        <v>0</v>
      </c>
      <c r="H240" s="632">
        <f>IFERROR(MaterialsBoQ[[#This Row],[Total Kg]]/SUM(MaterialsBoQ[Total Kg],MEPBoQ[Kg estimate]),0)</f>
        <v>0</v>
      </c>
      <c r="I240" s="347"/>
    </row>
    <row r="241" spans="2:9" x14ac:dyDescent="0.25">
      <c r="B241" s="348"/>
      <c r="C241" s="348"/>
      <c r="D241" s="351"/>
      <c r="E241" s="352"/>
      <c r="F241" s="614"/>
      <c r="G241" s="631">
        <f>IFERROR(MaterialsBoQ[[#This Row],[Number]]*MaterialsBoQ[[#This Row],[Kg per unit]],"")</f>
        <v>0</v>
      </c>
      <c r="H241" s="632">
        <f>IFERROR(MaterialsBoQ[[#This Row],[Total Kg]]/SUM(MaterialsBoQ[Total Kg],MEPBoQ[Kg estimate]),0)</f>
        <v>0</v>
      </c>
      <c r="I241" s="347"/>
    </row>
    <row r="242" spans="2:9" x14ac:dyDescent="0.25">
      <c r="B242" s="348"/>
      <c r="C242" s="348"/>
      <c r="D242" s="351"/>
      <c r="E242" s="352"/>
      <c r="F242" s="614"/>
      <c r="G242" s="631">
        <f>IFERROR(MaterialsBoQ[[#This Row],[Number]]*MaterialsBoQ[[#This Row],[Kg per unit]],"")</f>
        <v>0</v>
      </c>
      <c r="H242" s="632">
        <f>IFERROR(MaterialsBoQ[[#This Row],[Total Kg]]/SUM(MaterialsBoQ[Total Kg],MEPBoQ[Kg estimate]),0)</f>
        <v>0</v>
      </c>
      <c r="I242" s="347"/>
    </row>
    <row r="243" spans="2:9" x14ac:dyDescent="0.25">
      <c r="B243" s="348"/>
      <c r="C243" s="348"/>
      <c r="D243" s="351"/>
      <c r="E243" s="352"/>
      <c r="F243" s="614"/>
      <c r="G243" s="631">
        <f>IFERROR(MaterialsBoQ[[#This Row],[Number]]*MaterialsBoQ[[#This Row],[Kg per unit]],"")</f>
        <v>0</v>
      </c>
      <c r="H243" s="632">
        <f>IFERROR(MaterialsBoQ[[#This Row],[Total Kg]]/SUM(MaterialsBoQ[Total Kg],MEPBoQ[Kg estimate]),0)</f>
        <v>0</v>
      </c>
      <c r="I243" s="347"/>
    </row>
    <row r="244" spans="2:9" x14ac:dyDescent="0.25">
      <c r="B244" s="348"/>
      <c r="C244" s="348"/>
      <c r="D244" s="351"/>
      <c r="E244" s="352"/>
      <c r="F244" s="614"/>
      <c r="G244" s="631">
        <f>IFERROR(MaterialsBoQ[[#This Row],[Number]]*MaterialsBoQ[[#This Row],[Kg per unit]],"")</f>
        <v>0</v>
      </c>
      <c r="H244" s="632">
        <f>IFERROR(MaterialsBoQ[[#This Row],[Total Kg]]/SUM(MaterialsBoQ[Total Kg],MEPBoQ[Kg estimate]),0)</f>
        <v>0</v>
      </c>
      <c r="I244" s="347"/>
    </row>
    <row r="245" spans="2:9" x14ac:dyDescent="0.25">
      <c r="B245" s="348"/>
      <c r="C245" s="348"/>
      <c r="D245" s="351"/>
      <c r="E245" s="352"/>
      <c r="F245" s="614"/>
      <c r="G245" s="631">
        <f>IFERROR(MaterialsBoQ[[#This Row],[Number]]*MaterialsBoQ[[#This Row],[Kg per unit]],"")</f>
        <v>0</v>
      </c>
      <c r="H245" s="632">
        <f>IFERROR(MaterialsBoQ[[#This Row],[Total Kg]]/SUM(MaterialsBoQ[Total Kg],MEPBoQ[Kg estimate]),0)</f>
        <v>0</v>
      </c>
      <c r="I245" s="347"/>
    </row>
    <row r="246" spans="2:9" x14ac:dyDescent="0.25">
      <c r="B246" s="348"/>
      <c r="C246" s="348"/>
      <c r="D246" s="614"/>
      <c r="E246" s="352"/>
      <c r="F246" s="614"/>
      <c r="G246" s="631">
        <f>IFERROR(MaterialsBoQ[[#This Row],[Number]]*MaterialsBoQ[[#This Row],[Kg per unit]],"")</f>
        <v>0</v>
      </c>
      <c r="H246" s="632">
        <f>IFERROR(MaterialsBoQ[[#This Row],[Total Kg]]/SUM(MaterialsBoQ[Total Kg],MEPBoQ[Kg estimate]),0)</f>
        <v>0</v>
      </c>
      <c r="I246" s="347"/>
    </row>
    <row r="247" spans="2:9" x14ac:dyDescent="0.25">
      <c r="B247" s="348"/>
      <c r="C247" s="348"/>
      <c r="D247" s="614"/>
      <c r="E247" s="352"/>
      <c r="F247" s="614"/>
      <c r="G247" s="631">
        <f>IFERROR(MaterialsBoQ[[#This Row],[Number]]*MaterialsBoQ[[#This Row],[Kg per unit]],"")</f>
        <v>0</v>
      </c>
      <c r="H247" s="632">
        <f>IFERROR(MaterialsBoQ[[#This Row],[Total Kg]]/SUM(MaterialsBoQ[Total Kg],MEPBoQ[Kg estimate]),0)</f>
        <v>0</v>
      </c>
      <c r="I247" s="347"/>
    </row>
    <row r="248" spans="2:9" x14ac:dyDescent="0.25">
      <c r="B248" s="348"/>
      <c r="C248" s="348"/>
      <c r="D248" s="351"/>
      <c r="E248" s="352"/>
      <c r="F248" s="614"/>
      <c r="G248" s="631">
        <f>IFERROR(MaterialsBoQ[[#This Row],[Number]]*MaterialsBoQ[[#This Row],[Kg per unit]],"")</f>
        <v>0</v>
      </c>
      <c r="H248" s="632">
        <f>IFERROR(MaterialsBoQ[[#This Row],[Total Kg]]/SUM(MaterialsBoQ[Total Kg],MEPBoQ[Kg estimate]),0)</f>
        <v>0</v>
      </c>
      <c r="I248" s="347"/>
    </row>
    <row r="249" spans="2:9" x14ac:dyDescent="0.25">
      <c r="B249" s="348"/>
      <c r="C249" s="348"/>
      <c r="D249" s="351"/>
      <c r="E249" s="352"/>
      <c r="F249" s="351"/>
      <c r="G249" s="631">
        <f>IFERROR(MaterialsBoQ[[#This Row],[Number]]*MaterialsBoQ[[#This Row],[Kg per unit]],"")</f>
        <v>0</v>
      </c>
      <c r="H249" s="632">
        <f>IFERROR(MaterialsBoQ[[#This Row],[Total Kg]]/SUM(MaterialsBoQ[Total Kg],MEPBoQ[Kg estimate]),0)</f>
        <v>0</v>
      </c>
      <c r="I249" s="347"/>
    </row>
    <row r="250" spans="2:9" x14ac:dyDescent="0.25">
      <c r="B250" s="348"/>
      <c r="C250" s="348"/>
      <c r="D250" s="351"/>
      <c r="E250" s="352"/>
      <c r="F250" s="351"/>
      <c r="G250" s="631">
        <f>IFERROR(MaterialsBoQ[[#This Row],[Number]]*MaterialsBoQ[[#This Row],[Kg per unit]],"")</f>
        <v>0</v>
      </c>
      <c r="H250" s="632">
        <f>IFERROR(MaterialsBoQ[[#This Row],[Total Kg]]/SUM(MaterialsBoQ[Total Kg],MEPBoQ[Kg estimate]),0)</f>
        <v>0</v>
      </c>
      <c r="I250" s="347"/>
    </row>
    <row r="251" spans="2:9" x14ac:dyDescent="0.25">
      <c r="B251" s="348"/>
      <c r="C251" s="348"/>
      <c r="D251" s="351"/>
      <c r="E251" s="352"/>
      <c r="F251" s="351"/>
      <c r="G251" s="631">
        <f>IFERROR(MaterialsBoQ[[#This Row],[Number]]*MaterialsBoQ[[#This Row],[Kg per unit]],"")</f>
        <v>0</v>
      </c>
      <c r="H251" s="632">
        <f>IFERROR(MaterialsBoQ[[#This Row],[Total Kg]]/SUM(MaterialsBoQ[Total Kg],MEPBoQ[Kg estimate]),0)</f>
        <v>0</v>
      </c>
      <c r="I251" s="347"/>
    </row>
    <row r="252" spans="2:9" x14ac:dyDescent="0.25">
      <c r="B252" s="348"/>
      <c r="C252" s="348"/>
      <c r="D252" s="351"/>
      <c r="E252" s="352"/>
      <c r="F252" s="351"/>
      <c r="G252" s="631">
        <f>IFERROR(MaterialsBoQ[[#This Row],[Number]]*MaterialsBoQ[[#This Row],[Kg per unit]],"")</f>
        <v>0</v>
      </c>
      <c r="H252" s="632">
        <f>IFERROR(MaterialsBoQ[[#This Row],[Total Kg]]/SUM(MaterialsBoQ[Total Kg],MEPBoQ[Kg estimate]),0)</f>
        <v>0</v>
      </c>
      <c r="I252" s="347"/>
    </row>
    <row r="253" spans="2:9" x14ac:dyDescent="0.25">
      <c r="B253" s="348"/>
      <c r="C253" s="348"/>
      <c r="D253" s="614"/>
      <c r="E253" s="352"/>
      <c r="F253" s="351"/>
      <c r="G253" s="631">
        <f>IFERROR(MaterialsBoQ[[#This Row],[Number]]*MaterialsBoQ[[#This Row],[Kg per unit]],"")</f>
        <v>0</v>
      </c>
      <c r="H253" s="632">
        <f>IFERROR(MaterialsBoQ[[#This Row],[Total Kg]]/SUM(MaterialsBoQ[Total Kg],MEPBoQ[Kg estimate]),0)</f>
        <v>0</v>
      </c>
      <c r="I253" s="347"/>
    </row>
    <row r="254" spans="2:9" x14ac:dyDescent="0.25">
      <c r="B254" s="348"/>
      <c r="C254" s="348"/>
      <c r="D254" s="351"/>
      <c r="E254" s="352"/>
      <c r="F254" s="614"/>
      <c r="G254" s="631">
        <f>IFERROR(MaterialsBoQ[[#This Row],[Number]]*MaterialsBoQ[[#This Row],[Kg per unit]],"")</f>
        <v>0</v>
      </c>
      <c r="H254" s="632">
        <f>IFERROR(MaterialsBoQ[[#This Row],[Total Kg]]/SUM(MaterialsBoQ[Total Kg],MEPBoQ[Kg estimate]),0)</f>
        <v>0</v>
      </c>
      <c r="I254" s="347"/>
    </row>
    <row r="255" spans="2:9" x14ac:dyDescent="0.25">
      <c r="B255" s="348"/>
      <c r="C255" s="348"/>
      <c r="D255" s="351"/>
      <c r="E255" s="352"/>
      <c r="F255" s="351"/>
      <c r="G255" s="631">
        <f>IFERROR(MaterialsBoQ[[#This Row],[Number]]*MaterialsBoQ[[#This Row],[Kg per unit]],"")</f>
        <v>0</v>
      </c>
      <c r="H255" s="632">
        <f>IFERROR(MaterialsBoQ[[#This Row],[Total Kg]]/SUM(MaterialsBoQ[Total Kg],MEPBoQ[Kg estimate]),0)</f>
        <v>0</v>
      </c>
      <c r="I255" s="347"/>
    </row>
    <row r="256" spans="2:9" x14ac:dyDescent="0.25">
      <c r="B256" s="348"/>
      <c r="C256" s="348"/>
      <c r="D256" s="614"/>
      <c r="E256" s="352"/>
      <c r="F256" s="351"/>
      <c r="G256" s="631">
        <f>IFERROR(MaterialsBoQ[[#This Row],[Number]]*MaterialsBoQ[[#This Row],[Kg per unit]],"")</f>
        <v>0</v>
      </c>
      <c r="H256" s="632">
        <f>IFERROR(MaterialsBoQ[[#This Row],[Total Kg]]/SUM(MaterialsBoQ[Total Kg],MEPBoQ[Kg estimate]),0)</f>
        <v>0</v>
      </c>
      <c r="I256" s="347"/>
    </row>
    <row r="257" spans="2:9" x14ac:dyDescent="0.25">
      <c r="B257" s="348"/>
      <c r="C257" s="348"/>
      <c r="D257" s="351"/>
      <c r="E257" s="352"/>
      <c r="F257" s="351"/>
      <c r="G257" s="631">
        <f>IFERROR(MaterialsBoQ[[#This Row],[Number]]*MaterialsBoQ[[#This Row],[Kg per unit]],"")</f>
        <v>0</v>
      </c>
      <c r="H257" s="632">
        <f>IFERROR(MaterialsBoQ[[#This Row],[Total Kg]]/SUM(MaterialsBoQ[Total Kg],MEPBoQ[Kg estimate]),0)</f>
        <v>0</v>
      </c>
      <c r="I257" s="347"/>
    </row>
    <row r="258" spans="2:9" x14ac:dyDescent="0.25">
      <c r="B258" s="348"/>
      <c r="C258" s="348"/>
      <c r="D258" s="351"/>
      <c r="E258" s="352"/>
      <c r="F258" s="351"/>
      <c r="G258" s="631">
        <f>IFERROR(MaterialsBoQ[[#This Row],[Number]]*MaterialsBoQ[[#This Row],[Kg per unit]],"")</f>
        <v>0</v>
      </c>
      <c r="H258" s="632">
        <f>IFERROR(MaterialsBoQ[[#This Row],[Total Kg]]/SUM(MaterialsBoQ[Total Kg],MEPBoQ[Kg estimate]),0)</f>
        <v>0</v>
      </c>
      <c r="I258" s="347"/>
    </row>
    <row r="259" spans="2:9" x14ac:dyDescent="0.25">
      <c r="B259" s="348"/>
      <c r="C259" s="348"/>
      <c r="D259" s="614"/>
      <c r="E259" s="352"/>
      <c r="F259" s="351"/>
      <c r="G259" s="631">
        <f>IFERROR(MaterialsBoQ[[#This Row],[Number]]*MaterialsBoQ[[#This Row],[Kg per unit]],"")</f>
        <v>0</v>
      </c>
      <c r="H259" s="632">
        <f>IFERROR(MaterialsBoQ[[#This Row],[Total Kg]]/SUM(MaterialsBoQ[Total Kg],MEPBoQ[Kg estimate]),0)</f>
        <v>0</v>
      </c>
      <c r="I259" s="347"/>
    </row>
    <row r="260" spans="2:9" x14ac:dyDescent="0.25">
      <c r="B260" s="348"/>
      <c r="C260" s="348"/>
      <c r="D260" s="351"/>
      <c r="E260" s="352"/>
      <c r="F260" s="351"/>
      <c r="G260" s="631">
        <f>IFERROR(MaterialsBoQ[[#This Row],[Number]]*MaterialsBoQ[[#This Row],[Kg per unit]],"")</f>
        <v>0</v>
      </c>
      <c r="H260" s="632">
        <f>IFERROR(MaterialsBoQ[[#This Row],[Total Kg]]/SUM(MaterialsBoQ[Total Kg],MEPBoQ[Kg estimate]),0)</f>
        <v>0</v>
      </c>
      <c r="I260" s="347"/>
    </row>
    <row r="261" spans="2:9" x14ac:dyDescent="0.25">
      <c r="B261" s="348"/>
      <c r="C261" s="348"/>
      <c r="D261" s="614"/>
      <c r="E261" s="352"/>
      <c r="F261" s="351"/>
      <c r="G261" s="631">
        <f>IFERROR(MaterialsBoQ[[#This Row],[Number]]*MaterialsBoQ[[#This Row],[Kg per unit]],"")</f>
        <v>0</v>
      </c>
      <c r="H261" s="632">
        <f>IFERROR(MaterialsBoQ[[#This Row],[Total Kg]]/SUM(MaterialsBoQ[Total Kg],MEPBoQ[Kg estimate]),0)</f>
        <v>0</v>
      </c>
      <c r="I261" s="347"/>
    </row>
    <row r="262" spans="2:9" x14ac:dyDescent="0.25">
      <c r="B262" s="348"/>
      <c r="C262" s="348"/>
      <c r="D262" s="351"/>
      <c r="E262" s="352"/>
      <c r="F262" s="351"/>
      <c r="G262" s="631">
        <f>IFERROR(MaterialsBoQ[[#This Row],[Number]]*MaterialsBoQ[[#This Row],[Kg per unit]],"")</f>
        <v>0</v>
      </c>
      <c r="H262" s="632">
        <f>IFERROR(MaterialsBoQ[[#This Row],[Total Kg]]/SUM(MaterialsBoQ[Total Kg],MEPBoQ[Kg estimate]),0)</f>
        <v>0</v>
      </c>
      <c r="I262" s="347"/>
    </row>
    <row r="263" spans="2:9" x14ac:dyDescent="0.25">
      <c r="B263" s="348"/>
      <c r="C263" s="348"/>
      <c r="D263" s="351"/>
      <c r="E263" s="352"/>
      <c r="F263" s="351"/>
      <c r="G263" s="631">
        <f>IFERROR(MaterialsBoQ[[#This Row],[Number]]*MaterialsBoQ[[#This Row],[Kg per unit]],"")</f>
        <v>0</v>
      </c>
      <c r="H263" s="632">
        <f>IFERROR(MaterialsBoQ[[#This Row],[Total Kg]]/SUM(MaterialsBoQ[Total Kg],MEPBoQ[Kg estimate]),0)</f>
        <v>0</v>
      </c>
      <c r="I263" s="347"/>
    </row>
    <row r="264" spans="2:9" x14ac:dyDescent="0.25">
      <c r="B264" s="348"/>
      <c r="C264" s="348"/>
      <c r="D264" s="351"/>
      <c r="E264" s="352"/>
      <c r="F264" s="351"/>
      <c r="G264" s="631">
        <f>IFERROR(MaterialsBoQ[[#This Row],[Number]]*MaterialsBoQ[[#This Row],[Kg per unit]],"")</f>
        <v>0</v>
      </c>
      <c r="H264" s="632">
        <f>IFERROR(MaterialsBoQ[[#This Row],[Total Kg]]/SUM(MaterialsBoQ[Total Kg],MEPBoQ[Kg estimate]),0)</f>
        <v>0</v>
      </c>
      <c r="I264" s="347"/>
    </row>
    <row r="265" spans="2:9" x14ac:dyDescent="0.25">
      <c r="B265" s="348"/>
      <c r="C265" s="348"/>
      <c r="D265" s="351"/>
      <c r="E265" s="352"/>
      <c r="F265" s="351"/>
      <c r="G265" s="631">
        <f>IFERROR(MaterialsBoQ[[#This Row],[Number]]*MaterialsBoQ[[#This Row],[Kg per unit]],"")</f>
        <v>0</v>
      </c>
      <c r="H265" s="632">
        <f>IFERROR(MaterialsBoQ[[#This Row],[Total Kg]]/SUM(MaterialsBoQ[Total Kg],MEPBoQ[Kg estimate]),0)</f>
        <v>0</v>
      </c>
      <c r="I265" s="347"/>
    </row>
    <row r="266" spans="2:9" x14ac:dyDescent="0.25">
      <c r="B266" s="348"/>
      <c r="C266" s="348"/>
      <c r="D266" s="351"/>
      <c r="E266" s="352"/>
      <c r="F266" s="351"/>
      <c r="G266" s="631">
        <f>IFERROR(MaterialsBoQ[[#This Row],[Number]]*MaterialsBoQ[[#This Row],[Kg per unit]],"")</f>
        <v>0</v>
      </c>
      <c r="H266" s="632">
        <f>IFERROR(MaterialsBoQ[[#This Row],[Total Kg]]/SUM(MaterialsBoQ[Total Kg],MEPBoQ[Kg estimate]),0)</f>
        <v>0</v>
      </c>
      <c r="I266" s="347"/>
    </row>
    <row r="267" spans="2:9" x14ac:dyDescent="0.25">
      <c r="B267" s="348"/>
      <c r="C267" s="348"/>
      <c r="D267" s="351"/>
      <c r="E267" s="352"/>
      <c r="F267" s="351"/>
      <c r="G267" s="631">
        <f>IFERROR(MaterialsBoQ[[#This Row],[Number]]*MaterialsBoQ[[#This Row],[Kg per unit]],"")</f>
        <v>0</v>
      </c>
      <c r="H267" s="632">
        <f>IFERROR(MaterialsBoQ[[#This Row],[Total Kg]]/SUM(MaterialsBoQ[Total Kg],MEPBoQ[Kg estimate]),0)</f>
        <v>0</v>
      </c>
      <c r="I267" s="347"/>
    </row>
    <row r="268" spans="2:9" x14ac:dyDescent="0.25">
      <c r="B268" s="348"/>
      <c r="C268" s="348"/>
      <c r="D268" s="614"/>
      <c r="E268" s="352"/>
      <c r="F268" s="614"/>
      <c r="G268" s="631">
        <f>IFERROR(MaterialsBoQ[[#This Row],[Number]]*MaterialsBoQ[[#This Row],[Kg per unit]],"")</f>
        <v>0</v>
      </c>
      <c r="H268" s="632">
        <f>IFERROR(MaterialsBoQ[[#This Row],[Total Kg]]/SUM(MaterialsBoQ[Total Kg],MEPBoQ[Kg estimate]),0)</f>
        <v>0</v>
      </c>
      <c r="I268" s="347"/>
    </row>
    <row r="269" spans="2:9" x14ac:dyDescent="0.25">
      <c r="B269" s="348"/>
      <c r="C269" s="348"/>
      <c r="D269" s="351"/>
      <c r="E269" s="352"/>
      <c r="F269" s="614"/>
      <c r="G269" s="631">
        <f>IFERROR(MaterialsBoQ[[#This Row],[Number]]*MaterialsBoQ[[#This Row],[Kg per unit]],"")</f>
        <v>0</v>
      </c>
      <c r="H269" s="632">
        <f>IFERROR(MaterialsBoQ[[#This Row],[Total Kg]]/SUM(MaterialsBoQ[Total Kg],MEPBoQ[Kg estimate]),0)</f>
        <v>0</v>
      </c>
      <c r="I269" s="347"/>
    </row>
    <row r="270" spans="2:9" x14ac:dyDescent="0.25">
      <c r="B270" s="348"/>
      <c r="C270" s="348"/>
      <c r="D270" s="614"/>
      <c r="E270" s="352"/>
      <c r="F270" s="614"/>
      <c r="G270" s="631">
        <f>IFERROR(MaterialsBoQ[[#This Row],[Number]]*MaterialsBoQ[[#This Row],[Kg per unit]],"")</f>
        <v>0</v>
      </c>
      <c r="H270" s="632">
        <f>IFERROR(MaterialsBoQ[[#This Row],[Total Kg]]/SUM(MaterialsBoQ[Total Kg],MEPBoQ[Kg estimate]),0)</f>
        <v>0</v>
      </c>
      <c r="I270" s="347"/>
    </row>
    <row r="271" spans="2:9" x14ac:dyDescent="0.25">
      <c r="B271" s="348"/>
      <c r="C271" s="348"/>
      <c r="D271" s="351"/>
      <c r="E271" s="352"/>
      <c r="F271" s="614"/>
      <c r="G271" s="631">
        <f>IFERROR(MaterialsBoQ[[#This Row],[Number]]*MaterialsBoQ[[#This Row],[Kg per unit]],"")</f>
        <v>0</v>
      </c>
      <c r="H271" s="632">
        <f>IFERROR(MaterialsBoQ[[#This Row],[Total Kg]]/SUM(MaterialsBoQ[Total Kg],MEPBoQ[Kg estimate]),0)</f>
        <v>0</v>
      </c>
      <c r="I271" s="347"/>
    </row>
    <row r="272" spans="2:9" x14ac:dyDescent="0.25">
      <c r="B272" s="348"/>
      <c r="C272" s="348"/>
      <c r="D272" s="351"/>
      <c r="E272" s="352"/>
      <c r="F272" s="614"/>
      <c r="G272" s="631">
        <f>IFERROR(MaterialsBoQ[[#This Row],[Number]]*MaterialsBoQ[[#This Row],[Kg per unit]],"")</f>
        <v>0</v>
      </c>
      <c r="H272" s="632">
        <f>IFERROR(MaterialsBoQ[[#This Row],[Total Kg]]/SUM(MaterialsBoQ[Total Kg],MEPBoQ[Kg estimate]),0)</f>
        <v>0</v>
      </c>
      <c r="I272" s="347"/>
    </row>
    <row r="273" spans="2:9" x14ac:dyDescent="0.25">
      <c r="B273" s="348"/>
      <c r="C273" s="348"/>
      <c r="D273" s="351"/>
      <c r="E273" s="352"/>
      <c r="F273" s="351"/>
      <c r="G273" s="631">
        <f>IFERROR(MaterialsBoQ[[#This Row],[Number]]*MaterialsBoQ[[#This Row],[Kg per unit]],"")</f>
        <v>0</v>
      </c>
      <c r="H273" s="632">
        <f>IFERROR(MaterialsBoQ[[#This Row],[Total Kg]]/SUM(MaterialsBoQ[Total Kg],MEPBoQ[Kg estimate]),0)</f>
        <v>0</v>
      </c>
      <c r="I273" s="347"/>
    </row>
    <row r="274" spans="2:9" x14ac:dyDescent="0.25">
      <c r="B274" s="348"/>
      <c r="C274" s="348"/>
      <c r="D274" s="351"/>
      <c r="E274" s="352"/>
      <c r="F274" s="614"/>
      <c r="G274" s="631">
        <f>IFERROR(MaterialsBoQ[[#This Row],[Number]]*MaterialsBoQ[[#This Row],[Kg per unit]],"")</f>
        <v>0</v>
      </c>
      <c r="H274" s="632">
        <f>IFERROR(MaterialsBoQ[[#This Row],[Total Kg]]/SUM(MaterialsBoQ[Total Kg],MEPBoQ[Kg estimate]),0)</f>
        <v>0</v>
      </c>
      <c r="I274" s="347"/>
    </row>
    <row r="275" spans="2:9" x14ac:dyDescent="0.25">
      <c r="B275" s="348"/>
      <c r="C275" s="348"/>
      <c r="D275" s="351"/>
      <c r="E275" s="352"/>
      <c r="F275" s="351"/>
      <c r="G275" s="631">
        <f>IFERROR(MaterialsBoQ[[#This Row],[Number]]*MaterialsBoQ[[#This Row],[Kg per unit]],"")</f>
        <v>0</v>
      </c>
      <c r="H275" s="632">
        <f>IFERROR(MaterialsBoQ[[#This Row],[Total Kg]]/SUM(MaterialsBoQ[Total Kg],MEPBoQ[Kg estimate]),0)</f>
        <v>0</v>
      </c>
      <c r="I275" s="347"/>
    </row>
    <row r="276" spans="2:9" x14ac:dyDescent="0.25">
      <c r="B276" s="348"/>
      <c r="C276" s="348"/>
      <c r="D276" s="614"/>
      <c r="E276" s="352"/>
      <c r="F276" s="351"/>
      <c r="G276" s="631">
        <f>IFERROR(MaterialsBoQ[[#This Row],[Number]]*MaterialsBoQ[[#This Row],[Kg per unit]],"")</f>
        <v>0</v>
      </c>
      <c r="H276" s="632">
        <f>IFERROR(MaterialsBoQ[[#This Row],[Total Kg]]/SUM(MaterialsBoQ[Total Kg],MEPBoQ[Kg estimate]),0)</f>
        <v>0</v>
      </c>
      <c r="I276" s="347"/>
    </row>
    <row r="277" spans="2:9" x14ac:dyDescent="0.25">
      <c r="B277" s="348"/>
      <c r="C277" s="348"/>
      <c r="D277" s="614"/>
      <c r="E277" s="352"/>
      <c r="F277" s="614"/>
      <c r="G277" s="631">
        <f>IFERROR(MaterialsBoQ[[#This Row],[Number]]*MaterialsBoQ[[#This Row],[Kg per unit]],"")</f>
        <v>0</v>
      </c>
      <c r="H277" s="632">
        <f>IFERROR(MaterialsBoQ[[#This Row],[Total Kg]]/SUM(MaterialsBoQ[Total Kg],MEPBoQ[Kg estimate]),0)</f>
        <v>0</v>
      </c>
      <c r="I277" s="347"/>
    </row>
    <row r="278" spans="2:9" x14ac:dyDescent="0.25">
      <c r="B278" s="348"/>
      <c r="C278" s="348"/>
      <c r="D278" s="351"/>
      <c r="E278" s="352"/>
      <c r="F278" s="351"/>
      <c r="G278" s="631">
        <f>IFERROR(MaterialsBoQ[[#This Row],[Number]]*MaterialsBoQ[[#This Row],[Kg per unit]],"")</f>
        <v>0</v>
      </c>
      <c r="H278" s="632">
        <f>IFERROR(MaterialsBoQ[[#This Row],[Total Kg]]/SUM(MaterialsBoQ[Total Kg],MEPBoQ[Kg estimate]),0)</f>
        <v>0</v>
      </c>
      <c r="I278" s="347"/>
    </row>
    <row r="279" spans="2:9" x14ac:dyDescent="0.25">
      <c r="B279" s="348"/>
      <c r="C279" s="348"/>
      <c r="D279" s="351"/>
      <c r="E279" s="352"/>
      <c r="F279" s="614"/>
      <c r="G279" s="631">
        <f>IFERROR(MaterialsBoQ[[#This Row],[Number]]*MaterialsBoQ[[#This Row],[Kg per unit]],"")</f>
        <v>0</v>
      </c>
      <c r="H279" s="632">
        <f>IFERROR(MaterialsBoQ[[#This Row],[Total Kg]]/SUM(MaterialsBoQ[Total Kg],MEPBoQ[Kg estimate]),0)</f>
        <v>0</v>
      </c>
      <c r="I279" s="347"/>
    </row>
    <row r="280" spans="2:9" x14ac:dyDescent="0.25">
      <c r="B280" s="348"/>
      <c r="C280" s="348"/>
      <c r="D280" s="614"/>
      <c r="E280" s="352"/>
      <c r="F280" s="614"/>
      <c r="G280" s="631">
        <f>IFERROR(MaterialsBoQ[[#This Row],[Number]]*MaterialsBoQ[[#This Row],[Kg per unit]],"")</f>
        <v>0</v>
      </c>
      <c r="H280" s="632">
        <f>IFERROR(MaterialsBoQ[[#This Row],[Total Kg]]/SUM(MaterialsBoQ[Total Kg],MEPBoQ[Kg estimate]),0)</f>
        <v>0</v>
      </c>
      <c r="I280" s="347"/>
    </row>
    <row r="281" spans="2:9" x14ac:dyDescent="0.25">
      <c r="B281" s="348"/>
      <c r="C281" s="348"/>
      <c r="D281" s="351"/>
      <c r="E281" s="352"/>
      <c r="F281" s="351"/>
      <c r="G281" s="631">
        <f>IFERROR(MaterialsBoQ[[#This Row],[Number]]*MaterialsBoQ[[#This Row],[Kg per unit]],"")</f>
        <v>0</v>
      </c>
      <c r="H281" s="632">
        <f>IFERROR(MaterialsBoQ[[#This Row],[Total Kg]]/SUM(MaterialsBoQ[Total Kg],MEPBoQ[Kg estimate]),0)</f>
        <v>0</v>
      </c>
      <c r="I281" s="347"/>
    </row>
    <row r="282" spans="2:9" x14ac:dyDescent="0.25">
      <c r="B282" s="348"/>
      <c r="C282" s="348"/>
      <c r="D282" s="351"/>
      <c r="E282" s="352"/>
      <c r="F282" s="351"/>
      <c r="G282" s="631">
        <f>IFERROR(MaterialsBoQ[[#This Row],[Number]]*MaterialsBoQ[[#This Row],[Kg per unit]],"")</f>
        <v>0</v>
      </c>
      <c r="H282" s="632">
        <f>IFERROR(MaterialsBoQ[[#This Row],[Total Kg]]/SUM(MaterialsBoQ[Total Kg],MEPBoQ[Kg estimate]),0)</f>
        <v>0</v>
      </c>
      <c r="I282" s="347"/>
    </row>
    <row r="283" spans="2:9" x14ac:dyDescent="0.25">
      <c r="B283" s="348"/>
      <c r="C283" s="348"/>
      <c r="D283" s="351"/>
      <c r="E283" s="352"/>
      <c r="F283" s="351"/>
      <c r="G283" s="631">
        <f>IFERROR(MaterialsBoQ[[#This Row],[Number]]*MaterialsBoQ[[#This Row],[Kg per unit]],"")</f>
        <v>0</v>
      </c>
      <c r="H283" s="632">
        <f>IFERROR(MaterialsBoQ[[#This Row],[Total Kg]]/SUM(MaterialsBoQ[Total Kg],MEPBoQ[Kg estimate]),0)</f>
        <v>0</v>
      </c>
      <c r="I283" s="347"/>
    </row>
    <row r="284" spans="2:9" x14ac:dyDescent="0.25">
      <c r="B284" s="348"/>
      <c r="C284" s="348"/>
      <c r="D284" s="351"/>
      <c r="E284" s="352"/>
      <c r="F284" s="614"/>
      <c r="G284" s="631">
        <f>IFERROR(MaterialsBoQ[[#This Row],[Number]]*MaterialsBoQ[[#This Row],[Kg per unit]],"")</f>
        <v>0</v>
      </c>
      <c r="H284" s="632">
        <f>IFERROR(MaterialsBoQ[[#This Row],[Total Kg]]/SUM(MaterialsBoQ[Total Kg],MEPBoQ[Kg estimate]),0)</f>
        <v>0</v>
      </c>
      <c r="I284" s="347"/>
    </row>
    <row r="285" spans="2:9" x14ac:dyDescent="0.25">
      <c r="B285" s="348"/>
      <c r="C285" s="348"/>
      <c r="D285" s="351"/>
      <c r="E285" s="352"/>
      <c r="F285" s="351"/>
      <c r="G285" s="631">
        <f>IFERROR(MaterialsBoQ[[#This Row],[Number]]*MaterialsBoQ[[#This Row],[Kg per unit]],"")</f>
        <v>0</v>
      </c>
      <c r="H285" s="632">
        <f>IFERROR(MaterialsBoQ[[#This Row],[Total Kg]]/SUM(MaterialsBoQ[Total Kg],MEPBoQ[Kg estimate]),0)</f>
        <v>0</v>
      </c>
      <c r="I285" s="347"/>
    </row>
    <row r="286" spans="2:9" x14ac:dyDescent="0.25">
      <c r="B286" s="348"/>
      <c r="C286" s="348"/>
      <c r="D286" s="351"/>
      <c r="E286" s="352"/>
      <c r="F286" s="614"/>
      <c r="G286" s="631">
        <f>IFERROR(MaterialsBoQ[[#This Row],[Number]]*MaterialsBoQ[[#This Row],[Kg per unit]],"")</f>
        <v>0</v>
      </c>
      <c r="H286" s="632">
        <f>IFERROR(MaterialsBoQ[[#This Row],[Total Kg]]/SUM(MaterialsBoQ[Total Kg],MEPBoQ[Kg estimate]),0)</f>
        <v>0</v>
      </c>
      <c r="I286" s="347"/>
    </row>
    <row r="287" spans="2:9" x14ac:dyDescent="0.25">
      <c r="B287" s="348"/>
      <c r="C287" s="348"/>
      <c r="D287" s="351"/>
      <c r="E287" s="352"/>
      <c r="F287" s="351"/>
      <c r="G287" s="631">
        <f>IFERROR(MaterialsBoQ[[#This Row],[Number]]*MaterialsBoQ[[#This Row],[Kg per unit]],"")</f>
        <v>0</v>
      </c>
      <c r="H287" s="632">
        <f>IFERROR(MaterialsBoQ[[#This Row],[Total Kg]]/SUM(MaterialsBoQ[Total Kg],MEPBoQ[Kg estimate]),0)</f>
        <v>0</v>
      </c>
      <c r="I287" s="347"/>
    </row>
    <row r="288" spans="2:9" x14ac:dyDescent="0.25">
      <c r="B288" s="348"/>
      <c r="C288" s="348"/>
      <c r="D288" s="351"/>
      <c r="E288" s="352"/>
      <c r="F288" s="351"/>
      <c r="G288" s="631">
        <f>IFERROR(MaterialsBoQ[[#This Row],[Number]]*MaterialsBoQ[[#This Row],[Kg per unit]],"")</f>
        <v>0</v>
      </c>
      <c r="H288" s="632">
        <f>IFERROR(MaterialsBoQ[[#This Row],[Total Kg]]/SUM(MaterialsBoQ[Total Kg],MEPBoQ[Kg estimate]),0)</f>
        <v>0</v>
      </c>
      <c r="I288" s="347"/>
    </row>
    <row r="289" spans="2:9" x14ac:dyDescent="0.25">
      <c r="B289" s="348"/>
      <c r="C289" s="348"/>
      <c r="D289" s="351"/>
      <c r="E289" s="352"/>
      <c r="F289" s="351"/>
      <c r="G289" s="631">
        <f>IFERROR(MaterialsBoQ[[#This Row],[Number]]*MaterialsBoQ[[#This Row],[Kg per unit]],"")</f>
        <v>0</v>
      </c>
      <c r="H289" s="632">
        <f>IFERROR(MaterialsBoQ[[#This Row],[Total Kg]]/SUM(MaterialsBoQ[Total Kg],MEPBoQ[Kg estimate]),0)</f>
        <v>0</v>
      </c>
      <c r="I289" s="347"/>
    </row>
    <row r="290" spans="2:9" x14ac:dyDescent="0.25">
      <c r="B290" s="348"/>
      <c r="C290" s="348"/>
      <c r="D290" s="351"/>
      <c r="E290" s="352"/>
      <c r="F290" s="351"/>
      <c r="G290" s="631">
        <f>IFERROR(MaterialsBoQ[[#This Row],[Number]]*MaterialsBoQ[[#This Row],[Kg per unit]],"")</f>
        <v>0</v>
      </c>
      <c r="H290" s="632">
        <f>IFERROR(MaterialsBoQ[[#This Row],[Total Kg]]/SUM(MaterialsBoQ[Total Kg],MEPBoQ[Kg estimate]),0)</f>
        <v>0</v>
      </c>
      <c r="I290" s="347"/>
    </row>
    <row r="291" spans="2:9" x14ac:dyDescent="0.25">
      <c r="B291" s="348"/>
      <c r="C291" s="348"/>
      <c r="D291" s="351"/>
      <c r="E291" s="352"/>
      <c r="F291" s="351"/>
      <c r="G291" s="631">
        <f>IFERROR(MaterialsBoQ[[#This Row],[Number]]*MaterialsBoQ[[#This Row],[Kg per unit]],"")</f>
        <v>0</v>
      </c>
      <c r="H291" s="632">
        <f>IFERROR(MaterialsBoQ[[#This Row],[Total Kg]]/SUM(MaterialsBoQ[Total Kg],MEPBoQ[Kg estimate]),0)</f>
        <v>0</v>
      </c>
      <c r="I291" s="347"/>
    </row>
    <row r="292" spans="2:9" x14ac:dyDescent="0.25">
      <c r="B292" s="348"/>
      <c r="C292" s="348"/>
      <c r="D292" s="614"/>
      <c r="E292" s="352"/>
      <c r="F292" s="614"/>
      <c r="G292" s="631">
        <f>IFERROR(MaterialsBoQ[[#This Row],[Number]]*MaterialsBoQ[[#This Row],[Kg per unit]],"")</f>
        <v>0</v>
      </c>
      <c r="H292" s="632">
        <f>IFERROR(MaterialsBoQ[[#This Row],[Total Kg]]/SUM(MaterialsBoQ[Total Kg],MEPBoQ[Kg estimate]),0)</f>
        <v>0</v>
      </c>
      <c r="I292" s="347"/>
    </row>
    <row r="293" spans="2:9" x14ac:dyDescent="0.25">
      <c r="B293" s="348"/>
      <c r="C293" s="348"/>
      <c r="D293" s="614"/>
      <c r="E293" s="352"/>
      <c r="F293" s="614"/>
      <c r="G293" s="631">
        <f>IFERROR(MaterialsBoQ[[#This Row],[Number]]*MaterialsBoQ[[#This Row],[Kg per unit]],"")</f>
        <v>0</v>
      </c>
      <c r="H293" s="632">
        <f>IFERROR(MaterialsBoQ[[#This Row],[Total Kg]]/SUM(MaterialsBoQ[Total Kg],MEPBoQ[Kg estimate]),0)</f>
        <v>0</v>
      </c>
      <c r="I293" s="347"/>
    </row>
    <row r="294" spans="2:9" x14ac:dyDescent="0.25">
      <c r="B294" s="348"/>
      <c r="C294" s="348"/>
      <c r="D294" s="614"/>
      <c r="E294" s="352"/>
      <c r="F294" s="351"/>
      <c r="G294" s="631">
        <f>IFERROR(MaterialsBoQ[[#This Row],[Number]]*MaterialsBoQ[[#This Row],[Kg per unit]],"")</f>
        <v>0</v>
      </c>
      <c r="H294" s="632">
        <f>IFERROR(MaterialsBoQ[[#This Row],[Total Kg]]/SUM(MaterialsBoQ[Total Kg],MEPBoQ[Kg estimate]),0)</f>
        <v>0</v>
      </c>
      <c r="I294" s="347"/>
    </row>
    <row r="295" spans="2:9" x14ac:dyDescent="0.25">
      <c r="B295" s="348"/>
      <c r="C295" s="348"/>
      <c r="D295" s="614"/>
      <c r="E295" s="352"/>
      <c r="F295" s="614"/>
      <c r="G295" s="746">
        <f>IFERROR(MaterialsBoQ[[#This Row],[Number]]*MaterialsBoQ[[#This Row],[Kg per unit]],"")</f>
        <v>0</v>
      </c>
      <c r="H295" s="632">
        <f>IFERROR(MaterialsBoQ[[#This Row],[Total Kg]]/SUM(MaterialsBoQ[Total Kg],MEPBoQ[Kg estimate]),0)</f>
        <v>0</v>
      </c>
      <c r="I295" s="347"/>
    </row>
    <row r="296" spans="2:9" x14ac:dyDescent="0.25">
      <c r="B296" s="615"/>
      <c r="C296" s="616"/>
      <c r="D296" s="617"/>
      <c r="E296" s="618"/>
      <c r="F296" s="617"/>
      <c r="G296" s="633">
        <f>IFERROR(MaterialsBoQ[[#This Row],[Number]]*MaterialsBoQ[[#This Row],[Kg per unit]],"")</f>
        <v>0</v>
      </c>
      <c r="H296" s="634">
        <f>IFERROR(MaterialsBoQ[[#This Row],[Total Kg]]/SUM(MaterialsBoQ[Total Kg],MEPBoQ[Kg estimate]),0)</f>
        <v>0</v>
      </c>
      <c r="I296" s="567"/>
    </row>
    <row r="298" spans="2:9" x14ac:dyDescent="0.25">
      <c r="B298" s="8" t="s">
        <v>1587</v>
      </c>
    </row>
  </sheetData>
  <sheetProtection insertRows="0" sort="0" autoFilter="0"/>
  <protectedRanges>
    <protectedRange sqref="I3:I295" name="Range2"/>
    <protectedRange sqref="F3:F255 F257:F296 B3:E295" name="Range1"/>
  </protectedRanges>
  <mergeCells count="5">
    <mergeCell ref="K16:R16"/>
    <mergeCell ref="K3:R6"/>
    <mergeCell ref="K7:R7"/>
    <mergeCell ref="K8:R11"/>
    <mergeCell ref="K12:R15"/>
  </mergeCells>
  <phoneticPr fontId="7" type="noConversion"/>
  <conditionalFormatting sqref="H3:H296">
    <cfRule type="cellIs" dxfId="21" priority="1" operator="greaterThan">
      <formula>10</formula>
    </cfRule>
  </conditionalFormatting>
  <dataValidations xWindow="800" yWindow="247" count="2">
    <dataValidation allowBlank="1" showInputMessage="1" showErrorMessage="1" promptTitle="Choose the unit of measurement" prompt="Choose how the material is measured (volume, mass, number quantity etc.)" sqref="E100:E295" xr:uid="{80358330-53F1-47A9-96C3-0B8CB437F42B}"/>
    <dataValidation type="whole" allowBlank="1" showInputMessage="1" showErrorMessage="1" promptTitle="Number of units" prompt="Input the number of units here" sqref="D100:E295" xr:uid="{3DD6CBA8-A7C9-47E3-B59B-5B0972DF07DE}">
      <formula1>0</formula1>
      <formula2>999999999999</formula2>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xWindow="800" yWindow="247" count="2">
        <x14:dataValidation type="list" allowBlank="1" showInputMessage="1" showErrorMessage="1" xr:uid="{00D949AF-D95F-4EE3-96CE-797D570B5A22}">
          <x14:formula1>
            <xm:f>Results!$D$5:$D$30</xm:f>
          </x14:formula1>
          <xm:sqref>C3:C296</xm:sqref>
        </x14:dataValidation>
        <x14:dataValidation type="list" allowBlank="1" showInputMessage="1" showErrorMessage="1" xr:uid="{8376C644-DB8C-420F-8E0B-AAB31A9112B9}">
          <x14:formula1>
            <xm:f>'Materials Data'!$A$2:$A$996</xm:f>
          </x14:formula1>
          <xm:sqref>B3:B295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ACA86-F31C-4C56-9756-81B78BDB7F32}">
  <sheetPr codeName="Sheet14">
    <tabColor rgb="FFFFC000"/>
  </sheetPr>
  <dimension ref="B1:S32"/>
  <sheetViews>
    <sheetView showGridLines="0" workbookViewId="0">
      <selection activeCell="M27" sqref="M27"/>
    </sheetView>
  </sheetViews>
  <sheetFormatPr defaultColWidth="8.88671875" defaultRowHeight="13.2" x14ac:dyDescent="0.25"/>
  <cols>
    <col min="1" max="1" width="2.6640625" style="8" customWidth="1"/>
    <col min="2" max="2" width="22.33203125" style="8" customWidth="1"/>
    <col min="3" max="3" width="12.5546875" style="8" customWidth="1"/>
    <col min="4" max="4" width="5.44140625" style="8" customWidth="1"/>
    <col min="5" max="5" width="19.44140625" style="374" customWidth="1"/>
    <col min="6" max="6" width="8.88671875" style="8"/>
    <col min="7" max="7" width="5.5546875" style="8" customWidth="1"/>
    <col min="8" max="16384" width="8.88671875" style="8"/>
  </cols>
  <sheetData>
    <row r="1" spans="2:19" ht="15.6" customHeight="1" x14ac:dyDescent="0.25"/>
    <row r="2" spans="2:19" s="336" customFormat="1" ht="30" customHeight="1" x14ac:dyDescent="0.3">
      <c r="B2" s="353" t="s">
        <v>533</v>
      </c>
      <c r="C2" s="353" t="s">
        <v>535</v>
      </c>
      <c r="D2" s="353" t="s">
        <v>536</v>
      </c>
      <c r="E2" s="353" t="s">
        <v>1344</v>
      </c>
      <c r="F2" s="382" t="s">
        <v>1122</v>
      </c>
      <c r="H2" s="360" t="s">
        <v>1323</v>
      </c>
    </row>
    <row r="3" spans="2:19" x14ac:dyDescent="0.25">
      <c r="B3" s="375" t="s">
        <v>537</v>
      </c>
      <c r="C3" s="351"/>
      <c r="D3" s="375" t="s">
        <v>483</v>
      </c>
      <c r="E3" s="375" t="s">
        <v>426</v>
      </c>
      <c r="F3" s="636">
        <f>IFERROR(MEPBoQ[[#This Row],[Kg estimate]]/SUM(MEPBoQ[Kg estimate],'Materials BoQ'!G:G),"-")</f>
        <v>0</v>
      </c>
      <c r="H3" s="829" t="s">
        <v>1343</v>
      </c>
      <c r="I3" s="830"/>
      <c r="J3" s="830"/>
      <c r="K3" s="830"/>
      <c r="L3" s="830"/>
      <c r="M3" s="830"/>
      <c r="N3" s="830"/>
      <c r="O3" s="830"/>
      <c r="P3" s="376"/>
      <c r="Q3" s="376"/>
      <c r="R3" s="376"/>
      <c r="S3" s="377"/>
    </row>
    <row r="4" spans="2:19" x14ac:dyDescent="0.25">
      <c r="B4" s="375" t="s">
        <v>538</v>
      </c>
      <c r="C4" s="351"/>
      <c r="D4" s="375" t="s">
        <v>483</v>
      </c>
      <c r="E4" s="375" t="s">
        <v>426</v>
      </c>
      <c r="F4" s="636">
        <f>IFERROR(MEPBoQ[[#This Row],[Kg estimate]]/SUM(MEPBoQ[Kg estimate],'Materials BoQ'!G:G),"-")</f>
        <v>0</v>
      </c>
      <c r="H4" s="831"/>
      <c r="I4" s="753"/>
      <c r="J4" s="753"/>
      <c r="K4" s="753"/>
      <c r="L4" s="753"/>
      <c r="M4" s="753"/>
      <c r="N4" s="753"/>
      <c r="O4" s="753"/>
      <c r="S4" s="350"/>
    </row>
    <row r="5" spans="2:19" x14ac:dyDescent="0.25">
      <c r="B5" s="375" t="s">
        <v>539</v>
      </c>
      <c r="C5" s="351"/>
      <c r="D5" s="375" t="s">
        <v>483</v>
      </c>
      <c r="E5" s="375" t="s">
        <v>426</v>
      </c>
      <c r="F5" s="636">
        <f>IFERROR(MEPBoQ[[#This Row],[Kg estimate]]/SUM(MEPBoQ[Kg estimate],'Materials BoQ'!G:G),"-")</f>
        <v>0</v>
      </c>
      <c r="H5" s="831"/>
      <c r="I5" s="753"/>
      <c r="J5" s="753"/>
      <c r="K5" s="753"/>
      <c r="L5" s="753"/>
      <c r="M5" s="753"/>
      <c r="N5" s="753"/>
      <c r="O5" s="753"/>
      <c r="S5" s="350"/>
    </row>
    <row r="6" spans="2:19" x14ac:dyDescent="0.25">
      <c r="B6" s="375" t="s">
        <v>540</v>
      </c>
      <c r="C6" s="351"/>
      <c r="D6" s="375" t="s">
        <v>483</v>
      </c>
      <c r="E6" s="375" t="s">
        <v>426</v>
      </c>
      <c r="F6" s="636">
        <f>IFERROR(MEPBoQ[[#This Row],[Kg estimate]]/SUM(MEPBoQ[Kg estimate],'Materials BoQ'!G:G),"-")</f>
        <v>0</v>
      </c>
      <c r="H6" s="831"/>
      <c r="I6" s="753"/>
      <c r="J6" s="753"/>
      <c r="K6" s="753"/>
      <c r="L6" s="753"/>
      <c r="M6" s="753"/>
      <c r="N6" s="753"/>
      <c r="O6" s="753"/>
      <c r="S6" s="350"/>
    </row>
    <row r="7" spans="2:19" x14ac:dyDescent="0.25">
      <c r="B7" s="375" t="s">
        <v>541</v>
      </c>
      <c r="C7" s="351"/>
      <c r="D7" s="375" t="s">
        <v>483</v>
      </c>
      <c r="E7" s="375" t="s">
        <v>426</v>
      </c>
      <c r="F7" s="636">
        <f>IFERROR(MEPBoQ[[#This Row],[Kg estimate]]/SUM(MEPBoQ[Kg estimate],'Materials BoQ'!G:G),"-")</f>
        <v>0</v>
      </c>
      <c r="H7" s="831"/>
      <c r="I7" s="753"/>
      <c r="J7" s="753"/>
      <c r="K7" s="753"/>
      <c r="L7" s="753"/>
      <c r="M7" s="753"/>
      <c r="N7" s="753"/>
      <c r="O7" s="753"/>
      <c r="S7" s="350"/>
    </row>
    <row r="8" spans="2:19" x14ac:dyDescent="0.25">
      <c r="B8" s="375" t="s">
        <v>542</v>
      </c>
      <c r="C8" s="351"/>
      <c r="D8" s="375" t="s">
        <v>483</v>
      </c>
      <c r="E8" s="375" t="s">
        <v>426</v>
      </c>
      <c r="F8" s="636">
        <f>IFERROR(MEPBoQ[[#This Row],[Kg estimate]]/SUM(MEPBoQ[Kg estimate],'Materials BoQ'!G:G),"-")</f>
        <v>0</v>
      </c>
      <c r="H8" s="829" t="s">
        <v>1345</v>
      </c>
      <c r="I8" s="830"/>
      <c r="J8" s="830"/>
      <c r="K8" s="830"/>
      <c r="L8" s="830"/>
      <c r="M8" s="830"/>
      <c r="N8" s="830"/>
      <c r="O8" s="830"/>
      <c r="P8" s="376"/>
      <c r="Q8" s="376"/>
      <c r="R8" s="376"/>
      <c r="S8" s="377"/>
    </row>
    <row r="9" spans="2:19" x14ac:dyDescent="0.25">
      <c r="B9" s="375" t="s">
        <v>543</v>
      </c>
      <c r="C9" s="351"/>
      <c r="D9" s="375" t="s">
        <v>483</v>
      </c>
      <c r="E9" s="375" t="s">
        <v>426</v>
      </c>
      <c r="F9" s="636">
        <f>IFERROR(MEPBoQ[[#This Row],[Kg estimate]]/SUM(MEPBoQ[Kg estimate],'Materials BoQ'!G:G),"-")</f>
        <v>0</v>
      </c>
      <c r="H9" s="831"/>
      <c r="I9" s="753"/>
      <c r="J9" s="753"/>
      <c r="K9" s="753"/>
      <c r="L9" s="753"/>
      <c r="M9" s="753"/>
      <c r="N9" s="753"/>
      <c r="O9" s="753"/>
      <c r="S9" s="350"/>
    </row>
    <row r="10" spans="2:19" x14ac:dyDescent="0.25">
      <c r="B10" s="375" t="s">
        <v>544</v>
      </c>
      <c r="C10" s="351"/>
      <c r="D10" s="375" t="s">
        <v>483</v>
      </c>
      <c r="E10" s="375" t="s">
        <v>420</v>
      </c>
      <c r="F10" s="636">
        <f>IFERROR(MEPBoQ[[#This Row],[Kg estimate]]/SUM(MEPBoQ[Kg estimate],'Materials BoQ'!G:G),"-")</f>
        <v>0</v>
      </c>
      <c r="H10" s="832"/>
      <c r="I10" s="833"/>
      <c r="J10" s="833"/>
      <c r="K10" s="833"/>
      <c r="L10" s="833"/>
      <c r="M10" s="833"/>
      <c r="N10" s="833"/>
      <c r="O10" s="833"/>
      <c r="P10" s="345"/>
      <c r="Q10" s="345"/>
      <c r="R10" s="345"/>
      <c r="S10" s="378"/>
    </row>
    <row r="11" spans="2:19" x14ac:dyDescent="0.25">
      <c r="B11" s="375" t="s">
        <v>545</v>
      </c>
      <c r="C11" s="351"/>
      <c r="D11" s="375" t="s">
        <v>483</v>
      </c>
      <c r="E11" s="375" t="s">
        <v>420</v>
      </c>
      <c r="F11" s="636">
        <f>IFERROR(MEPBoQ[[#This Row],[Kg estimate]]/SUM(MEPBoQ[Kg estimate],'Materials BoQ'!G:G),"-")</f>
        <v>0</v>
      </c>
      <c r="H11" s="834" t="s">
        <v>1097</v>
      </c>
      <c r="I11" s="835"/>
      <c r="J11" s="835"/>
      <c r="K11" s="835"/>
      <c r="L11" s="835"/>
      <c r="M11" s="835"/>
      <c r="N11" s="835"/>
      <c r="O11" s="835"/>
      <c r="P11" s="835"/>
      <c r="Q11" s="835"/>
      <c r="R11" s="835"/>
      <c r="S11" s="836"/>
    </row>
    <row r="12" spans="2:19" x14ac:dyDescent="0.25">
      <c r="B12" s="375" t="s">
        <v>529</v>
      </c>
      <c r="C12" s="351"/>
      <c r="D12" s="375" t="s">
        <v>483</v>
      </c>
      <c r="E12" s="375" t="s">
        <v>422</v>
      </c>
      <c r="F12" s="636">
        <f>IFERROR(MEPBoQ[[#This Row],[Kg estimate]]/SUM(MEPBoQ[Kg estimate],'Materials BoQ'!G:G),"-")</f>
        <v>0</v>
      </c>
      <c r="H12" s="837" t="s">
        <v>1096</v>
      </c>
      <c r="I12" s="838"/>
      <c r="J12" s="838"/>
      <c r="K12" s="838"/>
      <c r="L12" s="838"/>
      <c r="M12" s="838"/>
      <c r="N12" s="838"/>
      <c r="O12" s="838"/>
      <c r="P12" s="838"/>
      <c r="Q12" s="838"/>
      <c r="R12" s="838"/>
      <c r="S12" s="839"/>
    </row>
    <row r="13" spans="2:19" x14ac:dyDescent="0.25">
      <c r="B13" s="375" t="s">
        <v>546</v>
      </c>
      <c r="C13" s="351"/>
      <c r="D13" s="375" t="s">
        <v>483</v>
      </c>
      <c r="E13" s="375" t="s">
        <v>422</v>
      </c>
      <c r="F13" s="636">
        <f>IFERROR(MEPBoQ[[#This Row],[Kg estimate]]/SUM(MEPBoQ[Kg estimate],'Materials BoQ'!G:G),"-")</f>
        <v>0</v>
      </c>
    </row>
    <row r="14" spans="2:19" x14ac:dyDescent="0.25">
      <c r="B14" s="375" t="s">
        <v>547</v>
      </c>
      <c r="C14" s="351"/>
      <c r="D14" s="375" t="s">
        <v>483</v>
      </c>
      <c r="E14" s="375" t="s">
        <v>423</v>
      </c>
      <c r="F14" s="636">
        <f>IFERROR(MEPBoQ[[#This Row],[Kg estimate]]/SUM(MEPBoQ[Kg estimate],'Materials BoQ'!G:G),"-")</f>
        <v>0</v>
      </c>
    </row>
    <row r="15" spans="2:19" x14ac:dyDescent="0.25">
      <c r="B15" s="375" t="s">
        <v>548</v>
      </c>
      <c r="C15" s="351"/>
      <c r="D15" s="375" t="s">
        <v>483</v>
      </c>
      <c r="E15" s="375" t="s">
        <v>426</v>
      </c>
      <c r="F15" s="636">
        <f>IFERROR(MEPBoQ[[#This Row],[Kg estimate]]/SUM(MEPBoQ[Kg estimate],'Materials BoQ'!G:G),"-")</f>
        <v>0</v>
      </c>
    </row>
    <row r="16" spans="2:19" x14ac:dyDescent="0.25">
      <c r="B16" s="375" t="s">
        <v>549</v>
      </c>
      <c r="C16" s="351"/>
      <c r="D16" s="375" t="s">
        <v>483</v>
      </c>
      <c r="E16" s="375" t="s">
        <v>426</v>
      </c>
      <c r="F16" s="636">
        <f>IFERROR(MEPBoQ[[#This Row],[Kg estimate]]/SUM(MEPBoQ[Kg estimate],'Materials BoQ'!G:G),"-")</f>
        <v>0</v>
      </c>
    </row>
    <row r="17" spans="2:9" x14ac:dyDescent="0.25">
      <c r="B17" s="375" t="s">
        <v>550</v>
      </c>
      <c r="C17" s="351"/>
      <c r="D17" s="375" t="s">
        <v>483</v>
      </c>
      <c r="E17" s="375" t="s">
        <v>426</v>
      </c>
      <c r="F17" s="636">
        <f>IFERROR(MEPBoQ[[#This Row],[Kg estimate]]/SUM(MEPBoQ[Kg estimate],'Materials BoQ'!G:G),"-")</f>
        <v>0</v>
      </c>
    </row>
    <row r="18" spans="2:9" x14ac:dyDescent="0.25">
      <c r="B18" s="375" t="s">
        <v>551</v>
      </c>
      <c r="C18" s="351"/>
      <c r="D18" s="375" t="s">
        <v>483</v>
      </c>
      <c r="E18" s="375" t="s">
        <v>420</v>
      </c>
      <c r="F18" s="636">
        <f>IFERROR(MEPBoQ[[#This Row],[Kg estimate]]/SUM(MEPBoQ[Kg estimate],'Materials BoQ'!G:G),"-")</f>
        <v>0</v>
      </c>
    </row>
    <row r="19" spans="2:9" x14ac:dyDescent="0.25">
      <c r="B19" s="375" t="s">
        <v>552</v>
      </c>
      <c r="C19" s="351"/>
      <c r="D19" s="375" t="s">
        <v>483</v>
      </c>
      <c r="E19" s="375" t="s">
        <v>426</v>
      </c>
      <c r="F19" s="636">
        <f>IFERROR(MEPBoQ[[#This Row],[Kg estimate]]/SUM(MEPBoQ[Kg estimate],'Materials BoQ'!G:G),"-")</f>
        <v>0</v>
      </c>
    </row>
    <row r="20" spans="2:9" x14ac:dyDescent="0.25">
      <c r="B20" s="375" t="s">
        <v>425</v>
      </c>
      <c r="C20" s="351"/>
      <c r="D20" s="375" t="s">
        <v>483</v>
      </c>
      <c r="E20" s="375" t="s">
        <v>425</v>
      </c>
      <c r="F20" s="636">
        <f>IFERROR(MEPBoQ[[#This Row],[Kg estimate]]/SUM(MEPBoQ[Kg estimate],'Materials BoQ'!G:G),"-")</f>
        <v>0</v>
      </c>
    </row>
    <row r="21" spans="2:9" x14ac:dyDescent="0.25">
      <c r="B21" s="375" t="s">
        <v>553</v>
      </c>
      <c r="C21" s="351"/>
      <c r="D21" s="375" t="s">
        <v>483</v>
      </c>
      <c r="E21" s="375" t="s">
        <v>425</v>
      </c>
      <c r="F21" s="636">
        <f>IFERROR(MEPBoQ[[#This Row],[Kg estimate]]/SUM(MEPBoQ[Kg estimate],'Materials BoQ'!G:G),"-")</f>
        <v>0</v>
      </c>
    </row>
    <row r="22" spans="2:9" x14ac:dyDescent="0.25">
      <c r="B22" s="375" t="s">
        <v>554</v>
      </c>
      <c r="C22" s="351"/>
      <c r="D22" s="375" t="s">
        <v>483</v>
      </c>
      <c r="E22" s="375" t="s">
        <v>426</v>
      </c>
      <c r="F22" s="636">
        <f>IFERROR(MEPBoQ[[#This Row],[Kg estimate]]/SUM(MEPBoQ[Kg estimate],'Materials BoQ'!G:G),"-")</f>
        <v>0</v>
      </c>
    </row>
    <row r="23" spans="2:9" x14ac:dyDescent="0.25">
      <c r="B23" s="375" t="s">
        <v>555</v>
      </c>
      <c r="C23" s="351"/>
      <c r="D23" s="375" t="s">
        <v>483</v>
      </c>
      <c r="E23" s="375" t="s">
        <v>426</v>
      </c>
      <c r="F23" s="636">
        <f>IFERROR(MEPBoQ[[#This Row],[Kg estimate]]/SUM(MEPBoQ[Kg estimate],'Materials BoQ'!G:G),"-")</f>
        <v>0</v>
      </c>
    </row>
    <row r="24" spans="2:9" x14ac:dyDescent="0.25">
      <c r="B24" s="375" t="s">
        <v>556</v>
      </c>
      <c r="C24" s="351"/>
      <c r="D24" s="375" t="s">
        <v>483</v>
      </c>
      <c r="E24" s="375" t="s">
        <v>426</v>
      </c>
      <c r="F24" s="636">
        <f>IFERROR(MEPBoQ[[#This Row],[Kg estimate]]/SUM(MEPBoQ[Kg estimate],'Materials BoQ'!G:G),"-")</f>
        <v>0</v>
      </c>
    </row>
    <row r="25" spans="2:9" x14ac:dyDescent="0.25">
      <c r="B25" s="375" t="s">
        <v>557</v>
      </c>
      <c r="C25" s="351"/>
      <c r="D25" s="375" t="s">
        <v>483</v>
      </c>
      <c r="E25" s="375" t="s">
        <v>426</v>
      </c>
      <c r="F25" s="636">
        <f>IFERROR(MEPBoQ[[#This Row],[Kg estimate]]/SUM(MEPBoQ[Kg estimate],'Materials BoQ'!G:G),"-")</f>
        <v>0</v>
      </c>
    </row>
    <row r="26" spans="2:9" x14ac:dyDescent="0.25">
      <c r="B26" s="375" t="s">
        <v>558</v>
      </c>
      <c r="C26" s="351"/>
      <c r="D26" s="375" t="s">
        <v>483</v>
      </c>
      <c r="E26" s="375" t="s">
        <v>426</v>
      </c>
      <c r="F26" s="636">
        <f>IFERROR(MEPBoQ[[#This Row],[Kg estimate]]/SUM(MEPBoQ[Kg estimate],'Materials BoQ'!G:G),"-")</f>
        <v>0</v>
      </c>
      <c r="H26" s="8" t="s">
        <v>1496</v>
      </c>
    </row>
    <row r="27" spans="2:9" x14ac:dyDescent="0.25">
      <c r="B27" s="375" t="s">
        <v>1130</v>
      </c>
      <c r="C27" s="351"/>
      <c r="D27" s="375" t="s">
        <v>483</v>
      </c>
      <c r="E27" s="375" t="s">
        <v>426</v>
      </c>
      <c r="F27" s="636">
        <f>IFERROR(MEPBoQ[[#This Row],[Kg estimate]]/SUM(MEPBoQ[Kg estimate],'Materials BoQ'!G:G),"-")</f>
        <v>0</v>
      </c>
      <c r="H27" s="347"/>
      <c r="I27" s="8" t="s">
        <v>1309</v>
      </c>
    </row>
    <row r="28" spans="2:9" x14ac:dyDescent="0.25">
      <c r="B28" s="375" t="s">
        <v>559</v>
      </c>
      <c r="C28" s="351"/>
      <c r="D28" s="375" t="s">
        <v>483</v>
      </c>
      <c r="E28" s="375" t="s">
        <v>426</v>
      </c>
      <c r="F28" s="636">
        <f>IFERROR(MEPBoQ[[#This Row],[Kg estimate]]/SUM(MEPBoQ[Kg estimate],'Materials BoQ'!G:G),"-")</f>
        <v>0</v>
      </c>
      <c r="H28" s="637"/>
      <c r="I28" s="8" t="s">
        <v>1319</v>
      </c>
    </row>
    <row r="29" spans="2:9" x14ac:dyDescent="0.25">
      <c r="E29" s="8"/>
      <c r="F29" s="374"/>
    </row>
    <row r="30" spans="2:9" x14ac:dyDescent="0.25">
      <c r="B30" s="8" t="s">
        <v>1475</v>
      </c>
      <c r="E30" s="8"/>
      <c r="F30" s="374"/>
    </row>
    <row r="31" spans="2:9" x14ac:dyDescent="0.25">
      <c r="B31" s="8" t="s">
        <v>1115</v>
      </c>
      <c r="E31" s="8"/>
      <c r="F31" s="374"/>
    </row>
    <row r="32" spans="2:9" x14ac:dyDescent="0.25">
      <c r="E32" s="8"/>
      <c r="F32" s="374"/>
    </row>
  </sheetData>
  <sheetProtection algorithmName="SHA-512" hashValue="C5ndIjuwLhlEoiorNMw9gB9Pcg0daXyOwYQnfTC06tZyEwk+VgKcX4sxQUWvpXeBvbMcTlHgR9adqS7sFX9XRA==" saltValue="96579PV7aKlY0HqSjFxwEQ==" spinCount="100000" sheet="1" objects="1" scenarios="1" sort="0" autoFilter="0"/>
  <mergeCells count="4">
    <mergeCell ref="H3:O7"/>
    <mergeCell ref="H8:O10"/>
    <mergeCell ref="H11:S11"/>
    <mergeCell ref="H12:S12"/>
  </mergeCells>
  <dataValidations xWindow="366" yWindow="526" count="1">
    <dataValidation allowBlank="1" showInputMessage="1" showErrorMessage="1" promptTitle="Estimate the mass" prompt="Estimate for each line. If not used, keep as zero." sqref="C3:C28" xr:uid="{61887949-E04A-4929-94C4-D1FA827C41A2}"/>
  </dataValidations>
  <hyperlinks>
    <hyperlink ref="H12" r:id="rId1" xr:uid="{4B1F7554-A0CC-47BC-91A0-F7C47CA4103E}"/>
  </hyperlinks>
  <pageMargins left="0.7" right="0.7" top="0.75" bottom="0.75" header="0.3" footer="0.3"/>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D56E9-7310-4E26-B992-401DA0CAAB08}">
  <sheetPr>
    <tabColor rgb="FFFFC000"/>
  </sheetPr>
  <dimension ref="A1:Q32"/>
  <sheetViews>
    <sheetView zoomScale="78" zoomScaleNormal="78" workbookViewId="0">
      <selection activeCell="B7" sqref="B7"/>
    </sheetView>
  </sheetViews>
  <sheetFormatPr defaultRowHeight="14.4" x14ac:dyDescent="0.3"/>
  <cols>
    <col min="1" max="1" width="58.109375" customWidth="1"/>
    <col min="2" max="2" width="16.5546875" customWidth="1"/>
    <col min="3" max="3" width="29.33203125" customWidth="1"/>
    <col min="4" max="4" width="9.44140625" bestFit="1" customWidth="1"/>
    <col min="5" max="5" width="10.5546875" style="718" customWidth="1"/>
    <col min="6" max="6" width="12.88671875" customWidth="1"/>
    <col min="7" max="8" width="10.5546875" customWidth="1"/>
    <col min="9" max="9" width="20.88671875" style="3" customWidth="1"/>
    <col min="10" max="10" width="13" style="719" customWidth="1"/>
    <col min="11" max="11" width="19" customWidth="1"/>
  </cols>
  <sheetData>
    <row r="1" spans="1:17" x14ac:dyDescent="0.3">
      <c r="A1" t="s">
        <v>1591</v>
      </c>
    </row>
    <row r="2" spans="1:17" x14ac:dyDescent="0.3">
      <c r="A2" t="s">
        <v>1592</v>
      </c>
    </row>
    <row r="5" spans="1:17" x14ac:dyDescent="0.3">
      <c r="A5" t="s">
        <v>15</v>
      </c>
      <c r="B5" s="718" t="s">
        <v>65</v>
      </c>
      <c r="C5" s="718"/>
      <c r="D5" t="s">
        <v>1585</v>
      </c>
    </row>
    <row r="6" spans="1:17" x14ac:dyDescent="0.3">
      <c r="A6" t="s">
        <v>1582</v>
      </c>
      <c r="B6" s="720">
        <f>'Project Details'!C16</f>
        <v>32</v>
      </c>
      <c r="C6" s="721"/>
      <c r="D6" s="5" t="s">
        <v>1584</v>
      </c>
    </row>
    <row r="7" spans="1:17" x14ac:dyDescent="0.3">
      <c r="A7" t="s">
        <v>1576</v>
      </c>
      <c r="B7" s="720">
        <f>'Project Details'!C17</f>
        <v>1</v>
      </c>
      <c r="C7" s="741"/>
      <c r="E7" s="721"/>
    </row>
    <row r="8" spans="1:17" ht="28.8" x14ac:dyDescent="0.3">
      <c r="B8" s="741"/>
      <c r="C8" s="741"/>
      <c r="I8" s="722" t="s">
        <v>1529</v>
      </c>
    </row>
    <row r="9" spans="1:17" x14ac:dyDescent="0.3">
      <c r="A9" t="s">
        <v>1530</v>
      </c>
      <c r="B9" t="s">
        <v>1531</v>
      </c>
      <c r="C9" s="743" t="s">
        <v>1577</v>
      </c>
      <c r="D9" s="6" t="s">
        <v>1532</v>
      </c>
      <c r="E9" s="718" t="s">
        <v>1533</v>
      </c>
      <c r="F9" s="718" t="s">
        <v>1583</v>
      </c>
      <c r="G9" s="718" t="s">
        <v>627</v>
      </c>
      <c r="H9" s="718" t="s">
        <v>1534</v>
      </c>
      <c r="I9" s="723" t="s">
        <v>1535</v>
      </c>
      <c r="J9" s="719" t="s">
        <v>1536</v>
      </c>
      <c r="K9" s="718" t="s">
        <v>1537</v>
      </c>
      <c r="L9" s="718" t="s">
        <v>15</v>
      </c>
      <c r="M9" s="718" t="s">
        <v>66</v>
      </c>
      <c r="N9" s="718" t="s">
        <v>65</v>
      </c>
      <c r="O9" s="718" t="s">
        <v>519</v>
      </c>
      <c r="P9" s="718" t="s">
        <v>520</v>
      </c>
    </row>
    <row r="10" spans="1:17" x14ac:dyDescent="0.3">
      <c r="A10" s="724" t="s">
        <v>1538</v>
      </c>
      <c r="B10" s="724" t="s">
        <v>1539</v>
      </c>
      <c r="C10" s="742" t="s">
        <v>678</v>
      </c>
      <c r="D10" s="725">
        <v>7</v>
      </c>
      <c r="E10" s="726" t="s">
        <v>486</v>
      </c>
      <c r="F10" s="727">
        <v>32</v>
      </c>
      <c r="G10" s="728">
        <f>IF(Table1[[#This Row],[DOES IT EXIST IN THIS BUILDING?]]="No",0,($B$6/F10)*D10)</f>
        <v>7</v>
      </c>
      <c r="H10" s="726" t="str">
        <f t="shared" ref="H10:H26" si="0">E10</f>
        <v>m</v>
      </c>
      <c r="I10" s="728">
        <v>0.25</v>
      </c>
      <c r="J10" s="729">
        <f t="shared" ref="J10:J27" si="1">G10*I10</f>
        <v>1.75</v>
      </c>
      <c r="K10" s="739" t="s">
        <v>556</v>
      </c>
      <c r="L10" s="730"/>
      <c r="M10" s="730"/>
      <c r="N10" s="730"/>
      <c r="O10" s="730"/>
      <c r="P10" s="730"/>
    </row>
    <row r="11" spans="1:17" x14ac:dyDescent="0.3">
      <c r="A11" s="724" t="s">
        <v>1540</v>
      </c>
      <c r="B11" s="724" t="s">
        <v>1541</v>
      </c>
      <c r="C11" s="742" t="s">
        <v>678</v>
      </c>
      <c r="D11" s="725">
        <v>15</v>
      </c>
      <c r="E11" s="726" t="s">
        <v>486</v>
      </c>
      <c r="F11" s="727">
        <v>32</v>
      </c>
      <c r="G11" s="728">
        <f>IF(Table1[[#This Row],[DOES IT EXIST IN THIS BUILDING?]]="No",0,($B$6/F11)*D11)</f>
        <v>15</v>
      </c>
      <c r="H11" s="726" t="str">
        <f t="shared" si="0"/>
        <v>m</v>
      </c>
      <c r="I11" s="728">
        <v>3.34</v>
      </c>
      <c r="J11" s="729">
        <f t="shared" si="1"/>
        <v>50.099999999999994</v>
      </c>
      <c r="K11" s="739" t="s">
        <v>543</v>
      </c>
      <c r="L11" s="730" t="s">
        <v>544</v>
      </c>
      <c r="M11" s="730" t="s">
        <v>545</v>
      </c>
      <c r="N11" s="730" t="s">
        <v>529</v>
      </c>
      <c r="O11" s="730" t="s">
        <v>555</v>
      </c>
      <c r="P11" s="730" t="s">
        <v>556</v>
      </c>
    </row>
    <row r="12" spans="1:17" x14ac:dyDescent="0.3">
      <c r="A12" s="724" t="s">
        <v>1542</v>
      </c>
      <c r="B12" s="724" t="s">
        <v>1543</v>
      </c>
      <c r="C12" s="742" t="s">
        <v>678</v>
      </c>
      <c r="D12" s="725">
        <v>15</v>
      </c>
      <c r="E12" s="726" t="s">
        <v>486</v>
      </c>
      <c r="F12" s="727">
        <v>32</v>
      </c>
      <c r="G12" s="728">
        <f>IF(Table1[[#This Row],[DOES IT EXIST IN THIS BUILDING?]]="No",0,($B$6/F12)*D12)</f>
        <v>15</v>
      </c>
      <c r="H12" s="726" t="str">
        <f t="shared" si="0"/>
        <v>m</v>
      </c>
      <c r="I12" s="732">
        <v>0.67</v>
      </c>
      <c r="J12" s="729">
        <f t="shared" si="1"/>
        <v>10.050000000000001</v>
      </c>
      <c r="K12" s="740" t="s">
        <v>546</v>
      </c>
      <c r="L12" s="739" t="s">
        <v>1580</v>
      </c>
      <c r="M12" s="730"/>
      <c r="N12" s="730"/>
      <c r="O12" s="730"/>
      <c r="P12" s="730"/>
      <c r="Q12" s="335"/>
    </row>
    <row r="13" spans="1:17" x14ac:dyDescent="0.3">
      <c r="A13" s="724" t="s">
        <v>1544</v>
      </c>
      <c r="B13" s="724" t="s">
        <v>1545</v>
      </c>
      <c r="C13" s="742" t="s">
        <v>678</v>
      </c>
      <c r="D13" s="725">
        <v>1</v>
      </c>
      <c r="E13" s="726" t="s">
        <v>1353</v>
      </c>
      <c r="F13" s="727">
        <v>32</v>
      </c>
      <c r="G13" s="728">
        <f>IF(Table1[[#This Row],[DOES IT EXIST IN THIS BUILDING?]]="No",0,($B$6/F13)*D13)</f>
        <v>1</v>
      </c>
      <c r="H13" s="726" t="str">
        <f t="shared" si="0"/>
        <v>unit</v>
      </c>
      <c r="I13" s="732">
        <v>50</v>
      </c>
      <c r="J13" s="729">
        <f t="shared" si="1"/>
        <v>50</v>
      </c>
      <c r="K13" s="739" t="s">
        <v>553</v>
      </c>
      <c r="L13" s="730"/>
      <c r="M13" s="730"/>
      <c r="N13" s="730"/>
      <c r="O13" s="730"/>
      <c r="P13" s="730"/>
    </row>
    <row r="14" spans="1:17" x14ac:dyDescent="0.3">
      <c r="A14" s="724" t="s">
        <v>1546</v>
      </c>
      <c r="B14" s="724" t="s">
        <v>1547</v>
      </c>
      <c r="C14" s="742" t="s">
        <v>678</v>
      </c>
      <c r="D14" s="725">
        <v>4</v>
      </c>
      <c r="E14" s="726" t="s">
        <v>1353</v>
      </c>
      <c r="F14" s="727">
        <v>32</v>
      </c>
      <c r="G14" s="728">
        <f>IF(Table1[[#This Row],[DOES IT EXIST IN THIS BUILDING?]]="No",0,($B$6/F14)*D14)</f>
        <v>4</v>
      </c>
      <c r="H14" s="726" t="str">
        <f t="shared" si="0"/>
        <v>unit</v>
      </c>
      <c r="I14" s="732">
        <v>3</v>
      </c>
      <c r="J14" s="729">
        <f t="shared" si="1"/>
        <v>12</v>
      </c>
      <c r="K14" s="739" t="s">
        <v>425</v>
      </c>
      <c r="L14" s="730"/>
      <c r="M14" s="730"/>
      <c r="N14" s="730"/>
      <c r="O14" s="730"/>
      <c r="P14" s="730"/>
    </row>
    <row r="15" spans="1:17" ht="16.2" x14ac:dyDescent="0.3">
      <c r="A15" s="724" t="s">
        <v>1548</v>
      </c>
      <c r="B15" s="724" t="s">
        <v>1549</v>
      </c>
      <c r="C15" s="742" t="s">
        <v>678</v>
      </c>
      <c r="D15" s="725">
        <v>1</v>
      </c>
      <c r="E15" s="726" t="s">
        <v>1550</v>
      </c>
      <c r="F15" s="727">
        <v>4.5</v>
      </c>
      <c r="G15" s="728">
        <f>IF(Table1[[#This Row],[DOES IT EXIST IN THIS BUILDING?]]="No",0,($B$6/F15)*D15)</f>
        <v>7.1111111111111107</v>
      </c>
      <c r="H15" s="726" t="str">
        <f t="shared" si="0"/>
        <v>m2</v>
      </c>
      <c r="I15" s="732">
        <v>1.8</v>
      </c>
      <c r="J15" s="729">
        <f t="shared" si="1"/>
        <v>12.799999999999999</v>
      </c>
      <c r="K15" s="739" t="s">
        <v>554</v>
      </c>
      <c r="L15" s="730"/>
      <c r="M15" s="730"/>
      <c r="N15" s="730"/>
      <c r="O15" s="730"/>
      <c r="P15" s="730"/>
    </row>
    <row r="16" spans="1:17" x14ac:dyDescent="0.3">
      <c r="A16" s="724" t="s">
        <v>1551</v>
      </c>
      <c r="B16" s="724" t="s">
        <v>1552</v>
      </c>
      <c r="C16" s="742" t="s">
        <v>678</v>
      </c>
      <c r="D16" s="725">
        <v>5</v>
      </c>
      <c r="E16" s="726" t="s">
        <v>1353</v>
      </c>
      <c r="F16" s="727">
        <v>32</v>
      </c>
      <c r="G16" s="728">
        <f>IF(Table1[[#This Row],[DOES IT EXIST IN THIS BUILDING?]]="No",0,($B$6/F16)*D16)</f>
        <v>5</v>
      </c>
      <c r="H16" s="726" t="str">
        <f t="shared" si="0"/>
        <v>unit</v>
      </c>
      <c r="I16" s="732">
        <v>10</v>
      </c>
      <c r="J16" s="729">
        <f t="shared" si="1"/>
        <v>50</v>
      </c>
      <c r="K16" s="730"/>
      <c r="L16" s="730"/>
      <c r="M16" s="730"/>
      <c r="N16" s="730"/>
      <c r="O16" s="730"/>
      <c r="P16" s="730"/>
    </row>
    <row r="17" spans="1:16" x14ac:dyDescent="0.3">
      <c r="A17" s="724" t="s">
        <v>1553</v>
      </c>
      <c r="B17" s="724" t="s">
        <v>1554</v>
      </c>
      <c r="C17" s="742" t="s">
        <v>678</v>
      </c>
      <c r="D17" s="725">
        <v>1</v>
      </c>
      <c r="E17" s="726" t="s">
        <v>1353</v>
      </c>
      <c r="F17" s="727">
        <v>32</v>
      </c>
      <c r="G17" s="728">
        <f>IF(Table1[[#This Row],[DOES IT EXIST IN THIS BUILDING?]]="No",0,($B$6/F17)*D17)</f>
        <v>1</v>
      </c>
      <c r="H17" s="726" t="str">
        <f t="shared" si="0"/>
        <v>unit</v>
      </c>
      <c r="I17" s="732">
        <v>2</v>
      </c>
      <c r="J17" s="729">
        <f t="shared" si="1"/>
        <v>2</v>
      </c>
      <c r="K17" s="739" t="s">
        <v>551</v>
      </c>
      <c r="L17" s="730" t="s">
        <v>552</v>
      </c>
      <c r="M17" s="730" t="s">
        <v>542</v>
      </c>
      <c r="N17" s="730" t="s">
        <v>547</v>
      </c>
      <c r="O17" s="730"/>
      <c r="P17" s="730"/>
    </row>
    <row r="18" spans="1:16" x14ac:dyDescent="0.3">
      <c r="A18" s="724"/>
      <c r="B18" s="724" t="s">
        <v>1555</v>
      </c>
      <c r="C18" s="742" t="s">
        <v>678</v>
      </c>
      <c r="D18" s="725">
        <v>1</v>
      </c>
      <c r="E18" s="726" t="s">
        <v>1353</v>
      </c>
      <c r="F18" s="727">
        <v>50</v>
      </c>
      <c r="G18" s="728">
        <f>IF(Table1[[#This Row],[DOES IT EXIST IN THIS BUILDING?]]="No",0,($B$6/F18)*D18)</f>
        <v>0.64</v>
      </c>
      <c r="H18" s="726" t="str">
        <f t="shared" si="0"/>
        <v>unit</v>
      </c>
      <c r="I18" s="732">
        <v>0.5</v>
      </c>
      <c r="J18" s="729">
        <f t="shared" si="1"/>
        <v>0.32</v>
      </c>
      <c r="K18" s="739" t="s">
        <v>550</v>
      </c>
      <c r="L18" s="730"/>
      <c r="M18" s="730"/>
      <c r="N18" s="730"/>
      <c r="O18" s="730"/>
      <c r="P18" s="730"/>
    </row>
    <row r="19" spans="1:16" x14ac:dyDescent="0.3">
      <c r="A19" s="724"/>
      <c r="B19" s="724" t="s">
        <v>1556</v>
      </c>
      <c r="C19" s="742" t="s">
        <v>678</v>
      </c>
      <c r="D19" s="725">
        <v>1</v>
      </c>
      <c r="E19" s="726" t="s">
        <v>1353</v>
      </c>
      <c r="F19" s="727">
        <v>20</v>
      </c>
      <c r="G19" s="728">
        <f>IF(Table1[[#This Row],[DOES IT EXIST IN THIS BUILDING?]]="No",0,($B$6/F19)*D19)</f>
        <v>1.6</v>
      </c>
      <c r="H19" s="726" t="str">
        <f t="shared" si="0"/>
        <v>unit</v>
      </c>
      <c r="I19" s="732">
        <v>3</v>
      </c>
      <c r="J19" s="729">
        <f t="shared" si="1"/>
        <v>4.8000000000000007</v>
      </c>
      <c r="K19" s="739" t="s">
        <v>549</v>
      </c>
      <c r="L19" s="730"/>
      <c r="M19" s="730"/>
      <c r="N19" s="730"/>
      <c r="O19" s="730"/>
      <c r="P19" s="730"/>
    </row>
    <row r="20" spans="1:16" x14ac:dyDescent="0.3">
      <c r="A20" s="724"/>
      <c r="B20" s="724" t="s">
        <v>1557</v>
      </c>
      <c r="C20" s="742" t="s">
        <v>678</v>
      </c>
      <c r="D20" s="725">
        <v>1</v>
      </c>
      <c r="E20" s="726" t="s">
        <v>1353</v>
      </c>
      <c r="F20" s="727">
        <v>20</v>
      </c>
      <c r="G20" s="728">
        <f>IF(Table1[[#This Row],[DOES IT EXIST IN THIS BUILDING?]]="No",0,($B$6/F20)*D20)</f>
        <v>1.6</v>
      </c>
      <c r="H20" s="726" t="str">
        <f t="shared" si="0"/>
        <v>unit</v>
      </c>
      <c r="I20" s="732">
        <v>3</v>
      </c>
      <c r="J20" s="729">
        <f t="shared" si="1"/>
        <v>4.8000000000000007</v>
      </c>
      <c r="K20" s="739" t="s">
        <v>549</v>
      </c>
      <c r="L20" s="730"/>
      <c r="M20" s="730"/>
      <c r="N20" s="730"/>
      <c r="O20" s="730"/>
      <c r="P20" s="730"/>
    </row>
    <row r="21" spans="1:16" x14ac:dyDescent="0.3">
      <c r="A21" s="724" t="s">
        <v>1558</v>
      </c>
      <c r="B21" s="724" t="s">
        <v>1559</v>
      </c>
      <c r="C21" s="742" t="s">
        <v>678</v>
      </c>
      <c r="D21" s="725">
        <v>1</v>
      </c>
      <c r="E21" s="726" t="s">
        <v>1353</v>
      </c>
      <c r="F21" s="727">
        <v>32</v>
      </c>
      <c r="G21" s="728">
        <f>IF(Table1[[#This Row],[DOES IT EXIST IN THIS BUILDING?]]="No",0,($B$6/F21)*D21)</f>
        <v>1</v>
      </c>
      <c r="H21" s="726" t="str">
        <f t="shared" si="0"/>
        <v>unit</v>
      </c>
      <c r="I21" s="732">
        <v>0.5</v>
      </c>
      <c r="J21" s="729">
        <f t="shared" si="1"/>
        <v>0.5</v>
      </c>
      <c r="K21" s="739" t="s">
        <v>539</v>
      </c>
      <c r="L21" s="730"/>
      <c r="M21" s="730"/>
      <c r="N21" s="730"/>
      <c r="O21" s="730"/>
      <c r="P21" s="730"/>
    </row>
    <row r="22" spans="1:16" x14ac:dyDescent="0.3">
      <c r="A22" s="724" t="s">
        <v>1560</v>
      </c>
      <c r="B22" s="724" t="s">
        <v>1561</v>
      </c>
      <c r="C22" s="742" t="s">
        <v>678</v>
      </c>
      <c r="D22" s="725">
        <v>1</v>
      </c>
      <c r="E22" s="726" t="s">
        <v>1353</v>
      </c>
      <c r="F22" s="727">
        <v>25</v>
      </c>
      <c r="G22" s="728">
        <f>IF(Table1[[#This Row],[DOES IT EXIST IN THIS BUILDING?]]="No",0,($B$6/F22)*D22)</f>
        <v>1.28</v>
      </c>
      <c r="H22" s="726" t="str">
        <f t="shared" si="0"/>
        <v>unit</v>
      </c>
      <c r="I22" s="732">
        <v>0.5</v>
      </c>
      <c r="J22" s="729">
        <f t="shared" si="1"/>
        <v>0.64</v>
      </c>
      <c r="K22" s="739" t="s">
        <v>558</v>
      </c>
      <c r="L22" s="730"/>
      <c r="M22" s="730"/>
      <c r="N22" s="730"/>
      <c r="O22" s="730"/>
      <c r="P22" s="730"/>
    </row>
    <row r="23" spans="1:16" x14ac:dyDescent="0.3">
      <c r="A23" s="724" t="s">
        <v>1562</v>
      </c>
      <c r="B23" s="724" t="s">
        <v>1563</v>
      </c>
      <c r="C23" s="742" t="s">
        <v>678</v>
      </c>
      <c r="D23" s="725">
        <v>1</v>
      </c>
      <c r="E23" s="726" t="s">
        <v>1353</v>
      </c>
      <c r="F23" s="727">
        <v>3</v>
      </c>
      <c r="G23" s="728">
        <f>IF(Table1[[#This Row],[DOES IT EXIST IN THIS BUILDING?]]="No",0,($B$6/F23)*D23)</f>
        <v>10.666666666666666</v>
      </c>
      <c r="H23" s="726" t="str">
        <f t="shared" si="0"/>
        <v>unit</v>
      </c>
      <c r="I23" s="732">
        <v>0.5</v>
      </c>
      <c r="J23" s="729">
        <f t="shared" si="1"/>
        <v>5.333333333333333</v>
      </c>
      <c r="K23" s="739" t="s">
        <v>537</v>
      </c>
      <c r="L23" s="730"/>
      <c r="M23" s="730"/>
      <c r="N23" s="730"/>
      <c r="O23" s="730"/>
      <c r="P23" s="730"/>
    </row>
    <row r="24" spans="1:16" x14ac:dyDescent="0.3">
      <c r="A24" s="724"/>
      <c r="B24" s="724" t="s">
        <v>1564</v>
      </c>
      <c r="C24" s="742" t="s">
        <v>678</v>
      </c>
      <c r="D24" s="725">
        <v>25</v>
      </c>
      <c r="E24" s="726" t="s">
        <v>486</v>
      </c>
      <c r="F24" s="727">
        <f>G23</f>
        <v>10.666666666666666</v>
      </c>
      <c r="G24" s="728">
        <f>IF(Table1[[#This Row],[DOES IT EXIST IN THIS BUILDING?]]="No",0,($B$6/F24)*D24)</f>
        <v>75</v>
      </c>
      <c r="H24" s="726" t="str">
        <f t="shared" si="0"/>
        <v>m</v>
      </c>
      <c r="I24" s="732">
        <v>0.25</v>
      </c>
      <c r="J24" s="729">
        <f t="shared" si="1"/>
        <v>18.75</v>
      </c>
      <c r="K24" s="739" t="s">
        <v>548</v>
      </c>
      <c r="L24" s="730"/>
      <c r="M24" s="730"/>
      <c r="N24" s="730"/>
      <c r="O24" s="730"/>
      <c r="P24" s="730"/>
    </row>
    <row r="25" spans="1:16" x14ac:dyDescent="0.3">
      <c r="A25" s="724"/>
      <c r="B25" s="724" t="s">
        <v>1565</v>
      </c>
      <c r="C25" s="742" t="s">
        <v>678</v>
      </c>
      <c r="D25" s="725">
        <v>1</v>
      </c>
      <c r="E25" s="726" t="s">
        <v>1353</v>
      </c>
      <c r="F25" s="726" t="s">
        <v>1566</v>
      </c>
      <c r="G25" s="728">
        <f>B7</f>
        <v>1</v>
      </c>
      <c r="H25" s="726" t="str">
        <f t="shared" si="0"/>
        <v>unit</v>
      </c>
      <c r="I25" s="732">
        <v>0.25</v>
      </c>
      <c r="J25" s="729">
        <f t="shared" si="1"/>
        <v>0.25</v>
      </c>
      <c r="K25" s="739" t="s">
        <v>538</v>
      </c>
      <c r="L25" s="730"/>
      <c r="M25" s="730"/>
      <c r="N25" s="730"/>
      <c r="O25" s="730"/>
      <c r="P25" s="730"/>
    </row>
    <row r="26" spans="1:16" x14ac:dyDescent="0.3">
      <c r="A26" s="724"/>
      <c r="B26" s="724" t="s">
        <v>1567</v>
      </c>
      <c r="C26" s="742" t="s">
        <v>678</v>
      </c>
      <c r="D26" s="725">
        <v>1</v>
      </c>
      <c r="E26" s="726" t="s">
        <v>1353</v>
      </c>
      <c r="F26" s="726">
        <v>30</v>
      </c>
      <c r="G26" s="728">
        <f>IF(Table1[[#This Row],[DOES IT EXIST IN THIS BUILDING?]]="No",0,($B$6/F26)*D26)</f>
        <v>1.0666666666666667</v>
      </c>
      <c r="H26" s="726" t="str">
        <f t="shared" si="0"/>
        <v>unit</v>
      </c>
      <c r="I26" s="732">
        <v>0.5</v>
      </c>
      <c r="J26" s="729">
        <f t="shared" si="1"/>
        <v>0.53333333333333333</v>
      </c>
      <c r="K26" s="739" t="s">
        <v>540</v>
      </c>
      <c r="L26" s="730"/>
      <c r="M26" s="730"/>
      <c r="N26" s="730"/>
      <c r="O26" s="730"/>
      <c r="P26" s="730"/>
    </row>
    <row r="27" spans="1:16" x14ac:dyDescent="0.3">
      <c r="A27" s="724"/>
      <c r="B27" s="733" t="s">
        <v>1568</v>
      </c>
      <c r="C27" s="742" t="s">
        <v>678</v>
      </c>
      <c r="D27" s="725">
        <v>1</v>
      </c>
      <c r="E27" s="726" t="s">
        <v>1353</v>
      </c>
      <c r="F27" s="726">
        <v>30</v>
      </c>
      <c r="G27" s="728">
        <f>IF(Table1[[#This Row],[DOES IT EXIST IN THIS BUILDING?]]="No",0,($B$6/F27)*D27)</f>
        <v>1.0666666666666667</v>
      </c>
      <c r="H27" s="726" t="s">
        <v>1353</v>
      </c>
      <c r="I27" s="732">
        <v>0.5</v>
      </c>
      <c r="J27" s="729">
        <f t="shared" si="1"/>
        <v>0.53333333333333333</v>
      </c>
      <c r="K27" s="739" t="s">
        <v>541</v>
      </c>
      <c r="L27" s="730"/>
      <c r="M27" s="730"/>
      <c r="N27" s="730"/>
      <c r="O27" s="730"/>
      <c r="P27" s="730"/>
    </row>
    <row r="28" spans="1:16" x14ac:dyDescent="0.3">
      <c r="A28" s="724" t="s">
        <v>1569</v>
      </c>
      <c r="B28" s="724" t="s">
        <v>1570</v>
      </c>
      <c r="C28" s="742" t="s">
        <v>678</v>
      </c>
      <c r="D28" s="725"/>
      <c r="E28" s="726"/>
      <c r="F28" s="726"/>
      <c r="G28" s="734" t="s">
        <v>1571</v>
      </c>
      <c r="H28" s="726"/>
      <c r="I28" s="732"/>
      <c r="J28" s="729">
        <f>(J23+J24+J25+J26+J27)*0.25</f>
        <v>6.3500000000000005</v>
      </c>
      <c r="K28" s="739" t="s">
        <v>1578</v>
      </c>
      <c r="L28" s="730"/>
      <c r="M28" s="730"/>
      <c r="N28" s="730"/>
      <c r="O28" s="730"/>
      <c r="P28" s="730"/>
    </row>
    <row r="29" spans="1:16" x14ac:dyDescent="0.3">
      <c r="A29" s="724" t="s">
        <v>1572</v>
      </c>
      <c r="B29" s="724" t="s">
        <v>1573</v>
      </c>
      <c r="C29" s="742" t="s">
        <v>678</v>
      </c>
      <c r="D29" s="725">
        <v>1</v>
      </c>
      <c r="E29" s="726" t="s">
        <v>1353</v>
      </c>
      <c r="F29" s="726">
        <v>9</v>
      </c>
      <c r="G29" s="728">
        <f>IF(Table1[[#This Row],[DOES IT EXIST IN THIS BUILDING?]]="No",0,($B$6/F29)*D29)</f>
        <v>3.5555555555555554</v>
      </c>
      <c r="H29" s="726" t="str">
        <f>E29</f>
        <v>unit</v>
      </c>
      <c r="I29" s="732">
        <v>0.25</v>
      </c>
      <c r="J29" s="729">
        <f>G29*I29</f>
        <v>0.88888888888888884</v>
      </c>
      <c r="K29" s="739" t="s">
        <v>557</v>
      </c>
      <c r="L29" s="730"/>
      <c r="M29" s="730"/>
      <c r="N29" s="730"/>
      <c r="O29" s="730"/>
      <c r="P29" s="730"/>
    </row>
    <row r="30" spans="1:16" x14ac:dyDescent="0.3">
      <c r="A30" s="724"/>
      <c r="B30" s="724" t="s">
        <v>1574</v>
      </c>
      <c r="C30" s="742" t="s">
        <v>678</v>
      </c>
      <c r="D30" s="725">
        <v>3</v>
      </c>
      <c r="E30" s="726" t="s">
        <v>486</v>
      </c>
      <c r="F30" s="727">
        <f>G29</f>
        <v>3.5555555555555554</v>
      </c>
      <c r="G30" s="728">
        <f>IF(Table1[[#This Row],[DOES IT EXIST IN THIS BUILDING?]]="No",0,($B$6/F30)*D30)</f>
        <v>27</v>
      </c>
      <c r="H30" s="726" t="str">
        <f>E30</f>
        <v>m</v>
      </c>
      <c r="I30" s="732">
        <v>0.67</v>
      </c>
      <c r="J30" s="729">
        <f>G30*I30</f>
        <v>18.09</v>
      </c>
      <c r="K30" s="739" t="s">
        <v>1579</v>
      </c>
      <c r="L30" s="730"/>
      <c r="M30" s="730"/>
      <c r="N30" s="730"/>
      <c r="O30" s="730"/>
      <c r="P30" s="730"/>
    </row>
    <row r="31" spans="1:16" x14ac:dyDescent="0.3">
      <c r="A31" s="724" t="s">
        <v>1575</v>
      </c>
      <c r="B31" s="725"/>
      <c r="C31" s="725"/>
      <c r="D31" s="725"/>
      <c r="E31" s="726"/>
      <c r="F31" s="726"/>
      <c r="G31" s="728"/>
      <c r="H31" s="726"/>
      <c r="I31" s="728"/>
      <c r="J31" s="729"/>
      <c r="K31" s="730" t="s">
        <v>1130</v>
      </c>
      <c r="L31" s="730"/>
      <c r="M31" s="730"/>
      <c r="N31" s="730"/>
      <c r="O31" s="730"/>
      <c r="P31" s="730"/>
    </row>
    <row r="32" spans="1:16" x14ac:dyDescent="0.3">
      <c r="A32" s="735" t="s">
        <v>1575</v>
      </c>
      <c r="B32" s="736"/>
      <c r="C32" s="736"/>
      <c r="D32" s="736"/>
      <c r="E32" s="737"/>
      <c r="F32" s="737"/>
      <c r="G32" s="738"/>
      <c r="H32" s="737"/>
      <c r="I32" s="738"/>
      <c r="J32" s="731"/>
      <c r="K32" s="730" t="s">
        <v>559</v>
      </c>
      <c r="L32" s="730"/>
      <c r="M32" s="730"/>
      <c r="N32" s="730"/>
      <c r="O32" s="730"/>
      <c r="P32" s="730"/>
    </row>
  </sheetData>
  <hyperlinks>
    <hyperlink ref="D6" r:id="rId1" location="mep-tables " xr:uid="{7D743C65-2BC2-4A7C-9381-4D7062A83076}"/>
  </hyperlinks>
  <pageMargins left="0.7" right="0.7" top="0.75" bottom="0.75" header="0.3" footer="0.3"/>
  <tableParts count="2">
    <tablePart r:id="rId2"/>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6DDEAF68-B361-424F-AFA8-379B1E3F8C0D}">
          <x14:formula1>
            <xm:f>Dropdowns!$G$1:$G$2</xm:f>
          </x14:formula1>
          <xm:sqref>C10:C32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FF5F-1658-488B-8568-AFEB56E69932}">
  <sheetPr codeName="Sheet8">
    <tabColor theme="2"/>
  </sheetPr>
  <dimension ref="B1:V61"/>
  <sheetViews>
    <sheetView zoomScale="95" zoomScaleNormal="95" workbookViewId="0">
      <selection activeCell="J10" sqref="J10"/>
    </sheetView>
  </sheetViews>
  <sheetFormatPr defaultColWidth="8.88671875" defaultRowHeight="13.2" x14ac:dyDescent="0.25"/>
  <cols>
    <col min="1" max="1" width="4" style="8" customWidth="1"/>
    <col min="2" max="2" width="17" style="8" customWidth="1"/>
    <col min="3" max="3" width="32.33203125" style="8" customWidth="1"/>
    <col min="4" max="4" width="13" style="8" customWidth="1"/>
    <col min="5" max="5" width="22.5546875" style="8" customWidth="1"/>
    <col min="6" max="6" width="17" style="8" customWidth="1"/>
    <col min="7" max="7" width="15" style="8" bestFit="1" customWidth="1"/>
    <col min="8" max="8" width="11.5546875" style="8" bestFit="1" customWidth="1"/>
    <col min="9" max="9" width="13.5546875" style="8" customWidth="1"/>
    <col min="10" max="12" width="13.44140625" style="8" customWidth="1"/>
    <col min="13" max="13" width="9.5546875" style="8" customWidth="1"/>
    <col min="14" max="14" width="20" style="8" customWidth="1"/>
    <col min="15" max="15" width="17.109375" style="8" customWidth="1"/>
    <col min="16" max="16" width="18.6640625" style="8" customWidth="1"/>
    <col min="17" max="17" width="17.33203125" style="8" customWidth="1"/>
    <col min="18" max="18" width="3.5546875" style="8" customWidth="1"/>
    <col min="19" max="19" width="26" style="8" customWidth="1"/>
    <col min="20" max="20" width="40.33203125" style="8" customWidth="1"/>
    <col min="21" max="21" width="8.88671875" style="8"/>
    <col min="22" max="22" width="30.5546875" style="8" customWidth="1"/>
    <col min="23" max="16384" width="8.88671875" style="8"/>
  </cols>
  <sheetData>
    <row r="1" spans="2:22" ht="15" customHeight="1" x14ac:dyDescent="0.25">
      <c r="B1" s="7"/>
      <c r="C1" s="7"/>
      <c r="D1" s="7"/>
      <c r="E1" s="7"/>
      <c r="F1" s="7"/>
      <c r="G1" s="7"/>
      <c r="H1" s="7"/>
      <c r="I1" s="7"/>
      <c r="J1" s="7"/>
      <c r="K1" s="7"/>
      <c r="L1" s="7"/>
      <c r="M1" s="7"/>
      <c r="N1" s="7"/>
      <c r="O1" s="7"/>
      <c r="P1" s="7"/>
      <c r="Q1" s="7"/>
      <c r="R1" s="7"/>
    </row>
    <row r="2" spans="2:22" ht="15" customHeight="1" x14ac:dyDescent="0.25">
      <c r="B2" s="9" t="s">
        <v>560</v>
      </c>
      <c r="C2" s="7"/>
      <c r="D2" s="7"/>
      <c r="E2" s="7"/>
      <c r="F2" s="7"/>
      <c r="G2" s="7"/>
      <c r="H2" s="7"/>
      <c r="I2" s="7"/>
      <c r="J2" s="7"/>
      <c r="K2" s="7"/>
      <c r="L2" s="7"/>
      <c r="M2" s="7"/>
      <c r="N2" s="7"/>
      <c r="O2" s="7"/>
      <c r="P2" s="7"/>
      <c r="Q2" s="7"/>
      <c r="R2" s="7"/>
      <c r="S2" s="9"/>
      <c r="T2" s="9"/>
      <c r="U2" s="9"/>
      <c r="V2" s="9"/>
    </row>
    <row r="3" spans="2:22" ht="15" customHeight="1" x14ac:dyDescent="0.25">
      <c r="B3" s="8" t="s">
        <v>594</v>
      </c>
      <c r="C3" s="7"/>
      <c r="D3" s="7"/>
      <c r="E3" s="7"/>
      <c r="F3" s="7"/>
      <c r="G3" s="7"/>
      <c r="H3" s="7"/>
      <c r="I3" s="7"/>
      <c r="J3" s="7"/>
      <c r="K3" s="7"/>
      <c r="L3" s="7"/>
      <c r="M3" s="7"/>
      <c r="N3" s="10" t="s">
        <v>561</v>
      </c>
      <c r="O3" s="7"/>
      <c r="P3" s="7"/>
      <c r="Q3" s="7"/>
      <c r="R3" s="7"/>
    </row>
    <row r="4" spans="2:22" ht="15" customHeight="1" x14ac:dyDescent="0.25">
      <c r="B4" s="8" t="s">
        <v>562</v>
      </c>
      <c r="C4" s="7"/>
      <c r="D4" s="7"/>
      <c r="E4" s="7"/>
      <c r="F4" s="7"/>
      <c r="G4" s="7"/>
      <c r="H4" s="7"/>
      <c r="I4" s="7"/>
      <c r="J4" s="7"/>
      <c r="K4" s="7"/>
      <c r="L4" s="7"/>
      <c r="M4" s="7"/>
      <c r="N4" s="11" t="s">
        <v>563</v>
      </c>
      <c r="O4" s="7"/>
      <c r="P4" s="7"/>
      <c r="Q4" s="7"/>
      <c r="R4" s="7"/>
    </row>
    <row r="5" spans="2:22" ht="15" customHeight="1" x14ac:dyDescent="0.25">
      <c r="B5" s="8" t="s">
        <v>564</v>
      </c>
      <c r="C5" s="7"/>
      <c r="D5" s="7"/>
      <c r="E5" s="7"/>
      <c r="F5" s="7"/>
      <c r="G5" s="7"/>
      <c r="H5" s="7"/>
      <c r="I5" s="7"/>
      <c r="J5" s="7"/>
      <c r="K5" s="7"/>
      <c r="L5" s="7"/>
      <c r="M5" s="7"/>
      <c r="N5" s="7"/>
      <c r="O5" s="7"/>
      <c r="P5" s="7"/>
      <c r="Q5" s="7"/>
      <c r="R5" s="7"/>
    </row>
    <row r="6" spans="2:22" ht="15" customHeight="1" x14ac:dyDescent="0.25">
      <c r="B6" s="8" t="s">
        <v>565</v>
      </c>
      <c r="C6" s="7"/>
      <c r="D6" s="7"/>
      <c r="E6" s="7"/>
      <c r="F6" s="7"/>
      <c r="G6" s="7"/>
      <c r="H6" s="7"/>
      <c r="I6" s="7"/>
      <c r="J6" s="7"/>
      <c r="K6" s="7"/>
      <c r="L6" s="7"/>
      <c r="M6" s="7"/>
      <c r="N6" s="7"/>
      <c r="O6" s="7"/>
      <c r="P6" s="7"/>
      <c r="Q6" s="7"/>
      <c r="R6" s="7"/>
    </row>
    <row r="7" spans="2:22" ht="15" customHeight="1" x14ac:dyDescent="0.25">
      <c r="C7" s="7"/>
      <c r="D7" s="7"/>
      <c r="E7" s="7"/>
      <c r="F7" s="7"/>
      <c r="G7" s="7"/>
      <c r="H7" s="7"/>
      <c r="I7" s="7"/>
      <c r="J7" s="7"/>
      <c r="K7" s="7"/>
      <c r="L7" s="7"/>
      <c r="M7" s="7"/>
      <c r="N7" s="7"/>
      <c r="O7" s="7"/>
      <c r="P7" s="7"/>
      <c r="Q7" s="7"/>
      <c r="R7" s="7"/>
    </row>
    <row r="8" spans="2:22" x14ac:dyDescent="0.25">
      <c r="S8" s="8" t="s">
        <v>566</v>
      </c>
    </row>
    <row r="9" spans="2:22" s="13" customFormat="1" ht="39.6" x14ac:dyDescent="0.25">
      <c r="B9" s="12" t="s">
        <v>567</v>
      </c>
      <c r="C9" s="12" t="s">
        <v>568</v>
      </c>
      <c r="D9" s="12" t="s">
        <v>569</v>
      </c>
      <c r="E9" s="12" t="s">
        <v>533</v>
      </c>
      <c r="F9" s="12" t="s">
        <v>534</v>
      </c>
      <c r="G9" s="12" t="s">
        <v>535</v>
      </c>
      <c r="H9" s="12" t="s">
        <v>536</v>
      </c>
      <c r="I9" s="12" t="s">
        <v>570</v>
      </c>
      <c r="J9" s="12" t="s">
        <v>571</v>
      </c>
      <c r="K9" s="12" t="s">
        <v>488</v>
      </c>
      <c r="L9" s="12" t="s">
        <v>595</v>
      </c>
      <c r="M9" s="12" t="s">
        <v>572</v>
      </c>
      <c r="N9" s="12" t="s">
        <v>573</v>
      </c>
      <c r="O9" s="12" t="s">
        <v>574</v>
      </c>
      <c r="P9" s="12" t="s">
        <v>115</v>
      </c>
      <c r="Q9" s="12" t="s">
        <v>575</v>
      </c>
    </row>
    <row r="10" spans="2:22" ht="14.4" x14ac:dyDescent="0.3">
      <c r="B10" s="8" t="s">
        <v>576</v>
      </c>
      <c r="C10" s="8" t="s">
        <v>467</v>
      </c>
      <c r="D10" s="8" t="s">
        <v>577</v>
      </c>
      <c r="E10" s="8" t="str">
        <f>MEP!B3</f>
        <v>Luminaires</v>
      </c>
      <c r="F10" s="8" t="s">
        <v>426</v>
      </c>
      <c r="G10" s="744">
        <f>MEP!C3</f>
        <v>0</v>
      </c>
      <c r="H10" s="8" t="s">
        <v>483</v>
      </c>
      <c r="I10" s="8">
        <f>'Stage assumptions'!D92</f>
        <v>15</v>
      </c>
      <c r="J10" s="42">
        <f>MEPCalculation[[#This Row],[Kg estimate]]*VLOOKUP(MEPCalculation[[#This Row],[MEP category (choose from dropdown)]],MEPGenericCarbonFactor[#All],3,FALSE)</f>
        <v>0</v>
      </c>
      <c r="K10" t="s">
        <v>7</v>
      </c>
      <c r="L10" s="745">
        <f>((VLOOKUP(MEPCalculation[[#This Row],[TransportSource]],TransportDistance[],2,FALSE)*'Stage assumptions'!$C$11)+VLOOKUP(MEPCalculation[[#This Row],[TransportSource]],TransportDistance[],3,FALSE)*'Stage assumptions'!$C$12)*MEPCalculation[[#This Row],[Kg estimate]]</f>
        <v>0</v>
      </c>
      <c r="M10" s="8">
        <f>IF(MEPCalculation[[#This Row],[Reference Service Life]]=25,1,(IFERROR(ROUNDDOWN(50/MEPCalculation[[#This Row],[Reference Service Life]],0),0)))</f>
        <v>3</v>
      </c>
      <c r="N10" s="42">
        <f>MEPCalculation[[#This Row],[Replacement cycles in 50 yrs]]*(MEPCalculation[[#This Row],[A1-A3, B3, C1-4]]+MEPCalculation[[#This Row],[A4 Transport]])</f>
        <v>0</v>
      </c>
      <c r="Q10" s="8">
        <f>MEPCalculation[[#This Row],[Kg estimate]]*MEPCalculation[[#This Row],[Data Quality Score]]</f>
        <v>0</v>
      </c>
      <c r="S10" s="15" t="s">
        <v>578</v>
      </c>
      <c r="T10" s="15"/>
      <c r="U10" s="15" t="s">
        <v>579</v>
      </c>
      <c r="V10" s="16"/>
    </row>
    <row r="11" spans="2:22" s="17" customFormat="1" ht="14.4" x14ac:dyDescent="0.3">
      <c r="B11" s="8"/>
      <c r="C11" s="8" t="s">
        <v>468</v>
      </c>
      <c r="D11" s="8" t="s">
        <v>577</v>
      </c>
      <c r="E11" s="8" t="str">
        <f>MEP!B4</f>
        <v>Lighting Control Devices</v>
      </c>
      <c r="F11" s="8" t="s">
        <v>426</v>
      </c>
      <c r="G11" s="744">
        <f>MEP!C4</f>
        <v>0</v>
      </c>
      <c r="H11" s="8" t="s">
        <v>483</v>
      </c>
      <c r="I11" s="8">
        <f>'Stage assumptions'!D$93</f>
        <v>15</v>
      </c>
      <c r="J11" s="42">
        <f>MEPCalculation[[#This Row],[Kg estimate]]*VLOOKUP(MEPCalculation[[#This Row],[MEP category (choose from dropdown)]],MEPGenericCarbonFactor[#All],3,FALSE)</f>
        <v>0</v>
      </c>
      <c r="K11" t="s">
        <v>7</v>
      </c>
      <c r="L11" s="42">
        <f>((VLOOKUP(MEPCalculation[[#This Row],[TransportSource]],TransportDistance[],2,FALSE)*'Stage assumptions'!$C$11)+VLOOKUP(MEPCalculation[[#This Row],[TransportSource]],TransportDistance[],3,FALSE)*'Stage assumptions'!$C$12)*MEPCalculation[[#This Row],[Kg estimate]]</f>
        <v>0</v>
      </c>
      <c r="M11" s="8">
        <f>IF(MEPCalculation[[#This Row],[Reference Service Life]]=25,1,(IFERROR(ROUNDDOWN(50/MEPCalculation[[#This Row],[Reference Service Life]],0),0)))</f>
        <v>3</v>
      </c>
      <c r="N11" s="42">
        <f>MEPCalculation[[#This Row],[Replacement cycles in 50 yrs]]*(MEPCalculation[[#This Row],[A1-A3, B3, C1-4]]+MEPCalculation[[#This Row],[A4 Transport]])</f>
        <v>0</v>
      </c>
      <c r="O11" s="8"/>
      <c r="P11" s="8"/>
      <c r="Q11" s="8">
        <f>MEPCalculation[[#This Row],[Kg estimate]]*MEPCalculation[[#This Row],[Data Quality Score]]</f>
        <v>0</v>
      </c>
      <c r="S11" s="18" t="s">
        <v>512</v>
      </c>
      <c r="T11" s="16" t="s">
        <v>467</v>
      </c>
      <c r="U11" s="15">
        <v>15</v>
      </c>
      <c r="V11" s="15"/>
    </row>
    <row r="12" spans="2:22" ht="14.4" x14ac:dyDescent="0.3">
      <c r="B12" s="8" t="s">
        <v>580</v>
      </c>
      <c r="C12" s="8" t="s">
        <v>469</v>
      </c>
      <c r="D12" s="8" t="s">
        <v>581</v>
      </c>
      <c r="E12" s="8" t="str">
        <f>MEP!B5</f>
        <v>Control Devices</v>
      </c>
      <c r="F12" s="8" t="s">
        <v>426</v>
      </c>
      <c r="G12" s="744">
        <f>MEP!C5</f>
        <v>0</v>
      </c>
      <c r="H12" s="8" t="s">
        <v>483</v>
      </c>
      <c r="I12" s="8">
        <f>'Stage assumptions'!D$93</f>
        <v>15</v>
      </c>
      <c r="J12" s="42">
        <f>MEPCalculation[[#This Row],[Kg estimate]]*VLOOKUP(MEPCalculation[[#This Row],[MEP category (choose from dropdown)]],MEPGenericCarbonFactor[#All],3,FALSE)</f>
        <v>0</v>
      </c>
      <c r="K12" t="s">
        <v>7</v>
      </c>
      <c r="L12" s="42">
        <f>((VLOOKUP(MEPCalculation[[#This Row],[TransportSource]],TransportDistance[],2,FALSE)*'Stage assumptions'!$C$11)+VLOOKUP(MEPCalculation[[#This Row],[TransportSource]],TransportDistance[],3,FALSE)*'Stage assumptions'!$C$12)*MEPCalculation[[#This Row],[Kg estimate]]</f>
        <v>0</v>
      </c>
      <c r="M12" s="8">
        <f>IF(MEPCalculation[[#This Row],[Reference Service Life]]=25,1,(IFERROR(ROUNDDOWN(50/MEPCalculation[[#This Row],[Reference Service Life]],0),0)))</f>
        <v>3</v>
      </c>
      <c r="N12" s="42">
        <f>MEPCalculation[[#This Row],[Replacement cycles in 50 yrs]]*(MEPCalculation[[#This Row],[A1-A3, B3, C1-4]]+MEPCalculation[[#This Row],[A4 Transport]])</f>
        <v>0</v>
      </c>
      <c r="Q12" s="8">
        <f>MEPCalculation[[#This Row],[Kg estimate]]*MEPCalculation[[#This Row],[Data Quality Score]]</f>
        <v>0</v>
      </c>
      <c r="S12" s="18"/>
      <c r="T12" s="16" t="s">
        <v>468</v>
      </c>
      <c r="U12" s="15">
        <v>15</v>
      </c>
      <c r="V12" s="15"/>
    </row>
    <row r="13" spans="2:22" ht="14.4" x14ac:dyDescent="0.3">
      <c r="C13" s="8" t="s">
        <v>469</v>
      </c>
      <c r="D13" s="8" t="s">
        <v>581</v>
      </c>
      <c r="E13" s="8" t="str">
        <f>MEP!B6</f>
        <v>Control Panels</v>
      </c>
      <c r="F13" s="8" t="s">
        <v>426</v>
      </c>
      <c r="G13" s="744">
        <f>MEP!C6</f>
        <v>0</v>
      </c>
      <c r="H13" s="8" t="s">
        <v>483</v>
      </c>
      <c r="I13" s="8">
        <f>'Stage assumptions'!D$93</f>
        <v>15</v>
      </c>
      <c r="J13" s="42">
        <f>MEPCalculation[[#This Row],[Kg estimate]]*VLOOKUP(MEPCalculation[[#This Row],[MEP category (choose from dropdown)]],MEPGenericCarbonFactor[#All],3,FALSE)</f>
        <v>0</v>
      </c>
      <c r="K13" t="s">
        <v>7</v>
      </c>
      <c r="L13" s="42">
        <f>((VLOOKUP(MEPCalculation[[#This Row],[TransportSource]],TransportDistance[],2,FALSE)*'Stage assumptions'!$C$11)+VLOOKUP(MEPCalculation[[#This Row],[TransportSource]],TransportDistance[],3,FALSE)*'Stage assumptions'!$C$12)*MEPCalculation[[#This Row],[Kg estimate]]</f>
        <v>0</v>
      </c>
      <c r="M13" s="8">
        <f>IF(MEPCalculation[[#This Row],[Reference Service Life]]=25,1,(IFERROR(ROUNDDOWN(50/MEPCalculation[[#This Row],[Reference Service Life]],0),0)))</f>
        <v>3</v>
      </c>
      <c r="N13" s="42">
        <f>MEPCalculation[[#This Row],[Replacement cycles in 50 yrs]]*(MEPCalculation[[#This Row],[A1-A3, B3, C1-4]]+MEPCalculation[[#This Row],[A4 Transport]])</f>
        <v>0</v>
      </c>
      <c r="Q13" s="8">
        <f>MEPCalculation[[#This Row],[Kg estimate]]*MEPCalculation[[#This Row],[Data Quality Score]]</f>
        <v>0</v>
      </c>
      <c r="S13" s="18" t="s">
        <v>513</v>
      </c>
      <c r="T13" s="16" t="s">
        <v>469</v>
      </c>
      <c r="U13" s="15">
        <v>20</v>
      </c>
      <c r="V13" s="15" t="s">
        <v>582</v>
      </c>
    </row>
    <row r="14" spans="2:22" ht="14.4" x14ac:dyDescent="0.3">
      <c r="C14" s="8" t="s">
        <v>469</v>
      </c>
      <c r="D14" s="8" t="s">
        <v>581</v>
      </c>
      <c r="E14" s="8" t="str">
        <f>MEP!B7</f>
        <v>Sensors</v>
      </c>
      <c r="F14" s="8" t="s">
        <v>426</v>
      </c>
      <c r="G14" s="744">
        <f>MEP!C7</f>
        <v>0</v>
      </c>
      <c r="H14" s="8" t="s">
        <v>483</v>
      </c>
      <c r="I14" s="8">
        <f>'Stage assumptions'!D$93</f>
        <v>15</v>
      </c>
      <c r="J14" s="42">
        <f>MEPCalculation[[#This Row],[Kg estimate]]*VLOOKUP(MEPCalculation[[#This Row],[MEP category (choose from dropdown)]],MEPGenericCarbonFactor[#All],3,FALSE)</f>
        <v>0</v>
      </c>
      <c r="K14" t="s">
        <v>7</v>
      </c>
      <c r="L14" s="42">
        <f>((VLOOKUP(MEPCalculation[[#This Row],[TransportSource]],TransportDistance[],2,FALSE)*'Stage assumptions'!$C$11)+VLOOKUP(MEPCalculation[[#This Row],[TransportSource]],TransportDistance[],3,FALSE)*'Stage assumptions'!$C$12)*MEPCalculation[[#This Row],[Kg estimate]]</f>
        <v>0</v>
      </c>
      <c r="M14" s="8">
        <f>IF(MEPCalculation[[#This Row],[Reference Service Life]]=25,1,(IFERROR(ROUNDDOWN(50/MEPCalculation[[#This Row],[Reference Service Life]],0),0)))</f>
        <v>3</v>
      </c>
      <c r="N14" s="42">
        <f>MEPCalculation[[#This Row],[Replacement cycles in 50 yrs]]*(MEPCalculation[[#This Row],[A1-A3, B3, C1-4]]+MEPCalculation[[#This Row],[A4 Transport]])</f>
        <v>0</v>
      </c>
      <c r="Q14" s="8">
        <f>MEPCalculation[[#This Row],[Kg estimate]]*MEPCalculation[[#This Row],[Data Quality Score]]</f>
        <v>0</v>
      </c>
      <c r="S14" s="18"/>
      <c r="T14" s="16" t="s">
        <v>470</v>
      </c>
      <c r="U14" s="15">
        <v>15</v>
      </c>
      <c r="V14" s="15"/>
    </row>
    <row r="15" spans="2:22" ht="14.4" x14ac:dyDescent="0.3">
      <c r="C15" s="8" t="s">
        <v>469</v>
      </c>
      <c r="D15" s="8" t="s">
        <v>581</v>
      </c>
      <c r="E15" s="8" t="str">
        <f>MEP!B8</f>
        <v>Switchgear</v>
      </c>
      <c r="F15" s="8" t="s">
        <v>426</v>
      </c>
      <c r="G15" s="744">
        <f>MEP!C8</f>
        <v>0</v>
      </c>
      <c r="H15" s="8" t="s">
        <v>483</v>
      </c>
      <c r="I15" s="8">
        <f>'Stage assumptions'!D$93</f>
        <v>15</v>
      </c>
      <c r="J15" s="42">
        <f>MEPCalculation[[#This Row],[Kg estimate]]*VLOOKUP(MEPCalculation[[#This Row],[MEP category (choose from dropdown)]],MEPGenericCarbonFactor[#All],3,FALSE)</f>
        <v>0</v>
      </c>
      <c r="K15" t="s">
        <v>7</v>
      </c>
      <c r="L15" s="42">
        <f>((VLOOKUP(MEPCalculation[[#This Row],[TransportSource]],TransportDistance[],2,FALSE)*'Stage assumptions'!$C$11)+VLOOKUP(MEPCalculation[[#This Row],[TransportSource]],TransportDistance[],3,FALSE)*'Stage assumptions'!$C$12)*MEPCalculation[[#This Row],[Kg estimate]]</f>
        <v>0</v>
      </c>
      <c r="M15" s="8">
        <f>IF(MEPCalculation[[#This Row],[Reference Service Life]]=25,1,(IFERROR(ROUNDDOWN(50/MEPCalculation[[#This Row],[Reference Service Life]],0),0)))</f>
        <v>3</v>
      </c>
      <c r="N15" s="42">
        <f>MEPCalculation[[#This Row],[Replacement cycles in 50 yrs]]*(MEPCalculation[[#This Row],[A1-A3, B3, C1-4]]+MEPCalculation[[#This Row],[A4 Transport]])</f>
        <v>0</v>
      </c>
      <c r="Q15" s="8">
        <f>MEPCalculation[[#This Row],[Kg estimate]]*MEPCalculation[[#This Row],[Data Quality Score]]</f>
        <v>0</v>
      </c>
      <c r="S15" s="18"/>
      <c r="T15" s="16" t="s">
        <v>471</v>
      </c>
      <c r="U15" s="15">
        <v>15</v>
      </c>
      <c r="V15" s="15" t="s">
        <v>583</v>
      </c>
    </row>
    <row r="16" spans="2:22" ht="14.4" x14ac:dyDescent="0.3">
      <c r="C16" s="8" t="s">
        <v>469</v>
      </c>
      <c r="D16" s="8" t="s">
        <v>581</v>
      </c>
      <c r="E16" s="8" t="str">
        <f>MEP!B9</f>
        <v>Heat Interface Units</v>
      </c>
      <c r="F16" s="8" t="s">
        <v>426</v>
      </c>
      <c r="G16" s="744">
        <f>MEP!C9</f>
        <v>0</v>
      </c>
      <c r="H16" s="8" t="s">
        <v>483</v>
      </c>
      <c r="I16" s="8">
        <f>'Stage assumptions'!D$94</f>
        <v>20</v>
      </c>
      <c r="J16" s="42">
        <f>MEPCalculation[[#This Row],[Kg estimate]]*VLOOKUP(MEPCalculation[[#This Row],[MEP category (choose from dropdown)]],MEPGenericCarbonFactor[#All],3,FALSE)</f>
        <v>0</v>
      </c>
      <c r="K16" t="s">
        <v>7</v>
      </c>
      <c r="L16" s="42">
        <f>((VLOOKUP(MEPCalculation[[#This Row],[TransportSource]],TransportDistance[],2,FALSE)*'Stage assumptions'!$C$11)+VLOOKUP(MEPCalculation[[#This Row],[TransportSource]],TransportDistance[],3,FALSE)*'Stage assumptions'!$C$12)*MEPCalculation[[#This Row],[Kg estimate]]</f>
        <v>0</v>
      </c>
      <c r="M16" s="8">
        <f>IF(MEPCalculation[[#This Row],[Reference Service Life]]=25,1,(IFERROR(ROUNDDOWN(50/MEPCalculation[[#This Row],[Reference Service Life]],0),0)))</f>
        <v>2</v>
      </c>
      <c r="N16" s="42">
        <f>MEPCalculation[[#This Row],[Replacement cycles in 50 yrs]]*(MEPCalculation[[#This Row],[A1-A3, B3, C1-4]]+MEPCalculation[[#This Row],[A4 Transport]])</f>
        <v>0</v>
      </c>
      <c r="Q16" s="8">
        <f>MEPCalculation[[#This Row],[Kg estimate]]*MEPCalculation[[#This Row],[Data Quality Score]]</f>
        <v>0</v>
      </c>
      <c r="S16" s="18" t="s">
        <v>514</v>
      </c>
      <c r="T16" s="16" t="s">
        <v>472</v>
      </c>
      <c r="U16" s="15">
        <v>20</v>
      </c>
      <c r="V16" s="15"/>
    </row>
    <row r="17" spans="2:22" ht="14.4" x14ac:dyDescent="0.3">
      <c r="C17" s="8" t="s">
        <v>469</v>
      </c>
      <c r="D17" s="8" t="s">
        <v>581</v>
      </c>
      <c r="E17" s="8" t="str">
        <f>MEP!B10</f>
        <v>Heat Pumps</v>
      </c>
      <c r="F17" s="8" t="s">
        <v>420</v>
      </c>
      <c r="G17" s="744">
        <f>MEP!C10</f>
        <v>0</v>
      </c>
      <c r="H17" s="8" t="s">
        <v>483</v>
      </c>
      <c r="I17" s="8">
        <f>'Stage assumptions'!D$94</f>
        <v>20</v>
      </c>
      <c r="J17" s="42">
        <f>MEPCalculation[[#This Row],[Kg estimate]]*VLOOKUP(MEPCalculation[[#This Row],[MEP category (choose from dropdown)]],MEPGenericCarbonFactor[#All],3,FALSE)</f>
        <v>0</v>
      </c>
      <c r="K17" t="s">
        <v>7</v>
      </c>
      <c r="L17" s="42">
        <f>((VLOOKUP(MEPCalculation[[#This Row],[TransportSource]],TransportDistance[],2,FALSE)*'Stage assumptions'!$C$11)+VLOOKUP(MEPCalculation[[#This Row],[TransportSource]],TransportDistance[],3,FALSE)*'Stage assumptions'!$C$12)*MEPCalculation[[#This Row],[Kg estimate]]</f>
        <v>0</v>
      </c>
      <c r="M17" s="8">
        <f>IF(MEPCalculation[[#This Row],[Reference Service Life]]=25,1,(IFERROR(ROUNDDOWN(50/MEPCalculation[[#This Row],[Reference Service Life]],0),0)))</f>
        <v>2</v>
      </c>
      <c r="N17" s="42">
        <f>MEPCalculation[[#This Row],[Replacement cycles in 50 yrs]]*(MEPCalculation[[#This Row],[A1-A3, B3, C1-4]]+MEPCalculation[[#This Row],[A4 Transport]])</f>
        <v>0</v>
      </c>
      <c r="Q17" s="8">
        <f>MEPCalculation[[#This Row],[Kg estimate]]*MEPCalculation[[#This Row],[Data Quality Score]]</f>
        <v>0</v>
      </c>
      <c r="S17" s="18"/>
      <c r="T17" s="16" t="s">
        <v>473</v>
      </c>
      <c r="U17" s="15">
        <v>30</v>
      </c>
      <c r="V17" s="15"/>
    </row>
    <row r="18" spans="2:22" ht="14.4" x14ac:dyDescent="0.3">
      <c r="C18" s="8" t="s">
        <v>469</v>
      </c>
      <c r="D18" s="8" t="s">
        <v>581</v>
      </c>
      <c r="E18" s="8" t="str">
        <f>MEP!B11</f>
        <v>Boilers</v>
      </c>
      <c r="F18" s="8" t="s">
        <v>420</v>
      </c>
      <c r="G18" s="744">
        <f>MEP!C11</f>
        <v>0</v>
      </c>
      <c r="H18" s="8" t="s">
        <v>483</v>
      </c>
      <c r="I18" s="8">
        <f>'Stage assumptions'!D$94</f>
        <v>20</v>
      </c>
      <c r="J18" s="42">
        <f>MEPCalculation[[#This Row],[Kg estimate]]*VLOOKUP(MEPCalculation[[#This Row],[MEP category (choose from dropdown)]],MEPGenericCarbonFactor[#All],3,FALSE)</f>
        <v>0</v>
      </c>
      <c r="K18" t="s">
        <v>7</v>
      </c>
      <c r="L18" s="42">
        <f>((VLOOKUP(MEPCalculation[[#This Row],[TransportSource]],TransportDistance[],2,FALSE)*'Stage assumptions'!$C$11)+VLOOKUP(MEPCalculation[[#This Row],[TransportSource]],TransportDistance[],3,FALSE)*'Stage assumptions'!$C$12)*MEPCalculation[[#This Row],[Kg estimate]]</f>
        <v>0</v>
      </c>
      <c r="M18" s="8">
        <f>IF(MEPCalculation[[#This Row],[Reference Service Life]]=25,1,(IFERROR(ROUNDDOWN(50/MEPCalculation[[#This Row],[Reference Service Life]],0),0)))</f>
        <v>2</v>
      </c>
      <c r="N18" s="42">
        <f>MEPCalculation[[#This Row],[Replacement cycles in 50 yrs]]*(MEPCalculation[[#This Row],[A1-A3, B3, C1-4]]+MEPCalculation[[#This Row],[A4 Transport]])</f>
        <v>0</v>
      </c>
      <c r="Q18" s="8">
        <f>MEPCalculation[[#This Row],[Kg estimate]]*MEPCalculation[[#This Row],[Data Quality Score]]</f>
        <v>0</v>
      </c>
      <c r="S18" s="18" t="s">
        <v>515</v>
      </c>
      <c r="T18" s="16" t="s">
        <v>474</v>
      </c>
      <c r="U18" s="15">
        <v>25</v>
      </c>
      <c r="V18" s="15"/>
    </row>
    <row r="19" spans="2:22" ht="14.4" x14ac:dyDescent="0.3">
      <c r="C19" s="8" t="s">
        <v>469</v>
      </c>
      <c r="D19" s="8" t="s">
        <v>581</v>
      </c>
      <c r="E19" s="8" t="str">
        <f>MEP!B12</f>
        <v>Radiators</v>
      </c>
      <c r="F19" s="8" t="s">
        <v>422</v>
      </c>
      <c r="G19" s="744">
        <f>MEP!C12</f>
        <v>0</v>
      </c>
      <c r="H19" s="8" t="s">
        <v>483</v>
      </c>
      <c r="I19" s="8">
        <f>'Stage assumptions'!D95</f>
        <v>30</v>
      </c>
      <c r="J19" s="42">
        <f>MEPCalculation[[#This Row],[Kg estimate]]*VLOOKUP(MEPCalculation[[#This Row],[MEP category (choose from dropdown)]],MEPGenericCarbonFactor[#All],3,FALSE)</f>
        <v>0</v>
      </c>
      <c r="K19" t="s">
        <v>7</v>
      </c>
      <c r="L19" s="42">
        <f>((VLOOKUP(MEPCalculation[[#This Row],[TransportSource]],TransportDistance[],2,FALSE)*'Stage assumptions'!$C$11)+VLOOKUP(MEPCalculation[[#This Row],[TransportSource]],TransportDistance[],3,FALSE)*'Stage assumptions'!$C$12)*MEPCalculation[[#This Row],[Kg estimate]]</f>
        <v>0</v>
      </c>
      <c r="M19" s="8">
        <f>IF(MEPCalculation[[#This Row],[Reference Service Life]]=25,1,(IFERROR(ROUNDDOWN(50/MEPCalculation[[#This Row],[Reference Service Life]],0),0)))</f>
        <v>1</v>
      </c>
      <c r="N19" s="42">
        <f>MEPCalculation[[#This Row],[Replacement cycles in 50 yrs]]*(MEPCalculation[[#This Row],[A1-A3, B3, C1-4]]+MEPCalculation[[#This Row],[A4 Transport]])</f>
        <v>0</v>
      </c>
      <c r="Q19" s="8">
        <f>MEPCalculation[[#This Row],[Kg estimate]]*MEPCalculation[[#This Row],[Data Quality Score]]</f>
        <v>0</v>
      </c>
      <c r="S19" s="18"/>
      <c r="T19" s="16" t="s">
        <v>475</v>
      </c>
      <c r="U19" s="15">
        <v>25</v>
      </c>
      <c r="V19" s="15"/>
    </row>
    <row r="20" spans="2:22" ht="14.4" x14ac:dyDescent="0.3">
      <c r="C20" s="8" t="s">
        <v>470</v>
      </c>
      <c r="D20" s="8" t="s">
        <v>581</v>
      </c>
      <c r="E20" s="8" t="str">
        <f>MEP!B13</f>
        <v>Chillers</v>
      </c>
      <c r="F20" s="8" t="s">
        <v>422</v>
      </c>
      <c r="G20" s="744">
        <f>MEP!C13</f>
        <v>0</v>
      </c>
      <c r="H20" s="8" t="s">
        <v>483</v>
      </c>
      <c r="I20" s="8">
        <f>'Stage assumptions'!D96</f>
        <v>15</v>
      </c>
      <c r="J20" s="42">
        <f>MEPCalculation[[#This Row],[Kg estimate]]*VLOOKUP(MEPCalculation[[#This Row],[MEP category (choose from dropdown)]],MEPGenericCarbonFactor[#All],3,FALSE)</f>
        <v>0</v>
      </c>
      <c r="K20" t="s">
        <v>7</v>
      </c>
      <c r="L20" s="42">
        <f>((VLOOKUP(MEPCalculation[[#This Row],[TransportSource]],TransportDistance[],2,FALSE)*'Stage assumptions'!$C$11)+VLOOKUP(MEPCalculation[[#This Row],[TransportSource]],TransportDistance[],3,FALSE)*'Stage assumptions'!$C$12)*MEPCalculation[[#This Row],[Kg estimate]]</f>
        <v>0</v>
      </c>
      <c r="M20" s="8">
        <f>IF(MEPCalculation[[#This Row],[Reference Service Life]]=25,1,(IFERROR(ROUNDDOWN(50/MEPCalculation[[#This Row],[Reference Service Life]],0),0)))</f>
        <v>3</v>
      </c>
      <c r="N20" s="42">
        <f>MEPCalculation[[#This Row],[Replacement cycles in 50 yrs]]*(MEPCalculation[[#This Row],[A1-A3, B3, C1-4]]+MEPCalculation[[#This Row],[A4 Transport]])</f>
        <v>0</v>
      </c>
      <c r="Q20" s="8">
        <f>MEPCalculation[[#This Row],[Kg estimate]]*MEPCalculation[[#This Row],[Data Quality Score]]</f>
        <v>0</v>
      </c>
      <c r="S20" s="18"/>
      <c r="T20" s="16" t="s">
        <v>476</v>
      </c>
      <c r="U20" s="15">
        <v>25</v>
      </c>
      <c r="V20" s="15"/>
    </row>
    <row r="21" spans="2:22" ht="14.4" x14ac:dyDescent="0.3">
      <c r="C21" s="8" t="s">
        <v>471</v>
      </c>
      <c r="D21" s="8" t="s">
        <v>584</v>
      </c>
      <c r="E21" s="8" t="str">
        <f>MEP!B14</f>
        <v>Busbars</v>
      </c>
      <c r="F21" s="8" t="s">
        <v>423</v>
      </c>
      <c r="G21" s="744">
        <f>MEP!C14</f>
        <v>0</v>
      </c>
      <c r="H21" s="8" t="s">
        <v>483</v>
      </c>
      <c r="I21" s="8">
        <f>'Stage assumptions'!D96</f>
        <v>15</v>
      </c>
      <c r="J21" s="42">
        <f>MEPCalculation[[#This Row],[Kg estimate]]*VLOOKUP(MEPCalculation[[#This Row],[MEP category (choose from dropdown)]],MEPGenericCarbonFactor[#All],3,FALSE)</f>
        <v>0</v>
      </c>
      <c r="K21" t="s">
        <v>7</v>
      </c>
      <c r="L21" s="42">
        <f>((VLOOKUP(MEPCalculation[[#This Row],[TransportSource]],TransportDistance[],2,FALSE)*'Stage assumptions'!$C$11)+VLOOKUP(MEPCalculation[[#This Row],[TransportSource]],TransportDistance[],3,FALSE)*'Stage assumptions'!$C$12)*MEPCalculation[[#This Row],[Kg estimate]]</f>
        <v>0</v>
      </c>
      <c r="M21" s="8">
        <f>IF(MEPCalculation[[#This Row],[Reference Service Life]]=25,1,(IFERROR(ROUNDDOWN(50/MEPCalculation[[#This Row],[Reference Service Life]],0),0)))</f>
        <v>3</v>
      </c>
      <c r="N21" s="42">
        <f>MEPCalculation[[#This Row],[Replacement cycles in 50 yrs]]*(MEPCalculation[[#This Row],[A1-A3, B3, C1-4]]+MEPCalculation[[#This Row],[A4 Transport]])</f>
        <v>0</v>
      </c>
      <c r="Q21" s="8">
        <f>MEPCalculation[[#This Row],[Kg estimate]]*MEPCalculation[[#This Row],[Data Quality Score]]</f>
        <v>0</v>
      </c>
      <c r="S21" s="18"/>
      <c r="T21" s="16" t="s">
        <v>462</v>
      </c>
      <c r="U21" s="15">
        <v>25</v>
      </c>
      <c r="V21" s="15"/>
    </row>
    <row r="22" spans="2:22" ht="14.4" x14ac:dyDescent="0.3">
      <c r="C22" s="8" t="s">
        <v>471</v>
      </c>
      <c r="D22" s="8" t="s">
        <v>584</v>
      </c>
      <c r="E22" s="8" t="str">
        <f>MEP!B15</f>
        <v>Cables</v>
      </c>
      <c r="F22" s="8" t="s">
        <v>426</v>
      </c>
      <c r="G22" s="744">
        <f>MEP!C15</f>
        <v>0</v>
      </c>
      <c r="H22" s="8" t="s">
        <v>483</v>
      </c>
      <c r="I22" s="8">
        <f>'Stage assumptions'!D98</f>
        <v>30</v>
      </c>
      <c r="J22" s="42">
        <f>MEPCalculation[[#This Row],[Kg estimate]]*VLOOKUP(MEPCalculation[[#This Row],[MEP category (choose from dropdown)]],MEPGenericCarbonFactor[#All],3,FALSE)</f>
        <v>0</v>
      </c>
      <c r="K22" t="s">
        <v>7</v>
      </c>
      <c r="L22" s="42">
        <f>((VLOOKUP(MEPCalculation[[#This Row],[TransportSource]],TransportDistance[],2,FALSE)*'Stage assumptions'!$C$11)+VLOOKUP(MEPCalculation[[#This Row],[TransportSource]],TransportDistance[],3,FALSE)*'Stage assumptions'!$C$12)*MEPCalculation[[#This Row],[Kg estimate]]</f>
        <v>0</v>
      </c>
      <c r="M22" s="8">
        <f>IF(MEPCalculation[[#This Row],[Reference Service Life]]=25,1,(IFERROR(ROUNDDOWN(50/MEPCalculation[[#This Row],[Reference Service Life]],0),0)))</f>
        <v>1</v>
      </c>
      <c r="N22" s="42">
        <f>MEPCalculation[[#This Row],[Replacement cycles in 50 yrs]]*(MEPCalculation[[#This Row],[A1-A3, B3, C1-4]]+MEPCalculation[[#This Row],[A4 Transport]])</f>
        <v>0</v>
      </c>
      <c r="Q22" s="8">
        <f>MEPCalculation[[#This Row],[Kg estimate]]*MEPCalculation[[#This Row],[Data Quality Score]]</f>
        <v>0</v>
      </c>
      <c r="S22" s="18" t="s">
        <v>516</v>
      </c>
      <c r="T22" s="16" t="s">
        <v>477</v>
      </c>
      <c r="U22" s="15">
        <v>20</v>
      </c>
      <c r="V22" s="15"/>
    </row>
    <row r="23" spans="2:22" ht="14.4" x14ac:dyDescent="0.3">
      <c r="C23" s="8" t="s">
        <v>471</v>
      </c>
      <c r="D23" s="8" t="s">
        <v>584</v>
      </c>
      <c r="E23" s="8" t="str">
        <f>MEP!B16</f>
        <v>Cable containment</v>
      </c>
      <c r="F23" s="8" t="s">
        <v>426</v>
      </c>
      <c r="G23" s="744">
        <f>MEP!C16</f>
        <v>0</v>
      </c>
      <c r="H23" s="8" t="s">
        <v>483</v>
      </c>
      <c r="I23" s="8">
        <f>'Stage assumptions'!D98</f>
        <v>30</v>
      </c>
      <c r="J23" s="42">
        <f>MEPCalculation[[#This Row],[Kg estimate]]*VLOOKUP(MEPCalculation[[#This Row],[MEP category (choose from dropdown)]],MEPGenericCarbonFactor[#All],3,FALSE)</f>
        <v>0</v>
      </c>
      <c r="K23" t="s">
        <v>7</v>
      </c>
      <c r="L23" s="42">
        <f>((VLOOKUP(MEPCalculation[[#This Row],[TransportSource]],TransportDistance[],2,FALSE)*'Stage assumptions'!$C$11)+VLOOKUP(MEPCalculation[[#This Row],[TransportSource]],TransportDistance[],3,FALSE)*'Stage assumptions'!$C$12)*MEPCalculation[[#This Row],[Kg estimate]]</f>
        <v>0</v>
      </c>
      <c r="M23" s="8">
        <f>IF(MEPCalculation[[#This Row],[Reference Service Life]]=25,1,(IFERROR(ROUNDDOWN(50/MEPCalculation[[#This Row],[Reference Service Life]],0),0)))</f>
        <v>1</v>
      </c>
      <c r="N23" s="42">
        <f>MEPCalculation[[#This Row],[Replacement cycles in 50 yrs]]*(MEPCalculation[[#This Row],[A1-A3, B3, C1-4]]+MEPCalculation[[#This Row],[A4 Transport]])</f>
        <v>0</v>
      </c>
      <c r="Q23" s="8">
        <f>MEPCalculation[[#This Row],[Kg estimate]]*MEPCalculation[[#This Row],[Data Quality Score]]</f>
        <v>0</v>
      </c>
      <c r="S23" s="18"/>
      <c r="T23" s="16" t="s">
        <v>478</v>
      </c>
      <c r="U23" s="15">
        <v>30</v>
      </c>
      <c r="V23" s="15"/>
    </row>
    <row r="24" spans="2:22" ht="14.4" x14ac:dyDescent="0.3">
      <c r="C24" s="8" t="s">
        <v>471</v>
      </c>
      <c r="D24" s="8" t="s">
        <v>584</v>
      </c>
      <c r="E24" s="8" t="str">
        <f>MEP!B17</f>
        <v>Electrical Outlets</v>
      </c>
      <c r="F24" s="8" t="s">
        <v>426</v>
      </c>
      <c r="G24" s="744">
        <f>MEP!C17</f>
        <v>0</v>
      </c>
      <c r="H24" s="8" t="s">
        <v>483</v>
      </c>
      <c r="I24" s="8">
        <f>'Stage assumptions'!D98</f>
        <v>30</v>
      </c>
      <c r="J24" s="42">
        <f>MEPCalculation[[#This Row],[Kg estimate]]*VLOOKUP(MEPCalculation[[#This Row],[MEP category (choose from dropdown)]],MEPGenericCarbonFactor[#All],3,FALSE)</f>
        <v>0</v>
      </c>
      <c r="K24" t="s">
        <v>7</v>
      </c>
      <c r="L24" s="42">
        <f>((VLOOKUP(MEPCalculation[[#This Row],[TransportSource]],TransportDistance[],2,FALSE)*'Stage assumptions'!$C$11)+VLOOKUP(MEPCalculation[[#This Row],[TransportSource]],TransportDistance[],3,FALSE)*'Stage assumptions'!$C$12)*MEPCalculation[[#This Row],[Kg estimate]]</f>
        <v>0</v>
      </c>
      <c r="M24" s="8">
        <f>IF(MEPCalculation[[#This Row],[Reference Service Life]]=25,1,(IFERROR(ROUNDDOWN(50/MEPCalculation[[#This Row],[Reference Service Life]],0),0)))</f>
        <v>1</v>
      </c>
      <c r="N24" s="42">
        <f>MEPCalculation[[#This Row],[Replacement cycles in 50 yrs]]*(MEPCalculation[[#This Row],[A1-A3, B3, C1-4]]+MEPCalculation[[#This Row],[A4 Transport]])</f>
        <v>0</v>
      </c>
      <c r="Q24" s="8">
        <f>MEPCalculation[[#This Row],[Kg estimate]]*MEPCalculation[[#This Row],[Data Quality Score]]</f>
        <v>0</v>
      </c>
      <c r="S24" s="18"/>
      <c r="T24" s="16" t="s">
        <v>479</v>
      </c>
      <c r="U24" s="15">
        <v>15</v>
      </c>
      <c r="V24" s="15"/>
    </row>
    <row r="25" spans="2:22" ht="14.4" x14ac:dyDescent="0.3">
      <c r="C25" s="8" t="s">
        <v>471</v>
      </c>
      <c r="D25" s="8" t="s">
        <v>584</v>
      </c>
      <c r="E25" s="8" t="str">
        <f>MEP!B18</f>
        <v>Generators</v>
      </c>
      <c r="F25" s="8" t="s">
        <v>420</v>
      </c>
      <c r="G25" s="744">
        <f>MEP!C18</f>
        <v>0</v>
      </c>
      <c r="H25" s="8" t="s">
        <v>483</v>
      </c>
      <c r="I25" s="8">
        <f>'Stage assumptions'!D97</f>
        <v>15</v>
      </c>
      <c r="J25" s="42">
        <f>MEPCalculation[[#This Row],[Kg estimate]]*VLOOKUP(MEPCalculation[[#This Row],[MEP category (choose from dropdown)]],MEPGenericCarbonFactor[#All],3,FALSE)</f>
        <v>0</v>
      </c>
      <c r="K25" t="s">
        <v>7</v>
      </c>
      <c r="L25" s="42">
        <f>((VLOOKUP(MEPCalculation[[#This Row],[TransportSource]],TransportDistance[],2,FALSE)*'Stage assumptions'!$C$11)+VLOOKUP(MEPCalculation[[#This Row],[TransportSource]],TransportDistance[],3,FALSE)*'Stage assumptions'!$C$12)*MEPCalculation[[#This Row],[Kg estimate]]</f>
        <v>0</v>
      </c>
      <c r="M25" s="8">
        <f>IF(MEPCalculation[[#This Row],[Reference Service Life]]=25,1,(IFERROR(ROUNDDOWN(50/MEPCalculation[[#This Row],[Reference Service Life]],0),0)))</f>
        <v>3</v>
      </c>
      <c r="N25" s="42">
        <f>MEPCalculation[[#This Row],[Replacement cycles in 50 yrs]]*(MEPCalculation[[#This Row],[A1-A3, B3, C1-4]]+MEPCalculation[[#This Row],[A4 Transport]])</f>
        <v>0</v>
      </c>
      <c r="Q25" s="8">
        <f>MEPCalculation[[#This Row],[Kg estimate]]*MEPCalculation[[#This Row],[Data Quality Score]]</f>
        <v>0</v>
      </c>
      <c r="S25" s="18"/>
      <c r="T25" s="16" t="s">
        <v>480</v>
      </c>
      <c r="U25" s="15">
        <v>15</v>
      </c>
      <c r="V25" s="15"/>
    </row>
    <row r="26" spans="2:22" ht="14.4" x14ac:dyDescent="0.3">
      <c r="C26" s="8" t="s">
        <v>471</v>
      </c>
      <c r="D26" s="8" t="s">
        <v>584</v>
      </c>
      <c r="E26" s="8" t="str">
        <f>MEP!B19</f>
        <v>UPS</v>
      </c>
      <c r="F26" s="8" t="s">
        <v>426</v>
      </c>
      <c r="G26" s="744">
        <f>MEP!C19</f>
        <v>0</v>
      </c>
      <c r="H26" s="8" t="s">
        <v>483</v>
      </c>
      <c r="I26" s="8">
        <f>'Stage assumptions'!D97</f>
        <v>15</v>
      </c>
      <c r="J26" s="42">
        <f>MEPCalculation[[#This Row],[Kg estimate]]*VLOOKUP(MEPCalculation[[#This Row],[MEP category (choose from dropdown)]],MEPGenericCarbonFactor[#All],3,FALSE)</f>
        <v>0</v>
      </c>
      <c r="K26" t="s">
        <v>7</v>
      </c>
      <c r="L26" s="42">
        <f>((VLOOKUP(MEPCalculation[[#This Row],[TransportSource]],TransportDistance[],2,FALSE)*'Stage assumptions'!$C$11)+VLOOKUP(MEPCalculation[[#This Row],[TransportSource]],TransportDistance[],3,FALSE)*'Stage assumptions'!$C$12)*MEPCalculation[[#This Row],[Kg estimate]]</f>
        <v>0</v>
      </c>
      <c r="M26" s="8">
        <f>IF(MEPCalculation[[#This Row],[Reference Service Life]]=25,1,(IFERROR(ROUNDDOWN(50/MEPCalculation[[#This Row],[Reference Service Life]],0),0)))</f>
        <v>3</v>
      </c>
      <c r="N26" s="42">
        <f>MEPCalculation[[#This Row],[Replacement cycles in 50 yrs]]*(MEPCalculation[[#This Row],[A1-A3, B3, C1-4]]+MEPCalculation[[#This Row],[A4 Transport]])</f>
        <v>0</v>
      </c>
      <c r="Q26" s="8">
        <f>MEPCalculation[[#This Row],[Kg estimate]]*MEPCalculation[[#This Row],[Data Quality Score]]</f>
        <v>0</v>
      </c>
    </row>
    <row r="27" spans="2:22" ht="14.4" x14ac:dyDescent="0.3">
      <c r="B27" s="8" t="s">
        <v>585</v>
      </c>
      <c r="C27" s="8" t="s">
        <v>472</v>
      </c>
      <c r="D27" s="8" t="s">
        <v>581</v>
      </c>
      <c r="E27" s="8" t="str">
        <f>MEP!B20</f>
        <v>MVHR</v>
      </c>
      <c r="F27" s="8" t="s">
        <v>425</v>
      </c>
      <c r="G27" s="744">
        <f>MEP!C20</f>
        <v>0</v>
      </c>
      <c r="H27" s="8" t="s">
        <v>483</v>
      </c>
      <c r="I27" s="8">
        <f>'Stage assumptions'!D99</f>
        <v>20</v>
      </c>
      <c r="J27" s="42">
        <f>MEPCalculation[[#This Row],[Kg estimate]]*VLOOKUP(MEPCalculation[[#This Row],[MEP category (choose from dropdown)]],MEPGenericCarbonFactor[#All],3,FALSE)</f>
        <v>0</v>
      </c>
      <c r="K27" t="s">
        <v>7</v>
      </c>
      <c r="L27" s="42">
        <f>((VLOOKUP(MEPCalculation[[#This Row],[TransportSource]],TransportDistance[],2,FALSE)*'Stage assumptions'!$C$11)+VLOOKUP(MEPCalculation[[#This Row],[TransportSource]],TransportDistance[],3,FALSE)*'Stage assumptions'!$C$12)*MEPCalculation[[#This Row],[Kg estimate]]</f>
        <v>0</v>
      </c>
      <c r="M27" s="8">
        <f>IF(MEPCalculation[[#This Row],[Reference Service Life]]=25,1,(IFERROR(ROUNDDOWN(50/MEPCalculation[[#This Row],[Reference Service Life]],0),0)))</f>
        <v>2</v>
      </c>
      <c r="N27" s="42">
        <f>MEPCalculation[[#This Row],[Replacement cycles in 50 yrs]]*(MEPCalculation[[#This Row],[A1-A3, B3, C1-4]]+MEPCalculation[[#This Row],[A4 Transport]])</f>
        <v>0</v>
      </c>
      <c r="Q27" s="8">
        <f>MEPCalculation[[#This Row],[Kg estimate]]*MEPCalculation[[#This Row],[Data Quality Score]]</f>
        <v>0</v>
      </c>
    </row>
    <row r="28" spans="2:22" ht="14.4" x14ac:dyDescent="0.3">
      <c r="C28" s="8" t="s">
        <v>472</v>
      </c>
      <c r="D28" s="8" t="s">
        <v>581</v>
      </c>
      <c r="E28" s="8" t="str">
        <f>MEP!B21</f>
        <v>Air Handling Units</v>
      </c>
      <c r="F28" s="8" t="s">
        <v>425</v>
      </c>
      <c r="G28" s="744">
        <f>MEP!C21</f>
        <v>0</v>
      </c>
      <c r="H28" s="8" t="s">
        <v>483</v>
      </c>
      <c r="I28" s="8">
        <f>'Stage assumptions'!D99</f>
        <v>20</v>
      </c>
      <c r="J28" s="42">
        <f>MEPCalculation[[#This Row],[Kg estimate]]*VLOOKUP(MEPCalculation[[#This Row],[MEP category (choose from dropdown)]],MEPGenericCarbonFactor[#All],3,FALSE)</f>
        <v>0</v>
      </c>
      <c r="K28" t="s">
        <v>7</v>
      </c>
      <c r="L28" s="42">
        <f>((VLOOKUP(MEPCalculation[[#This Row],[TransportSource]],TransportDistance[],2,FALSE)*'Stage assumptions'!$C$11)+VLOOKUP(MEPCalculation[[#This Row],[TransportSource]],TransportDistance[],3,FALSE)*'Stage assumptions'!$C$12)*MEPCalculation[[#This Row],[Kg estimate]]</f>
        <v>0</v>
      </c>
      <c r="M28" s="8">
        <f>IF(MEPCalculation[[#This Row],[Reference Service Life]]=25,1,(IFERROR(ROUNDDOWN(50/MEPCalculation[[#This Row],[Reference Service Life]],0),0)))</f>
        <v>2</v>
      </c>
      <c r="N28" s="42">
        <f>MEPCalculation[[#This Row],[Replacement cycles in 50 yrs]]*(MEPCalculation[[#This Row],[A1-A3, B3, C1-4]]+MEPCalculation[[#This Row],[A4 Transport]])</f>
        <v>0</v>
      </c>
      <c r="Q28" s="8">
        <f>MEPCalculation[[#This Row],[Kg estimate]]*MEPCalculation[[#This Row],[Data Quality Score]]</f>
        <v>0</v>
      </c>
    </row>
    <row r="29" spans="2:22" ht="14.4" x14ac:dyDescent="0.3">
      <c r="C29" s="8" t="s">
        <v>473</v>
      </c>
      <c r="D29" s="8" t="s">
        <v>581</v>
      </c>
      <c r="E29" s="8" t="str">
        <f>MEP!B22</f>
        <v>Ducts</v>
      </c>
      <c r="F29" s="8" t="s">
        <v>426</v>
      </c>
      <c r="G29" s="744">
        <f>MEP!C22</f>
        <v>0</v>
      </c>
      <c r="H29" s="8" t="s">
        <v>483</v>
      </c>
      <c r="I29" s="8">
        <f>'Stage assumptions'!D100</f>
        <v>30</v>
      </c>
      <c r="J29" s="42">
        <f>MEPCalculation[[#This Row],[Kg estimate]]*VLOOKUP(MEPCalculation[[#This Row],[MEP category (choose from dropdown)]],MEPGenericCarbonFactor[#All],3,FALSE)</f>
        <v>0</v>
      </c>
      <c r="K29" t="s">
        <v>7</v>
      </c>
      <c r="L29" s="42">
        <f>((VLOOKUP(MEPCalculation[[#This Row],[TransportSource]],TransportDistance[],2,FALSE)*'Stage assumptions'!$C$11)+VLOOKUP(MEPCalculation[[#This Row],[TransportSource]],TransportDistance[],3,FALSE)*'Stage assumptions'!$C$12)*MEPCalculation[[#This Row],[Kg estimate]]</f>
        <v>0</v>
      </c>
      <c r="M29" s="8">
        <f>IF(MEPCalculation[[#This Row],[Reference Service Life]]=25,1,(IFERROR(ROUNDDOWN(50/MEPCalculation[[#This Row],[Reference Service Life]],0),0)))</f>
        <v>1</v>
      </c>
      <c r="N29" s="42">
        <f>MEPCalculation[[#This Row],[Replacement cycles in 50 yrs]]*(MEPCalculation[[#This Row],[A1-A3, B3, C1-4]]+MEPCalculation[[#This Row],[A4 Transport]])</f>
        <v>0</v>
      </c>
      <c r="Q29" s="8">
        <f>MEPCalculation[[#This Row],[Kg estimate]]*MEPCalculation[[#This Row],[Data Quality Score]]</f>
        <v>0</v>
      </c>
    </row>
    <row r="30" spans="2:22" ht="14.4" x14ac:dyDescent="0.3">
      <c r="B30" s="8" t="s">
        <v>515</v>
      </c>
      <c r="C30" s="8" t="s">
        <v>474</v>
      </c>
      <c r="D30" s="8" t="s">
        <v>586</v>
      </c>
      <c r="E30" s="8" t="str">
        <f>MEP!B23</f>
        <v>Pumps</v>
      </c>
      <c r="F30" s="8" t="s">
        <v>426</v>
      </c>
      <c r="G30" s="744">
        <f>MEP!C23</f>
        <v>0</v>
      </c>
      <c r="H30" s="8" t="s">
        <v>483</v>
      </c>
      <c r="I30" s="8">
        <f>'Stage assumptions'!D101</f>
        <v>25</v>
      </c>
      <c r="J30" s="42">
        <f>MEPCalculation[[#This Row],[Kg estimate]]*VLOOKUP(MEPCalculation[[#This Row],[MEP category (choose from dropdown)]],MEPGenericCarbonFactor[#All],3,FALSE)</f>
        <v>0</v>
      </c>
      <c r="K30" t="s">
        <v>7</v>
      </c>
      <c r="L30" s="42">
        <f>((VLOOKUP(MEPCalculation[[#This Row],[TransportSource]],TransportDistance[],2,FALSE)*'Stage assumptions'!$C$11)+VLOOKUP(MEPCalculation[[#This Row],[TransportSource]],TransportDistance[],3,FALSE)*'Stage assumptions'!$C$12)*MEPCalculation[[#This Row],[Kg estimate]]</f>
        <v>0</v>
      </c>
      <c r="M30" s="8">
        <f>IF(MEPCalculation[[#This Row],[Reference Service Life]]=25,1,(IFERROR(ROUNDDOWN(50/MEPCalculation[[#This Row],[Reference Service Life]],0),0)))</f>
        <v>1</v>
      </c>
      <c r="N30" s="42">
        <f>MEPCalculation[[#This Row],[Replacement cycles in 50 yrs]]*(MEPCalculation[[#This Row],[A1-A3, B3, C1-4]]+MEPCalculation[[#This Row],[A4 Transport]])</f>
        <v>0</v>
      </c>
      <c r="Q30" s="8">
        <f>MEPCalculation[[#This Row],[Kg estimate]]*MEPCalculation[[#This Row],[Data Quality Score]]</f>
        <v>0</v>
      </c>
    </row>
    <row r="31" spans="2:22" ht="14.4" x14ac:dyDescent="0.3">
      <c r="C31" s="8" t="s">
        <v>475</v>
      </c>
      <c r="D31" s="8" t="s">
        <v>586</v>
      </c>
      <c r="E31" s="8" t="str">
        <f>MEP!B24</f>
        <v>Pipes</v>
      </c>
      <c r="F31" s="8" t="s">
        <v>426</v>
      </c>
      <c r="G31" s="744">
        <f>MEP!C24</f>
        <v>0</v>
      </c>
      <c r="H31" s="8" t="s">
        <v>483</v>
      </c>
      <c r="I31" s="8">
        <f>'Stage assumptions'!D102</f>
        <v>25</v>
      </c>
      <c r="J31" s="42">
        <f>MEPCalculation[[#This Row],[Kg estimate]]*VLOOKUP(MEPCalculation[[#This Row],[MEP category (choose from dropdown)]],MEPGenericCarbonFactor[#All],3,FALSE)</f>
        <v>0</v>
      </c>
      <c r="K31" t="s">
        <v>7</v>
      </c>
      <c r="L31" s="42">
        <f>((VLOOKUP(MEPCalculation[[#This Row],[TransportSource]],TransportDistance[],2,FALSE)*'Stage assumptions'!$C$11)+VLOOKUP(MEPCalculation[[#This Row],[TransportSource]],TransportDistance[],3,FALSE)*'Stage assumptions'!$C$12)*MEPCalculation[[#This Row],[Kg estimate]]</f>
        <v>0</v>
      </c>
      <c r="M31" s="8">
        <f>IF(MEPCalculation[[#This Row],[Reference Service Life]]=25,1,(IFERROR(ROUNDDOWN(50/MEPCalculation[[#This Row],[Reference Service Life]],0),0)))</f>
        <v>1</v>
      </c>
      <c r="N31" s="42">
        <f>MEPCalculation[[#This Row],[Replacement cycles in 50 yrs]]*(MEPCalculation[[#This Row],[A1-A3, B3, C1-4]]+MEPCalculation[[#This Row],[A4 Transport]])</f>
        <v>0</v>
      </c>
      <c r="Q31" s="8">
        <f>MEPCalculation[[#This Row],[Kg estimate]]*MEPCalculation[[#This Row],[Data Quality Score]]</f>
        <v>0</v>
      </c>
    </row>
    <row r="32" spans="2:22" ht="14.4" x14ac:dyDescent="0.3">
      <c r="C32" s="8" t="s">
        <v>476</v>
      </c>
      <c r="D32" s="8" t="s">
        <v>586</v>
      </c>
      <c r="E32" s="8" t="str">
        <f>MEP!B25</f>
        <v>Valves</v>
      </c>
      <c r="F32" s="8" t="s">
        <v>426</v>
      </c>
      <c r="G32" s="744">
        <f>MEP!C25</f>
        <v>0</v>
      </c>
      <c r="H32" s="8" t="s">
        <v>483</v>
      </c>
      <c r="I32" s="8">
        <f>'Stage assumptions'!D103</f>
        <v>25</v>
      </c>
      <c r="J32" s="42">
        <f>MEPCalculation[[#This Row],[Kg estimate]]*VLOOKUP(MEPCalculation[[#This Row],[MEP category (choose from dropdown)]],MEPGenericCarbonFactor[#All],3,FALSE)</f>
        <v>0</v>
      </c>
      <c r="K32" t="s">
        <v>7</v>
      </c>
      <c r="L32" s="42">
        <f>((VLOOKUP(MEPCalculation[[#This Row],[TransportSource]],TransportDistance[],2,FALSE)*'Stage assumptions'!$C$11)+VLOOKUP(MEPCalculation[[#This Row],[TransportSource]],TransportDistance[],3,FALSE)*'Stage assumptions'!$C$12)*MEPCalculation[[#This Row],[Kg estimate]]</f>
        <v>0</v>
      </c>
      <c r="M32" s="8">
        <f>IF(MEPCalculation[[#This Row],[Reference Service Life]]=25,1,(IFERROR(ROUNDDOWN(50/MEPCalculation[[#This Row],[Reference Service Life]],0),0)))</f>
        <v>1</v>
      </c>
      <c r="N32" s="42">
        <f>MEPCalculation[[#This Row],[Replacement cycles in 50 yrs]]*(MEPCalculation[[#This Row],[A1-A3, B3, C1-4]]+MEPCalculation[[#This Row],[A4 Transport]])</f>
        <v>0</v>
      </c>
      <c r="Q32" s="8">
        <f>MEPCalculation[[#This Row],[Kg estimate]]*MEPCalculation[[#This Row],[Data Quality Score]]</f>
        <v>0</v>
      </c>
    </row>
    <row r="33" spans="2:17" ht="14.4" x14ac:dyDescent="0.3">
      <c r="C33" s="8" t="s">
        <v>462</v>
      </c>
      <c r="D33" s="8" t="s">
        <v>586</v>
      </c>
      <c r="E33" s="8" t="str">
        <f>E31</f>
        <v>Pipes</v>
      </c>
      <c r="F33" s="8" t="s">
        <v>426</v>
      </c>
      <c r="G33" s="744">
        <f>MEP!C26</f>
        <v>0</v>
      </c>
      <c r="H33" s="8" t="s">
        <v>483</v>
      </c>
      <c r="I33" s="8">
        <f>'Stage assumptions'!D104</f>
        <v>25</v>
      </c>
      <c r="J33" s="42">
        <f>MEPCalculation[[#This Row],[Kg estimate]]*VLOOKUP(MEPCalculation[[#This Row],[MEP category (choose from dropdown)]],MEPGenericCarbonFactor[#All],3,FALSE)</f>
        <v>0</v>
      </c>
      <c r="K33" t="s">
        <v>7</v>
      </c>
      <c r="L33" s="42">
        <f>((VLOOKUP(MEPCalculation[[#This Row],[TransportSource]],TransportDistance[],2,FALSE)*'Stage assumptions'!$C$11)+VLOOKUP(MEPCalculation[[#This Row],[TransportSource]],TransportDistance[],3,FALSE)*'Stage assumptions'!$C$12)*MEPCalculation[[#This Row],[Kg estimate]]</f>
        <v>0</v>
      </c>
      <c r="M33" s="8">
        <f>IF(MEPCalculation[[#This Row],[Reference Service Life]]=25,1,(IFERROR(ROUNDDOWN(50/MEPCalculation[[#This Row],[Reference Service Life]],0),0)))</f>
        <v>1</v>
      </c>
      <c r="N33" s="42">
        <f>MEPCalculation[[#This Row],[Replacement cycles in 50 yrs]]*(MEPCalculation[[#This Row],[A1-A3, B3, C1-4]]+MEPCalculation[[#This Row],[A4 Transport]])</f>
        <v>0</v>
      </c>
      <c r="Q33" s="8">
        <f>MEPCalculation[[#This Row],[Kg estimate]]*MEPCalculation[[#This Row],[Data Quality Score]]</f>
        <v>0</v>
      </c>
    </row>
    <row r="34" spans="2:17" ht="14.4" x14ac:dyDescent="0.3">
      <c r="B34" s="8" t="s">
        <v>516</v>
      </c>
      <c r="C34" s="8" t="s">
        <v>477</v>
      </c>
      <c r="D34" s="8" t="s">
        <v>587</v>
      </c>
      <c r="E34" s="8" t="str">
        <f>E12</f>
        <v>Control Devices</v>
      </c>
      <c r="F34" s="8" t="s">
        <v>426</v>
      </c>
      <c r="G34" s="744">
        <f>MEP!C27</f>
        <v>0</v>
      </c>
      <c r="H34" s="8" t="s">
        <v>483</v>
      </c>
      <c r="I34" s="8">
        <f>'Stage assumptions'!D105</f>
        <v>20</v>
      </c>
      <c r="J34" s="42">
        <f>MEPCalculation[[#This Row],[Kg estimate]]*VLOOKUP(MEPCalculation[[#This Row],[MEP category (choose from dropdown)]],MEPGenericCarbonFactor[#All],3,FALSE)</f>
        <v>0</v>
      </c>
      <c r="K34" t="s">
        <v>7</v>
      </c>
      <c r="L34" s="42">
        <f>((VLOOKUP(MEPCalculation[[#This Row],[TransportSource]],TransportDistance[],2,FALSE)*'Stage assumptions'!$C$11)+VLOOKUP(MEPCalculation[[#This Row],[TransportSource]],TransportDistance[],3,FALSE)*'Stage assumptions'!$C$12)*MEPCalculation[[#This Row],[Kg estimate]]</f>
        <v>0</v>
      </c>
      <c r="M34" s="8">
        <f>IF(MEPCalculation[[#This Row],[Reference Service Life]]=25,1,(IFERROR(ROUNDDOWN(50/MEPCalculation[[#This Row],[Reference Service Life]],0),0)))</f>
        <v>2</v>
      </c>
      <c r="N34" s="42">
        <f>MEPCalculation[[#This Row],[Replacement cycles in 50 yrs]]*(MEPCalculation[[#This Row],[A1-A3, B3, C1-4]]+MEPCalculation[[#This Row],[A4 Transport]])</f>
        <v>0</v>
      </c>
      <c r="Q34" s="8">
        <f>MEPCalculation[[#This Row],[Kg estimate]]*MEPCalculation[[#This Row],[Data Quality Score]]</f>
        <v>0</v>
      </c>
    </row>
    <row r="35" spans="2:17" ht="14.4" x14ac:dyDescent="0.3">
      <c r="C35" s="8" t="s">
        <v>478</v>
      </c>
      <c r="D35" s="8" t="s">
        <v>588</v>
      </c>
      <c r="E35" s="8" t="str">
        <f>MEP!B26</f>
        <v>Fire Alarm Devices</v>
      </c>
      <c r="F35" s="8" t="s">
        <v>426</v>
      </c>
      <c r="G35" s="744">
        <f>MEP!C28</f>
        <v>0</v>
      </c>
      <c r="H35" s="8" t="s">
        <v>483</v>
      </c>
      <c r="I35" s="8">
        <f>'Stage assumptions'!D106</f>
        <v>30</v>
      </c>
      <c r="J35" s="42">
        <f>MEPCalculation[[#This Row],[Kg estimate]]*VLOOKUP(MEPCalculation[[#This Row],[MEP category (choose from dropdown)]],MEPGenericCarbonFactor[#All],3,FALSE)</f>
        <v>0</v>
      </c>
      <c r="K35" t="s">
        <v>7</v>
      </c>
      <c r="L35" s="42">
        <f>((VLOOKUP(MEPCalculation[[#This Row],[TransportSource]],TransportDistance[],2,FALSE)*'Stage assumptions'!$C$11)+VLOOKUP(MEPCalculation[[#This Row],[TransportSource]],TransportDistance[],3,FALSE)*'Stage assumptions'!$C$12)*MEPCalculation[[#This Row],[Kg estimate]]</f>
        <v>0</v>
      </c>
      <c r="M35" s="8">
        <f>IF(MEPCalculation[[#This Row],[Reference Service Life]]=25,1,(IFERROR(ROUNDDOWN(50/MEPCalculation[[#This Row],[Reference Service Life]],0),0)))</f>
        <v>1</v>
      </c>
      <c r="N35" s="42">
        <f>MEPCalculation[[#This Row],[Replacement cycles in 50 yrs]]*(MEPCalculation[[#This Row],[A1-A3, B3, C1-4]]+MEPCalculation[[#This Row],[A4 Transport]])</f>
        <v>0</v>
      </c>
      <c r="Q35" s="8">
        <f>MEPCalculation[[#This Row],[Kg estimate]]*MEPCalculation[[#This Row],[Data Quality Score]]</f>
        <v>0</v>
      </c>
    </row>
    <row r="36" spans="2:17" ht="14.4" x14ac:dyDescent="0.3">
      <c r="C36" s="8" t="s">
        <v>479</v>
      </c>
      <c r="D36" s="8" t="s">
        <v>588</v>
      </c>
      <c r="E36" s="8" t="str">
        <f>MEP!B27</f>
        <v>Lifts &amp; escalators</v>
      </c>
      <c r="F36" s="8" t="s">
        <v>426</v>
      </c>
      <c r="G36" s="744">
        <f>MEP!C29</f>
        <v>0</v>
      </c>
      <c r="H36" s="8" t="s">
        <v>483</v>
      </c>
      <c r="I36" s="8">
        <f>'Stage assumptions'!D107</f>
        <v>15</v>
      </c>
      <c r="J36" s="42">
        <f>MEPCalculation[[#This Row],[Kg estimate]]*VLOOKUP(MEPCalculation[[#This Row],[MEP category (choose from dropdown)]],MEPGenericCarbonFactor[#All],3,FALSE)</f>
        <v>0</v>
      </c>
      <c r="K36" t="s">
        <v>7</v>
      </c>
      <c r="L36" s="42">
        <f>((VLOOKUP(MEPCalculation[[#This Row],[TransportSource]],TransportDistance[],2,FALSE)*'Stage assumptions'!$C$11)+VLOOKUP(MEPCalculation[[#This Row],[TransportSource]],TransportDistance[],3,FALSE)*'Stage assumptions'!$C$12)*MEPCalculation[[#This Row],[Kg estimate]]</f>
        <v>0</v>
      </c>
      <c r="M36" s="8">
        <f>IF(MEPCalculation[[#This Row],[Reference Service Life]]=25,1,(IFERROR(ROUNDDOWN(50/MEPCalculation[[#This Row],[Reference Service Life]],0),0)))</f>
        <v>3</v>
      </c>
      <c r="N36" s="42">
        <f>MEPCalculation[[#This Row],[Replacement cycles in 50 yrs]]*(MEPCalculation[[#This Row],[A1-A3, B3, C1-4]]+MEPCalculation[[#This Row],[A4 Transport]])</f>
        <v>0</v>
      </c>
      <c r="Q36" s="8">
        <f>MEPCalculation[[#This Row],[Kg estimate]]*MEPCalculation[[#This Row],[Data Quality Score]]</f>
        <v>0</v>
      </c>
    </row>
    <row r="37" spans="2:17" ht="14.4" x14ac:dyDescent="0.3">
      <c r="C37" s="8" t="s">
        <v>480</v>
      </c>
      <c r="D37" s="8" t="s">
        <v>588</v>
      </c>
      <c r="E37" s="8" t="str">
        <f>MEP!B28</f>
        <v>Access Control</v>
      </c>
      <c r="F37" s="8" t="s">
        <v>426</v>
      </c>
      <c r="G37" s="744">
        <f>MEP!C30</f>
        <v>0</v>
      </c>
      <c r="H37" s="8" t="s">
        <v>483</v>
      </c>
      <c r="I37" s="8">
        <f>'Stage assumptions'!D108</f>
        <v>15</v>
      </c>
      <c r="J37" s="42">
        <f>MEPCalculation[[#This Row],[Kg estimate]]*VLOOKUP(MEPCalculation[[#This Row],[MEP category (choose from dropdown)]],MEPGenericCarbonFactor[#All],3,FALSE)</f>
        <v>0</v>
      </c>
      <c r="K37" t="s">
        <v>7</v>
      </c>
      <c r="L37" s="42">
        <f>((VLOOKUP(MEPCalculation[[#This Row],[TransportSource]],TransportDistance[],2,FALSE)*'Stage assumptions'!$C$11)+VLOOKUP(MEPCalculation[[#This Row],[TransportSource]],TransportDistance[],3,FALSE)*'Stage assumptions'!$C$12)*MEPCalculation[[#This Row],[Kg estimate]]</f>
        <v>0</v>
      </c>
      <c r="M37" s="8">
        <f>IF(MEPCalculation[[#This Row],[Reference Service Life]]=25,1,(IFERROR(ROUNDDOWN(50/MEPCalculation[[#This Row],[Reference Service Life]],0),0)))</f>
        <v>3</v>
      </c>
      <c r="N37" s="42">
        <f>MEPCalculation[[#This Row],[Replacement cycles in 50 yrs]]*(MEPCalculation[[#This Row],[A1-A3, B3, C1-4]]+MEPCalculation[[#This Row],[A4 Transport]])</f>
        <v>0</v>
      </c>
      <c r="Q37" s="8">
        <f>MEPCalculation[[#This Row],[Kg estimate]]*MEPCalculation[[#This Row],[Data Quality Score]]</f>
        <v>0</v>
      </c>
    </row>
    <row r="38" spans="2:17" x14ac:dyDescent="0.25">
      <c r="J38" s="8">
        <f>SUBTOTAL(109,MEPCalculation[A1-A3, B3, C1-4])</f>
        <v>0</v>
      </c>
      <c r="L38" s="42">
        <f>SUBTOTAL(109,MEPCalculation[A4 Transport])</f>
        <v>0</v>
      </c>
      <c r="N38" s="42">
        <f>SUBTOTAL(109,MEPCalculation[B4 Replacements])</f>
        <v>0</v>
      </c>
    </row>
    <row r="39" spans="2:17" x14ac:dyDescent="0.25">
      <c r="B39" s="8" t="s">
        <v>1082</v>
      </c>
    </row>
    <row r="40" spans="2:17" x14ac:dyDescent="0.25">
      <c r="B40" s="8" t="str">
        <f>B10</f>
        <v xml:space="preserve">In-built lighting system </v>
      </c>
      <c r="C40" s="8" t="str">
        <f>C10</f>
        <v>Light fittings</v>
      </c>
      <c r="F40" s="8">
        <f>COUNTIF(G10,"&gt;0")</f>
        <v>0</v>
      </c>
      <c r="G40" s="8">
        <f>SUM(G10)</f>
        <v>0</v>
      </c>
      <c r="J40" s="8">
        <f>SUM(J10:J11)</f>
        <v>0</v>
      </c>
      <c r="L40" s="8">
        <f>SUM(L10:L11)</f>
        <v>0</v>
      </c>
      <c r="N40" s="8">
        <f>SUM(N10:N11)</f>
        <v>0</v>
      </c>
    </row>
    <row r="41" spans="2:17" x14ac:dyDescent="0.25">
      <c r="B41" s="8" t="str">
        <f>B12</f>
        <v xml:space="preserve">Energy system </v>
      </c>
      <c r="C41" s="8" t="str">
        <f>C11</f>
        <v>Control systems and sensors</v>
      </c>
      <c r="F41" s="8">
        <f>COUNTIF(G11,"&gt;0")</f>
        <v>0</v>
      </c>
      <c r="G41" s="8">
        <f>SUM(G11)</f>
        <v>0</v>
      </c>
      <c r="J41" s="8">
        <f>SUM(J12:J26)</f>
        <v>0</v>
      </c>
      <c r="L41" s="8">
        <f>SUM(L12:L26)</f>
        <v>0</v>
      </c>
      <c r="N41" s="8">
        <f>SUM(N12:N26)</f>
        <v>0</v>
      </c>
    </row>
    <row r="42" spans="2:17" x14ac:dyDescent="0.25">
      <c r="B42" s="8" t="str">
        <f>B27</f>
        <v xml:space="preserve">Ventilation system </v>
      </c>
      <c r="C42" s="8" t="str">
        <f>C19</f>
        <v>Heating plant and distribution</v>
      </c>
      <c r="F42" s="8">
        <f>COUNTIF(G12:G19,"&gt;0")</f>
        <v>0</v>
      </c>
      <c r="G42" s="8">
        <f>SUM(G12:G19)</f>
        <v>0</v>
      </c>
      <c r="J42" s="8">
        <f>SUM(J27:J28)</f>
        <v>0</v>
      </c>
      <c r="L42" s="8">
        <f>SUM(L27:L28)</f>
        <v>0</v>
      </c>
      <c r="N42" s="8">
        <f>SUM(N27:N28)</f>
        <v>0</v>
      </c>
    </row>
    <row r="43" spans="2:17" x14ac:dyDescent="0.25">
      <c r="B43" s="8" t="str">
        <f>B30</f>
        <v>Sanitary systems</v>
      </c>
      <c r="C43" s="8" t="str">
        <f>C20</f>
        <v>Cooling plant and distribution</v>
      </c>
      <c r="F43" s="8">
        <f>COUNTIF(G20,"&gt;0")</f>
        <v>0</v>
      </c>
      <c r="G43" s="8">
        <f>SUM(G20)</f>
        <v>0</v>
      </c>
      <c r="J43" s="8">
        <f>SUM(J30:J33)</f>
        <v>0</v>
      </c>
      <c r="L43" s="8">
        <f>SUM(L30:L33)</f>
        <v>0</v>
      </c>
      <c r="N43" s="8">
        <f>SUM(N30:N33)</f>
        <v>0</v>
      </c>
    </row>
    <row r="44" spans="2:17" x14ac:dyDescent="0.25">
      <c r="B44" s="8" t="str">
        <f>B34</f>
        <v>Other systems</v>
      </c>
      <c r="C44" s="8" t="str">
        <f>C21</f>
        <v>Electricity generation and distribution</v>
      </c>
      <c r="F44" s="8">
        <f>COUNTIF(G21:G26,"&gt;0")</f>
        <v>0</v>
      </c>
      <c r="G44" s="8">
        <f>SUM(G21:G26)</f>
        <v>0</v>
      </c>
      <c r="J44" s="8">
        <f>SUM(J34:J37)</f>
        <v>0</v>
      </c>
      <c r="L44" s="8">
        <f>SUM(L34:L37)</f>
        <v>0</v>
      </c>
      <c r="N44" s="8">
        <f>SUM(N34:N37)</f>
        <v>0</v>
      </c>
    </row>
    <row r="45" spans="2:17" x14ac:dyDescent="0.25">
      <c r="C45" s="8" t="str">
        <f>C27</f>
        <v>Air handling units</v>
      </c>
      <c r="F45" s="8">
        <f>COUNTIF(G27:G28,"&gt;0")</f>
        <v>0</v>
      </c>
      <c r="G45" s="8">
        <f>+SUM(G27:G28)</f>
        <v>0</v>
      </c>
    </row>
    <row r="46" spans="2:17" x14ac:dyDescent="0.25">
      <c r="C46" s="8" t="str">
        <f t="shared" ref="C46:C54" si="0">C29</f>
        <v>Ductwork and distribution</v>
      </c>
      <c r="F46" s="8">
        <f>COUNTIF(G29,"&gt;0")</f>
        <v>0</v>
      </c>
      <c r="G46" s="8">
        <f>SUM(G29)</f>
        <v>0</v>
      </c>
    </row>
    <row r="47" spans="2:17" x14ac:dyDescent="0.25">
      <c r="C47" s="8" t="str">
        <f t="shared" si="0"/>
        <v>Cold water distribution</v>
      </c>
      <c r="F47" s="8">
        <f t="shared" ref="F47:F54" si="1">COUNTIF(G30,"&gt;0")</f>
        <v>0</v>
      </c>
      <c r="G47" s="8">
        <f t="shared" ref="G47:G54" si="2">SUM(G30)</f>
        <v>0</v>
      </c>
    </row>
    <row r="48" spans="2:17" x14ac:dyDescent="0.25">
      <c r="C48" s="8" t="str">
        <f t="shared" si="0"/>
        <v>Hot water distribution</v>
      </c>
      <c r="F48" s="8">
        <f t="shared" si="1"/>
        <v>0</v>
      </c>
      <c r="G48" s="8">
        <f t="shared" si="2"/>
        <v>0</v>
      </c>
    </row>
    <row r="49" spans="2:7" x14ac:dyDescent="0.25">
      <c r="C49" s="8" t="str">
        <f t="shared" si="0"/>
        <v>Water treatment systems</v>
      </c>
      <c r="F49" s="8">
        <f t="shared" si="1"/>
        <v>0</v>
      </c>
      <c r="G49" s="8">
        <f t="shared" si="2"/>
        <v>0</v>
      </c>
    </row>
    <row r="50" spans="2:7" x14ac:dyDescent="0.25">
      <c r="C50" s="8" t="str">
        <f t="shared" si="0"/>
        <v>Drainage system</v>
      </c>
      <c r="F50" s="8">
        <f t="shared" si="1"/>
        <v>0</v>
      </c>
      <c r="G50" s="8">
        <f t="shared" si="2"/>
        <v>0</v>
      </c>
    </row>
    <row r="51" spans="2:7" x14ac:dyDescent="0.25">
      <c r="C51" s="8" t="str">
        <f t="shared" si="0"/>
        <v>Lifts and escalators</v>
      </c>
      <c r="F51" s="8">
        <f t="shared" si="1"/>
        <v>0</v>
      </c>
      <c r="G51" s="8">
        <f>SUM(G34)</f>
        <v>0</v>
      </c>
    </row>
    <row r="52" spans="2:7" x14ac:dyDescent="0.25">
      <c r="C52" s="8" t="str">
        <f t="shared" si="0"/>
        <v>Firefighting installations</v>
      </c>
      <c r="F52" s="8">
        <f t="shared" si="1"/>
        <v>0</v>
      </c>
      <c r="G52" s="8">
        <f t="shared" si="2"/>
        <v>0</v>
      </c>
    </row>
    <row r="53" spans="2:7" x14ac:dyDescent="0.25">
      <c r="C53" s="8" t="str">
        <f t="shared" si="0"/>
        <v>Communication and security installations</v>
      </c>
      <c r="F53" s="8">
        <f t="shared" si="1"/>
        <v>0</v>
      </c>
      <c r="G53" s="8">
        <f t="shared" si="2"/>
        <v>0</v>
      </c>
    </row>
    <row r="54" spans="2:7" x14ac:dyDescent="0.25">
      <c r="C54" s="8" t="str">
        <f t="shared" si="0"/>
        <v>Telecoms and data installations</v>
      </c>
      <c r="F54" s="8">
        <f t="shared" si="1"/>
        <v>0</v>
      </c>
      <c r="G54" s="8">
        <f t="shared" si="2"/>
        <v>0</v>
      </c>
    </row>
    <row r="57" spans="2:7" x14ac:dyDescent="0.25">
      <c r="B57" s="8" t="s">
        <v>589</v>
      </c>
    </row>
    <row r="58" spans="2:7" x14ac:dyDescent="0.25">
      <c r="B58" s="8" t="s">
        <v>590</v>
      </c>
      <c r="C58" s="19">
        <v>0.01</v>
      </c>
    </row>
    <row r="59" spans="2:7" x14ac:dyDescent="0.25">
      <c r="B59" s="8" t="s">
        <v>591</v>
      </c>
      <c r="C59" s="19">
        <v>0.26669999999999999</v>
      </c>
    </row>
    <row r="60" spans="2:7" x14ac:dyDescent="0.25">
      <c r="B60" s="8" t="s">
        <v>592</v>
      </c>
      <c r="C60" s="19">
        <v>0.10929999999999999</v>
      </c>
    </row>
    <row r="61" spans="2:7" x14ac:dyDescent="0.25">
      <c r="B61" s="8" t="s">
        <v>593</v>
      </c>
      <c r="C61" s="19">
        <v>0.1106</v>
      </c>
    </row>
  </sheetData>
  <phoneticPr fontId="7" type="noConversion"/>
  <hyperlinks>
    <hyperlink ref="N4" r:id="rId1" xr:uid="{647B8D2B-31FE-4971-977D-2B89B970F4CF}"/>
  </hyperlinks>
  <pageMargins left="0.7" right="0.7" top="0.75" bottom="0.75" header="0.3" footer="0.3"/>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9A936-693C-465E-B288-3D98B321D264}">
  <sheetPr codeName="Sheet15">
    <tabColor rgb="FFFFC000"/>
  </sheetPr>
  <dimension ref="B1:N18"/>
  <sheetViews>
    <sheetView showGridLines="0" zoomScaleNormal="100" workbookViewId="0">
      <selection activeCell="N34" sqref="N34"/>
    </sheetView>
  </sheetViews>
  <sheetFormatPr defaultColWidth="8.88671875" defaultRowHeight="13.2" x14ac:dyDescent="0.25"/>
  <cols>
    <col min="1" max="1" width="2.6640625" style="8" customWidth="1"/>
    <col min="2" max="2" width="22.33203125" style="8" customWidth="1"/>
    <col min="3" max="3" width="8.33203125" style="8" customWidth="1"/>
    <col min="4" max="4" width="5.5546875" style="8" customWidth="1"/>
    <col min="5" max="16384" width="8.88671875" style="8"/>
  </cols>
  <sheetData>
    <row r="1" spans="2:14" ht="15" customHeight="1" x14ac:dyDescent="0.25"/>
    <row r="2" spans="2:14" s="338" customFormat="1" ht="25.95" customHeight="1" x14ac:dyDescent="0.3">
      <c r="B2" s="354" t="s">
        <v>652</v>
      </c>
      <c r="C2" s="354" t="s">
        <v>1349</v>
      </c>
      <c r="D2" s="354" t="s">
        <v>64</v>
      </c>
      <c r="F2" s="360" t="s">
        <v>1323</v>
      </c>
    </row>
    <row r="3" spans="2:14" x14ac:dyDescent="0.25">
      <c r="B3" s="379" t="s">
        <v>640</v>
      </c>
      <c r="C3" s="347">
        <v>1</v>
      </c>
      <c r="D3" s="381" t="s">
        <v>1348</v>
      </c>
      <c r="F3" s="380" t="s">
        <v>1346</v>
      </c>
      <c r="G3" s="376"/>
      <c r="H3" s="376"/>
      <c r="I3" s="376"/>
      <c r="J3" s="376"/>
      <c r="K3" s="376"/>
      <c r="L3" s="376"/>
      <c r="M3" s="376"/>
      <c r="N3" s="377"/>
    </row>
    <row r="4" spans="2:14" x14ac:dyDescent="0.25">
      <c r="B4" s="375" t="s">
        <v>42</v>
      </c>
      <c r="C4" s="347"/>
      <c r="D4" s="381" t="s">
        <v>1348</v>
      </c>
      <c r="F4" s="831" t="s">
        <v>1347</v>
      </c>
      <c r="G4" s="753"/>
      <c r="H4" s="753"/>
      <c r="I4" s="753"/>
      <c r="J4" s="753"/>
      <c r="K4" s="753"/>
      <c r="L4" s="753"/>
      <c r="M4" s="753"/>
      <c r="N4" s="840"/>
    </row>
    <row r="5" spans="2:14" x14ac:dyDescent="0.25">
      <c r="B5" s="375" t="s">
        <v>43</v>
      </c>
      <c r="C5" s="347"/>
      <c r="D5" s="381" t="s">
        <v>1348</v>
      </c>
      <c r="F5" s="831"/>
      <c r="G5" s="753"/>
      <c r="H5" s="753"/>
      <c r="I5" s="753"/>
      <c r="J5" s="753"/>
      <c r="K5" s="753"/>
      <c r="L5" s="753"/>
      <c r="M5" s="753"/>
      <c r="N5" s="840"/>
    </row>
    <row r="6" spans="2:14" x14ac:dyDescent="0.25">
      <c r="B6" s="375" t="s">
        <v>44</v>
      </c>
      <c r="C6" s="347"/>
      <c r="D6" s="381" t="s">
        <v>1348</v>
      </c>
      <c r="F6" s="831"/>
      <c r="G6" s="753"/>
      <c r="H6" s="753"/>
      <c r="I6" s="753"/>
      <c r="J6" s="753"/>
      <c r="K6" s="753"/>
      <c r="L6" s="753"/>
      <c r="M6" s="753"/>
      <c r="N6" s="840"/>
    </row>
    <row r="7" spans="2:14" x14ac:dyDescent="0.25">
      <c r="B7" s="375" t="s">
        <v>45</v>
      </c>
      <c r="C7" s="347"/>
      <c r="D7" s="381" t="s">
        <v>1348</v>
      </c>
      <c r="F7" s="831"/>
      <c r="G7" s="753"/>
      <c r="H7" s="753"/>
      <c r="I7" s="753"/>
      <c r="J7" s="753"/>
      <c r="K7" s="753"/>
      <c r="L7" s="753"/>
      <c r="M7" s="753"/>
      <c r="N7" s="840"/>
    </row>
    <row r="8" spans="2:14" x14ac:dyDescent="0.25">
      <c r="B8" s="375" t="s">
        <v>46</v>
      </c>
      <c r="C8" s="347"/>
      <c r="D8" s="381" t="s">
        <v>1348</v>
      </c>
      <c r="F8" s="831"/>
      <c r="G8" s="753"/>
      <c r="H8" s="753"/>
      <c r="I8" s="753"/>
      <c r="J8" s="753"/>
      <c r="K8" s="753"/>
      <c r="L8" s="753"/>
      <c r="M8" s="753"/>
      <c r="N8" s="840"/>
    </row>
    <row r="9" spans="2:14" x14ac:dyDescent="0.25">
      <c r="B9" s="375" t="s">
        <v>47</v>
      </c>
      <c r="C9" s="347"/>
      <c r="D9" s="381" t="s">
        <v>1348</v>
      </c>
      <c r="F9" s="832"/>
      <c r="G9" s="833"/>
      <c r="H9" s="833"/>
      <c r="I9" s="833"/>
      <c r="J9" s="833"/>
      <c r="K9" s="833"/>
      <c r="L9" s="833"/>
      <c r="M9" s="833"/>
      <c r="N9" s="841"/>
    </row>
    <row r="10" spans="2:14" x14ac:dyDescent="0.25">
      <c r="B10" s="375" t="s">
        <v>48</v>
      </c>
      <c r="C10" s="347"/>
      <c r="D10" s="381" t="s">
        <v>1348</v>
      </c>
    </row>
    <row r="11" spans="2:14" x14ac:dyDescent="0.25">
      <c r="B11" s="375" t="s">
        <v>49</v>
      </c>
      <c r="C11" s="347"/>
      <c r="D11" s="381" t="s">
        <v>1348</v>
      </c>
    </row>
    <row r="12" spans="2:14" x14ac:dyDescent="0.25">
      <c r="B12" s="375" t="s">
        <v>50</v>
      </c>
      <c r="C12" s="347"/>
      <c r="D12" s="381" t="s">
        <v>1348</v>
      </c>
      <c r="F12" s="8" t="s">
        <v>1496</v>
      </c>
    </row>
    <row r="13" spans="2:14" x14ac:dyDescent="0.25">
      <c r="B13" s="375" t="s">
        <v>51</v>
      </c>
      <c r="C13" s="347"/>
      <c r="D13" s="381" t="s">
        <v>1348</v>
      </c>
      <c r="F13" s="347"/>
      <c r="G13" s="8" t="s">
        <v>1309</v>
      </c>
    </row>
    <row r="14" spans="2:14" x14ac:dyDescent="0.25">
      <c r="B14" s="375" t="s">
        <v>625</v>
      </c>
      <c r="C14" s="347"/>
      <c r="D14" s="381" t="s">
        <v>1348</v>
      </c>
      <c r="F14" s="348"/>
      <c r="G14" s="8" t="s">
        <v>1310</v>
      </c>
    </row>
    <row r="15" spans="2:14" ht="14.4" x14ac:dyDescent="0.3">
      <c r="F15" s="635"/>
      <c r="G15" s="8" t="s">
        <v>1319</v>
      </c>
    </row>
    <row r="16" spans="2:14" x14ac:dyDescent="0.25">
      <c r="B16" s="573" t="s">
        <v>1483</v>
      </c>
      <c r="C16" s="638">
        <f>SUM(EnergyBoQ[Annual Demand])/'Project Details'!C16</f>
        <v>3.125E-2</v>
      </c>
      <c r="D16" s="8" t="s">
        <v>1482</v>
      </c>
    </row>
    <row r="18" spans="2:3" x14ac:dyDescent="0.25">
      <c r="B18" s="8" t="s">
        <v>1509</v>
      </c>
      <c r="C18" s="698" t="s">
        <v>1510</v>
      </c>
    </row>
  </sheetData>
  <sheetProtection algorithmName="SHA-512" hashValue="IT5Jev7uDO5a14TEgx3LZTSllF7GJlyPlaO+EFtdv/XHUPmNwk/DdN56QH5vU7S6cia1GIH57yykS8u7kf8ynw==" saltValue="/VqEiJ2OYv44qYFLUhCFPQ==" spinCount="100000" sheet="1" objects="1" scenarios="1"/>
  <mergeCells count="1">
    <mergeCell ref="F4:N9"/>
  </mergeCells>
  <pageMargins left="0.7" right="0.7" top="0.75" bottom="0.75" header="0.3" footer="0.3"/>
  <drawing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0AED72E9-8BE9-4221-B9C9-F56D9FE0B065}">
          <x14:formula1>
            <xm:f>Dropdowns!$U$1:$U$5</xm:f>
          </x14:formula1>
          <xm:sqref>C18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FBD4E-3E3A-4B4D-A260-DE979EEABA63}">
  <sheetPr codeName="Sheet17">
    <tabColor rgb="FFFFC000"/>
  </sheetPr>
  <dimension ref="A1:M23"/>
  <sheetViews>
    <sheetView showGridLines="0" workbookViewId="0">
      <selection activeCell="J22" sqref="J22"/>
    </sheetView>
  </sheetViews>
  <sheetFormatPr defaultColWidth="8.88671875" defaultRowHeight="13.2" x14ac:dyDescent="0.25"/>
  <cols>
    <col min="1" max="1" width="2.6640625" style="8" customWidth="1"/>
    <col min="2" max="2" width="16.5546875" style="8" customWidth="1"/>
    <col min="3" max="4" width="8.33203125" style="8" customWidth="1"/>
    <col min="5" max="6" width="5.5546875" style="8" customWidth="1"/>
    <col min="7" max="16384" width="8.88671875" style="8"/>
  </cols>
  <sheetData>
    <row r="1" spans="2:13" ht="15" customHeight="1" x14ac:dyDescent="0.25"/>
    <row r="2" spans="2:13" s="336" customFormat="1" ht="30" customHeight="1" x14ac:dyDescent="0.3">
      <c r="B2" s="353" t="s">
        <v>18</v>
      </c>
      <c r="C2" s="353" t="s">
        <v>601</v>
      </c>
      <c r="D2" s="353" t="s">
        <v>64</v>
      </c>
      <c r="F2" s="360" t="s">
        <v>1323</v>
      </c>
    </row>
    <row r="3" spans="2:13" ht="14.4" customHeight="1" x14ac:dyDescent="0.25">
      <c r="B3" s="375" t="s">
        <v>21</v>
      </c>
      <c r="C3" s="347">
        <v>0</v>
      </c>
      <c r="D3" s="375" t="s">
        <v>483</v>
      </c>
      <c r="F3" s="798" t="s">
        <v>1350</v>
      </c>
      <c r="G3" s="798"/>
      <c r="H3" s="798"/>
      <c r="I3" s="798"/>
      <c r="J3" s="798"/>
      <c r="K3" s="798"/>
      <c r="L3" s="798"/>
      <c r="M3" s="798"/>
    </row>
    <row r="4" spans="2:13" x14ac:dyDescent="0.25">
      <c r="B4" s="375" t="s">
        <v>23</v>
      </c>
      <c r="C4" s="347">
        <v>0</v>
      </c>
      <c r="D4" s="375" t="s">
        <v>483</v>
      </c>
      <c r="F4" s="798"/>
      <c r="G4" s="798"/>
      <c r="H4" s="798"/>
      <c r="I4" s="798"/>
      <c r="J4" s="798"/>
      <c r="K4" s="798"/>
      <c r="L4" s="798"/>
      <c r="M4" s="798"/>
    </row>
    <row r="5" spans="2:13" x14ac:dyDescent="0.25">
      <c r="B5" s="375" t="s">
        <v>24</v>
      </c>
      <c r="C5" s="347">
        <v>0</v>
      </c>
      <c r="D5" s="375" t="s">
        <v>483</v>
      </c>
      <c r="F5" s="798"/>
      <c r="G5" s="798"/>
      <c r="H5" s="798"/>
      <c r="I5" s="798"/>
      <c r="J5" s="798"/>
      <c r="K5" s="798"/>
      <c r="L5" s="798"/>
      <c r="M5" s="798"/>
    </row>
    <row r="6" spans="2:13" x14ac:dyDescent="0.25">
      <c r="B6" s="375" t="s">
        <v>26</v>
      </c>
      <c r="C6" s="347">
        <v>0</v>
      </c>
      <c r="D6" s="375" t="s">
        <v>483</v>
      </c>
    </row>
    <row r="7" spans="2:13" x14ac:dyDescent="0.25">
      <c r="B7" s="375" t="s">
        <v>27</v>
      </c>
      <c r="C7" s="347">
        <v>0</v>
      </c>
      <c r="D7" s="375" t="s">
        <v>483</v>
      </c>
    </row>
    <row r="8" spans="2:13" x14ac:dyDescent="0.25">
      <c r="B8" s="375" t="s">
        <v>28</v>
      </c>
      <c r="C8" s="347">
        <v>0</v>
      </c>
      <c r="D8" s="375" t="s">
        <v>483</v>
      </c>
    </row>
    <row r="9" spans="2:13" x14ac:dyDescent="0.25">
      <c r="B9" s="375" t="s">
        <v>30</v>
      </c>
      <c r="C9" s="347">
        <v>0</v>
      </c>
      <c r="D9" s="375" t="s">
        <v>483</v>
      </c>
    </row>
    <row r="10" spans="2:13" x14ac:dyDescent="0.25">
      <c r="B10" s="375" t="s">
        <v>31</v>
      </c>
      <c r="C10" s="347">
        <v>0</v>
      </c>
      <c r="D10" s="375" t="s">
        <v>483</v>
      </c>
    </row>
    <row r="11" spans="2:13" x14ac:dyDescent="0.25">
      <c r="B11" s="375" t="s">
        <v>33</v>
      </c>
      <c r="C11" s="347">
        <v>0</v>
      </c>
      <c r="D11" s="375" t="s">
        <v>483</v>
      </c>
    </row>
    <row r="12" spans="2:13" x14ac:dyDescent="0.25">
      <c r="B12" s="375" t="s">
        <v>35</v>
      </c>
      <c r="C12" s="347">
        <v>0</v>
      </c>
      <c r="D12" s="375" t="s">
        <v>483</v>
      </c>
    </row>
    <row r="13" spans="2:13" x14ac:dyDescent="0.25">
      <c r="B13" s="375" t="s">
        <v>36</v>
      </c>
      <c r="C13" s="347">
        <v>0</v>
      </c>
      <c r="D13" s="375" t="s">
        <v>483</v>
      </c>
    </row>
    <row r="14" spans="2:13" x14ac:dyDescent="0.25">
      <c r="B14" s="375" t="s">
        <v>37</v>
      </c>
      <c r="C14" s="347">
        <v>0</v>
      </c>
      <c r="D14" s="375" t="s">
        <v>483</v>
      </c>
    </row>
    <row r="15" spans="2:13" x14ac:dyDescent="0.25">
      <c r="B15" s="375" t="s">
        <v>1131</v>
      </c>
      <c r="C15" s="347">
        <v>0</v>
      </c>
      <c r="D15" s="375" t="s">
        <v>483</v>
      </c>
      <c r="F15" s="8" t="s">
        <v>1496</v>
      </c>
    </row>
    <row r="16" spans="2:13" x14ac:dyDescent="0.25">
      <c r="B16" s="375" t="s">
        <v>1133</v>
      </c>
      <c r="C16" s="347">
        <v>0</v>
      </c>
      <c r="D16" s="375" t="s">
        <v>483</v>
      </c>
      <c r="F16" s="347"/>
      <c r="G16" s="8" t="s">
        <v>1309</v>
      </c>
    </row>
    <row r="18" spans="1:4" ht="14.4" x14ac:dyDescent="0.3">
      <c r="A18" s="569"/>
      <c r="B18" s="27"/>
      <c r="C18"/>
      <c r="D18"/>
    </row>
    <row r="19" spans="1:4" x14ac:dyDescent="0.25">
      <c r="A19" s="27"/>
      <c r="B19" s="27"/>
      <c r="C19" s="27"/>
    </row>
    <row r="20" spans="1:4" x14ac:dyDescent="0.25">
      <c r="A20" s="27"/>
      <c r="B20" s="27"/>
    </row>
    <row r="21" spans="1:4" x14ac:dyDescent="0.25">
      <c r="A21" s="27"/>
      <c r="B21" s="27"/>
      <c r="C21" s="27"/>
    </row>
    <row r="22" spans="1:4" x14ac:dyDescent="0.25">
      <c r="A22" s="27"/>
      <c r="B22" s="27"/>
      <c r="C22" s="27"/>
    </row>
    <row r="23" spans="1:4" x14ac:dyDescent="0.25">
      <c r="A23" s="27"/>
      <c r="B23" s="27"/>
      <c r="C23" s="27"/>
    </row>
  </sheetData>
  <sheetProtection algorithmName="SHA-512" hashValue="rK6gtq3A2sqPE6sZOwX6GpeV/mcONvqWpaeSZp39iCA6lJZ298oENTM3QaTSoOs18VMBu52OJBKIUVVUg+9jsQ==" saltValue="3gmYMQfIF3/FER+xczhVkg==" spinCount="100000" sheet="1" objects="1" scenarios="1"/>
  <mergeCells count="1">
    <mergeCell ref="F3:M5"/>
  </mergeCells>
  <dataValidations xWindow="347" yWindow="409" count="1">
    <dataValidation allowBlank="1" showInputMessage="1" showErrorMessage="1" promptTitle="Estimate the charge" prompt="Leave as zero if there will not be any in the project." sqref="C3:C16" xr:uid="{B9E0DE37-1064-4DAC-888B-654FD814B2C9}"/>
  </dataValidation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T I m U V R J Q m N K l A A A A 9 g A A A B I A H A B D b 2 5 m a W c v U G F j a 2 F n Z S 5 4 b W w g o h g A K K A U A A A A A A A A A A A A A A A A A A A A A A A A A A A A h Y 9 N C s I w G E S v U r J v / g S R k q a g C z c W B E H c h j S 2 w f a r N K n p 3 V x 4 J K 9 g R a v u X M 6 b t 5 i 5 X 2 8 i G 5 o 6 u p j O 2 R Z S x D B F k Q H d F h b K F P X + G C 9 Q J s V W 6 Z M q T T T K 4 J L B F S m q v D 8 n h I Q Q c J j h t i s J p 5 S R Q 7 7 Z 6 c o 0 C n 1 k + 1 + O L T i v Q B s k x f 4 1 R n L M G M N z y j E V Z I I i t / A V + L j 3 2 f 5 A s e p r 3 3 d G G o j X S 0 G m K M j 7 g 3 w A U E s D B B Q A A g A I A E y J l F 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M i Z R V K I p H u A 4 A A A A R A A A A E w A c A E Z v c m 1 1 b G F z L 1 N l Y 3 R p b 2 4 x L m 0 g o h g A K K A U A A A A A A A A A A A A A A A A A A A A A A A A A A A A K 0 5 N L s n M z 1 M I h t C G 1 g B Q S w E C L Q A U A A I A C A B M i Z R V E l C Y 0 q U A A A D 2 A A A A E g A A A A A A A A A A A A A A A A A A A A A A Q 2 9 u Z m l n L 1 B h Y 2 t h Z 2 U u e G 1 s U E s B A i 0 A F A A C A A g A T I m U V Q / K 6 a u k A A A A 6 Q A A A B M A A A A A A A A A A A A A A A A A 8 Q A A A F t D b 2 5 0 Z W 5 0 X 1 R 5 c G V z X S 5 4 b W x Q S w E C L Q A U A A I A C A B M i Z R V 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p 3 / z 2 + s C H U u T f Y p n B Y p 9 7 g A A A A A C A A A A A A A Q Z g A A A A E A A C A A A A A N u 1 A O e u S s C h 9 Y 1 I V H d v r V j O N D 8 / V q y P Y 3 u P Y 3 0 z 5 g 0 A A A A A A O g A A A A A I A A C A A A A B O P / R q f f 5 d 8 X r A O x I Y / I B N Q A d d 7 f T R j x p B 3 7 u L v n P q 1 l A A A A D p Y y b 8 A c 4 k h N 7 Z 6 C m 5 8 n x Q / E D w k e m M W L 9 L z n X 7 5 e S r u J U f S L m a 2 D 5 R l x T T d 7 e a r c d x w O V i 0 L m / 0 x U r s m 8 W x J W 3 q C + J N J y T k N e 3 l a q v a y q r 7 E A A A A D r N P X P u 3 2 w 3 X 5 B 0 8 k 3 M c Q 1 u h N L b U r A H I J w f 2 n B j W a g N P k B m b a E 9 q Y u a X 6 n 3 q G B W 7 I Q G s l Z Y F p V 9 m F j A 2 O x l 6 N i < / D a t a M a s h u p > 
</file>

<file path=customXml/itemProps1.xml><?xml version="1.0" encoding="utf-8"?>
<ds:datastoreItem xmlns:ds="http://schemas.openxmlformats.org/officeDocument/2006/customXml" ds:itemID="{B2B59695-D1B6-4138-A7D3-E7D7A2C8583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6</vt:i4>
      </vt:variant>
    </vt:vector>
  </HeadingPairs>
  <TitlesOfParts>
    <vt:vector size="30" baseType="lpstr">
      <vt:lpstr>Welcome</vt:lpstr>
      <vt:lpstr>Instructions</vt:lpstr>
      <vt:lpstr>Project Details</vt:lpstr>
      <vt:lpstr>Materials BoQ</vt:lpstr>
      <vt:lpstr>MEP</vt:lpstr>
      <vt:lpstr>MEP RICS Calc</vt:lpstr>
      <vt:lpstr>MEP Calcs (A1-4, B3, C1-4)</vt:lpstr>
      <vt:lpstr>Energy</vt:lpstr>
      <vt:lpstr>Refrigerants</vt:lpstr>
      <vt:lpstr>Water</vt:lpstr>
      <vt:lpstr>Results</vt:lpstr>
      <vt:lpstr>Report Template</vt:lpstr>
      <vt:lpstr>EPD</vt:lpstr>
      <vt:lpstr>Densities help</vt:lpstr>
      <vt:lpstr>Stage assumptions</vt:lpstr>
      <vt:lpstr>Materials Rank</vt:lpstr>
      <vt:lpstr>Dropdowns</vt:lpstr>
      <vt:lpstr>Materials Calculations</vt:lpstr>
      <vt:lpstr>Materials Data</vt:lpstr>
      <vt:lpstr>Change log</vt:lpstr>
      <vt:lpstr>5-Operational B6</vt:lpstr>
      <vt:lpstr>6-Water B7</vt:lpstr>
      <vt:lpstr>MEP Data</vt:lpstr>
      <vt:lpstr>B1 - Refrigerant Calc</vt:lpstr>
      <vt:lpstr>'Materials Rank'!Tier2Element</vt:lpstr>
      <vt:lpstr>Welcome!Tier2Element</vt:lpstr>
      <vt:lpstr>Tier2Element</vt:lpstr>
      <vt:lpstr>'Materials Rank'!UserEPD</vt:lpstr>
      <vt:lpstr>Welcome!UserEPD</vt:lpstr>
      <vt:lpstr>UserEPD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dc:creator>
  <cp:lastModifiedBy>Stephen Barrett</cp:lastModifiedBy>
  <dcterms:created xsi:type="dcterms:W3CDTF">2022-12-20T09:48:52Z</dcterms:created>
  <dcterms:modified xsi:type="dcterms:W3CDTF">2025-03-06T11:07:27Z</dcterms:modified>
</cp:coreProperties>
</file>